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comments5.xml" ContentType="application/vnd.openxmlformats-officedocument.spreadsheetml.comments+xml"/>
  <Override PartName="/xl/tables/table51.xml" ContentType="application/vnd.openxmlformats-officedocument.spreadsheetml.table+xml"/>
  <Override PartName="/xl/comments6.xml" ContentType="application/vnd.openxmlformats-officedocument.spreadsheetml.comments+xml"/>
  <Override PartName="/xl/tables/table52.xml" ContentType="application/vnd.openxmlformats-officedocument.spreadsheetml.table+xml"/>
  <Override PartName="/xl/comments7.xml" ContentType="application/vnd.openxmlformats-officedocument.spreadsheetml.comments+xml"/>
  <Override PartName="/xl/tables/table53.xml" ContentType="application/vnd.openxmlformats-officedocument.spreadsheetml.table+xml"/>
  <Override PartName="/xl/comments8.xml" ContentType="application/vnd.openxmlformats-officedocument.spreadsheetml.comments+xml"/>
  <Override PartName="/xl/tables/table54.xml" ContentType="application/vnd.openxmlformats-officedocument.spreadsheetml.table+xml"/>
  <Override PartName="/xl/comments9.xml" ContentType="application/vnd.openxmlformats-officedocument.spreadsheetml.comments+xml"/>
  <Override PartName="/xl/tables/table55.xml" ContentType="application/vnd.openxmlformats-officedocument.spreadsheetml.table+xml"/>
  <Override PartName="/xl/comments10.xml" ContentType="application/vnd.openxmlformats-officedocument.spreadsheetml.comments+xml"/>
  <Override PartName="/xl/tables/table56.xml" ContentType="application/vnd.openxmlformats-officedocument.spreadsheetml.table+xml"/>
  <Override PartName="/xl/comments11.xml" ContentType="application/vnd.openxmlformats-officedocument.spreadsheetml.comments+xml"/>
  <Override PartName="/xl/tables/table57.xml" ContentType="application/vnd.openxmlformats-officedocument.spreadsheetml.table+xml"/>
  <Override PartName="/xl/comments1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0" yWindow="0" windowWidth="11940" windowHeight="7050" tabRatio="794"/>
  </bookViews>
  <sheets>
    <sheet name="Indice" sheetId="15" r:id="rId1"/>
    <sheet name="Asistente de Carga" sheetId="17" r:id="rId2"/>
    <sheet name="Control" sheetId="8" state="hidden" r:id="rId3"/>
    <sheet name="Configuración" sheetId="2" r:id="rId4"/>
    <sheet name="Financiero $" sheetId="19" r:id="rId5"/>
    <sheet name="Financiero U$S" sheetId="13" r:id="rId6"/>
    <sheet name="Económico" sheetId="12" r:id="rId7"/>
    <sheet name="Prod. Agrícola" sheetId="1" r:id="rId8"/>
    <sheet name="Com. Agrícola" sheetId="5" r:id="rId9"/>
    <sheet name="Ganadería" sheetId="10" r:id="rId10"/>
    <sheet name="Lechería" sheetId="11" r:id="rId11"/>
    <sheet name="Otras Actividades" sheetId="14" r:id="rId12"/>
    <sheet name="Indirectos" sheetId="9" r:id="rId13"/>
    <sheet name="Finanzas" sheetId="16" r:id="rId14"/>
    <sheet name="Tablas Dinámicas" sheetId="7" r:id="rId15"/>
  </sheets>
  <definedNames>
    <definedName name="Actividades_Agricolas" localSheetId="4">Tabla8[Unidades de Negocio]</definedName>
    <definedName name="Actividades_Agricolas">Tabla8[Unidades de Negocio]</definedName>
    <definedName name="Actividades_Comercial_Granos" localSheetId="4">Tabla811[Unidades de Negocio]</definedName>
    <definedName name="Actividades_Comercial_Granos">Tabla811[Unidades de Negocio]</definedName>
    <definedName name="Actividades_Indirectos" localSheetId="4">Tabla81116[Unidades de Negocio]</definedName>
    <definedName name="Actividades_Indirectos">Tabla81116[Unidades de Negocio]</definedName>
    <definedName name="AGR_Plan_Cuentas">Configuración!$P$3</definedName>
    <definedName name="AGR_Protocolo_1">'Prod. Agrícola'!$B$5</definedName>
    <definedName name="AGR_Protocolo_2">'Prod. Agrícola'!$B$45</definedName>
    <definedName name="AGR_Protocolo_3">'Prod. Agrícola'!$B$85</definedName>
    <definedName name="AGR_Protocolo_4">'Prod. Agrícola'!$B$125</definedName>
    <definedName name="AGR_Protocolo_6">'Prod. Agrícola'!$B$202</definedName>
    <definedName name="AGR_Protocolo_7">'Prod. Agrícola'!$B$219</definedName>
    <definedName name="AGR_Protoloco_5">'Prod. Agrícola'!$B$165</definedName>
    <definedName name="AGR_Resultado_USD">Económico!$F$38</definedName>
    <definedName name="AGR_Unidades_Negocio">Configuración!$U$3</definedName>
    <definedName name="Campaña_Actual">Configuración!$B$6</definedName>
    <definedName name="Campaña_Campaña" localSheetId="4">Campaña[Campañas]</definedName>
    <definedName name="Campaña_Campaña">Campaña[Campañas]</definedName>
    <definedName name="Cargas_Manutencion">Lechería!$B$181</definedName>
    <definedName name="Categoria_Hacienda" localSheetId="4">Produccion_Ganadera[Categoría]</definedName>
    <definedName name="Categoria_Hacienda">Produccion_Ganadera[Categoría]</definedName>
    <definedName name="Categorias_Hacienda_Lecheria" localSheetId="4">Produccion_Lecheria[Categoría]</definedName>
    <definedName name="Categorias_Hacienda_Lecheria">Produccion_Lecheria[Categoría]</definedName>
    <definedName name="Centro_Costo" localSheetId="4">Centros_Costo[Centros de Costos]</definedName>
    <definedName name="Centro_Costo">Centros_Costo[Centros de Costos]</definedName>
    <definedName name="COM_AGR_Cesion_Granos">'Com. Agrícola'!$B$25</definedName>
    <definedName name="COM_AGR_Ingreso_Cesion">'Com. Agrícola'!$B$15</definedName>
    <definedName name="COM_AGR_Resultado_USD">Económico!$F$71</definedName>
    <definedName name="COM_AGR_Stock_Cierre">'Com. Agrícola'!$B$94</definedName>
    <definedName name="COM_AGR_Stock_Inicio">'Com. Agrícola'!$B$5</definedName>
    <definedName name="COM_AGR_Ventas">'Com. Agrícola'!$B$35</definedName>
    <definedName name="Cuenta_Contable_FIDI" localSheetId="4">Cuentas_FIDI[Cuenta Contable]</definedName>
    <definedName name="Cuenta_Contable_FIDI">Cuentas_FIDI[Cuenta Contable]</definedName>
    <definedName name="Cuentas_Agricolas" localSheetId="4">Produccion_Agricola_Cuentas[Cuenta Contable]</definedName>
    <definedName name="Cuentas_Agricolas">Produccion_Agricola_Cuentas[Cuenta Contable]</definedName>
    <definedName name="Cuentas_Comerciales_Granos" localSheetId="4">Comercializacion_Granos_Cuentas[Cuenta Contable]</definedName>
    <definedName name="Cuentas_Comerciales_Granos">Comercializacion_Granos_Cuentas[Cuenta Contable]</definedName>
    <definedName name="Cuentas_Ganaderas" localSheetId="4">Produccion_Ganadera_Cuentas[Cuenta Contable]</definedName>
    <definedName name="Cuentas_Ganaderas">Produccion_Ganadera_Cuentas[Cuenta Contable]</definedName>
    <definedName name="Cuentas_Indirectos" localSheetId="4">Costos_Indirectos_Cuentas[Cuenta Contable]</definedName>
    <definedName name="Cuentas_Indirectos">Costos_Indirectos_Cuentas[Cuenta Contable]</definedName>
    <definedName name="Cuentas_Lecheria" localSheetId="4">Produccion_Lecheria_Cuentas[Cuenta Contable]</definedName>
    <definedName name="Cuentas_Lecheria">Produccion_Lecheria_Cuentas[Cuenta Contable]</definedName>
    <definedName name="F_I_D" localSheetId="4">#REF!</definedName>
    <definedName name="F_I_D">#REF!</definedName>
    <definedName name="Fecha_Inicio" localSheetId="4">Tabla37[Inicio Presupuesto]</definedName>
    <definedName name="Fecha_Inicio">Tabla37[Inicio Presupuesto]</definedName>
    <definedName name="FIN_A">Finanzas!$B$5</definedName>
    <definedName name="FIN_B">Finanzas!$B$13</definedName>
    <definedName name="FIN_C">Finanzas!$B$21</definedName>
    <definedName name="FIN_D">Finanzas!$B$29</definedName>
    <definedName name="FIN_E">Finanzas!$B$37</definedName>
    <definedName name="FIN_F">Finanzas!$B$54</definedName>
    <definedName name="FIN_Plan_Cuentas">Configuración!$CJ$3</definedName>
    <definedName name="GAN_Alimentacion">Ganadería!$B$251</definedName>
    <definedName name="GAN_Amortizaciones">Ganadería!$B$297</definedName>
    <definedName name="GAN_Arrendamientos">Ganadería!$B$283</definedName>
    <definedName name="GAN_Campos">Configuración!$AP$3</definedName>
    <definedName name="GAN_Cargas_Sociales">Ganadería!$B$169</definedName>
    <definedName name="GAN_Categorias_Hacienda">Configuración!$AZ$3</definedName>
    <definedName name="GAN_Compra_Hacienda">Ganadería!$B$30</definedName>
    <definedName name="GAN_Entrada_C.CAtegoria">Ganadería!$B$112</definedName>
    <definedName name="GAN_Gerenciamiento">Ganadería!$B$270</definedName>
    <definedName name="GAN_Manutención_Personal">Ganadería!$B$170</definedName>
    <definedName name="GAN_Muertes">Ganadería!$B$102</definedName>
    <definedName name="GAN_Nacimiento_Entrada" localSheetId="4">Ganadería!#REF!</definedName>
    <definedName name="GAN_Nacimiento_Entrada">Ganadería!#REF!</definedName>
    <definedName name="GAN_Nacimientos">Ganadería!$B$66</definedName>
    <definedName name="GAN_Personal">Ganadería!$B$168</definedName>
    <definedName name="GAN_Plan_Cuentas">Configuración!$AT$3</definedName>
    <definedName name="GAN_Salida_C.Categoria">Ganadería!$B$110</definedName>
    <definedName name="GAN_Sanidad">Ganadería!$B$241</definedName>
    <definedName name="GAN_Stock_Cierre">Ganadería!$B$143</definedName>
    <definedName name="GAN_Stock_Inicio">Ganadería!$B$5</definedName>
    <definedName name="GAN_Suplementacion">Ganadería!$B$259</definedName>
    <definedName name="GAN_Suplementación">Ganadería!$B$259</definedName>
    <definedName name="GAN_Tralado_Entrada">Ganadería!$B$50</definedName>
    <definedName name="GAN_Traslados_Salida">Ganadería!$B$58</definedName>
    <definedName name="GAN_Ventas">Ganadería!$B$74</definedName>
    <definedName name="IND_Actividades">Configuración!$CC$3</definedName>
    <definedName name="IND_Administracion">Indirectos!$B$34</definedName>
    <definedName name="IND_Dividendos">Indirectos!$B$111</definedName>
    <definedName name="IND_Estructura">Indirectos!$B$5</definedName>
    <definedName name="IND_Impuestos">Indirectos!$B$74</definedName>
    <definedName name="IND_Inversiones">Indirectos!$B$87</definedName>
    <definedName name="IND_Plan_Cuentas">Configuración!$CE$3</definedName>
    <definedName name="Indirectos_Cuentas" localSheetId="4">Costos_Indirectos_Cuentas[Cuenta Contable]</definedName>
    <definedName name="Indirectos_Cuentas">Costos_Indirectos_Cuentas[Cuenta Contable]</definedName>
    <definedName name="LCH_Alimentacion">Lechería!$B$248</definedName>
    <definedName name="LCH_Armotizacion">Lechería!$B$332</definedName>
    <definedName name="LCH_Arrendamiento">Lechería!$B$314</definedName>
    <definedName name="LCH_Campos">Configuración!$BC$3</definedName>
    <definedName name="LCH_CArgas">Lechería!$B$180</definedName>
    <definedName name="LCH_Categorias_Hacienda">Configuración!$BM$3</definedName>
    <definedName name="LCH_Compra_Hacienda">Lechería!$B$18</definedName>
    <definedName name="LCH_Datos_Tecnicos">Configuración!$BP$3</definedName>
    <definedName name="LCH_Entrada_C.Categoria">Lechería!$B$134</definedName>
    <definedName name="LCH_Gerenciameinto">Lechería!$B$299</definedName>
    <definedName name="LCH_Muertes">Lechería!$B$123</definedName>
    <definedName name="LCH_Nacimientos">Lechería!$B$47</definedName>
    <definedName name="LCH_Personal">Lechería!$B$179</definedName>
    <definedName name="LCH_Plan_Cuentas">Configuración!$BG$3</definedName>
    <definedName name="LCH_Salida_C.Categoria">Lechería!$B$132</definedName>
    <definedName name="LCH_Sanidad_Prod">Lechería!$B$219</definedName>
    <definedName name="LCH_Stock_Cierre">Lechería!$B$148</definedName>
    <definedName name="LCH_Stock_Inicio">Lechería!$B$5</definedName>
    <definedName name="LCH_Suplementacion">Lechería!$B$270</definedName>
    <definedName name="LCH_Traslado_Entrada">Lechería!$B$33</definedName>
    <definedName name="LCH_Traslado_Salida">Lechería!$B$40</definedName>
    <definedName name="LCH_Venta_Hacienda">Lechería!$B$72</definedName>
    <definedName name="LCH_Venta_Lecha">Lechería!$B$163</definedName>
    <definedName name="Lech_Sanidad_Honorarios">Lechería!$B$220</definedName>
    <definedName name="Movimiento" localSheetId="4">Tabla9[Movimientos]</definedName>
    <definedName name="Movimiento">Tabla9[Movimientos]</definedName>
    <definedName name="Otras" localSheetId="4">Tabla8111626[Unidades de Negocio]</definedName>
    <definedName name="Otras">Tabla8111626[Unidades de Negocio]</definedName>
    <definedName name="Otras_Actividades" localSheetId="4">Tabla8111626[Unidades de Negocio]</definedName>
    <definedName name="Otras_Actividades">Tabla8111626[Unidades de Negocio]</definedName>
    <definedName name="OTRAS_Cesiones_Inmobiliarias">'Otras Actividades'!$B$139</definedName>
    <definedName name="Otras_Cesiones_Maquinarias">'Otras Actividades'!$B$129</definedName>
    <definedName name="Otras_Costos_Inmobiliarios">'Otras Actividades'!$B$69</definedName>
    <definedName name="OTRAS_Costos_Maquinarias">'Otras Actividades'!$B$5</definedName>
    <definedName name="Otras_Cuentas" localSheetId="4">Otras_Actividades_Cuentas[Cuenta Contable]</definedName>
    <definedName name="Otras_Cuentas">Otras_Actividades_Cuentas[Cuenta Contable]</definedName>
    <definedName name="Otras_Ingresos_Inmobiliarios">'Otras Actividades'!$B$120</definedName>
    <definedName name="OTRAS_Ingresos_Maquinarias">'Otras Actividades'!$B$55</definedName>
    <definedName name="OTRAS_Plan_Cuentas">Configuración!$BY$3</definedName>
    <definedName name="OTRAS_Unidades">Configuración!$BW$3</definedName>
    <definedName name="Producto_Agricola" localSheetId="4">Tabla811[Producto]</definedName>
    <definedName name="Producto_Agricola">Tabla811[Producto]</definedName>
  </definedNames>
  <calcPr calcId="145621"/>
  <pivotCaches>
    <pivotCache cacheId="0" r:id="rId16"/>
    <pivotCache cacheId="1" r:id="rId17"/>
    <pivotCache cacheId="2" r:id="rId1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4" i="16" l="1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53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72" i="16"/>
  <c r="F73" i="16"/>
  <c r="F37" i="16"/>
  <c r="F33" i="16"/>
  <c r="F34" i="16"/>
  <c r="F35" i="16"/>
  <c r="F36" i="16"/>
  <c r="F25" i="16"/>
  <c r="F26" i="16"/>
  <c r="F27" i="16"/>
  <c r="F28" i="16"/>
  <c r="F17" i="16"/>
  <c r="F18" i="16"/>
  <c r="F19" i="16"/>
  <c r="F20" i="16"/>
  <c r="F8" i="16"/>
  <c r="F9" i="16"/>
  <c r="F10" i="16"/>
  <c r="F11" i="16"/>
  <c r="F12" i="16"/>
  <c r="I8" i="10"/>
  <c r="G51" i="10"/>
  <c r="E76" i="1" l="1"/>
  <c r="B655" i="1"/>
  <c r="B601" i="1"/>
  <c r="B547" i="1"/>
  <c r="B493" i="1"/>
  <c r="B439" i="1"/>
  <c r="B385" i="1"/>
  <c r="B331" i="1"/>
  <c r="B277" i="1"/>
  <c r="B223" i="1"/>
  <c r="B206" i="1"/>
  <c r="B169" i="1"/>
  <c r="B129" i="1"/>
  <c r="B9" i="1"/>
  <c r="B49" i="1"/>
  <c r="B89" i="1"/>
  <c r="F651" i="1"/>
  <c r="F598" i="1"/>
  <c r="G598" i="1"/>
  <c r="H598" i="1"/>
  <c r="F599" i="1"/>
  <c r="G599" i="1"/>
  <c r="H599" i="1"/>
  <c r="F600" i="1"/>
  <c r="G600" i="1"/>
  <c r="H600" i="1"/>
  <c r="F601" i="1"/>
  <c r="G601" i="1"/>
  <c r="H601" i="1"/>
  <c r="F602" i="1"/>
  <c r="G602" i="1"/>
  <c r="H602" i="1"/>
  <c r="F603" i="1"/>
  <c r="G603" i="1"/>
  <c r="H603" i="1"/>
  <c r="F604" i="1"/>
  <c r="G604" i="1"/>
  <c r="H604" i="1"/>
  <c r="F605" i="1"/>
  <c r="G605" i="1"/>
  <c r="H605" i="1"/>
  <c r="F606" i="1"/>
  <c r="G606" i="1"/>
  <c r="H606" i="1"/>
  <c r="F607" i="1"/>
  <c r="G607" i="1"/>
  <c r="H607" i="1"/>
  <c r="F608" i="1"/>
  <c r="G608" i="1"/>
  <c r="H608" i="1"/>
  <c r="F609" i="1"/>
  <c r="G609" i="1"/>
  <c r="H609" i="1"/>
  <c r="F610" i="1"/>
  <c r="G610" i="1"/>
  <c r="H610" i="1"/>
  <c r="F611" i="1"/>
  <c r="G611" i="1"/>
  <c r="H611" i="1"/>
  <c r="F612" i="1"/>
  <c r="G612" i="1"/>
  <c r="H612" i="1"/>
  <c r="F613" i="1"/>
  <c r="G613" i="1"/>
  <c r="H613" i="1"/>
  <c r="F614" i="1"/>
  <c r="G614" i="1"/>
  <c r="H614" i="1"/>
  <c r="F615" i="1"/>
  <c r="G615" i="1"/>
  <c r="H615" i="1"/>
  <c r="F616" i="1"/>
  <c r="G616" i="1"/>
  <c r="H616" i="1"/>
  <c r="F617" i="1"/>
  <c r="G617" i="1"/>
  <c r="H617" i="1"/>
  <c r="F618" i="1"/>
  <c r="G618" i="1"/>
  <c r="H618" i="1"/>
  <c r="F619" i="1"/>
  <c r="G619" i="1"/>
  <c r="H619" i="1"/>
  <c r="F620" i="1"/>
  <c r="G620" i="1"/>
  <c r="H620" i="1"/>
  <c r="F621" i="1"/>
  <c r="G621" i="1"/>
  <c r="H621" i="1"/>
  <c r="F622" i="1"/>
  <c r="G622" i="1"/>
  <c r="H622" i="1"/>
  <c r="F623" i="1"/>
  <c r="G623" i="1"/>
  <c r="H623" i="1"/>
  <c r="F624" i="1"/>
  <c r="G624" i="1"/>
  <c r="H624" i="1"/>
  <c r="F625" i="1"/>
  <c r="G625" i="1"/>
  <c r="H625" i="1"/>
  <c r="F626" i="1"/>
  <c r="G626" i="1"/>
  <c r="H626" i="1"/>
  <c r="F627" i="1"/>
  <c r="G627" i="1"/>
  <c r="H627" i="1"/>
  <c r="F628" i="1"/>
  <c r="G628" i="1"/>
  <c r="H628" i="1"/>
  <c r="F629" i="1"/>
  <c r="G629" i="1"/>
  <c r="H629" i="1"/>
  <c r="F630" i="1"/>
  <c r="G630" i="1"/>
  <c r="H630" i="1"/>
  <c r="F631" i="1"/>
  <c r="G631" i="1"/>
  <c r="H631" i="1"/>
  <c r="F632" i="1"/>
  <c r="G632" i="1"/>
  <c r="H632" i="1"/>
  <c r="F633" i="1"/>
  <c r="G633" i="1"/>
  <c r="H633" i="1"/>
  <c r="F634" i="1"/>
  <c r="G634" i="1"/>
  <c r="H634" i="1"/>
  <c r="F635" i="1"/>
  <c r="G635" i="1"/>
  <c r="H635" i="1"/>
  <c r="F636" i="1"/>
  <c r="G636" i="1"/>
  <c r="H636" i="1"/>
  <c r="F637" i="1"/>
  <c r="G637" i="1"/>
  <c r="H637" i="1"/>
  <c r="F638" i="1"/>
  <c r="G638" i="1"/>
  <c r="H638" i="1"/>
  <c r="F639" i="1"/>
  <c r="G639" i="1"/>
  <c r="H639" i="1"/>
  <c r="F640" i="1"/>
  <c r="G640" i="1"/>
  <c r="H640" i="1"/>
  <c r="F641" i="1"/>
  <c r="G641" i="1"/>
  <c r="H641" i="1"/>
  <c r="F642" i="1"/>
  <c r="G642" i="1"/>
  <c r="H642" i="1"/>
  <c r="F643" i="1"/>
  <c r="G643" i="1"/>
  <c r="H643" i="1"/>
  <c r="F644" i="1"/>
  <c r="G644" i="1"/>
  <c r="H644" i="1"/>
  <c r="F645" i="1"/>
  <c r="G645" i="1"/>
  <c r="H645" i="1"/>
  <c r="F646" i="1"/>
  <c r="G646" i="1"/>
  <c r="H646" i="1"/>
  <c r="F647" i="1"/>
  <c r="G647" i="1"/>
  <c r="H647" i="1"/>
  <c r="F648" i="1"/>
  <c r="G648" i="1"/>
  <c r="H648" i="1"/>
  <c r="F649" i="1"/>
  <c r="G649" i="1"/>
  <c r="H649" i="1"/>
  <c r="F650" i="1"/>
  <c r="G650" i="1"/>
  <c r="H650" i="1"/>
  <c r="H597" i="1"/>
  <c r="G597" i="1"/>
  <c r="F597" i="1"/>
  <c r="F544" i="1"/>
  <c r="G544" i="1"/>
  <c r="H544" i="1"/>
  <c r="F545" i="1"/>
  <c r="G545" i="1"/>
  <c r="H545" i="1"/>
  <c r="F546" i="1"/>
  <c r="G546" i="1"/>
  <c r="H546" i="1"/>
  <c r="F547" i="1"/>
  <c r="G547" i="1"/>
  <c r="H547" i="1"/>
  <c r="F548" i="1"/>
  <c r="G548" i="1"/>
  <c r="H548" i="1"/>
  <c r="F549" i="1"/>
  <c r="G549" i="1"/>
  <c r="H549" i="1"/>
  <c r="F550" i="1"/>
  <c r="G550" i="1"/>
  <c r="H550" i="1"/>
  <c r="F551" i="1"/>
  <c r="G551" i="1"/>
  <c r="H551" i="1"/>
  <c r="F552" i="1"/>
  <c r="G552" i="1"/>
  <c r="H552" i="1"/>
  <c r="F553" i="1"/>
  <c r="G553" i="1"/>
  <c r="H553" i="1"/>
  <c r="F554" i="1"/>
  <c r="G554" i="1"/>
  <c r="H554" i="1"/>
  <c r="F555" i="1"/>
  <c r="G555" i="1"/>
  <c r="H555" i="1"/>
  <c r="F556" i="1"/>
  <c r="G556" i="1"/>
  <c r="H556" i="1"/>
  <c r="F557" i="1"/>
  <c r="G557" i="1"/>
  <c r="H557" i="1"/>
  <c r="F558" i="1"/>
  <c r="G558" i="1"/>
  <c r="H558" i="1"/>
  <c r="F559" i="1"/>
  <c r="G559" i="1"/>
  <c r="H559" i="1"/>
  <c r="F560" i="1"/>
  <c r="G560" i="1"/>
  <c r="H560" i="1"/>
  <c r="F561" i="1"/>
  <c r="G561" i="1"/>
  <c r="H561" i="1"/>
  <c r="F562" i="1"/>
  <c r="G562" i="1"/>
  <c r="H562" i="1"/>
  <c r="F563" i="1"/>
  <c r="G563" i="1"/>
  <c r="H563" i="1"/>
  <c r="F564" i="1"/>
  <c r="G564" i="1"/>
  <c r="H564" i="1"/>
  <c r="F565" i="1"/>
  <c r="G565" i="1"/>
  <c r="H565" i="1"/>
  <c r="F566" i="1"/>
  <c r="G566" i="1"/>
  <c r="H566" i="1"/>
  <c r="F567" i="1"/>
  <c r="G567" i="1"/>
  <c r="H567" i="1"/>
  <c r="F568" i="1"/>
  <c r="G568" i="1"/>
  <c r="H568" i="1"/>
  <c r="F569" i="1"/>
  <c r="G569" i="1"/>
  <c r="H569" i="1"/>
  <c r="F570" i="1"/>
  <c r="G570" i="1"/>
  <c r="H570" i="1"/>
  <c r="F571" i="1"/>
  <c r="G571" i="1"/>
  <c r="H571" i="1"/>
  <c r="F572" i="1"/>
  <c r="G572" i="1"/>
  <c r="H572" i="1"/>
  <c r="F573" i="1"/>
  <c r="G573" i="1"/>
  <c r="H573" i="1"/>
  <c r="F574" i="1"/>
  <c r="G574" i="1"/>
  <c r="H574" i="1"/>
  <c r="F575" i="1"/>
  <c r="G575" i="1"/>
  <c r="H575" i="1"/>
  <c r="F576" i="1"/>
  <c r="G576" i="1"/>
  <c r="H576" i="1"/>
  <c r="F577" i="1"/>
  <c r="G577" i="1"/>
  <c r="H577" i="1"/>
  <c r="F578" i="1"/>
  <c r="G578" i="1"/>
  <c r="H578" i="1"/>
  <c r="F579" i="1"/>
  <c r="G579" i="1"/>
  <c r="H579" i="1"/>
  <c r="F580" i="1"/>
  <c r="G580" i="1"/>
  <c r="H580" i="1"/>
  <c r="F581" i="1"/>
  <c r="G581" i="1"/>
  <c r="H581" i="1"/>
  <c r="F582" i="1"/>
  <c r="G582" i="1"/>
  <c r="H582" i="1"/>
  <c r="F583" i="1"/>
  <c r="G583" i="1"/>
  <c r="H583" i="1"/>
  <c r="F584" i="1"/>
  <c r="G584" i="1"/>
  <c r="H584" i="1"/>
  <c r="F585" i="1"/>
  <c r="G585" i="1"/>
  <c r="H585" i="1"/>
  <c r="F586" i="1"/>
  <c r="G586" i="1"/>
  <c r="H586" i="1"/>
  <c r="F587" i="1"/>
  <c r="G587" i="1"/>
  <c r="H587" i="1"/>
  <c r="F588" i="1"/>
  <c r="G588" i="1"/>
  <c r="H588" i="1"/>
  <c r="F589" i="1"/>
  <c r="G589" i="1"/>
  <c r="H589" i="1"/>
  <c r="F590" i="1"/>
  <c r="G590" i="1"/>
  <c r="H590" i="1"/>
  <c r="F591" i="1"/>
  <c r="G591" i="1"/>
  <c r="H591" i="1"/>
  <c r="F592" i="1"/>
  <c r="G592" i="1"/>
  <c r="H592" i="1"/>
  <c r="F593" i="1"/>
  <c r="G593" i="1"/>
  <c r="H593" i="1"/>
  <c r="F594" i="1"/>
  <c r="G594" i="1"/>
  <c r="H594" i="1"/>
  <c r="F595" i="1"/>
  <c r="G595" i="1"/>
  <c r="H595" i="1"/>
  <c r="F596" i="1"/>
  <c r="G596" i="1"/>
  <c r="H596" i="1"/>
  <c r="H543" i="1"/>
  <c r="G543" i="1"/>
  <c r="F543" i="1"/>
  <c r="F490" i="1"/>
  <c r="G490" i="1"/>
  <c r="H490" i="1"/>
  <c r="F491" i="1"/>
  <c r="G491" i="1"/>
  <c r="H491" i="1"/>
  <c r="F492" i="1"/>
  <c r="G492" i="1"/>
  <c r="H492" i="1"/>
  <c r="F493" i="1"/>
  <c r="G493" i="1"/>
  <c r="H493" i="1"/>
  <c r="F494" i="1"/>
  <c r="G494" i="1"/>
  <c r="H494" i="1"/>
  <c r="F495" i="1"/>
  <c r="G495" i="1"/>
  <c r="H495" i="1"/>
  <c r="F496" i="1"/>
  <c r="G496" i="1"/>
  <c r="H496" i="1"/>
  <c r="F497" i="1"/>
  <c r="G497" i="1"/>
  <c r="H497" i="1"/>
  <c r="F498" i="1"/>
  <c r="G498" i="1"/>
  <c r="H498" i="1"/>
  <c r="F499" i="1"/>
  <c r="G499" i="1"/>
  <c r="H499" i="1"/>
  <c r="F500" i="1"/>
  <c r="G500" i="1"/>
  <c r="H500" i="1"/>
  <c r="F501" i="1"/>
  <c r="G501" i="1"/>
  <c r="H501" i="1"/>
  <c r="F502" i="1"/>
  <c r="G502" i="1"/>
  <c r="H502" i="1"/>
  <c r="F503" i="1"/>
  <c r="G503" i="1"/>
  <c r="H503" i="1"/>
  <c r="F504" i="1"/>
  <c r="G504" i="1"/>
  <c r="H504" i="1"/>
  <c r="F505" i="1"/>
  <c r="G505" i="1"/>
  <c r="H505" i="1"/>
  <c r="F506" i="1"/>
  <c r="G506" i="1"/>
  <c r="H506" i="1"/>
  <c r="F507" i="1"/>
  <c r="G507" i="1"/>
  <c r="H507" i="1"/>
  <c r="F508" i="1"/>
  <c r="G508" i="1"/>
  <c r="H508" i="1"/>
  <c r="F509" i="1"/>
  <c r="G509" i="1"/>
  <c r="H509" i="1"/>
  <c r="F510" i="1"/>
  <c r="G510" i="1"/>
  <c r="H510" i="1"/>
  <c r="F511" i="1"/>
  <c r="G511" i="1"/>
  <c r="H511" i="1"/>
  <c r="F512" i="1"/>
  <c r="G512" i="1"/>
  <c r="H512" i="1"/>
  <c r="F513" i="1"/>
  <c r="G513" i="1"/>
  <c r="H513" i="1"/>
  <c r="F514" i="1"/>
  <c r="G514" i="1"/>
  <c r="H514" i="1"/>
  <c r="F515" i="1"/>
  <c r="G515" i="1"/>
  <c r="H515" i="1"/>
  <c r="F516" i="1"/>
  <c r="G516" i="1"/>
  <c r="H516" i="1"/>
  <c r="F517" i="1"/>
  <c r="G517" i="1"/>
  <c r="H517" i="1"/>
  <c r="F518" i="1"/>
  <c r="G518" i="1"/>
  <c r="H518" i="1"/>
  <c r="F519" i="1"/>
  <c r="G519" i="1"/>
  <c r="H519" i="1"/>
  <c r="F520" i="1"/>
  <c r="G520" i="1"/>
  <c r="H520" i="1"/>
  <c r="F521" i="1"/>
  <c r="G521" i="1"/>
  <c r="H521" i="1"/>
  <c r="F522" i="1"/>
  <c r="G522" i="1"/>
  <c r="H522" i="1"/>
  <c r="F523" i="1"/>
  <c r="G523" i="1"/>
  <c r="H523" i="1"/>
  <c r="F524" i="1"/>
  <c r="G524" i="1"/>
  <c r="H524" i="1"/>
  <c r="F525" i="1"/>
  <c r="G525" i="1"/>
  <c r="H525" i="1"/>
  <c r="F526" i="1"/>
  <c r="G526" i="1"/>
  <c r="H526" i="1"/>
  <c r="F527" i="1"/>
  <c r="G527" i="1"/>
  <c r="H527" i="1"/>
  <c r="F528" i="1"/>
  <c r="G528" i="1"/>
  <c r="H528" i="1"/>
  <c r="F529" i="1"/>
  <c r="G529" i="1"/>
  <c r="H529" i="1"/>
  <c r="F530" i="1"/>
  <c r="G530" i="1"/>
  <c r="H530" i="1"/>
  <c r="F531" i="1"/>
  <c r="G531" i="1"/>
  <c r="H531" i="1"/>
  <c r="F532" i="1"/>
  <c r="G532" i="1"/>
  <c r="H532" i="1"/>
  <c r="F533" i="1"/>
  <c r="G533" i="1"/>
  <c r="H533" i="1"/>
  <c r="F534" i="1"/>
  <c r="G534" i="1"/>
  <c r="H534" i="1"/>
  <c r="F535" i="1"/>
  <c r="G535" i="1"/>
  <c r="H535" i="1"/>
  <c r="F536" i="1"/>
  <c r="G536" i="1"/>
  <c r="H536" i="1"/>
  <c r="F537" i="1"/>
  <c r="G537" i="1"/>
  <c r="H537" i="1"/>
  <c r="F538" i="1"/>
  <c r="G538" i="1"/>
  <c r="H538" i="1"/>
  <c r="F539" i="1"/>
  <c r="G539" i="1"/>
  <c r="H539" i="1"/>
  <c r="F540" i="1"/>
  <c r="G540" i="1"/>
  <c r="H540" i="1"/>
  <c r="F541" i="1"/>
  <c r="G541" i="1"/>
  <c r="H541" i="1"/>
  <c r="F542" i="1"/>
  <c r="G542" i="1"/>
  <c r="H542" i="1"/>
  <c r="I491" i="1"/>
  <c r="I493" i="1"/>
  <c r="I495" i="1"/>
  <c r="I497" i="1"/>
  <c r="I499" i="1"/>
  <c r="I501" i="1"/>
  <c r="I503" i="1"/>
  <c r="I505" i="1"/>
  <c r="I507" i="1"/>
  <c r="I509" i="1"/>
  <c r="I511" i="1"/>
  <c r="I513" i="1"/>
  <c r="I515" i="1"/>
  <c r="I517" i="1"/>
  <c r="I519" i="1"/>
  <c r="I521" i="1"/>
  <c r="I523" i="1"/>
  <c r="I525" i="1"/>
  <c r="I527" i="1"/>
  <c r="I529" i="1"/>
  <c r="I531" i="1"/>
  <c r="I533" i="1"/>
  <c r="I535" i="1"/>
  <c r="I537" i="1"/>
  <c r="I539" i="1"/>
  <c r="I541" i="1"/>
  <c r="H489" i="1"/>
  <c r="G489" i="1"/>
  <c r="F489" i="1"/>
  <c r="F436" i="1"/>
  <c r="G436" i="1"/>
  <c r="H436" i="1"/>
  <c r="F437" i="1"/>
  <c r="G437" i="1"/>
  <c r="H437" i="1"/>
  <c r="F438" i="1"/>
  <c r="G438" i="1"/>
  <c r="H438" i="1"/>
  <c r="F439" i="1"/>
  <c r="G439" i="1"/>
  <c r="H439" i="1"/>
  <c r="F440" i="1"/>
  <c r="G440" i="1"/>
  <c r="H440" i="1"/>
  <c r="F441" i="1"/>
  <c r="G441" i="1"/>
  <c r="H441" i="1"/>
  <c r="F442" i="1"/>
  <c r="G442" i="1"/>
  <c r="H442" i="1"/>
  <c r="F443" i="1"/>
  <c r="G443" i="1"/>
  <c r="H443" i="1"/>
  <c r="F444" i="1"/>
  <c r="G444" i="1"/>
  <c r="H444" i="1"/>
  <c r="F445" i="1"/>
  <c r="G445" i="1"/>
  <c r="H445" i="1"/>
  <c r="F446" i="1"/>
  <c r="G446" i="1"/>
  <c r="H446" i="1"/>
  <c r="F447" i="1"/>
  <c r="G447" i="1"/>
  <c r="H447" i="1"/>
  <c r="F448" i="1"/>
  <c r="G448" i="1"/>
  <c r="H448" i="1"/>
  <c r="F449" i="1"/>
  <c r="G449" i="1"/>
  <c r="H449" i="1"/>
  <c r="F450" i="1"/>
  <c r="G450" i="1"/>
  <c r="H450" i="1"/>
  <c r="F451" i="1"/>
  <c r="G451" i="1"/>
  <c r="H451" i="1"/>
  <c r="F452" i="1"/>
  <c r="G452" i="1"/>
  <c r="H452" i="1"/>
  <c r="F453" i="1"/>
  <c r="G453" i="1"/>
  <c r="H453" i="1"/>
  <c r="F454" i="1"/>
  <c r="G454" i="1"/>
  <c r="H454" i="1"/>
  <c r="F455" i="1"/>
  <c r="G455" i="1"/>
  <c r="H455" i="1"/>
  <c r="F456" i="1"/>
  <c r="G456" i="1"/>
  <c r="H456" i="1"/>
  <c r="F457" i="1"/>
  <c r="G457" i="1"/>
  <c r="H457" i="1"/>
  <c r="F458" i="1"/>
  <c r="G458" i="1"/>
  <c r="H458" i="1"/>
  <c r="F459" i="1"/>
  <c r="G459" i="1"/>
  <c r="H459" i="1"/>
  <c r="F460" i="1"/>
  <c r="G460" i="1"/>
  <c r="H460" i="1"/>
  <c r="F461" i="1"/>
  <c r="G461" i="1"/>
  <c r="H461" i="1"/>
  <c r="F462" i="1"/>
  <c r="G462" i="1"/>
  <c r="H462" i="1"/>
  <c r="F463" i="1"/>
  <c r="G463" i="1"/>
  <c r="H463" i="1"/>
  <c r="F464" i="1"/>
  <c r="G464" i="1"/>
  <c r="H464" i="1"/>
  <c r="F465" i="1"/>
  <c r="G465" i="1"/>
  <c r="H465" i="1"/>
  <c r="F466" i="1"/>
  <c r="G466" i="1"/>
  <c r="H466" i="1"/>
  <c r="F467" i="1"/>
  <c r="G467" i="1"/>
  <c r="H467" i="1"/>
  <c r="F468" i="1"/>
  <c r="G468" i="1"/>
  <c r="H468" i="1"/>
  <c r="F469" i="1"/>
  <c r="G469" i="1"/>
  <c r="H469" i="1"/>
  <c r="F470" i="1"/>
  <c r="G470" i="1"/>
  <c r="H470" i="1"/>
  <c r="F471" i="1"/>
  <c r="G471" i="1"/>
  <c r="H471" i="1"/>
  <c r="F472" i="1"/>
  <c r="G472" i="1"/>
  <c r="H472" i="1"/>
  <c r="F473" i="1"/>
  <c r="G473" i="1"/>
  <c r="H473" i="1"/>
  <c r="F474" i="1"/>
  <c r="G474" i="1"/>
  <c r="H474" i="1"/>
  <c r="F475" i="1"/>
  <c r="G475" i="1"/>
  <c r="H475" i="1"/>
  <c r="F476" i="1"/>
  <c r="G476" i="1"/>
  <c r="H476" i="1"/>
  <c r="F477" i="1"/>
  <c r="G477" i="1"/>
  <c r="H477" i="1"/>
  <c r="F478" i="1"/>
  <c r="G478" i="1"/>
  <c r="H478" i="1"/>
  <c r="F479" i="1"/>
  <c r="G479" i="1"/>
  <c r="H479" i="1"/>
  <c r="F480" i="1"/>
  <c r="G480" i="1"/>
  <c r="H480" i="1"/>
  <c r="F481" i="1"/>
  <c r="G481" i="1"/>
  <c r="H481" i="1"/>
  <c r="F482" i="1"/>
  <c r="G482" i="1"/>
  <c r="H482" i="1"/>
  <c r="F483" i="1"/>
  <c r="G483" i="1"/>
  <c r="H483" i="1"/>
  <c r="F484" i="1"/>
  <c r="G484" i="1"/>
  <c r="H484" i="1"/>
  <c r="F485" i="1"/>
  <c r="G485" i="1"/>
  <c r="H485" i="1"/>
  <c r="F486" i="1"/>
  <c r="G486" i="1"/>
  <c r="H486" i="1"/>
  <c r="F487" i="1"/>
  <c r="G487" i="1"/>
  <c r="H487" i="1"/>
  <c r="F488" i="1"/>
  <c r="G488" i="1"/>
  <c r="H488" i="1"/>
  <c r="H435" i="1"/>
  <c r="G435" i="1"/>
  <c r="F435" i="1"/>
  <c r="F382" i="1"/>
  <c r="G382" i="1"/>
  <c r="J382" i="1" s="1"/>
  <c r="O382" i="1" s="1"/>
  <c r="H382" i="1"/>
  <c r="F383" i="1"/>
  <c r="G383" i="1"/>
  <c r="H383" i="1"/>
  <c r="F384" i="1"/>
  <c r="G384" i="1"/>
  <c r="J384" i="1" s="1"/>
  <c r="O384" i="1" s="1"/>
  <c r="H384" i="1"/>
  <c r="F385" i="1"/>
  <c r="G385" i="1"/>
  <c r="H385" i="1"/>
  <c r="F386" i="1"/>
  <c r="G386" i="1"/>
  <c r="J386" i="1" s="1"/>
  <c r="O386" i="1" s="1"/>
  <c r="H386" i="1"/>
  <c r="F387" i="1"/>
  <c r="G387" i="1"/>
  <c r="H387" i="1"/>
  <c r="F388" i="1"/>
  <c r="G388" i="1"/>
  <c r="J388" i="1" s="1"/>
  <c r="O388" i="1" s="1"/>
  <c r="H388" i="1"/>
  <c r="F389" i="1"/>
  <c r="G389" i="1"/>
  <c r="H389" i="1"/>
  <c r="F390" i="1"/>
  <c r="G390" i="1"/>
  <c r="J390" i="1" s="1"/>
  <c r="O390" i="1" s="1"/>
  <c r="H390" i="1"/>
  <c r="F391" i="1"/>
  <c r="G391" i="1"/>
  <c r="H391" i="1"/>
  <c r="F392" i="1"/>
  <c r="G392" i="1"/>
  <c r="J392" i="1" s="1"/>
  <c r="O392" i="1" s="1"/>
  <c r="H392" i="1"/>
  <c r="F393" i="1"/>
  <c r="G393" i="1"/>
  <c r="H393" i="1"/>
  <c r="F394" i="1"/>
  <c r="G394" i="1"/>
  <c r="J394" i="1" s="1"/>
  <c r="O394" i="1" s="1"/>
  <c r="H394" i="1"/>
  <c r="F395" i="1"/>
  <c r="G395" i="1"/>
  <c r="H395" i="1"/>
  <c r="F396" i="1"/>
  <c r="G396" i="1"/>
  <c r="J396" i="1" s="1"/>
  <c r="O396" i="1" s="1"/>
  <c r="H396" i="1"/>
  <c r="F397" i="1"/>
  <c r="G397" i="1"/>
  <c r="H397" i="1"/>
  <c r="I397" i="1" s="1"/>
  <c r="F398" i="1"/>
  <c r="G398" i="1"/>
  <c r="J398" i="1" s="1"/>
  <c r="O398" i="1" s="1"/>
  <c r="H398" i="1"/>
  <c r="F399" i="1"/>
  <c r="G399" i="1"/>
  <c r="H399" i="1"/>
  <c r="I399" i="1" s="1"/>
  <c r="F400" i="1"/>
  <c r="G400" i="1"/>
  <c r="J400" i="1" s="1"/>
  <c r="O400" i="1" s="1"/>
  <c r="H400" i="1"/>
  <c r="F401" i="1"/>
  <c r="G401" i="1"/>
  <c r="H401" i="1"/>
  <c r="I401" i="1" s="1"/>
  <c r="F402" i="1"/>
  <c r="G402" i="1"/>
  <c r="J402" i="1" s="1"/>
  <c r="O402" i="1" s="1"/>
  <c r="H402" i="1"/>
  <c r="F403" i="1"/>
  <c r="G403" i="1"/>
  <c r="H403" i="1"/>
  <c r="I403" i="1" s="1"/>
  <c r="F404" i="1"/>
  <c r="G404" i="1"/>
  <c r="J404" i="1" s="1"/>
  <c r="O404" i="1" s="1"/>
  <c r="H404" i="1"/>
  <c r="F405" i="1"/>
  <c r="G405" i="1"/>
  <c r="H405" i="1"/>
  <c r="I405" i="1" s="1"/>
  <c r="F406" i="1"/>
  <c r="G406" i="1"/>
  <c r="J406" i="1" s="1"/>
  <c r="O406" i="1" s="1"/>
  <c r="H406" i="1"/>
  <c r="F407" i="1"/>
  <c r="G407" i="1"/>
  <c r="H407" i="1"/>
  <c r="I407" i="1" s="1"/>
  <c r="F408" i="1"/>
  <c r="G408" i="1"/>
  <c r="J408" i="1" s="1"/>
  <c r="O408" i="1" s="1"/>
  <c r="H408" i="1"/>
  <c r="F409" i="1"/>
  <c r="G409" i="1"/>
  <c r="H409" i="1"/>
  <c r="I409" i="1" s="1"/>
  <c r="F410" i="1"/>
  <c r="G410" i="1"/>
  <c r="J410" i="1" s="1"/>
  <c r="O410" i="1" s="1"/>
  <c r="H410" i="1"/>
  <c r="F411" i="1"/>
  <c r="G411" i="1"/>
  <c r="H411" i="1"/>
  <c r="I411" i="1" s="1"/>
  <c r="F412" i="1"/>
  <c r="G412" i="1"/>
  <c r="J412" i="1" s="1"/>
  <c r="O412" i="1" s="1"/>
  <c r="H412" i="1"/>
  <c r="F413" i="1"/>
  <c r="G413" i="1"/>
  <c r="H413" i="1"/>
  <c r="I413" i="1" s="1"/>
  <c r="F414" i="1"/>
  <c r="G414" i="1"/>
  <c r="J414" i="1" s="1"/>
  <c r="O414" i="1" s="1"/>
  <c r="H414" i="1"/>
  <c r="F415" i="1"/>
  <c r="G415" i="1"/>
  <c r="H415" i="1"/>
  <c r="I415" i="1" s="1"/>
  <c r="F416" i="1"/>
  <c r="G416" i="1"/>
  <c r="J416" i="1" s="1"/>
  <c r="O416" i="1" s="1"/>
  <c r="H416" i="1"/>
  <c r="F417" i="1"/>
  <c r="G417" i="1"/>
  <c r="H417" i="1"/>
  <c r="I417" i="1" s="1"/>
  <c r="F418" i="1"/>
  <c r="G418" i="1"/>
  <c r="J418" i="1" s="1"/>
  <c r="O418" i="1" s="1"/>
  <c r="H418" i="1"/>
  <c r="F419" i="1"/>
  <c r="G419" i="1"/>
  <c r="H419" i="1"/>
  <c r="I419" i="1" s="1"/>
  <c r="F420" i="1"/>
  <c r="G420" i="1"/>
  <c r="J420" i="1" s="1"/>
  <c r="O420" i="1" s="1"/>
  <c r="H420" i="1"/>
  <c r="F421" i="1"/>
  <c r="G421" i="1"/>
  <c r="H421" i="1"/>
  <c r="I421" i="1" s="1"/>
  <c r="F422" i="1"/>
  <c r="G422" i="1"/>
  <c r="J422" i="1" s="1"/>
  <c r="O422" i="1" s="1"/>
  <c r="H422" i="1"/>
  <c r="F423" i="1"/>
  <c r="G423" i="1"/>
  <c r="H423" i="1"/>
  <c r="I423" i="1" s="1"/>
  <c r="F424" i="1"/>
  <c r="G424" i="1"/>
  <c r="J424" i="1" s="1"/>
  <c r="O424" i="1" s="1"/>
  <c r="H424" i="1"/>
  <c r="F425" i="1"/>
  <c r="G425" i="1"/>
  <c r="H425" i="1"/>
  <c r="I425" i="1" s="1"/>
  <c r="F426" i="1"/>
  <c r="G426" i="1"/>
  <c r="J426" i="1" s="1"/>
  <c r="O426" i="1" s="1"/>
  <c r="H426" i="1"/>
  <c r="F427" i="1"/>
  <c r="G427" i="1"/>
  <c r="H427" i="1"/>
  <c r="I427" i="1" s="1"/>
  <c r="F428" i="1"/>
  <c r="G428" i="1"/>
  <c r="J428" i="1" s="1"/>
  <c r="O428" i="1" s="1"/>
  <c r="H428" i="1"/>
  <c r="F429" i="1"/>
  <c r="G429" i="1"/>
  <c r="H429" i="1"/>
  <c r="I429" i="1" s="1"/>
  <c r="F430" i="1"/>
  <c r="G430" i="1"/>
  <c r="J430" i="1" s="1"/>
  <c r="O430" i="1" s="1"/>
  <c r="H430" i="1"/>
  <c r="F431" i="1"/>
  <c r="G431" i="1"/>
  <c r="H431" i="1"/>
  <c r="I431" i="1" s="1"/>
  <c r="F432" i="1"/>
  <c r="G432" i="1"/>
  <c r="J432" i="1" s="1"/>
  <c r="O432" i="1" s="1"/>
  <c r="H432" i="1"/>
  <c r="F433" i="1"/>
  <c r="G433" i="1"/>
  <c r="H433" i="1"/>
  <c r="I433" i="1" s="1"/>
  <c r="F434" i="1"/>
  <c r="G434" i="1"/>
  <c r="J434" i="1" s="1"/>
  <c r="O434" i="1" s="1"/>
  <c r="H434" i="1"/>
  <c r="H381" i="1"/>
  <c r="I381" i="1" s="1"/>
  <c r="G381" i="1"/>
  <c r="F381" i="1"/>
  <c r="F328" i="1"/>
  <c r="G328" i="1"/>
  <c r="H328" i="1"/>
  <c r="F329" i="1"/>
  <c r="G329" i="1"/>
  <c r="H329" i="1"/>
  <c r="F330" i="1"/>
  <c r="G330" i="1"/>
  <c r="H330" i="1"/>
  <c r="F331" i="1"/>
  <c r="G331" i="1"/>
  <c r="H331" i="1"/>
  <c r="F332" i="1"/>
  <c r="G332" i="1"/>
  <c r="H332" i="1"/>
  <c r="F333" i="1"/>
  <c r="G333" i="1"/>
  <c r="H333" i="1"/>
  <c r="F334" i="1"/>
  <c r="G334" i="1"/>
  <c r="H334" i="1"/>
  <c r="F335" i="1"/>
  <c r="G335" i="1"/>
  <c r="H335" i="1"/>
  <c r="F336" i="1"/>
  <c r="G336" i="1"/>
  <c r="H336" i="1"/>
  <c r="F337" i="1"/>
  <c r="G337" i="1"/>
  <c r="H337" i="1"/>
  <c r="F338" i="1"/>
  <c r="G338" i="1"/>
  <c r="H338" i="1"/>
  <c r="F339" i="1"/>
  <c r="G339" i="1"/>
  <c r="H339" i="1"/>
  <c r="F340" i="1"/>
  <c r="G340" i="1"/>
  <c r="H340" i="1"/>
  <c r="F341" i="1"/>
  <c r="G341" i="1"/>
  <c r="H341" i="1"/>
  <c r="F342" i="1"/>
  <c r="G342" i="1"/>
  <c r="H342" i="1"/>
  <c r="F343" i="1"/>
  <c r="G343" i="1"/>
  <c r="H343" i="1"/>
  <c r="F344" i="1"/>
  <c r="G344" i="1"/>
  <c r="H344" i="1"/>
  <c r="F345" i="1"/>
  <c r="G345" i="1"/>
  <c r="H345" i="1"/>
  <c r="F346" i="1"/>
  <c r="G346" i="1"/>
  <c r="H346" i="1"/>
  <c r="F347" i="1"/>
  <c r="G347" i="1"/>
  <c r="H347" i="1"/>
  <c r="F348" i="1"/>
  <c r="G348" i="1"/>
  <c r="H348" i="1"/>
  <c r="F349" i="1"/>
  <c r="G349" i="1"/>
  <c r="H349" i="1"/>
  <c r="F350" i="1"/>
  <c r="G350" i="1"/>
  <c r="H350" i="1"/>
  <c r="F351" i="1"/>
  <c r="G351" i="1"/>
  <c r="H351" i="1"/>
  <c r="F352" i="1"/>
  <c r="G352" i="1"/>
  <c r="H352" i="1"/>
  <c r="F353" i="1"/>
  <c r="G353" i="1"/>
  <c r="H353" i="1"/>
  <c r="F354" i="1"/>
  <c r="G354" i="1"/>
  <c r="H354" i="1"/>
  <c r="F355" i="1"/>
  <c r="G355" i="1"/>
  <c r="H355" i="1"/>
  <c r="F356" i="1"/>
  <c r="G356" i="1"/>
  <c r="H356" i="1"/>
  <c r="F357" i="1"/>
  <c r="G357" i="1"/>
  <c r="H357" i="1"/>
  <c r="F358" i="1"/>
  <c r="G358" i="1"/>
  <c r="H358" i="1"/>
  <c r="F359" i="1"/>
  <c r="G359" i="1"/>
  <c r="H359" i="1"/>
  <c r="F360" i="1"/>
  <c r="G360" i="1"/>
  <c r="H360" i="1"/>
  <c r="F361" i="1"/>
  <c r="G361" i="1"/>
  <c r="H361" i="1"/>
  <c r="F362" i="1"/>
  <c r="G362" i="1"/>
  <c r="H362" i="1"/>
  <c r="F363" i="1"/>
  <c r="G363" i="1"/>
  <c r="H363" i="1"/>
  <c r="F364" i="1"/>
  <c r="G364" i="1"/>
  <c r="H364" i="1"/>
  <c r="F365" i="1"/>
  <c r="G365" i="1"/>
  <c r="H365" i="1"/>
  <c r="F366" i="1"/>
  <c r="G366" i="1"/>
  <c r="H366" i="1"/>
  <c r="F367" i="1"/>
  <c r="G367" i="1"/>
  <c r="H367" i="1"/>
  <c r="F368" i="1"/>
  <c r="G368" i="1"/>
  <c r="H368" i="1"/>
  <c r="F369" i="1"/>
  <c r="G369" i="1"/>
  <c r="H369" i="1"/>
  <c r="F370" i="1"/>
  <c r="G370" i="1"/>
  <c r="H370" i="1"/>
  <c r="F371" i="1"/>
  <c r="G371" i="1"/>
  <c r="H371" i="1"/>
  <c r="F372" i="1"/>
  <c r="G372" i="1"/>
  <c r="H372" i="1"/>
  <c r="F373" i="1"/>
  <c r="G373" i="1"/>
  <c r="H373" i="1"/>
  <c r="F374" i="1"/>
  <c r="G374" i="1"/>
  <c r="H374" i="1"/>
  <c r="F375" i="1"/>
  <c r="G375" i="1"/>
  <c r="H375" i="1"/>
  <c r="F376" i="1"/>
  <c r="G376" i="1"/>
  <c r="H376" i="1"/>
  <c r="F377" i="1"/>
  <c r="G377" i="1"/>
  <c r="H377" i="1"/>
  <c r="F378" i="1"/>
  <c r="G378" i="1"/>
  <c r="H378" i="1"/>
  <c r="F379" i="1"/>
  <c r="G379" i="1"/>
  <c r="H379" i="1"/>
  <c r="F380" i="1"/>
  <c r="G380" i="1"/>
  <c r="H380" i="1"/>
  <c r="H327" i="1"/>
  <c r="G327" i="1"/>
  <c r="F327" i="1"/>
  <c r="F122" i="1"/>
  <c r="G122" i="1"/>
  <c r="H122" i="1"/>
  <c r="F123" i="1"/>
  <c r="G123" i="1"/>
  <c r="H123" i="1"/>
  <c r="F124" i="1"/>
  <c r="G124" i="1"/>
  <c r="H124" i="1"/>
  <c r="F274" i="1"/>
  <c r="G274" i="1"/>
  <c r="H274" i="1"/>
  <c r="F275" i="1"/>
  <c r="G275" i="1"/>
  <c r="H275" i="1"/>
  <c r="F276" i="1"/>
  <c r="G276" i="1"/>
  <c r="H276" i="1"/>
  <c r="F277" i="1"/>
  <c r="G277" i="1"/>
  <c r="H277" i="1"/>
  <c r="F278" i="1"/>
  <c r="G278" i="1"/>
  <c r="H278" i="1"/>
  <c r="F279" i="1"/>
  <c r="G279" i="1"/>
  <c r="H279" i="1"/>
  <c r="F280" i="1"/>
  <c r="G280" i="1"/>
  <c r="H280" i="1"/>
  <c r="F281" i="1"/>
  <c r="G281" i="1"/>
  <c r="H281" i="1"/>
  <c r="F282" i="1"/>
  <c r="G282" i="1"/>
  <c r="H282" i="1"/>
  <c r="F283" i="1"/>
  <c r="G283" i="1"/>
  <c r="H283" i="1"/>
  <c r="F284" i="1"/>
  <c r="G284" i="1"/>
  <c r="H284" i="1"/>
  <c r="F285" i="1"/>
  <c r="G285" i="1"/>
  <c r="H285" i="1"/>
  <c r="F286" i="1"/>
  <c r="G286" i="1"/>
  <c r="H286" i="1"/>
  <c r="F287" i="1"/>
  <c r="G287" i="1"/>
  <c r="H287" i="1"/>
  <c r="F288" i="1"/>
  <c r="G288" i="1"/>
  <c r="H288" i="1"/>
  <c r="F289" i="1"/>
  <c r="G289" i="1"/>
  <c r="H289" i="1"/>
  <c r="F290" i="1"/>
  <c r="G290" i="1"/>
  <c r="H290" i="1"/>
  <c r="F291" i="1"/>
  <c r="G291" i="1"/>
  <c r="H291" i="1"/>
  <c r="F292" i="1"/>
  <c r="G292" i="1"/>
  <c r="H292" i="1"/>
  <c r="F293" i="1"/>
  <c r="G293" i="1"/>
  <c r="H293" i="1"/>
  <c r="F294" i="1"/>
  <c r="G294" i="1"/>
  <c r="H294" i="1"/>
  <c r="F295" i="1"/>
  <c r="G295" i="1"/>
  <c r="H295" i="1"/>
  <c r="F296" i="1"/>
  <c r="G296" i="1"/>
  <c r="H296" i="1"/>
  <c r="F297" i="1"/>
  <c r="G297" i="1"/>
  <c r="H297" i="1"/>
  <c r="F298" i="1"/>
  <c r="G298" i="1"/>
  <c r="H298" i="1"/>
  <c r="F299" i="1"/>
  <c r="G299" i="1"/>
  <c r="H299" i="1"/>
  <c r="F300" i="1"/>
  <c r="G300" i="1"/>
  <c r="H300" i="1"/>
  <c r="F301" i="1"/>
  <c r="G301" i="1"/>
  <c r="H301" i="1"/>
  <c r="F302" i="1"/>
  <c r="G302" i="1"/>
  <c r="H302" i="1"/>
  <c r="F303" i="1"/>
  <c r="G303" i="1"/>
  <c r="H303" i="1"/>
  <c r="F304" i="1"/>
  <c r="G304" i="1"/>
  <c r="H304" i="1"/>
  <c r="F305" i="1"/>
  <c r="G305" i="1"/>
  <c r="H305" i="1"/>
  <c r="F306" i="1"/>
  <c r="G306" i="1"/>
  <c r="H306" i="1"/>
  <c r="F307" i="1"/>
  <c r="G307" i="1"/>
  <c r="H307" i="1"/>
  <c r="F308" i="1"/>
  <c r="G308" i="1"/>
  <c r="H308" i="1"/>
  <c r="F309" i="1"/>
  <c r="G309" i="1"/>
  <c r="H309" i="1"/>
  <c r="F310" i="1"/>
  <c r="G310" i="1"/>
  <c r="H310" i="1"/>
  <c r="F311" i="1"/>
  <c r="G311" i="1"/>
  <c r="H311" i="1"/>
  <c r="F312" i="1"/>
  <c r="G312" i="1"/>
  <c r="H312" i="1"/>
  <c r="F313" i="1"/>
  <c r="G313" i="1"/>
  <c r="H313" i="1"/>
  <c r="F314" i="1"/>
  <c r="G314" i="1"/>
  <c r="H314" i="1"/>
  <c r="F315" i="1"/>
  <c r="G315" i="1"/>
  <c r="H315" i="1"/>
  <c r="F316" i="1"/>
  <c r="G316" i="1"/>
  <c r="H316" i="1"/>
  <c r="F317" i="1"/>
  <c r="G317" i="1"/>
  <c r="H317" i="1"/>
  <c r="F318" i="1"/>
  <c r="G318" i="1"/>
  <c r="H318" i="1"/>
  <c r="F319" i="1"/>
  <c r="G319" i="1"/>
  <c r="H319" i="1"/>
  <c r="F320" i="1"/>
  <c r="G320" i="1"/>
  <c r="H320" i="1"/>
  <c r="F321" i="1"/>
  <c r="G321" i="1"/>
  <c r="H321" i="1"/>
  <c r="F322" i="1"/>
  <c r="G322" i="1"/>
  <c r="H322" i="1"/>
  <c r="F323" i="1"/>
  <c r="G323" i="1"/>
  <c r="H323" i="1"/>
  <c r="F324" i="1"/>
  <c r="G324" i="1"/>
  <c r="H324" i="1"/>
  <c r="F325" i="1"/>
  <c r="G325" i="1"/>
  <c r="H325" i="1"/>
  <c r="F326" i="1"/>
  <c r="G326" i="1"/>
  <c r="H326" i="1"/>
  <c r="H273" i="1"/>
  <c r="G273" i="1"/>
  <c r="F273" i="1"/>
  <c r="B598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I489" i="1"/>
  <c r="I490" i="1"/>
  <c r="I492" i="1"/>
  <c r="I494" i="1"/>
  <c r="I496" i="1"/>
  <c r="I498" i="1"/>
  <c r="I500" i="1"/>
  <c r="I502" i="1"/>
  <c r="I504" i="1"/>
  <c r="I506" i="1"/>
  <c r="I508" i="1"/>
  <c r="I510" i="1"/>
  <c r="I512" i="1"/>
  <c r="I514" i="1"/>
  <c r="I516" i="1"/>
  <c r="I518" i="1"/>
  <c r="I520" i="1"/>
  <c r="I522" i="1"/>
  <c r="I524" i="1"/>
  <c r="I526" i="1"/>
  <c r="I528" i="1"/>
  <c r="I530" i="1"/>
  <c r="I532" i="1"/>
  <c r="I534" i="1"/>
  <c r="I536" i="1"/>
  <c r="I538" i="1"/>
  <c r="I540" i="1"/>
  <c r="I542" i="1"/>
  <c r="J489" i="1"/>
  <c r="J490" i="1"/>
  <c r="J492" i="1"/>
  <c r="J494" i="1"/>
  <c r="J496" i="1"/>
  <c r="J498" i="1"/>
  <c r="J500" i="1"/>
  <c r="J502" i="1"/>
  <c r="J504" i="1"/>
  <c r="J506" i="1"/>
  <c r="J508" i="1"/>
  <c r="J510" i="1"/>
  <c r="J512" i="1"/>
  <c r="J514" i="1"/>
  <c r="J516" i="1"/>
  <c r="J518" i="1"/>
  <c r="J520" i="1"/>
  <c r="J522" i="1"/>
  <c r="J524" i="1"/>
  <c r="J526" i="1"/>
  <c r="J528" i="1"/>
  <c r="J530" i="1"/>
  <c r="J532" i="1"/>
  <c r="J534" i="1"/>
  <c r="J536" i="1"/>
  <c r="J538" i="1"/>
  <c r="J540" i="1"/>
  <c r="J542" i="1"/>
  <c r="O489" i="1"/>
  <c r="O490" i="1"/>
  <c r="O492" i="1"/>
  <c r="O494" i="1"/>
  <c r="O496" i="1"/>
  <c r="O498" i="1"/>
  <c r="O500" i="1"/>
  <c r="O502" i="1"/>
  <c r="O504" i="1"/>
  <c r="O506" i="1"/>
  <c r="O508" i="1"/>
  <c r="O510" i="1"/>
  <c r="O512" i="1"/>
  <c r="O514" i="1"/>
  <c r="O516" i="1"/>
  <c r="O518" i="1"/>
  <c r="O520" i="1"/>
  <c r="O522" i="1"/>
  <c r="O524" i="1"/>
  <c r="O526" i="1"/>
  <c r="O528" i="1"/>
  <c r="O530" i="1"/>
  <c r="O532" i="1"/>
  <c r="O534" i="1"/>
  <c r="O536" i="1"/>
  <c r="O538" i="1"/>
  <c r="O540" i="1"/>
  <c r="O542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8" i="1"/>
  <c r="I400" i="1"/>
  <c r="I402" i="1"/>
  <c r="I404" i="1"/>
  <c r="I406" i="1"/>
  <c r="I408" i="1"/>
  <c r="I410" i="1"/>
  <c r="I412" i="1"/>
  <c r="I414" i="1"/>
  <c r="I416" i="1"/>
  <c r="I418" i="1"/>
  <c r="I420" i="1"/>
  <c r="I422" i="1"/>
  <c r="I424" i="1"/>
  <c r="I426" i="1"/>
  <c r="I428" i="1"/>
  <c r="I430" i="1"/>
  <c r="I432" i="1"/>
  <c r="I434" i="1"/>
  <c r="J383" i="1"/>
  <c r="O383" i="1" s="1"/>
  <c r="J385" i="1"/>
  <c r="J387" i="1"/>
  <c r="O387" i="1" s="1"/>
  <c r="J389" i="1"/>
  <c r="J391" i="1"/>
  <c r="O391" i="1" s="1"/>
  <c r="J393" i="1"/>
  <c r="J395" i="1"/>
  <c r="O395" i="1" s="1"/>
  <c r="J397" i="1"/>
  <c r="J399" i="1"/>
  <c r="O399" i="1" s="1"/>
  <c r="J401" i="1"/>
  <c r="J403" i="1"/>
  <c r="O403" i="1" s="1"/>
  <c r="J405" i="1"/>
  <c r="J407" i="1"/>
  <c r="O407" i="1" s="1"/>
  <c r="J409" i="1"/>
  <c r="J411" i="1"/>
  <c r="O411" i="1" s="1"/>
  <c r="J415" i="1"/>
  <c r="O415" i="1" s="1"/>
  <c r="J419" i="1"/>
  <c r="O419" i="1" s="1"/>
  <c r="J423" i="1"/>
  <c r="O423" i="1" s="1"/>
  <c r="J427" i="1"/>
  <c r="O427" i="1" s="1"/>
  <c r="J431" i="1"/>
  <c r="O431" i="1" s="1"/>
  <c r="O385" i="1"/>
  <c r="O389" i="1"/>
  <c r="O393" i="1"/>
  <c r="O397" i="1"/>
  <c r="O401" i="1"/>
  <c r="O405" i="1"/>
  <c r="O409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P381" i="1"/>
  <c r="AP383" i="1"/>
  <c r="AP385" i="1"/>
  <c r="AP387" i="1"/>
  <c r="AP389" i="1"/>
  <c r="AP391" i="1"/>
  <c r="AP393" i="1"/>
  <c r="AP395" i="1"/>
  <c r="AP397" i="1"/>
  <c r="AP399" i="1"/>
  <c r="AP401" i="1"/>
  <c r="AP403" i="1"/>
  <c r="AP405" i="1"/>
  <c r="AP407" i="1"/>
  <c r="AP409" i="1"/>
  <c r="AP411" i="1"/>
  <c r="AP413" i="1"/>
  <c r="AP415" i="1"/>
  <c r="AP417" i="1"/>
  <c r="AP419" i="1"/>
  <c r="AP421" i="1"/>
  <c r="AP423" i="1"/>
  <c r="AP425" i="1"/>
  <c r="AP427" i="1"/>
  <c r="AP429" i="1"/>
  <c r="AP431" i="1"/>
  <c r="AP433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O479" i="1" s="1"/>
  <c r="J480" i="1"/>
  <c r="O480" i="1" s="1"/>
  <c r="J481" i="1"/>
  <c r="J482" i="1"/>
  <c r="O482" i="1" s="1"/>
  <c r="J483" i="1"/>
  <c r="J484" i="1"/>
  <c r="O484" i="1" s="1"/>
  <c r="J485" i="1"/>
  <c r="J486" i="1"/>
  <c r="O486" i="1" s="1"/>
  <c r="J487" i="1"/>
  <c r="J488" i="1"/>
  <c r="O488" i="1" s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81" i="1"/>
  <c r="O483" i="1"/>
  <c r="O485" i="1"/>
  <c r="O487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J273" i="1"/>
  <c r="J274" i="1"/>
  <c r="J275" i="1"/>
  <c r="O275" i="1" s="1"/>
  <c r="J276" i="1"/>
  <c r="J277" i="1"/>
  <c r="O277" i="1" s="1"/>
  <c r="J278" i="1"/>
  <c r="J279" i="1"/>
  <c r="O279" i="1" s="1"/>
  <c r="J280" i="1"/>
  <c r="J281" i="1"/>
  <c r="O281" i="1" s="1"/>
  <c r="J282" i="1"/>
  <c r="J283" i="1"/>
  <c r="O283" i="1" s="1"/>
  <c r="J284" i="1"/>
  <c r="J285" i="1"/>
  <c r="O285" i="1" s="1"/>
  <c r="J286" i="1"/>
  <c r="J287" i="1"/>
  <c r="O287" i="1" s="1"/>
  <c r="J288" i="1"/>
  <c r="J289" i="1"/>
  <c r="O289" i="1" s="1"/>
  <c r="J290" i="1"/>
  <c r="J291" i="1"/>
  <c r="O291" i="1" s="1"/>
  <c r="J292" i="1"/>
  <c r="J293" i="1"/>
  <c r="O293" i="1" s="1"/>
  <c r="J294" i="1"/>
  <c r="J295" i="1"/>
  <c r="O295" i="1" s="1"/>
  <c r="J296" i="1"/>
  <c r="J297" i="1"/>
  <c r="O297" i="1" s="1"/>
  <c r="J298" i="1"/>
  <c r="J299" i="1"/>
  <c r="O299" i="1" s="1"/>
  <c r="J300" i="1"/>
  <c r="J301" i="1"/>
  <c r="O301" i="1" s="1"/>
  <c r="J302" i="1"/>
  <c r="J303" i="1"/>
  <c r="O303" i="1" s="1"/>
  <c r="J304" i="1"/>
  <c r="J305" i="1"/>
  <c r="O305" i="1" s="1"/>
  <c r="J306" i="1"/>
  <c r="J307" i="1"/>
  <c r="O307" i="1" s="1"/>
  <c r="J308" i="1"/>
  <c r="J309" i="1"/>
  <c r="O309" i="1" s="1"/>
  <c r="J310" i="1"/>
  <c r="J311" i="1"/>
  <c r="O311" i="1" s="1"/>
  <c r="J312" i="1"/>
  <c r="J313" i="1"/>
  <c r="O313" i="1" s="1"/>
  <c r="J314" i="1"/>
  <c r="J315" i="1"/>
  <c r="O315" i="1" s="1"/>
  <c r="J316" i="1"/>
  <c r="J317" i="1"/>
  <c r="O317" i="1" s="1"/>
  <c r="J318" i="1"/>
  <c r="J319" i="1"/>
  <c r="O319" i="1" s="1"/>
  <c r="J320" i="1"/>
  <c r="J321" i="1"/>
  <c r="O321" i="1" s="1"/>
  <c r="J322" i="1"/>
  <c r="J323" i="1"/>
  <c r="O323" i="1" s="1"/>
  <c r="J324" i="1"/>
  <c r="J325" i="1"/>
  <c r="O325" i="1" s="1"/>
  <c r="J326" i="1"/>
  <c r="O326" i="1" s="1"/>
  <c r="O274" i="1"/>
  <c r="O276" i="1"/>
  <c r="O278" i="1"/>
  <c r="O280" i="1"/>
  <c r="O282" i="1"/>
  <c r="O284" i="1"/>
  <c r="O286" i="1"/>
  <c r="O288" i="1"/>
  <c r="O290" i="1"/>
  <c r="O292" i="1"/>
  <c r="O294" i="1"/>
  <c r="O296" i="1"/>
  <c r="O298" i="1"/>
  <c r="O300" i="1"/>
  <c r="O302" i="1"/>
  <c r="O304" i="1"/>
  <c r="O306" i="1"/>
  <c r="O308" i="1"/>
  <c r="O310" i="1"/>
  <c r="O312" i="1"/>
  <c r="O314" i="1"/>
  <c r="O316" i="1"/>
  <c r="O318" i="1"/>
  <c r="O320" i="1"/>
  <c r="O322" i="1"/>
  <c r="O324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O339" i="1" s="1"/>
  <c r="J340" i="1"/>
  <c r="O340" i="1" s="1"/>
  <c r="J341" i="1"/>
  <c r="J342" i="1"/>
  <c r="O342" i="1" s="1"/>
  <c r="J343" i="1"/>
  <c r="O343" i="1" s="1"/>
  <c r="J344" i="1"/>
  <c r="O344" i="1" s="1"/>
  <c r="J345" i="1"/>
  <c r="O345" i="1" s="1"/>
  <c r="J346" i="1"/>
  <c r="O346" i="1" s="1"/>
  <c r="J347" i="1"/>
  <c r="O347" i="1" s="1"/>
  <c r="J348" i="1"/>
  <c r="O348" i="1" s="1"/>
  <c r="J349" i="1"/>
  <c r="J350" i="1"/>
  <c r="O350" i="1" s="1"/>
  <c r="J351" i="1"/>
  <c r="O351" i="1" s="1"/>
  <c r="J352" i="1"/>
  <c r="O352" i="1" s="1"/>
  <c r="J353" i="1"/>
  <c r="O353" i="1" s="1"/>
  <c r="J354" i="1"/>
  <c r="O354" i="1" s="1"/>
  <c r="J355" i="1"/>
  <c r="O355" i="1" s="1"/>
  <c r="J356" i="1"/>
  <c r="O356" i="1" s="1"/>
  <c r="J357" i="1"/>
  <c r="J358" i="1"/>
  <c r="O358" i="1" s="1"/>
  <c r="J359" i="1"/>
  <c r="O359" i="1" s="1"/>
  <c r="J360" i="1"/>
  <c r="O360" i="1" s="1"/>
  <c r="J361" i="1"/>
  <c r="O361" i="1" s="1"/>
  <c r="J362" i="1"/>
  <c r="O362" i="1" s="1"/>
  <c r="J363" i="1"/>
  <c r="O363" i="1" s="1"/>
  <c r="J364" i="1"/>
  <c r="O364" i="1" s="1"/>
  <c r="J365" i="1"/>
  <c r="J366" i="1"/>
  <c r="O366" i="1" s="1"/>
  <c r="J367" i="1"/>
  <c r="O367" i="1" s="1"/>
  <c r="J368" i="1"/>
  <c r="O368" i="1" s="1"/>
  <c r="J369" i="1"/>
  <c r="O369" i="1" s="1"/>
  <c r="J370" i="1"/>
  <c r="O370" i="1" s="1"/>
  <c r="J371" i="1"/>
  <c r="O371" i="1" s="1"/>
  <c r="J372" i="1"/>
  <c r="O372" i="1" s="1"/>
  <c r="J373" i="1"/>
  <c r="J374" i="1"/>
  <c r="O374" i="1" s="1"/>
  <c r="J375" i="1"/>
  <c r="O375" i="1" s="1"/>
  <c r="J376" i="1"/>
  <c r="O376" i="1" s="1"/>
  <c r="J377" i="1"/>
  <c r="O377" i="1" s="1"/>
  <c r="J378" i="1"/>
  <c r="O378" i="1" s="1"/>
  <c r="J379" i="1"/>
  <c r="O379" i="1" s="1"/>
  <c r="J380" i="1"/>
  <c r="O380" i="1" s="1"/>
  <c r="O328" i="1"/>
  <c r="O329" i="1"/>
  <c r="O330" i="1"/>
  <c r="O331" i="1"/>
  <c r="O332" i="1"/>
  <c r="O333" i="1"/>
  <c r="O334" i="1"/>
  <c r="O335" i="1"/>
  <c r="O336" i="1"/>
  <c r="O337" i="1"/>
  <c r="O338" i="1"/>
  <c r="O341" i="1"/>
  <c r="O349" i="1"/>
  <c r="O357" i="1"/>
  <c r="O365" i="1"/>
  <c r="O373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J433" i="1" l="1"/>
  <c r="O433" i="1" s="1"/>
  <c r="J429" i="1"/>
  <c r="O429" i="1" s="1"/>
  <c r="J425" i="1"/>
  <c r="O425" i="1" s="1"/>
  <c r="J421" i="1"/>
  <c r="O421" i="1" s="1"/>
  <c r="J417" i="1"/>
  <c r="O417" i="1" s="1"/>
  <c r="J413" i="1"/>
  <c r="O413" i="1" s="1"/>
  <c r="J381" i="1"/>
  <c r="O381" i="1" s="1"/>
  <c r="J541" i="1"/>
  <c r="O541" i="1" s="1"/>
  <c r="J539" i="1"/>
  <c r="O539" i="1" s="1"/>
  <c r="U539" i="1" s="1"/>
  <c r="J537" i="1"/>
  <c r="O537" i="1" s="1"/>
  <c r="J535" i="1"/>
  <c r="O535" i="1" s="1"/>
  <c r="U535" i="1" s="1"/>
  <c r="J533" i="1"/>
  <c r="O533" i="1" s="1"/>
  <c r="J531" i="1"/>
  <c r="O531" i="1" s="1"/>
  <c r="U531" i="1" s="1"/>
  <c r="J529" i="1"/>
  <c r="O529" i="1" s="1"/>
  <c r="J527" i="1"/>
  <c r="O527" i="1" s="1"/>
  <c r="U527" i="1" s="1"/>
  <c r="J525" i="1"/>
  <c r="O525" i="1" s="1"/>
  <c r="J523" i="1"/>
  <c r="O523" i="1" s="1"/>
  <c r="U523" i="1" s="1"/>
  <c r="J521" i="1"/>
  <c r="O521" i="1" s="1"/>
  <c r="J519" i="1"/>
  <c r="O519" i="1" s="1"/>
  <c r="U519" i="1" s="1"/>
  <c r="J517" i="1"/>
  <c r="O517" i="1" s="1"/>
  <c r="J515" i="1"/>
  <c r="O515" i="1" s="1"/>
  <c r="U515" i="1" s="1"/>
  <c r="J513" i="1"/>
  <c r="O513" i="1" s="1"/>
  <c r="J511" i="1"/>
  <c r="O511" i="1" s="1"/>
  <c r="U511" i="1" s="1"/>
  <c r="J509" i="1"/>
  <c r="O509" i="1" s="1"/>
  <c r="J507" i="1"/>
  <c r="O507" i="1" s="1"/>
  <c r="U507" i="1" s="1"/>
  <c r="J505" i="1"/>
  <c r="O505" i="1" s="1"/>
  <c r="J503" i="1"/>
  <c r="O503" i="1" s="1"/>
  <c r="U503" i="1" s="1"/>
  <c r="J501" i="1"/>
  <c r="O501" i="1" s="1"/>
  <c r="J499" i="1"/>
  <c r="O499" i="1" s="1"/>
  <c r="U499" i="1" s="1"/>
  <c r="J497" i="1"/>
  <c r="O497" i="1" s="1"/>
  <c r="J495" i="1"/>
  <c r="O495" i="1" s="1"/>
  <c r="U495" i="1" s="1"/>
  <c r="J493" i="1"/>
  <c r="O493" i="1" s="1"/>
  <c r="J491" i="1"/>
  <c r="O491" i="1" s="1"/>
  <c r="U491" i="1" s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O327" i="1"/>
  <c r="O273" i="1"/>
  <c r="S650" i="1"/>
  <c r="U650" i="1"/>
  <c r="S648" i="1"/>
  <c r="U648" i="1"/>
  <c r="S646" i="1"/>
  <c r="U646" i="1"/>
  <c r="S644" i="1"/>
  <c r="U644" i="1"/>
  <c r="S642" i="1"/>
  <c r="U642" i="1"/>
  <c r="S640" i="1"/>
  <c r="U640" i="1"/>
  <c r="S638" i="1"/>
  <c r="U638" i="1"/>
  <c r="S636" i="1"/>
  <c r="U636" i="1"/>
  <c r="S634" i="1"/>
  <c r="U634" i="1"/>
  <c r="S632" i="1"/>
  <c r="U632" i="1"/>
  <c r="S630" i="1"/>
  <c r="U630" i="1"/>
  <c r="S628" i="1"/>
  <c r="U628" i="1"/>
  <c r="S626" i="1"/>
  <c r="U626" i="1"/>
  <c r="S624" i="1"/>
  <c r="U624" i="1"/>
  <c r="S622" i="1"/>
  <c r="U622" i="1"/>
  <c r="S620" i="1"/>
  <c r="U620" i="1"/>
  <c r="S618" i="1"/>
  <c r="U618" i="1"/>
  <c r="S616" i="1"/>
  <c r="U616" i="1"/>
  <c r="S614" i="1"/>
  <c r="U614" i="1"/>
  <c r="S612" i="1"/>
  <c r="U612" i="1"/>
  <c r="S610" i="1"/>
  <c r="U610" i="1"/>
  <c r="S608" i="1"/>
  <c r="U608" i="1"/>
  <c r="S606" i="1"/>
  <c r="U606" i="1"/>
  <c r="S604" i="1"/>
  <c r="U604" i="1"/>
  <c r="S602" i="1"/>
  <c r="U602" i="1"/>
  <c r="S600" i="1"/>
  <c r="U600" i="1"/>
  <c r="S598" i="1"/>
  <c r="U598" i="1"/>
  <c r="V650" i="1"/>
  <c r="W650" i="1" s="1"/>
  <c r="X650" i="1"/>
  <c r="V648" i="1"/>
  <c r="W648" i="1" s="1"/>
  <c r="X648" i="1"/>
  <c r="V646" i="1"/>
  <c r="W646" i="1" s="1"/>
  <c r="X646" i="1"/>
  <c r="V644" i="1"/>
  <c r="W644" i="1" s="1"/>
  <c r="X644" i="1"/>
  <c r="V642" i="1"/>
  <c r="W642" i="1" s="1"/>
  <c r="X642" i="1"/>
  <c r="V640" i="1"/>
  <c r="W640" i="1" s="1"/>
  <c r="X640" i="1"/>
  <c r="V638" i="1"/>
  <c r="W638" i="1" s="1"/>
  <c r="X638" i="1"/>
  <c r="V636" i="1"/>
  <c r="W636" i="1" s="1"/>
  <c r="X636" i="1"/>
  <c r="V634" i="1"/>
  <c r="W634" i="1" s="1"/>
  <c r="X634" i="1"/>
  <c r="V632" i="1"/>
  <c r="W632" i="1" s="1"/>
  <c r="X632" i="1"/>
  <c r="V630" i="1"/>
  <c r="W630" i="1" s="1"/>
  <c r="X630" i="1"/>
  <c r="V628" i="1"/>
  <c r="W628" i="1" s="1"/>
  <c r="X628" i="1"/>
  <c r="V626" i="1"/>
  <c r="W626" i="1" s="1"/>
  <c r="X626" i="1"/>
  <c r="V624" i="1"/>
  <c r="W624" i="1" s="1"/>
  <c r="X624" i="1"/>
  <c r="V622" i="1"/>
  <c r="W622" i="1" s="1"/>
  <c r="X622" i="1"/>
  <c r="V620" i="1"/>
  <c r="W620" i="1" s="1"/>
  <c r="X620" i="1"/>
  <c r="V618" i="1"/>
  <c r="W618" i="1" s="1"/>
  <c r="X618" i="1"/>
  <c r="V616" i="1"/>
  <c r="W616" i="1" s="1"/>
  <c r="X616" i="1"/>
  <c r="V614" i="1"/>
  <c r="W614" i="1" s="1"/>
  <c r="X614" i="1"/>
  <c r="V612" i="1"/>
  <c r="W612" i="1" s="1"/>
  <c r="X612" i="1"/>
  <c r="V610" i="1"/>
  <c r="W610" i="1" s="1"/>
  <c r="X610" i="1"/>
  <c r="V608" i="1"/>
  <c r="W608" i="1" s="1"/>
  <c r="X608" i="1"/>
  <c r="V606" i="1"/>
  <c r="W606" i="1" s="1"/>
  <c r="X606" i="1"/>
  <c r="V604" i="1"/>
  <c r="W604" i="1" s="1"/>
  <c r="X604" i="1"/>
  <c r="V602" i="1"/>
  <c r="W602" i="1" s="1"/>
  <c r="X602" i="1"/>
  <c r="V600" i="1"/>
  <c r="W600" i="1" s="1"/>
  <c r="X600" i="1"/>
  <c r="V598" i="1"/>
  <c r="W598" i="1" s="1"/>
  <c r="X598" i="1"/>
  <c r="S649" i="1"/>
  <c r="U649" i="1"/>
  <c r="S647" i="1"/>
  <c r="U647" i="1"/>
  <c r="S645" i="1"/>
  <c r="U645" i="1"/>
  <c r="S643" i="1"/>
  <c r="U643" i="1"/>
  <c r="S641" i="1"/>
  <c r="U641" i="1"/>
  <c r="S639" i="1"/>
  <c r="U639" i="1"/>
  <c r="S637" i="1"/>
  <c r="U637" i="1"/>
  <c r="S635" i="1"/>
  <c r="U635" i="1"/>
  <c r="S633" i="1"/>
  <c r="U633" i="1"/>
  <c r="S631" i="1"/>
  <c r="U631" i="1"/>
  <c r="S629" i="1"/>
  <c r="U629" i="1"/>
  <c r="S627" i="1"/>
  <c r="U627" i="1"/>
  <c r="S625" i="1"/>
  <c r="U625" i="1"/>
  <c r="S623" i="1"/>
  <c r="U623" i="1"/>
  <c r="S621" i="1"/>
  <c r="U621" i="1"/>
  <c r="S619" i="1"/>
  <c r="U619" i="1"/>
  <c r="S617" i="1"/>
  <c r="U617" i="1"/>
  <c r="S615" i="1"/>
  <c r="U615" i="1"/>
  <c r="S613" i="1"/>
  <c r="U613" i="1"/>
  <c r="S611" i="1"/>
  <c r="U611" i="1"/>
  <c r="S609" i="1"/>
  <c r="U609" i="1"/>
  <c r="S607" i="1"/>
  <c r="U607" i="1"/>
  <c r="S605" i="1"/>
  <c r="U605" i="1"/>
  <c r="S603" i="1"/>
  <c r="U603" i="1"/>
  <c r="S601" i="1"/>
  <c r="U601" i="1"/>
  <c r="S599" i="1"/>
  <c r="U599" i="1"/>
  <c r="S597" i="1"/>
  <c r="U597" i="1"/>
  <c r="V649" i="1"/>
  <c r="W649" i="1" s="1"/>
  <c r="X649" i="1"/>
  <c r="V647" i="1"/>
  <c r="W647" i="1" s="1"/>
  <c r="X647" i="1"/>
  <c r="V645" i="1"/>
  <c r="W645" i="1" s="1"/>
  <c r="X645" i="1"/>
  <c r="V643" i="1"/>
  <c r="W643" i="1" s="1"/>
  <c r="X643" i="1"/>
  <c r="V641" i="1"/>
  <c r="W641" i="1" s="1"/>
  <c r="X641" i="1"/>
  <c r="V639" i="1"/>
  <c r="W639" i="1" s="1"/>
  <c r="X639" i="1"/>
  <c r="V637" i="1"/>
  <c r="W637" i="1" s="1"/>
  <c r="X637" i="1"/>
  <c r="V635" i="1"/>
  <c r="W635" i="1" s="1"/>
  <c r="X635" i="1"/>
  <c r="V633" i="1"/>
  <c r="W633" i="1" s="1"/>
  <c r="X633" i="1"/>
  <c r="V631" i="1"/>
  <c r="W631" i="1" s="1"/>
  <c r="X631" i="1"/>
  <c r="V629" i="1"/>
  <c r="W629" i="1" s="1"/>
  <c r="X629" i="1"/>
  <c r="V627" i="1"/>
  <c r="W627" i="1" s="1"/>
  <c r="X627" i="1"/>
  <c r="V625" i="1"/>
  <c r="W625" i="1" s="1"/>
  <c r="X625" i="1"/>
  <c r="V623" i="1"/>
  <c r="W623" i="1" s="1"/>
  <c r="X623" i="1"/>
  <c r="V621" i="1"/>
  <c r="W621" i="1" s="1"/>
  <c r="X621" i="1"/>
  <c r="V619" i="1"/>
  <c r="W619" i="1" s="1"/>
  <c r="X619" i="1"/>
  <c r="V617" i="1"/>
  <c r="W617" i="1" s="1"/>
  <c r="X617" i="1"/>
  <c r="V615" i="1"/>
  <c r="W615" i="1" s="1"/>
  <c r="X615" i="1"/>
  <c r="V613" i="1"/>
  <c r="W613" i="1" s="1"/>
  <c r="X613" i="1"/>
  <c r="V611" i="1"/>
  <c r="W611" i="1" s="1"/>
  <c r="X611" i="1"/>
  <c r="V609" i="1"/>
  <c r="W609" i="1" s="1"/>
  <c r="X609" i="1"/>
  <c r="V607" i="1"/>
  <c r="W607" i="1" s="1"/>
  <c r="X607" i="1"/>
  <c r="V605" i="1"/>
  <c r="W605" i="1" s="1"/>
  <c r="X605" i="1"/>
  <c r="V603" i="1"/>
  <c r="W603" i="1" s="1"/>
  <c r="X603" i="1"/>
  <c r="V601" i="1"/>
  <c r="W601" i="1" s="1"/>
  <c r="X601" i="1"/>
  <c r="V599" i="1"/>
  <c r="W599" i="1" s="1"/>
  <c r="X599" i="1"/>
  <c r="V597" i="1"/>
  <c r="W597" i="1" s="1"/>
  <c r="X597" i="1"/>
  <c r="S596" i="1"/>
  <c r="U596" i="1"/>
  <c r="S594" i="1"/>
  <c r="U594" i="1"/>
  <c r="S592" i="1"/>
  <c r="U592" i="1"/>
  <c r="S590" i="1"/>
  <c r="U590" i="1"/>
  <c r="S588" i="1"/>
  <c r="U588" i="1"/>
  <c r="S586" i="1"/>
  <c r="U586" i="1"/>
  <c r="S584" i="1"/>
  <c r="U584" i="1"/>
  <c r="S582" i="1"/>
  <c r="U582" i="1"/>
  <c r="S580" i="1"/>
  <c r="U580" i="1"/>
  <c r="S578" i="1"/>
  <c r="U578" i="1"/>
  <c r="S576" i="1"/>
  <c r="U576" i="1"/>
  <c r="S574" i="1"/>
  <c r="U574" i="1"/>
  <c r="S572" i="1"/>
  <c r="U572" i="1"/>
  <c r="S570" i="1"/>
  <c r="U570" i="1"/>
  <c r="S568" i="1"/>
  <c r="U568" i="1"/>
  <c r="S566" i="1"/>
  <c r="U566" i="1"/>
  <c r="S564" i="1"/>
  <c r="U564" i="1"/>
  <c r="S562" i="1"/>
  <c r="U562" i="1"/>
  <c r="S560" i="1"/>
  <c r="U560" i="1"/>
  <c r="S558" i="1"/>
  <c r="U558" i="1"/>
  <c r="S556" i="1"/>
  <c r="U556" i="1"/>
  <c r="S554" i="1"/>
  <c r="U554" i="1"/>
  <c r="S552" i="1"/>
  <c r="U552" i="1"/>
  <c r="S550" i="1"/>
  <c r="U550" i="1"/>
  <c r="S548" i="1"/>
  <c r="U548" i="1"/>
  <c r="S546" i="1"/>
  <c r="U546" i="1"/>
  <c r="S544" i="1"/>
  <c r="U544" i="1"/>
  <c r="V596" i="1"/>
  <c r="W596" i="1" s="1"/>
  <c r="X596" i="1"/>
  <c r="V594" i="1"/>
  <c r="W594" i="1" s="1"/>
  <c r="X594" i="1"/>
  <c r="V592" i="1"/>
  <c r="W592" i="1" s="1"/>
  <c r="X592" i="1"/>
  <c r="V590" i="1"/>
  <c r="W590" i="1" s="1"/>
  <c r="X590" i="1"/>
  <c r="V588" i="1"/>
  <c r="W588" i="1" s="1"/>
  <c r="X588" i="1"/>
  <c r="V586" i="1"/>
  <c r="W586" i="1" s="1"/>
  <c r="X586" i="1"/>
  <c r="V584" i="1"/>
  <c r="W584" i="1" s="1"/>
  <c r="X584" i="1"/>
  <c r="V582" i="1"/>
  <c r="W582" i="1" s="1"/>
  <c r="X582" i="1"/>
  <c r="V580" i="1"/>
  <c r="W580" i="1" s="1"/>
  <c r="X580" i="1"/>
  <c r="V578" i="1"/>
  <c r="W578" i="1" s="1"/>
  <c r="X578" i="1"/>
  <c r="V576" i="1"/>
  <c r="W576" i="1" s="1"/>
  <c r="X576" i="1"/>
  <c r="V574" i="1"/>
  <c r="W574" i="1" s="1"/>
  <c r="X574" i="1"/>
  <c r="V572" i="1"/>
  <c r="W572" i="1" s="1"/>
  <c r="X572" i="1"/>
  <c r="V570" i="1"/>
  <c r="W570" i="1" s="1"/>
  <c r="X570" i="1"/>
  <c r="V568" i="1"/>
  <c r="W568" i="1" s="1"/>
  <c r="X568" i="1"/>
  <c r="V566" i="1"/>
  <c r="W566" i="1" s="1"/>
  <c r="X566" i="1"/>
  <c r="V564" i="1"/>
  <c r="W564" i="1" s="1"/>
  <c r="X564" i="1"/>
  <c r="V562" i="1"/>
  <c r="W562" i="1" s="1"/>
  <c r="X562" i="1"/>
  <c r="V560" i="1"/>
  <c r="W560" i="1" s="1"/>
  <c r="X560" i="1"/>
  <c r="V558" i="1"/>
  <c r="W558" i="1" s="1"/>
  <c r="X558" i="1"/>
  <c r="V556" i="1"/>
  <c r="W556" i="1" s="1"/>
  <c r="X556" i="1"/>
  <c r="V554" i="1"/>
  <c r="W554" i="1" s="1"/>
  <c r="X554" i="1"/>
  <c r="V552" i="1"/>
  <c r="W552" i="1" s="1"/>
  <c r="X552" i="1"/>
  <c r="V550" i="1"/>
  <c r="W550" i="1" s="1"/>
  <c r="X550" i="1"/>
  <c r="V548" i="1"/>
  <c r="W548" i="1" s="1"/>
  <c r="X548" i="1"/>
  <c r="V546" i="1"/>
  <c r="W546" i="1" s="1"/>
  <c r="X546" i="1"/>
  <c r="V544" i="1"/>
  <c r="W544" i="1" s="1"/>
  <c r="X544" i="1"/>
  <c r="S595" i="1"/>
  <c r="U595" i="1"/>
  <c r="S593" i="1"/>
  <c r="U593" i="1"/>
  <c r="S591" i="1"/>
  <c r="U591" i="1"/>
  <c r="S589" i="1"/>
  <c r="U589" i="1"/>
  <c r="S587" i="1"/>
  <c r="U587" i="1"/>
  <c r="S585" i="1"/>
  <c r="U585" i="1"/>
  <c r="S583" i="1"/>
  <c r="U583" i="1"/>
  <c r="S581" i="1"/>
  <c r="U581" i="1"/>
  <c r="S579" i="1"/>
  <c r="U579" i="1"/>
  <c r="S577" i="1"/>
  <c r="U577" i="1"/>
  <c r="S575" i="1"/>
  <c r="U575" i="1"/>
  <c r="S573" i="1"/>
  <c r="U573" i="1"/>
  <c r="S571" i="1"/>
  <c r="U571" i="1"/>
  <c r="S569" i="1"/>
  <c r="U569" i="1"/>
  <c r="S567" i="1"/>
  <c r="U567" i="1"/>
  <c r="S565" i="1"/>
  <c r="U565" i="1"/>
  <c r="S563" i="1"/>
  <c r="U563" i="1"/>
  <c r="S561" i="1"/>
  <c r="U561" i="1"/>
  <c r="S559" i="1"/>
  <c r="U559" i="1"/>
  <c r="S557" i="1"/>
  <c r="U557" i="1"/>
  <c r="S555" i="1"/>
  <c r="U555" i="1"/>
  <c r="S553" i="1"/>
  <c r="U553" i="1"/>
  <c r="S551" i="1"/>
  <c r="U551" i="1"/>
  <c r="S549" i="1"/>
  <c r="U549" i="1"/>
  <c r="S547" i="1"/>
  <c r="U547" i="1"/>
  <c r="S545" i="1"/>
  <c r="U545" i="1"/>
  <c r="S543" i="1"/>
  <c r="U543" i="1"/>
  <c r="V595" i="1"/>
  <c r="W595" i="1" s="1"/>
  <c r="X595" i="1"/>
  <c r="V593" i="1"/>
  <c r="W593" i="1" s="1"/>
  <c r="X593" i="1"/>
  <c r="V591" i="1"/>
  <c r="W591" i="1" s="1"/>
  <c r="X591" i="1"/>
  <c r="V589" i="1"/>
  <c r="W589" i="1" s="1"/>
  <c r="X589" i="1"/>
  <c r="V587" i="1"/>
  <c r="W587" i="1" s="1"/>
  <c r="X587" i="1"/>
  <c r="V585" i="1"/>
  <c r="W585" i="1" s="1"/>
  <c r="X585" i="1"/>
  <c r="V583" i="1"/>
  <c r="W583" i="1" s="1"/>
  <c r="X583" i="1"/>
  <c r="V581" i="1"/>
  <c r="W581" i="1" s="1"/>
  <c r="X581" i="1"/>
  <c r="V579" i="1"/>
  <c r="W579" i="1" s="1"/>
  <c r="X579" i="1"/>
  <c r="V577" i="1"/>
  <c r="W577" i="1" s="1"/>
  <c r="X577" i="1"/>
  <c r="V575" i="1"/>
  <c r="W575" i="1" s="1"/>
  <c r="X575" i="1"/>
  <c r="V573" i="1"/>
  <c r="W573" i="1" s="1"/>
  <c r="X573" i="1"/>
  <c r="V571" i="1"/>
  <c r="W571" i="1" s="1"/>
  <c r="X571" i="1"/>
  <c r="V569" i="1"/>
  <c r="W569" i="1" s="1"/>
  <c r="X569" i="1"/>
  <c r="V567" i="1"/>
  <c r="W567" i="1" s="1"/>
  <c r="X567" i="1"/>
  <c r="V565" i="1"/>
  <c r="W565" i="1" s="1"/>
  <c r="X565" i="1"/>
  <c r="V563" i="1"/>
  <c r="W563" i="1" s="1"/>
  <c r="X563" i="1"/>
  <c r="V561" i="1"/>
  <c r="W561" i="1" s="1"/>
  <c r="X561" i="1"/>
  <c r="V559" i="1"/>
  <c r="W559" i="1" s="1"/>
  <c r="X559" i="1"/>
  <c r="V557" i="1"/>
  <c r="W557" i="1" s="1"/>
  <c r="X557" i="1"/>
  <c r="V555" i="1"/>
  <c r="W555" i="1" s="1"/>
  <c r="X555" i="1"/>
  <c r="V553" i="1"/>
  <c r="W553" i="1" s="1"/>
  <c r="X553" i="1"/>
  <c r="V551" i="1"/>
  <c r="W551" i="1" s="1"/>
  <c r="X551" i="1"/>
  <c r="V549" i="1"/>
  <c r="W549" i="1" s="1"/>
  <c r="X549" i="1"/>
  <c r="V547" i="1"/>
  <c r="W547" i="1" s="1"/>
  <c r="X547" i="1"/>
  <c r="V545" i="1"/>
  <c r="W545" i="1" s="1"/>
  <c r="X545" i="1"/>
  <c r="V543" i="1"/>
  <c r="W543" i="1" s="1"/>
  <c r="X543" i="1"/>
  <c r="S542" i="1"/>
  <c r="U542" i="1"/>
  <c r="S540" i="1"/>
  <c r="U540" i="1"/>
  <c r="S538" i="1"/>
  <c r="U538" i="1"/>
  <c r="S536" i="1"/>
  <c r="U536" i="1"/>
  <c r="S534" i="1"/>
  <c r="U534" i="1"/>
  <c r="S532" i="1"/>
  <c r="U532" i="1"/>
  <c r="S530" i="1"/>
  <c r="U530" i="1"/>
  <c r="S528" i="1"/>
  <c r="U528" i="1"/>
  <c r="S526" i="1"/>
  <c r="U526" i="1"/>
  <c r="S524" i="1"/>
  <c r="U524" i="1"/>
  <c r="S522" i="1"/>
  <c r="U522" i="1"/>
  <c r="S520" i="1"/>
  <c r="U520" i="1"/>
  <c r="S518" i="1"/>
  <c r="U518" i="1"/>
  <c r="S516" i="1"/>
  <c r="U516" i="1"/>
  <c r="S514" i="1"/>
  <c r="U514" i="1"/>
  <c r="S512" i="1"/>
  <c r="U512" i="1"/>
  <c r="S510" i="1"/>
  <c r="U510" i="1"/>
  <c r="S508" i="1"/>
  <c r="U508" i="1"/>
  <c r="S506" i="1"/>
  <c r="U506" i="1"/>
  <c r="S504" i="1"/>
  <c r="U504" i="1"/>
  <c r="S502" i="1"/>
  <c r="U502" i="1"/>
  <c r="S500" i="1"/>
  <c r="U500" i="1"/>
  <c r="S498" i="1"/>
  <c r="U498" i="1"/>
  <c r="S496" i="1"/>
  <c r="U496" i="1"/>
  <c r="S494" i="1"/>
  <c r="U494" i="1"/>
  <c r="S492" i="1"/>
  <c r="U492" i="1"/>
  <c r="S490" i="1"/>
  <c r="U490" i="1"/>
  <c r="V542" i="1"/>
  <c r="W542" i="1" s="1"/>
  <c r="V540" i="1"/>
  <c r="W540" i="1" s="1"/>
  <c r="V538" i="1"/>
  <c r="W538" i="1" s="1"/>
  <c r="V536" i="1"/>
  <c r="W536" i="1" s="1"/>
  <c r="V534" i="1"/>
  <c r="W534" i="1" s="1"/>
  <c r="V532" i="1"/>
  <c r="W532" i="1" s="1"/>
  <c r="V530" i="1"/>
  <c r="W530" i="1" s="1"/>
  <c r="V528" i="1"/>
  <c r="W528" i="1" s="1"/>
  <c r="V526" i="1"/>
  <c r="W526" i="1" s="1"/>
  <c r="V524" i="1"/>
  <c r="W524" i="1" s="1"/>
  <c r="V522" i="1"/>
  <c r="W522" i="1" s="1"/>
  <c r="V520" i="1"/>
  <c r="W520" i="1" s="1"/>
  <c r="V518" i="1"/>
  <c r="W518" i="1" s="1"/>
  <c r="V516" i="1"/>
  <c r="W516" i="1" s="1"/>
  <c r="V514" i="1"/>
  <c r="W514" i="1" s="1"/>
  <c r="V512" i="1"/>
  <c r="W512" i="1" s="1"/>
  <c r="V510" i="1"/>
  <c r="W510" i="1" s="1"/>
  <c r="V508" i="1"/>
  <c r="W508" i="1" s="1"/>
  <c r="V506" i="1"/>
  <c r="W506" i="1" s="1"/>
  <c r="V504" i="1"/>
  <c r="W504" i="1" s="1"/>
  <c r="V502" i="1"/>
  <c r="W502" i="1" s="1"/>
  <c r="V500" i="1"/>
  <c r="W500" i="1" s="1"/>
  <c r="V498" i="1"/>
  <c r="W498" i="1" s="1"/>
  <c r="V496" i="1"/>
  <c r="W496" i="1" s="1"/>
  <c r="V494" i="1"/>
  <c r="W494" i="1" s="1"/>
  <c r="V492" i="1"/>
  <c r="W492" i="1" s="1"/>
  <c r="V490" i="1"/>
  <c r="W490" i="1" s="1"/>
  <c r="X542" i="1"/>
  <c r="X540" i="1"/>
  <c r="X538" i="1"/>
  <c r="X536" i="1"/>
  <c r="X534" i="1"/>
  <c r="X532" i="1"/>
  <c r="X530" i="1"/>
  <c r="X528" i="1"/>
  <c r="X526" i="1"/>
  <c r="X524" i="1"/>
  <c r="X522" i="1"/>
  <c r="X520" i="1"/>
  <c r="X518" i="1"/>
  <c r="X516" i="1"/>
  <c r="X514" i="1"/>
  <c r="X512" i="1"/>
  <c r="X510" i="1"/>
  <c r="X508" i="1"/>
  <c r="X506" i="1"/>
  <c r="X504" i="1"/>
  <c r="X502" i="1"/>
  <c r="X500" i="1"/>
  <c r="X498" i="1"/>
  <c r="X496" i="1"/>
  <c r="X494" i="1"/>
  <c r="X492" i="1"/>
  <c r="X490" i="1"/>
  <c r="S541" i="1"/>
  <c r="U541" i="1"/>
  <c r="S539" i="1"/>
  <c r="S537" i="1"/>
  <c r="U537" i="1"/>
  <c r="S535" i="1"/>
  <c r="S533" i="1"/>
  <c r="U533" i="1"/>
  <c r="S531" i="1"/>
  <c r="S529" i="1"/>
  <c r="U529" i="1"/>
  <c r="S527" i="1"/>
  <c r="S525" i="1"/>
  <c r="U525" i="1"/>
  <c r="S523" i="1"/>
  <c r="S521" i="1"/>
  <c r="U521" i="1"/>
  <c r="S519" i="1"/>
  <c r="S517" i="1"/>
  <c r="U517" i="1"/>
  <c r="S515" i="1"/>
  <c r="S513" i="1"/>
  <c r="U513" i="1"/>
  <c r="S511" i="1"/>
  <c r="S509" i="1"/>
  <c r="U509" i="1"/>
  <c r="S507" i="1"/>
  <c r="S505" i="1"/>
  <c r="U505" i="1"/>
  <c r="S503" i="1"/>
  <c r="S501" i="1"/>
  <c r="U501" i="1"/>
  <c r="S499" i="1"/>
  <c r="S497" i="1"/>
  <c r="U497" i="1"/>
  <c r="S495" i="1"/>
  <c r="S493" i="1"/>
  <c r="U493" i="1"/>
  <c r="S491" i="1"/>
  <c r="S489" i="1"/>
  <c r="U489" i="1"/>
  <c r="V541" i="1"/>
  <c r="W541" i="1" s="1"/>
  <c r="V537" i="1"/>
  <c r="W537" i="1" s="1"/>
  <c r="V533" i="1"/>
  <c r="W533" i="1" s="1"/>
  <c r="V529" i="1"/>
  <c r="W529" i="1" s="1"/>
  <c r="V525" i="1"/>
  <c r="W525" i="1" s="1"/>
  <c r="V521" i="1"/>
  <c r="W521" i="1" s="1"/>
  <c r="V517" i="1"/>
  <c r="W517" i="1" s="1"/>
  <c r="V513" i="1"/>
  <c r="W513" i="1" s="1"/>
  <c r="V509" i="1"/>
  <c r="W509" i="1" s="1"/>
  <c r="V505" i="1"/>
  <c r="W505" i="1" s="1"/>
  <c r="V501" i="1"/>
  <c r="W501" i="1" s="1"/>
  <c r="V497" i="1"/>
  <c r="W497" i="1" s="1"/>
  <c r="V493" i="1"/>
  <c r="W493" i="1" s="1"/>
  <c r="V489" i="1"/>
  <c r="W489" i="1" s="1"/>
  <c r="X541" i="1"/>
  <c r="X539" i="1"/>
  <c r="X537" i="1"/>
  <c r="X535" i="1"/>
  <c r="X533" i="1"/>
  <c r="X531" i="1"/>
  <c r="X529" i="1"/>
  <c r="X527" i="1"/>
  <c r="X525" i="1"/>
  <c r="X523" i="1"/>
  <c r="X521" i="1"/>
  <c r="X519" i="1"/>
  <c r="X517" i="1"/>
  <c r="X515" i="1"/>
  <c r="X513" i="1"/>
  <c r="X511" i="1"/>
  <c r="X509" i="1"/>
  <c r="X507" i="1"/>
  <c r="X505" i="1"/>
  <c r="X503" i="1"/>
  <c r="X501" i="1"/>
  <c r="X499" i="1"/>
  <c r="X497" i="1"/>
  <c r="X495" i="1"/>
  <c r="X493" i="1"/>
  <c r="X491" i="1"/>
  <c r="X489" i="1"/>
  <c r="S433" i="1"/>
  <c r="U433" i="1"/>
  <c r="S431" i="1"/>
  <c r="U431" i="1"/>
  <c r="S429" i="1"/>
  <c r="U429" i="1"/>
  <c r="S427" i="1"/>
  <c r="U427" i="1"/>
  <c r="S425" i="1"/>
  <c r="U425" i="1"/>
  <c r="S423" i="1"/>
  <c r="U423" i="1"/>
  <c r="S421" i="1"/>
  <c r="U421" i="1"/>
  <c r="S419" i="1"/>
  <c r="U419" i="1"/>
  <c r="S417" i="1"/>
  <c r="U417" i="1"/>
  <c r="S415" i="1"/>
  <c r="U415" i="1"/>
  <c r="S413" i="1"/>
  <c r="U413" i="1"/>
  <c r="S411" i="1"/>
  <c r="U411" i="1"/>
  <c r="S409" i="1"/>
  <c r="U409" i="1"/>
  <c r="S407" i="1"/>
  <c r="U407" i="1"/>
  <c r="S405" i="1"/>
  <c r="U405" i="1"/>
  <c r="S403" i="1"/>
  <c r="U403" i="1"/>
  <c r="S401" i="1"/>
  <c r="U401" i="1"/>
  <c r="S399" i="1"/>
  <c r="U399" i="1"/>
  <c r="S397" i="1"/>
  <c r="U397" i="1"/>
  <c r="S395" i="1"/>
  <c r="U395" i="1"/>
  <c r="S393" i="1"/>
  <c r="U393" i="1"/>
  <c r="S391" i="1"/>
  <c r="U391" i="1"/>
  <c r="S389" i="1"/>
  <c r="U389" i="1"/>
  <c r="S387" i="1"/>
  <c r="U387" i="1"/>
  <c r="S385" i="1"/>
  <c r="U385" i="1"/>
  <c r="S383" i="1"/>
  <c r="U383" i="1"/>
  <c r="S381" i="1"/>
  <c r="U381" i="1"/>
  <c r="V433" i="1"/>
  <c r="W433" i="1" s="1"/>
  <c r="X433" i="1"/>
  <c r="V431" i="1"/>
  <c r="W431" i="1" s="1"/>
  <c r="X431" i="1"/>
  <c r="V429" i="1"/>
  <c r="W429" i="1" s="1"/>
  <c r="X429" i="1"/>
  <c r="V427" i="1"/>
  <c r="W427" i="1" s="1"/>
  <c r="X427" i="1"/>
  <c r="V425" i="1"/>
  <c r="W425" i="1" s="1"/>
  <c r="X425" i="1"/>
  <c r="V423" i="1"/>
  <c r="W423" i="1" s="1"/>
  <c r="X423" i="1"/>
  <c r="V421" i="1"/>
  <c r="W421" i="1" s="1"/>
  <c r="X421" i="1"/>
  <c r="V419" i="1"/>
  <c r="W419" i="1" s="1"/>
  <c r="X419" i="1"/>
  <c r="V417" i="1"/>
  <c r="W417" i="1" s="1"/>
  <c r="X417" i="1"/>
  <c r="V415" i="1"/>
  <c r="W415" i="1" s="1"/>
  <c r="X415" i="1"/>
  <c r="V413" i="1"/>
  <c r="W413" i="1" s="1"/>
  <c r="X413" i="1"/>
  <c r="V411" i="1"/>
  <c r="W411" i="1" s="1"/>
  <c r="X411" i="1"/>
  <c r="V409" i="1"/>
  <c r="W409" i="1" s="1"/>
  <c r="X409" i="1"/>
  <c r="V407" i="1"/>
  <c r="W407" i="1" s="1"/>
  <c r="X407" i="1"/>
  <c r="V405" i="1"/>
  <c r="W405" i="1" s="1"/>
  <c r="X405" i="1"/>
  <c r="V403" i="1"/>
  <c r="W403" i="1" s="1"/>
  <c r="X403" i="1"/>
  <c r="V401" i="1"/>
  <c r="W401" i="1" s="1"/>
  <c r="X401" i="1"/>
  <c r="V399" i="1"/>
  <c r="W399" i="1" s="1"/>
  <c r="X399" i="1"/>
  <c r="V397" i="1"/>
  <c r="W397" i="1" s="1"/>
  <c r="X397" i="1"/>
  <c r="V395" i="1"/>
  <c r="W395" i="1" s="1"/>
  <c r="X395" i="1"/>
  <c r="V393" i="1"/>
  <c r="W393" i="1" s="1"/>
  <c r="X393" i="1"/>
  <c r="V391" i="1"/>
  <c r="W391" i="1" s="1"/>
  <c r="X391" i="1"/>
  <c r="V389" i="1"/>
  <c r="W389" i="1" s="1"/>
  <c r="X389" i="1"/>
  <c r="V387" i="1"/>
  <c r="W387" i="1" s="1"/>
  <c r="X387" i="1"/>
  <c r="V385" i="1"/>
  <c r="W385" i="1" s="1"/>
  <c r="X385" i="1"/>
  <c r="V383" i="1"/>
  <c r="W383" i="1" s="1"/>
  <c r="X383" i="1"/>
  <c r="V381" i="1"/>
  <c r="W381" i="1" s="1"/>
  <c r="X381" i="1"/>
  <c r="S434" i="1"/>
  <c r="U434" i="1"/>
  <c r="S432" i="1"/>
  <c r="U432" i="1"/>
  <c r="S430" i="1"/>
  <c r="U430" i="1"/>
  <c r="S428" i="1"/>
  <c r="U428" i="1"/>
  <c r="S426" i="1"/>
  <c r="U426" i="1"/>
  <c r="S424" i="1"/>
  <c r="U424" i="1"/>
  <c r="S422" i="1"/>
  <c r="U422" i="1"/>
  <c r="S420" i="1"/>
  <c r="U420" i="1"/>
  <c r="S418" i="1"/>
  <c r="U418" i="1"/>
  <c r="S416" i="1"/>
  <c r="U416" i="1"/>
  <c r="S414" i="1"/>
  <c r="U414" i="1"/>
  <c r="S412" i="1"/>
  <c r="U412" i="1"/>
  <c r="S410" i="1"/>
  <c r="U410" i="1"/>
  <c r="S408" i="1"/>
  <c r="U408" i="1"/>
  <c r="S406" i="1"/>
  <c r="U406" i="1"/>
  <c r="S404" i="1"/>
  <c r="U404" i="1"/>
  <c r="S402" i="1"/>
  <c r="U402" i="1"/>
  <c r="S400" i="1"/>
  <c r="U400" i="1"/>
  <c r="S398" i="1"/>
  <c r="U398" i="1"/>
  <c r="S396" i="1"/>
  <c r="U396" i="1"/>
  <c r="S394" i="1"/>
  <c r="U394" i="1"/>
  <c r="S392" i="1"/>
  <c r="U392" i="1"/>
  <c r="S390" i="1"/>
  <c r="U390" i="1"/>
  <c r="S388" i="1"/>
  <c r="U388" i="1"/>
  <c r="S386" i="1"/>
  <c r="U386" i="1"/>
  <c r="S384" i="1"/>
  <c r="U384" i="1"/>
  <c r="S382" i="1"/>
  <c r="U382" i="1"/>
  <c r="V434" i="1"/>
  <c r="W434" i="1" s="1"/>
  <c r="X434" i="1"/>
  <c r="V432" i="1"/>
  <c r="W432" i="1" s="1"/>
  <c r="X432" i="1"/>
  <c r="V430" i="1"/>
  <c r="W430" i="1" s="1"/>
  <c r="X430" i="1"/>
  <c r="V428" i="1"/>
  <c r="W428" i="1" s="1"/>
  <c r="X428" i="1"/>
  <c r="V426" i="1"/>
  <c r="W426" i="1" s="1"/>
  <c r="X426" i="1"/>
  <c r="V424" i="1"/>
  <c r="W424" i="1" s="1"/>
  <c r="X424" i="1"/>
  <c r="V422" i="1"/>
  <c r="W422" i="1" s="1"/>
  <c r="X422" i="1"/>
  <c r="V420" i="1"/>
  <c r="W420" i="1" s="1"/>
  <c r="X420" i="1"/>
  <c r="V418" i="1"/>
  <c r="W418" i="1" s="1"/>
  <c r="X418" i="1"/>
  <c r="V416" i="1"/>
  <c r="W416" i="1" s="1"/>
  <c r="X416" i="1"/>
  <c r="V414" i="1"/>
  <c r="W414" i="1" s="1"/>
  <c r="X414" i="1"/>
  <c r="V412" i="1"/>
  <c r="W412" i="1" s="1"/>
  <c r="X412" i="1"/>
  <c r="V410" i="1"/>
  <c r="W410" i="1" s="1"/>
  <c r="X410" i="1"/>
  <c r="V408" i="1"/>
  <c r="W408" i="1" s="1"/>
  <c r="X408" i="1"/>
  <c r="V406" i="1"/>
  <c r="W406" i="1" s="1"/>
  <c r="X406" i="1"/>
  <c r="V404" i="1"/>
  <c r="W404" i="1" s="1"/>
  <c r="X404" i="1"/>
  <c r="V402" i="1"/>
  <c r="W402" i="1" s="1"/>
  <c r="X402" i="1"/>
  <c r="V400" i="1"/>
  <c r="W400" i="1" s="1"/>
  <c r="X400" i="1"/>
  <c r="V398" i="1"/>
  <c r="W398" i="1" s="1"/>
  <c r="X398" i="1"/>
  <c r="V396" i="1"/>
  <c r="W396" i="1" s="1"/>
  <c r="X396" i="1"/>
  <c r="V394" i="1"/>
  <c r="W394" i="1" s="1"/>
  <c r="X394" i="1"/>
  <c r="V392" i="1"/>
  <c r="W392" i="1" s="1"/>
  <c r="X392" i="1"/>
  <c r="V390" i="1"/>
  <c r="W390" i="1" s="1"/>
  <c r="X390" i="1"/>
  <c r="V388" i="1"/>
  <c r="W388" i="1" s="1"/>
  <c r="X388" i="1"/>
  <c r="V386" i="1"/>
  <c r="W386" i="1" s="1"/>
  <c r="X386" i="1"/>
  <c r="V384" i="1"/>
  <c r="W384" i="1" s="1"/>
  <c r="X384" i="1"/>
  <c r="V382" i="1"/>
  <c r="W382" i="1" s="1"/>
  <c r="X382" i="1"/>
  <c r="U487" i="1"/>
  <c r="S487" i="1"/>
  <c r="S485" i="1"/>
  <c r="U485" i="1"/>
  <c r="S483" i="1"/>
  <c r="U483" i="1"/>
  <c r="S481" i="1"/>
  <c r="U481" i="1"/>
  <c r="U479" i="1"/>
  <c r="S479" i="1"/>
  <c r="S477" i="1"/>
  <c r="U477" i="1"/>
  <c r="S475" i="1"/>
  <c r="U475" i="1"/>
  <c r="S473" i="1"/>
  <c r="U473" i="1"/>
  <c r="U471" i="1"/>
  <c r="S471" i="1"/>
  <c r="S469" i="1"/>
  <c r="U469" i="1"/>
  <c r="S467" i="1"/>
  <c r="U467" i="1"/>
  <c r="S465" i="1"/>
  <c r="U465" i="1"/>
  <c r="U463" i="1"/>
  <c r="S463" i="1"/>
  <c r="S461" i="1"/>
  <c r="U461" i="1"/>
  <c r="S459" i="1"/>
  <c r="U459" i="1"/>
  <c r="S457" i="1"/>
  <c r="U457" i="1"/>
  <c r="U455" i="1"/>
  <c r="S455" i="1"/>
  <c r="S453" i="1"/>
  <c r="U453" i="1"/>
  <c r="S451" i="1"/>
  <c r="U451" i="1"/>
  <c r="S449" i="1"/>
  <c r="U449" i="1"/>
  <c r="U447" i="1"/>
  <c r="S447" i="1"/>
  <c r="S445" i="1"/>
  <c r="U445" i="1"/>
  <c r="S443" i="1"/>
  <c r="U443" i="1"/>
  <c r="S441" i="1"/>
  <c r="U441" i="1"/>
  <c r="U439" i="1"/>
  <c r="S439" i="1"/>
  <c r="S437" i="1"/>
  <c r="U437" i="1"/>
  <c r="S435" i="1"/>
  <c r="U435" i="1"/>
  <c r="V487" i="1"/>
  <c r="W487" i="1" s="1"/>
  <c r="X487" i="1"/>
  <c r="V485" i="1"/>
  <c r="W485" i="1" s="1"/>
  <c r="X485" i="1"/>
  <c r="V483" i="1"/>
  <c r="W483" i="1" s="1"/>
  <c r="X483" i="1"/>
  <c r="V481" i="1"/>
  <c r="W481" i="1" s="1"/>
  <c r="X481" i="1"/>
  <c r="V479" i="1"/>
  <c r="W479" i="1" s="1"/>
  <c r="X479" i="1"/>
  <c r="V477" i="1"/>
  <c r="W477" i="1" s="1"/>
  <c r="X477" i="1"/>
  <c r="V475" i="1"/>
  <c r="W475" i="1" s="1"/>
  <c r="X475" i="1"/>
  <c r="V473" i="1"/>
  <c r="W473" i="1" s="1"/>
  <c r="X473" i="1"/>
  <c r="V471" i="1"/>
  <c r="W471" i="1" s="1"/>
  <c r="X471" i="1"/>
  <c r="V469" i="1"/>
  <c r="W469" i="1" s="1"/>
  <c r="X469" i="1"/>
  <c r="V467" i="1"/>
  <c r="W467" i="1" s="1"/>
  <c r="X467" i="1"/>
  <c r="V465" i="1"/>
  <c r="W465" i="1" s="1"/>
  <c r="X465" i="1"/>
  <c r="V463" i="1"/>
  <c r="W463" i="1" s="1"/>
  <c r="X463" i="1"/>
  <c r="V461" i="1"/>
  <c r="W461" i="1" s="1"/>
  <c r="X461" i="1"/>
  <c r="V459" i="1"/>
  <c r="W459" i="1" s="1"/>
  <c r="X459" i="1"/>
  <c r="V457" i="1"/>
  <c r="W457" i="1" s="1"/>
  <c r="X457" i="1"/>
  <c r="V455" i="1"/>
  <c r="W455" i="1" s="1"/>
  <c r="X455" i="1"/>
  <c r="V453" i="1"/>
  <c r="W453" i="1" s="1"/>
  <c r="X453" i="1"/>
  <c r="V451" i="1"/>
  <c r="W451" i="1" s="1"/>
  <c r="X451" i="1"/>
  <c r="V449" i="1"/>
  <c r="W449" i="1" s="1"/>
  <c r="X449" i="1"/>
  <c r="V447" i="1"/>
  <c r="W447" i="1" s="1"/>
  <c r="X447" i="1"/>
  <c r="V445" i="1"/>
  <c r="W445" i="1" s="1"/>
  <c r="X445" i="1"/>
  <c r="V443" i="1"/>
  <c r="W443" i="1" s="1"/>
  <c r="X443" i="1"/>
  <c r="X441" i="1"/>
  <c r="V441" i="1"/>
  <c r="W441" i="1" s="1"/>
  <c r="V439" i="1"/>
  <c r="W439" i="1" s="1"/>
  <c r="X439" i="1"/>
  <c r="X437" i="1"/>
  <c r="V437" i="1"/>
  <c r="W437" i="1" s="1"/>
  <c r="V435" i="1"/>
  <c r="W435" i="1" s="1"/>
  <c r="X435" i="1"/>
  <c r="S488" i="1"/>
  <c r="U488" i="1"/>
  <c r="S486" i="1"/>
  <c r="U486" i="1"/>
  <c r="S484" i="1"/>
  <c r="U484" i="1"/>
  <c r="S482" i="1"/>
  <c r="U482" i="1"/>
  <c r="S480" i="1"/>
  <c r="U480" i="1"/>
  <c r="S478" i="1"/>
  <c r="U478" i="1"/>
  <c r="S476" i="1"/>
  <c r="U476" i="1"/>
  <c r="S474" i="1"/>
  <c r="U474" i="1"/>
  <c r="S472" i="1"/>
  <c r="U472" i="1"/>
  <c r="S470" i="1"/>
  <c r="U470" i="1"/>
  <c r="S468" i="1"/>
  <c r="U468" i="1"/>
  <c r="S466" i="1"/>
  <c r="U466" i="1"/>
  <c r="S464" i="1"/>
  <c r="U464" i="1"/>
  <c r="S462" i="1"/>
  <c r="U462" i="1"/>
  <c r="S460" i="1"/>
  <c r="U460" i="1"/>
  <c r="S458" i="1"/>
  <c r="U458" i="1"/>
  <c r="S456" i="1"/>
  <c r="U456" i="1"/>
  <c r="S454" i="1"/>
  <c r="U454" i="1"/>
  <c r="S452" i="1"/>
  <c r="U452" i="1"/>
  <c r="S450" i="1"/>
  <c r="U450" i="1"/>
  <c r="S448" i="1"/>
  <c r="U448" i="1"/>
  <c r="S446" i="1"/>
  <c r="U446" i="1"/>
  <c r="S444" i="1"/>
  <c r="U444" i="1"/>
  <c r="S442" i="1"/>
  <c r="U442" i="1"/>
  <c r="S440" i="1"/>
  <c r="U440" i="1"/>
  <c r="S438" i="1"/>
  <c r="U438" i="1"/>
  <c r="S436" i="1"/>
  <c r="U436" i="1"/>
  <c r="V488" i="1"/>
  <c r="W488" i="1" s="1"/>
  <c r="X488" i="1"/>
  <c r="V486" i="1"/>
  <c r="W486" i="1" s="1"/>
  <c r="X486" i="1"/>
  <c r="V484" i="1"/>
  <c r="W484" i="1" s="1"/>
  <c r="X484" i="1"/>
  <c r="V482" i="1"/>
  <c r="W482" i="1" s="1"/>
  <c r="X482" i="1"/>
  <c r="V480" i="1"/>
  <c r="W480" i="1" s="1"/>
  <c r="X480" i="1"/>
  <c r="V478" i="1"/>
  <c r="W478" i="1" s="1"/>
  <c r="X478" i="1"/>
  <c r="V476" i="1"/>
  <c r="W476" i="1" s="1"/>
  <c r="X476" i="1"/>
  <c r="V474" i="1"/>
  <c r="W474" i="1" s="1"/>
  <c r="X474" i="1"/>
  <c r="V472" i="1"/>
  <c r="W472" i="1" s="1"/>
  <c r="X472" i="1"/>
  <c r="V470" i="1"/>
  <c r="W470" i="1" s="1"/>
  <c r="X470" i="1"/>
  <c r="V468" i="1"/>
  <c r="W468" i="1" s="1"/>
  <c r="X468" i="1"/>
  <c r="V466" i="1"/>
  <c r="W466" i="1" s="1"/>
  <c r="X466" i="1"/>
  <c r="V464" i="1"/>
  <c r="W464" i="1" s="1"/>
  <c r="X464" i="1"/>
  <c r="V462" i="1"/>
  <c r="W462" i="1" s="1"/>
  <c r="X462" i="1"/>
  <c r="V460" i="1"/>
  <c r="W460" i="1" s="1"/>
  <c r="X460" i="1"/>
  <c r="V458" i="1"/>
  <c r="W458" i="1" s="1"/>
  <c r="X458" i="1"/>
  <c r="V456" i="1"/>
  <c r="W456" i="1" s="1"/>
  <c r="X456" i="1"/>
  <c r="V454" i="1"/>
  <c r="W454" i="1" s="1"/>
  <c r="X454" i="1"/>
  <c r="V452" i="1"/>
  <c r="W452" i="1" s="1"/>
  <c r="X452" i="1"/>
  <c r="V450" i="1"/>
  <c r="W450" i="1" s="1"/>
  <c r="X450" i="1"/>
  <c r="V448" i="1"/>
  <c r="W448" i="1" s="1"/>
  <c r="X448" i="1"/>
  <c r="V446" i="1"/>
  <c r="W446" i="1" s="1"/>
  <c r="X446" i="1"/>
  <c r="V444" i="1"/>
  <c r="W444" i="1" s="1"/>
  <c r="X444" i="1"/>
  <c r="V442" i="1"/>
  <c r="W442" i="1" s="1"/>
  <c r="X442" i="1"/>
  <c r="V440" i="1"/>
  <c r="W440" i="1" s="1"/>
  <c r="X440" i="1"/>
  <c r="V438" i="1"/>
  <c r="W438" i="1" s="1"/>
  <c r="X438" i="1"/>
  <c r="V436" i="1"/>
  <c r="W436" i="1" s="1"/>
  <c r="X436" i="1"/>
  <c r="S325" i="1"/>
  <c r="U325" i="1"/>
  <c r="S323" i="1"/>
  <c r="U323" i="1"/>
  <c r="S321" i="1"/>
  <c r="U321" i="1"/>
  <c r="S319" i="1"/>
  <c r="U319" i="1"/>
  <c r="S317" i="1"/>
  <c r="U317" i="1"/>
  <c r="S315" i="1"/>
  <c r="U315" i="1"/>
  <c r="S313" i="1"/>
  <c r="U313" i="1"/>
  <c r="S311" i="1"/>
  <c r="U311" i="1"/>
  <c r="S309" i="1"/>
  <c r="U309" i="1"/>
  <c r="S307" i="1"/>
  <c r="U307" i="1"/>
  <c r="S305" i="1"/>
  <c r="U305" i="1"/>
  <c r="S303" i="1"/>
  <c r="U303" i="1"/>
  <c r="S301" i="1"/>
  <c r="U301" i="1"/>
  <c r="S299" i="1"/>
  <c r="U299" i="1"/>
  <c r="S297" i="1"/>
  <c r="U297" i="1"/>
  <c r="S295" i="1"/>
  <c r="U295" i="1"/>
  <c r="S293" i="1"/>
  <c r="U293" i="1"/>
  <c r="S291" i="1"/>
  <c r="U291" i="1"/>
  <c r="S289" i="1"/>
  <c r="U289" i="1"/>
  <c r="S287" i="1"/>
  <c r="U287" i="1"/>
  <c r="S285" i="1"/>
  <c r="U285" i="1"/>
  <c r="S283" i="1"/>
  <c r="U283" i="1"/>
  <c r="S281" i="1"/>
  <c r="U281" i="1"/>
  <c r="S279" i="1"/>
  <c r="U279" i="1"/>
  <c r="S277" i="1"/>
  <c r="U277" i="1"/>
  <c r="S275" i="1"/>
  <c r="U275" i="1"/>
  <c r="S273" i="1"/>
  <c r="U273" i="1"/>
  <c r="V325" i="1"/>
  <c r="W325" i="1" s="1"/>
  <c r="X325" i="1"/>
  <c r="V323" i="1"/>
  <c r="W323" i="1" s="1"/>
  <c r="X323" i="1"/>
  <c r="V321" i="1"/>
  <c r="W321" i="1" s="1"/>
  <c r="X321" i="1"/>
  <c r="V319" i="1"/>
  <c r="W319" i="1" s="1"/>
  <c r="X319" i="1"/>
  <c r="V317" i="1"/>
  <c r="W317" i="1" s="1"/>
  <c r="X317" i="1"/>
  <c r="V315" i="1"/>
  <c r="W315" i="1" s="1"/>
  <c r="X315" i="1"/>
  <c r="V313" i="1"/>
  <c r="W313" i="1" s="1"/>
  <c r="X313" i="1"/>
  <c r="V311" i="1"/>
  <c r="W311" i="1" s="1"/>
  <c r="X311" i="1"/>
  <c r="V309" i="1"/>
  <c r="W309" i="1" s="1"/>
  <c r="X309" i="1"/>
  <c r="V307" i="1"/>
  <c r="W307" i="1" s="1"/>
  <c r="X307" i="1"/>
  <c r="V305" i="1"/>
  <c r="W305" i="1" s="1"/>
  <c r="X305" i="1"/>
  <c r="V303" i="1"/>
  <c r="W303" i="1" s="1"/>
  <c r="X303" i="1"/>
  <c r="V301" i="1"/>
  <c r="W301" i="1" s="1"/>
  <c r="X301" i="1"/>
  <c r="V299" i="1"/>
  <c r="W299" i="1" s="1"/>
  <c r="X299" i="1"/>
  <c r="V297" i="1"/>
  <c r="W297" i="1" s="1"/>
  <c r="X297" i="1"/>
  <c r="V295" i="1"/>
  <c r="W295" i="1" s="1"/>
  <c r="X295" i="1"/>
  <c r="V293" i="1"/>
  <c r="W293" i="1" s="1"/>
  <c r="X293" i="1"/>
  <c r="V291" i="1"/>
  <c r="W291" i="1" s="1"/>
  <c r="X291" i="1"/>
  <c r="V289" i="1"/>
  <c r="W289" i="1" s="1"/>
  <c r="X289" i="1"/>
  <c r="V287" i="1"/>
  <c r="W287" i="1" s="1"/>
  <c r="X287" i="1"/>
  <c r="V285" i="1"/>
  <c r="W285" i="1" s="1"/>
  <c r="X285" i="1"/>
  <c r="V283" i="1"/>
  <c r="W283" i="1" s="1"/>
  <c r="X283" i="1"/>
  <c r="V281" i="1"/>
  <c r="W281" i="1" s="1"/>
  <c r="X281" i="1"/>
  <c r="X279" i="1"/>
  <c r="V279" i="1"/>
  <c r="W279" i="1" s="1"/>
  <c r="V277" i="1"/>
  <c r="W277" i="1" s="1"/>
  <c r="X277" i="1"/>
  <c r="X275" i="1"/>
  <c r="V275" i="1"/>
  <c r="W275" i="1" s="1"/>
  <c r="V273" i="1"/>
  <c r="W273" i="1" s="1"/>
  <c r="X273" i="1"/>
  <c r="S326" i="1"/>
  <c r="U326" i="1"/>
  <c r="S324" i="1"/>
  <c r="U324" i="1"/>
  <c r="S322" i="1"/>
  <c r="U322" i="1"/>
  <c r="S320" i="1"/>
  <c r="U320" i="1"/>
  <c r="S318" i="1"/>
  <c r="U318" i="1"/>
  <c r="S316" i="1"/>
  <c r="U316" i="1"/>
  <c r="S314" i="1"/>
  <c r="U314" i="1"/>
  <c r="S312" i="1"/>
  <c r="U312" i="1"/>
  <c r="S310" i="1"/>
  <c r="U310" i="1"/>
  <c r="S308" i="1"/>
  <c r="U308" i="1"/>
  <c r="S306" i="1"/>
  <c r="U306" i="1"/>
  <c r="S304" i="1"/>
  <c r="U304" i="1"/>
  <c r="S302" i="1"/>
  <c r="U302" i="1"/>
  <c r="S300" i="1"/>
  <c r="U300" i="1"/>
  <c r="S298" i="1"/>
  <c r="U298" i="1"/>
  <c r="S296" i="1"/>
  <c r="U296" i="1"/>
  <c r="S294" i="1"/>
  <c r="U294" i="1"/>
  <c r="S292" i="1"/>
  <c r="U292" i="1"/>
  <c r="S290" i="1"/>
  <c r="U290" i="1"/>
  <c r="S288" i="1"/>
  <c r="U288" i="1"/>
  <c r="S286" i="1"/>
  <c r="U286" i="1"/>
  <c r="S284" i="1"/>
  <c r="U284" i="1"/>
  <c r="S282" i="1"/>
  <c r="U282" i="1"/>
  <c r="S280" i="1"/>
  <c r="U280" i="1"/>
  <c r="S278" i="1"/>
  <c r="U278" i="1"/>
  <c r="S276" i="1"/>
  <c r="U276" i="1"/>
  <c r="S274" i="1"/>
  <c r="U274" i="1"/>
  <c r="V326" i="1"/>
  <c r="W326" i="1" s="1"/>
  <c r="X326" i="1"/>
  <c r="V324" i="1"/>
  <c r="W324" i="1" s="1"/>
  <c r="X324" i="1"/>
  <c r="V322" i="1"/>
  <c r="W322" i="1" s="1"/>
  <c r="X322" i="1"/>
  <c r="V320" i="1"/>
  <c r="W320" i="1" s="1"/>
  <c r="X320" i="1"/>
  <c r="V318" i="1"/>
  <c r="W318" i="1" s="1"/>
  <c r="X318" i="1"/>
  <c r="V316" i="1"/>
  <c r="W316" i="1" s="1"/>
  <c r="X316" i="1"/>
  <c r="V314" i="1"/>
  <c r="W314" i="1" s="1"/>
  <c r="X314" i="1"/>
  <c r="V312" i="1"/>
  <c r="W312" i="1" s="1"/>
  <c r="X312" i="1"/>
  <c r="V310" i="1"/>
  <c r="W310" i="1" s="1"/>
  <c r="X310" i="1"/>
  <c r="V308" i="1"/>
  <c r="W308" i="1" s="1"/>
  <c r="X308" i="1"/>
  <c r="V306" i="1"/>
  <c r="W306" i="1" s="1"/>
  <c r="X306" i="1"/>
  <c r="V304" i="1"/>
  <c r="W304" i="1" s="1"/>
  <c r="X304" i="1"/>
  <c r="V302" i="1"/>
  <c r="W302" i="1" s="1"/>
  <c r="X302" i="1"/>
  <c r="V300" i="1"/>
  <c r="W300" i="1" s="1"/>
  <c r="X300" i="1"/>
  <c r="V298" i="1"/>
  <c r="W298" i="1" s="1"/>
  <c r="X298" i="1"/>
  <c r="V296" i="1"/>
  <c r="W296" i="1" s="1"/>
  <c r="X296" i="1"/>
  <c r="V294" i="1"/>
  <c r="W294" i="1" s="1"/>
  <c r="X294" i="1"/>
  <c r="V292" i="1"/>
  <c r="W292" i="1" s="1"/>
  <c r="X292" i="1"/>
  <c r="V290" i="1"/>
  <c r="W290" i="1" s="1"/>
  <c r="X290" i="1"/>
  <c r="V288" i="1"/>
  <c r="W288" i="1" s="1"/>
  <c r="X288" i="1"/>
  <c r="V286" i="1"/>
  <c r="W286" i="1" s="1"/>
  <c r="X286" i="1"/>
  <c r="V284" i="1"/>
  <c r="W284" i="1" s="1"/>
  <c r="X284" i="1"/>
  <c r="V282" i="1"/>
  <c r="W282" i="1" s="1"/>
  <c r="X282" i="1"/>
  <c r="V280" i="1"/>
  <c r="W280" i="1" s="1"/>
  <c r="X280" i="1"/>
  <c r="V278" i="1"/>
  <c r="W278" i="1" s="1"/>
  <c r="X278" i="1"/>
  <c r="V276" i="1"/>
  <c r="W276" i="1" s="1"/>
  <c r="X276" i="1"/>
  <c r="V274" i="1"/>
  <c r="W274" i="1" s="1"/>
  <c r="X274" i="1"/>
  <c r="S380" i="1"/>
  <c r="U380" i="1"/>
  <c r="S378" i="1"/>
  <c r="U378" i="1"/>
  <c r="S376" i="1"/>
  <c r="U376" i="1"/>
  <c r="S374" i="1"/>
  <c r="U374" i="1"/>
  <c r="S372" i="1"/>
  <c r="U372" i="1"/>
  <c r="S370" i="1"/>
  <c r="U370" i="1"/>
  <c r="S368" i="1"/>
  <c r="U368" i="1"/>
  <c r="S366" i="1"/>
  <c r="U366" i="1"/>
  <c r="S364" i="1"/>
  <c r="U364" i="1"/>
  <c r="S362" i="1"/>
  <c r="U362" i="1"/>
  <c r="S360" i="1"/>
  <c r="U360" i="1"/>
  <c r="S358" i="1"/>
  <c r="U358" i="1"/>
  <c r="S356" i="1"/>
  <c r="U356" i="1"/>
  <c r="S354" i="1"/>
  <c r="U354" i="1"/>
  <c r="S352" i="1"/>
  <c r="U352" i="1"/>
  <c r="S350" i="1"/>
  <c r="U350" i="1"/>
  <c r="S348" i="1"/>
  <c r="U348" i="1"/>
  <c r="S346" i="1"/>
  <c r="U346" i="1"/>
  <c r="S344" i="1"/>
  <c r="U344" i="1"/>
  <c r="S342" i="1"/>
  <c r="U342" i="1"/>
  <c r="S340" i="1"/>
  <c r="U340" i="1"/>
  <c r="S338" i="1"/>
  <c r="U338" i="1"/>
  <c r="S336" i="1"/>
  <c r="U336" i="1"/>
  <c r="S334" i="1"/>
  <c r="U334" i="1"/>
  <c r="S332" i="1"/>
  <c r="U332" i="1"/>
  <c r="S330" i="1"/>
  <c r="U330" i="1"/>
  <c r="S328" i="1"/>
  <c r="U328" i="1"/>
  <c r="V380" i="1"/>
  <c r="W380" i="1" s="1"/>
  <c r="X380" i="1"/>
  <c r="V378" i="1"/>
  <c r="W378" i="1" s="1"/>
  <c r="X378" i="1"/>
  <c r="V376" i="1"/>
  <c r="W376" i="1" s="1"/>
  <c r="X376" i="1"/>
  <c r="V374" i="1"/>
  <c r="W374" i="1" s="1"/>
  <c r="X374" i="1"/>
  <c r="V372" i="1"/>
  <c r="W372" i="1" s="1"/>
  <c r="X372" i="1"/>
  <c r="V370" i="1"/>
  <c r="W370" i="1" s="1"/>
  <c r="X370" i="1"/>
  <c r="V368" i="1"/>
  <c r="W368" i="1" s="1"/>
  <c r="X368" i="1"/>
  <c r="V366" i="1"/>
  <c r="W366" i="1" s="1"/>
  <c r="X366" i="1"/>
  <c r="V364" i="1"/>
  <c r="W364" i="1" s="1"/>
  <c r="X364" i="1"/>
  <c r="V362" i="1"/>
  <c r="W362" i="1" s="1"/>
  <c r="X362" i="1"/>
  <c r="V360" i="1"/>
  <c r="W360" i="1" s="1"/>
  <c r="X360" i="1"/>
  <c r="V358" i="1"/>
  <c r="W358" i="1" s="1"/>
  <c r="X358" i="1"/>
  <c r="V356" i="1"/>
  <c r="W356" i="1" s="1"/>
  <c r="X356" i="1"/>
  <c r="V354" i="1"/>
  <c r="W354" i="1" s="1"/>
  <c r="X354" i="1"/>
  <c r="V352" i="1"/>
  <c r="W352" i="1" s="1"/>
  <c r="X352" i="1"/>
  <c r="V350" i="1"/>
  <c r="W350" i="1" s="1"/>
  <c r="X350" i="1"/>
  <c r="V348" i="1"/>
  <c r="W348" i="1" s="1"/>
  <c r="X348" i="1"/>
  <c r="V346" i="1"/>
  <c r="W346" i="1" s="1"/>
  <c r="X346" i="1"/>
  <c r="V344" i="1"/>
  <c r="W344" i="1" s="1"/>
  <c r="X344" i="1"/>
  <c r="V342" i="1"/>
  <c r="W342" i="1" s="1"/>
  <c r="X342" i="1"/>
  <c r="V340" i="1"/>
  <c r="W340" i="1" s="1"/>
  <c r="X340" i="1"/>
  <c r="V338" i="1"/>
  <c r="W338" i="1" s="1"/>
  <c r="X338" i="1"/>
  <c r="V336" i="1"/>
  <c r="W336" i="1" s="1"/>
  <c r="X336" i="1"/>
  <c r="V334" i="1"/>
  <c r="W334" i="1" s="1"/>
  <c r="X334" i="1"/>
  <c r="V332" i="1"/>
  <c r="W332" i="1" s="1"/>
  <c r="X332" i="1"/>
  <c r="V330" i="1"/>
  <c r="W330" i="1" s="1"/>
  <c r="X330" i="1"/>
  <c r="V328" i="1"/>
  <c r="W328" i="1" s="1"/>
  <c r="X328" i="1"/>
  <c r="S379" i="1"/>
  <c r="U379" i="1"/>
  <c r="S377" i="1"/>
  <c r="U377" i="1"/>
  <c r="S375" i="1"/>
  <c r="U375" i="1"/>
  <c r="S373" i="1"/>
  <c r="U373" i="1"/>
  <c r="S371" i="1"/>
  <c r="U371" i="1"/>
  <c r="S369" i="1"/>
  <c r="U369" i="1"/>
  <c r="S367" i="1"/>
  <c r="U367" i="1"/>
  <c r="S365" i="1"/>
  <c r="U365" i="1"/>
  <c r="S363" i="1"/>
  <c r="U363" i="1"/>
  <c r="S361" i="1"/>
  <c r="U361" i="1"/>
  <c r="S359" i="1"/>
  <c r="U359" i="1"/>
  <c r="S357" i="1"/>
  <c r="U357" i="1"/>
  <c r="S355" i="1"/>
  <c r="U355" i="1"/>
  <c r="S353" i="1"/>
  <c r="U353" i="1"/>
  <c r="S351" i="1"/>
  <c r="U351" i="1"/>
  <c r="S349" i="1"/>
  <c r="U349" i="1"/>
  <c r="S347" i="1"/>
  <c r="U347" i="1"/>
  <c r="S345" i="1"/>
  <c r="U345" i="1"/>
  <c r="S343" i="1"/>
  <c r="U343" i="1"/>
  <c r="S341" i="1"/>
  <c r="U341" i="1"/>
  <c r="S339" i="1"/>
  <c r="U339" i="1"/>
  <c r="S337" i="1"/>
  <c r="U337" i="1"/>
  <c r="S335" i="1"/>
  <c r="U335" i="1"/>
  <c r="S333" i="1"/>
  <c r="U333" i="1"/>
  <c r="S331" i="1"/>
  <c r="U331" i="1"/>
  <c r="S329" i="1"/>
  <c r="U329" i="1"/>
  <c r="S327" i="1"/>
  <c r="U327" i="1"/>
  <c r="V379" i="1"/>
  <c r="W379" i="1" s="1"/>
  <c r="X379" i="1"/>
  <c r="V377" i="1"/>
  <c r="W377" i="1" s="1"/>
  <c r="X377" i="1"/>
  <c r="V375" i="1"/>
  <c r="W375" i="1" s="1"/>
  <c r="X375" i="1"/>
  <c r="V373" i="1"/>
  <c r="W373" i="1" s="1"/>
  <c r="X373" i="1"/>
  <c r="V371" i="1"/>
  <c r="W371" i="1" s="1"/>
  <c r="X371" i="1"/>
  <c r="V369" i="1"/>
  <c r="W369" i="1" s="1"/>
  <c r="X369" i="1"/>
  <c r="V367" i="1"/>
  <c r="W367" i="1" s="1"/>
  <c r="X367" i="1"/>
  <c r="V365" i="1"/>
  <c r="W365" i="1" s="1"/>
  <c r="X365" i="1"/>
  <c r="V363" i="1"/>
  <c r="W363" i="1" s="1"/>
  <c r="X363" i="1"/>
  <c r="V361" i="1"/>
  <c r="W361" i="1" s="1"/>
  <c r="X361" i="1"/>
  <c r="V359" i="1"/>
  <c r="W359" i="1" s="1"/>
  <c r="X359" i="1"/>
  <c r="V357" i="1"/>
  <c r="W357" i="1" s="1"/>
  <c r="X357" i="1"/>
  <c r="V355" i="1"/>
  <c r="W355" i="1" s="1"/>
  <c r="X355" i="1"/>
  <c r="V353" i="1"/>
  <c r="W353" i="1" s="1"/>
  <c r="X353" i="1"/>
  <c r="V351" i="1"/>
  <c r="W351" i="1" s="1"/>
  <c r="X351" i="1"/>
  <c r="V349" i="1"/>
  <c r="W349" i="1" s="1"/>
  <c r="X349" i="1"/>
  <c r="V347" i="1"/>
  <c r="W347" i="1" s="1"/>
  <c r="X347" i="1"/>
  <c r="V345" i="1"/>
  <c r="W345" i="1" s="1"/>
  <c r="X345" i="1"/>
  <c r="V343" i="1"/>
  <c r="W343" i="1" s="1"/>
  <c r="X343" i="1"/>
  <c r="V341" i="1"/>
  <c r="W341" i="1" s="1"/>
  <c r="X341" i="1"/>
  <c r="V339" i="1"/>
  <c r="W339" i="1" s="1"/>
  <c r="X339" i="1"/>
  <c r="V337" i="1"/>
  <c r="W337" i="1" s="1"/>
  <c r="X337" i="1"/>
  <c r="V335" i="1"/>
  <c r="W335" i="1" s="1"/>
  <c r="X335" i="1"/>
  <c r="V333" i="1"/>
  <c r="W333" i="1" s="1"/>
  <c r="X333" i="1"/>
  <c r="V331" i="1"/>
  <c r="W331" i="1" s="1"/>
  <c r="X331" i="1"/>
  <c r="V329" i="1"/>
  <c r="W329" i="1" s="1"/>
  <c r="X329" i="1"/>
  <c r="V327" i="1"/>
  <c r="W327" i="1" s="1"/>
  <c r="X327" i="1"/>
  <c r="H651" i="1"/>
  <c r="H652" i="1" s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AP679" i="1" s="1"/>
  <c r="G680" i="1"/>
  <c r="G681" i="1"/>
  <c r="AP681" i="1" s="1"/>
  <c r="G682" i="1"/>
  <c r="AP682" i="1" s="1"/>
  <c r="G683" i="1"/>
  <c r="G684" i="1"/>
  <c r="G685" i="1"/>
  <c r="G686" i="1"/>
  <c r="AP686" i="1" s="1"/>
  <c r="G687" i="1"/>
  <c r="G688" i="1"/>
  <c r="G689" i="1"/>
  <c r="G690" i="1"/>
  <c r="AP690" i="1" s="1"/>
  <c r="G691" i="1"/>
  <c r="G692" i="1"/>
  <c r="G693" i="1"/>
  <c r="G694" i="1"/>
  <c r="G695" i="1"/>
  <c r="G696" i="1"/>
  <c r="G697" i="1"/>
  <c r="G698" i="1"/>
  <c r="G699" i="1"/>
  <c r="AP699" i="1" s="1"/>
  <c r="G700" i="1"/>
  <c r="G701" i="1"/>
  <c r="G702" i="1"/>
  <c r="AP702" i="1" s="1"/>
  <c r="G703" i="1"/>
  <c r="G704" i="1"/>
  <c r="AP704" i="1" s="1"/>
  <c r="AP668" i="1"/>
  <c r="AP670" i="1"/>
  <c r="AP672" i="1"/>
  <c r="AP674" i="1"/>
  <c r="AP680" i="1"/>
  <c r="AP684" i="1"/>
  <c r="AP688" i="1"/>
  <c r="G651" i="1"/>
  <c r="AJ704" i="1"/>
  <c r="AI704" i="1"/>
  <c r="AF704" i="1"/>
  <c r="AE704" i="1"/>
  <c r="AB704" i="1"/>
  <c r="AD704" i="1" s="1"/>
  <c r="AJ703" i="1"/>
  <c r="AI703" i="1"/>
  <c r="AF703" i="1"/>
  <c r="AE703" i="1"/>
  <c r="AB703" i="1"/>
  <c r="AD703" i="1" s="1"/>
  <c r="AJ702" i="1"/>
  <c r="AI702" i="1"/>
  <c r="AF702" i="1"/>
  <c r="AE702" i="1"/>
  <c r="AB702" i="1"/>
  <c r="AD702" i="1" s="1"/>
  <c r="AJ701" i="1"/>
  <c r="AI701" i="1"/>
  <c r="AF701" i="1"/>
  <c r="AE701" i="1"/>
  <c r="AB701" i="1"/>
  <c r="AC701" i="1" s="1"/>
  <c r="AJ700" i="1"/>
  <c r="AI700" i="1"/>
  <c r="AF700" i="1"/>
  <c r="AE700" i="1"/>
  <c r="AB700" i="1"/>
  <c r="AC700" i="1" s="1"/>
  <c r="AJ699" i="1"/>
  <c r="AI699" i="1"/>
  <c r="AF699" i="1"/>
  <c r="AE699" i="1"/>
  <c r="AB699" i="1"/>
  <c r="AC699" i="1" s="1"/>
  <c r="AJ698" i="1"/>
  <c r="AI698" i="1"/>
  <c r="AF698" i="1"/>
  <c r="AE698" i="1"/>
  <c r="AB698" i="1"/>
  <c r="AC698" i="1" s="1"/>
  <c r="AJ697" i="1"/>
  <c r="AI697" i="1"/>
  <c r="AF697" i="1"/>
  <c r="AE697" i="1"/>
  <c r="AB697" i="1"/>
  <c r="AC697" i="1" s="1"/>
  <c r="AJ696" i="1"/>
  <c r="AI696" i="1"/>
  <c r="AF696" i="1"/>
  <c r="AE696" i="1"/>
  <c r="AB696" i="1"/>
  <c r="AC696" i="1" s="1"/>
  <c r="AJ695" i="1"/>
  <c r="AI695" i="1"/>
  <c r="AF695" i="1"/>
  <c r="AE695" i="1"/>
  <c r="AB695" i="1"/>
  <c r="AC695" i="1" s="1"/>
  <c r="AJ694" i="1"/>
  <c r="AI694" i="1"/>
  <c r="AF694" i="1"/>
  <c r="AE694" i="1"/>
  <c r="AB694" i="1"/>
  <c r="AC694" i="1" s="1"/>
  <c r="AJ693" i="1"/>
  <c r="AI693" i="1"/>
  <c r="AF693" i="1"/>
  <c r="AE693" i="1"/>
  <c r="AB693" i="1"/>
  <c r="AC693" i="1" s="1"/>
  <c r="AJ692" i="1"/>
  <c r="AI692" i="1"/>
  <c r="AF692" i="1"/>
  <c r="AE692" i="1"/>
  <c r="AB692" i="1"/>
  <c r="AC692" i="1" s="1"/>
  <c r="AJ691" i="1"/>
  <c r="AI691" i="1"/>
  <c r="AF691" i="1"/>
  <c r="AE691" i="1"/>
  <c r="AB691" i="1"/>
  <c r="AD691" i="1" s="1"/>
  <c r="AJ690" i="1"/>
  <c r="AI690" i="1"/>
  <c r="AF690" i="1"/>
  <c r="AE690" i="1"/>
  <c r="AB690" i="1"/>
  <c r="AD690" i="1" s="1"/>
  <c r="AJ689" i="1"/>
  <c r="AI689" i="1"/>
  <c r="AF689" i="1"/>
  <c r="AE689" i="1"/>
  <c r="AB689" i="1"/>
  <c r="AD689" i="1" s="1"/>
  <c r="AJ688" i="1"/>
  <c r="AI688" i="1"/>
  <c r="AF688" i="1"/>
  <c r="AE688" i="1"/>
  <c r="AB688" i="1"/>
  <c r="AD688" i="1" s="1"/>
  <c r="AJ687" i="1"/>
  <c r="AI687" i="1"/>
  <c r="AF687" i="1"/>
  <c r="AE687" i="1"/>
  <c r="AB687" i="1"/>
  <c r="AJ686" i="1"/>
  <c r="AI686" i="1"/>
  <c r="AF686" i="1"/>
  <c r="AE686" i="1"/>
  <c r="AB686" i="1"/>
  <c r="AD686" i="1" s="1"/>
  <c r="AJ685" i="1"/>
  <c r="AI685" i="1"/>
  <c r="AF685" i="1"/>
  <c r="AE685" i="1"/>
  <c r="AB685" i="1"/>
  <c r="AJ684" i="1"/>
  <c r="AI684" i="1"/>
  <c r="AF684" i="1"/>
  <c r="AE684" i="1"/>
  <c r="AB684" i="1"/>
  <c r="AD684" i="1" s="1"/>
  <c r="AJ683" i="1"/>
  <c r="AI683" i="1"/>
  <c r="AF683" i="1"/>
  <c r="AE683" i="1"/>
  <c r="AB683" i="1"/>
  <c r="AP683" i="1"/>
  <c r="AJ682" i="1"/>
  <c r="AI682" i="1"/>
  <c r="AF682" i="1"/>
  <c r="AE682" i="1"/>
  <c r="AB682" i="1"/>
  <c r="AD682" i="1" s="1"/>
  <c r="AJ681" i="1"/>
  <c r="AI681" i="1"/>
  <c r="AF681" i="1"/>
  <c r="AE681" i="1"/>
  <c r="AB681" i="1"/>
  <c r="AD681" i="1" s="1"/>
  <c r="AJ680" i="1"/>
  <c r="AI680" i="1"/>
  <c r="AF680" i="1"/>
  <c r="AE680" i="1"/>
  <c r="AB680" i="1"/>
  <c r="AD680" i="1" s="1"/>
  <c r="AJ679" i="1"/>
  <c r="AI679" i="1"/>
  <c r="AF679" i="1"/>
  <c r="AE679" i="1"/>
  <c r="AB679" i="1"/>
  <c r="AD679" i="1" s="1"/>
  <c r="AJ678" i="1"/>
  <c r="AI678" i="1"/>
  <c r="AF678" i="1"/>
  <c r="AE678" i="1"/>
  <c r="AB678" i="1"/>
  <c r="AC678" i="1" s="1"/>
  <c r="AJ677" i="1"/>
  <c r="AI677" i="1"/>
  <c r="AF677" i="1"/>
  <c r="AE677" i="1"/>
  <c r="AB677" i="1"/>
  <c r="AC677" i="1" s="1"/>
  <c r="AJ676" i="1"/>
  <c r="AI676" i="1"/>
  <c r="AF676" i="1"/>
  <c r="AE676" i="1"/>
  <c r="AB676" i="1"/>
  <c r="AC676" i="1" s="1"/>
  <c r="AJ675" i="1"/>
  <c r="AI675" i="1"/>
  <c r="AF675" i="1"/>
  <c r="AE675" i="1"/>
  <c r="AB675" i="1"/>
  <c r="AC675" i="1" s="1"/>
  <c r="AJ674" i="1"/>
  <c r="AI674" i="1"/>
  <c r="AF674" i="1"/>
  <c r="AE674" i="1"/>
  <c r="AB674" i="1"/>
  <c r="AC674" i="1" s="1"/>
  <c r="AJ673" i="1"/>
  <c r="AI673" i="1"/>
  <c r="AF673" i="1"/>
  <c r="AE673" i="1"/>
  <c r="AB673" i="1"/>
  <c r="AC673" i="1" s="1"/>
  <c r="AJ672" i="1"/>
  <c r="AI672" i="1"/>
  <c r="AF672" i="1"/>
  <c r="AE672" i="1"/>
  <c r="AB672" i="1"/>
  <c r="AC672" i="1" s="1"/>
  <c r="AJ671" i="1"/>
  <c r="AI671" i="1"/>
  <c r="AF671" i="1"/>
  <c r="AE671" i="1"/>
  <c r="AB671" i="1"/>
  <c r="AC671" i="1" s="1"/>
  <c r="AJ670" i="1"/>
  <c r="AI670" i="1"/>
  <c r="AF670" i="1"/>
  <c r="AE670" i="1"/>
  <c r="AB670" i="1"/>
  <c r="AC670" i="1" s="1"/>
  <c r="AJ669" i="1"/>
  <c r="AI669" i="1"/>
  <c r="AF669" i="1"/>
  <c r="AE669" i="1"/>
  <c r="AB669" i="1"/>
  <c r="AC669" i="1" s="1"/>
  <c r="AJ668" i="1"/>
  <c r="AI668" i="1"/>
  <c r="AF668" i="1"/>
  <c r="AE668" i="1"/>
  <c r="AB668" i="1"/>
  <c r="AJ667" i="1"/>
  <c r="AI667" i="1"/>
  <c r="AF667" i="1"/>
  <c r="AE667" i="1"/>
  <c r="AB667" i="1"/>
  <c r="AC667" i="1" s="1"/>
  <c r="AJ666" i="1"/>
  <c r="AI666" i="1"/>
  <c r="AF666" i="1"/>
  <c r="AE666" i="1"/>
  <c r="AB666" i="1"/>
  <c r="AC666" i="1" s="1"/>
  <c r="AJ665" i="1"/>
  <c r="AI665" i="1"/>
  <c r="AF665" i="1"/>
  <c r="AE665" i="1"/>
  <c r="AB665" i="1"/>
  <c r="AC665" i="1" s="1"/>
  <c r="AJ664" i="1"/>
  <c r="AI664" i="1"/>
  <c r="AF664" i="1"/>
  <c r="AE664" i="1"/>
  <c r="AB664" i="1"/>
  <c r="AC664" i="1" s="1"/>
  <c r="AJ663" i="1"/>
  <c r="AI663" i="1"/>
  <c r="AF663" i="1"/>
  <c r="AE663" i="1"/>
  <c r="AB663" i="1"/>
  <c r="AC663" i="1" s="1"/>
  <c r="AJ662" i="1"/>
  <c r="AI662" i="1"/>
  <c r="AF662" i="1"/>
  <c r="AE662" i="1"/>
  <c r="AB662" i="1"/>
  <c r="AC662" i="1" s="1"/>
  <c r="AJ661" i="1"/>
  <c r="AI661" i="1"/>
  <c r="AF661" i="1"/>
  <c r="AE661" i="1"/>
  <c r="AB661" i="1"/>
  <c r="AC661" i="1" s="1"/>
  <c r="AJ660" i="1"/>
  <c r="AI660" i="1"/>
  <c r="AF660" i="1"/>
  <c r="AE660" i="1"/>
  <c r="AB660" i="1"/>
  <c r="AC660" i="1" s="1"/>
  <c r="AJ659" i="1"/>
  <c r="AI659" i="1"/>
  <c r="AF659" i="1"/>
  <c r="AE659" i="1"/>
  <c r="AB659" i="1"/>
  <c r="AC659" i="1" s="1"/>
  <c r="AJ658" i="1"/>
  <c r="AI658" i="1"/>
  <c r="AF658" i="1"/>
  <c r="AE658" i="1"/>
  <c r="AB658" i="1"/>
  <c r="AC658" i="1" s="1"/>
  <c r="AJ657" i="1"/>
  <c r="AI657" i="1"/>
  <c r="AF657" i="1"/>
  <c r="AE657" i="1"/>
  <c r="AB657" i="1"/>
  <c r="AC657" i="1" s="1"/>
  <c r="AJ656" i="1"/>
  <c r="AI656" i="1"/>
  <c r="AF656" i="1"/>
  <c r="AE656" i="1"/>
  <c r="AB656" i="1"/>
  <c r="AC656" i="1" s="1"/>
  <c r="AJ655" i="1"/>
  <c r="AI655" i="1"/>
  <c r="AF655" i="1"/>
  <c r="AE655" i="1"/>
  <c r="AB655" i="1"/>
  <c r="AC655" i="1" s="1"/>
  <c r="AJ654" i="1"/>
  <c r="AI654" i="1"/>
  <c r="AF654" i="1"/>
  <c r="AE654" i="1"/>
  <c r="AB654" i="1"/>
  <c r="AC654" i="1" s="1"/>
  <c r="AJ653" i="1"/>
  <c r="AI653" i="1"/>
  <c r="AF653" i="1"/>
  <c r="AE653" i="1"/>
  <c r="AB653" i="1"/>
  <c r="AC653" i="1" s="1"/>
  <c r="AJ652" i="1"/>
  <c r="AI652" i="1"/>
  <c r="AF652" i="1"/>
  <c r="AE652" i="1"/>
  <c r="AB652" i="1"/>
  <c r="AC652" i="1" s="1"/>
  <c r="AJ651" i="1"/>
  <c r="AI651" i="1"/>
  <c r="AF651" i="1"/>
  <c r="AE651" i="1"/>
  <c r="AB651" i="1"/>
  <c r="AC651" i="1" s="1"/>
  <c r="I651" i="1"/>
  <c r="V491" i="1" l="1"/>
  <c r="W491" i="1" s="1"/>
  <c r="V495" i="1"/>
  <c r="W495" i="1" s="1"/>
  <c r="V499" i="1"/>
  <c r="W499" i="1" s="1"/>
  <c r="V503" i="1"/>
  <c r="W503" i="1" s="1"/>
  <c r="V507" i="1"/>
  <c r="W507" i="1" s="1"/>
  <c r="V511" i="1"/>
  <c r="W511" i="1" s="1"/>
  <c r="V515" i="1"/>
  <c r="W515" i="1" s="1"/>
  <c r="V519" i="1"/>
  <c r="W519" i="1" s="1"/>
  <c r="V523" i="1"/>
  <c r="W523" i="1" s="1"/>
  <c r="V527" i="1"/>
  <c r="W527" i="1" s="1"/>
  <c r="V531" i="1"/>
  <c r="W531" i="1" s="1"/>
  <c r="V535" i="1"/>
  <c r="W535" i="1" s="1"/>
  <c r="V539" i="1"/>
  <c r="W539" i="1" s="1"/>
  <c r="Y597" i="1"/>
  <c r="Z597" i="1" s="1"/>
  <c r="AO597" i="1"/>
  <c r="Y599" i="1"/>
  <c r="Z599" i="1" s="1"/>
  <c r="AO599" i="1"/>
  <c r="Y601" i="1"/>
  <c r="Z601" i="1" s="1"/>
  <c r="AO601" i="1"/>
  <c r="Y603" i="1"/>
  <c r="Z603" i="1" s="1"/>
  <c r="AO603" i="1"/>
  <c r="Y605" i="1"/>
  <c r="Z605" i="1" s="1"/>
  <c r="AO605" i="1"/>
  <c r="Y607" i="1"/>
  <c r="Z607" i="1" s="1"/>
  <c r="AO607" i="1"/>
  <c r="Y609" i="1"/>
  <c r="Z609" i="1" s="1"/>
  <c r="AO609" i="1"/>
  <c r="Y611" i="1"/>
  <c r="Z611" i="1" s="1"/>
  <c r="AO611" i="1"/>
  <c r="Y613" i="1"/>
  <c r="Z613" i="1" s="1"/>
  <c r="AO613" i="1"/>
  <c r="Y615" i="1"/>
  <c r="Z615" i="1" s="1"/>
  <c r="AO615" i="1"/>
  <c r="Y617" i="1"/>
  <c r="Z617" i="1" s="1"/>
  <c r="AO617" i="1"/>
  <c r="Y619" i="1"/>
  <c r="Z619" i="1" s="1"/>
  <c r="AO619" i="1"/>
  <c r="Y621" i="1"/>
  <c r="Z621" i="1" s="1"/>
  <c r="AO621" i="1"/>
  <c r="Y623" i="1"/>
  <c r="Z623" i="1" s="1"/>
  <c r="AO623" i="1"/>
  <c r="Y625" i="1"/>
  <c r="Z625" i="1" s="1"/>
  <c r="AO625" i="1"/>
  <c r="Y627" i="1"/>
  <c r="Z627" i="1" s="1"/>
  <c r="AO627" i="1"/>
  <c r="Y629" i="1"/>
  <c r="Z629" i="1" s="1"/>
  <c r="AO629" i="1"/>
  <c r="Y631" i="1"/>
  <c r="Z631" i="1" s="1"/>
  <c r="AO631" i="1"/>
  <c r="Y633" i="1"/>
  <c r="Z633" i="1" s="1"/>
  <c r="AO633" i="1"/>
  <c r="Y635" i="1"/>
  <c r="Z635" i="1" s="1"/>
  <c r="AO635" i="1"/>
  <c r="Y637" i="1"/>
  <c r="Z637" i="1" s="1"/>
  <c r="AO637" i="1"/>
  <c r="Y639" i="1"/>
  <c r="Z639" i="1" s="1"/>
  <c r="AO639" i="1"/>
  <c r="Y641" i="1"/>
  <c r="Z641" i="1" s="1"/>
  <c r="AO641" i="1"/>
  <c r="Y643" i="1"/>
  <c r="Z643" i="1" s="1"/>
  <c r="AO643" i="1"/>
  <c r="Y645" i="1"/>
  <c r="Z645" i="1" s="1"/>
  <c r="AO645" i="1"/>
  <c r="Y647" i="1"/>
  <c r="Z647" i="1" s="1"/>
  <c r="AO647" i="1"/>
  <c r="Y649" i="1"/>
  <c r="Z649" i="1" s="1"/>
  <c r="AO649" i="1"/>
  <c r="Y598" i="1"/>
  <c r="Z598" i="1" s="1"/>
  <c r="AO598" i="1"/>
  <c r="Y600" i="1"/>
  <c r="Z600" i="1" s="1"/>
  <c r="AO600" i="1"/>
  <c r="Y602" i="1"/>
  <c r="Z602" i="1" s="1"/>
  <c r="AO602" i="1"/>
  <c r="Y604" i="1"/>
  <c r="Z604" i="1" s="1"/>
  <c r="AO604" i="1"/>
  <c r="Y606" i="1"/>
  <c r="Z606" i="1" s="1"/>
  <c r="AO606" i="1"/>
  <c r="Y608" i="1"/>
  <c r="Z608" i="1" s="1"/>
  <c r="AO608" i="1"/>
  <c r="Y610" i="1"/>
  <c r="Z610" i="1" s="1"/>
  <c r="AO610" i="1"/>
  <c r="Y612" i="1"/>
  <c r="Z612" i="1" s="1"/>
  <c r="AO612" i="1"/>
  <c r="Y614" i="1"/>
  <c r="Z614" i="1" s="1"/>
  <c r="AO614" i="1"/>
  <c r="Y616" i="1"/>
  <c r="Z616" i="1" s="1"/>
  <c r="AO616" i="1"/>
  <c r="Y618" i="1"/>
  <c r="Z618" i="1" s="1"/>
  <c r="AO618" i="1"/>
  <c r="Y620" i="1"/>
  <c r="Z620" i="1" s="1"/>
  <c r="AO620" i="1"/>
  <c r="Y622" i="1"/>
  <c r="Z622" i="1" s="1"/>
  <c r="AO622" i="1"/>
  <c r="Y624" i="1"/>
  <c r="Z624" i="1" s="1"/>
  <c r="AO624" i="1"/>
  <c r="Y626" i="1"/>
  <c r="Z626" i="1" s="1"/>
  <c r="AO626" i="1"/>
  <c r="Y628" i="1"/>
  <c r="Z628" i="1" s="1"/>
  <c r="AO628" i="1"/>
  <c r="Y630" i="1"/>
  <c r="Z630" i="1" s="1"/>
  <c r="AO630" i="1"/>
  <c r="Y632" i="1"/>
  <c r="Z632" i="1" s="1"/>
  <c r="AO632" i="1"/>
  <c r="Y634" i="1"/>
  <c r="Z634" i="1" s="1"/>
  <c r="AO634" i="1"/>
  <c r="Y636" i="1"/>
  <c r="Z636" i="1" s="1"/>
  <c r="AO636" i="1"/>
  <c r="Y638" i="1"/>
  <c r="Z638" i="1" s="1"/>
  <c r="AO638" i="1"/>
  <c r="Y640" i="1"/>
  <c r="Z640" i="1" s="1"/>
  <c r="AO640" i="1"/>
  <c r="Y642" i="1"/>
  <c r="Z642" i="1" s="1"/>
  <c r="AO642" i="1"/>
  <c r="Y644" i="1"/>
  <c r="Z644" i="1" s="1"/>
  <c r="AO644" i="1"/>
  <c r="Y646" i="1"/>
  <c r="Z646" i="1" s="1"/>
  <c r="AO646" i="1"/>
  <c r="Y648" i="1"/>
  <c r="Z648" i="1" s="1"/>
  <c r="AO648" i="1"/>
  <c r="Y650" i="1"/>
  <c r="Z650" i="1" s="1"/>
  <c r="AO650" i="1"/>
  <c r="T597" i="1"/>
  <c r="AN597" i="1" s="1"/>
  <c r="AA597" i="1"/>
  <c r="AM597" i="1"/>
  <c r="T599" i="1"/>
  <c r="AN599" i="1" s="1"/>
  <c r="AA599" i="1"/>
  <c r="AM599" i="1"/>
  <c r="T601" i="1"/>
  <c r="AN601" i="1" s="1"/>
  <c r="AA601" i="1"/>
  <c r="AM601" i="1"/>
  <c r="T603" i="1"/>
  <c r="AN603" i="1" s="1"/>
  <c r="AA603" i="1"/>
  <c r="AM603" i="1"/>
  <c r="T605" i="1"/>
  <c r="AN605" i="1" s="1"/>
  <c r="AA605" i="1"/>
  <c r="AM605" i="1"/>
  <c r="T607" i="1"/>
  <c r="AN607" i="1" s="1"/>
  <c r="AA607" i="1"/>
  <c r="AM607" i="1"/>
  <c r="T609" i="1"/>
  <c r="AN609" i="1" s="1"/>
  <c r="AA609" i="1"/>
  <c r="AM609" i="1"/>
  <c r="T611" i="1"/>
  <c r="AN611" i="1" s="1"/>
  <c r="AA611" i="1"/>
  <c r="AM611" i="1"/>
  <c r="T613" i="1"/>
  <c r="AN613" i="1" s="1"/>
  <c r="AA613" i="1"/>
  <c r="AM613" i="1"/>
  <c r="T615" i="1"/>
  <c r="AN615" i="1" s="1"/>
  <c r="AA615" i="1"/>
  <c r="AM615" i="1"/>
  <c r="T617" i="1"/>
  <c r="AN617" i="1" s="1"/>
  <c r="AA617" i="1"/>
  <c r="AM617" i="1"/>
  <c r="T619" i="1"/>
  <c r="AN619" i="1" s="1"/>
  <c r="AA619" i="1"/>
  <c r="AM619" i="1"/>
  <c r="T621" i="1"/>
  <c r="AN621" i="1" s="1"/>
  <c r="AA621" i="1"/>
  <c r="AM621" i="1"/>
  <c r="T623" i="1"/>
  <c r="AN623" i="1" s="1"/>
  <c r="AA623" i="1"/>
  <c r="AM623" i="1"/>
  <c r="T625" i="1"/>
  <c r="AN625" i="1" s="1"/>
  <c r="AA625" i="1"/>
  <c r="AM625" i="1"/>
  <c r="T627" i="1"/>
  <c r="AN627" i="1" s="1"/>
  <c r="AA627" i="1"/>
  <c r="AM627" i="1"/>
  <c r="T629" i="1"/>
  <c r="AN629" i="1" s="1"/>
  <c r="AA629" i="1"/>
  <c r="AM629" i="1"/>
  <c r="T631" i="1"/>
  <c r="AN631" i="1" s="1"/>
  <c r="AA631" i="1"/>
  <c r="AM631" i="1"/>
  <c r="T633" i="1"/>
  <c r="AN633" i="1" s="1"/>
  <c r="AA633" i="1"/>
  <c r="AM633" i="1"/>
  <c r="T635" i="1"/>
  <c r="AN635" i="1" s="1"/>
  <c r="AA635" i="1"/>
  <c r="AM635" i="1"/>
  <c r="T637" i="1"/>
  <c r="AN637" i="1" s="1"/>
  <c r="AA637" i="1"/>
  <c r="AM637" i="1"/>
  <c r="T639" i="1"/>
  <c r="AN639" i="1" s="1"/>
  <c r="AA639" i="1"/>
  <c r="AM639" i="1"/>
  <c r="T641" i="1"/>
  <c r="AN641" i="1" s="1"/>
  <c r="AA641" i="1"/>
  <c r="AM641" i="1"/>
  <c r="T643" i="1"/>
  <c r="AN643" i="1" s="1"/>
  <c r="AA643" i="1"/>
  <c r="AM643" i="1"/>
  <c r="T645" i="1"/>
  <c r="AN645" i="1" s="1"/>
  <c r="AA645" i="1"/>
  <c r="AM645" i="1"/>
  <c r="T647" i="1"/>
  <c r="AN647" i="1" s="1"/>
  <c r="AA647" i="1"/>
  <c r="AM647" i="1"/>
  <c r="T649" i="1"/>
  <c r="AN649" i="1" s="1"/>
  <c r="AA649" i="1"/>
  <c r="AM649" i="1"/>
  <c r="T598" i="1"/>
  <c r="AN598" i="1" s="1"/>
  <c r="AA598" i="1"/>
  <c r="AM598" i="1"/>
  <c r="T600" i="1"/>
  <c r="AN600" i="1" s="1"/>
  <c r="AA600" i="1"/>
  <c r="AM600" i="1"/>
  <c r="T602" i="1"/>
  <c r="AN602" i="1" s="1"/>
  <c r="AA602" i="1"/>
  <c r="AM602" i="1"/>
  <c r="T604" i="1"/>
  <c r="AN604" i="1" s="1"/>
  <c r="AA604" i="1"/>
  <c r="AM604" i="1"/>
  <c r="T606" i="1"/>
  <c r="AN606" i="1" s="1"/>
  <c r="AA606" i="1"/>
  <c r="AM606" i="1"/>
  <c r="T608" i="1"/>
  <c r="AN608" i="1" s="1"/>
  <c r="AA608" i="1"/>
  <c r="AM608" i="1"/>
  <c r="T610" i="1"/>
  <c r="AN610" i="1" s="1"/>
  <c r="AA610" i="1"/>
  <c r="AM610" i="1"/>
  <c r="T612" i="1"/>
  <c r="AN612" i="1" s="1"/>
  <c r="AA612" i="1"/>
  <c r="AM612" i="1"/>
  <c r="T614" i="1"/>
  <c r="AN614" i="1" s="1"/>
  <c r="AA614" i="1"/>
  <c r="AM614" i="1"/>
  <c r="T616" i="1"/>
  <c r="AN616" i="1" s="1"/>
  <c r="AA616" i="1"/>
  <c r="AM616" i="1"/>
  <c r="T618" i="1"/>
  <c r="AN618" i="1" s="1"/>
  <c r="AA618" i="1"/>
  <c r="AM618" i="1"/>
  <c r="T620" i="1"/>
  <c r="AN620" i="1" s="1"/>
  <c r="AA620" i="1"/>
  <c r="AM620" i="1"/>
  <c r="T622" i="1"/>
  <c r="AN622" i="1" s="1"/>
  <c r="AA622" i="1"/>
  <c r="AM622" i="1"/>
  <c r="T624" i="1"/>
  <c r="AN624" i="1" s="1"/>
  <c r="AA624" i="1"/>
  <c r="AM624" i="1"/>
  <c r="T626" i="1"/>
  <c r="AN626" i="1" s="1"/>
  <c r="AA626" i="1"/>
  <c r="AM626" i="1"/>
  <c r="T628" i="1"/>
  <c r="AN628" i="1" s="1"/>
  <c r="AA628" i="1"/>
  <c r="AM628" i="1"/>
  <c r="T630" i="1"/>
  <c r="AN630" i="1" s="1"/>
  <c r="AA630" i="1"/>
  <c r="AM630" i="1"/>
  <c r="T632" i="1"/>
  <c r="AN632" i="1" s="1"/>
  <c r="AA632" i="1"/>
  <c r="AM632" i="1"/>
  <c r="T634" i="1"/>
  <c r="AN634" i="1" s="1"/>
  <c r="AA634" i="1"/>
  <c r="AM634" i="1"/>
  <c r="T636" i="1"/>
  <c r="AN636" i="1" s="1"/>
  <c r="AA636" i="1"/>
  <c r="AM636" i="1"/>
  <c r="T638" i="1"/>
  <c r="AN638" i="1" s="1"/>
  <c r="AA638" i="1"/>
  <c r="AM638" i="1"/>
  <c r="T640" i="1"/>
  <c r="AN640" i="1" s="1"/>
  <c r="AA640" i="1"/>
  <c r="AM640" i="1"/>
  <c r="T642" i="1"/>
  <c r="AN642" i="1" s="1"/>
  <c r="AA642" i="1"/>
  <c r="AM642" i="1"/>
  <c r="T644" i="1"/>
  <c r="AN644" i="1" s="1"/>
  <c r="AA644" i="1"/>
  <c r="AM644" i="1"/>
  <c r="T646" i="1"/>
  <c r="AN646" i="1" s="1"/>
  <c r="AA646" i="1"/>
  <c r="AM646" i="1"/>
  <c r="T648" i="1"/>
  <c r="AN648" i="1" s="1"/>
  <c r="AA648" i="1"/>
  <c r="AM648" i="1"/>
  <c r="T650" i="1"/>
  <c r="AN650" i="1" s="1"/>
  <c r="AA650" i="1"/>
  <c r="AM650" i="1"/>
  <c r="Y543" i="1"/>
  <c r="Z543" i="1" s="1"/>
  <c r="AO543" i="1"/>
  <c r="Y545" i="1"/>
  <c r="Z545" i="1" s="1"/>
  <c r="AO545" i="1"/>
  <c r="Y547" i="1"/>
  <c r="Z547" i="1" s="1"/>
  <c r="AO547" i="1"/>
  <c r="Y549" i="1"/>
  <c r="Z549" i="1" s="1"/>
  <c r="AO549" i="1"/>
  <c r="Y551" i="1"/>
  <c r="Z551" i="1" s="1"/>
  <c r="AO551" i="1"/>
  <c r="Y553" i="1"/>
  <c r="Z553" i="1" s="1"/>
  <c r="AO553" i="1"/>
  <c r="Y555" i="1"/>
  <c r="Z555" i="1" s="1"/>
  <c r="AO555" i="1"/>
  <c r="Y557" i="1"/>
  <c r="Z557" i="1" s="1"/>
  <c r="AO557" i="1"/>
  <c r="Y559" i="1"/>
  <c r="Z559" i="1" s="1"/>
  <c r="AO559" i="1"/>
  <c r="Y561" i="1"/>
  <c r="Z561" i="1" s="1"/>
  <c r="AO561" i="1"/>
  <c r="Y563" i="1"/>
  <c r="Z563" i="1" s="1"/>
  <c r="AO563" i="1"/>
  <c r="Y565" i="1"/>
  <c r="Z565" i="1" s="1"/>
  <c r="AO565" i="1"/>
  <c r="Y567" i="1"/>
  <c r="Z567" i="1" s="1"/>
  <c r="AO567" i="1"/>
  <c r="Y569" i="1"/>
  <c r="Z569" i="1" s="1"/>
  <c r="AO569" i="1"/>
  <c r="Y571" i="1"/>
  <c r="Z571" i="1" s="1"/>
  <c r="AO571" i="1"/>
  <c r="Y573" i="1"/>
  <c r="Z573" i="1" s="1"/>
  <c r="AO573" i="1"/>
  <c r="Y575" i="1"/>
  <c r="Z575" i="1" s="1"/>
  <c r="AO575" i="1"/>
  <c r="Y577" i="1"/>
  <c r="Z577" i="1" s="1"/>
  <c r="AO577" i="1"/>
  <c r="Y579" i="1"/>
  <c r="Z579" i="1" s="1"/>
  <c r="AO579" i="1"/>
  <c r="Y581" i="1"/>
  <c r="Z581" i="1" s="1"/>
  <c r="AO581" i="1"/>
  <c r="Y583" i="1"/>
  <c r="Z583" i="1" s="1"/>
  <c r="AO583" i="1"/>
  <c r="Y585" i="1"/>
  <c r="Z585" i="1" s="1"/>
  <c r="AO585" i="1"/>
  <c r="Y587" i="1"/>
  <c r="Z587" i="1" s="1"/>
  <c r="AO587" i="1"/>
  <c r="Y589" i="1"/>
  <c r="Z589" i="1" s="1"/>
  <c r="AO589" i="1"/>
  <c r="Y591" i="1"/>
  <c r="Z591" i="1" s="1"/>
  <c r="AO591" i="1"/>
  <c r="Y593" i="1"/>
  <c r="Z593" i="1" s="1"/>
  <c r="AO593" i="1"/>
  <c r="Y595" i="1"/>
  <c r="Z595" i="1" s="1"/>
  <c r="AO595" i="1"/>
  <c r="Y544" i="1"/>
  <c r="Z544" i="1" s="1"/>
  <c r="AO544" i="1"/>
  <c r="Y546" i="1"/>
  <c r="Z546" i="1" s="1"/>
  <c r="AO546" i="1"/>
  <c r="Y548" i="1"/>
  <c r="Z548" i="1" s="1"/>
  <c r="AO548" i="1"/>
  <c r="Y550" i="1"/>
  <c r="Z550" i="1" s="1"/>
  <c r="AO550" i="1"/>
  <c r="Y552" i="1"/>
  <c r="Z552" i="1" s="1"/>
  <c r="AO552" i="1"/>
  <c r="Y554" i="1"/>
  <c r="Z554" i="1" s="1"/>
  <c r="AO554" i="1"/>
  <c r="Y556" i="1"/>
  <c r="Z556" i="1" s="1"/>
  <c r="AO556" i="1"/>
  <c r="Y558" i="1"/>
  <c r="Z558" i="1" s="1"/>
  <c r="AO558" i="1"/>
  <c r="Y560" i="1"/>
  <c r="Z560" i="1" s="1"/>
  <c r="AO560" i="1"/>
  <c r="Y562" i="1"/>
  <c r="Z562" i="1" s="1"/>
  <c r="AO562" i="1"/>
  <c r="Y564" i="1"/>
  <c r="Z564" i="1" s="1"/>
  <c r="AO564" i="1"/>
  <c r="Y566" i="1"/>
  <c r="Z566" i="1" s="1"/>
  <c r="AO566" i="1"/>
  <c r="Y568" i="1"/>
  <c r="Z568" i="1" s="1"/>
  <c r="AO568" i="1"/>
  <c r="Y570" i="1"/>
  <c r="Z570" i="1" s="1"/>
  <c r="AO570" i="1"/>
  <c r="Y572" i="1"/>
  <c r="Z572" i="1" s="1"/>
  <c r="AO572" i="1"/>
  <c r="Y574" i="1"/>
  <c r="Z574" i="1" s="1"/>
  <c r="AO574" i="1"/>
  <c r="Y576" i="1"/>
  <c r="Z576" i="1" s="1"/>
  <c r="AO576" i="1"/>
  <c r="Y578" i="1"/>
  <c r="Z578" i="1" s="1"/>
  <c r="AO578" i="1"/>
  <c r="Y580" i="1"/>
  <c r="Z580" i="1" s="1"/>
  <c r="AO580" i="1"/>
  <c r="Y582" i="1"/>
  <c r="Z582" i="1" s="1"/>
  <c r="AO582" i="1"/>
  <c r="Y584" i="1"/>
  <c r="Z584" i="1" s="1"/>
  <c r="AO584" i="1"/>
  <c r="Y586" i="1"/>
  <c r="Z586" i="1" s="1"/>
  <c r="AO586" i="1"/>
  <c r="Y588" i="1"/>
  <c r="Z588" i="1" s="1"/>
  <c r="AO588" i="1"/>
  <c r="Y590" i="1"/>
  <c r="Z590" i="1" s="1"/>
  <c r="AO590" i="1"/>
  <c r="Y592" i="1"/>
  <c r="Z592" i="1" s="1"/>
  <c r="AO592" i="1"/>
  <c r="Y594" i="1"/>
  <c r="Z594" i="1" s="1"/>
  <c r="AO594" i="1"/>
  <c r="Y596" i="1"/>
  <c r="Z596" i="1" s="1"/>
  <c r="AO596" i="1"/>
  <c r="T543" i="1"/>
  <c r="AN543" i="1" s="1"/>
  <c r="AA543" i="1"/>
  <c r="AM543" i="1"/>
  <c r="T545" i="1"/>
  <c r="AN545" i="1" s="1"/>
  <c r="AA545" i="1"/>
  <c r="AM545" i="1"/>
  <c r="T547" i="1"/>
  <c r="AN547" i="1" s="1"/>
  <c r="AA547" i="1"/>
  <c r="AM547" i="1"/>
  <c r="T549" i="1"/>
  <c r="AN549" i="1" s="1"/>
  <c r="AA549" i="1"/>
  <c r="AM549" i="1"/>
  <c r="T551" i="1"/>
  <c r="AN551" i="1" s="1"/>
  <c r="AA551" i="1"/>
  <c r="AM551" i="1"/>
  <c r="T553" i="1"/>
  <c r="AN553" i="1" s="1"/>
  <c r="AA553" i="1"/>
  <c r="AM553" i="1"/>
  <c r="T555" i="1"/>
  <c r="AN555" i="1" s="1"/>
  <c r="AA555" i="1"/>
  <c r="AM555" i="1"/>
  <c r="T557" i="1"/>
  <c r="AN557" i="1" s="1"/>
  <c r="AA557" i="1"/>
  <c r="AM557" i="1"/>
  <c r="T559" i="1"/>
  <c r="AN559" i="1" s="1"/>
  <c r="AA559" i="1"/>
  <c r="AM559" i="1"/>
  <c r="T561" i="1"/>
  <c r="AN561" i="1" s="1"/>
  <c r="AA561" i="1"/>
  <c r="AM561" i="1"/>
  <c r="T563" i="1"/>
  <c r="AN563" i="1" s="1"/>
  <c r="AA563" i="1"/>
  <c r="AM563" i="1"/>
  <c r="T565" i="1"/>
  <c r="AN565" i="1" s="1"/>
  <c r="AA565" i="1"/>
  <c r="AM565" i="1"/>
  <c r="T567" i="1"/>
  <c r="AN567" i="1" s="1"/>
  <c r="AA567" i="1"/>
  <c r="AM567" i="1"/>
  <c r="T569" i="1"/>
  <c r="AN569" i="1" s="1"/>
  <c r="AA569" i="1"/>
  <c r="AM569" i="1"/>
  <c r="T571" i="1"/>
  <c r="AN571" i="1" s="1"/>
  <c r="AA571" i="1"/>
  <c r="AM571" i="1"/>
  <c r="T573" i="1"/>
  <c r="AN573" i="1" s="1"/>
  <c r="AA573" i="1"/>
  <c r="AM573" i="1"/>
  <c r="T575" i="1"/>
  <c r="AN575" i="1" s="1"/>
  <c r="AA575" i="1"/>
  <c r="AM575" i="1"/>
  <c r="T577" i="1"/>
  <c r="AN577" i="1" s="1"/>
  <c r="AA577" i="1"/>
  <c r="AM577" i="1"/>
  <c r="T579" i="1"/>
  <c r="AN579" i="1" s="1"/>
  <c r="AA579" i="1"/>
  <c r="AM579" i="1"/>
  <c r="T581" i="1"/>
  <c r="AN581" i="1" s="1"/>
  <c r="AA581" i="1"/>
  <c r="AM581" i="1"/>
  <c r="T583" i="1"/>
  <c r="AN583" i="1" s="1"/>
  <c r="AA583" i="1"/>
  <c r="AM583" i="1"/>
  <c r="T585" i="1"/>
  <c r="AN585" i="1" s="1"/>
  <c r="AA585" i="1"/>
  <c r="AM585" i="1"/>
  <c r="T587" i="1"/>
  <c r="AN587" i="1" s="1"/>
  <c r="AA587" i="1"/>
  <c r="AM587" i="1"/>
  <c r="T589" i="1"/>
  <c r="AN589" i="1" s="1"/>
  <c r="AA589" i="1"/>
  <c r="AM589" i="1"/>
  <c r="T591" i="1"/>
  <c r="AN591" i="1" s="1"/>
  <c r="AA591" i="1"/>
  <c r="AM591" i="1"/>
  <c r="T593" i="1"/>
  <c r="AN593" i="1" s="1"/>
  <c r="AA593" i="1"/>
  <c r="AM593" i="1"/>
  <c r="T595" i="1"/>
  <c r="AN595" i="1" s="1"/>
  <c r="AA595" i="1"/>
  <c r="AM595" i="1"/>
  <c r="T544" i="1"/>
  <c r="AN544" i="1" s="1"/>
  <c r="AA544" i="1"/>
  <c r="AM544" i="1"/>
  <c r="T546" i="1"/>
  <c r="AN546" i="1" s="1"/>
  <c r="AA546" i="1"/>
  <c r="AM546" i="1"/>
  <c r="T548" i="1"/>
  <c r="AN548" i="1" s="1"/>
  <c r="AA548" i="1"/>
  <c r="AM548" i="1"/>
  <c r="T550" i="1"/>
  <c r="AN550" i="1" s="1"/>
  <c r="AA550" i="1"/>
  <c r="AM550" i="1"/>
  <c r="T552" i="1"/>
  <c r="AN552" i="1" s="1"/>
  <c r="AA552" i="1"/>
  <c r="AM552" i="1"/>
  <c r="T554" i="1"/>
  <c r="AN554" i="1" s="1"/>
  <c r="AA554" i="1"/>
  <c r="AM554" i="1"/>
  <c r="T556" i="1"/>
  <c r="AN556" i="1" s="1"/>
  <c r="AA556" i="1"/>
  <c r="AM556" i="1"/>
  <c r="T558" i="1"/>
  <c r="AN558" i="1" s="1"/>
  <c r="AA558" i="1"/>
  <c r="AM558" i="1"/>
  <c r="T560" i="1"/>
  <c r="AN560" i="1" s="1"/>
  <c r="AA560" i="1"/>
  <c r="AM560" i="1"/>
  <c r="T562" i="1"/>
  <c r="AN562" i="1" s="1"/>
  <c r="AA562" i="1"/>
  <c r="AM562" i="1"/>
  <c r="T564" i="1"/>
  <c r="AN564" i="1" s="1"/>
  <c r="AA564" i="1"/>
  <c r="AM564" i="1"/>
  <c r="T566" i="1"/>
  <c r="AN566" i="1" s="1"/>
  <c r="AA566" i="1"/>
  <c r="AM566" i="1"/>
  <c r="T568" i="1"/>
  <c r="AN568" i="1" s="1"/>
  <c r="AA568" i="1"/>
  <c r="AM568" i="1"/>
  <c r="T570" i="1"/>
  <c r="AN570" i="1" s="1"/>
  <c r="AA570" i="1"/>
  <c r="AM570" i="1"/>
  <c r="T572" i="1"/>
  <c r="AN572" i="1" s="1"/>
  <c r="AA572" i="1"/>
  <c r="AM572" i="1"/>
  <c r="T574" i="1"/>
  <c r="AN574" i="1" s="1"/>
  <c r="AA574" i="1"/>
  <c r="AM574" i="1"/>
  <c r="T576" i="1"/>
  <c r="AN576" i="1" s="1"/>
  <c r="AA576" i="1"/>
  <c r="AM576" i="1"/>
  <c r="T578" i="1"/>
  <c r="AN578" i="1" s="1"/>
  <c r="AA578" i="1"/>
  <c r="AM578" i="1"/>
  <c r="T580" i="1"/>
  <c r="AN580" i="1" s="1"/>
  <c r="AA580" i="1"/>
  <c r="AM580" i="1"/>
  <c r="T582" i="1"/>
  <c r="AN582" i="1" s="1"/>
  <c r="AA582" i="1"/>
  <c r="AM582" i="1"/>
  <c r="T584" i="1"/>
  <c r="AN584" i="1" s="1"/>
  <c r="AA584" i="1"/>
  <c r="AM584" i="1"/>
  <c r="T586" i="1"/>
  <c r="AN586" i="1" s="1"/>
  <c r="AA586" i="1"/>
  <c r="AM586" i="1"/>
  <c r="T588" i="1"/>
  <c r="AN588" i="1" s="1"/>
  <c r="AA588" i="1"/>
  <c r="AM588" i="1"/>
  <c r="T590" i="1"/>
  <c r="AN590" i="1" s="1"/>
  <c r="AA590" i="1"/>
  <c r="AM590" i="1"/>
  <c r="T592" i="1"/>
  <c r="AN592" i="1" s="1"/>
  <c r="AA592" i="1"/>
  <c r="AM592" i="1"/>
  <c r="T594" i="1"/>
  <c r="AN594" i="1" s="1"/>
  <c r="AA594" i="1"/>
  <c r="AM594" i="1"/>
  <c r="T596" i="1"/>
  <c r="AN596" i="1" s="1"/>
  <c r="AA596" i="1"/>
  <c r="AM596" i="1"/>
  <c r="Y489" i="1"/>
  <c r="Z489" i="1" s="1"/>
  <c r="AO489" i="1"/>
  <c r="Y491" i="1"/>
  <c r="Z491" i="1" s="1"/>
  <c r="AO491" i="1"/>
  <c r="Y493" i="1"/>
  <c r="Z493" i="1" s="1"/>
  <c r="AO493" i="1"/>
  <c r="Y495" i="1"/>
  <c r="Z495" i="1" s="1"/>
  <c r="AO495" i="1"/>
  <c r="Y497" i="1"/>
  <c r="Z497" i="1" s="1"/>
  <c r="AO497" i="1"/>
  <c r="Y499" i="1"/>
  <c r="Z499" i="1" s="1"/>
  <c r="AO499" i="1"/>
  <c r="Y501" i="1"/>
  <c r="Z501" i="1" s="1"/>
  <c r="AO501" i="1"/>
  <c r="Y503" i="1"/>
  <c r="Z503" i="1" s="1"/>
  <c r="AO503" i="1"/>
  <c r="Y505" i="1"/>
  <c r="Z505" i="1" s="1"/>
  <c r="AO505" i="1"/>
  <c r="Y507" i="1"/>
  <c r="Z507" i="1" s="1"/>
  <c r="AO507" i="1"/>
  <c r="Y509" i="1"/>
  <c r="Z509" i="1" s="1"/>
  <c r="AO509" i="1"/>
  <c r="Y511" i="1"/>
  <c r="Z511" i="1" s="1"/>
  <c r="AO511" i="1"/>
  <c r="Y513" i="1"/>
  <c r="Z513" i="1" s="1"/>
  <c r="AO513" i="1"/>
  <c r="Y515" i="1"/>
  <c r="Z515" i="1" s="1"/>
  <c r="AO515" i="1"/>
  <c r="Y517" i="1"/>
  <c r="Z517" i="1" s="1"/>
  <c r="AO517" i="1"/>
  <c r="Y519" i="1"/>
  <c r="Z519" i="1" s="1"/>
  <c r="AO519" i="1"/>
  <c r="Y521" i="1"/>
  <c r="Z521" i="1" s="1"/>
  <c r="AO521" i="1"/>
  <c r="Y523" i="1"/>
  <c r="Z523" i="1" s="1"/>
  <c r="AO523" i="1"/>
  <c r="Y525" i="1"/>
  <c r="Z525" i="1" s="1"/>
  <c r="AO525" i="1"/>
  <c r="Y527" i="1"/>
  <c r="Z527" i="1" s="1"/>
  <c r="AO527" i="1"/>
  <c r="Y529" i="1"/>
  <c r="Z529" i="1" s="1"/>
  <c r="AO529" i="1"/>
  <c r="Y531" i="1"/>
  <c r="Z531" i="1" s="1"/>
  <c r="AO531" i="1"/>
  <c r="Y533" i="1"/>
  <c r="Z533" i="1" s="1"/>
  <c r="AO533" i="1"/>
  <c r="Y535" i="1"/>
  <c r="Z535" i="1" s="1"/>
  <c r="AO535" i="1"/>
  <c r="Y537" i="1"/>
  <c r="Z537" i="1" s="1"/>
  <c r="AO537" i="1"/>
  <c r="Y539" i="1"/>
  <c r="Z539" i="1" s="1"/>
  <c r="AO539" i="1"/>
  <c r="Y541" i="1"/>
  <c r="Z541" i="1" s="1"/>
  <c r="AO541" i="1"/>
  <c r="Y490" i="1"/>
  <c r="Z490" i="1" s="1"/>
  <c r="AO490" i="1"/>
  <c r="Y492" i="1"/>
  <c r="Z492" i="1" s="1"/>
  <c r="AO492" i="1"/>
  <c r="Y494" i="1"/>
  <c r="Z494" i="1" s="1"/>
  <c r="AO494" i="1"/>
  <c r="Y496" i="1"/>
  <c r="Z496" i="1" s="1"/>
  <c r="AO496" i="1"/>
  <c r="Y498" i="1"/>
  <c r="Z498" i="1" s="1"/>
  <c r="AO498" i="1"/>
  <c r="Y500" i="1"/>
  <c r="Z500" i="1" s="1"/>
  <c r="AO500" i="1"/>
  <c r="Y502" i="1"/>
  <c r="Z502" i="1" s="1"/>
  <c r="AO502" i="1"/>
  <c r="Y504" i="1"/>
  <c r="Z504" i="1" s="1"/>
  <c r="AO504" i="1"/>
  <c r="Y506" i="1"/>
  <c r="Z506" i="1" s="1"/>
  <c r="AO506" i="1"/>
  <c r="Y508" i="1"/>
  <c r="Z508" i="1" s="1"/>
  <c r="AO508" i="1"/>
  <c r="Y510" i="1"/>
  <c r="Z510" i="1" s="1"/>
  <c r="AO510" i="1"/>
  <c r="Y512" i="1"/>
  <c r="Z512" i="1" s="1"/>
  <c r="AO512" i="1"/>
  <c r="Y514" i="1"/>
  <c r="Z514" i="1" s="1"/>
  <c r="AO514" i="1"/>
  <c r="Y516" i="1"/>
  <c r="Z516" i="1" s="1"/>
  <c r="AO516" i="1"/>
  <c r="Y518" i="1"/>
  <c r="Z518" i="1" s="1"/>
  <c r="AO518" i="1"/>
  <c r="Y520" i="1"/>
  <c r="Z520" i="1" s="1"/>
  <c r="AO520" i="1"/>
  <c r="Y522" i="1"/>
  <c r="Z522" i="1" s="1"/>
  <c r="AO522" i="1"/>
  <c r="Y524" i="1"/>
  <c r="Z524" i="1" s="1"/>
  <c r="AO524" i="1"/>
  <c r="Y526" i="1"/>
  <c r="Z526" i="1" s="1"/>
  <c r="AO526" i="1"/>
  <c r="Y528" i="1"/>
  <c r="Z528" i="1" s="1"/>
  <c r="AO528" i="1"/>
  <c r="Y530" i="1"/>
  <c r="Z530" i="1" s="1"/>
  <c r="AO530" i="1"/>
  <c r="Y532" i="1"/>
  <c r="Z532" i="1" s="1"/>
  <c r="AO532" i="1"/>
  <c r="Y534" i="1"/>
  <c r="Z534" i="1" s="1"/>
  <c r="AO534" i="1"/>
  <c r="Y536" i="1"/>
  <c r="Z536" i="1" s="1"/>
  <c r="AO536" i="1"/>
  <c r="Y538" i="1"/>
  <c r="Z538" i="1" s="1"/>
  <c r="AO538" i="1"/>
  <c r="Y540" i="1"/>
  <c r="Z540" i="1" s="1"/>
  <c r="AO540" i="1"/>
  <c r="Y542" i="1"/>
  <c r="Z542" i="1" s="1"/>
  <c r="AO542" i="1"/>
  <c r="T489" i="1"/>
  <c r="AN489" i="1" s="1"/>
  <c r="AA489" i="1"/>
  <c r="AM489" i="1"/>
  <c r="T491" i="1"/>
  <c r="AN491" i="1" s="1"/>
  <c r="AA491" i="1"/>
  <c r="AM491" i="1"/>
  <c r="T493" i="1"/>
  <c r="AN493" i="1" s="1"/>
  <c r="AA493" i="1"/>
  <c r="AM493" i="1"/>
  <c r="T495" i="1"/>
  <c r="AN495" i="1" s="1"/>
  <c r="AA495" i="1"/>
  <c r="AM495" i="1"/>
  <c r="T497" i="1"/>
  <c r="AN497" i="1" s="1"/>
  <c r="AA497" i="1"/>
  <c r="AM497" i="1"/>
  <c r="T499" i="1"/>
  <c r="AN499" i="1" s="1"/>
  <c r="AA499" i="1"/>
  <c r="AM499" i="1"/>
  <c r="T501" i="1"/>
  <c r="AN501" i="1" s="1"/>
  <c r="AA501" i="1"/>
  <c r="AM501" i="1"/>
  <c r="T503" i="1"/>
  <c r="AN503" i="1" s="1"/>
  <c r="AA503" i="1"/>
  <c r="AM503" i="1"/>
  <c r="T505" i="1"/>
  <c r="AN505" i="1" s="1"/>
  <c r="AA505" i="1"/>
  <c r="AM505" i="1"/>
  <c r="T507" i="1"/>
  <c r="AN507" i="1" s="1"/>
  <c r="AA507" i="1"/>
  <c r="AM507" i="1"/>
  <c r="T509" i="1"/>
  <c r="AN509" i="1" s="1"/>
  <c r="AA509" i="1"/>
  <c r="AM509" i="1"/>
  <c r="T511" i="1"/>
  <c r="AN511" i="1" s="1"/>
  <c r="AA511" i="1"/>
  <c r="AM511" i="1"/>
  <c r="T513" i="1"/>
  <c r="AN513" i="1" s="1"/>
  <c r="AA513" i="1"/>
  <c r="AM513" i="1"/>
  <c r="T515" i="1"/>
  <c r="AN515" i="1" s="1"/>
  <c r="AA515" i="1"/>
  <c r="AM515" i="1"/>
  <c r="T517" i="1"/>
  <c r="AN517" i="1" s="1"/>
  <c r="AA517" i="1"/>
  <c r="AM517" i="1"/>
  <c r="T519" i="1"/>
  <c r="AN519" i="1" s="1"/>
  <c r="AA519" i="1"/>
  <c r="AM519" i="1"/>
  <c r="T521" i="1"/>
  <c r="AN521" i="1" s="1"/>
  <c r="AA521" i="1"/>
  <c r="AM521" i="1"/>
  <c r="T523" i="1"/>
  <c r="AN523" i="1" s="1"/>
  <c r="AA523" i="1"/>
  <c r="AM523" i="1"/>
  <c r="T525" i="1"/>
  <c r="AN525" i="1" s="1"/>
  <c r="AA525" i="1"/>
  <c r="AM525" i="1"/>
  <c r="T527" i="1"/>
  <c r="AN527" i="1" s="1"/>
  <c r="AA527" i="1"/>
  <c r="AM527" i="1"/>
  <c r="T529" i="1"/>
  <c r="AN529" i="1" s="1"/>
  <c r="AA529" i="1"/>
  <c r="AM529" i="1"/>
  <c r="T531" i="1"/>
  <c r="AN531" i="1" s="1"/>
  <c r="AA531" i="1"/>
  <c r="AM531" i="1"/>
  <c r="T533" i="1"/>
  <c r="AN533" i="1" s="1"/>
  <c r="AA533" i="1"/>
  <c r="AM533" i="1"/>
  <c r="T535" i="1"/>
  <c r="AN535" i="1" s="1"/>
  <c r="AA535" i="1"/>
  <c r="AM535" i="1"/>
  <c r="T537" i="1"/>
  <c r="AN537" i="1" s="1"/>
  <c r="AA537" i="1"/>
  <c r="AM537" i="1"/>
  <c r="T539" i="1"/>
  <c r="AN539" i="1" s="1"/>
  <c r="AA539" i="1"/>
  <c r="AM539" i="1"/>
  <c r="T541" i="1"/>
  <c r="AN541" i="1" s="1"/>
  <c r="AA541" i="1"/>
  <c r="AM541" i="1"/>
  <c r="T490" i="1"/>
  <c r="AN490" i="1" s="1"/>
  <c r="AA490" i="1"/>
  <c r="AM490" i="1"/>
  <c r="T492" i="1"/>
  <c r="AN492" i="1" s="1"/>
  <c r="AA492" i="1"/>
  <c r="AM492" i="1"/>
  <c r="T494" i="1"/>
  <c r="AN494" i="1" s="1"/>
  <c r="AA494" i="1"/>
  <c r="AM494" i="1"/>
  <c r="T496" i="1"/>
  <c r="AN496" i="1" s="1"/>
  <c r="AA496" i="1"/>
  <c r="AM496" i="1"/>
  <c r="T498" i="1"/>
  <c r="AN498" i="1" s="1"/>
  <c r="AA498" i="1"/>
  <c r="AM498" i="1"/>
  <c r="T500" i="1"/>
  <c r="AN500" i="1" s="1"/>
  <c r="AA500" i="1"/>
  <c r="AM500" i="1"/>
  <c r="T502" i="1"/>
  <c r="AN502" i="1" s="1"/>
  <c r="AA502" i="1"/>
  <c r="AM502" i="1"/>
  <c r="T504" i="1"/>
  <c r="AN504" i="1" s="1"/>
  <c r="AA504" i="1"/>
  <c r="AM504" i="1"/>
  <c r="T506" i="1"/>
  <c r="AN506" i="1" s="1"/>
  <c r="AA506" i="1"/>
  <c r="AM506" i="1"/>
  <c r="T508" i="1"/>
  <c r="AN508" i="1" s="1"/>
  <c r="AA508" i="1"/>
  <c r="AM508" i="1"/>
  <c r="T510" i="1"/>
  <c r="AN510" i="1" s="1"/>
  <c r="AA510" i="1"/>
  <c r="AM510" i="1"/>
  <c r="T512" i="1"/>
  <c r="AN512" i="1" s="1"/>
  <c r="AA512" i="1"/>
  <c r="AM512" i="1"/>
  <c r="T514" i="1"/>
  <c r="AN514" i="1" s="1"/>
  <c r="AA514" i="1"/>
  <c r="AM514" i="1"/>
  <c r="T516" i="1"/>
  <c r="AN516" i="1" s="1"/>
  <c r="AA516" i="1"/>
  <c r="AM516" i="1"/>
  <c r="T518" i="1"/>
  <c r="AN518" i="1" s="1"/>
  <c r="AA518" i="1"/>
  <c r="AM518" i="1"/>
  <c r="T520" i="1"/>
  <c r="AN520" i="1" s="1"/>
  <c r="AA520" i="1"/>
  <c r="AM520" i="1"/>
  <c r="T522" i="1"/>
  <c r="AN522" i="1" s="1"/>
  <c r="AA522" i="1"/>
  <c r="AM522" i="1"/>
  <c r="T524" i="1"/>
  <c r="AN524" i="1" s="1"/>
  <c r="AA524" i="1"/>
  <c r="AM524" i="1"/>
  <c r="T526" i="1"/>
  <c r="AN526" i="1" s="1"/>
  <c r="AA526" i="1"/>
  <c r="AM526" i="1"/>
  <c r="T528" i="1"/>
  <c r="AN528" i="1" s="1"/>
  <c r="AA528" i="1"/>
  <c r="AM528" i="1"/>
  <c r="T530" i="1"/>
  <c r="AN530" i="1" s="1"/>
  <c r="AA530" i="1"/>
  <c r="AM530" i="1"/>
  <c r="T532" i="1"/>
  <c r="AN532" i="1" s="1"/>
  <c r="AA532" i="1"/>
  <c r="AM532" i="1"/>
  <c r="T534" i="1"/>
  <c r="AN534" i="1" s="1"/>
  <c r="AA534" i="1"/>
  <c r="AM534" i="1"/>
  <c r="T536" i="1"/>
  <c r="AN536" i="1" s="1"/>
  <c r="AA536" i="1"/>
  <c r="AM536" i="1"/>
  <c r="T538" i="1"/>
  <c r="AN538" i="1" s="1"/>
  <c r="AA538" i="1"/>
  <c r="AM538" i="1"/>
  <c r="T540" i="1"/>
  <c r="AN540" i="1" s="1"/>
  <c r="AA540" i="1"/>
  <c r="AM540" i="1"/>
  <c r="T542" i="1"/>
  <c r="AN542" i="1" s="1"/>
  <c r="AA542" i="1"/>
  <c r="AM542" i="1"/>
  <c r="Y382" i="1"/>
  <c r="Z382" i="1" s="1"/>
  <c r="AO382" i="1"/>
  <c r="Y384" i="1"/>
  <c r="Z384" i="1" s="1"/>
  <c r="AO384" i="1"/>
  <c r="Y386" i="1"/>
  <c r="Z386" i="1" s="1"/>
  <c r="AO386" i="1"/>
  <c r="Y388" i="1"/>
  <c r="Z388" i="1" s="1"/>
  <c r="AO388" i="1"/>
  <c r="Y390" i="1"/>
  <c r="Z390" i="1" s="1"/>
  <c r="AO390" i="1"/>
  <c r="Y392" i="1"/>
  <c r="Z392" i="1" s="1"/>
  <c r="AO392" i="1"/>
  <c r="Y394" i="1"/>
  <c r="Z394" i="1" s="1"/>
  <c r="AO394" i="1"/>
  <c r="Y396" i="1"/>
  <c r="Z396" i="1" s="1"/>
  <c r="AO396" i="1"/>
  <c r="Y398" i="1"/>
  <c r="Z398" i="1" s="1"/>
  <c r="AO398" i="1"/>
  <c r="Y400" i="1"/>
  <c r="Z400" i="1" s="1"/>
  <c r="AO400" i="1"/>
  <c r="Y402" i="1"/>
  <c r="Z402" i="1" s="1"/>
  <c r="AO402" i="1"/>
  <c r="Y404" i="1"/>
  <c r="Z404" i="1" s="1"/>
  <c r="AO404" i="1"/>
  <c r="Y406" i="1"/>
  <c r="Z406" i="1" s="1"/>
  <c r="AO406" i="1"/>
  <c r="Y408" i="1"/>
  <c r="Z408" i="1" s="1"/>
  <c r="AO408" i="1"/>
  <c r="Y410" i="1"/>
  <c r="Z410" i="1" s="1"/>
  <c r="AO410" i="1"/>
  <c r="Y412" i="1"/>
  <c r="Z412" i="1" s="1"/>
  <c r="AO412" i="1"/>
  <c r="Y414" i="1"/>
  <c r="Z414" i="1" s="1"/>
  <c r="AO414" i="1"/>
  <c r="Y416" i="1"/>
  <c r="Z416" i="1" s="1"/>
  <c r="AO416" i="1"/>
  <c r="Y418" i="1"/>
  <c r="Z418" i="1" s="1"/>
  <c r="AO418" i="1"/>
  <c r="Y420" i="1"/>
  <c r="Z420" i="1" s="1"/>
  <c r="AO420" i="1"/>
  <c r="Y422" i="1"/>
  <c r="Z422" i="1" s="1"/>
  <c r="AO422" i="1"/>
  <c r="Y424" i="1"/>
  <c r="Z424" i="1" s="1"/>
  <c r="AO424" i="1"/>
  <c r="Y426" i="1"/>
  <c r="Z426" i="1" s="1"/>
  <c r="AO426" i="1"/>
  <c r="Y428" i="1"/>
  <c r="Z428" i="1" s="1"/>
  <c r="AO428" i="1"/>
  <c r="Y430" i="1"/>
  <c r="Z430" i="1" s="1"/>
  <c r="AO430" i="1"/>
  <c r="Y432" i="1"/>
  <c r="Z432" i="1" s="1"/>
  <c r="AO432" i="1"/>
  <c r="Y434" i="1"/>
  <c r="Z434" i="1" s="1"/>
  <c r="AO434" i="1"/>
  <c r="Y381" i="1"/>
  <c r="Z381" i="1" s="1"/>
  <c r="AO381" i="1"/>
  <c r="Y383" i="1"/>
  <c r="Z383" i="1" s="1"/>
  <c r="AO383" i="1"/>
  <c r="Y385" i="1"/>
  <c r="Z385" i="1" s="1"/>
  <c r="AO385" i="1"/>
  <c r="Y387" i="1"/>
  <c r="Z387" i="1" s="1"/>
  <c r="AO387" i="1"/>
  <c r="Y389" i="1"/>
  <c r="Z389" i="1" s="1"/>
  <c r="AO389" i="1"/>
  <c r="Y391" i="1"/>
  <c r="Z391" i="1" s="1"/>
  <c r="AO391" i="1"/>
  <c r="Y393" i="1"/>
  <c r="Z393" i="1" s="1"/>
  <c r="AO393" i="1"/>
  <c r="Y395" i="1"/>
  <c r="Z395" i="1" s="1"/>
  <c r="AO395" i="1"/>
  <c r="Y397" i="1"/>
  <c r="Z397" i="1" s="1"/>
  <c r="AO397" i="1"/>
  <c r="AO399" i="1"/>
  <c r="Y399" i="1"/>
  <c r="Z399" i="1" s="1"/>
  <c r="Y401" i="1"/>
  <c r="Z401" i="1" s="1"/>
  <c r="AO401" i="1"/>
  <c r="AO403" i="1"/>
  <c r="Y403" i="1"/>
  <c r="Z403" i="1" s="1"/>
  <c r="Y405" i="1"/>
  <c r="Z405" i="1" s="1"/>
  <c r="AO405" i="1"/>
  <c r="AO407" i="1"/>
  <c r="Y407" i="1"/>
  <c r="Z407" i="1" s="1"/>
  <c r="Y409" i="1"/>
  <c r="Z409" i="1" s="1"/>
  <c r="AO409" i="1"/>
  <c r="AO411" i="1"/>
  <c r="Y411" i="1"/>
  <c r="Z411" i="1" s="1"/>
  <c r="Y413" i="1"/>
  <c r="Z413" i="1" s="1"/>
  <c r="AO413" i="1"/>
  <c r="AO415" i="1"/>
  <c r="Y415" i="1"/>
  <c r="Z415" i="1" s="1"/>
  <c r="Y417" i="1"/>
  <c r="Z417" i="1" s="1"/>
  <c r="AO417" i="1"/>
  <c r="AO419" i="1"/>
  <c r="Y419" i="1"/>
  <c r="Z419" i="1" s="1"/>
  <c r="Y421" i="1"/>
  <c r="Z421" i="1" s="1"/>
  <c r="AO421" i="1"/>
  <c r="AO423" i="1"/>
  <c r="Y423" i="1"/>
  <c r="Z423" i="1" s="1"/>
  <c r="Y425" i="1"/>
  <c r="Z425" i="1" s="1"/>
  <c r="AO425" i="1"/>
  <c r="AO427" i="1"/>
  <c r="Y427" i="1"/>
  <c r="Z427" i="1" s="1"/>
  <c r="Y429" i="1"/>
  <c r="Z429" i="1" s="1"/>
  <c r="AO429" i="1"/>
  <c r="AO431" i="1"/>
  <c r="Y431" i="1"/>
  <c r="Z431" i="1" s="1"/>
  <c r="Y433" i="1"/>
  <c r="Z433" i="1" s="1"/>
  <c r="AO433" i="1"/>
  <c r="T382" i="1"/>
  <c r="AN382" i="1" s="1"/>
  <c r="AA382" i="1"/>
  <c r="AM382" i="1"/>
  <c r="T384" i="1"/>
  <c r="AN384" i="1" s="1"/>
  <c r="AA384" i="1"/>
  <c r="AM384" i="1"/>
  <c r="T386" i="1"/>
  <c r="AN386" i="1" s="1"/>
  <c r="AA386" i="1"/>
  <c r="AM386" i="1"/>
  <c r="T388" i="1"/>
  <c r="AN388" i="1" s="1"/>
  <c r="AA388" i="1"/>
  <c r="AM388" i="1"/>
  <c r="T390" i="1"/>
  <c r="AN390" i="1" s="1"/>
  <c r="AA390" i="1"/>
  <c r="AM390" i="1"/>
  <c r="T392" i="1"/>
  <c r="AN392" i="1" s="1"/>
  <c r="AA392" i="1"/>
  <c r="AM392" i="1"/>
  <c r="T394" i="1"/>
  <c r="AN394" i="1" s="1"/>
  <c r="AA394" i="1"/>
  <c r="AM394" i="1"/>
  <c r="T396" i="1"/>
  <c r="AN396" i="1" s="1"/>
  <c r="AA396" i="1"/>
  <c r="AM396" i="1"/>
  <c r="T398" i="1"/>
  <c r="AN398" i="1" s="1"/>
  <c r="AA398" i="1"/>
  <c r="AM398" i="1"/>
  <c r="T400" i="1"/>
  <c r="AN400" i="1" s="1"/>
  <c r="AA400" i="1"/>
  <c r="AM400" i="1"/>
  <c r="T402" i="1"/>
  <c r="AN402" i="1" s="1"/>
  <c r="AA402" i="1"/>
  <c r="AM402" i="1"/>
  <c r="T404" i="1"/>
  <c r="AN404" i="1" s="1"/>
  <c r="AA404" i="1"/>
  <c r="AM404" i="1"/>
  <c r="T406" i="1"/>
  <c r="AN406" i="1" s="1"/>
  <c r="AA406" i="1"/>
  <c r="AM406" i="1"/>
  <c r="T408" i="1"/>
  <c r="AN408" i="1" s="1"/>
  <c r="AA408" i="1"/>
  <c r="AM408" i="1"/>
  <c r="T410" i="1"/>
  <c r="AN410" i="1" s="1"/>
  <c r="AA410" i="1"/>
  <c r="AM410" i="1"/>
  <c r="T412" i="1"/>
  <c r="AN412" i="1" s="1"/>
  <c r="AA412" i="1"/>
  <c r="AM412" i="1"/>
  <c r="T414" i="1"/>
  <c r="AN414" i="1" s="1"/>
  <c r="AA414" i="1"/>
  <c r="AM414" i="1"/>
  <c r="T416" i="1"/>
  <c r="AN416" i="1" s="1"/>
  <c r="AA416" i="1"/>
  <c r="AM416" i="1"/>
  <c r="T418" i="1"/>
  <c r="AN418" i="1" s="1"/>
  <c r="AA418" i="1"/>
  <c r="AM418" i="1"/>
  <c r="T420" i="1"/>
  <c r="AN420" i="1" s="1"/>
  <c r="AA420" i="1"/>
  <c r="AM420" i="1"/>
  <c r="T422" i="1"/>
  <c r="AN422" i="1" s="1"/>
  <c r="AA422" i="1"/>
  <c r="AM422" i="1"/>
  <c r="T424" i="1"/>
  <c r="AN424" i="1" s="1"/>
  <c r="AA424" i="1"/>
  <c r="AM424" i="1"/>
  <c r="T426" i="1"/>
  <c r="AN426" i="1" s="1"/>
  <c r="AA426" i="1"/>
  <c r="AM426" i="1"/>
  <c r="T428" i="1"/>
  <c r="AN428" i="1" s="1"/>
  <c r="AA428" i="1"/>
  <c r="AM428" i="1"/>
  <c r="T430" i="1"/>
  <c r="AN430" i="1" s="1"/>
  <c r="AA430" i="1"/>
  <c r="AM430" i="1"/>
  <c r="T432" i="1"/>
  <c r="AN432" i="1" s="1"/>
  <c r="AA432" i="1"/>
  <c r="AM432" i="1"/>
  <c r="T434" i="1"/>
  <c r="AN434" i="1" s="1"/>
  <c r="AA434" i="1"/>
  <c r="AM434" i="1"/>
  <c r="T381" i="1"/>
  <c r="AN381" i="1" s="1"/>
  <c r="AA381" i="1"/>
  <c r="AM381" i="1"/>
  <c r="T383" i="1"/>
  <c r="AN383" i="1" s="1"/>
  <c r="AM383" i="1"/>
  <c r="AA383" i="1"/>
  <c r="T385" i="1"/>
  <c r="AN385" i="1" s="1"/>
  <c r="AA385" i="1"/>
  <c r="AM385" i="1"/>
  <c r="T387" i="1"/>
  <c r="AN387" i="1" s="1"/>
  <c r="AM387" i="1"/>
  <c r="AA387" i="1"/>
  <c r="T389" i="1"/>
  <c r="AN389" i="1" s="1"/>
  <c r="AA389" i="1"/>
  <c r="AM389" i="1"/>
  <c r="T391" i="1"/>
  <c r="AN391" i="1" s="1"/>
  <c r="AM391" i="1"/>
  <c r="AA391" i="1"/>
  <c r="T393" i="1"/>
  <c r="AN393" i="1" s="1"/>
  <c r="AA393" i="1"/>
  <c r="AM393" i="1"/>
  <c r="T395" i="1"/>
  <c r="AN395" i="1" s="1"/>
  <c r="AM395" i="1"/>
  <c r="AA395" i="1"/>
  <c r="T397" i="1"/>
  <c r="AN397" i="1" s="1"/>
  <c r="AA397" i="1"/>
  <c r="AM397" i="1"/>
  <c r="T399" i="1"/>
  <c r="AN399" i="1" s="1"/>
  <c r="AM399" i="1"/>
  <c r="AA399" i="1"/>
  <c r="T401" i="1"/>
  <c r="AN401" i="1" s="1"/>
  <c r="AA401" i="1"/>
  <c r="AM401" i="1"/>
  <c r="T403" i="1"/>
  <c r="AN403" i="1" s="1"/>
  <c r="AM403" i="1"/>
  <c r="AA403" i="1"/>
  <c r="T405" i="1"/>
  <c r="AN405" i="1" s="1"/>
  <c r="AA405" i="1"/>
  <c r="AM405" i="1"/>
  <c r="T407" i="1"/>
  <c r="AN407" i="1" s="1"/>
  <c r="AM407" i="1"/>
  <c r="AA407" i="1"/>
  <c r="T409" i="1"/>
  <c r="AN409" i="1" s="1"/>
  <c r="AA409" i="1"/>
  <c r="AM409" i="1"/>
  <c r="T411" i="1"/>
  <c r="AN411" i="1" s="1"/>
  <c r="AM411" i="1"/>
  <c r="AA411" i="1"/>
  <c r="T413" i="1"/>
  <c r="AN413" i="1" s="1"/>
  <c r="AA413" i="1"/>
  <c r="AM413" i="1"/>
  <c r="T415" i="1"/>
  <c r="AN415" i="1" s="1"/>
  <c r="AM415" i="1"/>
  <c r="AA415" i="1"/>
  <c r="T417" i="1"/>
  <c r="AN417" i="1" s="1"/>
  <c r="AA417" i="1"/>
  <c r="AM417" i="1"/>
  <c r="T419" i="1"/>
  <c r="AN419" i="1" s="1"/>
  <c r="AM419" i="1"/>
  <c r="AA419" i="1"/>
  <c r="T421" i="1"/>
  <c r="AN421" i="1" s="1"/>
  <c r="AA421" i="1"/>
  <c r="AM421" i="1"/>
  <c r="T423" i="1"/>
  <c r="AN423" i="1" s="1"/>
  <c r="AM423" i="1"/>
  <c r="AA423" i="1"/>
  <c r="T425" i="1"/>
  <c r="AN425" i="1" s="1"/>
  <c r="AA425" i="1"/>
  <c r="AM425" i="1"/>
  <c r="T427" i="1"/>
  <c r="AN427" i="1" s="1"/>
  <c r="AM427" i="1"/>
  <c r="AA427" i="1"/>
  <c r="T429" i="1"/>
  <c r="AN429" i="1" s="1"/>
  <c r="AA429" i="1"/>
  <c r="AM429" i="1"/>
  <c r="T431" i="1"/>
  <c r="AN431" i="1" s="1"/>
  <c r="AM431" i="1"/>
  <c r="AA431" i="1"/>
  <c r="T433" i="1"/>
  <c r="AN433" i="1" s="1"/>
  <c r="AA433" i="1"/>
  <c r="AM433" i="1"/>
  <c r="Y436" i="1"/>
  <c r="Z436" i="1" s="1"/>
  <c r="AO436" i="1"/>
  <c r="Y438" i="1"/>
  <c r="Z438" i="1" s="1"/>
  <c r="AO438" i="1"/>
  <c r="Y440" i="1"/>
  <c r="Z440" i="1" s="1"/>
  <c r="AO440" i="1"/>
  <c r="Y442" i="1"/>
  <c r="Z442" i="1" s="1"/>
  <c r="AO442" i="1"/>
  <c r="Y444" i="1"/>
  <c r="Z444" i="1" s="1"/>
  <c r="AO444" i="1"/>
  <c r="Y446" i="1"/>
  <c r="Z446" i="1" s="1"/>
  <c r="AO446" i="1"/>
  <c r="Y448" i="1"/>
  <c r="Z448" i="1" s="1"/>
  <c r="AO448" i="1"/>
  <c r="Y450" i="1"/>
  <c r="Z450" i="1" s="1"/>
  <c r="AO450" i="1"/>
  <c r="Y452" i="1"/>
  <c r="Z452" i="1" s="1"/>
  <c r="AO452" i="1"/>
  <c r="Y454" i="1"/>
  <c r="Z454" i="1" s="1"/>
  <c r="AO454" i="1"/>
  <c r="Y456" i="1"/>
  <c r="Z456" i="1" s="1"/>
  <c r="AO456" i="1"/>
  <c r="Y458" i="1"/>
  <c r="Z458" i="1" s="1"/>
  <c r="AO458" i="1"/>
  <c r="Y460" i="1"/>
  <c r="Z460" i="1" s="1"/>
  <c r="AO460" i="1"/>
  <c r="Y462" i="1"/>
  <c r="Z462" i="1" s="1"/>
  <c r="AO462" i="1"/>
  <c r="Y464" i="1"/>
  <c r="Z464" i="1" s="1"/>
  <c r="AO464" i="1"/>
  <c r="Y466" i="1"/>
  <c r="Z466" i="1" s="1"/>
  <c r="AO466" i="1"/>
  <c r="Y468" i="1"/>
  <c r="Z468" i="1" s="1"/>
  <c r="AO468" i="1"/>
  <c r="Y470" i="1"/>
  <c r="Z470" i="1" s="1"/>
  <c r="AO470" i="1"/>
  <c r="Y472" i="1"/>
  <c r="Z472" i="1" s="1"/>
  <c r="AO472" i="1"/>
  <c r="Y474" i="1"/>
  <c r="Z474" i="1" s="1"/>
  <c r="AO474" i="1"/>
  <c r="Y476" i="1"/>
  <c r="Z476" i="1" s="1"/>
  <c r="AO476" i="1"/>
  <c r="Y478" i="1"/>
  <c r="Z478" i="1" s="1"/>
  <c r="AO478" i="1"/>
  <c r="Y480" i="1"/>
  <c r="Z480" i="1" s="1"/>
  <c r="AO480" i="1"/>
  <c r="Y482" i="1"/>
  <c r="Z482" i="1" s="1"/>
  <c r="AO482" i="1"/>
  <c r="Y484" i="1"/>
  <c r="Z484" i="1" s="1"/>
  <c r="AO484" i="1"/>
  <c r="Y486" i="1"/>
  <c r="Z486" i="1" s="1"/>
  <c r="AO486" i="1"/>
  <c r="Y488" i="1"/>
  <c r="Z488" i="1" s="1"/>
  <c r="AO488" i="1"/>
  <c r="Y435" i="1"/>
  <c r="Z435" i="1" s="1"/>
  <c r="AO435" i="1"/>
  <c r="Y437" i="1"/>
  <c r="Z437" i="1" s="1"/>
  <c r="AO437" i="1"/>
  <c r="T439" i="1"/>
  <c r="AN439" i="1" s="1"/>
  <c r="AA439" i="1"/>
  <c r="AM439" i="1"/>
  <c r="Y441" i="1"/>
  <c r="Z441" i="1" s="1"/>
  <c r="AO441" i="1"/>
  <c r="Y443" i="1"/>
  <c r="Z443" i="1" s="1"/>
  <c r="AO443" i="1"/>
  <c r="Y445" i="1"/>
  <c r="Z445" i="1" s="1"/>
  <c r="AO445" i="1"/>
  <c r="T447" i="1"/>
  <c r="AN447" i="1" s="1"/>
  <c r="AA447" i="1"/>
  <c r="AM447" i="1"/>
  <c r="Y449" i="1"/>
  <c r="Z449" i="1" s="1"/>
  <c r="AO449" i="1"/>
  <c r="Y451" i="1"/>
  <c r="Z451" i="1" s="1"/>
  <c r="AO451" i="1"/>
  <c r="Y453" i="1"/>
  <c r="Z453" i="1" s="1"/>
  <c r="AO453" i="1"/>
  <c r="T455" i="1"/>
  <c r="AN455" i="1" s="1"/>
  <c r="AA455" i="1"/>
  <c r="AM455" i="1"/>
  <c r="Y457" i="1"/>
  <c r="Z457" i="1" s="1"/>
  <c r="AO457" i="1"/>
  <c r="Y459" i="1"/>
  <c r="Z459" i="1" s="1"/>
  <c r="AO459" i="1"/>
  <c r="Y461" i="1"/>
  <c r="Z461" i="1" s="1"/>
  <c r="AO461" i="1"/>
  <c r="T463" i="1"/>
  <c r="AN463" i="1" s="1"/>
  <c r="AA463" i="1"/>
  <c r="AM463" i="1"/>
  <c r="Y465" i="1"/>
  <c r="Z465" i="1" s="1"/>
  <c r="AO465" i="1"/>
  <c r="Y467" i="1"/>
  <c r="Z467" i="1" s="1"/>
  <c r="AO467" i="1"/>
  <c r="Y469" i="1"/>
  <c r="Z469" i="1" s="1"/>
  <c r="AO469" i="1"/>
  <c r="T471" i="1"/>
  <c r="AN471" i="1" s="1"/>
  <c r="AA471" i="1"/>
  <c r="AM471" i="1"/>
  <c r="Y473" i="1"/>
  <c r="Z473" i="1" s="1"/>
  <c r="AO473" i="1"/>
  <c r="Y475" i="1"/>
  <c r="Z475" i="1" s="1"/>
  <c r="AO475" i="1"/>
  <c r="Y477" i="1"/>
  <c r="Z477" i="1" s="1"/>
  <c r="AO477" i="1"/>
  <c r="T479" i="1"/>
  <c r="AN479" i="1" s="1"/>
  <c r="AA479" i="1"/>
  <c r="AM479" i="1"/>
  <c r="Y481" i="1"/>
  <c r="Z481" i="1" s="1"/>
  <c r="AO481" i="1"/>
  <c r="Y483" i="1"/>
  <c r="Z483" i="1" s="1"/>
  <c r="AO483" i="1"/>
  <c r="Y485" i="1"/>
  <c r="Z485" i="1" s="1"/>
  <c r="AO485" i="1"/>
  <c r="T487" i="1"/>
  <c r="AN487" i="1" s="1"/>
  <c r="AA487" i="1"/>
  <c r="AM487" i="1"/>
  <c r="T436" i="1"/>
  <c r="AN436" i="1" s="1"/>
  <c r="AA436" i="1"/>
  <c r="AM436" i="1"/>
  <c r="T438" i="1"/>
  <c r="AN438" i="1" s="1"/>
  <c r="AM438" i="1"/>
  <c r="AA438" i="1"/>
  <c r="T440" i="1"/>
  <c r="AN440" i="1" s="1"/>
  <c r="AA440" i="1"/>
  <c r="AM440" i="1"/>
  <c r="T442" i="1"/>
  <c r="AN442" i="1" s="1"/>
  <c r="AM442" i="1"/>
  <c r="AA442" i="1"/>
  <c r="T444" i="1"/>
  <c r="AN444" i="1" s="1"/>
  <c r="AA444" i="1"/>
  <c r="AM444" i="1"/>
  <c r="T446" i="1"/>
  <c r="AN446" i="1" s="1"/>
  <c r="AM446" i="1"/>
  <c r="AA446" i="1"/>
  <c r="T448" i="1"/>
  <c r="AN448" i="1" s="1"/>
  <c r="AA448" i="1"/>
  <c r="AM448" i="1"/>
  <c r="T450" i="1"/>
  <c r="AN450" i="1" s="1"/>
  <c r="AM450" i="1"/>
  <c r="AA450" i="1"/>
  <c r="T452" i="1"/>
  <c r="AN452" i="1" s="1"/>
  <c r="AA452" i="1"/>
  <c r="AM452" i="1"/>
  <c r="T454" i="1"/>
  <c r="AN454" i="1" s="1"/>
  <c r="AM454" i="1"/>
  <c r="AA454" i="1"/>
  <c r="T456" i="1"/>
  <c r="AN456" i="1" s="1"/>
  <c r="AA456" i="1"/>
  <c r="AM456" i="1"/>
  <c r="T458" i="1"/>
  <c r="AN458" i="1" s="1"/>
  <c r="AM458" i="1"/>
  <c r="AA458" i="1"/>
  <c r="T460" i="1"/>
  <c r="AN460" i="1" s="1"/>
  <c r="AA460" i="1"/>
  <c r="AM460" i="1"/>
  <c r="T462" i="1"/>
  <c r="AN462" i="1" s="1"/>
  <c r="AM462" i="1"/>
  <c r="AA462" i="1"/>
  <c r="T464" i="1"/>
  <c r="AN464" i="1" s="1"/>
  <c r="AA464" i="1"/>
  <c r="AM464" i="1"/>
  <c r="T466" i="1"/>
  <c r="AN466" i="1" s="1"/>
  <c r="AM466" i="1"/>
  <c r="AA466" i="1"/>
  <c r="T468" i="1"/>
  <c r="AN468" i="1" s="1"/>
  <c r="AA468" i="1"/>
  <c r="AM468" i="1"/>
  <c r="T470" i="1"/>
  <c r="AN470" i="1" s="1"/>
  <c r="AM470" i="1"/>
  <c r="AA470" i="1"/>
  <c r="T472" i="1"/>
  <c r="AN472" i="1" s="1"/>
  <c r="AA472" i="1"/>
  <c r="AM472" i="1"/>
  <c r="T474" i="1"/>
  <c r="AN474" i="1" s="1"/>
  <c r="AM474" i="1"/>
  <c r="AA474" i="1"/>
  <c r="T476" i="1"/>
  <c r="AN476" i="1" s="1"/>
  <c r="AA476" i="1"/>
  <c r="AM476" i="1"/>
  <c r="T478" i="1"/>
  <c r="AN478" i="1" s="1"/>
  <c r="AM478" i="1"/>
  <c r="AA478" i="1"/>
  <c r="T480" i="1"/>
  <c r="AN480" i="1" s="1"/>
  <c r="AA480" i="1"/>
  <c r="AM480" i="1"/>
  <c r="T482" i="1"/>
  <c r="AN482" i="1" s="1"/>
  <c r="AM482" i="1"/>
  <c r="AA482" i="1"/>
  <c r="T484" i="1"/>
  <c r="AN484" i="1" s="1"/>
  <c r="AA484" i="1"/>
  <c r="AM484" i="1"/>
  <c r="T486" i="1"/>
  <c r="AN486" i="1" s="1"/>
  <c r="AM486" i="1"/>
  <c r="AA486" i="1"/>
  <c r="T488" i="1"/>
  <c r="AN488" i="1" s="1"/>
  <c r="AA488" i="1"/>
  <c r="AM488" i="1"/>
  <c r="T435" i="1"/>
  <c r="AN435" i="1" s="1"/>
  <c r="AA435" i="1"/>
  <c r="AM435" i="1"/>
  <c r="T437" i="1"/>
  <c r="AN437" i="1" s="1"/>
  <c r="AA437" i="1"/>
  <c r="AM437" i="1"/>
  <c r="Y439" i="1"/>
  <c r="Z439" i="1" s="1"/>
  <c r="AO439" i="1"/>
  <c r="T441" i="1"/>
  <c r="AN441" i="1" s="1"/>
  <c r="AA441" i="1"/>
  <c r="AM441" i="1"/>
  <c r="T443" i="1"/>
  <c r="AN443" i="1" s="1"/>
  <c r="AA443" i="1"/>
  <c r="AM443" i="1"/>
  <c r="T445" i="1"/>
  <c r="AN445" i="1" s="1"/>
  <c r="AA445" i="1"/>
  <c r="AM445" i="1"/>
  <c r="Y447" i="1"/>
  <c r="Z447" i="1" s="1"/>
  <c r="AO447" i="1"/>
  <c r="T449" i="1"/>
  <c r="AN449" i="1" s="1"/>
  <c r="AA449" i="1"/>
  <c r="AM449" i="1"/>
  <c r="T451" i="1"/>
  <c r="AN451" i="1" s="1"/>
  <c r="AA451" i="1"/>
  <c r="AM451" i="1"/>
  <c r="T453" i="1"/>
  <c r="AN453" i="1" s="1"/>
  <c r="AA453" i="1"/>
  <c r="AM453" i="1"/>
  <c r="Y455" i="1"/>
  <c r="Z455" i="1" s="1"/>
  <c r="AO455" i="1"/>
  <c r="T457" i="1"/>
  <c r="AN457" i="1" s="1"/>
  <c r="AA457" i="1"/>
  <c r="AM457" i="1"/>
  <c r="T459" i="1"/>
  <c r="AN459" i="1" s="1"/>
  <c r="AA459" i="1"/>
  <c r="AM459" i="1"/>
  <c r="T461" i="1"/>
  <c r="AN461" i="1" s="1"/>
  <c r="AA461" i="1"/>
  <c r="AM461" i="1"/>
  <c r="Y463" i="1"/>
  <c r="Z463" i="1" s="1"/>
  <c r="AO463" i="1"/>
  <c r="T465" i="1"/>
  <c r="AN465" i="1" s="1"/>
  <c r="AA465" i="1"/>
  <c r="AM465" i="1"/>
  <c r="T467" i="1"/>
  <c r="AN467" i="1" s="1"/>
  <c r="AA467" i="1"/>
  <c r="AM467" i="1"/>
  <c r="T469" i="1"/>
  <c r="AN469" i="1" s="1"/>
  <c r="AA469" i="1"/>
  <c r="AM469" i="1"/>
  <c r="Y471" i="1"/>
  <c r="Z471" i="1" s="1"/>
  <c r="AO471" i="1"/>
  <c r="T473" i="1"/>
  <c r="AN473" i="1" s="1"/>
  <c r="AA473" i="1"/>
  <c r="AM473" i="1"/>
  <c r="T475" i="1"/>
  <c r="AN475" i="1" s="1"/>
  <c r="AA475" i="1"/>
  <c r="AM475" i="1"/>
  <c r="T477" i="1"/>
  <c r="AN477" i="1" s="1"/>
  <c r="AA477" i="1"/>
  <c r="AM477" i="1"/>
  <c r="Y479" i="1"/>
  <c r="Z479" i="1" s="1"/>
  <c r="AO479" i="1"/>
  <c r="T481" i="1"/>
  <c r="AN481" i="1" s="1"/>
  <c r="AA481" i="1"/>
  <c r="AM481" i="1"/>
  <c r="T483" i="1"/>
  <c r="AN483" i="1" s="1"/>
  <c r="AA483" i="1"/>
  <c r="AM483" i="1"/>
  <c r="T485" i="1"/>
  <c r="AN485" i="1" s="1"/>
  <c r="AA485" i="1"/>
  <c r="AM485" i="1"/>
  <c r="Y487" i="1"/>
  <c r="Z487" i="1" s="1"/>
  <c r="AO487" i="1"/>
  <c r="AD695" i="1"/>
  <c r="Y274" i="1"/>
  <c r="Z274" i="1" s="1"/>
  <c r="AO274" i="1"/>
  <c r="Y276" i="1"/>
  <c r="Z276" i="1" s="1"/>
  <c r="AO276" i="1"/>
  <c r="Y278" i="1"/>
  <c r="Z278" i="1" s="1"/>
  <c r="AO278" i="1"/>
  <c r="Y280" i="1"/>
  <c r="Z280" i="1" s="1"/>
  <c r="AO280" i="1"/>
  <c r="Y282" i="1"/>
  <c r="Z282" i="1" s="1"/>
  <c r="AO282" i="1"/>
  <c r="Y284" i="1"/>
  <c r="Z284" i="1" s="1"/>
  <c r="AO284" i="1"/>
  <c r="Y286" i="1"/>
  <c r="Z286" i="1" s="1"/>
  <c r="AO286" i="1"/>
  <c r="Y288" i="1"/>
  <c r="Z288" i="1" s="1"/>
  <c r="AO288" i="1"/>
  <c r="Y290" i="1"/>
  <c r="Z290" i="1" s="1"/>
  <c r="AO290" i="1"/>
  <c r="Y292" i="1"/>
  <c r="Z292" i="1" s="1"/>
  <c r="AO292" i="1"/>
  <c r="Y294" i="1"/>
  <c r="Z294" i="1" s="1"/>
  <c r="AO294" i="1"/>
  <c r="Y296" i="1"/>
  <c r="Z296" i="1" s="1"/>
  <c r="AO296" i="1"/>
  <c r="Y298" i="1"/>
  <c r="Z298" i="1" s="1"/>
  <c r="AO298" i="1"/>
  <c r="Y300" i="1"/>
  <c r="Z300" i="1" s="1"/>
  <c r="AO300" i="1"/>
  <c r="Y302" i="1"/>
  <c r="Z302" i="1" s="1"/>
  <c r="AO302" i="1"/>
  <c r="Y304" i="1"/>
  <c r="Z304" i="1" s="1"/>
  <c r="AO304" i="1"/>
  <c r="Y306" i="1"/>
  <c r="Z306" i="1" s="1"/>
  <c r="AO306" i="1"/>
  <c r="Y308" i="1"/>
  <c r="Z308" i="1" s="1"/>
  <c r="AO308" i="1"/>
  <c r="Y310" i="1"/>
  <c r="Z310" i="1" s="1"/>
  <c r="AO310" i="1"/>
  <c r="Y312" i="1"/>
  <c r="Z312" i="1" s="1"/>
  <c r="AO312" i="1"/>
  <c r="Y314" i="1"/>
  <c r="Z314" i="1" s="1"/>
  <c r="AO314" i="1"/>
  <c r="Y316" i="1"/>
  <c r="Z316" i="1" s="1"/>
  <c r="AO316" i="1"/>
  <c r="Y318" i="1"/>
  <c r="Z318" i="1" s="1"/>
  <c r="AO318" i="1"/>
  <c r="Y320" i="1"/>
  <c r="Z320" i="1" s="1"/>
  <c r="AO320" i="1"/>
  <c r="Y322" i="1"/>
  <c r="Z322" i="1" s="1"/>
  <c r="AO322" i="1"/>
  <c r="Y324" i="1"/>
  <c r="Z324" i="1" s="1"/>
  <c r="AO324" i="1"/>
  <c r="Y326" i="1"/>
  <c r="Z326" i="1" s="1"/>
  <c r="AO326" i="1"/>
  <c r="Y273" i="1"/>
  <c r="Z273" i="1" s="1"/>
  <c r="AO273" i="1"/>
  <c r="Y275" i="1"/>
  <c r="Z275" i="1" s="1"/>
  <c r="AO275" i="1"/>
  <c r="Y277" i="1"/>
  <c r="Z277" i="1" s="1"/>
  <c r="AO277" i="1"/>
  <c r="Y279" i="1"/>
  <c r="Z279" i="1" s="1"/>
  <c r="AO279" i="1"/>
  <c r="Y281" i="1"/>
  <c r="Z281" i="1" s="1"/>
  <c r="AO281" i="1"/>
  <c r="Y283" i="1"/>
  <c r="Z283" i="1" s="1"/>
  <c r="AO283" i="1"/>
  <c r="Y285" i="1"/>
  <c r="Z285" i="1" s="1"/>
  <c r="AO285" i="1"/>
  <c r="Y287" i="1"/>
  <c r="Z287" i="1" s="1"/>
  <c r="AO287" i="1"/>
  <c r="Y289" i="1"/>
  <c r="Z289" i="1" s="1"/>
  <c r="AO289" i="1"/>
  <c r="Y291" i="1"/>
  <c r="Z291" i="1" s="1"/>
  <c r="AO291" i="1"/>
  <c r="Y293" i="1"/>
  <c r="Z293" i="1" s="1"/>
  <c r="AO293" i="1"/>
  <c r="Y295" i="1"/>
  <c r="Z295" i="1" s="1"/>
  <c r="AO295" i="1"/>
  <c r="Y297" i="1"/>
  <c r="Z297" i="1" s="1"/>
  <c r="AO297" i="1"/>
  <c r="Y299" i="1"/>
  <c r="Z299" i="1" s="1"/>
  <c r="AO299" i="1"/>
  <c r="Y301" i="1"/>
  <c r="Z301" i="1" s="1"/>
  <c r="AO301" i="1"/>
  <c r="Y303" i="1"/>
  <c r="Z303" i="1" s="1"/>
  <c r="AO303" i="1"/>
  <c r="Y305" i="1"/>
  <c r="Z305" i="1" s="1"/>
  <c r="AO305" i="1"/>
  <c r="Y307" i="1"/>
  <c r="Z307" i="1" s="1"/>
  <c r="AO307" i="1"/>
  <c r="Y309" i="1"/>
  <c r="Z309" i="1" s="1"/>
  <c r="AO309" i="1"/>
  <c r="Y311" i="1"/>
  <c r="Z311" i="1" s="1"/>
  <c r="AO311" i="1"/>
  <c r="Y313" i="1"/>
  <c r="Z313" i="1" s="1"/>
  <c r="AO313" i="1"/>
  <c r="Y315" i="1"/>
  <c r="Z315" i="1" s="1"/>
  <c r="AO315" i="1"/>
  <c r="Y317" i="1"/>
  <c r="Z317" i="1" s="1"/>
  <c r="AO317" i="1"/>
  <c r="Y319" i="1"/>
  <c r="Z319" i="1" s="1"/>
  <c r="AO319" i="1"/>
  <c r="Y321" i="1"/>
  <c r="Z321" i="1" s="1"/>
  <c r="AO321" i="1"/>
  <c r="Y323" i="1"/>
  <c r="Z323" i="1" s="1"/>
  <c r="AO323" i="1"/>
  <c r="Y325" i="1"/>
  <c r="Z325" i="1" s="1"/>
  <c r="AO325" i="1"/>
  <c r="AC682" i="1"/>
  <c r="T274" i="1"/>
  <c r="AN274" i="1" s="1"/>
  <c r="AA274" i="1"/>
  <c r="AM274" i="1"/>
  <c r="T276" i="1"/>
  <c r="AN276" i="1" s="1"/>
  <c r="AA276" i="1"/>
  <c r="AM276" i="1"/>
  <c r="T278" i="1"/>
  <c r="AN278" i="1" s="1"/>
  <c r="AA278" i="1"/>
  <c r="AM278" i="1"/>
  <c r="T280" i="1"/>
  <c r="AN280" i="1" s="1"/>
  <c r="AA280" i="1"/>
  <c r="AM280" i="1"/>
  <c r="T282" i="1"/>
  <c r="AN282" i="1" s="1"/>
  <c r="AA282" i="1"/>
  <c r="AM282" i="1"/>
  <c r="T284" i="1"/>
  <c r="AN284" i="1" s="1"/>
  <c r="AA284" i="1"/>
  <c r="AM284" i="1"/>
  <c r="T286" i="1"/>
  <c r="AN286" i="1" s="1"/>
  <c r="AA286" i="1"/>
  <c r="AM286" i="1"/>
  <c r="T288" i="1"/>
  <c r="AN288" i="1" s="1"/>
  <c r="AA288" i="1"/>
  <c r="AM288" i="1"/>
  <c r="T290" i="1"/>
  <c r="AN290" i="1" s="1"/>
  <c r="AA290" i="1"/>
  <c r="AM290" i="1"/>
  <c r="T292" i="1"/>
  <c r="AN292" i="1" s="1"/>
  <c r="AA292" i="1"/>
  <c r="AM292" i="1"/>
  <c r="T294" i="1"/>
  <c r="AN294" i="1" s="1"/>
  <c r="AA294" i="1"/>
  <c r="AM294" i="1"/>
  <c r="T296" i="1"/>
  <c r="AN296" i="1" s="1"/>
  <c r="AA296" i="1"/>
  <c r="AM296" i="1"/>
  <c r="T298" i="1"/>
  <c r="AN298" i="1" s="1"/>
  <c r="AA298" i="1"/>
  <c r="AM298" i="1"/>
  <c r="T300" i="1"/>
  <c r="AN300" i="1" s="1"/>
  <c r="AA300" i="1"/>
  <c r="AM300" i="1"/>
  <c r="T302" i="1"/>
  <c r="AN302" i="1" s="1"/>
  <c r="AA302" i="1"/>
  <c r="AM302" i="1"/>
  <c r="T304" i="1"/>
  <c r="AN304" i="1" s="1"/>
  <c r="AA304" i="1"/>
  <c r="AM304" i="1"/>
  <c r="T306" i="1"/>
  <c r="AN306" i="1" s="1"/>
  <c r="AA306" i="1"/>
  <c r="AM306" i="1"/>
  <c r="T308" i="1"/>
  <c r="AN308" i="1" s="1"/>
  <c r="AA308" i="1"/>
  <c r="AM308" i="1"/>
  <c r="T310" i="1"/>
  <c r="AN310" i="1" s="1"/>
  <c r="AA310" i="1"/>
  <c r="AM310" i="1"/>
  <c r="T312" i="1"/>
  <c r="AN312" i="1" s="1"/>
  <c r="AA312" i="1"/>
  <c r="AM312" i="1"/>
  <c r="T314" i="1"/>
  <c r="AN314" i="1" s="1"/>
  <c r="AA314" i="1"/>
  <c r="AM314" i="1"/>
  <c r="T316" i="1"/>
  <c r="AN316" i="1" s="1"/>
  <c r="AA316" i="1"/>
  <c r="AM316" i="1"/>
  <c r="T318" i="1"/>
  <c r="AN318" i="1" s="1"/>
  <c r="AA318" i="1"/>
  <c r="AM318" i="1"/>
  <c r="T320" i="1"/>
  <c r="AN320" i="1" s="1"/>
  <c r="AA320" i="1"/>
  <c r="AM320" i="1"/>
  <c r="T322" i="1"/>
  <c r="AN322" i="1" s="1"/>
  <c r="AA322" i="1"/>
  <c r="AM322" i="1"/>
  <c r="T324" i="1"/>
  <c r="AN324" i="1" s="1"/>
  <c r="AA324" i="1"/>
  <c r="AM324" i="1"/>
  <c r="T326" i="1"/>
  <c r="AN326" i="1" s="1"/>
  <c r="AA326" i="1"/>
  <c r="AM326" i="1"/>
  <c r="T273" i="1"/>
  <c r="AN273" i="1" s="1"/>
  <c r="AA273" i="1"/>
  <c r="AM273" i="1"/>
  <c r="T275" i="1"/>
  <c r="AN275" i="1" s="1"/>
  <c r="AA275" i="1"/>
  <c r="AM275" i="1"/>
  <c r="T277" i="1"/>
  <c r="AN277" i="1" s="1"/>
  <c r="AA277" i="1"/>
  <c r="AM277" i="1"/>
  <c r="T279" i="1"/>
  <c r="AN279" i="1" s="1"/>
  <c r="AA279" i="1"/>
  <c r="AM279" i="1"/>
  <c r="T281" i="1"/>
  <c r="AN281" i="1" s="1"/>
  <c r="AA281" i="1"/>
  <c r="AM281" i="1"/>
  <c r="T283" i="1"/>
  <c r="AN283" i="1" s="1"/>
  <c r="AA283" i="1"/>
  <c r="AM283" i="1"/>
  <c r="T285" i="1"/>
  <c r="AN285" i="1" s="1"/>
  <c r="AA285" i="1"/>
  <c r="AM285" i="1"/>
  <c r="T287" i="1"/>
  <c r="AN287" i="1" s="1"/>
  <c r="AA287" i="1"/>
  <c r="AM287" i="1"/>
  <c r="T289" i="1"/>
  <c r="AN289" i="1" s="1"/>
  <c r="AA289" i="1"/>
  <c r="AM289" i="1"/>
  <c r="T291" i="1"/>
  <c r="AN291" i="1" s="1"/>
  <c r="AA291" i="1"/>
  <c r="AM291" i="1"/>
  <c r="T293" i="1"/>
  <c r="AN293" i="1" s="1"/>
  <c r="AA293" i="1"/>
  <c r="AM293" i="1"/>
  <c r="T295" i="1"/>
  <c r="AN295" i="1" s="1"/>
  <c r="AA295" i="1"/>
  <c r="AM295" i="1"/>
  <c r="T297" i="1"/>
  <c r="AN297" i="1" s="1"/>
  <c r="AA297" i="1"/>
  <c r="AM297" i="1"/>
  <c r="T299" i="1"/>
  <c r="AN299" i="1" s="1"/>
  <c r="AA299" i="1"/>
  <c r="AM299" i="1"/>
  <c r="T301" i="1"/>
  <c r="AN301" i="1" s="1"/>
  <c r="AA301" i="1"/>
  <c r="AM301" i="1"/>
  <c r="T303" i="1"/>
  <c r="AN303" i="1" s="1"/>
  <c r="AA303" i="1"/>
  <c r="AM303" i="1"/>
  <c r="T305" i="1"/>
  <c r="AN305" i="1" s="1"/>
  <c r="AA305" i="1"/>
  <c r="AM305" i="1"/>
  <c r="T307" i="1"/>
  <c r="AN307" i="1" s="1"/>
  <c r="AA307" i="1"/>
  <c r="AM307" i="1"/>
  <c r="T309" i="1"/>
  <c r="AN309" i="1" s="1"/>
  <c r="AA309" i="1"/>
  <c r="AM309" i="1"/>
  <c r="T311" i="1"/>
  <c r="AN311" i="1" s="1"/>
  <c r="AA311" i="1"/>
  <c r="AM311" i="1"/>
  <c r="T313" i="1"/>
  <c r="AN313" i="1" s="1"/>
  <c r="AA313" i="1"/>
  <c r="AM313" i="1"/>
  <c r="T315" i="1"/>
  <c r="AN315" i="1" s="1"/>
  <c r="AA315" i="1"/>
  <c r="AM315" i="1"/>
  <c r="T317" i="1"/>
  <c r="AN317" i="1" s="1"/>
  <c r="AA317" i="1"/>
  <c r="AM317" i="1"/>
  <c r="T319" i="1"/>
  <c r="AN319" i="1" s="1"/>
  <c r="AA319" i="1"/>
  <c r="AM319" i="1"/>
  <c r="T321" i="1"/>
  <c r="AN321" i="1" s="1"/>
  <c r="AA321" i="1"/>
  <c r="AM321" i="1"/>
  <c r="T323" i="1"/>
  <c r="AN323" i="1" s="1"/>
  <c r="AA323" i="1"/>
  <c r="AM323" i="1"/>
  <c r="T325" i="1"/>
  <c r="AN325" i="1" s="1"/>
  <c r="AA325" i="1"/>
  <c r="AM325" i="1"/>
  <c r="AD670" i="1"/>
  <c r="AD693" i="1"/>
  <c r="AD697" i="1"/>
  <c r="Y327" i="1"/>
  <c r="Z327" i="1" s="1"/>
  <c r="AO327" i="1"/>
  <c r="Y329" i="1"/>
  <c r="Z329" i="1" s="1"/>
  <c r="AO329" i="1"/>
  <c r="Y331" i="1"/>
  <c r="Z331" i="1" s="1"/>
  <c r="AO331" i="1"/>
  <c r="Y333" i="1"/>
  <c r="Z333" i="1" s="1"/>
  <c r="AO333" i="1"/>
  <c r="Y335" i="1"/>
  <c r="Z335" i="1" s="1"/>
  <c r="AO335" i="1"/>
  <c r="Y337" i="1"/>
  <c r="Z337" i="1" s="1"/>
  <c r="AO337" i="1"/>
  <c r="Y339" i="1"/>
  <c r="Z339" i="1" s="1"/>
  <c r="AO339" i="1"/>
  <c r="Y341" i="1"/>
  <c r="Z341" i="1" s="1"/>
  <c r="AO341" i="1"/>
  <c r="Y343" i="1"/>
  <c r="Z343" i="1" s="1"/>
  <c r="AO343" i="1"/>
  <c r="Y345" i="1"/>
  <c r="Z345" i="1" s="1"/>
  <c r="AO345" i="1"/>
  <c r="Y347" i="1"/>
  <c r="Z347" i="1" s="1"/>
  <c r="AO347" i="1"/>
  <c r="Y349" i="1"/>
  <c r="Z349" i="1" s="1"/>
  <c r="AO349" i="1"/>
  <c r="Y351" i="1"/>
  <c r="Z351" i="1" s="1"/>
  <c r="AO351" i="1"/>
  <c r="Y353" i="1"/>
  <c r="Z353" i="1" s="1"/>
  <c r="AO353" i="1"/>
  <c r="Y355" i="1"/>
  <c r="Z355" i="1" s="1"/>
  <c r="AO355" i="1"/>
  <c r="Y357" i="1"/>
  <c r="Z357" i="1" s="1"/>
  <c r="AO357" i="1"/>
  <c r="Y359" i="1"/>
  <c r="Z359" i="1" s="1"/>
  <c r="AO359" i="1"/>
  <c r="Y361" i="1"/>
  <c r="Z361" i="1" s="1"/>
  <c r="AO361" i="1"/>
  <c r="Y363" i="1"/>
  <c r="Z363" i="1" s="1"/>
  <c r="AO363" i="1"/>
  <c r="Y365" i="1"/>
  <c r="Z365" i="1" s="1"/>
  <c r="AO365" i="1"/>
  <c r="Y367" i="1"/>
  <c r="Z367" i="1" s="1"/>
  <c r="AO367" i="1"/>
  <c r="Y369" i="1"/>
  <c r="Z369" i="1" s="1"/>
  <c r="AO369" i="1"/>
  <c r="Y371" i="1"/>
  <c r="Z371" i="1" s="1"/>
  <c r="AO371" i="1"/>
  <c r="Y373" i="1"/>
  <c r="Z373" i="1" s="1"/>
  <c r="AO373" i="1"/>
  <c r="Y375" i="1"/>
  <c r="Z375" i="1" s="1"/>
  <c r="AO375" i="1"/>
  <c r="Y377" i="1"/>
  <c r="Z377" i="1" s="1"/>
  <c r="AO377" i="1"/>
  <c r="Y379" i="1"/>
  <c r="Z379" i="1" s="1"/>
  <c r="AO379" i="1"/>
  <c r="Y328" i="1"/>
  <c r="Z328" i="1" s="1"/>
  <c r="AO328" i="1"/>
  <c r="Y330" i="1"/>
  <c r="Z330" i="1" s="1"/>
  <c r="AO330" i="1"/>
  <c r="Y332" i="1"/>
  <c r="Z332" i="1" s="1"/>
  <c r="AO332" i="1"/>
  <c r="Y334" i="1"/>
  <c r="Z334" i="1" s="1"/>
  <c r="AO334" i="1"/>
  <c r="Y336" i="1"/>
  <c r="Z336" i="1" s="1"/>
  <c r="AO336" i="1"/>
  <c r="Y338" i="1"/>
  <c r="Z338" i="1" s="1"/>
  <c r="AO338" i="1"/>
  <c r="Y340" i="1"/>
  <c r="Z340" i="1" s="1"/>
  <c r="AO340" i="1"/>
  <c r="Y342" i="1"/>
  <c r="Z342" i="1" s="1"/>
  <c r="AO342" i="1"/>
  <c r="Y344" i="1"/>
  <c r="Z344" i="1" s="1"/>
  <c r="AO344" i="1"/>
  <c r="Y346" i="1"/>
  <c r="Z346" i="1" s="1"/>
  <c r="AO346" i="1"/>
  <c r="Y348" i="1"/>
  <c r="Z348" i="1" s="1"/>
  <c r="AO348" i="1"/>
  <c r="Y350" i="1"/>
  <c r="Z350" i="1" s="1"/>
  <c r="AO350" i="1"/>
  <c r="Y352" i="1"/>
  <c r="Z352" i="1" s="1"/>
  <c r="AO352" i="1"/>
  <c r="Y354" i="1"/>
  <c r="Z354" i="1" s="1"/>
  <c r="AO354" i="1"/>
  <c r="Y356" i="1"/>
  <c r="Z356" i="1" s="1"/>
  <c r="AO356" i="1"/>
  <c r="Y358" i="1"/>
  <c r="Z358" i="1" s="1"/>
  <c r="AO358" i="1"/>
  <c r="Y360" i="1"/>
  <c r="Z360" i="1" s="1"/>
  <c r="AO360" i="1"/>
  <c r="Y362" i="1"/>
  <c r="Z362" i="1" s="1"/>
  <c r="AO362" i="1"/>
  <c r="Y364" i="1"/>
  <c r="Z364" i="1" s="1"/>
  <c r="AO364" i="1"/>
  <c r="Y366" i="1"/>
  <c r="Z366" i="1" s="1"/>
  <c r="AO366" i="1"/>
  <c r="Y368" i="1"/>
  <c r="Z368" i="1" s="1"/>
  <c r="AO368" i="1"/>
  <c r="Y370" i="1"/>
  <c r="Z370" i="1" s="1"/>
  <c r="AO370" i="1"/>
  <c r="Y372" i="1"/>
  <c r="Z372" i="1" s="1"/>
  <c r="AO372" i="1"/>
  <c r="Y374" i="1"/>
  <c r="Z374" i="1" s="1"/>
  <c r="AO374" i="1"/>
  <c r="Y376" i="1"/>
  <c r="Z376" i="1" s="1"/>
  <c r="AO376" i="1"/>
  <c r="Y378" i="1"/>
  <c r="Z378" i="1" s="1"/>
  <c r="AO378" i="1"/>
  <c r="Y380" i="1"/>
  <c r="Z380" i="1" s="1"/>
  <c r="AO380" i="1"/>
  <c r="AD674" i="1"/>
  <c r="AC679" i="1"/>
  <c r="AC680" i="1"/>
  <c r="AC681" i="1"/>
  <c r="T327" i="1"/>
  <c r="AN327" i="1" s="1"/>
  <c r="AA327" i="1"/>
  <c r="AM327" i="1"/>
  <c r="T329" i="1"/>
  <c r="AN329" i="1" s="1"/>
  <c r="AA329" i="1"/>
  <c r="AM329" i="1"/>
  <c r="T331" i="1"/>
  <c r="AN331" i="1" s="1"/>
  <c r="AA331" i="1"/>
  <c r="AM331" i="1"/>
  <c r="T333" i="1"/>
  <c r="AN333" i="1" s="1"/>
  <c r="AA333" i="1"/>
  <c r="AM333" i="1"/>
  <c r="T335" i="1"/>
  <c r="AN335" i="1" s="1"/>
  <c r="AA335" i="1"/>
  <c r="AM335" i="1"/>
  <c r="T337" i="1"/>
  <c r="AN337" i="1" s="1"/>
  <c r="AA337" i="1"/>
  <c r="AM337" i="1"/>
  <c r="T339" i="1"/>
  <c r="AN339" i="1" s="1"/>
  <c r="AA339" i="1"/>
  <c r="AM339" i="1"/>
  <c r="T341" i="1"/>
  <c r="AN341" i="1" s="1"/>
  <c r="AA341" i="1"/>
  <c r="AM341" i="1"/>
  <c r="T343" i="1"/>
  <c r="AN343" i="1" s="1"/>
  <c r="AA343" i="1"/>
  <c r="AM343" i="1"/>
  <c r="T345" i="1"/>
  <c r="AN345" i="1" s="1"/>
  <c r="AA345" i="1"/>
  <c r="AM345" i="1"/>
  <c r="T347" i="1"/>
  <c r="AN347" i="1" s="1"/>
  <c r="AA347" i="1"/>
  <c r="AM347" i="1"/>
  <c r="T349" i="1"/>
  <c r="AN349" i="1" s="1"/>
  <c r="AA349" i="1"/>
  <c r="AM349" i="1"/>
  <c r="T351" i="1"/>
  <c r="AN351" i="1" s="1"/>
  <c r="AA351" i="1"/>
  <c r="AM351" i="1"/>
  <c r="T353" i="1"/>
  <c r="AN353" i="1" s="1"/>
  <c r="AA353" i="1"/>
  <c r="AM353" i="1"/>
  <c r="T355" i="1"/>
  <c r="AN355" i="1" s="1"/>
  <c r="AA355" i="1"/>
  <c r="AM355" i="1"/>
  <c r="T357" i="1"/>
  <c r="AN357" i="1" s="1"/>
  <c r="AA357" i="1"/>
  <c r="AM357" i="1"/>
  <c r="T359" i="1"/>
  <c r="AN359" i="1" s="1"/>
  <c r="AA359" i="1"/>
  <c r="AM359" i="1"/>
  <c r="T361" i="1"/>
  <c r="AN361" i="1" s="1"/>
  <c r="AA361" i="1"/>
  <c r="AM361" i="1"/>
  <c r="T363" i="1"/>
  <c r="AN363" i="1" s="1"/>
  <c r="AA363" i="1"/>
  <c r="AM363" i="1"/>
  <c r="T365" i="1"/>
  <c r="AN365" i="1" s="1"/>
  <c r="AA365" i="1"/>
  <c r="AM365" i="1"/>
  <c r="T367" i="1"/>
  <c r="AN367" i="1" s="1"/>
  <c r="AA367" i="1"/>
  <c r="AM367" i="1"/>
  <c r="T369" i="1"/>
  <c r="AN369" i="1" s="1"/>
  <c r="AA369" i="1"/>
  <c r="AM369" i="1"/>
  <c r="T371" i="1"/>
  <c r="AN371" i="1" s="1"/>
  <c r="AA371" i="1"/>
  <c r="AM371" i="1"/>
  <c r="T373" i="1"/>
  <c r="AN373" i="1" s="1"/>
  <c r="AA373" i="1"/>
  <c r="AM373" i="1"/>
  <c r="T375" i="1"/>
  <c r="AN375" i="1" s="1"/>
  <c r="AA375" i="1"/>
  <c r="AM375" i="1"/>
  <c r="T377" i="1"/>
  <c r="AN377" i="1" s="1"/>
  <c r="AA377" i="1"/>
  <c r="AM377" i="1"/>
  <c r="T379" i="1"/>
  <c r="AN379" i="1" s="1"/>
  <c r="AA379" i="1"/>
  <c r="AM379" i="1"/>
  <c r="T328" i="1"/>
  <c r="AN328" i="1" s="1"/>
  <c r="AA328" i="1"/>
  <c r="AM328" i="1"/>
  <c r="T330" i="1"/>
  <c r="AN330" i="1" s="1"/>
  <c r="AA330" i="1"/>
  <c r="AM330" i="1"/>
  <c r="T332" i="1"/>
  <c r="AN332" i="1" s="1"/>
  <c r="AA332" i="1"/>
  <c r="AM332" i="1"/>
  <c r="T334" i="1"/>
  <c r="AN334" i="1" s="1"/>
  <c r="AA334" i="1"/>
  <c r="AM334" i="1"/>
  <c r="T336" i="1"/>
  <c r="AN336" i="1" s="1"/>
  <c r="AA336" i="1"/>
  <c r="AM336" i="1"/>
  <c r="T338" i="1"/>
  <c r="AN338" i="1" s="1"/>
  <c r="AA338" i="1"/>
  <c r="AM338" i="1"/>
  <c r="T340" i="1"/>
  <c r="AN340" i="1" s="1"/>
  <c r="AA340" i="1"/>
  <c r="AM340" i="1"/>
  <c r="T342" i="1"/>
  <c r="AN342" i="1" s="1"/>
  <c r="AA342" i="1"/>
  <c r="AM342" i="1"/>
  <c r="T344" i="1"/>
  <c r="AN344" i="1" s="1"/>
  <c r="AA344" i="1"/>
  <c r="AM344" i="1"/>
  <c r="T346" i="1"/>
  <c r="AN346" i="1" s="1"/>
  <c r="AA346" i="1"/>
  <c r="AM346" i="1"/>
  <c r="T348" i="1"/>
  <c r="AN348" i="1" s="1"/>
  <c r="AA348" i="1"/>
  <c r="AM348" i="1"/>
  <c r="T350" i="1"/>
  <c r="AN350" i="1" s="1"/>
  <c r="AA350" i="1"/>
  <c r="AM350" i="1"/>
  <c r="T352" i="1"/>
  <c r="AN352" i="1" s="1"/>
  <c r="AA352" i="1"/>
  <c r="AM352" i="1"/>
  <c r="T354" i="1"/>
  <c r="AN354" i="1" s="1"/>
  <c r="AA354" i="1"/>
  <c r="AM354" i="1"/>
  <c r="T356" i="1"/>
  <c r="AN356" i="1" s="1"/>
  <c r="AA356" i="1"/>
  <c r="AM356" i="1"/>
  <c r="T358" i="1"/>
  <c r="AN358" i="1" s="1"/>
  <c r="AA358" i="1"/>
  <c r="AM358" i="1"/>
  <c r="T360" i="1"/>
  <c r="AN360" i="1" s="1"/>
  <c r="AA360" i="1"/>
  <c r="AM360" i="1"/>
  <c r="T362" i="1"/>
  <c r="AN362" i="1" s="1"/>
  <c r="AA362" i="1"/>
  <c r="AM362" i="1"/>
  <c r="T364" i="1"/>
  <c r="AN364" i="1" s="1"/>
  <c r="AA364" i="1"/>
  <c r="AM364" i="1"/>
  <c r="T366" i="1"/>
  <c r="AN366" i="1" s="1"/>
  <c r="AA366" i="1"/>
  <c r="AM366" i="1"/>
  <c r="T368" i="1"/>
  <c r="AN368" i="1" s="1"/>
  <c r="AA368" i="1"/>
  <c r="AM368" i="1"/>
  <c r="T370" i="1"/>
  <c r="AN370" i="1" s="1"/>
  <c r="AA370" i="1"/>
  <c r="AM370" i="1"/>
  <c r="T372" i="1"/>
  <c r="AN372" i="1" s="1"/>
  <c r="AA372" i="1"/>
  <c r="AM372" i="1"/>
  <c r="T374" i="1"/>
  <c r="AN374" i="1" s="1"/>
  <c r="AA374" i="1"/>
  <c r="AM374" i="1"/>
  <c r="T376" i="1"/>
  <c r="AN376" i="1" s="1"/>
  <c r="AA376" i="1"/>
  <c r="AM376" i="1"/>
  <c r="T378" i="1"/>
  <c r="AN378" i="1" s="1"/>
  <c r="AA378" i="1"/>
  <c r="AM378" i="1"/>
  <c r="T380" i="1"/>
  <c r="AN380" i="1" s="1"/>
  <c r="AA380" i="1"/>
  <c r="AM380" i="1"/>
  <c r="AC668" i="1"/>
  <c r="AD668" i="1"/>
  <c r="AD683" i="1"/>
  <c r="AC683" i="1"/>
  <c r="AD687" i="1"/>
  <c r="AC687" i="1"/>
  <c r="AD685" i="1"/>
  <c r="AC685" i="1"/>
  <c r="H653" i="1"/>
  <c r="I652" i="1"/>
  <c r="AD701" i="1"/>
  <c r="AC689" i="1"/>
  <c r="AC691" i="1"/>
  <c r="AD694" i="1"/>
  <c r="AD672" i="1"/>
  <c r="AC684" i="1"/>
  <c r="AC686" i="1"/>
  <c r="AC688" i="1"/>
  <c r="AC690" i="1"/>
  <c r="AD692" i="1"/>
  <c r="AD696" i="1"/>
  <c r="AD699" i="1"/>
  <c r="AP703" i="1"/>
  <c r="AP691" i="1"/>
  <c r="AP689" i="1"/>
  <c r="AP687" i="1"/>
  <c r="AP685" i="1"/>
  <c r="AD651" i="1"/>
  <c r="AD652" i="1"/>
  <c r="AD653" i="1"/>
  <c r="AD654" i="1"/>
  <c r="AP655" i="1"/>
  <c r="AP656" i="1"/>
  <c r="AD657" i="1"/>
  <c r="AD658" i="1"/>
  <c r="AP659" i="1"/>
  <c r="AD660" i="1"/>
  <c r="AD661" i="1"/>
  <c r="AP662" i="1"/>
  <c r="AD663" i="1"/>
  <c r="AP664" i="1"/>
  <c r="AP665" i="1"/>
  <c r="AD666" i="1"/>
  <c r="AP666" i="1"/>
  <c r="AP675" i="1"/>
  <c r="AP651" i="1"/>
  <c r="AP652" i="1"/>
  <c r="AP653" i="1"/>
  <c r="AP654" i="1"/>
  <c r="AD655" i="1"/>
  <c r="AD656" i="1"/>
  <c r="AP657" i="1"/>
  <c r="AP658" i="1"/>
  <c r="AD659" i="1"/>
  <c r="AP660" i="1"/>
  <c r="AP661" i="1"/>
  <c r="AD662" i="1"/>
  <c r="AP663" i="1"/>
  <c r="AD664" i="1"/>
  <c r="AD665" i="1"/>
  <c r="AD667" i="1"/>
  <c r="AP667" i="1"/>
  <c r="AD669" i="1"/>
  <c r="AP669" i="1"/>
  <c r="AD671" i="1"/>
  <c r="AP671" i="1"/>
  <c r="AD673" i="1"/>
  <c r="AP673" i="1"/>
  <c r="AD675" i="1"/>
  <c r="AD676" i="1"/>
  <c r="AP676" i="1"/>
  <c r="AD677" i="1"/>
  <c r="AP677" i="1"/>
  <c r="AD678" i="1"/>
  <c r="AP678" i="1"/>
  <c r="AP693" i="1"/>
  <c r="AP695" i="1"/>
  <c r="AP692" i="1"/>
  <c r="AP694" i="1"/>
  <c r="AP696" i="1"/>
  <c r="AP697" i="1"/>
  <c r="AD698" i="1"/>
  <c r="AP698" i="1"/>
  <c r="AD700" i="1"/>
  <c r="AP700" i="1"/>
  <c r="AP701" i="1"/>
  <c r="AC702" i="1"/>
  <c r="AC703" i="1"/>
  <c r="AC704" i="1"/>
  <c r="H200" i="1"/>
  <c r="H201" i="1"/>
  <c r="H199" i="1"/>
  <c r="G199" i="1"/>
  <c r="G200" i="1"/>
  <c r="G201" i="1"/>
  <c r="F165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25" i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G125" i="1"/>
  <c r="G126" i="1" s="1"/>
  <c r="F125" i="1"/>
  <c r="F126" i="1" s="1"/>
  <c r="H85" i="1"/>
  <c r="F166" i="1" l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B652" i="1"/>
  <c r="H654" i="1"/>
  <c r="I653" i="1"/>
  <c r="H6" i="2"/>
  <c r="H7" i="2" s="1"/>
  <c r="E36" i="5"/>
  <c r="D36" i="5"/>
  <c r="AC7" i="2"/>
  <c r="F655" i="1" l="1"/>
  <c r="F657" i="1"/>
  <c r="F659" i="1"/>
  <c r="F661" i="1"/>
  <c r="F663" i="1"/>
  <c r="F665" i="1"/>
  <c r="F667" i="1"/>
  <c r="F669" i="1"/>
  <c r="F671" i="1"/>
  <c r="F673" i="1"/>
  <c r="F675" i="1"/>
  <c r="F677" i="1"/>
  <c r="F679" i="1"/>
  <c r="F681" i="1"/>
  <c r="F683" i="1"/>
  <c r="F685" i="1"/>
  <c r="F687" i="1"/>
  <c r="F689" i="1"/>
  <c r="F691" i="1"/>
  <c r="F693" i="1"/>
  <c r="F695" i="1"/>
  <c r="F697" i="1"/>
  <c r="F699" i="1"/>
  <c r="F701" i="1"/>
  <c r="F703" i="1"/>
  <c r="F654" i="1"/>
  <c r="F656" i="1"/>
  <c r="F658" i="1"/>
  <c r="F660" i="1"/>
  <c r="F662" i="1"/>
  <c r="F664" i="1"/>
  <c r="F666" i="1"/>
  <c r="F668" i="1"/>
  <c r="F670" i="1"/>
  <c r="F672" i="1"/>
  <c r="F674" i="1"/>
  <c r="F676" i="1"/>
  <c r="F678" i="1"/>
  <c r="F680" i="1"/>
  <c r="F682" i="1"/>
  <c r="F684" i="1"/>
  <c r="F686" i="1"/>
  <c r="F688" i="1"/>
  <c r="F690" i="1"/>
  <c r="F692" i="1"/>
  <c r="F694" i="1"/>
  <c r="F696" i="1"/>
  <c r="F698" i="1"/>
  <c r="F700" i="1"/>
  <c r="F702" i="1"/>
  <c r="F704" i="1"/>
  <c r="J651" i="1"/>
  <c r="F652" i="1"/>
  <c r="J652" i="1" s="1"/>
  <c r="O652" i="1" s="1"/>
  <c r="F653" i="1"/>
  <c r="J653" i="1" s="1"/>
  <c r="O653" i="1" s="1"/>
  <c r="J654" i="1"/>
  <c r="O654" i="1" s="1"/>
  <c r="H655" i="1"/>
  <c r="I654" i="1"/>
  <c r="J6" i="2"/>
  <c r="J7" i="2" s="1"/>
  <c r="J8" i="2" s="1"/>
  <c r="J9" i="2" s="1"/>
  <c r="J10" i="2" s="1"/>
  <c r="J11" i="2" s="1"/>
  <c r="J12" i="2" s="1"/>
  <c r="J13" i="2" s="1"/>
  <c r="J14" i="2" s="1"/>
  <c r="J15" i="2" s="1"/>
  <c r="J16" i="2" s="1"/>
  <c r="J17" i="2" s="1"/>
  <c r="J18" i="2" s="1"/>
  <c r="J19" i="2" s="1"/>
  <c r="J20" i="2" s="1"/>
  <c r="J21" i="2" s="1"/>
  <c r="J22" i="2" s="1"/>
  <c r="J23" i="2" s="1"/>
  <c r="J24" i="2" s="1"/>
  <c r="J25" i="2" s="1"/>
  <c r="AW236" i="12"/>
  <c r="AV236" i="12"/>
  <c r="AW235" i="12"/>
  <c r="AW234" i="12"/>
  <c r="AW231" i="12"/>
  <c r="AW226" i="12"/>
  <c r="AW225" i="12"/>
  <c r="AW224" i="12"/>
  <c r="AV224" i="12" s="1"/>
  <c r="AW223" i="12"/>
  <c r="AV223" i="12" s="1"/>
  <c r="AW222" i="12"/>
  <c r="AW221" i="12"/>
  <c r="AV207" i="12"/>
  <c r="AW179" i="12"/>
  <c r="AW153" i="12"/>
  <c r="AV153" i="12" s="1"/>
  <c r="AW135" i="12"/>
  <c r="AW110" i="12"/>
  <c r="AW88" i="12"/>
  <c r="AW79" i="12"/>
  <c r="AV79" i="12" s="1"/>
  <c r="AW78" i="12"/>
  <c r="AW77" i="12"/>
  <c r="AW76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58" i="12"/>
  <c r="AW46" i="12"/>
  <c r="AV46" i="12" s="1"/>
  <c r="AW45" i="12"/>
  <c r="BJ45" i="12" s="1"/>
  <c r="AW44" i="12"/>
  <c r="BJ44" i="12" s="1"/>
  <c r="AW43" i="12"/>
  <c r="BJ43" i="12" s="1"/>
  <c r="BJ12" i="12"/>
  <c r="BF12" i="12"/>
  <c r="BJ10" i="12"/>
  <c r="BF10" i="12"/>
  <c r="BJ9" i="12"/>
  <c r="BF9" i="12"/>
  <c r="J655" i="1" l="1"/>
  <c r="O655" i="1" s="1"/>
  <c r="I655" i="1"/>
  <c r="H656" i="1"/>
  <c r="O651" i="1"/>
  <c r="AV43" i="12"/>
  <c r="AV45" i="12"/>
  <c r="AV44" i="12"/>
  <c r="BJ46" i="12"/>
  <c r="AV222" i="12"/>
  <c r="AV226" i="12"/>
  <c r="AV234" i="12"/>
  <c r="AV221" i="12"/>
  <c r="AV225" i="12"/>
  <c r="AV231" i="12"/>
  <c r="AV235" i="12"/>
  <c r="G12" i="1"/>
  <c r="H657" i="1" l="1"/>
  <c r="I656" i="1"/>
  <c r="J656" i="1"/>
  <c r="O656" i="1" s="1"/>
  <c r="AA236" i="12"/>
  <c r="AA235" i="12"/>
  <c r="AA234" i="12"/>
  <c r="AA231" i="12"/>
  <c r="AA226" i="12"/>
  <c r="AA225" i="12"/>
  <c r="AA224" i="12"/>
  <c r="AA223" i="12"/>
  <c r="AA222" i="12"/>
  <c r="AA221" i="12"/>
  <c r="AA179" i="12"/>
  <c r="AA153" i="12"/>
  <c r="Z153" i="12" s="1"/>
  <c r="AA135" i="12"/>
  <c r="AA110" i="12"/>
  <c r="AA88" i="12"/>
  <c r="AA79" i="12"/>
  <c r="AA78" i="12"/>
  <c r="AA77" i="12"/>
  <c r="AA76" i="12"/>
  <c r="AA58" i="12"/>
  <c r="AA46" i="12"/>
  <c r="AN46" i="12" s="1"/>
  <c r="AA45" i="12"/>
  <c r="Z45" i="12" s="1"/>
  <c r="AA44" i="12"/>
  <c r="AN44" i="12" s="1"/>
  <c r="AA43" i="12"/>
  <c r="Z43" i="12" s="1"/>
  <c r="Z236" i="12"/>
  <c r="Z235" i="12"/>
  <c r="Z224" i="12"/>
  <c r="Z207" i="12"/>
  <c r="Z79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N45" i="12"/>
  <c r="AN43" i="12"/>
  <c r="AN12" i="12"/>
  <c r="AJ12" i="12"/>
  <c r="AN10" i="12"/>
  <c r="AJ10" i="12"/>
  <c r="AN9" i="12"/>
  <c r="AJ9" i="12"/>
  <c r="G5" i="11"/>
  <c r="E178" i="12"/>
  <c r="E134" i="12"/>
  <c r="E109" i="12"/>
  <c r="E57" i="12"/>
  <c r="AW57" i="12" s="1"/>
  <c r="Y61" i="9"/>
  <c r="Z61" i="9" s="1"/>
  <c r="Y62" i="9"/>
  <c r="Y63" i="9"/>
  <c r="Y64" i="9"/>
  <c r="Z64" i="9" s="1"/>
  <c r="Y65" i="9"/>
  <c r="Z65" i="9" s="1"/>
  <c r="Y66" i="9"/>
  <c r="Y67" i="9"/>
  <c r="Z67" i="9" s="1"/>
  <c r="Y68" i="9"/>
  <c r="AB68" i="9" s="1"/>
  <c r="Y69" i="9"/>
  <c r="Z69" i="9" s="1"/>
  <c r="Y70" i="9"/>
  <c r="Y71" i="9"/>
  <c r="AA61" i="9"/>
  <c r="AA62" i="9"/>
  <c r="AA63" i="9"/>
  <c r="AA64" i="9"/>
  <c r="AA65" i="9"/>
  <c r="AA66" i="9"/>
  <c r="AA67" i="9"/>
  <c r="AA68" i="9"/>
  <c r="AA69" i="9"/>
  <c r="AA70" i="9"/>
  <c r="AA71" i="9"/>
  <c r="AC70" i="9"/>
  <c r="AC71" i="9"/>
  <c r="AD70" i="9"/>
  <c r="AD71" i="9"/>
  <c r="AG61" i="9"/>
  <c r="AG62" i="9"/>
  <c r="AG63" i="9"/>
  <c r="AG64" i="9"/>
  <c r="AG65" i="9"/>
  <c r="AG66" i="9"/>
  <c r="AG67" i="9"/>
  <c r="AG68" i="9"/>
  <c r="AG69" i="9"/>
  <c r="AG70" i="9"/>
  <c r="AG71" i="9"/>
  <c r="AH61" i="9"/>
  <c r="AH62" i="9"/>
  <c r="AH63" i="9"/>
  <c r="AH64" i="9"/>
  <c r="AH65" i="9"/>
  <c r="AH66" i="9"/>
  <c r="AH67" i="9"/>
  <c r="AH68" i="9"/>
  <c r="AH69" i="9"/>
  <c r="AH70" i="9"/>
  <c r="AH71" i="9"/>
  <c r="AK61" i="9"/>
  <c r="AK62" i="9"/>
  <c r="AK63" i="9"/>
  <c r="AK64" i="9"/>
  <c r="AK65" i="9"/>
  <c r="AK66" i="9"/>
  <c r="AK67" i="9"/>
  <c r="AK68" i="9"/>
  <c r="AK69" i="9"/>
  <c r="AK70" i="9"/>
  <c r="AK71" i="9"/>
  <c r="Y72" i="9"/>
  <c r="AB72" i="9" s="1"/>
  <c r="Y73" i="9"/>
  <c r="Y74" i="9"/>
  <c r="Z74" i="9" s="1"/>
  <c r="Y75" i="9"/>
  <c r="Z75" i="9" s="1"/>
  <c r="Y76" i="9"/>
  <c r="Y77" i="9"/>
  <c r="AB77" i="9" s="1"/>
  <c r="Y78" i="9"/>
  <c r="Z78" i="9" s="1"/>
  <c r="Y79" i="9"/>
  <c r="Z79" i="9" s="1"/>
  <c r="Y80" i="9"/>
  <c r="Z80" i="9" s="1"/>
  <c r="Y81" i="9"/>
  <c r="AB81" i="9" s="1"/>
  <c r="Y82" i="9"/>
  <c r="Y83" i="9"/>
  <c r="Z83" i="9" s="1"/>
  <c r="Y84" i="9"/>
  <c r="Y85" i="9"/>
  <c r="Y86" i="9"/>
  <c r="Y87" i="9"/>
  <c r="Z87" i="9" s="1"/>
  <c r="Y88" i="9"/>
  <c r="Z88" i="9" s="1"/>
  <c r="Y89" i="9"/>
  <c r="AB89" i="9" s="1"/>
  <c r="Y90" i="9"/>
  <c r="Y91" i="9"/>
  <c r="Z91" i="9" s="1"/>
  <c r="Y92" i="9"/>
  <c r="Z92" i="9" s="1"/>
  <c r="Y93" i="9"/>
  <c r="Z93" i="9" s="1"/>
  <c r="Y94" i="9"/>
  <c r="Y95" i="9"/>
  <c r="Z95" i="9" s="1"/>
  <c r="Y96" i="9"/>
  <c r="Z96" i="9" s="1"/>
  <c r="Y97" i="9"/>
  <c r="AB97" i="9" s="1"/>
  <c r="Y98" i="9"/>
  <c r="Z98" i="9" s="1"/>
  <c r="Y99" i="9"/>
  <c r="Z99" i="9" s="1"/>
  <c r="Y100" i="9"/>
  <c r="Y101" i="9"/>
  <c r="Z101" i="9" s="1"/>
  <c r="Y102" i="9"/>
  <c r="Z102" i="9" s="1"/>
  <c r="Y103" i="9"/>
  <c r="Z103" i="9" s="1"/>
  <c r="Y104" i="9"/>
  <c r="Z104" i="9" s="1"/>
  <c r="Y105" i="9"/>
  <c r="Z105" i="9" s="1"/>
  <c r="Y106" i="9"/>
  <c r="Z106" i="9" s="1"/>
  <c r="Y107" i="9"/>
  <c r="Z107" i="9" s="1"/>
  <c r="Y108" i="9"/>
  <c r="Y109" i="9"/>
  <c r="Z109" i="9" s="1"/>
  <c r="Y110" i="9"/>
  <c r="Z110" i="9" s="1"/>
  <c r="Y111" i="9"/>
  <c r="Z111" i="9" s="1"/>
  <c r="Y112" i="9"/>
  <c r="AB112" i="9" s="1"/>
  <c r="Y113" i="9"/>
  <c r="Z113" i="9" s="1"/>
  <c r="Y114" i="9"/>
  <c r="Y115" i="9"/>
  <c r="Z115" i="9" s="1"/>
  <c r="Y116" i="9"/>
  <c r="Z116" i="9" s="1"/>
  <c r="Y117" i="9"/>
  <c r="Z117" i="9" s="1"/>
  <c r="Y118" i="9"/>
  <c r="Z118" i="9" s="1"/>
  <c r="Y119" i="9"/>
  <c r="Z119" i="9" s="1"/>
  <c r="Y120" i="9"/>
  <c r="AB120" i="9" s="1"/>
  <c r="Y121" i="9"/>
  <c r="Z121" i="9" s="1"/>
  <c r="Y122" i="9"/>
  <c r="Y123" i="9"/>
  <c r="Y124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B101" i="9"/>
  <c r="AB104" i="9"/>
  <c r="AB105" i="9"/>
  <c r="AC72" i="9"/>
  <c r="AC73" i="9"/>
  <c r="AC74" i="9"/>
  <c r="AC75" i="9"/>
  <c r="AC76" i="9"/>
  <c r="AC77" i="9"/>
  <c r="AC78" i="9"/>
  <c r="AC79" i="9"/>
  <c r="AC80" i="9"/>
  <c r="AC81" i="9"/>
  <c r="AC82" i="9"/>
  <c r="AC83" i="9"/>
  <c r="AC84" i="9"/>
  <c r="AC85" i="9"/>
  <c r="AC86" i="9"/>
  <c r="AC87" i="9"/>
  <c r="AC88" i="9"/>
  <c r="AC89" i="9"/>
  <c r="AC90" i="9"/>
  <c r="AC91" i="9"/>
  <c r="AC92" i="9"/>
  <c r="AC93" i="9"/>
  <c r="AC94" i="9"/>
  <c r="AC95" i="9"/>
  <c r="AC96" i="9"/>
  <c r="AC97" i="9"/>
  <c r="AC98" i="9"/>
  <c r="AC99" i="9"/>
  <c r="AC100" i="9"/>
  <c r="AC101" i="9"/>
  <c r="AC102" i="9"/>
  <c r="AC103" i="9"/>
  <c r="AC104" i="9"/>
  <c r="AC105" i="9"/>
  <c r="AC106" i="9"/>
  <c r="AC107" i="9"/>
  <c r="AC108" i="9"/>
  <c r="AC109" i="9"/>
  <c r="AC110" i="9"/>
  <c r="AC123" i="9"/>
  <c r="AC124" i="9"/>
  <c r="AD72" i="9"/>
  <c r="AD73" i="9"/>
  <c r="AD74" i="9"/>
  <c r="AD75" i="9"/>
  <c r="AD76" i="9"/>
  <c r="AD77" i="9"/>
  <c r="AD78" i="9"/>
  <c r="AD79" i="9"/>
  <c r="AD80" i="9"/>
  <c r="AD81" i="9"/>
  <c r="AD82" i="9"/>
  <c r="AD83" i="9"/>
  <c r="AD84" i="9"/>
  <c r="AD85" i="9"/>
  <c r="AD86" i="9"/>
  <c r="AD87" i="9"/>
  <c r="AD88" i="9"/>
  <c r="AD89" i="9"/>
  <c r="AD90" i="9"/>
  <c r="AD91" i="9"/>
  <c r="AD92" i="9"/>
  <c r="AD93" i="9"/>
  <c r="AD94" i="9"/>
  <c r="AD95" i="9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23" i="9"/>
  <c r="AD124" i="9"/>
  <c r="AG72" i="9"/>
  <c r="AG73" i="9"/>
  <c r="AG74" i="9"/>
  <c r="AG75" i="9"/>
  <c r="AG76" i="9"/>
  <c r="AG77" i="9"/>
  <c r="AG78" i="9"/>
  <c r="AG79" i="9"/>
  <c r="AG80" i="9"/>
  <c r="AG81" i="9"/>
  <c r="AG82" i="9"/>
  <c r="AG83" i="9"/>
  <c r="AG84" i="9"/>
  <c r="AG85" i="9"/>
  <c r="AG86" i="9"/>
  <c r="AG87" i="9"/>
  <c r="AG88" i="9"/>
  <c r="AG89" i="9"/>
  <c r="AG90" i="9"/>
  <c r="AG91" i="9"/>
  <c r="AG92" i="9"/>
  <c r="AG93" i="9"/>
  <c r="AG94" i="9"/>
  <c r="AG95" i="9"/>
  <c r="AG96" i="9"/>
  <c r="AG97" i="9"/>
  <c r="AG98" i="9"/>
  <c r="AG99" i="9"/>
  <c r="AG100" i="9"/>
  <c r="AG101" i="9"/>
  <c r="AG102" i="9"/>
  <c r="AG103" i="9"/>
  <c r="AG104" i="9"/>
  <c r="AG105" i="9"/>
  <c r="AG106" i="9"/>
  <c r="AG107" i="9"/>
  <c r="AG108" i="9"/>
  <c r="AG109" i="9"/>
  <c r="AG110" i="9"/>
  <c r="AG111" i="9"/>
  <c r="AG112" i="9"/>
  <c r="AG113" i="9"/>
  <c r="AG114" i="9"/>
  <c r="AG115" i="9"/>
  <c r="AG116" i="9"/>
  <c r="AG117" i="9"/>
  <c r="AG118" i="9"/>
  <c r="AG119" i="9"/>
  <c r="AG120" i="9"/>
  <c r="AG121" i="9"/>
  <c r="AG122" i="9"/>
  <c r="AG123" i="9"/>
  <c r="AG124" i="9"/>
  <c r="AH72" i="9"/>
  <c r="AH73" i="9"/>
  <c r="AH74" i="9"/>
  <c r="AH75" i="9"/>
  <c r="AH76" i="9"/>
  <c r="AH77" i="9"/>
  <c r="AH78" i="9"/>
  <c r="AH79" i="9"/>
  <c r="AH80" i="9"/>
  <c r="AH81" i="9"/>
  <c r="AH82" i="9"/>
  <c r="AH83" i="9"/>
  <c r="AH84" i="9"/>
  <c r="AH85" i="9"/>
  <c r="AH86" i="9"/>
  <c r="AH87" i="9"/>
  <c r="AH88" i="9"/>
  <c r="AH89" i="9"/>
  <c r="AH90" i="9"/>
  <c r="AH91" i="9"/>
  <c r="AH92" i="9"/>
  <c r="AH93" i="9"/>
  <c r="AH94" i="9"/>
  <c r="AH95" i="9"/>
  <c r="AH96" i="9"/>
  <c r="AH97" i="9"/>
  <c r="AH98" i="9"/>
  <c r="AH99" i="9"/>
  <c r="AH100" i="9"/>
  <c r="AH101" i="9"/>
  <c r="AH102" i="9"/>
  <c r="AH103" i="9"/>
  <c r="AH104" i="9"/>
  <c r="AH105" i="9"/>
  <c r="AH106" i="9"/>
  <c r="AH107" i="9"/>
  <c r="AH108" i="9"/>
  <c r="AH109" i="9"/>
  <c r="AH110" i="9"/>
  <c r="AH111" i="9"/>
  <c r="AH112" i="9"/>
  <c r="AH113" i="9"/>
  <c r="AH114" i="9"/>
  <c r="AH115" i="9"/>
  <c r="AH116" i="9"/>
  <c r="AH117" i="9"/>
  <c r="AH118" i="9"/>
  <c r="AH119" i="9"/>
  <c r="AH120" i="9"/>
  <c r="AH121" i="9"/>
  <c r="AH122" i="9"/>
  <c r="AH123" i="9"/>
  <c r="AH124" i="9"/>
  <c r="AK72" i="9"/>
  <c r="AK73" i="9"/>
  <c r="AK74" i="9"/>
  <c r="AK75" i="9"/>
  <c r="AK76" i="9"/>
  <c r="AK77" i="9"/>
  <c r="AK78" i="9"/>
  <c r="AK79" i="9"/>
  <c r="AK80" i="9"/>
  <c r="AK81" i="9"/>
  <c r="AK82" i="9"/>
  <c r="AK83" i="9"/>
  <c r="AK84" i="9"/>
  <c r="AK85" i="9"/>
  <c r="AK86" i="9"/>
  <c r="AK87" i="9"/>
  <c r="AK88" i="9"/>
  <c r="AK89" i="9"/>
  <c r="AK90" i="9"/>
  <c r="AK91" i="9"/>
  <c r="AK92" i="9"/>
  <c r="AK93" i="9"/>
  <c r="AK94" i="9"/>
  <c r="AK95" i="9"/>
  <c r="AK96" i="9"/>
  <c r="AK97" i="9"/>
  <c r="AK98" i="9"/>
  <c r="AK99" i="9"/>
  <c r="AK100" i="9"/>
  <c r="AK101" i="9"/>
  <c r="AK102" i="9"/>
  <c r="AK103" i="9"/>
  <c r="AK104" i="9"/>
  <c r="AK105" i="9"/>
  <c r="AK106" i="9"/>
  <c r="AK107" i="9"/>
  <c r="AK108" i="9"/>
  <c r="AK109" i="9"/>
  <c r="AK110" i="9"/>
  <c r="AK111" i="9"/>
  <c r="AK112" i="9"/>
  <c r="AK113" i="9"/>
  <c r="AK114" i="9"/>
  <c r="AK115" i="9"/>
  <c r="AK116" i="9"/>
  <c r="AK117" i="9"/>
  <c r="AK118" i="9"/>
  <c r="AK119" i="9"/>
  <c r="AK120" i="9"/>
  <c r="AK121" i="9"/>
  <c r="AK122" i="9"/>
  <c r="AK123" i="9"/>
  <c r="AK124" i="9"/>
  <c r="Y125" i="9"/>
  <c r="AB125" i="9" s="1"/>
  <c r="AA125" i="9"/>
  <c r="AC125" i="9"/>
  <c r="AD125" i="9"/>
  <c r="AG125" i="9"/>
  <c r="AH125" i="9"/>
  <c r="AK125" i="9"/>
  <c r="Y28" i="9"/>
  <c r="AB28" i="9" s="1"/>
  <c r="Y29" i="9"/>
  <c r="Y30" i="9"/>
  <c r="Z30" i="9" s="1"/>
  <c r="Y31" i="9"/>
  <c r="AB31" i="9" s="1"/>
  <c r="Y32" i="9"/>
  <c r="Z32" i="9" s="1"/>
  <c r="Y33" i="9"/>
  <c r="Z33" i="9" s="1"/>
  <c r="Y34" i="9"/>
  <c r="AB34" i="9" s="1"/>
  <c r="Y35" i="9"/>
  <c r="Z35" i="9" s="1"/>
  <c r="Y36" i="9"/>
  <c r="AB36" i="9" s="1"/>
  <c r="Y37" i="9"/>
  <c r="Z37" i="9" s="1"/>
  <c r="Y38" i="9"/>
  <c r="Z38" i="9" s="1"/>
  <c r="Y39" i="9"/>
  <c r="Y40" i="9"/>
  <c r="Z40" i="9" s="1"/>
  <c r="Y41" i="9"/>
  <c r="Z41" i="9" s="1"/>
  <c r="Y42" i="9"/>
  <c r="AB42" i="9" s="1"/>
  <c r="Y43" i="9"/>
  <c r="Y44" i="9"/>
  <c r="AB44" i="9" s="1"/>
  <c r="Y45" i="9"/>
  <c r="Z45" i="9" s="1"/>
  <c r="Y46" i="9"/>
  <c r="Z46" i="9" s="1"/>
  <c r="Y47" i="9"/>
  <c r="Y48" i="9"/>
  <c r="AB48" i="9" s="1"/>
  <c r="Y49" i="9"/>
  <c r="Z49" i="9" s="1"/>
  <c r="Y50" i="9"/>
  <c r="AB50" i="9" s="1"/>
  <c r="Y51" i="9"/>
  <c r="Z51" i="9" s="1"/>
  <c r="Y52" i="9"/>
  <c r="Z52" i="9" s="1"/>
  <c r="Y53" i="9"/>
  <c r="Z53" i="9" s="1"/>
  <c r="Y54" i="9"/>
  <c r="Z54" i="9" s="1"/>
  <c r="Y55" i="9"/>
  <c r="AB55" i="9" s="1"/>
  <c r="Z28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B35" i="9"/>
  <c r="AC29" i="9"/>
  <c r="AC30" i="9"/>
  <c r="AC31" i="9"/>
  <c r="AC32" i="9"/>
  <c r="AC33" i="9"/>
  <c r="AD29" i="9"/>
  <c r="AD30" i="9"/>
  <c r="AD31" i="9"/>
  <c r="AD32" i="9"/>
  <c r="AD33" i="9"/>
  <c r="AG28" i="9"/>
  <c r="AG29" i="9"/>
  <c r="AG30" i="9"/>
  <c r="AG31" i="9"/>
  <c r="AG32" i="9"/>
  <c r="AG33" i="9"/>
  <c r="AG34" i="9"/>
  <c r="AG35" i="9"/>
  <c r="AG36" i="9"/>
  <c r="AG37" i="9"/>
  <c r="AG38" i="9"/>
  <c r="AG39" i="9"/>
  <c r="AG40" i="9"/>
  <c r="AG41" i="9"/>
  <c r="AG42" i="9"/>
  <c r="AG43" i="9"/>
  <c r="AG44" i="9"/>
  <c r="AG45" i="9"/>
  <c r="AG46" i="9"/>
  <c r="AG47" i="9"/>
  <c r="AG48" i="9"/>
  <c r="AG49" i="9"/>
  <c r="AG50" i="9"/>
  <c r="AG51" i="9"/>
  <c r="AG52" i="9"/>
  <c r="AG53" i="9"/>
  <c r="AG54" i="9"/>
  <c r="AG55" i="9"/>
  <c r="AH28" i="9"/>
  <c r="AH29" i="9"/>
  <c r="AH30" i="9"/>
  <c r="AH31" i="9"/>
  <c r="AH32" i="9"/>
  <c r="AH33" i="9"/>
  <c r="AH34" i="9"/>
  <c r="AH35" i="9"/>
  <c r="AH36" i="9"/>
  <c r="AH37" i="9"/>
  <c r="AH38" i="9"/>
  <c r="AH39" i="9"/>
  <c r="AH40" i="9"/>
  <c r="AH41" i="9"/>
  <c r="AH42" i="9"/>
  <c r="AH43" i="9"/>
  <c r="AH44" i="9"/>
  <c r="AH45" i="9"/>
  <c r="AH46" i="9"/>
  <c r="AH47" i="9"/>
  <c r="AH48" i="9"/>
  <c r="AH49" i="9"/>
  <c r="AH50" i="9"/>
  <c r="AH51" i="9"/>
  <c r="AH52" i="9"/>
  <c r="AH53" i="9"/>
  <c r="AH54" i="9"/>
  <c r="AH55" i="9"/>
  <c r="AK28" i="9"/>
  <c r="AK29" i="9"/>
  <c r="AK30" i="9"/>
  <c r="AK31" i="9"/>
  <c r="AK32" i="9"/>
  <c r="AK33" i="9"/>
  <c r="AK34" i="9"/>
  <c r="AK35" i="9"/>
  <c r="AK36" i="9"/>
  <c r="AK37" i="9"/>
  <c r="AK38" i="9"/>
  <c r="AK39" i="9"/>
  <c r="AK40" i="9"/>
  <c r="AK41" i="9"/>
  <c r="AK42" i="9"/>
  <c r="AK43" i="9"/>
  <c r="AK44" i="9"/>
  <c r="AK45" i="9"/>
  <c r="AK46" i="9"/>
  <c r="AK47" i="9"/>
  <c r="AK48" i="9"/>
  <c r="AK49" i="9"/>
  <c r="AK50" i="9"/>
  <c r="AK51" i="9"/>
  <c r="AK52" i="9"/>
  <c r="AK53" i="9"/>
  <c r="AK54" i="9"/>
  <c r="AK55" i="9"/>
  <c r="Y54" i="14"/>
  <c r="Z54" i="14" s="1"/>
  <c r="AB54" i="14"/>
  <c r="AC54" i="14"/>
  <c r="AF54" i="14"/>
  <c r="AG54" i="14"/>
  <c r="AJ54" i="14"/>
  <c r="Y56" i="14"/>
  <c r="AA56" i="14" s="1"/>
  <c r="Y57" i="14"/>
  <c r="Z57" i="14" s="1"/>
  <c r="Y58" i="14"/>
  <c r="Z58" i="14" s="1"/>
  <c r="Y59" i="14"/>
  <c r="Y60" i="14"/>
  <c r="AA60" i="14" s="1"/>
  <c r="Y61" i="14"/>
  <c r="AA61" i="14" s="1"/>
  <c r="Y62" i="14"/>
  <c r="Z62" i="14" s="1"/>
  <c r="Y63" i="14"/>
  <c r="Y64" i="14"/>
  <c r="AA64" i="14" s="1"/>
  <c r="Y65" i="14"/>
  <c r="AA65" i="14" s="1"/>
  <c r="Y66" i="14"/>
  <c r="AA66" i="14" s="1"/>
  <c r="AB56" i="14"/>
  <c r="AB57" i="14"/>
  <c r="AB58" i="14"/>
  <c r="AB59" i="14"/>
  <c r="AB60" i="14"/>
  <c r="AB61" i="14"/>
  <c r="AB62" i="14"/>
  <c r="AB63" i="14"/>
  <c r="AB64" i="14"/>
  <c r="AB65" i="14"/>
  <c r="AB66" i="14"/>
  <c r="AC56" i="14"/>
  <c r="AC57" i="14"/>
  <c r="AC58" i="14"/>
  <c r="AC59" i="14"/>
  <c r="AC60" i="14"/>
  <c r="AC61" i="14"/>
  <c r="AC62" i="14"/>
  <c r="AC63" i="14"/>
  <c r="AC64" i="14"/>
  <c r="AC65" i="14"/>
  <c r="AC66" i="14"/>
  <c r="AF56" i="14"/>
  <c r="AF57" i="14"/>
  <c r="AF58" i="14"/>
  <c r="AF59" i="14"/>
  <c r="AF60" i="14"/>
  <c r="AF61" i="14"/>
  <c r="AF62" i="14"/>
  <c r="AF63" i="14"/>
  <c r="AF64" i="14"/>
  <c r="AF65" i="14"/>
  <c r="AF66" i="14"/>
  <c r="AG56" i="14"/>
  <c r="AG57" i="14"/>
  <c r="AG58" i="14"/>
  <c r="AG59" i="14"/>
  <c r="AG60" i="14"/>
  <c r="AG61" i="14"/>
  <c r="AG62" i="14"/>
  <c r="AG63" i="14"/>
  <c r="AG64" i="14"/>
  <c r="AG65" i="14"/>
  <c r="AG66" i="14"/>
  <c r="AJ56" i="14"/>
  <c r="AJ57" i="14"/>
  <c r="AJ58" i="14"/>
  <c r="AJ59" i="14"/>
  <c r="AJ60" i="14"/>
  <c r="AJ61" i="14"/>
  <c r="AJ62" i="14"/>
  <c r="AJ63" i="14"/>
  <c r="AJ64" i="14"/>
  <c r="AJ65" i="14"/>
  <c r="AJ66" i="14"/>
  <c r="AJ116" i="14"/>
  <c r="AG116" i="14"/>
  <c r="AF116" i="14"/>
  <c r="AC116" i="14"/>
  <c r="AB116" i="14"/>
  <c r="Y116" i="14"/>
  <c r="Z116" i="14" s="1"/>
  <c r="AJ115" i="14"/>
  <c r="AG115" i="14"/>
  <c r="AF115" i="14"/>
  <c r="AC115" i="14"/>
  <c r="AB115" i="14"/>
  <c r="Y115" i="14"/>
  <c r="Z115" i="14" s="1"/>
  <c r="AJ114" i="14"/>
  <c r="AG114" i="14"/>
  <c r="AF114" i="14"/>
  <c r="AC114" i="14"/>
  <c r="AB114" i="14"/>
  <c r="Y114" i="14"/>
  <c r="AA114" i="14" s="1"/>
  <c r="AJ113" i="14"/>
  <c r="AG113" i="14"/>
  <c r="AF113" i="14"/>
  <c r="AC113" i="14"/>
  <c r="AB113" i="14"/>
  <c r="Y113" i="14"/>
  <c r="Z113" i="14" s="1"/>
  <c r="AJ112" i="14"/>
  <c r="AG112" i="14"/>
  <c r="AF112" i="14"/>
  <c r="AC112" i="14"/>
  <c r="AB112" i="14"/>
  <c r="Y112" i="14"/>
  <c r="Z112" i="14" s="1"/>
  <c r="AJ111" i="14"/>
  <c r="AG111" i="14"/>
  <c r="AF111" i="14"/>
  <c r="AC111" i="14"/>
  <c r="AB111" i="14"/>
  <c r="Y111" i="14"/>
  <c r="Z111" i="14" s="1"/>
  <c r="AJ110" i="14"/>
  <c r="AG110" i="14"/>
  <c r="AF110" i="14"/>
  <c r="AC110" i="14"/>
  <c r="AB110" i="14"/>
  <c r="Y110" i="14"/>
  <c r="Z110" i="14" s="1"/>
  <c r="AJ109" i="14"/>
  <c r="AG109" i="14"/>
  <c r="AF109" i="14"/>
  <c r="AC109" i="14"/>
  <c r="AB109" i="14"/>
  <c r="Y109" i="14"/>
  <c r="Z109" i="14" s="1"/>
  <c r="AJ108" i="14"/>
  <c r="AG108" i="14"/>
  <c r="AF108" i="14"/>
  <c r="AC108" i="14"/>
  <c r="AB108" i="14"/>
  <c r="Y108" i="14"/>
  <c r="AA108" i="14" s="1"/>
  <c r="AJ107" i="14"/>
  <c r="AG107" i="14"/>
  <c r="AF107" i="14"/>
  <c r="AC107" i="14"/>
  <c r="AB107" i="14"/>
  <c r="Y107" i="14"/>
  <c r="Z107" i="14" s="1"/>
  <c r="AJ106" i="14"/>
  <c r="AG106" i="14"/>
  <c r="AF106" i="14"/>
  <c r="AC106" i="14"/>
  <c r="AB106" i="14"/>
  <c r="Y106" i="14"/>
  <c r="AA106" i="14" s="1"/>
  <c r="AJ105" i="14"/>
  <c r="AG105" i="14"/>
  <c r="AF105" i="14"/>
  <c r="AC105" i="14"/>
  <c r="AB105" i="14"/>
  <c r="Y105" i="14"/>
  <c r="Z105" i="14" s="1"/>
  <c r="Y77" i="14"/>
  <c r="AA77" i="14" s="1"/>
  <c r="Y78" i="14"/>
  <c r="AA78" i="14" s="1"/>
  <c r="Y79" i="14"/>
  <c r="Z79" i="14" s="1"/>
  <c r="Y80" i="14"/>
  <c r="Y81" i="14"/>
  <c r="Z81" i="14" s="1"/>
  <c r="Y82" i="14"/>
  <c r="AA82" i="14" s="1"/>
  <c r="Y83" i="14"/>
  <c r="AA83" i="14" s="1"/>
  <c r="Y84" i="14"/>
  <c r="Z84" i="14" s="1"/>
  <c r="Y85" i="14"/>
  <c r="Z85" i="14" s="1"/>
  <c r="Y86" i="14"/>
  <c r="Z86" i="14" s="1"/>
  <c r="Y87" i="14"/>
  <c r="AA87" i="14" s="1"/>
  <c r="Y88" i="14"/>
  <c r="Y89" i="14"/>
  <c r="Z89" i="14" s="1"/>
  <c r="Y90" i="14"/>
  <c r="AA90" i="14" s="1"/>
  <c r="Y91" i="14"/>
  <c r="Z91" i="14" s="1"/>
  <c r="Y92" i="14"/>
  <c r="Z92" i="14" s="1"/>
  <c r="Y93" i="14"/>
  <c r="AA93" i="14" s="1"/>
  <c r="Y94" i="14"/>
  <c r="Z94" i="14" s="1"/>
  <c r="Y95" i="14"/>
  <c r="Z95" i="14" s="1"/>
  <c r="Y96" i="14"/>
  <c r="Y97" i="14"/>
  <c r="AA97" i="14" s="1"/>
  <c r="Y98" i="14"/>
  <c r="AA98" i="14" s="1"/>
  <c r="Y99" i="14"/>
  <c r="Z99" i="14" s="1"/>
  <c r="Y100" i="14"/>
  <c r="Y101" i="14"/>
  <c r="Z101" i="14" s="1"/>
  <c r="Y102" i="14"/>
  <c r="Z102" i="14" s="1"/>
  <c r="Y103" i="14"/>
  <c r="AA103" i="14" s="1"/>
  <c r="Y104" i="14"/>
  <c r="AA104" i="14" s="1"/>
  <c r="Y117" i="14"/>
  <c r="AA117" i="14" s="1"/>
  <c r="Y118" i="14"/>
  <c r="Z118" i="14" s="1"/>
  <c r="Y119" i="14"/>
  <c r="AA119" i="14" s="1"/>
  <c r="Y120" i="14"/>
  <c r="AA120" i="14" s="1"/>
  <c r="Y121" i="14"/>
  <c r="Z121" i="14" s="1"/>
  <c r="Y122" i="14"/>
  <c r="AA122" i="14" s="1"/>
  <c r="Y123" i="14"/>
  <c r="AA123" i="14" s="1"/>
  <c r="Y124" i="14"/>
  <c r="AA124" i="14" s="1"/>
  <c r="Y125" i="14"/>
  <c r="AA125" i="14" s="1"/>
  <c r="Y126" i="14"/>
  <c r="Z126" i="14" s="1"/>
  <c r="Y127" i="14"/>
  <c r="AA127" i="14" s="1"/>
  <c r="Y128" i="14"/>
  <c r="AA128" i="14" s="1"/>
  <c r="AB77" i="14"/>
  <c r="AB78" i="14"/>
  <c r="AB79" i="14"/>
  <c r="AB80" i="14"/>
  <c r="AB81" i="14"/>
  <c r="AB82" i="14"/>
  <c r="AB83" i="14"/>
  <c r="AB84" i="14"/>
  <c r="AB85" i="14"/>
  <c r="AB86" i="14"/>
  <c r="AB87" i="14"/>
  <c r="AB88" i="14"/>
  <c r="AB89" i="14"/>
  <c r="AB90" i="14"/>
  <c r="AB91" i="14"/>
  <c r="AB92" i="14"/>
  <c r="AB93" i="14"/>
  <c r="AB94" i="14"/>
  <c r="AB95" i="14"/>
  <c r="AB96" i="14"/>
  <c r="AB97" i="14"/>
  <c r="AB98" i="14"/>
  <c r="AB99" i="14"/>
  <c r="AB100" i="14"/>
  <c r="AB101" i="14"/>
  <c r="AB102" i="14"/>
  <c r="AB103" i="14"/>
  <c r="AB104" i="14"/>
  <c r="AB117" i="14"/>
  <c r="AB118" i="14"/>
  <c r="AB119" i="14"/>
  <c r="AB120" i="14"/>
  <c r="AB121" i="14"/>
  <c r="AB122" i="14"/>
  <c r="AB123" i="14"/>
  <c r="AB124" i="14"/>
  <c r="AB125" i="14"/>
  <c r="AB126" i="14"/>
  <c r="AB127" i="14"/>
  <c r="AB128" i="14"/>
  <c r="AC77" i="14"/>
  <c r="AC78" i="14"/>
  <c r="AC79" i="14"/>
  <c r="AC80" i="14"/>
  <c r="AC81" i="14"/>
  <c r="AC82" i="14"/>
  <c r="AC83" i="14"/>
  <c r="AC84" i="14"/>
  <c r="AC85" i="14"/>
  <c r="AC86" i="14"/>
  <c r="AC87" i="14"/>
  <c r="AC88" i="14"/>
  <c r="AC89" i="14"/>
  <c r="AC90" i="14"/>
  <c r="AC91" i="14"/>
  <c r="AC92" i="14"/>
  <c r="AC93" i="14"/>
  <c r="AC94" i="14"/>
  <c r="AC95" i="14"/>
  <c r="AC96" i="14"/>
  <c r="AC97" i="14"/>
  <c r="AC98" i="14"/>
  <c r="AC99" i="14"/>
  <c r="AC100" i="14"/>
  <c r="AC101" i="14"/>
  <c r="AC102" i="14"/>
  <c r="AC103" i="14"/>
  <c r="AC104" i="14"/>
  <c r="AC117" i="14"/>
  <c r="AC118" i="14"/>
  <c r="AC119" i="14"/>
  <c r="AC120" i="14"/>
  <c r="AC121" i="14"/>
  <c r="AC122" i="14"/>
  <c r="AC123" i="14"/>
  <c r="AC124" i="14"/>
  <c r="AC125" i="14"/>
  <c r="AC126" i="14"/>
  <c r="AC127" i="14"/>
  <c r="AC128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17" i="14"/>
  <c r="AF118" i="14"/>
  <c r="AF119" i="14"/>
  <c r="AF120" i="14"/>
  <c r="AF121" i="14"/>
  <c r="AF122" i="14"/>
  <c r="AF123" i="14"/>
  <c r="AF124" i="14"/>
  <c r="AF125" i="14"/>
  <c r="AF126" i="14"/>
  <c r="AF127" i="14"/>
  <c r="AF128" i="14"/>
  <c r="AG77" i="14"/>
  <c r="AG78" i="14"/>
  <c r="AG79" i="14"/>
  <c r="AG80" i="14"/>
  <c r="AG81" i="14"/>
  <c r="AG82" i="14"/>
  <c r="AG83" i="14"/>
  <c r="AG84" i="14"/>
  <c r="AG85" i="14"/>
  <c r="AG86" i="14"/>
  <c r="AG87" i="14"/>
  <c r="AG88" i="14"/>
  <c r="AG89" i="14"/>
  <c r="AG90" i="14"/>
  <c r="AG91" i="14"/>
  <c r="AG92" i="14"/>
  <c r="AG93" i="14"/>
  <c r="AG94" i="14"/>
  <c r="AG95" i="14"/>
  <c r="AG96" i="14"/>
  <c r="AG97" i="14"/>
  <c r="AG98" i="14"/>
  <c r="AG99" i="14"/>
  <c r="AG100" i="14"/>
  <c r="AG101" i="14"/>
  <c r="AG102" i="14"/>
  <c r="AG103" i="14"/>
  <c r="AG104" i="14"/>
  <c r="AG117" i="14"/>
  <c r="AG118" i="14"/>
  <c r="AG119" i="14"/>
  <c r="AG120" i="14"/>
  <c r="AG121" i="14"/>
  <c r="AG122" i="14"/>
  <c r="AG123" i="14"/>
  <c r="AG124" i="14"/>
  <c r="AG125" i="14"/>
  <c r="AG126" i="14"/>
  <c r="AG127" i="14"/>
  <c r="AG128" i="14"/>
  <c r="AJ77" i="14"/>
  <c r="AJ78" i="14"/>
  <c r="AJ79" i="14"/>
  <c r="AJ80" i="14"/>
  <c r="AJ81" i="14"/>
  <c r="AJ82" i="14"/>
  <c r="AJ83" i="14"/>
  <c r="AJ84" i="14"/>
  <c r="AJ85" i="14"/>
  <c r="AJ86" i="14"/>
  <c r="AJ87" i="14"/>
  <c r="AJ88" i="14"/>
  <c r="AJ89" i="14"/>
  <c r="AJ90" i="14"/>
  <c r="AJ91" i="14"/>
  <c r="AJ92" i="14"/>
  <c r="AJ93" i="14"/>
  <c r="AJ94" i="14"/>
  <c r="AJ95" i="14"/>
  <c r="AJ96" i="14"/>
  <c r="AJ97" i="14"/>
  <c r="AJ98" i="14"/>
  <c r="AJ99" i="14"/>
  <c r="AJ100" i="14"/>
  <c r="AJ101" i="14"/>
  <c r="AJ102" i="14"/>
  <c r="AJ103" i="14"/>
  <c r="AJ104" i="14"/>
  <c r="AJ117" i="14"/>
  <c r="AJ118" i="14"/>
  <c r="AJ119" i="14"/>
  <c r="AJ120" i="14"/>
  <c r="AJ121" i="14"/>
  <c r="AJ122" i="14"/>
  <c r="AJ123" i="14"/>
  <c r="AJ124" i="14"/>
  <c r="AJ125" i="14"/>
  <c r="AJ126" i="14"/>
  <c r="AJ127" i="14"/>
  <c r="AJ128" i="14"/>
  <c r="Y41" i="14"/>
  <c r="Z41" i="14" s="1"/>
  <c r="Y42" i="14"/>
  <c r="Z42" i="14" s="1"/>
  <c r="Y43" i="14"/>
  <c r="Z43" i="14" s="1"/>
  <c r="Y44" i="14"/>
  <c r="AA44" i="14" s="1"/>
  <c r="Y45" i="14"/>
  <c r="Z45" i="14" s="1"/>
  <c r="Y46" i="14"/>
  <c r="Z46" i="14" s="1"/>
  <c r="Y47" i="14"/>
  <c r="Z47" i="14" s="1"/>
  <c r="Y48" i="14"/>
  <c r="AA48" i="14" s="1"/>
  <c r="Y49" i="14"/>
  <c r="AA49" i="14" s="1"/>
  <c r="Y50" i="14"/>
  <c r="AA50" i="14" s="1"/>
  <c r="Y51" i="14"/>
  <c r="Z51" i="14" s="1"/>
  <c r="Y52" i="14"/>
  <c r="AA52" i="14" s="1"/>
  <c r="Y53" i="14"/>
  <c r="Z53" i="14" s="1"/>
  <c r="Y55" i="14"/>
  <c r="Y67" i="14"/>
  <c r="Z67" i="14" s="1"/>
  <c r="Y68" i="14"/>
  <c r="Z68" i="14" s="1"/>
  <c r="Y69" i="14"/>
  <c r="Z69" i="14" s="1"/>
  <c r="Y70" i="14"/>
  <c r="AA70" i="14" s="1"/>
  <c r="Y71" i="14"/>
  <c r="Z71" i="14" s="1"/>
  <c r="Y72" i="14"/>
  <c r="AA72" i="14" s="1"/>
  <c r="Y73" i="14"/>
  <c r="Z73" i="14" s="1"/>
  <c r="Y74" i="14"/>
  <c r="Y75" i="14"/>
  <c r="Z75" i="14" s="1"/>
  <c r="Y76" i="14"/>
  <c r="Z76" i="14" s="1"/>
  <c r="AB53" i="14"/>
  <c r="AB55" i="14"/>
  <c r="AB67" i="14"/>
  <c r="AB68" i="14"/>
  <c r="AB69" i="14"/>
  <c r="AB70" i="14"/>
  <c r="AB71" i="14"/>
  <c r="AB72" i="14"/>
  <c r="AB73" i="14"/>
  <c r="AB74" i="14"/>
  <c r="AB75" i="14"/>
  <c r="AB76" i="14"/>
  <c r="AC53" i="14"/>
  <c r="AC55" i="14"/>
  <c r="AC67" i="14"/>
  <c r="AC68" i="14"/>
  <c r="AC69" i="14"/>
  <c r="AC70" i="14"/>
  <c r="AC71" i="14"/>
  <c r="AC72" i="14"/>
  <c r="AC73" i="14"/>
  <c r="AC74" i="14"/>
  <c r="AC75" i="14"/>
  <c r="AC76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5" i="14"/>
  <c r="AF67" i="14"/>
  <c r="AF68" i="14"/>
  <c r="AF69" i="14"/>
  <c r="AF70" i="14"/>
  <c r="AF71" i="14"/>
  <c r="AF72" i="14"/>
  <c r="AF73" i="14"/>
  <c r="AF74" i="14"/>
  <c r="AF75" i="14"/>
  <c r="AF76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5" i="14"/>
  <c r="AG67" i="14"/>
  <c r="AG68" i="14"/>
  <c r="AG69" i="14"/>
  <c r="AG70" i="14"/>
  <c r="AG71" i="14"/>
  <c r="AG72" i="14"/>
  <c r="AG73" i="14"/>
  <c r="AG74" i="14"/>
  <c r="AG75" i="14"/>
  <c r="AG76" i="14"/>
  <c r="AJ41" i="14"/>
  <c r="AJ42" i="14"/>
  <c r="AJ43" i="14"/>
  <c r="AJ44" i="14"/>
  <c r="AJ45" i="14"/>
  <c r="AJ46" i="14"/>
  <c r="AJ47" i="14"/>
  <c r="AJ48" i="14"/>
  <c r="AJ49" i="14"/>
  <c r="AJ50" i="14"/>
  <c r="AJ51" i="14"/>
  <c r="AJ52" i="14"/>
  <c r="AJ53" i="14"/>
  <c r="AJ55" i="14"/>
  <c r="AJ67" i="14"/>
  <c r="AJ68" i="14"/>
  <c r="AJ69" i="14"/>
  <c r="AJ70" i="14"/>
  <c r="AJ71" i="14"/>
  <c r="AJ72" i="14"/>
  <c r="AJ73" i="14"/>
  <c r="AJ74" i="14"/>
  <c r="AJ75" i="14"/>
  <c r="AJ76" i="14"/>
  <c r="Y27" i="14"/>
  <c r="Z27" i="14" s="1"/>
  <c r="AF27" i="14"/>
  <c r="AG27" i="14"/>
  <c r="AJ27" i="14"/>
  <c r="Y28" i="14"/>
  <c r="AA28" i="14" s="1"/>
  <c r="AF28" i="14"/>
  <c r="AG28" i="14"/>
  <c r="AJ28" i="14"/>
  <c r="Y29" i="14"/>
  <c r="Z29" i="14" s="1"/>
  <c r="AF29" i="14"/>
  <c r="AG29" i="14"/>
  <c r="AJ29" i="14"/>
  <c r="Y30" i="14"/>
  <c r="Z30" i="14" s="1"/>
  <c r="AF30" i="14"/>
  <c r="AG30" i="14"/>
  <c r="AJ30" i="14"/>
  <c r="Y31" i="14"/>
  <c r="Z31" i="14" s="1"/>
  <c r="AF31" i="14"/>
  <c r="AG31" i="14"/>
  <c r="AJ31" i="14"/>
  <c r="Y32" i="14"/>
  <c r="Z32" i="14" s="1"/>
  <c r="AF32" i="14"/>
  <c r="AG32" i="14"/>
  <c r="AJ32" i="14"/>
  <c r="Y33" i="14"/>
  <c r="Z33" i="14" s="1"/>
  <c r="AF33" i="14"/>
  <c r="AG33" i="14"/>
  <c r="AJ33" i="14"/>
  <c r="Y34" i="14"/>
  <c r="Z34" i="14" s="1"/>
  <c r="AF34" i="14"/>
  <c r="AG34" i="14"/>
  <c r="AJ34" i="14"/>
  <c r="Y35" i="14"/>
  <c r="Z35" i="14" s="1"/>
  <c r="AF35" i="14"/>
  <c r="AG35" i="14"/>
  <c r="AJ35" i="14"/>
  <c r="Y36" i="14"/>
  <c r="Z36" i="14" s="1"/>
  <c r="AF36" i="14"/>
  <c r="AG36" i="14"/>
  <c r="AJ36" i="14"/>
  <c r="Y37" i="14"/>
  <c r="Z37" i="14" s="1"/>
  <c r="AF37" i="14"/>
  <c r="AG37" i="14"/>
  <c r="AJ37" i="14"/>
  <c r="Y38" i="14"/>
  <c r="Z38" i="14" s="1"/>
  <c r="AF38" i="14"/>
  <c r="AG38" i="14"/>
  <c r="AJ38" i="14"/>
  <c r="Y39" i="14"/>
  <c r="Z39" i="14" s="1"/>
  <c r="AF39" i="14"/>
  <c r="AG39" i="14"/>
  <c r="AJ39" i="14"/>
  <c r="Y40" i="14"/>
  <c r="Z40" i="14" s="1"/>
  <c r="AF40" i="14"/>
  <c r="AG40" i="14"/>
  <c r="AJ40" i="14"/>
  <c r="Y136" i="14"/>
  <c r="AA136" i="14" s="1"/>
  <c r="Y137" i="14"/>
  <c r="Z137" i="14" s="1"/>
  <c r="AB136" i="14"/>
  <c r="AB137" i="14"/>
  <c r="AC136" i="14"/>
  <c r="AC137" i="14"/>
  <c r="AF136" i="14"/>
  <c r="AF137" i="14"/>
  <c r="AG136" i="14"/>
  <c r="AG137" i="14"/>
  <c r="AJ136" i="14"/>
  <c r="AJ137" i="14"/>
  <c r="Y25" i="14"/>
  <c r="Z25" i="14" s="1"/>
  <c r="AF25" i="14"/>
  <c r="AG25" i="14"/>
  <c r="AJ25" i="14"/>
  <c r="Y138" i="14"/>
  <c r="AA138" i="14" s="1"/>
  <c r="AB138" i="14"/>
  <c r="AC138" i="14"/>
  <c r="AF138" i="14"/>
  <c r="AG138" i="14"/>
  <c r="AJ138" i="14"/>
  <c r="Y139" i="14"/>
  <c r="AA139" i="14" s="1"/>
  <c r="AB139" i="14"/>
  <c r="AC139" i="14"/>
  <c r="AF139" i="14"/>
  <c r="AG139" i="14"/>
  <c r="AJ139" i="14"/>
  <c r="Y141" i="14"/>
  <c r="Z141" i="14" s="1"/>
  <c r="AB141" i="14"/>
  <c r="AC141" i="14"/>
  <c r="AF141" i="14"/>
  <c r="AG141" i="14"/>
  <c r="AJ141" i="14"/>
  <c r="G336" i="11"/>
  <c r="AH336" i="11" s="1"/>
  <c r="G335" i="11"/>
  <c r="G334" i="11"/>
  <c r="G333" i="11"/>
  <c r="G332" i="11"/>
  <c r="R332" i="11"/>
  <c r="AH332" i="11"/>
  <c r="AK332" i="11"/>
  <c r="AL332" i="11"/>
  <c r="AO332" i="11"/>
  <c r="AP332" i="11"/>
  <c r="AS332" i="11"/>
  <c r="AW332" i="11"/>
  <c r="R333" i="11"/>
  <c r="AK333" i="11"/>
  <c r="AL333" i="11"/>
  <c r="AO333" i="11"/>
  <c r="AP333" i="11"/>
  <c r="AS333" i="11"/>
  <c r="AW333" i="11"/>
  <c r="R334" i="11"/>
  <c r="AK334" i="11"/>
  <c r="AL334" i="11"/>
  <c r="AO334" i="11"/>
  <c r="AP334" i="11"/>
  <c r="AS334" i="11"/>
  <c r="AW334" i="11"/>
  <c r="R335" i="11"/>
  <c r="AK335" i="11"/>
  <c r="AL335" i="11"/>
  <c r="AO335" i="11"/>
  <c r="AP335" i="11"/>
  <c r="AS335" i="11"/>
  <c r="AW335" i="11"/>
  <c r="R336" i="11"/>
  <c r="AK336" i="11"/>
  <c r="AL336" i="11"/>
  <c r="AO336" i="11"/>
  <c r="AP336" i="11"/>
  <c r="AS336" i="11"/>
  <c r="AW336" i="11"/>
  <c r="R337" i="11"/>
  <c r="AH337" i="11"/>
  <c r="AK337" i="11"/>
  <c r="AL337" i="11"/>
  <c r="AO337" i="11"/>
  <c r="AP337" i="11"/>
  <c r="AS337" i="11"/>
  <c r="AW337" i="11"/>
  <c r="G325" i="11"/>
  <c r="AH325" i="11" s="1"/>
  <c r="G324" i="11"/>
  <c r="G323" i="11"/>
  <c r="G322" i="11"/>
  <c r="AH322" i="11" s="1"/>
  <c r="G321" i="11"/>
  <c r="G320" i="11"/>
  <c r="G319" i="11"/>
  <c r="G318" i="11"/>
  <c r="G317" i="11"/>
  <c r="AH317" i="11" s="1"/>
  <c r="G316" i="11"/>
  <c r="G315" i="11"/>
  <c r="G314" i="11"/>
  <c r="R315" i="11"/>
  <c r="R316" i="11"/>
  <c r="R317" i="11"/>
  <c r="R318" i="11"/>
  <c r="R319" i="11"/>
  <c r="R320" i="11"/>
  <c r="R321" i="11"/>
  <c r="R322" i="11"/>
  <c r="R323" i="11"/>
  <c r="R324" i="11"/>
  <c r="R325" i="11"/>
  <c r="R326" i="11"/>
  <c r="R327" i="11"/>
  <c r="R328" i="11"/>
  <c r="R329" i="11"/>
  <c r="R330" i="11"/>
  <c r="R331" i="11"/>
  <c r="AH326" i="11"/>
  <c r="AH327" i="11"/>
  <c r="AH328" i="11"/>
  <c r="AH329" i="11"/>
  <c r="AH330" i="11"/>
  <c r="AH331" i="11"/>
  <c r="AK326" i="11"/>
  <c r="AK327" i="11"/>
  <c r="AK328" i="11"/>
  <c r="AK329" i="11"/>
  <c r="AK330" i="11"/>
  <c r="AK331" i="11"/>
  <c r="AL326" i="11"/>
  <c r="AL327" i="11"/>
  <c r="AL328" i="11"/>
  <c r="AL329" i="11"/>
  <c r="AL330" i="11"/>
  <c r="AL331" i="11"/>
  <c r="AO315" i="11"/>
  <c r="AO316" i="11"/>
  <c r="AO317" i="11"/>
  <c r="AO318" i="11"/>
  <c r="AO319" i="11"/>
  <c r="AO320" i="11"/>
  <c r="AO321" i="11"/>
  <c r="AO322" i="11"/>
  <c r="AO323" i="11"/>
  <c r="AO324" i="11"/>
  <c r="AO325" i="11"/>
  <c r="AO326" i="11"/>
  <c r="AO327" i="11"/>
  <c r="AO328" i="11"/>
  <c r="AO329" i="11"/>
  <c r="AO330" i="11"/>
  <c r="AO331" i="11"/>
  <c r="AP315" i="11"/>
  <c r="AP316" i="11"/>
  <c r="AP317" i="11"/>
  <c r="AP318" i="11"/>
  <c r="AP319" i="11"/>
  <c r="AP320" i="11"/>
  <c r="AP321" i="11"/>
  <c r="AP322" i="11"/>
  <c r="AP323" i="11"/>
  <c r="AP324" i="11"/>
  <c r="AP325" i="11"/>
  <c r="AP326" i="11"/>
  <c r="AP327" i="11"/>
  <c r="AP328" i="11"/>
  <c r="AP329" i="11"/>
  <c r="AP330" i="11"/>
  <c r="AP331" i="11"/>
  <c r="AS315" i="11"/>
  <c r="AS316" i="11"/>
  <c r="AS317" i="11"/>
  <c r="AS318" i="11"/>
  <c r="AS319" i="11"/>
  <c r="AS320" i="11"/>
  <c r="AS321" i="11"/>
  <c r="AS322" i="11"/>
  <c r="AS323" i="11"/>
  <c r="AS324" i="11"/>
  <c r="AS325" i="11"/>
  <c r="AS326" i="11"/>
  <c r="AS327" i="11"/>
  <c r="AS328" i="11"/>
  <c r="AS329" i="11"/>
  <c r="AS330" i="11"/>
  <c r="AS331" i="11"/>
  <c r="AW315" i="11"/>
  <c r="AW316" i="11"/>
  <c r="AW317" i="11"/>
  <c r="AW318" i="11"/>
  <c r="AW319" i="11"/>
  <c r="AW320" i="11"/>
  <c r="AW321" i="11"/>
  <c r="AW322" i="11"/>
  <c r="AW323" i="11"/>
  <c r="AW324" i="11"/>
  <c r="AW325" i="11"/>
  <c r="AW326" i="11"/>
  <c r="AW327" i="11"/>
  <c r="AW328" i="11"/>
  <c r="AW329" i="11"/>
  <c r="AW330" i="11"/>
  <c r="AW331" i="11"/>
  <c r="R312" i="11"/>
  <c r="AH312" i="11"/>
  <c r="AK312" i="11"/>
  <c r="AL312" i="11"/>
  <c r="AO312" i="11"/>
  <c r="AP312" i="11"/>
  <c r="AS312" i="11"/>
  <c r="AW312" i="11"/>
  <c r="G310" i="11"/>
  <c r="G309" i="11"/>
  <c r="G308" i="11"/>
  <c r="G307" i="11"/>
  <c r="G306" i="11"/>
  <c r="G305" i="11"/>
  <c r="G304" i="11"/>
  <c r="G303" i="11"/>
  <c r="G302" i="11"/>
  <c r="AH302" i="11" s="1"/>
  <c r="G301" i="11"/>
  <c r="G300" i="11"/>
  <c r="G299" i="11"/>
  <c r="R306" i="11"/>
  <c r="R307" i="11"/>
  <c r="R308" i="11"/>
  <c r="R309" i="11"/>
  <c r="AO306" i="11"/>
  <c r="AO307" i="11"/>
  <c r="AO308" i="11"/>
  <c r="AO309" i="11"/>
  <c r="AP306" i="11"/>
  <c r="AP307" i="11"/>
  <c r="AP308" i="11"/>
  <c r="AP309" i="11"/>
  <c r="AS306" i="11"/>
  <c r="AS307" i="11"/>
  <c r="AS308" i="11"/>
  <c r="AS309" i="11"/>
  <c r="AW306" i="11"/>
  <c r="AW307" i="11"/>
  <c r="AW308" i="11"/>
  <c r="AW309" i="11"/>
  <c r="R314" i="11"/>
  <c r="R338" i="11"/>
  <c r="AH338" i="11"/>
  <c r="AO314" i="11"/>
  <c r="AO338" i="11"/>
  <c r="AP314" i="11"/>
  <c r="AP338" i="11"/>
  <c r="AS314" i="11"/>
  <c r="AS338" i="11"/>
  <c r="AW314" i="11"/>
  <c r="AW338" i="11"/>
  <c r="R283" i="11"/>
  <c r="R284" i="11"/>
  <c r="R285" i="11"/>
  <c r="R286" i="11"/>
  <c r="R287" i="11"/>
  <c r="R288" i="11"/>
  <c r="R289" i="11"/>
  <c r="R290" i="11"/>
  <c r="R291" i="11"/>
  <c r="R292" i="11"/>
  <c r="R293" i="11"/>
  <c r="R294" i="11"/>
  <c r="R295" i="11"/>
  <c r="R296" i="11"/>
  <c r="R297" i="11"/>
  <c r="R298" i="11"/>
  <c r="R299" i="11"/>
  <c r="R300" i="11"/>
  <c r="R301" i="11"/>
  <c r="R302" i="11"/>
  <c r="R303" i="11"/>
  <c r="R304" i="11"/>
  <c r="AH283" i="11"/>
  <c r="AH284" i="11"/>
  <c r="AH285" i="11"/>
  <c r="AH286" i="11"/>
  <c r="AH287" i="11"/>
  <c r="AH288" i="11"/>
  <c r="AH289" i="11"/>
  <c r="AH290" i="11"/>
  <c r="AH291" i="11"/>
  <c r="AH292" i="11"/>
  <c r="AH293" i="11"/>
  <c r="AH294" i="11"/>
  <c r="AH295" i="11"/>
  <c r="AH296" i="11"/>
  <c r="AH297" i="11"/>
  <c r="AH298" i="11"/>
  <c r="AK283" i="11"/>
  <c r="AK296" i="11"/>
  <c r="AK297" i="11"/>
  <c r="AK298" i="11"/>
  <c r="AL283" i="11"/>
  <c r="AL296" i="11"/>
  <c r="AL297" i="11"/>
  <c r="AL298" i="11"/>
  <c r="AO283" i="11"/>
  <c r="AO284" i="11"/>
  <c r="AO285" i="11"/>
  <c r="AO286" i="11"/>
  <c r="AO287" i="11"/>
  <c r="AO288" i="11"/>
  <c r="AO289" i="11"/>
  <c r="AO290" i="11"/>
  <c r="AO291" i="11"/>
  <c r="AO292" i="11"/>
  <c r="AO293" i="11"/>
  <c r="AO294" i="11"/>
  <c r="AO295" i="11"/>
  <c r="AO296" i="11"/>
  <c r="AO297" i="11"/>
  <c r="AO298" i="11"/>
  <c r="AO299" i="11"/>
  <c r="AO300" i="11"/>
  <c r="AO301" i="11"/>
  <c r="AO302" i="11"/>
  <c r="AO303" i="11"/>
  <c r="AO304" i="11"/>
  <c r="AP283" i="11"/>
  <c r="AP284" i="11"/>
  <c r="AP285" i="11"/>
  <c r="AP286" i="11"/>
  <c r="AP287" i="11"/>
  <c r="AP288" i="11"/>
  <c r="AP289" i="11"/>
  <c r="AP290" i="11"/>
  <c r="AP291" i="11"/>
  <c r="AP292" i="11"/>
  <c r="AP293" i="11"/>
  <c r="AP294" i="11"/>
  <c r="AP295" i="11"/>
  <c r="AP296" i="11"/>
  <c r="AP297" i="11"/>
  <c r="AP298" i="11"/>
  <c r="AP299" i="11"/>
  <c r="AP300" i="11"/>
  <c r="AP301" i="11"/>
  <c r="AP302" i="11"/>
  <c r="AP303" i="11"/>
  <c r="AP304" i="11"/>
  <c r="AS283" i="11"/>
  <c r="AS284" i="11"/>
  <c r="AS285" i="11"/>
  <c r="AS286" i="11"/>
  <c r="AS287" i="11"/>
  <c r="AS288" i="11"/>
  <c r="AS289" i="11"/>
  <c r="AS290" i="11"/>
  <c r="AS291" i="11"/>
  <c r="AS292" i="11"/>
  <c r="AS293" i="11"/>
  <c r="AS294" i="11"/>
  <c r="AS295" i="11"/>
  <c r="AS296" i="11"/>
  <c r="AS297" i="11"/>
  <c r="AS298" i="11"/>
  <c r="AS299" i="11"/>
  <c r="AS300" i="11"/>
  <c r="AS301" i="11"/>
  <c r="AS302" i="11"/>
  <c r="AS303" i="11"/>
  <c r="AS304" i="11"/>
  <c r="AW283" i="11"/>
  <c r="AW284" i="11"/>
  <c r="AW285" i="11"/>
  <c r="AW286" i="11"/>
  <c r="AW287" i="11"/>
  <c r="AW288" i="11"/>
  <c r="AW289" i="11"/>
  <c r="AW290" i="11"/>
  <c r="AW291" i="11"/>
  <c r="AW292" i="11"/>
  <c r="AW293" i="11"/>
  <c r="AW294" i="11"/>
  <c r="AW295" i="11"/>
  <c r="AW296" i="11"/>
  <c r="AW297" i="11"/>
  <c r="AW298" i="11"/>
  <c r="AW299" i="11"/>
  <c r="AW300" i="11"/>
  <c r="AW301" i="11"/>
  <c r="AW302" i="11"/>
  <c r="AW303" i="11"/>
  <c r="AW304" i="11"/>
  <c r="G259" i="11"/>
  <c r="AG259" i="11" s="1"/>
  <c r="AF259" i="11" s="1"/>
  <c r="G258" i="11"/>
  <c r="AH258" i="11" s="1"/>
  <c r="G257" i="11"/>
  <c r="AH257" i="11" s="1"/>
  <c r="G256" i="11"/>
  <c r="AH256" i="11" s="1"/>
  <c r="G255" i="11"/>
  <c r="AE255" i="11" s="1"/>
  <c r="AI255" i="11" s="1"/>
  <c r="G254" i="11"/>
  <c r="AH254" i="11" s="1"/>
  <c r="G253" i="11"/>
  <c r="AH253" i="11" s="1"/>
  <c r="G252" i="11"/>
  <c r="G251" i="11"/>
  <c r="AH251" i="11" s="1"/>
  <c r="G250" i="11"/>
  <c r="AH250" i="11" s="1"/>
  <c r="G249" i="11"/>
  <c r="AH249" i="11" s="1"/>
  <c r="G248" i="11"/>
  <c r="AE248" i="11" s="1"/>
  <c r="AI248" i="11" s="1"/>
  <c r="B220" i="11"/>
  <c r="B219" i="11"/>
  <c r="G227" i="11" s="1"/>
  <c r="AE227" i="11" s="1"/>
  <c r="G214" i="11"/>
  <c r="AE214" i="11" s="1"/>
  <c r="G213" i="11"/>
  <c r="AE213" i="11" s="1"/>
  <c r="G212" i="11"/>
  <c r="AE212" i="11" s="1"/>
  <c r="AI212" i="11" s="1"/>
  <c r="G211" i="11"/>
  <c r="AE211" i="11" s="1"/>
  <c r="AI211" i="11" s="1"/>
  <c r="G210" i="11"/>
  <c r="AG210" i="11" s="1"/>
  <c r="AF210" i="11" s="1"/>
  <c r="G209" i="11"/>
  <c r="AE209" i="11" s="1"/>
  <c r="G208" i="11"/>
  <c r="AE208" i="11" s="1"/>
  <c r="AI208" i="11" s="1"/>
  <c r="G207" i="11"/>
  <c r="AE207" i="11" s="1"/>
  <c r="G206" i="11"/>
  <c r="AG206" i="11" s="1"/>
  <c r="AF206" i="11" s="1"/>
  <c r="G205" i="11"/>
  <c r="AH205" i="11" s="1"/>
  <c r="G204" i="11"/>
  <c r="AE204" i="11" s="1"/>
  <c r="AI204" i="11" s="1"/>
  <c r="G203" i="11"/>
  <c r="AE203" i="11" s="1"/>
  <c r="AI203" i="11" s="1"/>
  <c r="G202" i="11"/>
  <c r="AE202" i="11" s="1"/>
  <c r="AI202" i="11" s="1"/>
  <c r="G201" i="11"/>
  <c r="AE201" i="11" s="1"/>
  <c r="G200" i="11"/>
  <c r="G199" i="11"/>
  <c r="AE199" i="11" s="1"/>
  <c r="G198" i="11"/>
  <c r="AE198" i="11" s="1"/>
  <c r="G197" i="11"/>
  <c r="AG197" i="11" s="1"/>
  <c r="AF197" i="11" s="1"/>
  <c r="G196" i="11"/>
  <c r="AE196" i="11" s="1"/>
  <c r="AI196" i="11" s="1"/>
  <c r="G195" i="11"/>
  <c r="AE195" i="11" s="1"/>
  <c r="G194" i="11"/>
  <c r="AE194" i="11" s="1"/>
  <c r="G193" i="11"/>
  <c r="AG193" i="11" s="1"/>
  <c r="AF193" i="11" s="1"/>
  <c r="G192" i="11"/>
  <c r="AG192" i="11" s="1"/>
  <c r="AF192" i="11" s="1"/>
  <c r="G191" i="11"/>
  <c r="AE191" i="11" s="1"/>
  <c r="G190" i="11"/>
  <c r="AE190" i="11" s="1"/>
  <c r="AJ190" i="11" s="1"/>
  <c r="G189" i="11"/>
  <c r="AG189" i="11" s="1"/>
  <c r="AF189" i="11" s="1"/>
  <c r="G188" i="11"/>
  <c r="AH188" i="11" s="1"/>
  <c r="G187" i="11"/>
  <c r="AE187" i="11" s="1"/>
  <c r="AJ187" i="11" s="1"/>
  <c r="G186" i="11"/>
  <c r="G185" i="11"/>
  <c r="AG185" i="11" s="1"/>
  <c r="AF185" i="11" s="1"/>
  <c r="G184" i="11"/>
  <c r="AE184" i="11" s="1"/>
  <c r="AI184" i="11" s="1"/>
  <c r="G183" i="11"/>
  <c r="AE183" i="11" s="1"/>
  <c r="G182" i="11"/>
  <c r="AE182" i="11" s="1"/>
  <c r="AI182" i="11" s="1"/>
  <c r="G181" i="11"/>
  <c r="AE181" i="11" s="1"/>
  <c r="G180" i="11"/>
  <c r="AE180" i="11" s="1"/>
  <c r="AI180" i="11" s="1"/>
  <c r="G179" i="11"/>
  <c r="AE179" i="11" s="1"/>
  <c r="G178" i="11"/>
  <c r="G177" i="11"/>
  <c r="AG177" i="11" s="1"/>
  <c r="AF177" i="11" s="1"/>
  <c r="G176" i="11"/>
  <c r="AG176" i="11" s="1"/>
  <c r="AF176" i="11" s="1"/>
  <c r="G175" i="11"/>
  <c r="AE175" i="11" s="1"/>
  <c r="G174" i="11"/>
  <c r="AH174" i="11" s="1"/>
  <c r="G173" i="11"/>
  <c r="G172" i="11"/>
  <c r="AE172" i="11" s="1"/>
  <c r="AI172" i="11" s="1"/>
  <c r="G171" i="11"/>
  <c r="AG171" i="11" s="1"/>
  <c r="AF171" i="11" s="1"/>
  <c r="G170" i="11"/>
  <c r="AE170" i="11" s="1"/>
  <c r="AJ170" i="11" s="1"/>
  <c r="G169" i="11"/>
  <c r="AH169" i="11" s="1"/>
  <c r="G168" i="11"/>
  <c r="AG168" i="11" s="1"/>
  <c r="AF168" i="11" s="1"/>
  <c r="G167" i="11"/>
  <c r="AE167" i="11" s="1"/>
  <c r="AI167" i="11" s="1"/>
  <c r="G166" i="11"/>
  <c r="G165" i="11"/>
  <c r="AH165" i="11" s="1"/>
  <c r="G164" i="11"/>
  <c r="AG164" i="11" s="1"/>
  <c r="AF164" i="11" s="1"/>
  <c r="G163" i="11"/>
  <c r="AE163" i="11" s="1"/>
  <c r="R174" i="11"/>
  <c r="R175" i="11"/>
  <c r="R176" i="11"/>
  <c r="R177" i="11"/>
  <c r="R178" i="11"/>
  <c r="R179" i="11"/>
  <c r="R180" i="11"/>
  <c r="R181" i="11"/>
  <c r="R182" i="11"/>
  <c r="R183" i="11"/>
  <c r="R184" i="11"/>
  <c r="R185" i="11"/>
  <c r="R186" i="11"/>
  <c r="R187" i="11"/>
  <c r="R188" i="11"/>
  <c r="R189" i="11"/>
  <c r="R190" i="11"/>
  <c r="R191" i="11"/>
  <c r="R192" i="11"/>
  <c r="R193" i="11"/>
  <c r="R194" i="11"/>
  <c r="R195" i="11"/>
  <c r="R196" i="11"/>
  <c r="R197" i="11"/>
  <c r="R198" i="11"/>
  <c r="R199" i="11"/>
  <c r="R200" i="11"/>
  <c r="R201" i="11"/>
  <c r="R202" i="11"/>
  <c r="R203" i="11"/>
  <c r="R204" i="11"/>
  <c r="R205" i="11"/>
  <c r="R206" i="11"/>
  <c r="R207" i="11"/>
  <c r="R208" i="11"/>
  <c r="R209" i="11"/>
  <c r="R210" i="11"/>
  <c r="R211" i="11"/>
  <c r="R212" i="11"/>
  <c r="R213" i="11"/>
  <c r="R214" i="11"/>
  <c r="R215" i="11"/>
  <c r="R216" i="11"/>
  <c r="R217" i="11"/>
  <c r="R218" i="11"/>
  <c r="R219" i="11"/>
  <c r="R220" i="11"/>
  <c r="R221" i="11"/>
  <c r="R222" i="11"/>
  <c r="R223" i="11"/>
  <c r="R224" i="11"/>
  <c r="R225" i="11"/>
  <c r="R226" i="11"/>
  <c r="R227" i="11"/>
  <c r="R228" i="11"/>
  <c r="R229" i="11"/>
  <c r="R230" i="11"/>
  <c r="R231" i="11"/>
  <c r="R232" i="11"/>
  <c r="R233" i="11"/>
  <c r="R234" i="11"/>
  <c r="R235" i="11"/>
  <c r="R236" i="11"/>
  <c r="R237" i="11"/>
  <c r="R238" i="11"/>
  <c r="R239" i="11"/>
  <c r="R240" i="11"/>
  <c r="R241" i="11"/>
  <c r="R242" i="11"/>
  <c r="R243" i="11"/>
  <c r="R244" i="11"/>
  <c r="R245" i="11"/>
  <c r="R246" i="11"/>
  <c r="R247" i="11"/>
  <c r="R248" i="11"/>
  <c r="R249" i="11"/>
  <c r="R250" i="11"/>
  <c r="R251" i="11"/>
  <c r="R252" i="11"/>
  <c r="R253" i="11"/>
  <c r="R254" i="11"/>
  <c r="R255" i="11"/>
  <c r="R256" i="11"/>
  <c r="R257" i="11"/>
  <c r="R258" i="11"/>
  <c r="R259" i="11"/>
  <c r="R260" i="11"/>
  <c r="R261" i="11"/>
  <c r="R262" i="11"/>
  <c r="R263" i="11"/>
  <c r="R264" i="11"/>
  <c r="R265" i="11"/>
  <c r="R266" i="11"/>
  <c r="R267" i="11"/>
  <c r="R268" i="11"/>
  <c r="R269" i="11"/>
  <c r="R270" i="11"/>
  <c r="R271" i="11"/>
  <c r="R272" i="11"/>
  <c r="R273" i="11"/>
  <c r="R274" i="11"/>
  <c r="R275" i="11"/>
  <c r="R276" i="11"/>
  <c r="R277" i="11"/>
  <c r="R278" i="11"/>
  <c r="R279" i="11"/>
  <c r="AE270" i="11"/>
  <c r="AE271" i="11"/>
  <c r="AJ271" i="11" s="1"/>
  <c r="O271" i="11" s="1"/>
  <c r="AE272" i="11"/>
  <c r="AI272" i="11" s="1"/>
  <c r="AE273" i="11"/>
  <c r="AE274" i="11"/>
  <c r="AI274" i="11" s="1"/>
  <c r="AE275" i="11"/>
  <c r="AJ275" i="11" s="1"/>
  <c r="AE276" i="11"/>
  <c r="AI276" i="11" s="1"/>
  <c r="AE277" i="11"/>
  <c r="AE278" i="11"/>
  <c r="AE279" i="11"/>
  <c r="AI279" i="11" s="1"/>
  <c r="AG178" i="11"/>
  <c r="AF178" i="11" s="1"/>
  <c r="AG254" i="11"/>
  <c r="AF254" i="11" s="1"/>
  <c r="AG270" i="11"/>
  <c r="AF270" i="11" s="1"/>
  <c r="AG271" i="11"/>
  <c r="AF271" i="11" s="1"/>
  <c r="AG272" i="11"/>
  <c r="AF272" i="11" s="1"/>
  <c r="AG273" i="11"/>
  <c r="AF273" i="11" s="1"/>
  <c r="AG274" i="11"/>
  <c r="AF274" i="11" s="1"/>
  <c r="AG275" i="11"/>
  <c r="AF275" i="11" s="1"/>
  <c r="AG276" i="11"/>
  <c r="AF276" i="11" s="1"/>
  <c r="AG277" i="11"/>
  <c r="AF277" i="11" s="1"/>
  <c r="AG278" i="11"/>
  <c r="AF278" i="11" s="1"/>
  <c r="AG279" i="11"/>
  <c r="AF279" i="11" s="1"/>
  <c r="AH160" i="11"/>
  <c r="AH161" i="11"/>
  <c r="AH162" i="11"/>
  <c r="AH215" i="11"/>
  <c r="AH216" i="11"/>
  <c r="AH217" i="11"/>
  <c r="AH218" i="11"/>
  <c r="AH243" i="11"/>
  <c r="AH244" i="11"/>
  <c r="AH245" i="11"/>
  <c r="AH246" i="11"/>
  <c r="AH247" i="11"/>
  <c r="AH260" i="11"/>
  <c r="AH261" i="11"/>
  <c r="AH263" i="11"/>
  <c r="AH264" i="11"/>
  <c r="AH265" i="11"/>
  <c r="AH266" i="11"/>
  <c r="AH267" i="11"/>
  <c r="AH268" i="11"/>
  <c r="AH269" i="11"/>
  <c r="AH270" i="11"/>
  <c r="AH271" i="11"/>
  <c r="AH272" i="11"/>
  <c r="AH273" i="11"/>
  <c r="AH274" i="11"/>
  <c r="AH275" i="11"/>
  <c r="AH276" i="11"/>
  <c r="AH277" i="11"/>
  <c r="AH278" i="11"/>
  <c r="AH279" i="11"/>
  <c r="AK160" i="11"/>
  <c r="AK161" i="11"/>
  <c r="AK162" i="11"/>
  <c r="AK215" i="11"/>
  <c r="AK216" i="11"/>
  <c r="AK217" i="11"/>
  <c r="AK218" i="11"/>
  <c r="AK243" i="11"/>
  <c r="AK244" i="11"/>
  <c r="AK245" i="11"/>
  <c r="AK246" i="11"/>
  <c r="AK247" i="11"/>
  <c r="AK248" i="11"/>
  <c r="AK249" i="11"/>
  <c r="AK250" i="11"/>
  <c r="AK251" i="11"/>
  <c r="AK252" i="11"/>
  <c r="AK253" i="11"/>
  <c r="AK254" i="11"/>
  <c r="AK255" i="11"/>
  <c r="AK256" i="11"/>
  <c r="AK257" i="11"/>
  <c r="AK258" i="11"/>
  <c r="AK259" i="11"/>
  <c r="AK260" i="11"/>
  <c r="AK261" i="11"/>
  <c r="AK262" i="11"/>
  <c r="AK263" i="11"/>
  <c r="AK264" i="11"/>
  <c r="AK265" i="11"/>
  <c r="AK266" i="11"/>
  <c r="AK267" i="11"/>
  <c r="AK268" i="11"/>
  <c r="AK269" i="11"/>
  <c r="AL160" i="11"/>
  <c r="AL161" i="11"/>
  <c r="AL162" i="11"/>
  <c r="AL215" i="11"/>
  <c r="AL216" i="11"/>
  <c r="AL217" i="11"/>
  <c r="AL218" i="11"/>
  <c r="AL243" i="11"/>
  <c r="AL244" i="11"/>
  <c r="AL245" i="11"/>
  <c r="AL246" i="11"/>
  <c r="AL247" i="11"/>
  <c r="AL248" i="11"/>
  <c r="AL249" i="11"/>
  <c r="AL250" i="11"/>
  <c r="AL251" i="11"/>
  <c r="AL252" i="11"/>
  <c r="AL253" i="11"/>
  <c r="AL254" i="11"/>
  <c r="AL255" i="11"/>
  <c r="AL256" i="11"/>
  <c r="AL257" i="11"/>
  <c r="AL258" i="11"/>
  <c r="AL259" i="11"/>
  <c r="AL260" i="11"/>
  <c r="AL261" i="11"/>
  <c r="AL262" i="11"/>
  <c r="AL263" i="11"/>
  <c r="AL264" i="11"/>
  <c r="AL265" i="11"/>
  <c r="AL266" i="11"/>
  <c r="AL267" i="11"/>
  <c r="AL268" i="11"/>
  <c r="AL269" i="11"/>
  <c r="AO160" i="11"/>
  <c r="AO161" i="11"/>
  <c r="AO162" i="11"/>
  <c r="AO163" i="11"/>
  <c r="AO164" i="11"/>
  <c r="AO165" i="11"/>
  <c r="AO166" i="11"/>
  <c r="AO167" i="11"/>
  <c r="AO168" i="11"/>
  <c r="AO169" i="11"/>
  <c r="AO170" i="11"/>
  <c r="AO171" i="11"/>
  <c r="AO172" i="11"/>
  <c r="AO173" i="11"/>
  <c r="AO174" i="11"/>
  <c r="AO175" i="11"/>
  <c r="AO176" i="11"/>
  <c r="AO177" i="11"/>
  <c r="AO178" i="11"/>
  <c r="AO179" i="11"/>
  <c r="AO180" i="11"/>
  <c r="AO181" i="11"/>
  <c r="AO182" i="11"/>
  <c r="AO183" i="11"/>
  <c r="AO184" i="11"/>
  <c r="AO185" i="11"/>
  <c r="AO186" i="11"/>
  <c r="AO187" i="11"/>
  <c r="AO188" i="11"/>
  <c r="AO189" i="11"/>
  <c r="AO190" i="11"/>
  <c r="AO191" i="11"/>
  <c r="AO192" i="11"/>
  <c r="AO193" i="11"/>
  <c r="AO194" i="11"/>
  <c r="AO195" i="11"/>
  <c r="AO196" i="11"/>
  <c r="AO197" i="11"/>
  <c r="AO198" i="11"/>
  <c r="AO199" i="11"/>
  <c r="AO200" i="11"/>
  <c r="AO201" i="11"/>
  <c r="AO202" i="11"/>
  <c r="AO203" i="11"/>
  <c r="AO204" i="11"/>
  <c r="AO205" i="11"/>
  <c r="AO206" i="11"/>
  <c r="AO207" i="11"/>
  <c r="AO208" i="11"/>
  <c r="AO209" i="11"/>
  <c r="AO210" i="11"/>
  <c r="AO211" i="11"/>
  <c r="AO212" i="11"/>
  <c r="AO213" i="11"/>
  <c r="AO214" i="11"/>
  <c r="AO215" i="11"/>
  <c r="AO216" i="11"/>
  <c r="AO217" i="11"/>
  <c r="AO218" i="11"/>
  <c r="AO219" i="11"/>
  <c r="AO220" i="11"/>
  <c r="AO221" i="11"/>
  <c r="AO222" i="11"/>
  <c r="AO223" i="11"/>
  <c r="AO224" i="11"/>
  <c r="AO225" i="11"/>
  <c r="AO226" i="11"/>
  <c r="AO227" i="11"/>
  <c r="AO228" i="11"/>
  <c r="AO229" i="11"/>
  <c r="AO230" i="11"/>
  <c r="AO231" i="11"/>
  <c r="AO232" i="11"/>
  <c r="AO233" i="11"/>
  <c r="AO234" i="11"/>
  <c r="AO235" i="11"/>
  <c r="AO236" i="11"/>
  <c r="AO237" i="11"/>
  <c r="AO238" i="11"/>
  <c r="AO239" i="11"/>
  <c r="AO240" i="11"/>
  <c r="AO241" i="11"/>
  <c r="AO242" i="11"/>
  <c r="AO243" i="11"/>
  <c r="AO244" i="11"/>
  <c r="AO245" i="11"/>
  <c r="AO246" i="11"/>
  <c r="AO247" i="11"/>
  <c r="AO248" i="11"/>
  <c r="AO249" i="11"/>
  <c r="AO250" i="11"/>
  <c r="AO251" i="11"/>
  <c r="AO252" i="11"/>
  <c r="AO253" i="11"/>
  <c r="AO254" i="11"/>
  <c r="AO255" i="11"/>
  <c r="AO256" i="11"/>
  <c r="AO257" i="11"/>
  <c r="AO258" i="11"/>
  <c r="AO259" i="11"/>
  <c r="AO260" i="11"/>
  <c r="AO261" i="11"/>
  <c r="AO262" i="11"/>
  <c r="AO263" i="11"/>
  <c r="AO264" i="11"/>
  <c r="AO265" i="11"/>
  <c r="AO266" i="11"/>
  <c r="AO267" i="11"/>
  <c r="AO268" i="11"/>
  <c r="AO269" i="11"/>
  <c r="AO270" i="11"/>
  <c r="AO271" i="11"/>
  <c r="AO272" i="11"/>
  <c r="AO273" i="11"/>
  <c r="AO274" i="11"/>
  <c r="AO275" i="11"/>
  <c r="AO276" i="11"/>
  <c r="AO277" i="11"/>
  <c r="AO278" i="11"/>
  <c r="AO279" i="11"/>
  <c r="AP160" i="11"/>
  <c r="AP161" i="11"/>
  <c r="AP162" i="11"/>
  <c r="AP163" i="11"/>
  <c r="AP164" i="11"/>
  <c r="AP165" i="11"/>
  <c r="AP166" i="11"/>
  <c r="AP167" i="11"/>
  <c r="AP168" i="11"/>
  <c r="AP169" i="11"/>
  <c r="AP170" i="11"/>
  <c r="AP171" i="11"/>
  <c r="AP172" i="11"/>
  <c r="AP173" i="11"/>
  <c r="AP174" i="11"/>
  <c r="AP175" i="11"/>
  <c r="AP176" i="11"/>
  <c r="AP177" i="11"/>
  <c r="AP178" i="11"/>
  <c r="AP179" i="11"/>
  <c r="AP180" i="11"/>
  <c r="AP181" i="11"/>
  <c r="AP182" i="11"/>
  <c r="AP183" i="11"/>
  <c r="AP184" i="11"/>
  <c r="AP185" i="11"/>
  <c r="AP186" i="11"/>
  <c r="AP187" i="11"/>
  <c r="AP188" i="11"/>
  <c r="AP189" i="11"/>
  <c r="AP190" i="11"/>
  <c r="AP191" i="11"/>
  <c r="AP192" i="11"/>
  <c r="AP193" i="11"/>
  <c r="AP194" i="11"/>
  <c r="AP195" i="11"/>
  <c r="AP196" i="11"/>
  <c r="AP197" i="11"/>
  <c r="AP198" i="11"/>
  <c r="AP199" i="11"/>
  <c r="AP200" i="11"/>
  <c r="AP201" i="11"/>
  <c r="AP202" i="11"/>
  <c r="AP203" i="11"/>
  <c r="AP204" i="11"/>
  <c r="AP205" i="11"/>
  <c r="AP206" i="11"/>
  <c r="AP207" i="11"/>
  <c r="AP208" i="11"/>
  <c r="AP209" i="11"/>
  <c r="AP210" i="11"/>
  <c r="AP211" i="11"/>
  <c r="AP212" i="11"/>
  <c r="AP213" i="11"/>
  <c r="AP214" i="11"/>
  <c r="AP215" i="11"/>
  <c r="AP216" i="11"/>
  <c r="AP217" i="11"/>
  <c r="AP218" i="11"/>
  <c r="AP219" i="11"/>
  <c r="AP220" i="11"/>
  <c r="AP221" i="11"/>
  <c r="AP222" i="11"/>
  <c r="AP223" i="11"/>
  <c r="AP224" i="11"/>
  <c r="AP225" i="11"/>
  <c r="AP226" i="11"/>
  <c r="AP227" i="11"/>
  <c r="AP228" i="11"/>
  <c r="AP229" i="11"/>
  <c r="AP230" i="11"/>
  <c r="AP231" i="11"/>
  <c r="AP232" i="11"/>
  <c r="AP233" i="11"/>
  <c r="AP234" i="11"/>
  <c r="AP235" i="11"/>
  <c r="AP236" i="11"/>
  <c r="AP237" i="11"/>
  <c r="AP238" i="11"/>
  <c r="AP239" i="11"/>
  <c r="AP240" i="11"/>
  <c r="AP241" i="11"/>
  <c r="AP242" i="11"/>
  <c r="AP243" i="11"/>
  <c r="AP244" i="11"/>
  <c r="AP245" i="11"/>
  <c r="AP246" i="11"/>
  <c r="AP247" i="11"/>
  <c r="AP248" i="11"/>
  <c r="AP249" i="11"/>
  <c r="AP250" i="11"/>
  <c r="AP251" i="11"/>
  <c r="AP252" i="11"/>
  <c r="AP253" i="11"/>
  <c r="AP254" i="11"/>
  <c r="AP255" i="11"/>
  <c r="AP256" i="11"/>
  <c r="AP257" i="11"/>
  <c r="AP258" i="11"/>
  <c r="AP259" i="11"/>
  <c r="AP260" i="11"/>
  <c r="AP261" i="11"/>
  <c r="AP262" i="11"/>
  <c r="AP263" i="11"/>
  <c r="AP264" i="11"/>
  <c r="AP265" i="11"/>
  <c r="AP266" i="11"/>
  <c r="AP267" i="11"/>
  <c r="AP268" i="11"/>
  <c r="AP269" i="11"/>
  <c r="AP270" i="11"/>
  <c r="AP271" i="11"/>
  <c r="AP272" i="11"/>
  <c r="AP273" i="11"/>
  <c r="AP274" i="11"/>
  <c r="AP275" i="11"/>
  <c r="AP276" i="11"/>
  <c r="AP277" i="11"/>
  <c r="AP278" i="11"/>
  <c r="AP279" i="11"/>
  <c r="AS160" i="11"/>
  <c r="AS161" i="11"/>
  <c r="AS162" i="11"/>
  <c r="AS163" i="11"/>
  <c r="AS164" i="11"/>
  <c r="AS165" i="11"/>
  <c r="AS166" i="11"/>
  <c r="AS167" i="11"/>
  <c r="AS168" i="11"/>
  <c r="AS169" i="11"/>
  <c r="AS170" i="11"/>
  <c r="AS171" i="11"/>
  <c r="AS172" i="11"/>
  <c r="AS173" i="11"/>
  <c r="AS174" i="11"/>
  <c r="AS175" i="11"/>
  <c r="AS176" i="11"/>
  <c r="AS177" i="11"/>
  <c r="AS178" i="11"/>
  <c r="AS179" i="11"/>
  <c r="AS180" i="11"/>
  <c r="AS181" i="11"/>
  <c r="AS182" i="11"/>
  <c r="AS183" i="11"/>
  <c r="AS184" i="11"/>
  <c r="AS185" i="11"/>
  <c r="AS186" i="11"/>
  <c r="AS187" i="11"/>
  <c r="AS188" i="11"/>
  <c r="AS189" i="11"/>
  <c r="AS190" i="11"/>
  <c r="AS191" i="11"/>
  <c r="AS192" i="11"/>
  <c r="AS193" i="11"/>
  <c r="AS194" i="11"/>
  <c r="AS195" i="11"/>
  <c r="AS196" i="11"/>
  <c r="AS197" i="11"/>
  <c r="AS198" i="11"/>
  <c r="AS199" i="11"/>
  <c r="AS200" i="11"/>
  <c r="AS201" i="11"/>
  <c r="AS202" i="11"/>
  <c r="AS203" i="11"/>
  <c r="AS204" i="11"/>
  <c r="AS205" i="11"/>
  <c r="AS206" i="11"/>
  <c r="AS207" i="11"/>
  <c r="AS208" i="11"/>
  <c r="AS209" i="11"/>
  <c r="AS210" i="11"/>
  <c r="AS211" i="11"/>
  <c r="AS212" i="11"/>
  <c r="AS213" i="11"/>
  <c r="AS214" i="11"/>
  <c r="AS215" i="11"/>
  <c r="AS216" i="11"/>
  <c r="AS217" i="11"/>
  <c r="AS218" i="11"/>
  <c r="AS219" i="11"/>
  <c r="AS220" i="11"/>
  <c r="AS221" i="11"/>
  <c r="AS222" i="11"/>
  <c r="AS223" i="11"/>
  <c r="AS224" i="11"/>
  <c r="AS225" i="11"/>
  <c r="AS226" i="11"/>
  <c r="AS227" i="11"/>
  <c r="AS228" i="11"/>
  <c r="AS229" i="11"/>
  <c r="AS230" i="11"/>
  <c r="AS231" i="11"/>
  <c r="AS232" i="11"/>
  <c r="AS233" i="11"/>
  <c r="AS234" i="11"/>
  <c r="AS235" i="11"/>
  <c r="AS236" i="11"/>
  <c r="AS237" i="11"/>
  <c r="AS238" i="11"/>
  <c r="AS239" i="11"/>
  <c r="AS240" i="11"/>
  <c r="AS241" i="11"/>
  <c r="AS242" i="11"/>
  <c r="AS243" i="11"/>
  <c r="AS244" i="11"/>
  <c r="AS245" i="11"/>
  <c r="AS246" i="11"/>
  <c r="AS247" i="11"/>
  <c r="AS248" i="11"/>
  <c r="AS249" i="11"/>
  <c r="AS250" i="11"/>
  <c r="AS251" i="11"/>
  <c r="AS252" i="11"/>
  <c r="AS253" i="11"/>
  <c r="AS254" i="11"/>
  <c r="AS255" i="11"/>
  <c r="AS256" i="11"/>
  <c r="AS257" i="11"/>
  <c r="AS258" i="11"/>
  <c r="AS259" i="11"/>
  <c r="AS260" i="11"/>
  <c r="AS261" i="11"/>
  <c r="AS262" i="11"/>
  <c r="AS263" i="11"/>
  <c r="AS264" i="11"/>
  <c r="AS265" i="11"/>
  <c r="AS266" i="11"/>
  <c r="AS267" i="11"/>
  <c r="AS268" i="11"/>
  <c r="AS269" i="11"/>
  <c r="AS270" i="11"/>
  <c r="AS271" i="11"/>
  <c r="AS272" i="11"/>
  <c r="AS273" i="11"/>
  <c r="AS274" i="11"/>
  <c r="AS275" i="11"/>
  <c r="AS276" i="11"/>
  <c r="AS277" i="11"/>
  <c r="AS278" i="11"/>
  <c r="AS279" i="11"/>
  <c r="AW160" i="11"/>
  <c r="AW161" i="11"/>
  <c r="AW162" i="11"/>
  <c r="AW163" i="11"/>
  <c r="AW164" i="11"/>
  <c r="AW165" i="11"/>
  <c r="AW166" i="11"/>
  <c r="AW167" i="11"/>
  <c r="AW168" i="11"/>
  <c r="AW169" i="11"/>
  <c r="AW170" i="11"/>
  <c r="AW171" i="11"/>
  <c r="AW172" i="11"/>
  <c r="AW173" i="11"/>
  <c r="AW174" i="11"/>
  <c r="AW175" i="11"/>
  <c r="AW176" i="11"/>
  <c r="AW177" i="11"/>
  <c r="AW178" i="11"/>
  <c r="AW179" i="11"/>
  <c r="AW180" i="11"/>
  <c r="AW181" i="11"/>
  <c r="AW182" i="11"/>
  <c r="AW183" i="11"/>
  <c r="AW184" i="11"/>
  <c r="AW185" i="11"/>
  <c r="AW186" i="11"/>
  <c r="AW187" i="11"/>
  <c r="AW188" i="11"/>
  <c r="AW189" i="11"/>
  <c r="AW190" i="11"/>
  <c r="AW191" i="11"/>
  <c r="AW192" i="11"/>
  <c r="AW193" i="11"/>
  <c r="AW194" i="11"/>
  <c r="AW195" i="11"/>
  <c r="AW196" i="11"/>
  <c r="AW197" i="11"/>
  <c r="AW198" i="11"/>
  <c r="AW199" i="11"/>
  <c r="AW200" i="11"/>
  <c r="AW201" i="11"/>
  <c r="AW202" i="11"/>
  <c r="AW203" i="11"/>
  <c r="AW204" i="11"/>
  <c r="AW205" i="11"/>
  <c r="AW206" i="11"/>
  <c r="AW207" i="11"/>
  <c r="AW208" i="11"/>
  <c r="AW209" i="11"/>
  <c r="AW210" i="11"/>
  <c r="AW211" i="11"/>
  <c r="AW212" i="11"/>
  <c r="AW213" i="11"/>
  <c r="AW214" i="11"/>
  <c r="AW215" i="11"/>
  <c r="AW216" i="11"/>
  <c r="AW217" i="11"/>
  <c r="AW218" i="11"/>
  <c r="AW219" i="11"/>
  <c r="AW220" i="11"/>
  <c r="AW221" i="11"/>
  <c r="AW222" i="11"/>
  <c r="AW223" i="11"/>
  <c r="AW224" i="11"/>
  <c r="AW225" i="11"/>
  <c r="AW226" i="11"/>
  <c r="AW227" i="11"/>
  <c r="AW228" i="11"/>
  <c r="AW229" i="11"/>
  <c r="AW230" i="11"/>
  <c r="AW231" i="11"/>
  <c r="AW232" i="11"/>
  <c r="AW233" i="11"/>
  <c r="AW234" i="11"/>
  <c r="AW235" i="11"/>
  <c r="AW236" i="11"/>
  <c r="AW237" i="11"/>
  <c r="AW238" i="11"/>
  <c r="AW239" i="11"/>
  <c r="AW240" i="11"/>
  <c r="AW241" i="11"/>
  <c r="AW242" i="11"/>
  <c r="AW243" i="11"/>
  <c r="AW244" i="11"/>
  <c r="AW245" i="11"/>
  <c r="AW246" i="11"/>
  <c r="AW247" i="11"/>
  <c r="AW248" i="11"/>
  <c r="AW249" i="11"/>
  <c r="AW250" i="11"/>
  <c r="AW251" i="11"/>
  <c r="AW252" i="11"/>
  <c r="AW253" i="11"/>
  <c r="AW254" i="11"/>
  <c r="AW255" i="11"/>
  <c r="AW256" i="11"/>
  <c r="AW257" i="11"/>
  <c r="AW258" i="11"/>
  <c r="AW259" i="11"/>
  <c r="AW260" i="11"/>
  <c r="AW261" i="11"/>
  <c r="AW262" i="11"/>
  <c r="AW263" i="11"/>
  <c r="AW264" i="11"/>
  <c r="AW265" i="11"/>
  <c r="AW266" i="11"/>
  <c r="AW267" i="11"/>
  <c r="AW268" i="11"/>
  <c r="AW269" i="11"/>
  <c r="AW270" i="11"/>
  <c r="AW271" i="11"/>
  <c r="AW272" i="11"/>
  <c r="AW273" i="11"/>
  <c r="AW274" i="11"/>
  <c r="AW275" i="11"/>
  <c r="AW276" i="11"/>
  <c r="AW277" i="11"/>
  <c r="AW278" i="11"/>
  <c r="AW279" i="11"/>
  <c r="R280" i="11"/>
  <c r="AE280" i="11"/>
  <c r="AG280" i="11"/>
  <c r="AF280" i="11" s="1"/>
  <c r="AH280" i="11"/>
  <c r="AO280" i="11"/>
  <c r="AP280" i="11"/>
  <c r="AS280" i="11"/>
  <c r="AW280" i="11"/>
  <c r="R281" i="11"/>
  <c r="AE281" i="11"/>
  <c r="AI281" i="11" s="1"/>
  <c r="AG281" i="11"/>
  <c r="AF281" i="11" s="1"/>
  <c r="AH281" i="11"/>
  <c r="AO281" i="11"/>
  <c r="AP281" i="11"/>
  <c r="AS281" i="11"/>
  <c r="AW281" i="11"/>
  <c r="R282" i="11"/>
  <c r="AH282" i="11"/>
  <c r="AK282" i="11"/>
  <c r="AL282" i="11"/>
  <c r="AO282" i="11"/>
  <c r="AP282" i="11"/>
  <c r="AS282" i="11"/>
  <c r="AW282" i="11"/>
  <c r="R305" i="11"/>
  <c r="AO305" i="11"/>
  <c r="AP305" i="11"/>
  <c r="AS305" i="11"/>
  <c r="AW305" i="11"/>
  <c r="R310" i="11"/>
  <c r="AO310" i="11"/>
  <c r="AP310" i="11"/>
  <c r="AS310" i="11"/>
  <c r="AW310" i="11"/>
  <c r="R311" i="11"/>
  <c r="AH311" i="11"/>
  <c r="AO311" i="11"/>
  <c r="AP311" i="11"/>
  <c r="AS311" i="11"/>
  <c r="AW311" i="11"/>
  <c r="N145" i="11"/>
  <c r="R145" i="11" s="1"/>
  <c r="G145" i="11"/>
  <c r="AG145" i="11" s="1"/>
  <c r="G144" i="11"/>
  <c r="AE144" i="11" s="1"/>
  <c r="R144" i="11"/>
  <c r="AO144" i="11"/>
  <c r="AP144" i="11"/>
  <c r="AS144" i="11"/>
  <c r="AW144" i="11"/>
  <c r="AO145" i="11"/>
  <c r="AP145" i="11"/>
  <c r="AS145" i="11"/>
  <c r="AW145" i="11"/>
  <c r="N143" i="11"/>
  <c r="R143" i="11" s="1"/>
  <c r="N141" i="11"/>
  <c r="R141" i="11" s="1"/>
  <c r="N139" i="11"/>
  <c r="R139" i="11" s="1"/>
  <c r="N137" i="11"/>
  <c r="R137" i="11" s="1"/>
  <c r="N135" i="11"/>
  <c r="R135" i="11" s="1"/>
  <c r="N133" i="11"/>
  <c r="R133" i="11" s="1"/>
  <c r="G30" i="11"/>
  <c r="G28" i="11"/>
  <c r="AG28" i="11" s="1"/>
  <c r="AF28" i="11" s="1"/>
  <c r="G26" i="11"/>
  <c r="AG26" i="11" s="1"/>
  <c r="AF26" i="11" s="1"/>
  <c r="G24" i="11"/>
  <c r="AE24" i="11" s="1"/>
  <c r="AJ24" i="11" s="1"/>
  <c r="G22" i="11"/>
  <c r="G20" i="11"/>
  <c r="G18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3" i="11"/>
  <c r="AE143" i="11" s="1"/>
  <c r="G142" i="11"/>
  <c r="G141" i="11"/>
  <c r="AH141" i="11" s="1"/>
  <c r="G140" i="11"/>
  <c r="AG140" i="11" s="1"/>
  <c r="AF140" i="11" s="1"/>
  <c r="G139" i="11"/>
  <c r="AG139" i="11" s="1"/>
  <c r="G138" i="11"/>
  <c r="G137" i="11"/>
  <c r="AE137" i="11" s="1"/>
  <c r="G136" i="11"/>
  <c r="AE136" i="11" s="1"/>
  <c r="G135" i="11"/>
  <c r="AG135" i="11" s="1"/>
  <c r="G134" i="11"/>
  <c r="G133" i="11"/>
  <c r="AG133" i="11" s="1"/>
  <c r="G132" i="11"/>
  <c r="AH132" i="11" s="1"/>
  <c r="G131" i="11"/>
  <c r="AE131" i="11" s="1"/>
  <c r="AI131" i="11" s="1"/>
  <c r="R131" i="11"/>
  <c r="R132" i="11"/>
  <c r="R134" i="11"/>
  <c r="R136" i="11"/>
  <c r="R138" i="11"/>
  <c r="R140" i="11"/>
  <c r="R142" i="11"/>
  <c r="AK131" i="11"/>
  <c r="AL131" i="11"/>
  <c r="AO131" i="11"/>
  <c r="AO132" i="11"/>
  <c r="AO133" i="11"/>
  <c r="AO134" i="11"/>
  <c r="AO135" i="11"/>
  <c r="AO136" i="11"/>
  <c r="AO137" i="11"/>
  <c r="AO138" i="11"/>
  <c r="AO139" i="11"/>
  <c r="AO140" i="11"/>
  <c r="AO141" i="11"/>
  <c r="AO142" i="11"/>
  <c r="AO143" i="11"/>
  <c r="AP131" i="11"/>
  <c r="AP132" i="11"/>
  <c r="AP133" i="11"/>
  <c r="AP134" i="11"/>
  <c r="AP135" i="11"/>
  <c r="AP136" i="11"/>
  <c r="AP137" i="11"/>
  <c r="AP138" i="11"/>
  <c r="AP139" i="11"/>
  <c r="AP140" i="11"/>
  <c r="AP141" i="11"/>
  <c r="AP142" i="11"/>
  <c r="AP143" i="11"/>
  <c r="AS131" i="11"/>
  <c r="AS132" i="11"/>
  <c r="AS133" i="11"/>
  <c r="AS134" i="11"/>
  <c r="AS135" i="11"/>
  <c r="AS136" i="11"/>
  <c r="AS137" i="11"/>
  <c r="AS138" i="11"/>
  <c r="AS139" i="11"/>
  <c r="AS140" i="11"/>
  <c r="AS141" i="11"/>
  <c r="AS142" i="11"/>
  <c r="AS143" i="11"/>
  <c r="AW131" i="11"/>
  <c r="AW132" i="11"/>
  <c r="AW133" i="11"/>
  <c r="AW134" i="11"/>
  <c r="AW135" i="11"/>
  <c r="AW136" i="11"/>
  <c r="AW137" i="11"/>
  <c r="AW138" i="11"/>
  <c r="AW139" i="11"/>
  <c r="AW140" i="11"/>
  <c r="AW141" i="11"/>
  <c r="AW142" i="11"/>
  <c r="AW143" i="11"/>
  <c r="R146" i="11"/>
  <c r="AH146" i="11"/>
  <c r="AK146" i="11"/>
  <c r="AL146" i="11"/>
  <c r="AO146" i="11"/>
  <c r="AP146" i="11"/>
  <c r="AS146" i="11"/>
  <c r="AW146" i="11"/>
  <c r="G130" i="11"/>
  <c r="G129" i="11"/>
  <c r="G128" i="11"/>
  <c r="G127" i="11"/>
  <c r="G126" i="11"/>
  <c r="G125" i="11"/>
  <c r="G124" i="11"/>
  <c r="AW14" i="11"/>
  <c r="AS11" i="11"/>
  <c r="AP7" i="11"/>
  <c r="AO6" i="11"/>
  <c r="G118" i="11"/>
  <c r="AG118" i="11" s="1"/>
  <c r="AF118" i="11" s="1"/>
  <c r="G117" i="11"/>
  <c r="AH117" i="11" s="1"/>
  <c r="G116" i="11"/>
  <c r="AH116" i="11" s="1"/>
  <c r="R116" i="11"/>
  <c r="R117" i="11"/>
  <c r="R118" i="11"/>
  <c r="R119" i="11"/>
  <c r="R120" i="11"/>
  <c r="AE119" i="11"/>
  <c r="AJ119" i="11" s="1"/>
  <c r="AG119" i="11"/>
  <c r="AF119" i="11" s="1"/>
  <c r="AH119" i="11"/>
  <c r="AH120" i="11"/>
  <c r="AK120" i="11"/>
  <c r="AL120" i="11"/>
  <c r="AO116" i="11"/>
  <c r="AO117" i="11"/>
  <c r="AO118" i="11"/>
  <c r="AO119" i="11"/>
  <c r="AO120" i="11"/>
  <c r="AP116" i="11"/>
  <c r="AP117" i="11"/>
  <c r="AP118" i="11"/>
  <c r="AP119" i="11"/>
  <c r="AP120" i="11"/>
  <c r="AS116" i="11"/>
  <c r="AS117" i="11"/>
  <c r="AS118" i="11"/>
  <c r="AS119" i="11"/>
  <c r="AS120" i="11"/>
  <c r="AW116" i="11"/>
  <c r="AW117" i="11"/>
  <c r="AW118" i="11"/>
  <c r="AW119" i="11"/>
  <c r="AW120" i="11"/>
  <c r="G114" i="11"/>
  <c r="AH114" i="11" s="1"/>
  <c r="G113" i="11"/>
  <c r="AE113" i="11" s="1"/>
  <c r="AJ113" i="11" s="1"/>
  <c r="G112" i="11"/>
  <c r="AE112" i="11" s="1"/>
  <c r="AI112" i="11" s="1"/>
  <c r="G110" i="11"/>
  <c r="AE110" i="11" s="1"/>
  <c r="AI110" i="11" s="1"/>
  <c r="G109" i="11"/>
  <c r="AH109" i="11" s="1"/>
  <c r="G108" i="11"/>
  <c r="AH108" i="11" s="1"/>
  <c r="G106" i="11"/>
  <c r="AH106" i="11" s="1"/>
  <c r="G105" i="11"/>
  <c r="AE105" i="11" s="1"/>
  <c r="AJ105" i="11" s="1"/>
  <c r="G104" i="11"/>
  <c r="AH104" i="11" s="1"/>
  <c r="R104" i="11"/>
  <c r="R105" i="11"/>
  <c r="R106" i="11"/>
  <c r="R107" i="11"/>
  <c r="R108" i="11"/>
  <c r="R109" i="11"/>
  <c r="R110" i="11"/>
  <c r="R111" i="11"/>
  <c r="R112" i="11"/>
  <c r="R113" i="11"/>
  <c r="R114" i="11"/>
  <c r="AE107" i="11"/>
  <c r="AI107" i="11" s="1"/>
  <c r="AE111" i="11"/>
  <c r="AI111" i="11" s="1"/>
  <c r="AG107" i="11"/>
  <c r="AF107" i="11" s="1"/>
  <c r="AG111" i="11"/>
  <c r="AF111" i="11" s="1"/>
  <c r="AH107" i="11"/>
  <c r="AH111" i="11"/>
  <c r="AO104" i="11"/>
  <c r="AO105" i="11"/>
  <c r="AO106" i="11"/>
  <c r="AO107" i="11"/>
  <c r="AO108" i="11"/>
  <c r="AO109" i="11"/>
  <c r="AO110" i="11"/>
  <c r="AO111" i="11"/>
  <c r="AO112" i="11"/>
  <c r="AO113" i="11"/>
  <c r="AO114" i="11"/>
  <c r="AP104" i="11"/>
  <c r="AP105" i="11"/>
  <c r="AP106" i="11"/>
  <c r="AP107" i="11"/>
  <c r="AP108" i="11"/>
  <c r="AP109" i="11"/>
  <c r="AP110" i="11"/>
  <c r="AP111" i="11"/>
  <c r="AP112" i="11"/>
  <c r="AP113" i="11"/>
  <c r="AP114" i="11"/>
  <c r="AS104" i="11"/>
  <c r="AS105" i="11"/>
  <c r="AS106" i="11"/>
  <c r="AS107" i="11"/>
  <c r="AS108" i="11"/>
  <c r="AS109" i="11"/>
  <c r="AS110" i="11"/>
  <c r="AS111" i="11"/>
  <c r="AS112" i="11"/>
  <c r="AS113" i="11"/>
  <c r="AS114" i="11"/>
  <c r="AW104" i="11"/>
  <c r="AW105" i="11"/>
  <c r="AW106" i="11"/>
  <c r="AW107" i="11"/>
  <c r="AW108" i="11"/>
  <c r="AW109" i="11"/>
  <c r="AW110" i="11"/>
  <c r="AW111" i="11"/>
  <c r="AW112" i="11"/>
  <c r="AW113" i="11"/>
  <c r="AW114" i="11"/>
  <c r="G102" i="11"/>
  <c r="G101" i="11"/>
  <c r="G100" i="11"/>
  <c r="G98" i="11"/>
  <c r="G97" i="11"/>
  <c r="G96" i="11"/>
  <c r="AH96" i="11" s="1"/>
  <c r="G94" i="11"/>
  <c r="AE94" i="11" s="1"/>
  <c r="G93" i="11"/>
  <c r="AH93" i="11" s="1"/>
  <c r="G92" i="11"/>
  <c r="AG92" i="11" s="1"/>
  <c r="AF92" i="11" s="1"/>
  <c r="G90" i="11"/>
  <c r="AG90" i="11" s="1"/>
  <c r="AF90" i="11" s="1"/>
  <c r="G89" i="11"/>
  <c r="AE89" i="11" s="1"/>
  <c r="G88" i="11"/>
  <c r="AE88" i="11" s="1"/>
  <c r="AI88" i="11" s="1"/>
  <c r="G86" i="11"/>
  <c r="G85" i="11"/>
  <c r="G84" i="11"/>
  <c r="AG84" i="11" s="1"/>
  <c r="AF84" i="11" s="1"/>
  <c r="G82" i="11"/>
  <c r="AH82" i="11" s="1"/>
  <c r="G81" i="11"/>
  <c r="AG81" i="11" s="1"/>
  <c r="AF81" i="11" s="1"/>
  <c r="G80" i="11"/>
  <c r="R89" i="11"/>
  <c r="R90" i="11"/>
  <c r="AO89" i="11"/>
  <c r="AO90" i="11"/>
  <c r="AP89" i="11"/>
  <c r="AP90" i="11"/>
  <c r="AS89" i="11"/>
  <c r="AS90" i="11"/>
  <c r="AW89" i="11"/>
  <c r="AW90" i="11"/>
  <c r="R84" i="11"/>
  <c r="R85" i="11"/>
  <c r="AO84" i="11"/>
  <c r="AO85" i="11"/>
  <c r="AP84" i="11"/>
  <c r="AP85" i="11"/>
  <c r="AS84" i="11"/>
  <c r="AS85" i="11"/>
  <c r="AW84" i="11"/>
  <c r="AW85" i="11"/>
  <c r="R81" i="11"/>
  <c r="R82" i="11"/>
  <c r="AO81" i="11"/>
  <c r="AO82" i="11"/>
  <c r="AP81" i="11"/>
  <c r="AP82" i="11"/>
  <c r="AS81" i="11"/>
  <c r="AS82" i="11"/>
  <c r="AW81" i="11"/>
  <c r="AW82" i="11"/>
  <c r="G78" i="11"/>
  <c r="G77" i="11"/>
  <c r="AH77" i="11" s="1"/>
  <c r="G76" i="11"/>
  <c r="AG76" i="11" s="1"/>
  <c r="AF76" i="11" s="1"/>
  <c r="G74" i="11"/>
  <c r="AH74" i="11" s="1"/>
  <c r="G73" i="11"/>
  <c r="AE73" i="11" s="1"/>
  <c r="R76" i="11"/>
  <c r="AO76" i="11"/>
  <c r="AP76" i="11"/>
  <c r="AS76" i="11"/>
  <c r="AW76" i="11"/>
  <c r="R77" i="11"/>
  <c r="AO77" i="11"/>
  <c r="AP77" i="11"/>
  <c r="AS77" i="11"/>
  <c r="AW77" i="11"/>
  <c r="R73" i="11"/>
  <c r="AO73" i="11"/>
  <c r="AP73" i="11"/>
  <c r="AS73" i="11"/>
  <c r="AW73" i="11"/>
  <c r="R74" i="11"/>
  <c r="AO74" i="11"/>
  <c r="AP74" i="11"/>
  <c r="AS74" i="11"/>
  <c r="AW74" i="11"/>
  <c r="G72" i="11"/>
  <c r="R88" i="11"/>
  <c r="R91" i="11"/>
  <c r="R92" i="11"/>
  <c r="R93" i="11"/>
  <c r="R94" i="11"/>
  <c r="R95" i="11"/>
  <c r="R96" i="11"/>
  <c r="R97" i="11"/>
  <c r="AE91" i="11"/>
  <c r="AJ91" i="11" s="1"/>
  <c r="O91" i="11" s="1"/>
  <c r="AE95" i="11"/>
  <c r="AI95" i="11" s="1"/>
  <c r="AG91" i="11"/>
  <c r="AF91" i="11" s="1"/>
  <c r="AG95" i="11"/>
  <c r="AF95" i="11" s="1"/>
  <c r="AH91" i="11"/>
  <c r="AH95" i="11"/>
  <c r="AO88" i="11"/>
  <c r="AO91" i="11"/>
  <c r="AO92" i="11"/>
  <c r="AO93" i="11"/>
  <c r="AO94" i="11"/>
  <c r="AO95" i="11"/>
  <c r="AO96" i="11"/>
  <c r="AO97" i="11"/>
  <c r="AP88" i="11"/>
  <c r="AP91" i="11"/>
  <c r="AP92" i="11"/>
  <c r="AP93" i="11"/>
  <c r="AP94" i="11"/>
  <c r="AP95" i="11"/>
  <c r="AP96" i="11"/>
  <c r="AP97" i="11"/>
  <c r="AS88" i="11"/>
  <c r="AS91" i="11"/>
  <c r="AS92" i="11"/>
  <c r="AS93" i="11"/>
  <c r="AS94" i="11"/>
  <c r="AS95" i="11"/>
  <c r="AS96" i="11"/>
  <c r="AS97" i="11"/>
  <c r="AW88" i="11"/>
  <c r="AW91" i="11"/>
  <c r="AW92" i="11"/>
  <c r="AW93" i="11"/>
  <c r="AW94" i="11"/>
  <c r="AW95" i="11"/>
  <c r="AW96" i="11"/>
  <c r="AW97" i="11"/>
  <c r="G70" i="11"/>
  <c r="AE70" i="11" s="1"/>
  <c r="AJ70" i="11" s="1"/>
  <c r="G69" i="11"/>
  <c r="AE69" i="11" s="1"/>
  <c r="AJ69" i="11" s="1"/>
  <c r="G68" i="11"/>
  <c r="AE68" i="11" s="1"/>
  <c r="AJ68" i="11" s="1"/>
  <c r="G67" i="11"/>
  <c r="G66" i="11"/>
  <c r="AG66" i="11" s="1"/>
  <c r="AF66" i="11" s="1"/>
  <c r="G65" i="11"/>
  <c r="G64" i="11"/>
  <c r="AE64" i="11" s="1"/>
  <c r="AJ64" i="11" s="1"/>
  <c r="G63" i="11"/>
  <c r="G62" i="11"/>
  <c r="AE62" i="11" s="1"/>
  <c r="AJ62" i="11" s="1"/>
  <c r="G61" i="11"/>
  <c r="G60" i="11"/>
  <c r="AE60" i="11" s="1"/>
  <c r="AJ60" i="11" s="1"/>
  <c r="G59" i="11"/>
  <c r="G58" i="11"/>
  <c r="AE58" i="11" s="1"/>
  <c r="AJ58" i="11" s="1"/>
  <c r="G57" i="11"/>
  <c r="G56" i="11"/>
  <c r="AE56" i="11" s="1"/>
  <c r="AJ56" i="11" s="1"/>
  <c r="G55" i="11"/>
  <c r="G54" i="11"/>
  <c r="AG54" i="11" s="1"/>
  <c r="AF54" i="11" s="1"/>
  <c r="G53" i="11"/>
  <c r="G52" i="11"/>
  <c r="AE52" i="11" s="1"/>
  <c r="AI52" i="11" s="1"/>
  <c r="G51" i="11"/>
  <c r="G50" i="11"/>
  <c r="AG50" i="11" s="1"/>
  <c r="AF50" i="11" s="1"/>
  <c r="G49" i="11"/>
  <c r="G48" i="11"/>
  <c r="AE48" i="11" s="1"/>
  <c r="AI48" i="11" s="1"/>
  <c r="R68" i="11"/>
  <c r="AO68" i="11"/>
  <c r="AP68" i="11"/>
  <c r="AS68" i="11"/>
  <c r="AW68" i="11"/>
  <c r="R69" i="11"/>
  <c r="AO69" i="11"/>
  <c r="AP69" i="11"/>
  <c r="AS69" i="11"/>
  <c r="AW69" i="11"/>
  <c r="R70" i="11"/>
  <c r="AO70" i="11"/>
  <c r="AP70" i="11"/>
  <c r="AS70" i="11"/>
  <c r="AW70" i="11"/>
  <c r="R66" i="11"/>
  <c r="AO66" i="11"/>
  <c r="AP66" i="11"/>
  <c r="AS66" i="11"/>
  <c r="AW66" i="11"/>
  <c r="R64" i="11"/>
  <c r="AO64" i="11"/>
  <c r="AP64" i="11"/>
  <c r="AS64" i="11"/>
  <c r="AW64" i="11"/>
  <c r="R62" i="11"/>
  <c r="AO62" i="11"/>
  <c r="AP62" i="11"/>
  <c r="AS62" i="11"/>
  <c r="AW62" i="11"/>
  <c r="R60" i="11"/>
  <c r="AO60" i="11"/>
  <c r="AP60" i="11"/>
  <c r="AS60" i="11"/>
  <c r="AW60" i="11"/>
  <c r="R58" i="11"/>
  <c r="AO58" i="11"/>
  <c r="AP58" i="11"/>
  <c r="AS58" i="11"/>
  <c r="AW58" i="11"/>
  <c r="R56" i="11"/>
  <c r="AO56" i="11"/>
  <c r="AP56" i="11"/>
  <c r="AS56" i="11"/>
  <c r="AW56" i="11"/>
  <c r="R54" i="11"/>
  <c r="AO54" i="11"/>
  <c r="AP54" i="11"/>
  <c r="AS54" i="11"/>
  <c r="AW54" i="11"/>
  <c r="R52" i="11"/>
  <c r="AO52" i="11"/>
  <c r="AP52" i="11"/>
  <c r="AS52" i="11"/>
  <c r="AW52" i="11"/>
  <c r="R50" i="11"/>
  <c r="AO50" i="11"/>
  <c r="AP50" i="11"/>
  <c r="AS50" i="11"/>
  <c r="AW50" i="11"/>
  <c r="R48" i="11"/>
  <c r="AO48" i="11"/>
  <c r="AP48" i="11"/>
  <c r="AS48" i="11"/>
  <c r="AW48" i="11"/>
  <c r="I16" i="11"/>
  <c r="I15" i="11"/>
  <c r="I14" i="11"/>
  <c r="I13" i="11"/>
  <c r="I12" i="11"/>
  <c r="I11" i="11"/>
  <c r="I10" i="11"/>
  <c r="I9" i="11"/>
  <c r="I8" i="11"/>
  <c r="I7" i="11"/>
  <c r="I6" i="11"/>
  <c r="I5" i="11"/>
  <c r="R24" i="11"/>
  <c r="AK24" i="11"/>
  <c r="AL24" i="11"/>
  <c r="AO24" i="11"/>
  <c r="AP24" i="11"/>
  <c r="AS24" i="11"/>
  <c r="AW24" i="11"/>
  <c r="R25" i="11"/>
  <c r="AE25" i="11"/>
  <c r="AJ25" i="11" s="1"/>
  <c r="AG25" i="11"/>
  <c r="AF25" i="11" s="1"/>
  <c r="AH25" i="11"/>
  <c r="AK25" i="11"/>
  <c r="AL25" i="11"/>
  <c r="AO25" i="11"/>
  <c r="AP25" i="11"/>
  <c r="AS25" i="11"/>
  <c r="AW25" i="11"/>
  <c r="R26" i="11"/>
  <c r="AK26" i="11"/>
  <c r="AL26" i="11"/>
  <c r="AO26" i="11"/>
  <c r="AP26" i="11"/>
  <c r="AS26" i="11"/>
  <c r="AW26" i="11"/>
  <c r="R27" i="11"/>
  <c r="AE27" i="11"/>
  <c r="AJ27" i="11" s="1"/>
  <c r="AG27" i="11"/>
  <c r="AF27" i="11" s="1"/>
  <c r="AH27" i="11"/>
  <c r="AK27" i="11"/>
  <c r="AL27" i="11"/>
  <c r="AO27" i="11"/>
  <c r="AP27" i="11"/>
  <c r="AS27" i="11"/>
  <c r="AW27" i="11"/>
  <c r="R28" i="11"/>
  <c r="AK28" i="11"/>
  <c r="AL28" i="11"/>
  <c r="AO28" i="11"/>
  <c r="AP28" i="11"/>
  <c r="AS28" i="11"/>
  <c r="AW28" i="11"/>
  <c r="R29" i="11"/>
  <c r="AE29" i="11"/>
  <c r="AJ29" i="11" s="1"/>
  <c r="AG29" i="11"/>
  <c r="AF29" i="11" s="1"/>
  <c r="AH29" i="11"/>
  <c r="AK29" i="11"/>
  <c r="AL29" i="11"/>
  <c r="AO29" i="11"/>
  <c r="AP29" i="11"/>
  <c r="AS29" i="11"/>
  <c r="AW29" i="11"/>
  <c r="R30" i="11"/>
  <c r="AK30" i="11"/>
  <c r="AL30" i="11"/>
  <c r="AO30" i="11"/>
  <c r="AP30" i="11"/>
  <c r="AS30" i="11"/>
  <c r="AW30" i="11"/>
  <c r="R31" i="11"/>
  <c r="AE31" i="11"/>
  <c r="AI31" i="11" s="1"/>
  <c r="AG31" i="11"/>
  <c r="AF31" i="11" s="1"/>
  <c r="AH31" i="11"/>
  <c r="AK31" i="11"/>
  <c r="AL31" i="11"/>
  <c r="AO31" i="11"/>
  <c r="AP31" i="11"/>
  <c r="AS31" i="11"/>
  <c r="AW31" i="11"/>
  <c r="AH211" i="11" l="1"/>
  <c r="AG227" i="11"/>
  <c r="AF227" i="11" s="1"/>
  <c r="AH64" i="11"/>
  <c r="AH187" i="11"/>
  <c r="AG211" i="11"/>
  <c r="AF211" i="11" s="1"/>
  <c r="AB40" i="9"/>
  <c r="I657" i="1"/>
  <c r="H658" i="1"/>
  <c r="J657" i="1"/>
  <c r="O657" i="1" s="1"/>
  <c r="Z44" i="12"/>
  <c r="D109" i="12"/>
  <c r="AW109" i="12"/>
  <c r="AV109" i="12" s="1"/>
  <c r="AA134" i="12"/>
  <c r="AW134" i="12"/>
  <c r="Z65" i="14"/>
  <c r="AB51" i="9"/>
  <c r="AA178" i="12"/>
  <c r="AW178" i="12"/>
  <c r="BJ57" i="12"/>
  <c r="AV57" i="12"/>
  <c r="AG89" i="11"/>
  <c r="AF89" i="11" s="1"/>
  <c r="AH184" i="11"/>
  <c r="AE116" i="11"/>
  <c r="AI116" i="11" s="1"/>
  <c r="Z100" i="9"/>
  <c r="AB100" i="9"/>
  <c r="Z84" i="9"/>
  <c r="AB84" i="9"/>
  <c r="AH321" i="11"/>
  <c r="AH333" i="11"/>
  <c r="AB47" i="9"/>
  <c r="Z47" i="9"/>
  <c r="AH335" i="11"/>
  <c r="AB29" i="9"/>
  <c r="Z29" i="9"/>
  <c r="AB76" i="9"/>
  <c r="Z76" i="9"/>
  <c r="AE82" i="11"/>
  <c r="Z108" i="9"/>
  <c r="AB108" i="9"/>
  <c r="AF145" i="11"/>
  <c r="AE254" i="11"/>
  <c r="AJ254" i="11" s="1"/>
  <c r="AB95" i="9"/>
  <c r="AF135" i="11"/>
  <c r="D57" i="12"/>
  <c r="AA57" i="12"/>
  <c r="AA92" i="14"/>
  <c r="Z122" i="14"/>
  <c r="AB109" i="9"/>
  <c r="AA109" i="12"/>
  <c r="Z109" i="12" s="1"/>
  <c r="Z234" i="12"/>
  <c r="Z221" i="12"/>
  <c r="Z222" i="12"/>
  <c r="Z223" i="12"/>
  <c r="Z225" i="12"/>
  <c r="Z226" i="12"/>
  <c r="Z231" i="12"/>
  <c r="Z46" i="12"/>
  <c r="R57" i="12"/>
  <c r="AB119" i="9"/>
  <c r="AB91" i="9"/>
  <c r="AB65" i="9"/>
  <c r="Z48" i="9"/>
  <c r="AB115" i="9"/>
  <c r="AB107" i="9"/>
  <c r="AB103" i="9"/>
  <c r="AB99" i="9"/>
  <c r="AB61" i="9"/>
  <c r="AB110" i="9"/>
  <c r="AB106" i="9"/>
  <c r="AB102" i="9"/>
  <c r="AB98" i="9"/>
  <c r="AB83" i="9"/>
  <c r="AB88" i="9"/>
  <c r="AB79" i="9"/>
  <c r="Z120" i="9"/>
  <c r="Z89" i="9"/>
  <c r="AB52" i="9"/>
  <c r="AB32" i="9"/>
  <c r="Z36" i="9"/>
  <c r="AB96" i="9"/>
  <c r="AB87" i="9"/>
  <c r="AB75" i="9"/>
  <c r="Z112" i="9"/>
  <c r="AB67" i="9"/>
  <c r="Z123" i="9"/>
  <c r="AB123" i="9"/>
  <c r="Z122" i="9"/>
  <c r="AB122" i="9"/>
  <c r="Z114" i="9"/>
  <c r="AB114" i="9"/>
  <c r="Z94" i="9"/>
  <c r="AB94" i="9"/>
  <c r="Z90" i="9"/>
  <c r="AB90" i="9"/>
  <c r="Z86" i="9"/>
  <c r="AB86" i="9"/>
  <c r="Z82" i="9"/>
  <c r="AB82" i="9"/>
  <c r="AB85" i="9"/>
  <c r="Z85" i="9"/>
  <c r="Z73" i="9"/>
  <c r="AB73" i="9"/>
  <c r="Z43" i="9"/>
  <c r="AB43" i="9"/>
  <c r="AB39" i="9"/>
  <c r="Z39" i="9"/>
  <c r="AB118" i="9"/>
  <c r="AB78" i="9"/>
  <c r="Z77" i="9"/>
  <c r="Z71" i="9"/>
  <c r="AB71" i="9"/>
  <c r="AB63" i="9"/>
  <c r="Z63" i="9"/>
  <c r="Z55" i="9"/>
  <c r="Z31" i="9"/>
  <c r="AB93" i="9"/>
  <c r="AB69" i="9"/>
  <c r="Z97" i="9"/>
  <c r="AB92" i="9"/>
  <c r="AB121" i="9"/>
  <c r="AB117" i="9"/>
  <c r="AB113" i="9"/>
  <c r="AB116" i="9"/>
  <c r="AB111" i="9"/>
  <c r="Z81" i="9"/>
  <c r="AB80" i="9"/>
  <c r="AB74" i="9"/>
  <c r="Z68" i="9"/>
  <c r="AB64" i="9"/>
  <c r="Z44" i="9"/>
  <c r="AB124" i="9"/>
  <c r="Z124" i="9"/>
  <c r="Z70" i="9"/>
  <c r="AB70" i="9"/>
  <c r="Z66" i="9"/>
  <c r="AB66" i="9"/>
  <c r="Z62" i="9"/>
  <c r="AB62" i="9"/>
  <c r="Z72" i="9"/>
  <c r="AB54" i="9"/>
  <c r="Z50" i="9"/>
  <c r="Z42" i="9"/>
  <c r="Z34" i="9"/>
  <c r="Z125" i="9"/>
  <c r="AB46" i="9"/>
  <c r="AB38" i="9"/>
  <c r="AB30" i="9"/>
  <c r="AB53" i="9"/>
  <c r="AB49" i="9"/>
  <c r="AB45" i="9"/>
  <c r="AB41" i="9"/>
  <c r="AB37" i="9"/>
  <c r="AB33" i="9"/>
  <c r="Z90" i="14"/>
  <c r="AA57" i="14"/>
  <c r="P57" i="14" s="1"/>
  <c r="Z128" i="14"/>
  <c r="Z120" i="14"/>
  <c r="AA53" i="14"/>
  <c r="AA126" i="14"/>
  <c r="AA89" i="14"/>
  <c r="S89" i="14" s="1"/>
  <c r="Z125" i="14"/>
  <c r="Z117" i="14"/>
  <c r="Z61" i="14"/>
  <c r="AA118" i="14"/>
  <c r="AA84" i="14"/>
  <c r="Z124" i="14"/>
  <c r="Z104" i="14"/>
  <c r="AA73" i="14"/>
  <c r="Z60" i="14"/>
  <c r="AA54" i="14"/>
  <c r="Z83" i="14"/>
  <c r="Z56" i="14"/>
  <c r="AA69" i="14"/>
  <c r="AA121" i="14"/>
  <c r="AA62" i="14"/>
  <c r="Z66" i="14"/>
  <c r="AA75" i="14"/>
  <c r="S75" i="14" s="1"/>
  <c r="AA85" i="14"/>
  <c r="Z77" i="14"/>
  <c r="S77" i="14" s="1"/>
  <c r="AA58" i="14"/>
  <c r="Z64" i="14"/>
  <c r="Z28" i="14"/>
  <c r="S28" i="14" s="1"/>
  <c r="Z127" i="14"/>
  <c r="Z123" i="14"/>
  <c r="Z119" i="14"/>
  <c r="Z103" i="14"/>
  <c r="AA63" i="14"/>
  <c r="Z63" i="14"/>
  <c r="AA59" i="14"/>
  <c r="Z59" i="14"/>
  <c r="Z48" i="14"/>
  <c r="S48" i="14" s="1"/>
  <c r="Z100" i="14"/>
  <c r="AA100" i="14"/>
  <c r="Z96" i="14"/>
  <c r="AA96" i="14"/>
  <c r="Z88" i="14"/>
  <c r="AA88" i="14"/>
  <c r="Z80" i="14"/>
  <c r="AA80" i="14"/>
  <c r="P60" i="14"/>
  <c r="Z97" i="14"/>
  <c r="AA110" i="14"/>
  <c r="S110" i="14" s="1"/>
  <c r="Z106" i="14"/>
  <c r="Z114" i="14"/>
  <c r="Z108" i="14"/>
  <c r="S108" i="14" s="1"/>
  <c r="AA116" i="14"/>
  <c r="AA112" i="14"/>
  <c r="AA105" i="14"/>
  <c r="AA107" i="14"/>
  <c r="AA109" i="14"/>
  <c r="AA111" i="14"/>
  <c r="AA113" i="14"/>
  <c r="AA115" i="14"/>
  <c r="Z98" i="14"/>
  <c r="AA101" i="14"/>
  <c r="AA94" i="14"/>
  <c r="Z82" i="14"/>
  <c r="AA102" i="14"/>
  <c r="AA86" i="14"/>
  <c r="AA81" i="14"/>
  <c r="Z93" i="14"/>
  <c r="Z78" i="14"/>
  <c r="P103" i="14"/>
  <c r="AA55" i="14"/>
  <c r="Z55" i="14"/>
  <c r="AA67" i="14"/>
  <c r="AA74" i="14"/>
  <c r="Z74" i="14"/>
  <c r="Z87" i="14"/>
  <c r="AA99" i="14"/>
  <c r="AA95" i="14"/>
  <c r="AA91" i="14"/>
  <c r="AA79" i="14"/>
  <c r="P104" i="14"/>
  <c r="P80" i="14"/>
  <c r="AA46" i="14"/>
  <c r="Z50" i="14"/>
  <c r="S50" i="14" s="1"/>
  <c r="AA47" i="14"/>
  <c r="Z49" i="14"/>
  <c r="Z44" i="14"/>
  <c r="S44" i="14" s="1"/>
  <c r="AA71" i="14"/>
  <c r="AA51" i="14"/>
  <c r="AA43" i="14"/>
  <c r="S43" i="14" s="1"/>
  <c r="AA42" i="14"/>
  <c r="S42" i="14" s="1"/>
  <c r="Z72" i="14"/>
  <c r="AA76" i="14"/>
  <c r="AA68" i="14"/>
  <c r="Z70" i="14"/>
  <c r="AA45" i="14"/>
  <c r="S45" i="14" s="1"/>
  <c r="AA41" i="14"/>
  <c r="S41" i="14" s="1"/>
  <c r="Z52" i="14"/>
  <c r="S52" i="14" s="1"/>
  <c r="AA38" i="14"/>
  <c r="AA34" i="14"/>
  <c r="S34" i="14" s="1"/>
  <c r="AA30" i="14"/>
  <c r="S30" i="14" s="1"/>
  <c r="AA39" i="14"/>
  <c r="AA35" i="14"/>
  <c r="S35" i="14" s="1"/>
  <c r="AA31" i="14"/>
  <c r="AA40" i="14"/>
  <c r="AA37" i="14"/>
  <c r="AA36" i="14"/>
  <c r="AA33" i="14"/>
  <c r="AA32" i="14"/>
  <c r="AA29" i="14"/>
  <c r="AA27" i="14"/>
  <c r="S27" i="14" s="1"/>
  <c r="AA137" i="14"/>
  <c r="Z136" i="14"/>
  <c r="AA25" i="14"/>
  <c r="Z138" i="14"/>
  <c r="Z139" i="14"/>
  <c r="AA141" i="14"/>
  <c r="AH334" i="11"/>
  <c r="AH300" i="11"/>
  <c r="AH309" i="11"/>
  <c r="AE256" i="11"/>
  <c r="AI256" i="11" s="1"/>
  <c r="AG256" i="11"/>
  <c r="AF256" i="11" s="1"/>
  <c r="AG165" i="11"/>
  <c r="AF165" i="11" s="1"/>
  <c r="AH305" i="11"/>
  <c r="AG194" i="11"/>
  <c r="AF194" i="11" s="1"/>
  <c r="AH198" i="11"/>
  <c r="AG187" i="11"/>
  <c r="AF187" i="11" s="1"/>
  <c r="AH301" i="11"/>
  <c r="AH170" i="11"/>
  <c r="AG174" i="11"/>
  <c r="AF174" i="11" s="1"/>
  <c r="AE252" i="11"/>
  <c r="AI252" i="11" s="1"/>
  <c r="AH252" i="11"/>
  <c r="AG252" i="11"/>
  <c r="AF252" i="11" s="1"/>
  <c r="AG166" i="11"/>
  <c r="AF166" i="11" s="1"/>
  <c r="AE166" i="11"/>
  <c r="AI166" i="11" s="1"/>
  <c r="AH178" i="11"/>
  <c r="AE178" i="11"/>
  <c r="AJ178" i="11" s="1"/>
  <c r="O178" i="11" s="1"/>
  <c r="AE186" i="11"/>
  <c r="AJ186" i="11" s="1"/>
  <c r="O186" i="11" s="1"/>
  <c r="AG186" i="11"/>
  <c r="AF186" i="11" s="1"/>
  <c r="AH207" i="11"/>
  <c r="AG207" i="11"/>
  <c r="AF207" i="11" s="1"/>
  <c r="AH203" i="11"/>
  <c r="AG203" i="11"/>
  <c r="AF203" i="11" s="1"/>
  <c r="AG183" i="11"/>
  <c r="AF183" i="11" s="1"/>
  <c r="G224" i="11"/>
  <c r="AE224" i="11" s="1"/>
  <c r="AI224" i="11" s="1"/>
  <c r="AF139" i="11"/>
  <c r="AE165" i="11"/>
  <c r="AI165" i="11" s="1"/>
  <c r="AH208" i="11"/>
  <c r="AH196" i="11"/>
  <c r="AH177" i="11"/>
  <c r="AH166" i="11"/>
  <c r="AG170" i="11"/>
  <c r="AF170" i="11" s="1"/>
  <c r="AE174" i="11"/>
  <c r="AH181" i="11"/>
  <c r="AH318" i="11"/>
  <c r="AJ279" i="11"/>
  <c r="O279" i="11" s="1"/>
  <c r="AE177" i="11"/>
  <c r="AJ177" i="11" s="1"/>
  <c r="AF133" i="11"/>
  <c r="AG181" i="11"/>
  <c r="AF181" i="11" s="1"/>
  <c r="AE185" i="11"/>
  <c r="AJ185" i="11" s="1"/>
  <c r="AH323" i="11"/>
  <c r="AH319" i="11"/>
  <c r="AH315" i="11"/>
  <c r="AH324" i="11"/>
  <c r="AH320" i="11"/>
  <c r="AH316" i="11"/>
  <c r="AH314" i="11"/>
  <c r="AJ274" i="11"/>
  <c r="O274" i="11" s="1"/>
  <c r="AH167" i="11"/>
  <c r="AH299" i="11"/>
  <c r="AI271" i="11"/>
  <c r="AI170" i="11"/>
  <c r="AH213" i="11"/>
  <c r="AH185" i="11"/>
  <c r="AG251" i="11"/>
  <c r="AF251" i="11" s="1"/>
  <c r="AG163" i="11"/>
  <c r="AF163" i="11" s="1"/>
  <c r="AE259" i="11"/>
  <c r="AJ259" i="11" s="1"/>
  <c r="O259" i="11" s="1"/>
  <c r="AE197" i="11"/>
  <c r="AI197" i="11" s="1"/>
  <c r="AE141" i="11"/>
  <c r="AI141" i="11" s="1"/>
  <c r="AH255" i="11"/>
  <c r="AH193" i="11"/>
  <c r="AH171" i="11"/>
  <c r="AG255" i="11"/>
  <c r="AF255" i="11" s="1"/>
  <c r="AG209" i="11"/>
  <c r="AF209" i="11" s="1"/>
  <c r="AG201" i="11"/>
  <c r="AF201" i="11" s="1"/>
  <c r="AG167" i="11"/>
  <c r="AF167" i="11" s="1"/>
  <c r="AE251" i="11"/>
  <c r="AJ251" i="11" s="1"/>
  <c r="O251" i="11" s="1"/>
  <c r="AE193" i="11"/>
  <c r="AJ193" i="11" s="1"/>
  <c r="AE171" i="11"/>
  <c r="AI171" i="11" s="1"/>
  <c r="AH259" i="11"/>
  <c r="AH209" i="11"/>
  <c r="AH189" i="11"/>
  <c r="AE205" i="11"/>
  <c r="AJ205" i="11" s="1"/>
  <c r="AE189" i="11"/>
  <c r="AI189" i="11" s="1"/>
  <c r="AI275" i="11"/>
  <c r="AH197" i="11"/>
  <c r="AH163" i="11"/>
  <c r="AG213" i="11"/>
  <c r="AF213" i="11" s="1"/>
  <c r="AG205" i="11"/>
  <c r="AF205" i="11" s="1"/>
  <c r="AI198" i="11"/>
  <c r="AJ198" i="11"/>
  <c r="O198" i="11" s="1"/>
  <c r="AJ203" i="11"/>
  <c r="AH214" i="11"/>
  <c r="AH202" i="11"/>
  <c r="AH194" i="11"/>
  <c r="AG250" i="11"/>
  <c r="AF250" i="11" s="1"/>
  <c r="AG198" i="11"/>
  <c r="AF198" i="11" s="1"/>
  <c r="AG182" i="11"/>
  <c r="AF182" i="11" s="1"/>
  <c r="AE250" i="11"/>
  <c r="AE206" i="11"/>
  <c r="AJ206" i="11" s="1"/>
  <c r="G220" i="11"/>
  <c r="AG132" i="11"/>
  <c r="AF132" i="11" s="1"/>
  <c r="AH145" i="11"/>
  <c r="AH206" i="11"/>
  <c r="AH190" i="11"/>
  <c r="AG258" i="11"/>
  <c r="AF258" i="11" s="1"/>
  <c r="AG214" i="11"/>
  <c r="AF214" i="11" s="1"/>
  <c r="AG202" i="11"/>
  <c r="AF202" i="11" s="1"/>
  <c r="AE258" i="11"/>
  <c r="AE210" i="11"/>
  <c r="G228" i="11"/>
  <c r="AE145" i="11"/>
  <c r="AJ145" i="11" s="1"/>
  <c r="O145" i="11" s="1"/>
  <c r="AH182" i="11"/>
  <c r="AG190" i="11"/>
  <c r="AF190" i="11" s="1"/>
  <c r="AE176" i="11"/>
  <c r="AI176" i="11" s="1"/>
  <c r="AH304" i="11"/>
  <c r="AH307" i="11"/>
  <c r="AH310" i="11"/>
  <c r="AH306" i="11"/>
  <c r="AH303" i="11"/>
  <c r="AH308" i="11"/>
  <c r="AH204" i="11"/>
  <c r="AH192" i="11"/>
  <c r="AG196" i="11"/>
  <c r="AF196" i="11" s="1"/>
  <c r="AG188" i="11"/>
  <c r="AF188" i="11" s="1"/>
  <c r="AG184" i="11"/>
  <c r="AF184" i="11" s="1"/>
  <c r="AG180" i="11"/>
  <c r="AF180" i="11" s="1"/>
  <c r="AG169" i="11"/>
  <c r="AF169" i="11" s="1"/>
  <c r="AE169" i="11"/>
  <c r="AJ169" i="11" s="1"/>
  <c r="AH173" i="11"/>
  <c r="AE173" i="11"/>
  <c r="AI173" i="11" s="1"/>
  <c r="AG200" i="11"/>
  <c r="AF200" i="11" s="1"/>
  <c r="AH200" i="11"/>
  <c r="G239" i="11"/>
  <c r="G235" i="11"/>
  <c r="G231" i="11"/>
  <c r="AE231" i="11" s="1"/>
  <c r="AJ231" i="11" s="1"/>
  <c r="O231" i="11" s="1"/>
  <c r="G242" i="11"/>
  <c r="G238" i="11"/>
  <c r="G234" i="11"/>
  <c r="G241" i="11"/>
  <c r="AG241" i="11" s="1"/>
  <c r="AF241" i="11" s="1"/>
  <c r="G237" i="11"/>
  <c r="AG237" i="11" s="1"/>
  <c r="AF237" i="11" s="1"/>
  <c r="G233" i="11"/>
  <c r="AG233" i="11" s="1"/>
  <c r="AF233" i="11" s="1"/>
  <c r="G232" i="11"/>
  <c r="AE232" i="11" s="1"/>
  <c r="AI232" i="11" s="1"/>
  <c r="AJ211" i="11"/>
  <c r="O211" i="11" s="1"/>
  <c r="AJ182" i="11"/>
  <c r="AE188" i="11"/>
  <c r="AI188" i="11" s="1"/>
  <c r="G236" i="11"/>
  <c r="AG236" i="11" s="1"/>
  <c r="AF236" i="11" s="1"/>
  <c r="AH180" i="11"/>
  <c r="AG208" i="11"/>
  <c r="AF208" i="11" s="1"/>
  <c r="AG204" i="11"/>
  <c r="AF204" i="11" s="1"/>
  <c r="AI278" i="11"/>
  <c r="AJ278" i="11"/>
  <c r="O278" i="11" s="1"/>
  <c r="AJ270" i="11"/>
  <c r="O270" i="11" s="1"/>
  <c r="AI270" i="11"/>
  <c r="AE192" i="11"/>
  <c r="AI192" i="11" s="1"/>
  <c r="G240" i="11"/>
  <c r="AE240" i="11" s="1"/>
  <c r="AI240" i="11" s="1"/>
  <c r="G221" i="11"/>
  <c r="AE221" i="11" s="1"/>
  <c r="AI221" i="11" s="1"/>
  <c r="G225" i="11"/>
  <c r="AE225" i="11" s="1"/>
  <c r="G229" i="11"/>
  <c r="AE229" i="11" s="1"/>
  <c r="AJ229" i="11" s="1"/>
  <c r="G222" i="11"/>
  <c r="G226" i="11"/>
  <c r="G230" i="11"/>
  <c r="G219" i="11"/>
  <c r="AG219" i="11" s="1"/>
  <c r="AF219" i="11" s="1"/>
  <c r="G223" i="11"/>
  <c r="AE26" i="11"/>
  <c r="AJ26" i="11" s="1"/>
  <c r="O26" i="11" s="1"/>
  <c r="AH136" i="11"/>
  <c r="AE132" i="11"/>
  <c r="AI132" i="11" s="1"/>
  <c r="AJ214" i="11"/>
  <c r="O214" i="11" s="1"/>
  <c r="AI214" i="11"/>
  <c r="AG137" i="11"/>
  <c r="AF137" i="11" s="1"/>
  <c r="AI254" i="11"/>
  <c r="AI190" i="11"/>
  <c r="AI207" i="11"/>
  <c r="AJ207" i="11"/>
  <c r="O207" i="11" s="1"/>
  <c r="AJ167" i="11"/>
  <c r="O167" i="11" s="1"/>
  <c r="AH262" i="11"/>
  <c r="AJ255" i="11"/>
  <c r="AG257" i="11"/>
  <c r="AF257" i="11" s="1"/>
  <c r="AG253" i="11"/>
  <c r="AF253" i="11" s="1"/>
  <c r="AG249" i="11"/>
  <c r="AF249" i="11" s="1"/>
  <c r="AE257" i="11"/>
  <c r="AI257" i="11" s="1"/>
  <c r="AE253" i="11"/>
  <c r="AJ253" i="11" s="1"/>
  <c r="AE249" i="11"/>
  <c r="AJ249" i="11" s="1"/>
  <c r="AH248" i="11"/>
  <c r="AG248" i="11"/>
  <c r="AF248" i="11" s="1"/>
  <c r="AJ227" i="11"/>
  <c r="O227" i="11" s="1"/>
  <c r="AI227" i="11"/>
  <c r="AH227" i="11"/>
  <c r="AG212" i="11"/>
  <c r="AF212" i="11" s="1"/>
  <c r="AH212" i="11"/>
  <c r="AH210" i="11"/>
  <c r="AH201" i="11"/>
  <c r="AE200" i="11"/>
  <c r="AI200" i="11" s="1"/>
  <c r="AJ202" i="11"/>
  <c r="O202" i="11" s="1"/>
  <c r="AI199" i="11"/>
  <c r="AJ199" i="11"/>
  <c r="O199" i="11" s="1"/>
  <c r="AG199" i="11"/>
  <c r="AF199" i="11" s="1"/>
  <c r="AH199" i="11"/>
  <c r="AI194" i="11"/>
  <c r="AJ194" i="11"/>
  <c r="AJ195" i="11"/>
  <c r="O195" i="11" s="1"/>
  <c r="AI195" i="11"/>
  <c r="AH195" i="11"/>
  <c r="AG195" i="11"/>
  <c r="AF195" i="11" s="1"/>
  <c r="AI191" i="11"/>
  <c r="AJ191" i="11"/>
  <c r="O191" i="11" s="1"/>
  <c r="AG191" i="11"/>
  <c r="AF191" i="11" s="1"/>
  <c r="AH191" i="11"/>
  <c r="AI186" i="11"/>
  <c r="AI187" i="11"/>
  <c r="AH186" i="11"/>
  <c r="AI179" i="11"/>
  <c r="AJ179" i="11"/>
  <c r="O179" i="11" s="1"/>
  <c r="AG179" i="11"/>
  <c r="AF179" i="11" s="1"/>
  <c r="AH179" i="11"/>
  <c r="AI183" i="11"/>
  <c r="AJ183" i="11"/>
  <c r="O183" i="11" s="1"/>
  <c r="AH183" i="11"/>
  <c r="AJ175" i="11"/>
  <c r="O175" i="11" s="1"/>
  <c r="AI175" i="11"/>
  <c r="AH175" i="11"/>
  <c r="AG175" i="11"/>
  <c r="AF175" i="11" s="1"/>
  <c r="AH176" i="11"/>
  <c r="AE164" i="11"/>
  <c r="AI164" i="11" s="1"/>
  <c r="AG173" i="11"/>
  <c r="AF173" i="11" s="1"/>
  <c r="AG172" i="11"/>
  <c r="AF172" i="11" s="1"/>
  <c r="AE168" i="11"/>
  <c r="AI168" i="11" s="1"/>
  <c r="AH172" i="11"/>
  <c r="AH168" i="11"/>
  <c r="AH164" i="11"/>
  <c r="AI163" i="11"/>
  <c r="AJ163" i="11"/>
  <c r="O163" i="11" s="1"/>
  <c r="AG134" i="11"/>
  <c r="AF134" i="11" s="1"/>
  <c r="AE134" i="11"/>
  <c r="AJ134" i="11" s="1"/>
  <c r="O134" i="11" s="1"/>
  <c r="AH134" i="11"/>
  <c r="AE138" i="11"/>
  <c r="AJ138" i="11" s="1"/>
  <c r="AH138" i="11"/>
  <c r="AG138" i="11"/>
  <c r="AF138" i="11" s="1"/>
  <c r="AE142" i="11"/>
  <c r="AJ142" i="11" s="1"/>
  <c r="O142" i="11" s="1"/>
  <c r="AH142" i="11"/>
  <c r="AH30" i="11"/>
  <c r="AE30" i="11"/>
  <c r="AJ30" i="11" s="1"/>
  <c r="O30" i="11" s="1"/>
  <c r="AG30" i="11"/>
  <c r="AF30" i="11" s="1"/>
  <c r="AI277" i="11"/>
  <c r="AJ277" i="11"/>
  <c r="AI273" i="11"/>
  <c r="AJ273" i="11"/>
  <c r="AI213" i="11"/>
  <c r="AJ213" i="11"/>
  <c r="AI209" i="11"/>
  <c r="AJ209" i="11"/>
  <c r="AI201" i="11"/>
  <c r="AJ201" i="11"/>
  <c r="AI181" i="11"/>
  <c r="AJ181" i="11"/>
  <c r="AI177" i="11"/>
  <c r="O254" i="11"/>
  <c r="O190" i="11"/>
  <c r="O170" i="11"/>
  <c r="AJ281" i="11"/>
  <c r="O281" i="11" s="1"/>
  <c r="AH28" i="11"/>
  <c r="AE28" i="11"/>
  <c r="AJ28" i="11" s="1"/>
  <c r="O28" i="11" s="1"/>
  <c r="AJ280" i="11"/>
  <c r="O280" i="11" s="1"/>
  <c r="AI280" i="11"/>
  <c r="AJ276" i="11"/>
  <c r="AJ272" i="11"/>
  <c r="AJ248" i="11"/>
  <c r="AJ212" i="11"/>
  <c r="AJ208" i="11"/>
  <c r="AJ204" i="11"/>
  <c r="AJ196" i="11"/>
  <c r="AJ184" i="11"/>
  <c r="AJ180" i="11"/>
  <c r="AJ172" i="11"/>
  <c r="O187" i="11"/>
  <c r="O275" i="11"/>
  <c r="AG112" i="11"/>
  <c r="AF112" i="11" s="1"/>
  <c r="AH112" i="11"/>
  <c r="AH140" i="11"/>
  <c r="AG136" i="11"/>
  <c r="AF136" i="11" s="1"/>
  <c r="AE140" i="11"/>
  <c r="AI140" i="11" s="1"/>
  <c r="AH26" i="11"/>
  <c r="AH137" i="11"/>
  <c r="AG114" i="11"/>
  <c r="AF114" i="11" s="1"/>
  <c r="AH144" i="11"/>
  <c r="AJ144" i="11"/>
  <c r="AI144" i="11"/>
  <c r="AG144" i="11"/>
  <c r="AF144" i="11" s="1"/>
  <c r="AG113" i="11"/>
  <c r="AF113" i="11" s="1"/>
  <c r="AG104" i="11"/>
  <c r="AF104" i="11" s="1"/>
  <c r="AE104" i="11"/>
  <c r="AJ104" i="11" s="1"/>
  <c r="O104" i="11" s="1"/>
  <c r="AJ116" i="11"/>
  <c r="O116" i="11" s="1"/>
  <c r="AH113" i="11"/>
  <c r="AH105" i="11"/>
  <c r="AG116" i="11"/>
  <c r="AF116" i="11" s="1"/>
  <c r="AE74" i="11"/>
  <c r="AI74" i="11" s="1"/>
  <c r="AG143" i="11"/>
  <c r="AF143" i="11" s="1"/>
  <c r="AI143" i="11"/>
  <c r="AJ143" i="11"/>
  <c r="O143" i="11" s="1"/>
  <c r="AI136" i="11"/>
  <c r="AJ136" i="11"/>
  <c r="O136" i="11" s="1"/>
  <c r="AH24" i="11"/>
  <c r="AG93" i="11"/>
  <c r="AF93" i="11" s="1"/>
  <c r="AE93" i="11"/>
  <c r="AJ93" i="11" s="1"/>
  <c r="O93" i="11" s="1"/>
  <c r="AJ111" i="11"/>
  <c r="AH143" i="11"/>
  <c r="AH133" i="11"/>
  <c r="AG141" i="11"/>
  <c r="AF141" i="11" s="1"/>
  <c r="AG131" i="11"/>
  <c r="AF131" i="11" s="1"/>
  <c r="AE133" i="11"/>
  <c r="AI133" i="11" s="1"/>
  <c r="AE139" i="11"/>
  <c r="AG24" i="11"/>
  <c r="AF24" i="11" s="1"/>
  <c r="AH88" i="11"/>
  <c r="AG88" i="11"/>
  <c r="AF88" i="11" s="1"/>
  <c r="AG82" i="11"/>
  <c r="AF82" i="11" s="1"/>
  <c r="AE118" i="11"/>
  <c r="AI118" i="11" s="1"/>
  <c r="AH131" i="11"/>
  <c r="AG142" i="11"/>
  <c r="AF142" i="11" s="1"/>
  <c r="AH139" i="11"/>
  <c r="AI137" i="11"/>
  <c r="AJ137" i="11"/>
  <c r="O137" i="11" s="1"/>
  <c r="AH135" i="11"/>
  <c r="AE135" i="11"/>
  <c r="AJ131" i="11"/>
  <c r="O131" i="11" s="1"/>
  <c r="AH81" i="11"/>
  <c r="AH110" i="11"/>
  <c r="AH118" i="11"/>
  <c r="AI119" i="11"/>
  <c r="AG73" i="11"/>
  <c r="AF73" i="11" s="1"/>
  <c r="AH89" i="11"/>
  <c r="AG108" i="11"/>
  <c r="AF108" i="11" s="1"/>
  <c r="AE108" i="11"/>
  <c r="AJ88" i="11"/>
  <c r="O88" i="11" s="1"/>
  <c r="AG117" i="11"/>
  <c r="AF117" i="11" s="1"/>
  <c r="AG110" i="11"/>
  <c r="AF110" i="11" s="1"/>
  <c r="O119" i="11"/>
  <c r="AE117" i="11"/>
  <c r="AJ112" i="11"/>
  <c r="O112" i="11" s="1"/>
  <c r="AE114" i="11"/>
  <c r="AJ110" i="11"/>
  <c r="AG109" i="11"/>
  <c r="AF109" i="11" s="1"/>
  <c r="AE109" i="11"/>
  <c r="AJ109" i="11" s="1"/>
  <c r="AJ107" i="11"/>
  <c r="AG106" i="11"/>
  <c r="AF106" i="11" s="1"/>
  <c r="AE106" i="11"/>
  <c r="AG105" i="11"/>
  <c r="AF105" i="11" s="1"/>
  <c r="O113" i="11"/>
  <c r="O105" i="11"/>
  <c r="AE81" i="11"/>
  <c r="AJ81" i="11" s="1"/>
  <c r="O81" i="11" s="1"/>
  <c r="AE85" i="11"/>
  <c r="AJ85" i="11" s="1"/>
  <c r="O85" i="11" s="1"/>
  <c r="AG85" i="11"/>
  <c r="AF85" i="11" s="1"/>
  <c r="AE90" i="11"/>
  <c r="AH90" i="11"/>
  <c r="AI113" i="11"/>
  <c r="AI105" i="11"/>
  <c r="AI91" i="11"/>
  <c r="AJ82" i="11"/>
  <c r="O82" i="11" s="1"/>
  <c r="AI82" i="11"/>
  <c r="AH69" i="11"/>
  <c r="AE97" i="11"/>
  <c r="AJ97" i="11" s="1"/>
  <c r="O97" i="11" s="1"/>
  <c r="AG97" i="11"/>
  <c r="AF97" i="11" s="1"/>
  <c r="AH97" i="11"/>
  <c r="AJ95" i="11"/>
  <c r="O95" i="11" s="1"/>
  <c r="AG96" i="11"/>
  <c r="AF96" i="11" s="1"/>
  <c r="AJ89" i="11"/>
  <c r="O89" i="11" s="1"/>
  <c r="AI89" i="11"/>
  <c r="AH84" i="11"/>
  <c r="AE84" i="11"/>
  <c r="AH85" i="11"/>
  <c r="AG48" i="11"/>
  <c r="AF48" i="11" s="1"/>
  <c r="AG74" i="11"/>
  <c r="AF74" i="11" s="1"/>
  <c r="AE54" i="11"/>
  <c r="AJ54" i="11" s="1"/>
  <c r="O54" i="11" s="1"/>
  <c r="AE96" i="11"/>
  <c r="AI96" i="11" s="1"/>
  <c r="AH73" i="11"/>
  <c r="AG69" i="11"/>
  <c r="AF69" i="11" s="1"/>
  <c r="AH92" i="11"/>
  <c r="AE77" i="11"/>
  <c r="AE92" i="11"/>
  <c r="AH56" i="11"/>
  <c r="AH68" i="11"/>
  <c r="AH52" i="11"/>
  <c r="AH60" i="11"/>
  <c r="AE76" i="11"/>
  <c r="AH48" i="11"/>
  <c r="AH50" i="11"/>
  <c r="AG52" i="11"/>
  <c r="AF52" i="11" s="1"/>
  <c r="AG60" i="11"/>
  <c r="AF60" i="11" s="1"/>
  <c r="AE66" i="11"/>
  <c r="AJ66" i="11" s="1"/>
  <c r="O66" i="11" s="1"/>
  <c r="AH76" i="11"/>
  <c r="AG77" i="11"/>
  <c r="AF77" i="11" s="1"/>
  <c r="AJ73" i="11"/>
  <c r="O73" i="11" s="1"/>
  <c r="AI73" i="11"/>
  <c r="AI94" i="11"/>
  <c r="AJ94" i="11"/>
  <c r="O94" i="11" s="1"/>
  <c r="AH94" i="11"/>
  <c r="AG94" i="11"/>
  <c r="AF94" i="11" s="1"/>
  <c r="AG56" i="11"/>
  <c r="AF56" i="11" s="1"/>
  <c r="AG64" i="11"/>
  <c r="AF64" i="11" s="1"/>
  <c r="AG68" i="11"/>
  <c r="AF68" i="11" s="1"/>
  <c r="AH58" i="11"/>
  <c r="AH62" i="11"/>
  <c r="AH70" i="11"/>
  <c r="AI68" i="11"/>
  <c r="AE50" i="11"/>
  <c r="AJ50" i="11" s="1"/>
  <c r="O50" i="11" s="1"/>
  <c r="AH54" i="11"/>
  <c r="AG58" i="11"/>
  <c r="AF58" i="11" s="1"/>
  <c r="AG62" i="11"/>
  <c r="AF62" i="11" s="1"/>
  <c r="AH66" i="11"/>
  <c r="AG70" i="11"/>
  <c r="AF70" i="11" s="1"/>
  <c r="O68" i="11"/>
  <c r="AI70" i="11"/>
  <c r="AI69" i="11"/>
  <c r="O69" i="11"/>
  <c r="O70" i="11"/>
  <c r="AI64" i="11"/>
  <c r="O64" i="11"/>
  <c r="AI60" i="11"/>
  <c r="AI62" i="11"/>
  <c r="O60" i="11"/>
  <c r="O62" i="11"/>
  <c r="AI58" i="11"/>
  <c r="O58" i="11"/>
  <c r="AJ48" i="11"/>
  <c r="O48" i="11" s="1"/>
  <c r="AI56" i="11"/>
  <c r="O56" i="11"/>
  <c r="AJ52" i="11"/>
  <c r="O52" i="11" s="1"/>
  <c r="AI24" i="11"/>
  <c r="V24" i="11"/>
  <c r="O24" i="11"/>
  <c r="AI25" i="11"/>
  <c r="O25" i="11"/>
  <c r="AI27" i="11"/>
  <c r="O27" i="11"/>
  <c r="AI29" i="11"/>
  <c r="O29" i="11"/>
  <c r="AJ31" i="11"/>
  <c r="O31" i="11" s="1"/>
  <c r="G123" i="11"/>
  <c r="AG123" i="11" s="1"/>
  <c r="AF123" i="11" s="1"/>
  <c r="R127" i="11"/>
  <c r="AE127" i="11"/>
  <c r="AJ127" i="11" s="1"/>
  <c r="AG127" i="11"/>
  <c r="AF127" i="11" s="1"/>
  <c r="AH127" i="11"/>
  <c r="AK127" i="11"/>
  <c r="AL127" i="11"/>
  <c r="AO127" i="11"/>
  <c r="AP127" i="11"/>
  <c r="AS127" i="11"/>
  <c r="AW127" i="11"/>
  <c r="R128" i="11"/>
  <c r="AE128" i="11"/>
  <c r="AJ128" i="11" s="1"/>
  <c r="AG128" i="11"/>
  <c r="AF128" i="11" s="1"/>
  <c r="AH128" i="11"/>
  <c r="AK128" i="11"/>
  <c r="AL128" i="11"/>
  <c r="AO128" i="11"/>
  <c r="AP128" i="11"/>
  <c r="AS128" i="11"/>
  <c r="AW128" i="11"/>
  <c r="R129" i="11"/>
  <c r="AE129" i="11"/>
  <c r="AJ129" i="11" s="1"/>
  <c r="AG129" i="11"/>
  <c r="AF129" i="11" s="1"/>
  <c r="AH129" i="11"/>
  <c r="AK129" i="11"/>
  <c r="AL129" i="11"/>
  <c r="AO129" i="11"/>
  <c r="AP129" i="11"/>
  <c r="AS129" i="11"/>
  <c r="AW129" i="11"/>
  <c r="R130" i="11"/>
  <c r="AE130" i="11"/>
  <c r="AJ130" i="11" s="1"/>
  <c r="AG130" i="11"/>
  <c r="AF130" i="11" s="1"/>
  <c r="AH130" i="11"/>
  <c r="AK130" i="11"/>
  <c r="AL130" i="11"/>
  <c r="AO130" i="11"/>
  <c r="AP130" i="11"/>
  <c r="AS130" i="11"/>
  <c r="AW130" i="11"/>
  <c r="R123" i="11"/>
  <c r="R124" i="11"/>
  <c r="R125" i="11"/>
  <c r="R126" i="11"/>
  <c r="R147" i="11"/>
  <c r="AE124" i="11"/>
  <c r="AI124" i="11" s="1"/>
  <c r="AE125" i="11"/>
  <c r="AI125" i="11" s="1"/>
  <c r="AE126" i="11"/>
  <c r="AI126" i="11" s="1"/>
  <c r="AG124" i="11"/>
  <c r="AF124" i="11" s="1"/>
  <c r="AG125" i="11"/>
  <c r="AF125" i="11" s="1"/>
  <c r="AG126" i="11"/>
  <c r="AF126" i="11" s="1"/>
  <c r="AH124" i="11"/>
  <c r="AH125" i="11"/>
  <c r="AH126" i="11"/>
  <c r="AH147" i="11"/>
  <c r="AK123" i="11"/>
  <c r="AK124" i="11"/>
  <c r="AK125" i="11"/>
  <c r="AK126" i="11"/>
  <c r="AK147" i="11"/>
  <c r="AL123" i="11"/>
  <c r="AL124" i="11"/>
  <c r="AL125" i="11"/>
  <c r="AL126" i="11"/>
  <c r="AL147" i="11"/>
  <c r="AO123" i="11"/>
  <c r="AO124" i="11"/>
  <c r="AO125" i="11"/>
  <c r="AO126" i="11"/>
  <c r="AO147" i="11"/>
  <c r="AP123" i="11"/>
  <c r="AP124" i="11"/>
  <c r="AP125" i="11"/>
  <c r="AP126" i="11"/>
  <c r="AP147" i="11"/>
  <c r="AS123" i="11"/>
  <c r="AS124" i="11"/>
  <c r="AS125" i="11"/>
  <c r="AS126" i="11"/>
  <c r="AS147" i="11"/>
  <c r="AW123" i="11"/>
  <c r="AW124" i="11"/>
  <c r="AW125" i="11"/>
  <c r="AW126" i="11"/>
  <c r="AW147" i="11"/>
  <c r="R102" i="11"/>
  <c r="AE102" i="11"/>
  <c r="AJ102" i="11" s="1"/>
  <c r="AG102" i="11"/>
  <c r="AF102" i="11" s="1"/>
  <c r="AH102" i="11"/>
  <c r="AO102" i="11"/>
  <c r="AP102" i="11"/>
  <c r="AS102" i="11"/>
  <c r="AW102" i="11"/>
  <c r="R103" i="11"/>
  <c r="AE103" i="11"/>
  <c r="AJ103" i="11" s="1"/>
  <c r="AG103" i="11"/>
  <c r="AF103" i="11" s="1"/>
  <c r="AH103" i="11"/>
  <c r="AO103" i="11"/>
  <c r="AP103" i="11"/>
  <c r="AS103" i="11"/>
  <c r="AW103" i="11"/>
  <c r="R115" i="11"/>
  <c r="AE115" i="11"/>
  <c r="AJ115" i="11" s="1"/>
  <c r="AG115" i="11"/>
  <c r="AF115" i="11" s="1"/>
  <c r="AH115" i="11"/>
  <c r="AO115" i="11"/>
  <c r="AP115" i="11"/>
  <c r="AS115" i="11"/>
  <c r="AW115" i="11"/>
  <c r="R121" i="11"/>
  <c r="AH121" i="11"/>
  <c r="AK121" i="11"/>
  <c r="AL121" i="11"/>
  <c r="AO121" i="11"/>
  <c r="AP121" i="11"/>
  <c r="AS121" i="11"/>
  <c r="AW121" i="11"/>
  <c r="R122" i="11"/>
  <c r="AH122" i="11"/>
  <c r="AK122" i="11"/>
  <c r="AL122" i="11"/>
  <c r="AO122" i="11"/>
  <c r="AP122" i="11"/>
  <c r="AS122" i="11"/>
  <c r="AW122" i="11"/>
  <c r="R72" i="11"/>
  <c r="AE72" i="11"/>
  <c r="AJ72" i="11" s="1"/>
  <c r="AG72" i="11"/>
  <c r="AF72" i="11" s="1"/>
  <c r="AH72" i="11"/>
  <c r="AO72" i="11"/>
  <c r="AP72" i="11"/>
  <c r="AS72" i="11"/>
  <c r="AW72" i="11"/>
  <c r="R75" i="11"/>
  <c r="AE75" i="11"/>
  <c r="AJ75" i="11" s="1"/>
  <c r="AG75" i="11"/>
  <c r="AF75" i="11" s="1"/>
  <c r="AH75" i="11"/>
  <c r="AO75" i="11"/>
  <c r="AP75" i="11"/>
  <c r="AS75" i="11"/>
  <c r="AW75" i="11"/>
  <c r="R78" i="11"/>
  <c r="AE78" i="11"/>
  <c r="AJ78" i="11" s="1"/>
  <c r="AG78" i="11"/>
  <c r="AF78" i="11" s="1"/>
  <c r="AH78" i="11"/>
  <c r="AO78" i="11"/>
  <c r="AP78" i="11"/>
  <c r="AS78" i="11"/>
  <c r="AW78" i="11"/>
  <c r="R79" i="11"/>
  <c r="AE79" i="11"/>
  <c r="AJ79" i="11" s="1"/>
  <c r="AG79" i="11"/>
  <c r="AF79" i="11" s="1"/>
  <c r="AH79" i="11"/>
  <c r="AO79" i="11"/>
  <c r="AP79" i="11"/>
  <c r="AS79" i="11"/>
  <c r="AW79" i="11"/>
  <c r="R80" i="11"/>
  <c r="AE80" i="11"/>
  <c r="AJ80" i="11" s="1"/>
  <c r="AG80" i="11"/>
  <c r="AF80" i="11" s="1"/>
  <c r="AH80" i="11"/>
  <c r="AO80" i="11"/>
  <c r="AP80" i="11"/>
  <c r="AS80" i="11"/>
  <c r="AW80" i="11"/>
  <c r="R83" i="11"/>
  <c r="AE83" i="11"/>
  <c r="AJ83" i="11" s="1"/>
  <c r="AG83" i="11"/>
  <c r="AF83" i="11" s="1"/>
  <c r="AH83" i="11"/>
  <c r="AO83" i="11"/>
  <c r="AP83" i="11"/>
  <c r="AS83" i="11"/>
  <c r="AW83" i="11"/>
  <c r="R86" i="11"/>
  <c r="AE86" i="11"/>
  <c r="AJ86" i="11" s="1"/>
  <c r="AG86" i="11"/>
  <c r="AF86" i="11" s="1"/>
  <c r="AH86" i="11"/>
  <c r="AO86" i="11"/>
  <c r="AP86" i="11"/>
  <c r="AS86" i="11"/>
  <c r="AW86" i="11"/>
  <c r="R87" i="11"/>
  <c r="AE87" i="11"/>
  <c r="AJ87" i="11" s="1"/>
  <c r="AG87" i="11"/>
  <c r="AF87" i="11" s="1"/>
  <c r="AH87" i="11"/>
  <c r="AO87" i="11"/>
  <c r="AP87" i="11"/>
  <c r="AS87" i="11"/>
  <c r="AW87" i="11"/>
  <c r="R98" i="11"/>
  <c r="AE98" i="11"/>
  <c r="AJ98" i="11" s="1"/>
  <c r="AG98" i="11"/>
  <c r="AF98" i="11" s="1"/>
  <c r="AH98" i="11"/>
  <c r="AO98" i="11"/>
  <c r="AP98" i="11"/>
  <c r="AS98" i="11"/>
  <c r="AW98" i="11"/>
  <c r="R99" i="11"/>
  <c r="AE99" i="11"/>
  <c r="AJ99" i="11" s="1"/>
  <c r="AG99" i="11"/>
  <c r="AF99" i="11" s="1"/>
  <c r="AH99" i="11"/>
  <c r="AO99" i="11"/>
  <c r="AP99" i="11"/>
  <c r="AS99" i="11"/>
  <c r="AW99" i="11"/>
  <c r="R100" i="11"/>
  <c r="AE100" i="11"/>
  <c r="AJ100" i="11" s="1"/>
  <c r="AG100" i="11"/>
  <c r="AF100" i="11" s="1"/>
  <c r="AH100" i="11"/>
  <c r="AO100" i="11"/>
  <c r="AP100" i="11"/>
  <c r="AS100" i="11"/>
  <c r="AW100" i="11"/>
  <c r="R101" i="11"/>
  <c r="AE101" i="11"/>
  <c r="AJ101" i="11" s="1"/>
  <c r="AG101" i="11"/>
  <c r="AF101" i="11" s="1"/>
  <c r="AH101" i="11"/>
  <c r="AO101" i="11"/>
  <c r="AP101" i="11"/>
  <c r="AS101" i="11"/>
  <c r="AW101" i="11"/>
  <c r="AE67" i="11"/>
  <c r="AH65" i="11"/>
  <c r="AH63" i="11"/>
  <c r="AE61" i="11"/>
  <c r="AJ61" i="11" s="1"/>
  <c r="O61" i="11" s="1"/>
  <c r="AE59" i="11"/>
  <c r="AJ59" i="11" s="1"/>
  <c r="AE57" i="11"/>
  <c r="AE55" i="11"/>
  <c r="AE53" i="11"/>
  <c r="AJ53" i="11" s="1"/>
  <c r="O53" i="11" s="1"/>
  <c r="G47" i="11"/>
  <c r="R63" i="11"/>
  <c r="R65" i="11"/>
  <c r="R67" i="11"/>
  <c r="AO63" i="11"/>
  <c r="AO65" i="11"/>
  <c r="AO67" i="11"/>
  <c r="AP63" i="11"/>
  <c r="AP65" i="11"/>
  <c r="AP67" i="11"/>
  <c r="AS63" i="11"/>
  <c r="AS65" i="11"/>
  <c r="AS67" i="11"/>
  <c r="AW63" i="11"/>
  <c r="AW65" i="11"/>
  <c r="AW67" i="11"/>
  <c r="R53" i="11"/>
  <c r="R55" i="11"/>
  <c r="R57" i="11"/>
  <c r="R59" i="11"/>
  <c r="R61" i="11"/>
  <c r="AO53" i="11"/>
  <c r="AO55" i="11"/>
  <c r="AO57" i="11"/>
  <c r="AO59" i="11"/>
  <c r="AO61" i="11"/>
  <c r="AP53" i="11"/>
  <c r="AP55" i="11"/>
  <c r="AP57" i="11"/>
  <c r="AP59" i="11"/>
  <c r="AP61" i="11"/>
  <c r="AS53" i="11"/>
  <c r="AS55" i="11"/>
  <c r="AS57" i="11"/>
  <c r="AS59" i="11"/>
  <c r="AS61" i="11"/>
  <c r="AW53" i="11"/>
  <c r="AW55" i="11"/>
  <c r="AW57" i="11"/>
  <c r="AW59" i="11"/>
  <c r="AW61" i="11"/>
  <c r="AW5" i="11"/>
  <c r="AS5" i="11"/>
  <c r="AP5" i="11"/>
  <c r="AO5" i="11"/>
  <c r="G46" i="11"/>
  <c r="G45" i="11"/>
  <c r="AE45" i="11" s="1"/>
  <c r="G44" i="11"/>
  <c r="G43" i="11"/>
  <c r="G42" i="11"/>
  <c r="G41" i="11"/>
  <c r="G40" i="11"/>
  <c r="R45" i="11"/>
  <c r="AK45" i="11"/>
  <c r="AL45" i="11"/>
  <c r="AO45" i="11"/>
  <c r="AP45" i="11"/>
  <c r="AS45" i="11"/>
  <c r="AW45" i="11"/>
  <c r="G39" i="11"/>
  <c r="G38" i="11"/>
  <c r="G37" i="11"/>
  <c r="G36" i="11"/>
  <c r="G35" i="11"/>
  <c r="G34" i="11"/>
  <c r="G33" i="11"/>
  <c r="G17" i="11"/>
  <c r="G16" i="11"/>
  <c r="G15" i="11"/>
  <c r="G14" i="11"/>
  <c r="G13" i="11"/>
  <c r="G12" i="11"/>
  <c r="G11" i="11"/>
  <c r="G10" i="11"/>
  <c r="G9" i="11"/>
  <c r="G8" i="11"/>
  <c r="G7" i="11"/>
  <c r="G6" i="11"/>
  <c r="I658" i="1" l="1"/>
  <c r="J658" i="1"/>
  <c r="O658" i="1" s="1"/>
  <c r="H659" i="1"/>
  <c r="AI259" i="11"/>
  <c r="S57" i="14"/>
  <c r="AJ165" i="11"/>
  <c r="O165" i="11" s="1"/>
  <c r="AI185" i="11"/>
  <c r="AN57" i="12"/>
  <c r="Z57" i="12"/>
  <c r="V60" i="14"/>
  <c r="S51" i="14"/>
  <c r="S85" i="14"/>
  <c r="V104" i="14"/>
  <c r="P90" i="14"/>
  <c r="V90" i="14" s="1"/>
  <c r="S104" i="14"/>
  <c r="P73" i="14"/>
  <c r="V73" i="14" s="1"/>
  <c r="S84" i="14"/>
  <c r="P92" i="14"/>
  <c r="S83" i="14"/>
  <c r="S72" i="14"/>
  <c r="S114" i="14"/>
  <c r="P94" i="14"/>
  <c r="S106" i="14"/>
  <c r="S56" i="14"/>
  <c r="V57" i="14"/>
  <c r="S60" i="14"/>
  <c r="P106" i="14"/>
  <c r="V106" i="14" s="1"/>
  <c r="P69" i="14"/>
  <c r="V69" i="14" s="1"/>
  <c r="S96" i="14"/>
  <c r="P87" i="14"/>
  <c r="V87" i="14" s="1"/>
  <c r="P56" i="14"/>
  <c r="P110" i="14"/>
  <c r="S80" i="14"/>
  <c r="P86" i="14"/>
  <c r="P100" i="14"/>
  <c r="S90" i="14"/>
  <c r="P88" i="14"/>
  <c r="P84" i="14"/>
  <c r="P55" i="14"/>
  <c r="S113" i="14"/>
  <c r="S86" i="14"/>
  <c r="S58" i="14"/>
  <c r="P58" i="14"/>
  <c r="S100" i="14"/>
  <c r="S59" i="14"/>
  <c r="S46" i="14"/>
  <c r="S74" i="14"/>
  <c r="P59" i="14"/>
  <c r="S55" i="14"/>
  <c r="S94" i="14"/>
  <c r="P82" i="14"/>
  <c r="S88" i="14"/>
  <c r="P93" i="14"/>
  <c r="S82" i="14"/>
  <c r="S91" i="14"/>
  <c r="S81" i="14"/>
  <c r="P116" i="14"/>
  <c r="S116" i="14"/>
  <c r="S111" i="14"/>
  <c r="P112" i="14"/>
  <c r="S112" i="14"/>
  <c r="S105" i="14"/>
  <c r="P115" i="14"/>
  <c r="P107" i="14"/>
  <c r="S107" i="14"/>
  <c r="P109" i="14"/>
  <c r="P111" i="14"/>
  <c r="S115" i="14"/>
  <c r="S109" i="14"/>
  <c r="P113" i="14"/>
  <c r="P105" i="14"/>
  <c r="S101" i="14"/>
  <c r="S93" i="14"/>
  <c r="S102" i="14"/>
  <c r="P72" i="14"/>
  <c r="P71" i="14"/>
  <c r="P85" i="14"/>
  <c r="P102" i="14"/>
  <c r="P101" i="14"/>
  <c r="S73" i="14"/>
  <c r="S71" i="14"/>
  <c r="P77" i="14"/>
  <c r="P78" i="14"/>
  <c r="S98" i="14"/>
  <c r="P74" i="14"/>
  <c r="S99" i="14"/>
  <c r="V103" i="14"/>
  <c r="P95" i="14"/>
  <c r="P99" i="14"/>
  <c r="P81" i="14"/>
  <c r="P89" i="14"/>
  <c r="P97" i="14"/>
  <c r="S87" i="14"/>
  <c r="S33" i="14"/>
  <c r="S70" i="14"/>
  <c r="P79" i="14"/>
  <c r="S79" i="14"/>
  <c r="P75" i="14"/>
  <c r="P91" i="14"/>
  <c r="S78" i="14"/>
  <c r="S95" i="14"/>
  <c r="S47" i="14"/>
  <c r="P76" i="14"/>
  <c r="P41" i="14"/>
  <c r="S31" i="14"/>
  <c r="S76" i="14"/>
  <c r="S38" i="14"/>
  <c r="S40" i="14"/>
  <c r="S39" i="14"/>
  <c r="S37" i="14"/>
  <c r="S32" i="14"/>
  <c r="S29" i="14"/>
  <c r="S36" i="14"/>
  <c r="S25" i="14"/>
  <c r="AJ252" i="11"/>
  <c r="AI205" i="11"/>
  <c r="AI251" i="11"/>
  <c r="AI193" i="11"/>
  <c r="AJ256" i="11"/>
  <c r="O256" i="11" s="1"/>
  <c r="AI178" i="11"/>
  <c r="AJ141" i="11"/>
  <c r="O141" i="11" s="1"/>
  <c r="AG224" i="11"/>
  <c r="AF224" i="11" s="1"/>
  <c r="AJ224" i="11"/>
  <c r="AH219" i="11"/>
  <c r="AI206" i="11"/>
  <c r="AH224" i="11"/>
  <c r="AJ166" i="11"/>
  <c r="O166" i="11" s="1"/>
  <c r="O182" i="11"/>
  <c r="AJ171" i="11"/>
  <c r="O171" i="11" s="1"/>
  <c r="AE219" i="11"/>
  <c r="AJ219" i="11" s="1"/>
  <c r="AI253" i="11"/>
  <c r="AH5" i="11"/>
  <c r="AG5" i="11"/>
  <c r="AF5" i="11" s="1"/>
  <c r="AE5" i="11"/>
  <c r="AJ176" i="11"/>
  <c r="O176" i="11" s="1"/>
  <c r="AJ197" i="11"/>
  <c r="O197" i="11" s="1"/>
  <c r="O203" i="11"/>
  <c r="AE236" i="11"/>
  <c r="AI236" i="11" s="1"/>
  <c r="AJ174" i="11"/>
  <c r="O174" i="11" s="1"/>
  <c r="AI174" i="11"/>
  <c r="AJ192" i="11"/>
  <c r="O192" i="11" s="1"/>
  <c r="AJ189" i="11"/>
  <c r="O189" i="11" s="1"/>
  <c r="AI142" i="11"/>
  <c r="AI169" i="11"/>
  <c r="AI231" i="11"/>
  <c r="AI26" i="11"/>
  <c r="O206" i="11"/>
  <c r="AJ140" i="11"/>
  <c r="O140" i="11" s="1"/>
  <c r="AJ188" i="11"/>
  <c r="AI249" i="11"/>
  <c r="AH236" i="11"/>
  <c r="AE228" i="11"/>
  <c r="AH228" i="11"/>
  <c r="AG228" i="11"/>
  <c r="AF228" i="11" s="1"/>
  <c r="AE220" i="11"/>
  <c r="AH220" i="11"/>
  <c r="AG220" i="11"/>
  <c r="AF220" i="11" s="1"/>
  <c r="AI145" i="11"/>
  <c r="AI210" i="11"/>
  <c r="AJ210" i="11"/>
  <c r="O210" i="11" s="1"/>
  <c r="AI258" i="11"/>
  <c r="AJ258" i="11"/>
  <c r="AI250" i="11"/>
  <c r="AJ250" i="11"/>
  <c r="AI225" i="11"/>
  <c r="AJ225" i="11"/>
  <c r="AI229" i="11"/>
  <c r="AH229" i="11"/>
  <c r="AG229" i="11"/>
  <c r="AF229" i="11" s="1"/>
  <c r="AE237" i="11"/>
  <c r="AH237" i="11"/>
  <c r="AG242" i="11"/>
  <c r="AF242" i="11" s="1"/>
  <c r="AH242" i="11"/>
  <c r="AE242" i="11"/>
  <c r="AE223" i="11"/>
  <c r="AG223" i="11"/>
  <c r="AF223" i="11" s="1"/>
  <c r="AH230" i="11"/>
  <c r="AE230" i="11"/>
  <c r="AG230" i="11"/>
  <c r="AF230" i="11" s="1"/>
  <c r="AH240" i="11"/>
  <c r="AG240" i="11"/>
  <c r="AF240" i="11" s="1"/>
  <c r="AE241" i="11"/>
  <c r="AH241" i="11"/>
  <c r="AJ173" i="11"/>
  <c r="O173" i="11" s="1"/>
  <c r="AH223" i="11"/>
  <c r="AG231" i="11"/>
  <c r="AF231" i="11" s="1"/>
  <c r="AE226" i="11"/>
  <c r="AG226" i="11"/>
  <c r="AF226" i="11" s="1"/>
  <c r="AH226" i="11"/>
  <c r="AH221" i="11"/>
  <c r="AG221" i="11"/>
  <c r="AF221" i="11" s="1"/>
  <c r="AH232" i="11"/>
  <c r="AG232" i="11"/>
  <c r="AF232" i="11" s="1"/>
  <c r="AH234" i="11"/>
  <c r="AG234" i="11"/>
  <c r="AF234" i="11" s="1"/>
  <c r="AE234" i="11"/>
  <c r="AG235" i="11"/>
  <c r="AF235" i="11" s="1"/>
  <c r="AE235" i="11"/>
  <c r="AH235" i="11"/>
  <c r="AH225" i="11"/>
  <c r="AG225" i="11"/>
  <c r="AF225" i="11" s="1"/>
  <c r="AI28" i="11"/>
  <c r="AJ132" i="11"/>
  <c r="O132" i="11" s="1"/>
  <c r="AH231" i="11"/>
  <c r="AH222" i="11"/>
  <c r="AE222" i="11"/>
  <c r="AG222" i="11"/>
  <c r="AF222" i="11" s="1"/>
  <c r="AE233" i="11"/>
  <c r="AH233" i="11"/>
  <c r="AE238" i="11"/>
  <c r="AH238" i="11"/>
  <c r="AG238" i="11"/>
  <c r="AF238" i="11" s="1"/>
  <c r="AE239" i="11"/>
  <c r="AG239" i="11"/>
  <c r="AF239" i="11" s="1"/>
  <c r="AH239" i="11"/>
  <c r="AI54" i="11"/>
  <c r="AJ164" i="11"/>
  <c r="O164" i="11" s="1"/>
  <c r="AJ232" i="11"/>
  <c r="V26" i="11"/>
  <c r="AT26" i="11" s="1"/>
  <c r="AJ168" i="11"/>
  <c r="O168" i="11" s="1"/>
  <c r="AI138" i="11"/>
  <c r="AJ240" i="11"/>
  <c r="O240" i="11" s="1"/>
  <c r="AJ257" i="11"/>
  <c r="O255" i="11"/>
  <c r="AJ221" i="11"/>
  <c r="AJ200" i="11"/>
  <c r="O194" i="11"/>
  <c r="AI134" i="11"/>
  <c r="O208" i="11"/>
  <c r="O272" i="11"/>
  <c r="AI30" i="11"/>
  <c r="V28" i="11"/>
  <c r="AT28" i="11" s="1"/>
  <c r="O180" i="11"/>
  <c r="O196" i="11"/>
  <c r="O212" i="11"/>
  <c r="O276" i="11"/>
  <c r="O169" i="11"/>
  <c r="O177" i="11"/>
  <c r="O185" i="11"/>
  <c r="O193" i="11"/>
  <c r="O201" i="11"/>
  <c r="O209" i="11"/>
  <c r="O249" i="11"/>
  <c r="O273" i="11"/>
  <c r="O184" i="11"/>
  <c r="O248" i="11"/>
  <c r="O172" i="11"/>
  <c r="O204" i="11"/>
  <c r="O181" i="11"/>
  <c r="O205" i="11"/>
  <c r="O213" i="11"/>
  <c r="O229" i="11"/>
  <c r="O253" i="11"/>
  <c r="O277" i="11"/>
  <c r="AJ118" i="11"/>
  <c r="O118" i="11" s="1"/>
  <c r="O138" i="11"/>
  <c r="O144" i="11"/>
  <c r="AJ74" i="11"/>
  <c r="O74" i="11" s="1"/>
  <c r="AI104" i="11"/>
  <c r="AI93" i="11"/>
  <c r="O111" i="11"/>
  <c r="AI97" i="11"/>
  <c r="AJ133" i="11"/>
  <c r="AI139" i="11"/>
  <c r="AJ139" i="11"/>
  <c r="O139" i="11" s="1"/>
  <c r="AI109" i="11"/>
  <c r="AI135" i="11"/>
  <c r="AJ135" i="11"/>
  <c r="O135" i="11" s="1"/>
  <c r="AI108" i="11"/>
  <c r="AJ108" i="11"/>
  <c r="O108" i="11" s="1"/>
  <c r="AJ117" i="11"/>
  <c r="AI117" i="11"/>
  <c r="AI81" i="11"/>
  <c r="O110" i="11"/>
  <c r="AJ114" i="11"/>
  <c r="AI114" i="11"/>
  <c r="O109" i="11"/>
  <c r="O107" i="11"/>
  <c r="AI106" i="11"/>
  <c r="AJ106" i="11"/>
  <c r="AI66" i="11"/>
  <c r="AI85" i="11"/>
  <c r="AI90" i="11"/>
  <c r="AJ90" i="11"/>
  <c r="O90" i="11" s="1"/>
  <c r="AJ96" i="11"/>
  <c r="O96" i="11" s="1"/>
  <c r="AJ84" i="11"/>
  <c r="AI84" i="11"/>
  <c r="AJ92" i="11"/>
  <c r="AI92" i="11"/>
  <c r="AI77" i="11"/>
  <c r="AJ77" i="11"/>
  <c r="O77" i="11" s="1"/>
  <c r="AJ76" i="11"/>
  <c r="AI76" i="11"/>
  <c r="AI50" i="11"/>
  <c r="Y24" i="11"/>
  <c r="V31" i="11"/>
  <c r="AT31" i="11" s="1"/>
  <c r="AB24" i="11"/>
  <c r="AT24" i="11"/>
  <c r="Y25" i="11"/>
  <c r="Y31" i="11"/>
  <c r="V30" i="11"/>
  <c r="Y27" i="11"/>
  <c r="V27" i="11"/>
  <c r="AB27" i="11" s="1"/>
  <c r="AJ125" i="11"/>
  <c r="Y29" i="11"/>
  <c r="V29" i="11"/>
  <c r="AB29" i="11" s="1"/>
  <c r="AE123" i="11"/>
  <c r="AJ123" i="11" s="1"/>
  <c r="O123" i="11" s="1"/>
  <c r="AI129" i="11"/>
  <c r="AI128" i="11"/>
  <c r="AI127" i="11"/>
  <c r="AH123" i="11"/>
  <c r="O127" i="11"/>
  <c r="AI130" i="11"/>
  <c r="O128" i="11"/>
  <c r="AJ124" i="11"/>
  <c r="O124" i="11" s="1"/>
  <c r="O129" i="11"/>
  <c r="AJ126" i="11"/>
  <c r="O130" i="11"/>
  <c r="AI115" i="11"/>
  <c r="AI103" i="11"/>
  <c r="AI102" i="11"/>
  <c r="O102" i="11"/>
  <c r="O103" i="11"/>
  <c r="O115" i="11"/>
  <c r="AI75" i="11"/>
  <c r="AI80" i="11"/>
  <c r="AI79" i="11"/>
  <c r="AI72" i="11"/>
  <c r="O72" i="11"/>
  <c r="AI78" i="11"/>
  <c r="AI83" i="11"/>
  <c r="O75" i="11"/>
  <c r="O78" i="11"/>
  <c r="AG57" i="11"/>
  <c r="AF57" i="11" s="1"/>
  <c r="O79" i="11"/>
  <c r="AG59" i="11"/>
  <c r="AF59" i="11" s="1"/>
  <c r="AE65" i="11"/>
  <c r="AJ65" i="11" s="1"/>
  <c r="O65" i="11" s="1"/>
  <c r="AI99" i="11"/>
  <c r="AI98" i="11"/>
  <c r="AI87" i="11"/>
  <c r="AI86" i="11"/>
  <c r="O80" i="11"/>
  <c r="O83" i="11"/>
  <c r="O86" i="11"/>
  <c r="AH57" i="11"/>
  <c r="O87" i="11"/>
  <c r="AH67" i="11"/>
  <c r="AH59" i="11"/>
  <c r="O98" i="11"/>
  <c r="AI101" i="11"/>
  <c r="AI100" i="11"/>
  <c r="O99" i="11"/>
  <c r="AH53" i="11"/>
  <c r="AG53" i="11"/>
  <c r="AF53" i="11" s="1"/>
  <c r="AH61" i="11"/>
  <c r="AG61" i="11"/>
  <c r="AF61" i="11" s="1"/>
  <c r="O100" i="11"/>
  <c r="AG65" i="11"/>
  <c r="AF65" i="11" s="1"/>
  <c r="AI67" i="11"/>
  <c r="AJ67" i="11"/>
  <c r="O67" i="11" s="1"/>
  <c r="O101" i="11"/>
  <c r="AG67" i="11"/>
  <c r="AF67" i="11" s="1"/>
  <c r="AJ57" i="11"/>
  <c r="O57" i="11" s="1"/>
  <c r="AI57" i="11"/>
  <c r="AI55" i="11"/>
  <c r="AJ55" i="11"/>
  <c r="O55" i="11" s="1"/>
  <c r="AI59" i="11"/>
  <c r="AG55" i="11"/>
  <c r="AF55" i="11" s="1"/>
  <c r="AG63" i="11"/>
  <c r="AF63" i="11" s="1"/>
  <c r="AE63" i="11"/>
  <c r="AI61" i="11"/>
  <c r="AI53" i="11"/>
  <c r="AH55" i="11"/>
  <c r="O59" i="11"/>
  <c r="AH45" i="11"/>
  <c r="AI45" i="11"/>
  <c r="AJ45" i="11"/>
  <c r="V45" i="11" s="1"/>
  <c r="AB45" i="11" s="1"/>
  <c r="AG45" i="11"/>
  <c r="AF45" i="11" s="1"/>
  <c r="I659" i="1" l="1"/>
  <c r="H660" i="1"/>
  <c r="J659" i="1"/>
  <c r="O659" i="1" s="1"/>
  <c r="AI219" i="11"/>
  <c r="AJ236" i="11"/>
  <c r="V92" i="14"/>
  <c r="V82" i="14"/>
  <c r="V86" i="14"/>
  <c r="V78" i="14"/>
  <c r="V79" i="14"/>
  <c r="V76" i="14"/>
  <c r="V56" i="14"/>
  <c r="V91" i="14"/>
  <c r="V97" i="14"/>
  <c r="V81" i="14"/>
  <c r="V99" i="14"/>
  <c r="V102" i="14"/>
  <c r="V112" i="14"/>
  <c r="V93" i="14"/>
  <c r="V77" i="14"/>
  <c r="V89" i="14"/>
  <c r="V109" i="14"/>
  <c r="V74" i="14"/>
  <c r="V84" i="14"/>
  <c r="V75" i="14"/>
  <c r="V85" i="14"/>
  <c r="V72" i="14"/>
  <c r="V59" i="14"/>
  <c r="V58" i="14"/>
  <c r="V55" i="14"/>
  <c r="P42" i="14"/>
  <c r="P43" i="14"/>
  <c r="P29" i="14"/>
  <c r="P30" i="14"/>
  <c r="P27" i="14"/>
  <c r="P25" i="14"/>
  <c r="O252" i="11"/>
  <c r="O224" i="11"/>
  <c r="O188" i="11"/>
  <c r="Y26" i="11"/>
  <c r="O200" i="11"/>
  <c r="Y28" i="11"/>
  <c r="AJ5" i="11"/>
  <c r="AI5" i="11"/>
  <c r="O225" i="11"/>
  <c r="Y30" i="11"/>
  <c r="O258" i="11"/>
  <c r="O250" i="11"/>
  <c r="AI228" i="11"/>
  <c r="AJ228" i="11"/>
  <c r="O228" i="11" s="1"/>
  <c r="AI220" i="11"/>
  <c r="AJ220" i="11"/>
  <c r="AJ233" i="11"/>
  <c r="O233" i="11" s="1"/>
  <c r="AI233" i="11"/>
  <c r="AI222" i="11"/>
  <c r="AJ222" i="11"/>
  <c r="O222" i="11" s="1"/>
  <c r="AJ234" i="11"/>
  <c r="O234" i="11" s="1"/>
  <c r="AI234" i="11"/>
  <c r="AI223" i="11"/>
  <c r="AJ223" i="11"/>
  <c r="O223" i="11" s="1"/>
  <c r="AJ241" i="11"/>
  <c r="O241" i="11" s="1"/>
  <c r="AI241" i="11"/>
  <c r="AI230" i="11"/>
  <c r="AJ230" i="11"/>
  <c r="O230" i="11" s="1"/>
  <c r="AJ242" i="11"/>
  <c r="O242" i="11" s="1"/>
  <c r="AI242" i="11"/>
  <c r="AJ237" i="11"/>
  <c r="O237" i="11" s="1"/>
  <c r="AI237" i="11"/>
  <c r="AI238" i="11"/>
  <c r="AJ238" i="11"/>
  <c r="O238" i="11" s="1"/>
  <c r="AJ235" i="11"/>
  <c r="O235" i="11" s="1"/>
  <c r="AI235" i="11"/>
  <c r="O236" i="11"/>
  <c r="AI239" i="11"/>
  <c r="AJ239" i="11"/>
  <c r="O239" i="11" s="1"/>
  <c r="AI226" i="11"/>
  <c r="AJ226" i="11"/>
  <c r="O226" i="11" s="1"/>
  <c r="O257" i="11"/>
  <c r="O232" i="11"/>
  <c r="O221" i="11"/>
  <c r="O219" i="11"/>
  <c r="O133" i="11"/>
  <c r="O117" i="11"/>
  <c r="O114" i="11"/>
  <c r="O106" i="11"/>
  <c r="O84" i="11"/>
  <c r="O92" i="11"/>
  <c r="O76" i="11"/>
  <c r="AB31" i="11"/>
  <c r="AB30" i="11"/>
  <c r="AT30" i="11"/>
  <c r="AB26" i="11"/>
  <c r="O125" i="11"/>
  <c r="AT27" i="11"/>
  <c r="AB28" i="11"/>
  <c r="AT29" i="11"/>
  <c r="AI123" i="11"/>
  <c r="O126" i="11"/>
  <c r="AI65" i="11"/>
  <c r="AJ63" i="11"/>
  <c r="O63" i="11" s="1"/>
  <c r="AI63" i="11"/>
  <c r="O45" i="11"/>
  <c r="AT45" i="11"/>
  <c r="Y45" i="11"/>
  <c r="H661" i="1" l="1"/>
  <c r="J660" i="1"/>
  <c r="O660" i="1" s="1"/>
  <c r="I660" i="1"/>
  <c r="P31" i="14"/>
  <c r="P28" i="14"/>
  <c r="O220" i="11"/>
  <c r="I661" i="1" l="1"/>
  <c r="H662" i="1"/>
  <c r="J661" i="1"/>
  <c r="O661" i="1" s="1"/>
  <c r="P44" i="14"/>
  <c r="P32" i="14"/>
  <c r="I662" i="1" l="1"/>
  <c r="J662" i="1"/>
  <c r="O662" i="1" s="1"/>
  <c r="H663" i="1"/>
  <c r="P45" i="14"/>
  <c r="P33" i="14"/>
  <c r="J663" i="1" l="1"/>
  <c r="O663" i="1" s="1"/>
  <c r="I663" i="1"/>
  <c r="H664" i="1"/>
  <c r="P47" i="14"/>
  <c r="P46" i="14"/>
  <c r="P34" i="14"/>
  <c r="I664" i="1" l="1"/>
  <c r="J664" i="1"/>
  <c r="O664" i="1" s="1"/>
  <c r="H665" i="1"/>
  <c r="P35" i="14"/>
  <c r="I665" i="1" l="1"/>
  <c r="H666" i="1"/>
  <c r="J665" i="1"/>
  <c r="O665" i="1" s="1"/>
  <c r="P48" i="14"/>
  <c r="P36" i="14"/>
  <c r="AK311" i="11"/>
  <c r="AL311" i="11"/>
  <c r="J666" i="1" l="1"/>
  <c r="O666" i="1" s="1"/>
  <c r="H667" i="1"/>
  <c r="I666" i="1"/>
  <c r="P49" i="14"/>
  <c r="P37" i="14"/>
  <c r="AK175" i="11"/>
  <c r="AL175" i="11"/>
  <c r="H668" i="1" l="1"/>
  <c r="J667" i="1"/>
  <c r="O667" i="1" s="1"/>
  <c r="I667" i="1"/>
  <c r="P50" i="14"/>
  <c r="P38" i="14"/>
  <c r="AK176" i="11"/>
  <c r="AL176" i="11"/>
  <c r="I668" i="1" l="1"/>
  <c r="J668" i="1"/>
  <c r="O668" i="1" s="1"/>
  <c r="H669" i="1"/>
  <c r="P51" i="14"/>
  <c r="P39" i="14"/>
  <c r="AK338" i="11"/>
  <c r="AL338" i="11"/>
  <c r="AK177" i="11"/>
  <c r="AL177" i="11"/>
  <c r="H670" i="1" l="1"/>
  <c r="J669" i="1"/>
  <c r="O669" i="1" s="1"/>
  <c r="I669" i="1"/>
  <c r="P52" i="14"/>
  <c r="P40" i="14"/>
  <c r="AK178" i="11"/>
  <c r="AL178" i="11"/>
  <c r="Z244" i="19"/>
  <c r="F242" i="19"/>
  <c r="F241" i="19"/>
  <c r="E241" i="19" s="1"/>
  <c r="F240" i="19"/>
  <c r="F239" i="19"/>
  <c r="F238" i="19"/>
  <c r="F237" i="19"/>
  <c r="E237" i="19" s="1"/>
  <c r="F236" i="19"/>
  <c r="F235" i="19"/>
  <c r="F234" i="19"/>
  <c r="F233" i="19"/>
  <c r="F232" i="19"/>
  <c r="E232" i="19" s="1"/>
  <c r="Z220" i="19"/>
  <c r="Z219" i="19"/>
  <c r="Z218" i="19"/>
  <c r="Z217" i="19"/>
  <c r="AC216" i="19"/>
  <c r="E216" i="19"/>
  <c r="F215" i="19"/>
  <c r="E215" i="19" s="1"/>
  <c r="F214" i="19"/>
  <c r="E214" i="19" s="1"/>
  <c r="F213" i="19"/>
  <c r="F212" i="19"/>
  <c r="E212" i="19" s="1"/>
  <c r="F211" i="19"/>
  <c r="E211" i="19" s="1"/>
  <c r="F210" i="19"/>
  <c r="E210" i="19" s="1"/>
  <c r="F209" i="19"/>
  <c r="F208" i="19"/>
  <c r="E208" i="19" s="1"/>
  <c r="F207" i="19"/>
  <c r="E207" i="19" s="1"/>
  <c r="F206" i="19"/>
  <c r="E206" i="19" s="1"/>
  <c r="F205" i="19"/>
  <c r="F204" i="19"/>
  <c r="E204" i="19" s="1"/>
  <c r="F203" i="19"/>
  <c r="AC203" i="19" s="1"/>
  <c r="F202" i="19"/>
  <c r="AC202" i="19" s="1"/>
  <c r="F201" i="19"/>
  <c r="F200" i="19"/>
  <c r="AC200" i="19" s="1"/>
  <c r="F199" i="19"/>
  <c r="AC199" i="19" s="1"/>
  <c r="F198" i="19"/>
  <c r="AC198" i="19" s="1"/>
  <c r="F197" i="19"/>
  <c r="F196" i="19"/>
  <c r="AC196" i="19" s="1"/>
  <c r="F195" i="19"/>
  <c r="F194" i="19"/>
  <c r="F193" i="19"/>
  <c r="AC193" i="19" s="1"/>
  <c r="F192" i="19"/>
  <c r="F191" i="19"/>
  <c r="G190" i="19"/>
  <c r="F190" i="19" s="1"/>
  <c r="G189" i="19"/>
  <c r="G188" i="19"/>
  <c r="G187" i="19"/>
  <c r="G186" i="19"/>
  <c r="F186" i="19" s="1"/>
  <c r="AD184" i="19"/>
  <c r="AC184" i="19"/>
  <c r="AD183" i="19"/>
  <c r="AC183" i="19"/>
  <c r="E183" i="19"/>
  <c r="AD182" i="19"/>
  <c r="F182" i="19"/>
  <c r="E182" i="19" s="1"/>
  <c r="AD181" i="19"/>
  <c r="F181" i="19"/>
  <c r="AD180" i="19"/>
  <c r="F180" i="19"/>
  <c r="AC180" i="19" s="1"/>
  <c r="AD179" i="19"/>
  <c r="F179" i="19"/>
  <c r="AD178" i="19"/>
  <c r="F178" i="19"/>
  <c r="AD177" i="19"/>
  <c r="F177" i="19"/>
  <c r="AD176" i="19"/>
  <c r="F176" i="19"/>
  <c r="AD175" i="19"/>
  <c r="F175" i="19"/>
  <c r="AC175" i="19" s="1"/>
  <c r="AD174" i="19"/>
  <c r="F174" i="19"/>
  <c r="AD173" i="19"/>
  <c r="F173" i="19"/>
  <c r="AC173" i="19" s="1"/>
  <c r="AD172" i="19"/>
  <c r="F172" i="19"/>
  <c r="AC172" i="19" s="1"/>
  <c r="G171" i="19"/>
  <c r="F171" i="19" s="1"/>
  <c r="G170" i="19"/>
  <c r="F170" i="19" s="1"/>
  <c r="G169" i="19"/>
  <c r="F169" i="19" s="1"/>
  <c r="G168" i="19"/>
  <c r="G167" i="19"/>
  <c r="F167" i="19" s="1"/>
  <c r="G166" i="19"/>
  <c r="F166" i="19" s="1"/>
  <c r="E160" i="19"/>
  <c r="E159" i="19"/>
  <c r="E158" i="19"/>
  <c r="E157" i="19"/>
  <c r="E156" i="19"/>
  <c r="E155" i="19"/>
  <c r="E154" i="19"/>
  <c r="G153" i="19"/>
  <c r="G152" i="19"/>
  <c r="G151" i="19"/>
  <c r="G150" i="19"/>
  <c r="F150" i="19" s="1"/>
  <c r="G149" i="19"/>
  <c r="G148" i="19"/>
  <c r="G147" i="19"/>
  <c r="G146" i="19"/>
  <c r="F146" i="19" s="1"/>
  <c r="G145" i="19"/>
  <c r="G144" i="19"/>
  <c r="G143" i="19"/>
  <c r="G142" i="19"/>
  <c r="E141" i="19"/>
  <c r="E135" i="19"/>
  <c r="E134" i="19"/>
  <c r="E133" i="19"/>
  <c r="E132" i="19"/>
  <c r="E131" i="19"/>
  <c r="E130" i="19"/>
  <c r="E129" i="19"/>
  <c r="G128" i="19"/>
  <c r="G127" i="19"/>
  <c r="G126" i="19"/>
  <c r="G125" i="19"/>
  <c r="G124" i="19"/>
  <c r="G123" i="19"/>
  <c r="G122" i="19"/>
  <c r="G121" i="19"/>
  <c r="G120" i="19"/>
  <c r="G119" i="19"/>
  <c r="F119" i="19" s="1"/>
  <c r="G118" i="19"/>
  <c r="G117" i="19"/>
  <c r="E116" i="19"/>
  <c r="AD114" i="19"/>
  <c r="AC114" i="19"/>
  <c r="E113" i="19"/>
  <c r="E112" i="19"/>
  <c r="AD111" i="19"/>
  <c r="AC111" i="19"/>
  <c r="E111" i="19"/>
  <c r="AD110" i="19"/>
  <c r="AC110" i="19"/>
  <c r="E110" i="19"/>
  <c r="AD109" i="19"/>
  <c r="AC109" i="19"/>
  <c r="E109" i="19"/>
  <c r="AD108" i="19"/>
  <c r="AC108" i="19"/>
  <c r="E108" i="19"/>
  <c r="AD107" i="19"/>
  <c r="AC107" i="19"/>
  <c r="E107" i="19"/>
  <c r="AD106" i="19"/>
  <c r="AC106" i="19"/>
  <c r="E106" i="19"/>
  <c r="AD105" i="19"/>
  <c r="AC105" i="19"/>
  <c r="E105" i="19"/>
  <c r="AD104" i="19"/>
  <c r="AC104" i="19"/>
  <c r="E104" i="19"/>
  <c r="AD103" i="19"/>
  <c r="AC103" i="19"/>
  <c r="E103" i="19"/>
  <c r="AD102" i="19"/>
  <c r="AC102" i="19"/>
  <c r="E102" i="19"/>
  <c r="AD101" i="19"/>
  <c r="AC101" i="19"/>
  <c r="E101" i="19"/>
  <c r="G100" i="19"/>
  <c r="G99" i="19"/>
  <c r="G98" i="19"/>
  <c r="G97" i="19"/>
  <c r="G96" i="19"/>
  <c r="F96" i="19" s="1"/>
  <c r="G95" i="19"/>
  <c r="G94" i="19"/>
  <c r="F94" i="19" s="1"/>
  <c r="G93" i="19"/>
  <c r="G92" i="19"/>
  <c r="F92" i="19" s="1"/>
  <c r="G91" i="19"/>
  <c r="G90" i="19"/>
  <c r="F90" i="19" s="1"/>
  <c r="G89" i="19"/>
  <c r="F86" i="19"/>
  <c r="F85" i="19"/>
  <c r="F84" i="19"/>
  <c r="F83" i="19"/>
  <c r="F82" i="19"/>
  <c r="F81" i="19"/>
  <c r="F80" i="19"/>
  <c r="F79" i="19"/>
  <c r="F78" i="19"/>
  <c r="Z53" i="19"/>
  <c r="Z52" i="19"/>
  <c r="Z51" i="19"/>
  <c r="Z50" i="19"/>
  <c r="AC48" i="19"/>
  <c r="E48" i="19"/>
  <c r="AC47" i="19"/>
  <c r="E47" i="19"/>
  <c r="AC46" i="19"/>
  <c r="E46" i="19"/>
  <c r="AC45" i="19"/>
  <c r="E45" i="19"/>
  <c r="G43" i="19"/>
  <c r="F43" i="19" s="1"/>
  <c r="G42" i="19"/>
  <c r="G41" i="19"/>
  <c r="G40" i="19"/>
  <c r="G39" i="19"/>
  <c r="F39" i="19" s="1"/>
  <c r="G38" i="19"/>
  <c r="F38" i="19" s="1"/>
  <c r="G37" i="19"/>
  <c r="G36" i="19"/>
  <c r="G35" i="19"/>
  <c r="F35" i="19" s="1"/>
  <c r="G34" i="19"/>
  <c r="G33" i="19"/>
  <c r="G32" i="19"/>
  <c r="F31" i="19"/>
  <c r="E31" i="19" s="1"/>
  <c r="E30" i="19"/>
  <c r="G28" i="19"/>
  <c r="G27" i="19"/>
  <c r="G26" i="19"/>
  <c r="F26" i="19" s="1"/>
  <c r="G25" i="19"/>
  <c r="G24" i="19"/>
  <c r="G23" i="19"/>
  <c r="G22" i="19"/>
  <c r="F22" i="19" s="1"/>
  <c r="G21" i="19"/>
  <c r="F21" i="19" s="1"/>
  <c r="G20" i="19"/>
  <c r="G19" i="19"/>
  <c r="F19" i="19" s="1"/>
  <c r="G18" i="19"/>
  <c r="G17" i="19"/>
  <c r="F17" i="19" s="1"/>
  <c r="F16" i="19"/>
  <c r="G14" i="19"/>
  <c r="F14" i="19" s="1"/>
  <c r="G13" i="19"/>
  <c r="F13" i="19" s="1"/>
  <c r="G12" i="19"/>
  <c r="G11" i="19"/>
  <c r="G74" i="19" s="1"/>
  <c r="F74" i="19" s="1"/>
  <c r="G10" i="19"/>
  <c r="F10" i="19" s="1"/>
  <c r="G9" i="19"/>
  <c r="F9" i="19" s="1"/>
  <c r="G8" i="19"/>
  <c r="G71" i="19" s="1"/>
  <c r="G7" i="19"/>
  <c r="F7" i="19" s="1"/>
  <c r="G6" i="19"/>
  <c r="G5" i="19"/>
  <c r="F5" i="19" s="1"/>
  <c r="H3" i="19"/>
  <c r="I1" i="19"/>
  <c r="F242" i="13"/>
  <c r="F241" i="13"/>
  <c r="E241" i="13" s="1"/>
  <c r="F240" i="13"/>
  <c r="E240" i="13" s="1"/>
  <c r="F239" i="13"/>
  <c r="F238" i="13"/>
  <c r="F237" i="13"/>
  <c r="F236" i="13"/>
  <c r="F235" i="13"/>
  <c r="F234" i="13"/>
  <c r="F233" i="13"/>
  <c r="G310" i="10"/>
  <c r="G309" i="10"/>
  <c r="G308" i="10"/>
  <c r="G307" i="10"/>
  <c r="G306" i="10"/>
  <c r="G305" i="10"/>
  <c r="AG305" i="10" s="1"/>
  <c r="G304" i="10"/>
  <c r="G303" i="10"/>
  <c r="G302" i="10"/>
  <c r="G301" i="10"/>
  <c r="AG301" i="10" s="1"/>
  <c r="G300" i="10"/>
  <c r="G299" i="10"/>
  <c r="G298" i="10"/>
  <c r="G29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Q308" i="10"/>
  <c r="AG288" i="10"/>
  <c r="AG289" i="10"/>
  <c r="AG290" i="10"/>
  <c r="AG291" i="10"/>
  <c r="AG292" i="10"/>
  <c r="AG293" i="10"/>
  <c r="AG294" i="10"/>
  <c r="AG295" i="10"/>
  <c r="AG296" i="10"/>
  <c r="AG306" i="10"/>
  <c r="AJ288" i="10"/>
  <c r="AJ289" i="10"/>
  <c r="AJ290" i="10"/>
  <c r="AJ291" i="10"/>
  <c r="AJ292" i="10"/>
  <c r="AJ293" i="10"/>
  <c r="AJ294" i="10"/>
  <c r="AJ295" i="10"/>
  <c r="AJ296" i="10"/>
  <c r="AJ297" i="10"/>
  <c r="AJ298" i="10"/>
  <c r="AJ299" i="10"/>
  <c r="AJ300" i="10"/>
  <c r="AJ301" i="10"/>
  <c r="AJ302" i="10"/>
  <c r="AJ303" i="10"/>
  <c r="AJ304" i="10"/>
  <c r="AJ305" i="10"/>
  <c r="AJ306" i="10"/>
  <c r="AJ307" i="10"/>
  <c r="AJ308" i="10"/>
  <c r="AK288" i="10"/>
  <c r="AK289" i="10"/>
  <c r="AK290" i="10"/>
  <c r="AK291" i="10"/>
  <c r="AK292" i="10"/>
  <c r="AK293" i="10"/>
  <c r="AK294" i="10"/>
  <c r="AK295" i="10"/>
  <c r="AK296" i="10"/>
  <c r="AK297" i="10"/>
  <c r="AK298" i="10"/>
  <c r="AK299" i="10"/>
  <c r="AK300" i="10"/>
  <c r="AK301" i="10"/>
  <c r="AK302" i="10"/>
  <c r="AK303" i="10"/>
  <c r="AK304" i="10"/>
  <c r="AK305" i="10"/>
  <c r="AK306" i="10"/>
  <c r="AK307" i="10"/>
  <c r="AK308" i="10"/>
  <c r="AN288" i="10"/>
  <c r="AN289" i="10"/>
  <c r="AN290" i="10"/>
  <c r="AN291" i="10"/>
  <c r="AN292" i="10"/>
  <c r="AN293" i="10"/>
  <c r="AN294" i="10"/>
  <c r="AN295" i="10"/>
  <c r="AN296" i="10"/>
  <c r="AN297" i="10"/>
  <c r="AN298" i="10"/>
  <c r="AN299" i="10"/>
  <c r="AN300" i="10"/>
  <c r="AN301" i="10"/>
  <c r="AN302" i="10"/>
  <c r="AN303" i="10"/>
  <c r="AN304" i="10"/>
  <c r="AN305" i="10"/>
  <c r="AN306" i="10"/>
  <c r="AN307" i="10"/>
  <c r="AN308" i="10"/>
  <c r="AO288" i="10"/>
  <c r="AO289" i="10"/>
  <c r="AO290" i="10"/>
  <c r="AO291" i="10"/>
  <c r="AO292" i="10"/>
  <c r="AO293" i="10"/>
  <c r="AO294" i="10"/>
  <c r="AO295" i="10"/>
  <c r="AO296" i="10"/>
  <c r="AO297" i="10"/>
  <c r="AO298" i="10"/>
  <c r="AO299" i="10"/>
  <c r="AO300" i="10"/>
  <c r="AO301" i="10"/>
  <c r="AO302" i="10"/>
  <c r="AO303" i="10"/>
  <c r="AO304" i="10"/>
  <c r="AO305" i="10"/>
  <c r="AO306" i="10"/>
  <c r="AO307" i="10"/>
  <c r="AO308" i="10"/>
  <c r="AV288" i="10"/>
  <c r="AV289" i="10"/>
  <c r="AV290" i="10"/>
  <c r="AV291" i="10"/>
  <c r="AV292" i="10"/>
  <c r="AV293" i="10"/>
  <c r="AV294" i="10"/>
  <c r="AV295" i="10"/>
  <c r="AV296" i="10"/>
  <c r="AV297" i="10"/>
  <c r="AV298" i="10"/>
  <c r="AV299" i="10"/>
  <c r="AV300" i="10"/>
  <c r="AV301" i="10"/>
  <c r="AV302" i="10"/>
  <c r="AV303" i="10"/>
  <c r="AV304" i="10"/>
  <c r="AV305" i="10"/>
  <c r="AV306" i="10"/>
  <c r="AV307" i="10"/>
  <c r="AV308" i="10"/>
  <c r="G270" i="10"/>
  <c r="Q282" i="10"/>
  <c r="AG282" i="10"/>
  <c r="AJ282" i="10"/>
  <c r="AK282" i="10"/>
  <c r="AN282" i="10"/>
  <c r="AO282" i="10"/>
  <c r="AV282" i="10"/>
  <c r="Q283" i="10"/>
  <c r="AG283" i="10"/>
  <c r="AJ283" i="10"/>
  <c r="AK283" i="10"/>
  <c r="AN283" i="10"/>
  <c r="AO283" i="10"/>
  <c r="AV283" i="10"/>
  <c r="Q284" i="10"/>
  <c r="AG284" i="10"/>
  <c r="AJ284" i="10"/>
  <c r="AK284" i="10"/>
  <c r="AN284" i="10"/>
  <c r="AO284" i="10"/>
  <c r="AV284" i="10"/>
  <c r="Q285" i="10"/>
  <c r="AG285" i="10"/>
  <c r="AJ285" i="10"/>
  <c r="AK285" i="10"/>
  <c r="AN285" i="10"/>
  <c r="AO285" i="10"/>
  <c r="AV285" i="10"/>
  <c r="Q286" i="10"/>
  <c r="AG286" i="10"/>
  <c r="AJ286" i="10"/>
  <c r="AK286" i="10"/>
  <c r="AN286" i="10"/>
  <c r="AO286" i="10"/>
  <c r="AV286" i="10"/>
  <c r="Q287" i="10"/>
  <c r="AG287" i="10"/>
  <c r="AJ287" i="10"/>
  <c r="AK287" i="10"/>
  <c r="AN287" i="10"/>
  <c r="AO287" i="10"/>
  <c r="AV287" i="10"/>
  <c r="Q309" i="10"/>
  <c r="AJ309" i="10"/>
  <c r="AK309" i="10"/>
  <c r="AN309" i="10"/>
  <c r="AO309" i="10"/>
  <c r="AV309" i="10"/>
  <c r="Q274" i="10"/>
  <c r="AN274" i="10"/>
  <c r="AO274" i="10"/>
  <c r="AV274" i="10"/>
  <c r="Q275" i="10"/>
  <c r="AG275" i="10"/>
  <c r="AN275" i="10"/>
  <c r="AO275" i="10"/>
  <c r="AV275" i="10"/>
  <c r="Q276" i="10"/>
  <c r="AG276" i="10"/>
  <c r="AN276" i="10"/>
  <c r="AO276" i="10"/>
  <c r="AV276" i="10"/>
  <c r="Q277" i="10"/>
  <c r="AG277" i="10"/>
  <c r="AN277" i="10"/>
  <c r="AO277" i="10"/>
  <c r="AV277" i="10"/>
  <c r="Q278" i="10"/>
  <c r="AN278" i="10"/>
  <c r="AO278" i="10"/>
  <c r="AV278" i="10"/>
  <c r="Q279" i="10"/>
  <c r="AG279" i="10"/>
  <c r="AN279" i="10"/>
  <c r="AO279" i="10"/>
  <c r="AV279" i="10"/>
  <c r="Q280" i="10"/>
  <c r="AG280" i="10"/>
  <c r="AN280" i="10"/>
  <c r="AO280" i="10"/>
  <c r="AV280" i="10"/>
  <c r="G255" i="10"/>
  <c r="AG255" i="10" s="1"/>
  <c r="G254" i="10"/>
  <c r="AF254" i="10" s="1"/>
  <c r="N254" i="10" s="1"/>
  <c r="G253" i="10"/>
  <c r="AD253" i="10" s="1"/>
  <c r="AH253" i="10" s="1"/>
  <c r="G252" i="10"/>
  <c r="AD252" i="10" s="1"/>
  <c r="AI252" i="10" s="1"/>
  <c r="G251" i="10"/>
  <c r="AD251" i="10" s="1"/>
  <c r="AH251" i="10" s="1"/>
  <c r="Q255" i="10"/>
  <c r="AJ255" i="10"/>
  <c r="AK255" i="10"/>
  <c r="AN255" i="10"/>
  <c r="AO255" i="10"/>
  <c r="AV255" i="10"/>
  <c r="Q256" i="10"/>
  <c r="AG256" i="10"/>
  <c r="AJ256" i="10"/>
  <c r="AK256" i="10"/>
  <c r="AN256" i="10"/>
  <c r="AO256" i="10"/>
  <c r="AV256" i="10"/>
  <c r="Q257" i="10"/>
  <c r="AG257" i="10"/>
  <c r="AJ257" i="10"/>
  <c r="AK257" i="10"/>
  <c r="AN257" i="10"/>
  <c r="AO257" i="10"/>
  <c r="AV257" i="10"/>
  <c r="Q258" i="10"/>
  <c r="AG258" i="10"/>
  <c r="AJ258" i="10"/>
  <c r="AK258" i="10"/>
  <c r="AN258" i="10"/>
  <c r="AO258" i="10"/>
  <c r="AV258" i="10"/>
  <c r="Q259" i="10"/>
  <c r="AD259" i="10"/>
  <c r="AF259" i="10"/>
  <c r="AE259" i="10" s="1"/>
  <c r="AG259" i="10"/>
  <c r="AJ259" i="10"/>
  <c r="AK259" i="10"/>
  <c r="AN259" i="10"/>
  <c r="AO259" i="10"/>
  <c r="AV259" i="10"/>
  <c r="Q260" i="10"/>
  <c r="AD260" i="10"/>
  <c r="AI260" i="10" s="1"/>
  <c r="AF260" i="10"/>
  <c r="AE260" i="10" s="1"/>
  <c r="AG260" i="10"/>
  <c r="AJ260" i="10"/>
  <c r="AK260" i="10"/>
  <c r="AN260" i="10"/>
  <c r="AO260" i="10"/>
  <c r="AV260" i="10"/>
  <c r="Q261" i="10"/>
  <c r="AD261" i="10"/>
  <c r="AI261" i="10" s="1"/>
  <c r="AF261" i="10"/>
  <c r="N261" i="10" s="1"/>
  <c r="AG261" i="10"/>
  <c r="AJ261" i="10"/>
  <c r="AK261" i="10"/>
  <c r="AN261" i="10"/>
  <c r="AO261" i="10"/>
  <c r="AV261" i="10"/>
  <c r="Q262" i="10"/>
  <c r="AD262" i="10"/>
  <c r="AH262" i="10" s="1"/>
  <c r="AF262" i="10"/>
  <c r="AE262" i="10" s="1"/>
  <c r="AG262" i="10"/>
  <c r="AJ262" i="10"/>
  <c r="AK262" i="10"/>
  <c r="AN262" i="10"/>
  <c r="AO262" i="10"/>
  <c r="AV262" i="10"/>
  <c r="Q263" i="10"/>
  <c r="AD263" i="10"/>
  <c r="AI263" i="10" s="1"/>
  <c r="AF263" i="10"/>
  <c r="AE263" i="10" s="1"/>
  <c r="AG263" i="10"/>
  <c r="AJ263" i="10"/>
  <c r="AK263" i="10"/>
  <c r="AN263" i="10"/>
  <c r="AO263" i="10"/>
  <c r="AV263" i="10"/>
  <c r="Q264" i="10"/>
  <c r="AG264" i="10"/>
  <c r="AJ264" i="10"/>
  <c r="AK264" i="10"/>
  <c r="AN264" i="10"/>
  <c r="AO264" i="10"/>
  <c r="AV264" i="10"/>
  <c r="Q265" i="10"/>
  <c r="AG265" i="10"/>
  <c r="AJ265" i="10"/>
  <c r="AK265" i="10"/>
  <c r="AN265" i="10"/>
  <c r="AO265" i="10"/>
  <c r="AV265" i="10"/>
  <c r="Q266" i="10"/>
  <c r="AG266" i="10"/>
  <c r="AJ266" i="10"/>
  <c r="AK266" i="10"/>
  <c r="AN266" i="10"/>
  <c r="AO266" i="10"/>
  <c r="AV266" i="10"/>
  <c r="Q267" i="10"/>
  <c r="AG267" i="10"/>
  <c r="AJ267" i="10"/>
  <c r="AK267" i="10"/>
  <c r="AN267" i="10"/>
  <c r="AO267" i="10"/>
  <c r="AV267" i="10"/>
  <c r="Q268" i="10"/>
  <c r="AG268" i="10"/>
  <c r="AJ268" i="10"/>
  <c r="AK268" i="10"/>
  <c r="AN268" i="10"/>
  <c r="AO268" i="10"/>
  <c r="AV268" i="10"/>
  <c r="Q269" i="10"/>
  <c r="AG269" i="10"/>
  <c r="AJ269" i="10"/>
  <c r="AK269" i="10"/>
  <c r="AN269" i="10"/>
  <c r="AO269" i="10"/>
  <c r="AV269" i="10"/>
  <c r="Q270" i="10"/>
  <c r="AN270" i="10"/>
  <c r="AO270" i="10"/>
  <c r="AV270" i="10"/>
  <c r="Q271" i="10"/>
  <c r="AG271" i="10"/>
  <c r="AN271" i="10"/>
  <c r="AO271" i="10"/>
  <c r="AV271" i="10"/>
  <c r="Q272" i="10"/>
  <c r="AG272" i="10"/>
  <c r="AN272" i="10"/>
  <c r="AO272" i="10"/>
  <c r="AV272" i="10"/>
  <c r="Q253" i="10"/>
  <c r="AJ253" i="10"/>
  <c r="AK253" i="10"/>
  <c r="AN253" i="10"/>
  <c r="AO253" i="10"/>
  <c r="AV253" i="10"/>
  <c r="Q254" i="10"/>
  <c r="AJ254" i="10"/>
  <c r="AK254" i="10"/>
  <c r="AN254" i="10"/>
  <c r="AO254" i="10"/>
  <c r="AV254" i="10"/>
  <c r="Q273" i="10"/>
  <c r="AG273" i="10"/>
  <c r="AN273" i="10"/>
  <c r="AO273" i="10"/>
  <c r="AV273" i="10"/>
  <c r="Q281" i="10"/>
  <c r="AG281" i="10"/>
  <c r="AN281" i="10"/>
  <c r="AO281" i="10"/>
  <c r="AV281" i="10"/>
  <c r="Q244" i="10"/>
  <c r="AD244" i="10"/>
  <c r="AI244" i="10" s="1"/>
  <c r="AF244" i="10"/>
  <c r="AE244" i="10" s="1"/>
  <c r="AG244" i="10"/>
  <c r="AJ244" i="10"/>
  <c r="AK244" i="10"/>
  <c r="AN244" i="10"/>
  <c r="AO244" i="10"/>
  <c r="AV244" i="10"/>
  <c r="Q245" i="10"/>
  <c r="AD245" i="10"/>
  <c r="AI245" i="10" s="1"/>
  <c r="AF245" i="10"/>
  <c r="AE245" i="10" s="1"/>
  <c r="AG245" i="10"/>
  <c r="AJ245" i="10"/>
  <c r="AK245" i="10"/>
  <c r="AN245" i="10"/>
  <c r="AO245" i="10"/>
  <c r="AV245" i="10"/>
  <c r="Q246" i="10"/>
  <c r="AD246" i="10"/>
  <c r="AH246" i="10" s="1"/>
  <c r="AF246" i="10"/>
  <c r="AE246" i="10" s="1"/>
  <c r="AG246" i="10"/>
  <c r="AJ246" i="10"/>
  <c r="AK246" i="10"/>
  <c r="AN246" i="10"/>
  <c r="AO246" i="10"/>
  <c r="AV246" i="10"/>
  <c r="Q247" i="10"/>
  <c r="AD247" i="10"/>
  <c r="AH247" i="10" s="1"/>
  <c r="AF247" i="10"/>
  <c r="N247" i="10" s="1"/>
  <c r="AG247" i="10"/>
  <c r="AJ247" i="10"/>
  <c r="AK247" i="10"/>
  <c r="AN247" i="10"/>
  <c r="AO247" i="10"/>
  <c r="AV247" i="10"/>
  <c r="Q248" i="10"/>
  <c r="AD248" i="10"/>
  <c r="AH248" i="10" s="1"/>
  <c r="AF248" i="10"/>
  <c r="AE248" i="10" s="1"/>
  <c r="AG248" i="10"/>
  <c r="AJ248" i="10"/>
  <c r="AK248" i="10"/>
  <c r="AN248" i="10"/>
  <c r="AO248" i="10"/>
  <c r="AV248" i="10"/>
  <c r="Q249" i="10"/>
  <c r="AD249" i="10"/>
  <c r="AI249" i="10" s="1"/>
  <c r="AF249" i="10"/>
  <c r="AE249" i="10" s="1"/>
  <c r="AG249" i="10"/>
  <c r="AJ249" i="10"/>
  <c r="AK249" i="10"/>
  <c r="AN249" i="10"/>
  <c r="AO249" i="10"/>
  <c r="AV249" i="10"/>
  <c r="Q250" i="10"/>
  <c r="AD250" i="10"/>
  <c r="AH250" i="10" s="1"/>
  <c r="AF250" i="10"/>
  <c r="AE250" i="10" s="1"/>
  <c r="AG250" i="10"/>
  <c r="AJ250" i="10"/>
  <c r="AK250" i="10"/>
  <c r="AN250" i="10"/>
  <c r="AO250" i="10"/>
  <c r="AV250" i="10"/>
  <c r="Q251" i="10"/>
  <c r="AJ251" i="10"/>
  <c r="AK251" i="10"/>
  <c r="AN251" i="10"/>
  <c r="AO251" i="10"/>
  <c r="AV251" i="10"/>
  <c r="Q252" i="10"/>
  <c r="AJ252" i="10"/>
  <c r="AK252" i="10"/>
  <c r="AN252" i="10"/>
  <c r="AO252" i="10"/>
  <c r="AV252" i="10"/>
  <c r="G65" i="10"/>
  <c r="AD65" i="10" s="1"/>
  <c r="AH65" i="10" s="1"/>
  <c r="G64" i="10"/>
  <c r="AD64" i="10" s="1"/>
  <c r="AI64" i="10" s="1"/>
  <c r="G63" i="10"/>
  <c r="AD63" i="10" s="1"/>
  <c r="AH63" i="10" s="1"/>
  <c r="G62" i="10"/>
  <c r="AD62" i="10" s="1"/>
  <c r="AH62" i="10" s="1"/>
  <c r="G61" i="10"/>
  <c r="AF61" i="10" s="1"/>
  <c r="G60" i="10"/>
  <c r="AG60" i="10" s="1"/>
  <c r="G59" i="10"/>
  <c r="AF59" i="10" s="1"/>
  <c r="N59" i="10" s="1"/>
  <c r="G58" i="10"/>
  <c r="AF58" i="10" s="1"/>
  <c r="AE58" i="10" s="1"/>
  <c r="AV65" i="10"/>
  <c r="AO65" i="10"/>
  <c r="AN65" i="10"/>
  <c r="AK65" i="10"/>
  <c r="AJ65" i="10"/>
  <c r="Q65" i="10"/>
  <c r="AV64" i="10"/>
  <c r="AO64" i="10"/>
  <c r="AN64" i="10"/>
  <c r="AK64" i="10"/>
  <c r="AJ64" i="10"/>
  <c r="Q64" i="10"/>
  <c r="AV63" i="10"/>
  <c r="AO63" i="10"/>
  <c r="AN63" i="10"/>
  <c r="AK63" i="10"/>
  <c r="AJ63" i="10"/>
  <c r="Q63" i="10"/>
  <c r="AV62" i="10"/>
  <c r="AO62" i="10"/>
  <c r="AN62" i="10"/>
  <c r="AK62" i="10"/>
  <c r="AJ62" i="10"/>
  <c r="Q62" i="10"/>
  <c r="AV61" i="10"/>
  <c r="AO61" i="10"/>
  <c r="AN61" i="10"/>
  <c r="AK61" i="10"/>
  <c r="AJ61" i="10"/>
  <c r="Q61" i="10"/>
  <c r="AV60" i="10"/>
  <c r="AO60" i="10"/>
  <c r="AN60" i="10"/>
  <c r="AK60" i="10"/>
  <c r="AJ60" i="10"/>
  <c r="Q60" i="10"/>
  <c r="AV59" i="10"/>
  <c r="AO59" i="10"/>
  <c r="AN59" i="10"/>
  <c r="AK59" i="10"/>
  <c r="AJ59" i="10"/>
  <c r="Q59" i="10"/>
  <c r="AV58" i="10"/>
  <c r="AO58" i="10"/>
  <c r="AN58" i="10"/>
  <c r="AK58" i="10"/>
  <c r="AJ58" i="10"/>
  <c r="AD58" i="10"/>
  <c r="AI58" i="10" s="1"/>
  <c r="Q58" i="10"/>
  <c r="G239" i="10"/>
  <c r="AF239" i="10" s="1"/>
  <c r="N239" i="10" s="1"/>
  <c r="G238" i="10"/>
  <c r="AD238" i="10" s="1"/>
  <c r="G237" i="10"/>
  <c r="AD237" i="10" s="1"/>
  <c r="G236" i="10"/>
  <c r="AG236" i="10" s="1"/>
  <c r="G235" i="10"/>
  <c r="G234" i="10"/>
  <c r="AG234" i="10" s="1"/>
  <c r="G233" i="10"/>
  <c r="AD233" i="10" s="1"/>
  <c r="G232" i="10"/>
  <c r="AD232" i="10" s="1"/>
  <c r="G231" i="10"/>
  <c r="AF231" i="10" s="1"/>
  <c r="N231" i="10" s="1"/>
  <c r="G230" i="10"/>
  <c r="AG230" i="10" s="1"/>
  <c r="G229" i="10"/>
  <c r="G228" i="10"/>
  <c r="AD228" i="10" s="1"/>
  <c r="G227" i="10"/>
  <c r="G226" i="10"/>
  <c r="AF226" i="10" s="1"/>
  <c r="N226" i="10" s="1"/>
  <c r="G225" i="10"/>
  <c r="G224" i="10"/>
  <c r="AG224" i="10" s="1"/>
  <c r="G223" i="10"/>
  <c r="AF223" i="10" s="1"/>
  <c r="N223" i="10" s="1"/>
  <c r="G222" i="10"/>
  <c r="AD222" i="10" s="1"/>
  <c r="AH222" i="10" s="1"/>
  <c r="G221" i="10"/>
  <c r="AD221" i="10" s="1"/>
  <c r="G220" i="10"/>
  <c r="AG220" i="10" s="1"/>
  <c r="G219" i="10"/>
  <c r="G218" i="10"/>
  <c r="AG218" i="10" s="1"/>
  <c r="G217" i="10"/>
  <c r="AD217" i="10" s="1"/>
  <c r="G216" i="10"/>
  <c r="AD216" i="10" s="1"/>
  <c r="G215" i="10"/>
  <c r="AF215" i="10" s="1"/>
  <c r="N215" i="10" s="1"/>
  <c r="G214" i="10"/>
  <c r="AG214" i="10" s="1"/>
  <c r="G213" i="10"/>
  <c r="G212" i="10"/>
  <c r="AD212" i="10" s="1"/>
  <c r="G211" i="10"/>
  <c r="G210" i="10"/>
  <c r="AF210" i="10" s="1"/>
  <c r="N210" i="10" s="1"/>
  <c r="G209" i="10"/>
  <c r="G208" i="10"/>
  <c r="AG208" i="10" s="1"/>
  <c r="G207" i="10"/>
  <c r="AF207" i="10" s="1"/>
  <c r="N207" i="10" s="1"/>
  <c r="G206" i="10"/>
  <c r="AD206" i="10" s="1"/>
  <c r="G205" i="10"/>
  <c r="G204" i="10"/>
  <c r="AD204" i="10" s="1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AV204" i="10"/>
  <c r="AV205" i="10"/>
  <c r="AV206" i="10"/>
  <c r="AV207" i="10"/>
  <c r="AV208" i="10"/>
  <c r="AV209" i="10"/>
  <c r="AV210" i="10"/>
  <c r="AV211" i="10"/>
  <c r="AV212" i="10"/>
  <c r="AV213" i="10"/>
  <c r="AV214" i="10"/>
  <c r="AV215" i="10"/>
  <c r="AV216" i="10"/>
  <c r="AV217" i="10"/>
  <c r="AV218" i="10"/>
  <c r="AV219" i="10"/>
  <c r="AV220" i="10"/>
  <c r="AV221" i="10"/>
  <c r="AV222" i="10"/>
  <c r="AV223" i="10"/>
  <c r="AV224" i="10"/>
  <c r="AV225" i="10"/>
  <c r="AV226" i="10"/>
  <c r="AV227" i="10"/>
  <c r="AV228" i="10"/>
  <c r="AV229" i="10"/>
  <c r="AV230" i="10"/>
  <c r="AV231" i="10"/>
  <c r="AV232" i="10"/>
  <c r="AV233" i="10"/>
  <c r="AV234" i="10"/>
  <c r="AV235" i="10"/>
  <c r="AV236" i="10"/>
  <c r="AV237" i="10"/>
  <c r="AV238" i="10"/>
  <c r="AV239" i="10"/>
  <c r="AF241" i="10"/>
  <c r="N241" i="10" s="1"/>
  <c r="G203" i="10"/>
  <c r="G202" i="10"/>
  <c r="AG202" i="10" s="1"/>
  <c r="G201" i="10"/>
  <c r="AG201" i="10" s="1"/>
  <c r="G200" i="10"/>
  <c r="G199" i="10"/>
  <c r="AG199" i="10" s="1"/>
  <c r="G198" i="10"/>
  <c r="AG198" i="10" s="1"/>
  <c r="G197" i="10"/>
  <c r="AF197" i="10" s="1"/>
  <c r="N197" i="10" s="1"/>
  <c r="G196" i="10"/>
  <c r="AF196" i="10" s="1"/>
  <c r="N196" i="10" s="1"/>
  <c r="G195" i="10"/>
  <c r="AF195" i="10" s="1"/>
  <c r="N195" i="10" s="1"/>
  <c r="G194" i="10"/>
  <c r="AD194" i="10" s="1"/>
  <c r="AH194" i="10" s="1"/>
  <c r="G193" i="10"/>
  <c r="AD193" i="10" s="1"/>
  <c r="AI193" i="10" s="1"/>
  <c r="G192" i="10"/>
  <c r="AD192" i="10" s="1"/>
  <c r="AI192" i="10" s="1"/>
  <c r="G191" i="10"/>
  <c r="AF191" i="10" s="1"/>
  <c r="N191" i="10" s="1"/>
  <c r="G190" i="10"/>
  <c r="AG190" i="10" s="1"/>
  <c r="G189" i="10"/>
  <c r="G188" i="10"/>
  <c r="G187" i="10"/>
  <c r="G186" i="10"/>
  <c r="AD186" i="10" s="1"/>
  <c r="AH186" i="10" s="1"/>
  <c r="G185" i="10"/>
  <c r="AF185" i="10" s="1"/>
  <c r="N185" i="10" s="1"/>
  <c r="G184" i="10"/>
  <c r="G183" i="10"/>
  <c r="AF183" i="10" s="1"/>
  <c r="N183" i="10" s="1"/>
  <c r="G182" i="10"/>
  <c r="AD182" i="10" s="1"/>
  <c r="AI182" i="10" s="1"/>
  <c r="G181" i="10"/>
  <c r="AG181" i="10" s="1"/>
  <c r="G180" i="10"/>
  <c r="AD180" i="10" s="1"/>
  <c r="AH180" i="10" s="1"/>
  <c r="G179" i="10"/>
  <c r="AG179" i="10" s="1"/>
  <c r="G178" i="10"/>
  <c r="AG178" i="10" s="1"/>
  <c r="G177" i="10"/>
  <c r="G176" i="10"/>
  <c r="G175" i="10"/>
  <c r="AF175" i="10" s="1"/>
  <c r="N175" i="10" s="1"/>
  <c r="G174" i="10"/>
  <c r="G173" i="10"/>
  <c r="AF173" i="10" s="1"/>
  <c r="N173" i="10" s="1"/>
  <c r="G172" i="10"/>
  <c r="G171" i="10"/>
  <c r="AG171" i="10" s="1"/>
  <c r="G170" i="10"/>
  <c r="AD170" i="10" s="1"/>
  <c r="AI170" i="10" s="1"/>
  <c r="G169" i="10"/>
  <c r="AF169" i="10" s="1"/>
  <c r="N169" i="10" s="1"/>
  <c r="G168" i="10"/>
  <c r="G167" i="10"/>
  <c r="AF167" i="10" s="1"/>
  <c r="AE167" i="10" s="1"/>
  <c r="G166" i="10"/>
  <c r="AD166" i="10" s="1"/>
  <c r="AH166" i="10" s="1"/>
  <c r="G165" i="10"/>
  <c r="AF165" i="10" s="1"/>
  <c r="G164" i="10"/>
  <c r="AF164" i="10" s="1"/>
  <c r="G163" i="10"/>
  <c r="AD163" i="10" s="1"/>
  <c r="AI163" i="10" s="1"/>
  <c r="G162" i="10"/>
  <c r="AD162" i="10" s="1"/>
  <c r="AH162" i="10" s="1"/>
  <c r="G161" i="10"/>
  <c r="AF161" i="10" s="1"/>
  <c r="G160" i="10"/>
  <c r="AF160" i="10" s="1"/>
  <c r="G159" i="10"/>
  <c r="AD159" i="10" s="1"/>
  <c r="AI159" i="10" s="1"/>
  <c r="G158" i="10"/>
  <c r="AD158" i="10" s="1"/>
  <c r="AH158" i="10" s="1"/>
  <c r="G157" i="10"/>
  <c r="AD157" i="10" s="1"/>
  <c r="AI157" i="10" s="1"/>
  <c r="G156" i="10"/>
  <c r="AF156" i="10" s="1"/>
  <c r="G155" i="10"/>
  <c r="AD155" i="10" s="1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Q168" i="10"/>
  <c r="AV168" i="10"/>
  <c r="Q169" i="10"/>
  <c r="AV169" i="10"/>
  <c r="Q170" i="10"/>
  <c r="AF170" i="10"/>
  <c r="N170" i="10" s="1"/>
  <c r="AV170" i="10"/>
  <c r="Q171" i="10"/>
  <c r="AV171" i="10"/>
  <c r="Q172" i="10"/>
  <c r="AV172" i="10"/>
  <c r="Q173" i="10"/>
  <c r="AV173" i="10"/>
  <c r="Q174" i="10"/>
  <c r="AV174" i="10"/>
  <c r="Q175" i="10"/>
  <c r="AV175" i="10"/>
  <c r="Q176" i="10"/>
  <c r="AV176" i="10"/>
  <c r="Q177" i="10"/>
  <c r="AV177" i="10"/>
  <c r="Q178" i="10"/>
  <c r="AV178" i="10"/>
  <c r="Q179" i="10"/>
  <c r="AV179" i="10"/>
  <c r="Q180" i="10"/>
  <c r="AV180" i="10"/>
  <c r="Q181" i="10"/>
  <c r="AV181" i="10"/>
  <c r="Q182" i="10"/>
  <c r="AV182" i="10"/>
  <c r="Q183" i="10"/>
  <c r="AV183" i="10"/>
  <c r="Q184" i="10"/>
  <c r="AV184" i="10"/>
  <c r="Q185" i="10"/>
  <c r="AV185" i="10"/>
  <c r="Q186" i="10"/>
  <c r="AV186" i="10"/>
  <c r="Q187" i="10"/>
  <c r="AV187" i="10"/>
  <c r="Q188" i="10"/>
  <c r="AV188" i="10"/>
  <c r="Q189" i="10"/>
  <c r="AV189" i="10"/>
  <c r="Q190" i="10"/>
  <c r="AV190" i="10"/>
  <c r="Q191" i="10"/>
  <c r="AV191" i="10"/>
  <c r="Q192" i="10"/>
  <c r="AV192" i="10"/>
  <c r="Q193" i="10"/>
  <c r="AV193" i="10"/>
  <c r="Q194" i="10"/>
  <c r="AV194" i="10"/>
  <c r="Q195" i="10"/>
  <c r="AV195" i="10"/>
  <c r="Q196" i="10"/>
  <c r="AV196" i="10"/>
  <c r="Q197" i="10"/>
  <c r="AV197" i="10"/>
  <c r="Q198" i="10"/>
  <c r="AV198" i="10"/>
  <c r="Q199" i="10"/>
  <c r="AV199" i="10"/>
  <c r="Q200" i="10"/>
  <c r="AV200" i="10"/>
  <c r="Q201" i="10"/>
  <c r="AV201" i="10"/>
  <c r="Q202" i="10"/>
  <c r="AV202" i="10"/>
  <c r="Q203" i="10"/>
  <c r="AV203" i="10"/>
  <c r="Q240" i="10"/>
  <c r="AG240" i="10"/>
  <c r="AJ240" i="10"/>
  <c r="AK240" i="10"/>
  <c r="AN240" i="10"/>
  <c r="AO240" i="10"/>
  <c r="AV240" i="10"/>
  <c r="Q241" i="10"/>
  <c r="AD241" i="10"/>
  <c r="AH241" i="10" s="1"/>
  <c r="AG241" i="10"/>
  <c r="AJ241" i="10"/>
  <c r="AK241" i="10"/>
  <c r="AN241" i="10"/>
  <c r="AO241" i="10"/>
  <c r="AV241" i="10"/>
  <c r="Q242" i="10"/>
  <c r="AD242" i="10"/>
  <c r="AH242" i="10" s="1"/>
  <c r="AF242" i="10"/>
  <c r="AE242" i="10" s="1"/>
  <c r="AG242" i="10"/>
  <c r="AJ242" i="10"/>
  <c r="AK242" i="10"/>
  <c r="AN242" i="10"/>
  <c r="AO242" i="10"/>
  <c r="AV242" i="10"/>
  <c r="Q243" i="10"/>
  <c r="AD243" i="10"/>
  <c r="AI243" i="10" s="1"/>
  <c r="AF243" i="10"/>
  <c r="N243" i="10" s="1"/>
  <c r="AG243" i="10"/>
  <c r="AJ243" i="10"/>
  <c r="AK243" i="10"/>
  <c r="AN243" i="10"/>
  <c r="AO243" i="10"/>
  <c r="AV243" i="10"/>
  <c r="Q167" i="10"/>
  <c r="AN167" i="10"/>
  <c r="AO167" i="10"/>
  <c r="AV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AN155" i="10"/>
  <c r="AN156" i="10"/>
  <c r="AN157" i="10"/>
  <c r="AN158" i="10"/>
  <c r="AN159" i="10"/>
  <c r="AN160" i="10"/>
  <c r="AN161" i="10"/>
  <c r="AN162" i="10"/>
  <c r="AN163" i="10"/>
  <c r="AN164" i="10"/>
  <c r="AN165" i="10"/>
  <c r="AN166" i="10"/>
  <c r="AO155" i="10"/>
  <c r="AO156" i="10"/>
  <c r="AO157" i="10"/>
  <c r="AO158" i="10"/>
  <c r="AO159" i="10"/>
  <c r="AO160" i="10"/>
  <c r="AO161" i="10"/>
  <c r="AO162" i="10"/>
  <c r="AO163" i="10"/>
  <c r="AO164" i="10"/>
  <c r="AO165" i="10"/>
  <c r="AO166" i="10"/>
  <c r="AV155" i="10"/>
  <c r="AV156" i="10"/>
  <c r="AV157" i="10"/>
  <c r="AV158" i="10"/>
  <c r="AV159" i="10"/>
  <c r="AV160" i="10"/>
  <c r="AV161" i="10"/>
  <c r="AV162" i="10"/>
  <c r="AV163" i="10"/>
  <c r="AV164" i="10"/>
  <c r="AV165" i="10"/>
  <c r="AV166" i="10"/>
  <c r="L141" i="10"/>
  <c r="Q141" i="10" s="1"/>
  <c r="L139" i="10"/>
  <c r="L137" i="10"/>
  <c r="L135" i="10"/>
  <c r="Q135" i="10" s="1"/>
  <c r="L133" i="10"/>
  <c r="Q133" i="10" s="1"/>
  <c r="L131" i="10"/>
  <c r="Q131" i="10" s="1"/>
  <c r="L129" i="10"/>
  <c r="Q129" i="10" s="1"/>
  <c r="L127" i="10"/>
  <c r="G141" i="10"/>
  <c r="AF141" i="10" s="1"/>
  <c r="N141" i="10" s="1"/>
  <c r="G140" i="10"/>
  <c r="AD140" i="10" s="1"/>
  <c r="G139" i="10"/>
  <c r="AF139" i="10" s="1"/>
  <c r="N139" i="10" s="1"/>
  <c r="G138" i="10"/>
  <c r="AD138" i="10" s="1"/>
  <c r="G137" i="10"/>
  <c r="AD137" i="10" s="1"/>
  <c r="G136" i="10"/>
  <c r="AD136" i="10" s="1"/>
  <c r="G135" i="10"/>
  <c r="AD135" i="10" s="1"/>
  <c r="G134" i="10"/>
  <c r="G133" i="10"/>
  <c r="AF133" i="10" s="1"/>
  <c r="AE133" i="10" s="1"/>
  <c r="G132" i="10"/>
  <c r="AF132" i="10" s="1"/>
  <c r="G131" i="10"/>
  <c r="AD131" i="10" s="1"/>
  <c r="G130" i="10"/>
  <c r="AF130" i="10" s="1"/>
  <c r="N130" i="10" s="1"/>
  <c r="G129" i="10"/>
  <c r="AG129" i="10" s="1"/>
  <c r="G128" i="10"/>
  <c r="AF128" i="10" s="1"/>
  <c r="N128" i="10" s="1"/>
  <c r="G127" i="10"/>
  <c r="AG127" i="10" s="1"/>
  <c r="G126" i="10"/>
  <c r="AG126" i="10" s="1"/>
  <c r="Q132" i="10"/>
  <c r="Q134" i="10"/>
  <c r="AN131" i="10"/>
  <c r="AN132" i="10"/>
  <c r="AN133" i="10"/>
  <c r="AN134" i="10"/>
  <c r="AN135" i="10"/>
  <c r="AO131" i="10"/>
  <c r="AO132" i="10"/>
  <c r="AO133" i="10"/>
  <c r="AO134" i="10"/>
  <c r="AO135" i="10"/>
  <c r="AV131" i="10"/>
  <c r="AV132" i="10"/>
  <c r="AV133" i="10"/>
  <c r="AV134" i="10"/>
  <c r="AV135" i="10"/>
  <c r="Q136" i="10"/>
  <c r="Q137" i="10"/>
  <c r="Q138" i="10"/>
  <c r="Q139" i="10"/>
  <c r="AN136" i="10"/>
  <c r="AN137" i="10"/>
  <c r="AN138" i="10"/>
  <c r="AN139" i="10"/>
  <c r="AO136" i="10"/>
  <c r="AO137" i="10"/>
  <c r="AO138" i="10"/>
  <c r="AO139" i="10"/>
  <c r="AV136" i="10"/>
  <c r="AV137" i="10"/>
  <c r="AV138" i="10"/>
  <c r="AV139" i="10"/>
  <c r="L125" i="10"/>
  <c r="Q125" i="10" s="1"/>
  <c r="L123" i="10"/>
  <c r="Q123" i="10" s="1"/>
  <c r="L121" i="10"/>
  <c r="Q121" i="10" s="1"/>
  <c r="L119" i="10"/>
  <c r="Q119" i="10" s="1"/>
  <c r="L117" i="10"/>
  <c r="L115" i="10"/>
  <c r="Q115" i="10" s="1"/>
  <c r="L113" i="10"/>
  <c r="Q113" i="10" s="1"/>
  <c r="L111" i="10"/>
  <c r="Q111" i="10" s="1"/>
  <c r="G125" i="10"/>
  <c r="AD125" i="10" s="1"/>
  <c r="G124" i="10"/>
  <c r="AD124" i="10" s="1"/>
  <c r="G123" i="10"/>
  <c r="AD123" i="10" s="1"/>
  <c r="G122" i="10"/>
  <c r="AD122" i="10" s="1"/>
  <c r="G121" i="10"/>
  <c r="AD121" i="10" s="1"/>
  <c r="G120" i="10"/>
  <c r="AG120" i="10" s="1"/>
  <c r="G119" i="10"/>
  <c r="AD119" i="10" s="1"/>
  <c r="AH119" i="10" s="1"/>
  <c r="G118" i="10"/>
  <c r="AD118" i="10" s="1"/>
  <c r="G117" i="10"/>
  <c r="AF117" i="10" s="1"/>
  <c r="N117" i="10" s="1"/>
  <c r="G116" i="10"/>
  <c r="AG116" i="10" s="1"/>
  <c r="G115" i="10"/>
  <c r="AD115" i="10" s="1"/>
  <c r="AI115" i="10" s="1"/>
  <c r="G114" i="10"/>
  <c r="AD114" i="10" s="1"/>
  <c r="AH114" i="10" s="1"/>
  <c r="G113" i="10"/>
  <c r="G112" i="10"/>
  <c r="AD112" i="10" s="1"/>
  <c r="G111" i="10"/>
  <c r="AF111" i="10" s="1"/>
  <c r="N111" i="10" s="1"/>
  <c r="G110" i="10"/>
  <c r="AF110" i="10" s="1"/>
  <c r="N110" i="10" s="1"/>
  <c r="AD113" i="10"/>
  <c r="Q110" i="10"/>
  <c r="Q112" i="10"/>
  <c r="Q114" i="10"/>
  <c r="Q116" i="10"/>
  <c r="Q117" i="10"/>
  <c r="Q118" i="10"/>
  <c r="Q120" i="10"/>
  <c r="AN110" i="10"/>
  <c r="AN111" i="10"/>
  <c r="AN112" i="10"/>
  <c r="AN113" i="10"/>
  <c r="AN114" i="10"/>
  <c r="AN115" i="10"/>
  <c r="AN116" i="10"/>
  <c r="AN117" i="10"/>
  <c r="AN118" i="10"/>
  <c r="AN119" i="10"/>
  <c r="AN120" i="10"/>
  <c r="AN121" i="10"/>
  <c r="AO110" i="10"/>
  <c r="AO111" i="10"/>
  <c r="AO112" i="10"/>
  <c r="AO113" i="10"/>
  <c r="AO114" i="10"/>
  <c r="AO115" i="10"/>
  <c r="AO116" i="10"/>
  <c r="AO117" i="10"/>
  <c r="AO118" i="10"/>
  <c r="AO119" i="10"/>
  <c r="AO120" i="10"/>
  <c r="AO121" i="10"/>
  <c r="AV110" i="10"/>
  <c r="AV111" i="10"/>
  <c r="AV112" i="10"/>
  <c r="AV113" i="10"/>
  <c r="AV114" i="10"/>
  <c r="AV115" i="10"/>
  <c r="AV116" i="10"/>
  <c r="AV117" i="10"/>
  <c r="AV118" i="10"/>
  <c r="AV119" i="10"/>
  <c r="AV120" i="10"/>
  <c r="AV121" i="10"/>
  <c r="Q122" i="10"/>
  <c r="Q124" i="10"/>
  <c r="Q126" i="10"/>
  <c r="Q127" i="10"/>
  <c r="Q128" i="10"/>
  <c r="Q130" i="10"/>
  <c r="Q140" i="10"/>
  <c r="Q142" i="10"/>
  <c r="AG142" i="10"/>
  <c r="AN122" i="10"/>
  <c r="AN123" i="10"/>
  <c r="AN124" i="10"/>
  <c r="AN125" i="10"/>
  <c r="AN126" i="10"/>
  <c r="AN127" i="10"/>
  <c r="AN128" i="10"/>
  <c r="AN129" i="10"/>
  <c r="AN130" i="10"/>
  <c r="AN140" i="10"/>
  <c r="AN141" i="10"/>
  <c r="AN142" i="10"/>
  <c r="AO122" i="10"/>
  <c r="AO123" i="10"/>
  <c r="AO124" i="10"/>
  <c r="AO125" i="10"/>
  <c r="AO126" i="10"/>
  <c r="AO127" i="10"/>
  <c r="AO128" i="10"/>
  <c r="AO129" i="10"/>
  <c r="AO130" i="10"/>
  <c r="AO140" i="10"/>
  <c r="AO141" i="10"/>
  <c r="AO142" i="10"/>
  <c r="AV122" i="10"/>
  <c r="AV123" i="10"/>
  <c r="AV124" i="10"/>
  <c r="AV125" i="10"/>
  <c r="AV126" i="10"/>
  <c r="AV127" i="10"/>
  <c r="AV128" i="10"/>
  <c r="AV129" i="10"/>
  <c r="AV130" i="10"/>
  <c r="AV140" i="10"/>
  <c r="AV141" i="10"/>
  <c r="AV142" i="10"/>
  <c r="G109" i="10"/>
  <c r="AF109" i="10" s="1"/>
  <c r="G108" i="10"/>
  <c r="AG108" i="10" s="1"/>
  <c r="G107" i="10"/>
  <c r="AD107" i="10" s="1"/>
  <c r="AH107" i="10" s="1"/>
  <c r="G106" i="10"/>
  <c r="G105" i="10"/>
  <c r="AF105" i="10" s="1"/>
  <c r="G104" i="10"/>
  <c r="AG104" i="10" s="1"/>
  <c r="G103" i="10"/>
  <c r="AG103" i="10" s="1"/>
  <c r="G102" i="10"/>
  <c r="AG102" i="10" s="1"/>
  <c r="AV109" i="10"/>
  <c r="AO109" i="10"/>
  <c r="AN109" i="10"/>
  <c r="AK109" i="10"/>
  <c r="AJ109" i="10"/>
  <c r="Q109" i="10"/>
  <c r="AV108" i="10"/>
  <c r="AO108" i="10"/>
  <c r="AN108" i="10"/>
  <c r="AK108" i="10"/>
  <c r="AJ108" i="10"/>
  <c r="Q108" i="10"/>
  <c r="AV107" i="10"/>
  <c r="AO107" i="10"/>
  <c r="AN107" i="10"/>
  <c r="AK107" i="10"/>
  <c r="AJ107" i="10"/>
  <c r="Q107" i="10"/>
  <c r="AV106" i="10"/>
  <c r="AO106" i="10"/>
  <c r="AN106" i="10"/>
  <c r="AK106" i="10"/>
  <c r="AJ106" i="10"/>
  <c r="Q106" i="10"/>
  <c r="AV105" i="10"/>
  <c r="AO105" i="10"/>
  <c r="AN105" i="10"/>
  <c r="AK105" i="10"/>
  <c r="AJ105" i="10"/>
  <c r="Q105" i="10"/>
  <c r="AV104" i="10"/>
  <c r="AO104" i="10"/>
  <c r="AN104" i="10"/>
  <c r="AK104" i="10"/>
  <c r="AJ104" i="10"/>
  <c r="Q104" i="10"/>
  <c r="AV103" i="10"/>
  <c r="AO103" i="10"/>
  <c r="AN103" i="10"/>
  <c r="AK103" i="10"/>
  <c r="AJ103" i="10"/>
  <c r="Q103" i="10"/>
  <c r="AV102" i="10"/>
  <c r="AO102" i="10"/>
  <c r="AN102" i="10"/>
  <c r="AK102" i="10"/>
  <c r="AJ102" i="10"/>
  <c r="Q102" i="10"/>
  <c r="AV101" i="10"/>
  <c r="AO101" i="10"/>
  <c r="AN101" i="10"/>
  <c r="AK101" i="10"/>
  <c r="AJ101" i="10"/>
  <c r="AG101" i="10"/>
  <c r="AF101" i="10"/>
  <c r="AD101" i="10"/>
  <c r="AI101" i="10" s="1"/>
  <c r="Q101" i="10"/>
  <c r="AV100" i="10"/>
  <c r="AO100" i="10"/>
  <c r="AN100" i="10"/>
  <c r="AK100" i="10"/>
  <c r="AJ100" i="10"/>
  <c r="AG100" i="10"/>
  <c r="AF100" i="10"/>
  <c r="AE100" i="10" s="1"/>
  <c r="AD100" i="10"/>
  <c r="AH100" i="10" s="1"/>
  <c r="Q100" i="10"/>
  <c r="AV99" i="10"/>
  <c r="AO99" i="10"/>
  <c r="AN99" i="10"/>
  <c r="AK99" i="10"/>
  <c r="AJ99" i="10"/>
  <c r="Q99" i="10"/>
  <c r="G99" i="10"/>
  <c r="AF99" i="10" s="1"/>
  <c r="AV98" i="10"/>
  <c r="AO98" i="10"/>
  <c r="AN98" i="10"/>
  <c r="AK98" i="10"/>
  <c r="AJ98" i="10"/>
  <c r="Q98" i="10"/>
  <c r="G98" i="10"/>
  <c r="AG98" i="10" s="1"/>
  <c r="AV97" i="10"/>
  <c r="AO97" i="10"/>
  <c r="AN97" i="10"/>
  <c r="AK97" i="10"/>
  <c r="AJ97" i="10"/>
  <c r="AG97" i="10"/>
  <c r="AF97" i="10"/>
  <c r="AE97" i="10" s="1"/>
  <c r="AD97" i="10"/>
  <c r="AH97" i="10" s="1"/>
  <c r="Q97" i="10"/>
  <c r="AV96" i="10"/>
  <c r="AO96" i="10"/>
  <c r="AN96" i="10"/>
  <c r="AK96" i="10"/>
  <c r="AJ96" i="10"/>
  <c r="AG96" i="10"/>
  <c r="AF96" i="10"/>
  <c r="N96" i="10" s="1"/>
  <c r="AD96" i="10"/>
  <c r="AH96" i="10" s="1"/>
  <c r="Q96" i="10"/>
  <c r="AV95" i="10"/>
  <c r="AO95" i="10"/>
  <c r="AN95" i="10"/>
  <c r="AK95" i="10"/>
  <c r="AJ95" i="10"/>
  <c r="Q95" i="10"/>
  <c r="G95" i="10"/>
  <c r="AF95" i="10" s="1"/>
  <c r="AV94" i="10"/>
  <c r="AO94" i="10"/>
  <c r="AN94" i="10"/>
  <c r="AK94" i="10"/>
  <c r="AJ94" i="10"/>
  <c r="Q94" i="10"/>
  <c r="G94" i="10"/>
  <c r="AV93" i="10"/>
  <c r="AO93" i="10"/>
  <c r="AN93" i="10"/>
  <c r="AK93" i="10"/>
  <c r="AJ93" i="10"/>
  <c r="AG93" i="10"/>
  <c r="AF93" i="10"/>
  <c r="AD93" i="10"/>
  <c r="AI93" i="10" s="1"/>
  <c r="Q93" i="10"/>
  <c r="AV92" i="10"/>
  <c r="AO92" i="10"/>
  <c r="AN92" i="10"/>
  <c r="AK92" i="10"/>
  <c r="AJ92" i="10"/>
  <c r="AG92" i="10"/>
  <c r="AF92" i="10"/>
  <c r="AE92" i="10" s="1"/>
  <c r="AD92" i="10"/>
  <c r="AI92" i="10" s="1"/>
  <c r="Q92" i="10"/>
  <c r="AV91" i="10"/>
  <c r="AO91" i="10"/>
  <c r="AN91" i="10"/>
  <c r="AK91" i="10"/>
  <c r="AJ91" i="10"/>
  <c r="Q91" i="10"/>
  <c r="G91" i="10"/>
  <c r="AF91" i="10" s="1"/>
  <c r="AV90" i="10"/>
  <c r="AO90" i="10"/>
  <c r="AN90" i="10"/>
  <c r="AK90" i="10"/>
  <c r="AJ90" i="10"/>
  <c r="Q90" i="10"/>
  <c r="G90" i="10"/>
  <c r="AG90" i="10" s="1"/>
  <c r="AV89" i="10"/>
  <c r="AO89" i="10"/>
  <c r="AN89" i="10"/>
  <c r="AK89" i="10"/>
  <c r="AJ89" i="10"/>
  <c r="AG89" i="10"/>
  <c r="AF89" i="10"/>
  <c r="N89" i="10" s="1"/>
  <c r="AD89" i="10"/>
  <c r="AH89" i="10" s="1"/>
  <c r="Q89" i="10"/>
  <c r="AV88" i="10"/>
  <c r="AO88" i="10"/>
  <c r="AN88" i="10"/>
  <c r="AK88" i="10"/>
  <c r="AJ88" i="10"/>
  <c r="AG88" i="10"/>
  <c r="AF88" i="10"/>
  <c r="N88" i="10" s="1"/>
  <c r="AD88" i="10"/>
  <c r="AH88" i="10" s="1"/>
  <c r="Q88" i="10"/>
  <c r="AV87" i="10"/>
  <c r="AO87" i="10"/>
  <c r="AN87" i="10"/>
  <c r="AK87" i="10"/>
  <c r="AJ87" i="10"/>
  <c r="Q87" i="10"/>
  <c r="G87" i="10"/>
  <c r="AV86" i="10"/>
  <c r="AO86" i="10"/>
  <c r="AN86" i="10"/>
  <c r="AK86" i="10"/>
  <c r="AJ86" i="10"/>
  <c r="Q86" i="10"/>
  <c r="G86" i="10"/>
  <c r="I670" i="1" l="1"/>
  <c r="J670" i="1"/>
  <c r="O670" i="1" s="1"/>
  <c r="H671" i="1"/>
  <c r="E198" i="19"/>
  <c r="F11" i="19"/>
  <c r="E175" i="19"/>
  <c r="E202" i="19"/>
  <c r="E173" i="19"/>
  <c r="E199" i="19"/>
  <c r="E203" i="19"/>
  <c r="E200" i="19"/>
  <c r="AC182" i="19"/>
  <c r="G70" i="19"/>
  <c r="F70" i="19" s="1"/>
  <c r="F27" i="19"/>
  <c r="AC181" i="19"/>
  <c r="E181" i="19"/>
  <c r="F127" i="19"/>
  <c r="AC215" i="19"/>
  <c r="F25" i="19"/>
  <c r="AC192" i="19"/>
  <c r="E192" i="19"/>
  <c r="G69" i="19"/>
  <c r="F69" i="19" s="1"/>
  <c r="F6" i="19"/>
  <c r="F18" i="19"/>
  <c r="F23" i="19"/>
  <c r="E196" i="19"/>
  <c r="F123" i="19"/>
  <c r="AC177" i="19"/>
  <c r="E177" i="19"/>
  <c r="E16" i="19"/>
  <c r="F32" i="19"/>
  <c r="F34" i="19"/>
  <c r="F20" i="19"/>
  <c r="F24" i="19"/>
  <c r="F28" i="19"/>
  <c r="F33" i="19"/>
  <c r="F36" i="19"/>
  <c r="F37" i="19"/>
  <c r="F71" i="19"/>
  <c r="F124" i="19"/>
  <c r="F126" i="19"/>
  <c r="F100" i="19"/>
  <c r="F117" i="19"/>
  <c r="G68" i="19"/>
  <c r="F8" i="19"/>
  <c r="G72" i="19"/>
  <c r="F12" i="19"/>
  <c r="G76" i="19"/>
  <c r="F40" i="19"/>
  <c r="F41" i="19"/>
  <c r="F42" i="19"/>
  <c r="G77" i="19"/>
  <c r="F89" i="19"/>
  <c r="F91" i="19"/>
  <c r="F93" i="19"/>
  <c r="F95" i="19"/>
  <c r="F97" i="19"/>
  <c r="AG298" i="10"/>
  <c r="AG302" i="10"/>
  <c r="I2" i="19"/>
  <c r="J1" i="19"/>
  <c r="G73" i="19"/>
  <c r="G75" i="19"/>
  <c r="F118" i="19"/>
  <c r="F125" i="19"/>
  <c r="F120" i="19"/>
  <c r="F121" i="19"/>
  <c r="F122" i="19"/>
  <c r="F99" i="19"/>
  <c r="F128" i="19"/>
  <c r="F142" i="19"/>
  <c r="F143" i="19"/>
  <c r="AC179" i="19"/>
  <c r="E179" i="19"/>
  <c r="F98" i="19"/>
  <c r="F147" i="19"/>
  <c r="F148" i="19"/>
  <c r="F149" i="19"/>
  <c r="F152" i="19"/>
  <c r="E195" i="19"/>
  <c r="AC195" i="19"/>
  <c r="F144" i="19"/>
  <c r="F145" i="19"/>
  <c r="F151" i="19"/>
  <c r="F153" i="19"/>
  <c r="E176" i="19"/>
  <c r="AC176" i="19"/>
  <c r="F188" i="19"/>
  <c r="AC174" i="19"/>
  <c r="E174" i="19"/>
  <c r="E239" i="19"/>
  <c r="AC178" i="19"/>
  <c r="E178" i="19"/>
  <c r="F168" i="19"/>
  <c r="E172" i="19"/>
  <c r="F189" i="19"/>
  <c r="E191" i="19"/>
  <c r="AC191" i="19"/>
  <c r="F187" i="19"/>
  <c r="AC194" i="19"/>
  <c r="E194" i="19"/>
  <c r="E180" i="19"/>
  <c r="E193" i="19"/>
  <c r="AC197" i="19"/>
  <c r="E197" i="19"/>
  <c r="AC201" i="19"/>
  <c r="E201" i="19"/>
  <c r="E205" i="19"/>
  <c r="E209" i="19"/>
  <c r="E213" i="19"/>
  <c r="E238" i="19"/>
  <c r="E240" i="19"/>
  <c r="E235" i="19"/>
  <c r="E234" i="19"/>
  <c r="E236" i="19"/>
  <c r="E242" i="19"/>
  <c r="E233" i="19"/>
  <c r="AG300" i="10"/>
  <c r="AG304" i="10"/>
  <c r="AG308" i="10"/>
  <c r="AG309" i="10"/>
  <c r="AG270" i="10"/>
  <c r="E242" i="13"/>
  <c r="AG307" i="10"/>
  <c r="AG303" i="10"/>
  <c r="AG297" i="10"/>
  <c r="AG299" i="10"/>
  <c r="AG278" i="10"/>
  <c r="AG274" i="10"/>
  <c r="AF252" i="10"/>
  <c r="AE252" i="10" s="1"/>
  <c r="AG252" i="10"/>
  <c r="AF253" i="10"/>
  <c r="AE253" i="10" s="1"/>
  <c r="AG253" i="10"/>
  <c r="AF220" i="10"/>
  <c r="N220" i="10" s="1"/>
  <c r="AG251" i="10"/>
  <c r="AH259" i="10"/>
  <c r="AI259" i="10"/>
  <c r="AD230" i="10"/>
  <c r="AH230" i="10" s="1"/>
  <c r="AF205" i="10"/>
  <c r="AE205" i="10" s="1"/>
  <c r="AG205" i="10"/>
  <c r="AD254" i="10"/>
  <c r="AH254" i="10" s="1"/>
  <c r="AD255" i="10"/>
  <c r="AI255" i="10" s="1"/>
  <c r="AH263" i="10"/>
  <c r="AI262" i="10"/>
  <c r="AH261" i="10"/>
  <c r="N263" i="10"/>
  <c r="AH260" i="10"/>
  <c r="AE261" i="10"/>
  <c r="N259" i="10"/>
  <c r="AG254" i="10"/>
  <c r="AF255" i="10"/>
  <c r="AF251" i="10"/>
  <c r="AE251" i="10" s="1"/>
  <c r="N262" i="10"/>
  <c r="AF187" i="10"/>
  <c r="N187" i="10" s="1"/>
  <c r="AG187" i="10"/>
  <c r="N260" i="10"/>
  <c r="AG226" i="10"/>
  <c r="AD210" i="10"/>
  <c r="AH210" i="10" s="1"/>
  <c r="AD183" i="10"/>
  <c r="AI183" i="10" s="1"/>
  <c r="AH249" i="10"/>
  <c r="AI248" i="10"/>
  <c r="AG191" i="10"/>
  <c r="AD175" i="10"/>
  <c r="AI175" i="10" s="1"/>
  <c r="AE254" i="10"/>
  <c r="AI253" i="10"/>
  <c r="AF179" i="10"/>
  <c r="N179" i="10" s="1"/>
  <c r="AI247" i="10"/>
  <c r="AG161" i="10"/>
  <c r="N250" i="10"/>
  <c r="AH244" i="10"/>
  <c r="N249" i="10"/>
  <c r="N248" i="10"/>
  <c r="AI246" i="10"/>
  <c r="N246" i="10"/>
  <c r="N245" i="10"/>
  <c r="N244" i="10"/>
  <c r="AH245" i="10"/>
  <c r="AF202" i="10"/>
  <c r="N202" i="10" s="1"/>
  <c r="AI251" i="10"/>
  <c r="AE247" i="10"/>
  <c r="AF217" i="10"/>
  <c r="AE217" i="10" s="1"/>
  <c r="AD199" i="10"/>
  <c r="AI199" i="10" s="1"/>
  <c r="AD191" i="10"/>
  <c r="AH191" i="10" s="1"/>
  <c r="AD190" i="10"/>
  <c r="AI190" i="10" s="1"/>
  <c r="AG183" i="10"/>
  <c r="AG232" i="10"/>
  <c r="AG210" i="10"/>
  <c r="AF224" i="10"/>
  <c r="N224" i="10" s="1"/>
  <c r="AF208" i="10"/>
  <c r="N208" i="10" s="1"/>
  <c r="AD214" i="10"/>
  <c r="AH214" i="10" s="1"/>
  <c r="AI250" i="10"/>
  <c r="AG222" i="10"/>
  <c r="AF236" i="10"/>
  <c r="N236" i="10" s="1"/>
  <c r="AD226" i="10"/>
  <c r="AI226" i="10" s="1"/>
  <c r="AD208" i="10"/>
  <c r="AH208" i="10" s="1"/>
  <c r="AF60" i="10"/>
  <c r="AE60" i="10" s="1"/>
  <c r="AF131" i="10"/>
  <c r="AE131" i="10" s="1"/>
  <c r="AF199" i="10"/>
  <c r="N199" i="10" s="1"/>
  <c r="AD187" i="10"/>
  <c r="AH187" i="10" s="1"/>
  <c r="AD179" i="10"/>
  <c r="AI179" i="10" s="1"/>
  <c r="AF178" i="10"/>
  <c r="N178" i="10" s="1"/>
  <c r="AG238" i="10"/>
  <c r="AG216" i="10"/>
  <c r="AF230" i="10"/>
  <c r="N230" i="10" s="1"/>
  <c r="AF214" i="10"/>
  <c r="N214" i="10" s="1"/>
  <c r="AD224" i="10"/>
  <c r="AH224" i="10" s="1"/>
  <c r="AG233" i="10"/>
  <c r="AG58" i="10"/>
  <c r="AD161" i="10"/>
  <c r="AI161" i="10" s="1"/>
  <c r="AG228" i="10"/>
  <c r="AG212" i="10"/>
  <c r="AF234" i="10"/>
  <c r="N234" i="10" s="1"/>
  <c r="AF218" i="10"/>
  <c r="N218" i="10" s="1"/>
  <c r="AD236" i="10"/>
  <c r="AH236" i="10" s="1"/>
  <c r="AD220" i="10"/>
  <c r="AH220" i="10" s="1"/>
  <c r="AG62" i="10"/>
  <c r="AH252" i="10"/>
  <c r="AD207" i="10"/>
  <c r="AI207" i="10" s="1"/>
  <c r="AG237" i="10"/>
  <c r="AD239" i="10"/>
  <c r="AI239" i="10" s="1"/>
  <c r="AF237" i="10"/>
  <c r="AE237" i="10" s="1"/>
  <c r="AD215" i="10"/>
  <c r="AI215" i="10" s="1"/>
  <c r="AD205" i="10"/>
  <c r="AG64" i="10"/>
  <c r="AD60" i="10"/>
  <c r="AF62" i="10"/>
  <c r="AE62" i="10" s="1"/>
  <c r="AF64" i="10"/>
  <c r="N64" i="10" s="1"/>
  <c r="N58" i="10"/>
  <c r="N61" i="10"/>
  <c r="AE61" i="10"/>
  <c r="AD59" i="10"/>
  <c r="AG59" i="10"/>
  <c r="AD61" i="10"/>
  <c r="AG61" i="10"/>
  <c r="AH58" i="10"/>
  <c r="AE59" i="10"/>
  <c r="AI63" i="10"/>
  <c r="AI65" i="10"/>
  <c r="AI62" i="10"/>
  <c r="AG65" i="10"/>
  <c r="AF63" i="10"/>
  <c r="AH64" i="10"/>
  <c r="AF65" i="10"/>
  <c r="AG63" i="10"/>
  <c r="AD229" i="10"/>
  <c r="AI229" i="10" s="1"/>
  <c r="AG229" i="10"/>
  <c r="AF229" i="10"/>
  <c r="AE229" i="10" s="1"/>
  <c r="AD132" i="10"/>
  <c r="AI132" i="10" s="1"/>
  <c r="AD174" i="10"/>
  <c r="AI174" i="10" s="1"/>
  <c r="AF174" i="10"/>
  <c r="N174" i="10" s="1"/>
  <c r="AD209" i="10"/>
  <c r="AH209" i="10" s="1"/>
  <c r="AF209" i="10"/>
  <c r="N209" i="10" s="1"/>
  <c r="AG209" i="10"/>
  <c r="AF211" i="10"/>
  <c r="N211" i="10" s="1"/>
  <c r="AD211" i="10"/>
  <c r="AH211" i="10" s="1"/>
  <c r="AD213" i="10"/>
  <c r="AH213" i="10" s="1"/>
  <c r="AG213" i="10"/>
  <c r="AF213" i="10"/>
  <c r="AE213" i="10" s="1"/>
  <c r="AF219" i="10"/>
  <c r="N219" i="10" s="1"/>
  <c r="AD219" i="10"/>
  <c r="AH219" i="10" s="1"/>
  <c r="AD225" i="10"/>
  <c r="AH225" i="10" s="1"/>
  <c r="AF225" i="10"/>
  <c r="N225" i="10" s="1"/>
  <c r="AG225" i="10"/>
  <c r="AH233" i="10"/>
  <c r="AI233" i="10"/>
  <c r="AF235" i="10"/>
  <c r="N235" i="10" s="1"/>
  <c r="AD235" i="10"/>
  <c r="AH235" i="10" s="1"/>
  <c r="AG194" i="10"/>
  <c r="AG182" i="10"/>
  <c r="AD165" i="10"/>
  <c r="AH165" i="10" s="1"/>
  <c r="AG165" i="10"/>
  <c r="AG221" i="10"/>
  <c r="AF221" i="10"/>
  <c r="AE221" i="10" s="1"/>
  <c r="AD231" i="10"/>
  <c r="AI231" i="10" s="1"/>
  <c r="AD223" i="10"/>
  <c r="AI223" i="10" s="1"/>
  <c r="AD198" i="10"/>
  <c r="AH198" i="10" s="1"/>
  <c r="AF194" i="10"/>
  <c r="N194" i="10" s="1"/>
  <c r="AF190" i="10"/>
  <c r="N190" i="10" s="1"/>
  <c r="AG186" i="10"/>
  <c r="AG174" i="10"/>
  <c r="AG217" i="10"/>
  <c r="AF233" i="10"/>
  <c r="N233" i="10" s="1"/>
  <c r="AF227" i="10"/>
  <c r="N227" i="10" s="1"/>
  <c r="AD227" i="10"/>
  <c r="AH227" i="10" s="1"/>
  <c r="AG206" i="10"/>
  <c r="AI206" i="10"/>
  <c r="AH206" i="10"/>
  <c r="AI212" i="10"/>
  <c r="AH212" i="10"/>
  <c r="AI216" i="10"/>
  <c r="AH216" i="10"/>
  <c r="AI228" i="10"/>
  <c r="AH228" i="10"/>
  <c r="AI232" i="10"/>
  <c r="AH232" i="10"/>
  <c r="AI238" i="10"/>
  <c r="AH238" i="10"/>
  <c r="AD116" i="10"/>
  <c r="AH116" i="10" s="1"/>
  <c r="AG157" i="10"/>
  <c r="AD164" i="10"/>
  <c r="AI164" i="10" s="1"/>
  <c r="AF238" i="10"/>
  <c r="N238" i="10" s="1"/>
  <c r="AF228" i="10"/>
  <c r="AF222" i="10"/>
  <c r="N222" i="10" s="1"/>
  <c r="AF212" i="10"/>
  <c r="N212" i="10" s="1"/>
  <c r="AF206" i="10"/>
  <c r="N206" i="10" s="1"/>
  <c r="AD234" i="10"/>
  <c r="AI234" i="10" s="1"/>
  <c r="AD218" i="10"/>
  <c r="AG175" i="10"/>
  <c r="AF232" i="10"/>
  <c r="AE232" i="10" s="1"/>
  <c r="AF216" i="10"/>
  <c r="N216" i="10" s="1"/>
  <c r="AH204" i="10"/>
  <c r="AI204" i="10"/>
  <c r="AI217" i="10"/>
  <c r="AH217" i="10"/>
  <c r="AH221" i="10"/>
  <c r="AI221" i="10"/>
  <c r="AH237" i="10"/>
  <c r="AI237" i="10"/>
  <c r="AF168" i="10"/>
  <c r="N168" i="10" s="1"/>
  <c r="AD168" i="10"/>
  <c r="AH168" i="10" s="1"/>
  <c r="AD172" i="10"/>
  <c r="AI172" i="10" s="1"/>
  <c r="AF172" i="10"/>
  <c r="N172" i="10" s="1"/>
  <c r="AG172" i="10"/>
  <c r="AG176" i="10"/>
  <c r="AD176" i="10"/>
  <c r="AH176" i="10" s="1"/>
  <c r="AF176" i="10"/>
  <c r="N176" i="10" s="1"/>
  <c r="AF180" i="10"/>
  <c r="AE180" i="10" s="1"/>
  <c r="AG180" i="10"/>
  <c r="AF184" i="10"/>
  <c r="N184" i="10" s="1"/>
  <c r="AD184" i="10"/>
  <c r="AI184" i="10" s="1"/>
  <c r="AG188" i="10"/>
  <c r="AD188" i="10"/>
  <c r="AI188" i="10" s="1"/>
  <c r="AG196" i="10"/>
  <c r="AD196" i="10"/>
  <c r="AI196" i="10" s="1"/>
  <c r="AD200" i="10"/>
  <c r="AI200" i="10" s="1"/>
  <c r="AF200" i="10"/>
  <c r="N200" i="10" s="1"/>
  <c r="AG200" i="10"/>
  <c r="AD173" i="10"/>
  <c r="AI173" i="10" s="1"/>
  <c r="AI222" i="10"/>
  <c r="AG204" i="10"/>
  <c r="AF204" i="10"/>
  <c r="AG123" i="10"/>
  <c r="AG156" i="10"/>
  <c r="AF157" i="10"/>
  <c r="N157" i="10" s="1"/>
  <c r="AF198" i="10"/>
  <c r="N198" i="10" s="1"/>
  <c r="AF193" i="10"/>
  <c r="AE193" i="10" s="1"/>
  <c r="AF186" i="10"/>
  <c r="N186" i="10" s="1"/>
  <c r="AD178" i="10"/>
  <c r="AI178" i="10" s="1"/>
  <c r="AG170" i="10"/>
  <c r="AG239" i="10"/>
  <c r="AG235" i="10"/>
  <c r="AG231" i="10"/>
  <c r="AG227" i="10"/>
  <c r="AG223" i="10"/>
  <c r="AG219" i="10"/>
  <c r="AG215" i="10"/>
  <c r="AG211" i="10"/>
  <c r="AG207" i="10"/>
  <c r="AD201" i="10"/>
  <c r="AI201" i="10" s="1"/>
  <c r="AD197" i="10"/>
  <c r="AI197" i="10" s="1"/>
  <c r="AG193" i="10"/>
  <c r="AF181" i="10"/>
  <c r="N181" i="10" s="1"/>
  <c r="AG173" i="10"/>
  <c r="AD169" i="10"/>
  <c r="AG192" i="10"/>
  <c r="AF192" i="10"/>
  <c r="N192" i="10" s="1"/>
  <c r="AG169" i="10"/>
  <c r="AD160" i="10"/>
  <c r="AH160" i="10" s="1"/>
  <c r="AG160" i="10"/>
  <c r="AD167" i="10"/>
  <c r="AH167" i="10" s="1"/>
  <c r="AG167" i="10"/>
  <c r="AD177" i="10"/>
  <c r="AH177" i="10" s="1"/>
  <c r="AG177" i="10"/>
  <c r="AD185" i="10"/>
  <c r="AH185" i="10" s="1"/>
  <c r="AG185" i="10"/>
  <c r="AD189" i="10"/>
  <c r="AI189" i="10" s="1"/>
  <c r="AG189" i="10"/>
  <c r="AG164" i="10"/>
  <c r="AD156" i="10"/>
  <c r="AF201" i="10"/>
  <c r="N201" i="10" s="1"/>
  <c r="AG197" i="10"/>
  <c r="AF188" i="10"/>
  <c r="N188" i="10" s="1"/>
  <c r="AF171" i="10"/>
  <c r="N171" i="10" s="1"/>
  <c r="AD171" i="10"/>
  <c r="AI171" i="10" s="1"/>
  <c r="AG195" i="10"/>
  <c r="AD195" i="10"/>
  <c r="AH195" i="10" s="1"/>
  <c r="AD203" i="10"/>
  <c r="AI203" i="10" s="1"/>
  <c r="AG203" i="10"/>
  <c r="AE226" i="10"/>
  <c r="AE210" i="10"/>
  <c r="AE239" i="10"/>
  <c r="AE231" i="10"/>
  <c r="AE223" i="10"/>
  <c r="AE215" i="10"/>
  <c r="AE207" i="10"/>
  <c r="AD202" i="10"/>
  <c r="AI202" i="10" s="1"/>
  <c r="AF203" i="10"/>
  <c r="N203" i="10" s="1"/>
  <c r="AF189" i="10"/>
  <c r="N189" i="10" s="1"/>
  <c r="AG184" i="10"/>
  <c r="AD181" i="10"/>
  <c r="AI181" i="10" s="1"/>
  <c r="AF182" i="10"/>
  <c r="N182" i="10" s="1"/>
  <c r="AF177" i="10"/>
  <c r="N177" i="10" s="1"/>
  <c r="AG168" i="10"/>
  <c r="AI155" i="10"/>
  <c r="AH155" i="10"/>
  <c r="AG163" i="10"/>
  <c r="AG159" i="10"/>
  <c r="AG155" i="10"/>
  <c r="AF163" i="10"/>
  <c r="N163" i="10" s="1"/>
  <c r="AF159" i="10"/>
  <c r="N159" i="10" s="1"/>
  <c r="AF155" i="10"/>
  <c r="N155" i="10" s="1"/>
  <c r="AG166" i="10"/>
  <c r="AG162" i="10"/>
  <c r="AG158" i="10"/>
  <c r="AF166" i="10"/>
  <c r="N166" i="10" s="1"/>
  <c r="AF162" i="10"/>
  <c r="N162" i="10" s="1"/>
  <c r="AF158" i="10"/>
  <c r="N158" i="10" s="1"/>
  <c r="AH170" i="10"/>
  <c r="AE169" i="10"/>
  <c r="AE170" i="10"/>
  <c r="AE173" i="10"/>
  <c r="AE175" i="10"/>
  <c r="AH182" i="10"/>
  <c r="AI180" i="10"/>
  <c r="AE183" i="10"/>
  <c r="AI186" i="10"/>
  <c r="AE185" i="10"/>
  <c r="AH192" i="10"/>
  <c r="AI194" i="10"/>
  <c r="AE191" i="10"/>
  <c r="AH193" i="10"/>
  <c r="AE195" i="10"/>
  <c r="AE197" i="10"/>
  <c r="AE196" i="10"/>
  <c r="AI241" i="10"/>
  <c r="AI242" i="10"/>
  <c r="AE241" i="10"/>
  <c r="N242" i="10"/>
  <c r="AG128" i="10"/>
  <c r="AD129" i="10"/>
  <c r="AI129" i="10" s="1"/>
  <c r="AH243" i="10"/>
  <c r="AG125" i="10"/>
  <c r="AG133" i="10"/>
  <c r="AE88" i="10"/>
  <c r="AE89" i="10"/>
  <c r="AE96" i="10"/>
  <c r="AF102" i="10"/>
  <c r="AE102" i="10" s="1"/>
  <c r="AE243" i="10"/>
  <c r="AH159" i="10"/>
  <c r="AG132" i="10"/>
  <c r="AF120" i="10"/>
  <c r="N120" i="10" s="1"/>
  <c r="AH163" i="10"/>
  <c r="N167" i="10"/>
  <c r="AF116" i="10"/>
  <c r="N116" i="10" s="1"/>
  <c r="AG121" i="10"/>
  <c r="AD120" i="10"/>
  <c r="AH120" i="10" s="1"/>
  <c r="AD139" i="10"/>
  <c r="AF121" i="10"/>
  <c r="N121" i="10" s="1"/>
  <c r="AD117" i="10"/>
  <c r="AH117" i="10" s="1"/>
  <c r="AF140" i="10"/>
  <c r="N140" i="10" s="1"/>
  <c r="N164" i="10"/>
  <c r="N160" i="10"/>
  <c r="N156" i="10"/>
  <c r="N161" i="10"/>
  <c r="AH157" i="10"/>
  <c r="AI166" i="10"/>
  <c r="AI162" i="10"/>
  <c r="AI158" i="10"/>
  <c r="AF134" i="10"/>
  <c r="AE134" i="10" s="1"/>
  <c r="AD134" i="10"/>
  <c r="AH134" i="10" s="1"/>
  <c r="N165" i="10"/>
  <c r="AG139" i="10"/>
  <c r="AF135" i="10"/>
  <c r="AE135" i="10" s="1"/>
  <c r="AI124" i="10"/>
  <c r="AH124" i="10"/>
  <c r="AI137" i="10"/>
  <c r="AH137" i="10"/>
  <c r="AD141" i="10"/>
  <c r="AF137" i="10"/>
  <c r="N137" i="10" s="1"/>
  <c r="AG141" i="10"/>
  <c r="AD133" i="10"/>
  <c r="AG124" i="10"/>
  <c r="AF124" i="10"/>
  <c r="N124" i="10" s="1"/>
  <c r="AG137" i="10"/>
  <c r="AG134" i="10"/>
  <c r="AI131" i="10"/>
  <c r="AH131" i="10"/>
  <c r="AI135" i="10"/>
  <c r="AH135" i="10"/>
  <c r="N132" i="10"/>
  <c r="AE132" i="10"/>
  <c r="AH136" i="10"/>
  <c r="AI136" i="10"/>
  <c r="AH138" i="10"/>
  <c r="AI138" i="10"/>
  <c r="AD130" i="10"/>
  <c r="AI130" i="10" s="1"/>
  <c r="AG138" i="10"/>
  <c r="AF138" i="10"/>
  <c r="N138" i="10" s="1"/>
  <c r="AF127" i="10"/>
  <c r="N127" i="10" s="1"/>
  <c r="AD128" i="10"/>
  <c r="AH128" i="10" s="1"/>
  <c r="AG136" i="10"/>
  <c r="AF136" i="10"/>
  <c r="N136" i="10" s="1"/>
  <c r="AG135" i="10"/>
  <c r="AG131" i="10"/>
  <c r="AI125" i="10"/>
  <c r="AH125" i="10"/>
  <c r="AH121" i="10"/>
  <c r="AI121" i="10"/>
  <c r="AF129" i="10"/>
  <c r="N129" i="10" s="1"/>
  <c r="AG117" i="10"/>
  <c r="N133" i="10"/>
  <c r="AG140" i="10"/>
  <c r="AF125" i="10"/>
  <c r="N125" i="10" s="1"/>
  <c r="AG115" i="10"/>
  <c r="AD111" i="10"/>
  <c r="AF123" i="10"/>
  <c r="N123" i="10" s="1"/>
  <c r="AG119" i="10"/>
  <c r="AI140" i="10"/>
  <c r="AH140" i="10"/>
  <c r="AI123" i="10"/>
  <c r="AH123" i="10"/>
  <c r="AD86" i="10"/>
  <c r="AI86" i="10" s="1"/>
  <c r="AF86" i="10"/>
  <c r="AE86" i="10" s="1"/>
  <c r="AD87" i="10"/>
  <c r="AH87" i="10" s="1"/>
  <c r="AF87" i="10"/>
  <c r="N87" i="10" s="1"/>
  <c r="AF107" i="10"/>
  <c r="N107" i="10" s="1"/>
  <c r="AG106" i="10"/>
  <c r="AF106" i="10"/>
  <c r="AE106" i="10" s="1"/>
  <c r="AG110" i="10"/>
  <c r="AD110" i="10"/>
  <c r="AF114" i="10"/>
  <c r="N114" i="10" s="1"/>
  <c r="AG114" i="10"/>
  <c r="AF118" i="10"/>
  <c r="N118" i="10" s="1"/>
  <c r="AG118" i="10"/>
  <c r="AD126" i="10"/>
  <c r="AF126" i="10"/>
  <c r="N126" i="10" s="1"/>
  <c r="AF103" i="10"/>
  <c r="N103" i="10" s="1"/>
  <c r="AD103" i="10"/>
  <c r="AH103" i="10" s="1"/>
  <c r="AG107" i="10"/>
  <c r="AI118" i="10"/>
  <c r="AH118" i="10"/>
  <c r="AG111" i="10"/>
  <c r="AF119" i="10"/>
  <c r="N119" i="10" s="1"/>
  <c r="AF115" i="10"/>
  <c r="N115" i="10" s="1"/>
  <c r="AE139" i="10"/>
  <c r="AG130" i="10"/>
  <c r="AD127" i="10"/>
  <c r="AH122" i="10"/>
  <c r="AI122" i="10"/>
  <c r="AG122" i="10"/>
  <c r="AF122" i="10"/>
  <c r="N122" i="10" s="1"/>
  <c r="AI119" i="10"/>
  <c r="AI114" i="10"/>
  <c r="AH115" i="10"/>
  <c r="AH112" i="10"/>
  <c r="AI112" i="10"/>
  <c r="AH113" i="10"/>
  <c r="AI113" i="10"/>
  <c r="AG113" i="10"/>
  <c r="AF113" i="10"/>
  <c r="N113" i="10" s="1"/>
  <c r="AG112" i="10"/>
  <c r="AF112" i="10"/>
  <c r="N112" i="10" s="1"/>
  <c r="AE117" i="10"/>
  <c r="N97" i="10"/>
  <c r="AE111" i="10"/>
  <c r="AE110" i="10"/>
  <c r="AI107" i="10"/>
  <c r="AE141" i="10"/>
  <c r="AE128" i="10"/>
  <c r="AD104" i="10"/>
  <c r="AI104" i="10" s="1"/>
  <c r="AD108" i="10"/>
  <c r="AI108" i="10" s="1"/>
  <c r="AE130" i="10"/>
  <c r="AE105" i="10"/>
  <c r="N105" i="10"/>
  <c r="AE109" i="10"/>
  <c r="N109" i="10"/>
  <c r="AG109" i="10"/>
  <c r="AD105" i="10"/>
  <c r="AD109" i="10"/>
  <c r="AD102" i="10"/>
  <c r="AF104" i="10"/>
  <c r="AD106" i="10"/>
  <c r="AF108" i="10"/>
  <c r="AG105" i="10"/>
  <c r="AI97" i="10"/>
  <c r="AI88" i="10"/>
  <c r="AE93" i="10"/>
  <c r="N93" i="10"/>
  <c r="AG94" i="10"/>
  <c r="AF94" i="10"/>
  <c r="AE94" i="10" s="1"/>
  <c r="AD94" i="10"/>
  <c r="AI94" i="10" s="1"/>
  <c r="AE101" i="10"/>
  <c r="N101" i="10"/>
  <c r="AI96" i="10"/>
  <c r="N92" i="10"/>
  <c r="AI89" i="10"/>
  <c r="AD90" i="10"/>
  <c r="AI90" i="10" s="1"/>
  <c r="AD98" i="10"/>
  <c r="AI98" i="10" s="1"/>
  <c r="N100" i="10"/>
  <c r="N99" i="10"/>
  <c r="AE99" i="10"/>
  <c r="AH101" i="10"/>
  <c r="AF98" i="10"/>
  <c r="AI100" i="10"/>
  <c r="AG99" i="10"/>
  <c r="AD99" i="10"/>
  <c r="AE95" i="10"/>
  <c r="N95" i="10"/>
  <c r="AG95" i="10"/>
  <c r="AD95" i="10"/>
  <c r="N91" i="10"/>
  <c r="AE91" i="10"/>
  <c r="AD91" i="10"/>
  <c r="AH92" i="10"/>
  <c r="AH93" i="10"/>
  <c r="AF90" i="10"/>
  <c r="AG91" i="10"/>
  <c r="AG86" i="10"/>
  <c r="AG87" i="10"/>
  <c r="G83" i="10"/>
  <c r="AG83" i="10" s="1"/>
  <c r="G82" i="10"/>
  <c r="AD82" i="10" s="1"/>
  <c r="AI82" i="10" s="1"/>
  <c r="G79" i="10"/>
  <c r="AD79" i="10" s="1"/>
  <c r="AH79" i="10" s="1"/>
  <c r="G78" i="10"/>
  <c r="AF78" i="10" s="1"/>
  <c r="N78" i="10" s="1"/>
  <c r="Q77" i="10"/>
  <c r="AD77" i="10"/>
  <c r="AI77" i="10" s="1"/>
  <c r="AF77" i="10"/>
  <c r="N77" i="10" s="1"/>
  <c r="AG77" i="10"/>
  <c r="AJ77" i="10"/>
  <c r="AK77" i="10"/>
  <c r="AN77" i="10"/>
  <c r="AO77" i="10"/>
  <c r="AV77" i="10"/>
  <c r="Q78" i="10"/>
  <c r="AJ78" i="10"/>
  <c r="AK78" i="10"/>
  <c r="AN78" i="10"/>
  <c r="AO78" i="10"/>
  <c r="AV78" i="10"/>
  <c r="Q79" i="10"/>
  <c r="AJ79" i="10"/>
  <c r="AK79" i="10"/>
  <c r="AN79" i="10"/>
  <c r="AO79" i="10"/>
  <c r="AV79" i="10"/>
  <c r="Q80" i="10"/>
  <c r="AD80" i="10"/>
  <c r="AH80" i="10" s="1"/>
  <c r="AF80" i="10"/>
  <c r="N80" i="10" s="1"/>
  <c r="AG80" i="10"/>
  <c r="AJ80" i="10"/>
  <c r="AK80" i="10"/>
  <c r="AN80" i="10"/>
  <c r="AO80" i="10"/>
  <c r="AV80" i="10"/>
  <c r="Q81" i="10"/>
  <c r="AD81" i="10"/>
  <c r="AI81" i="10" s="1"/>
  <c r="AF81" i="10"/>
  <c r="N81" i="10" s="1"/>
  <c r="AG81" i="10"/>
  <c r="AJ81" i="10"/>
  <c r="AK81" i="10"/>
  <c r="AN81" i="10"/>
  <c r="AO81" i="10"/>
  <c r="AV81" i="10"/>
  <c r="Q82" i="10"/>
  <c r="AJ82" i="10"/>
  <c r="AK82" i="10"/>
  <c r="AN82" i="10"/>
  <c r="AO82" i="10"/>
  <c r="AV82" i="10"/>
  <c r="Q83" i="10"/>
  <c r="AJ83" i="10"/>
  <c r="AK83" i="10"/>
  <c r="AN83" i="10"/>
  <c r="AO83" i="10"/>
  <c r="AV83" i="10"/>
  <c r="Q84" i="10"/>
  <c r="AD84" i="10"/>
  <c r="AH84" i="10" s="1"/>
  <c r="AF84" i="10"/>
  <c r="N84" i="10" s="1"/>
  <c r="AG84" i="10"/>
  <c r="AJ84" i="10"/>
  <c r="AK84" i="10"/>
  <c r="AN84" i="10"/>
  <c r="AO84" i="10"/>
  <c r="AV84" i="10"/>
  <c r="Q85" i="10"/>
  <c r="AD85" i="10"/>
  <c r="AI85" i="10" s="1"/>
  <c r="AF85" i="10"/>
  <c r="N85" i="10" s="1"/>
  <c r="AG85" i="10"/>
  <c r="AJ85" i="10"/>
  <c r="AK85" i="10"/>
  <c r="AN85" i="10"/>
  <c r="AO85" i="10"/>
  <c r="AV85" i="10"/>
  <c r="G75" i="10"/>
  <c r="G74" i="10"/>
  <c r="G73" i="10"/>
  <c r="G72" i="10"/>
  <c r="AD72" i="10" s="1"/>
  <c r="AI72" i="10" s="1"/>
  <c r="G71" i="10"/>
  <c r="AG71" i="10" s="1"/>
  <c r="G70" i="10"/>
  <c r="AF70" i="10" s="1"/>
  <c r="N70" i="10" s="1"/>
  <c r="G69" i="10"/>
  <c r="AD69" i="10" s="1"/>
  <c r="AI69" i="10" s="1"/>
  <c r="G68" i="10"/>
  <c r="G67" i="10"/>
  <c r="G66" i="10"/>
  <c r="Q69" i="10"/>
  <c r="AJ69" i="10"/>
  <c r="AK69" i="10"/>
  <c r="AN69" i="10"/>
  <c r="AO69" i="10"/>
  <c r="AV69" i="10"/>
  <c r="Q70" i="10"/>
  <c r="AJ70" i="10"/>
  <c r="AK70" i="10"/>
  <c r="AN70" i="10"/>
  <c r="AO70" i="10"/>
  <c r="AV70" i="10"/>
  <c r="Q71" i="10"/>
  <c r="AJ71" i="10"/>
  <c r="AK71" i="10"/>
  <c r="AN71" i="10"/>
  <c r="AO71" i="10"/>
  <c r="AV71" i="10"/>
  <c r="Q72" i="10"/>
  <c r="AJ72" i="10"/>
  <c r="AK72" i="10"/>
  <c r="AN72" i="10"/>
  <c r="AO72" i="10"/>
  <c r="AV72" i="10"/>
  <c r="I671" i="1" l="1"/>
  <c r="H672" i="1"/>
  <c r="J671" i="1"/>
  <c r="O671" i="1" s="1"/>
  <c r="F72" i="19"/>
  <c r="J2" i="19"/>
  <c r="K1" i="19"/>
  <c r="F73" i="19"/>
  <c r="I3" i="19"/>
  <c r="F77" i="19"/>
  <c r="F75" i="19"/>
  <c r="F68" i="19"/>
  <c r="F76" i="19"/>
  <c r="AG72" i="10"/>
  <c r="AD71" i="10"/>
  <c r="AI71" i="10" s="1"/>
  <c r="N252" i="10"/>
  <c r="AI254" i="10"/>
  <c r="AI210" i="10"/>
  <c r="AH255" i="10"/>
  <c r="AE179" i="10"/>
  <c r="N253" i="10"/>
  <c r="AH175" i="10"/>
  <c r="N205" i="10"/>
  <c r="AE178" i="10"/>
  <c r="AI230" i="10"/>
  <c r="AE220" i="10"/>
  <c r="AE199" i="10"/>
  <c r="AH190" i="10"/>
  <c r="AE224" i="10"/>
  <c r="N251" i="10"/>
  <c r="AH199" i="10"/>
  <c r="AI208" i="10"/>
  <c r="N255" i="10"/>
  <c r="AE255" i="10"/>
  <c r="AH183" i="10"/>
  <c r="AE233" i="10"/>
  <c r="AI224" i="10"/>
  <c r="AH226" i="10"/>
  <c r="AE187" i="10"/>
  <c r="AE208" i="10"/>
  <c r="AE168" i="10"/>
  <c r="AE236" i="10"/>
  <c r="AE176" i="10"/>
  <c r="AH173" i="10"/>
  <c r="AI219" i="10"/>
  <c r="AH231" i="10"/>
  <c r="N131" i="10"/>
  <c r="AI187" i="10"/>
  <c r="N60" i="10"/>
  <c r="AH215" i="10"/>
  <c r="AE201" i="10"/>
  <c r="AI160" i="10"/>
  <c r="AI191" i="10"/>
  <c r="AH184" i="10"/>
  <c r="AH207" i="10"/>
  <c r="AH239" i="10"/>
  <c r="N217" i="10"/>
  <c r="AI214" i="10"/>
  <c r="AH229" i="10"/>
  <c r="AE202" i="10"/>
  <c r="AH189" i="10"/>
  <c r="AH179" i="10"/>
  <c r="AE230" i="10"/>
  <c r="AI236" i="10"/>
  <c r="AI211" i="10"/>
  <c r="AI235" i="10"/>
  <c r="AE227" i="10"/>
  <c r="AE214" i="10"/>
  <c r="AE212" i="10"/>
  <c r="AI209" i="10"/>
  <c r="AE218" i="10"/>
  <c r="AE216" i="10"/>
  <c r="AI165" i="10"/>
  <c r="AI227" i="10"/>
  <c r="AI195" i="10"/>
  <c r="AE234" i="10"/>
  <c r="AE209" i="10"/>
  <c r="AH161" i="10"/>
  <c r="AE198" i="10"/>
  <c r="AE174" i="10"/>
  <c r="AE219" i="10"/>
  <c r="AI220" i="10"/>
  <c r="N237" i="10"/>
  <c r="AH164" i="10"/>
  <c r="N229" i="10"/>
  <c r="AI116" i="10"/>
  <c r="AI198" i="10"/>
  <c r="AE222" i="10"/>
  <c r="AH223" i="10"/>
  <c r="N232" i="10"/>
  <c r="AI225" i="10"/>
  <c r="AE64" i="10"/>
  <c r="AH205" i="10"/>
  <c r="AI205" i="10"/>
  <c r="AE194" i="10"/>
  <c r="AE181" i="10"/>
  <c r="AE235" i="10"/>
  <c r="X204" i="10"/>
  <c r="AI60" i="10"/>
  <c r="AH60" i="10"/>
  <c r="N62" i="10"/>
  <c r="N65" i="10"/>
  <c r="AE65" i="10"/>
  <c r="N63" i="10"/>
  <c r="AE63" i="10"/>
  <c r="AH61" i="10"/>
  <c r="AI61" i="10"/>
  <c r="AH59" i="10"/>
  <c r="AI59" i="10"/>
  <c r="AE192" i="10"/>
  <c r="AI168" i="10"/>
  <c r="AE211" i="10"/>
  <c r="AE206" i="10"/>
  <c r="AE238" i="10"/>
  <c r="N213" i="10"/>
  <c r="AE225" i="10"/>
  <c r="AH132" i="10"/>
  <c r="AH200" i="10"/>
  <c r="AE190" i="10"/>
  <c r="AE188" i="10"/>
  <c r="AI176" i="10"/>
  <c r="N221" i="10"/>
  <c r="AI213" i="10"/>
  <c r="AH201" i="10"/>
  <c r="AH174" i="10"/>
  <c r="AE171" i="10"/>
  <c r="N228" i="10"/>
  <c r="AE228" i="10"/>
  <c r="AF72" i="10"/>
  <c r="N72" i="10" s="1"/>
  <c r="AI167" i="10"/>
  <c r="AE189" i="10"/>
  <c r="AE184" i="10"/>
  <c r="AD70" i="10"/>
  <c r="AI70" i="10" s="1"/>
  <c r="AG69" i="10"/>
  <c r="AE200" i="10"/>
  <c r="N193" i="10"/>
  <c r="AH188" i="10"/>
  <c r="AI185" i="10"/>
  <c r="N180" i="10"/>
  <c r="AI177" i="10"/>
  <c r="AH171" i="10"/>
  <c r="AH234" i="10"/>
  <c r="AH218" i="10"/>
  <c r="AI218" i="10"/>
  <c r="AF69" i="10"/>
  <c r="N69" i="10" s="1"/>
  <c r="AH196" i="10"/>
  <c r="AE172" i="10"/>
  <c r="N204" i="10"/>
  <c r="AE204" i="10"/>
  <c r="AF71" i="10"/>
  <c r="N71" i="10" s="1"/>
  <c r="AH203" i="10"/>
  <c r="AE186" i="10"/>
  <c r="AH178" i="10"/>
  <c r="AH172" i="10"/>
  <c r="AH169" i="10"/>
  <c r="AI169" i="10"/>
  <c r="AE177" i="10"/>
  <c r="AI156" i="10"/>
  <c r="AH156" i="10"/>
  <c r="AH197" i="10"/>
  <c r="AE203" i="10"/>
  <c r="AH202" i="10"/>
  <c r="AE182" i="10"/>
  <c r="AH181" i="10"/>
  <c r="AE137" i="10"/>
  <c r="AH86" i="10"/>
  <c r="N102" i="10"/>
  <c r="AH129" i="10"/>
  <c r="AE116" i="10"/>
  <c r="AH130" i="10"/>
  <c r="AI120" i="10"/>
  <c r="AE140" i="10"/>
  <c r="AE120" i="10"/>
  <c r="AE115" i="10"/>
  <c r="AI134" i="10"/>
  <c r="AI117" i="10"/>
  <c r="AH139" i="10"/>
  <c r="AI139" i="10"/>
  <c r="AE121" i="10"/>
  <c r="AE124" i="10"/>
  <c r="AE125" i="10"/>
  <c r="AE127" i="10"/>
  <c r="N135" i="10"/>
  <c r="N134" i="10"/>
  <c r="AE114" i="10"/>
  <c r="AE136" i="10"/>
  <c r="AE122" i="10"/>
  <c r="AI133" i="10"/>
  <c r="AH133" i="10"/>
  <c r="AH141" i="10"/>
  <c r="AI141" i="10"/>
  <c r="AI128" i="10"/>
  <c r="AE138" i="10"/>
  <c r="AE107" i="10"/>
  <c r="N86" i="10"/>
  <c r="AE103" i="10"/>
  <c r="AI111" i="10"/>
  <c r="AH111" i="10"/>
  <c r="N106" i="10"/>
  <c r="AE87" i="10"/>
  <c r="AE123" i="10"/>
  <c r="AE129" i="10"/>
  <c r="AE118" i="10"/>
  <c r="AI103" i="10"/>
  <c r="AH110" i="10"/>
  <c r="AI110" i="10"/>
  <c r="AI87" i="10"/>
  <c r="AH90" i="10"/>
  <c r="AE126" i="10"/>
  <c r="AE119" i="10"/>
  <c r="AH126" i="10"/>
  <c r="AI126" i="10"/>
  <c r="AI127" i="10"/>
  <c r="AH127" i="10"/>
  <c r="AE113" i="10"/>
  <c r="AE112" i="10"/>
  <c r="N94" i="10"/>
  <c r="AH104" i="10"/>
  <c r="AH108" i="10"/>
  <c r="AH98" i="10"/>
  <c r="N104" i="10"/>
  <c r="AE104" i="10"/>
  <c r="AI102" i="10"/>
  <c r="AH102" i="10"/>
  <c r="AE108" i="10"/>
  <c r="N108" i="10"/>
  <c r="AI106" i="10"/>
  <c r="AH106" i="10"/>
  <c r="AH109" i="10"/>
  <c r="AI109" i="10"/>
  <c r="AH105" i="10"/>
  <c r="AI105" i="10"/>
  <c r="AH94" i="10"/>
  <c r="AH99" i="10"/>
  <c r="AI99" i="10"/>
  <c r="AE98" i="10"/>
  <c r="N98" i="10"/>
  <c r="AH95" i="10"/>
  <c r="AI95" i="10"/>
  <c r="N90" i="10"/>
  <c r="AE90" i="10"/>
  <c r="AI91" i="10"/>
  <c r="AH91" i="10"/>
  <c r="AG78" i="10"/>
  <c r="AD78" i="10"/>
  <c r="AI78" i="10" s="1"/>
  <c r="AF83" i="10"/>
  <c r="N83" i="10" s="1"/>
  <c r="AD83" i="10"/>
  <c r="AI83" i="10" s="1"/>
  <c r="AG79" i="10"/>
  <c r="AF79" i="10"/>
  <c r="N79" i="10" s="1"/>
  <c r="AI80" i="10"/>
  <c r="AF82" i="10"/>
  <c r="N82" i="10" s="1"/>
  <c r="AH85" i="10"/>
  <c r="AG82" i="10"/>
  <c r="AE81" i="10"/>
  <c r="AI79" i="10"/>
  <c r="AH77" i="10"/>
  <c r="AI84" i="10"/>
  <c r="AH81" i="10"/>
  <c r="AE84" i="10"/>
  <c r="AH82" i="10"/>
  <c r="AE80" i="10"/>
  <c r="AE78" i="10"/>
  <c r="AE77" i="10"/>
  <c r="AE85" i="10"/>
  <c r="AG70" i="10"/>
  <c r="AH69" i="10"/>
  <c r="AE70" i="10"/>
  <c r="AH72" i="10"/>
  <c r="G57" i="10"/>
  <c r="AF57" i="10" s="1"/>
  <c r="N57" i="10" s="1"/>
  <c r="G56" i="10"/>
  <c r="AG56" i="10" s="1"/>
  <c r="G55" i="10"/>
  <c r="AD55" i="10" s="1"/>
  <c r="G54" i="10"/>
  <c r="AF54" i="10" s="1"/>
  <c r="N54" i="10" s="1"/>
  <c r="G53" i="10"/>
  <c r="AF53" i="10" s="1"/>
  <c r="N53" i="10" s="1"/>
  <c r="G52" i="10"/>
  <c r="AD52" i="10" s="1"/>
  <c r="AH52" i="10" s="1"/>
  <c r="AD51" i="10"/>
  <c r="G50" i="10"/>
  <c r="AD50" i="10" s="1"/>
  <c r="Q42" i="10"/>
  <c r="Q43" i="10"/>
  <c r="Q44" i="10"/>
  <c r="Q45" i="10"/>
  <c r="Q46" i="10"/>
  <c r="Q47" i="10"/>
  <c r="Q48" i="10"/>
  <c r="Q49" i="10"/>
  <c r="AD42" i="10"/>
  <c r="AI42" i="10" s="1"/>
  <c r="AD43" i="10"/>
  <c r="AI43" i="10" s="1"/>
  <c r="AD44" i="10"/>
  <c r="AI44" i="10" s="1"/>
  <c r="AD45" i="10"/>
  <c r="AI45" i="10" s="1"/>
  <c r="AD46" i="10"/>
  <c r="AI46" i="10" s="1"/>
  <c r="AD47" i="10"/>
  <c r="AI47" i="10" s="1"/>
  <c r="AD48" i="10"/>
  <c r="AI48" i="10" s="1"/>
  <c r="AD49" i="10"/>
  <c r="AH49" i="10" s="1"/>
  <c r="AF42" i="10"/>
  <c r="N42" i="10" s="1"/>
  <c r="AF43" i="10"/>
  <c r="N43" i="10" s="1"/>
  <c r="AF44" i="10"/>
  <c r="N44" i="10" s="1"/>
  <c r="AF45" i="10"/>
  <c r="N45" i="10" s="1"/>
  <c r="AF46" i="10"/>
  <c r="N46" i="10" s="1"/>
  <c r="AF47" i="10"/>
  <c r="N47" i="10" s="1"/>
  <c r="AF48" i="10"/>
  <c r="N48" i="10" s="1"/>
  <c r="AF49" i="10"/>
  <c r="N49" i="10" s="1"/>
  <c r="AG42" i="10"/>
  <c r="AG43" i="10"/>
  <c r="AG44" i="10"/>
  <c r="AG45" i="10"/>
  <c r="AG46" i="10"/>
  <c r="AG47" i="10"/>
  <c r="AG48" i="10"/>
  <c r="AG49" i="10"/>
  <c r="AH42" i="10"/>
  <c r="AH43" i="10"/>
  <c r="AJ42" i="10"/>
  <c r="AJ43" i="10"/>
  <c r="AJ44" i="10"/>
  <c r="AJ45" i="10"/>
  <c r="AJ46" i="10"/>
  <c r="AJ47" i="10"/>
  <c r="AJ48" i="10"/>
  <c r="AJ49" i="10"/>
  <c r="AK42" i="10"/>
  <c r="AK43" i="10"/>
  <c r="AK44" i="10"/>
  <c r="AK45" i="10"/>
  <c r="AK46" i="10"/>
  <c r="AK47" i="10"/>
  <c r="AK48" i="10"/>
  <c r="AK49" i="10"/>
  <c r="AN42" i="10"/>
  <c r="AN43" i="10"/>
  <c r="AN44" i="10"/>
  <c r="AN45" i="10"/>
  <c r="AN46" i="10"/>
  <c r="AN47" i="10"/>
  <c r="AN48" i="10"/>
  <c r="AN49" i="10"/>
  <c r="AO42" i="10"/>
  <c r="AO43" i="10"/>
  <c r="AO44" i="10"/>
  <c r="AO45" i="10"/>
  <c r="AO46" i="10"/>
  <c r="AO47" i="10"/>
  <c r="AO48" i="10"/>
  <c r="AO49" i="10"/>
  <c r="AV42" i="10"/>
  <c r="AV43" i="10"/>
  <c r="AV44" i="10"/>
  <c r="AV45" i="10"/>
  <c r="AV46" i="10"/>
  <c r="AV47" i="10"/>
  <c r="AV48" i="10"/>
  <c r="AV49" i="10"/>
  <c r="Q50" i="10"/>
  <c r="Q51" i="10"/>
  <c r="Q52" i="10"/>
  <c r="Q53" i="10"/>
  <c r="Q54" i="10"/>
  <c r="Q55" i="10"/>
  <c r="Q56" i="10"/>
  <c r="Q57" i="10"/>
  <c r="AD54" i="10"/>
  <c r="AH54" i="10" s="1"/>
  <c r="AJ50" i="10"/>
  <c r="AJ51" i="10"/>
  <c r="AJ52" i="10"/>
  <c r="AJ53" i="10"/>
  <c r="AJ54" i="10"/>
  <c r="AJ55" i="10"/>
  <c r="AJ56" i="10"/>
  <c r="AJ57" i="10"/>
  <c r="AK50" i="10"/>
  <c r="AK51" i="10"/>
  <c r="AK52" i="10"/>
  <c r="AK53" i="10"/>
  <c r="AK54" i="10"/>
  <c r="AK55" i="10"/>
  <c r="AK56" i="10"/>
  <c r="AK57" i="10"/>
  <c r="AN50" i="10"/>
  <c r="AN51" i="10"/>
  <c r="AN52" i="10"/>
  <c r="AN53" i="10"/>
  <c r="AN54" i="10"/>
  <c r="AN55" i="10"/>
  <c r="AN56" i="10"/>
  <c r="AN57" i="10"/>
  <c r="AO50" i="10"/>
  <c r="AO51" i="10"/>
  <c r="AO52" i="10"/>
  <c r="AO53" i="10"/>
  <c r="AO54" i="10"/>
  <c r="AO55" i="10"/>
  <c r="AO56" i="10"/>
  <c r="AO57" i="10"/>
  <c r="AV50" i="10"/>
  <c r="AV51" i="10"/>
  <c r="AV52" i="10"/>
  <c r="AV53" i="10"/>
  <c r="AV54" i="10"/>
  <c r="AV55" i="10"/>
  <c r="AV56" i="10"/>
  <c r="AV57" i="10"/>
  <c r="Q75" i="10"/>
  <c r="AD75" i="10"/>
  <c r="AI75" i="10" s="1"/>
  <c r="AF75" i="10"/>
  <c r="N75" i="10" s="1"/>
  <c r="AG75" i="10"/>
  <c r="AJ75" i="10"/>
  <c r="AK75" i="10"/>
  <c r="AN75" i="10"/>
  <c r="AO75" i="10"/>
  <c r="AV75" i="10"/>
  <c r="Q34" i="10"/>
  <c r="Q35" i="10"/>
  <c r="Q36" i="10"/>
  <c r="Q37" i="10"/>
  <c r="AD34" i="10"/>
  <c r="AI34" i="10" s="1"/>
  <c r="AD35" i="10"/>
  <c r="AH35" i="10" s="1"/>
  <c r="AD36" i="10"/>
  <c r="AI36" i="10" s="1"/>
  <c r="AD37" i="10"/>
  <c r="AI37" i="10" s="1"/>
  <c r="AF34" i="10"/>
  <c r="N34" i="10" s="1"/>
  <c r="AF35" i="10"/>
  <c r="N35" i="10" s="1"/>
  <c r="AF36" i="10"/>
  <c r="N36" i="10" s="1"/>
  <c r="AF37" i="10"/>
  <c r="N37" i="10" s="1"/>
  <c r="AG34" i="10"/>
  <c r="AG35" i="10"/>
  <c r="AG36" i="10"/>
  <c r="AG37" i="10"/>
  <c r="AJ34" i="10"/>
  <c r="AJ35" i="10"/>
  <c r="AJ36" i="10"/>
  <c r="AJ37" i="10"/>
  <c r="AK34" i="10"/>
  <c r="AK35" i="10"/>
  <c r="AK36" i="10"/>
  <c r="AK37" i="10"/>
  <c r="AN34" i="10"/>
  <c r="AN35" i="10"/>
  <c r="AN36" i="10"/>
  <c r="AN37" i="10"/>
  <c r="AO34" i="10"/>
  <c r="AO35" i="10"/>
  <c r="AO36" i="10"/>
  <c r="AO37" i="10"/>
  <c r="AV34" i="10"/>
  <c r="AV35" i="10"/>
  <c r="AV36" i="10"/>
  <c r="AV37" i="10"/>
  <c r="Q38" i="10"/>
  <c r="Q39" i="10"/>
  <c r="Q40" i="10"/>
  <c r="Q41" i="10"/>
  <c r="AD38" i="10"/>
  <c r="AI38" i="10" s="1"/>
  <c r="AD39" i="10"/>
  <c r="AI39" i="10" s="1"/>
  <c r="AD40" i="10"/>
  <c r="AH40" i="10" s="1"/>
  <c r="AD41" i="10"/>
  <c r="AH41" i="10" s="1"/>
  <c r="AF38" i="10"/>
  <c r="N38" i="10" s="1"/>
  <c r="AF39" i="10"/>
  <c r="N39" i="10" s="1"/>
  <c r="AF40" i="10"/>
  <c r="N40" i="10" s="1"/>
  <c r="AF41" i="10"/>
  <c r="N41" i="10" s="1"/>
  <c r="AG38" i="10"/>
  <c r="AG39" i="10"/>
  <c r="AG40" i="10"/>
  <c r="AG41" i="10"/>
  <c r="AJ38" i="10"/>
  <c r="AJ39" i="10"/>
  <c r="AJ40" i="10"/>
  <c r="AJ41" i="10"/>
  <c r="AK38" i="10"/>
  <c r="AK39" i="10"/>
  <c r="AK40" i="10"/>
  <c r="AK41" i="10"/>
  <c r="AN38" i="10"/>
  <c r="AN39" i="10"/>
  <c r="AN40" i="10"/>
  <c r="AN41" i="10"/>
  <c r="AO38" i="10"/>
  <c r="AO39" i="10"/>
  <c r="AO40" i="10"/>
  <c r="AO41" i="10"/>
  <c r="AV38" i="10"/>
  <c r="AV39" i="10"/>
  <c r="AV40" i="10"/>
  <c r="AV41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AH46" i="10" l="1"/>
  <c r="H673" i="1"/>
  <c r="I672" i="1"/>
  <c r="J672" i="1"/>
  <c r="O672" i="1" s="1"/>
  <c r="AH45" i="10"/>
  <c r="AH44" i="10"/>
  <c r="J3" i="19"/>
  <c r="AH71" i="10"/>
  <c r="K2" i="19"/>
  <c r="L1" i="19"/>
  <c r="AF55" i="10"/>
  <c r="N55" i="10" s="1"/>
  <c r="AG53" i="10"/>
  <c r="AG51" i="10"/>
  <c r="AF51" i="10"/>
  <c r="N51" i="10" s="1"/>
  <c r="AH70" i="10"/>
  <c r="U205" i="10"/>
  <c r="X168" i="10"/>
  <c r="U169" i="10"/>
  <c r="AD56" i="10"/>
  <c r="AI56" i="10" s="1"/>
  <c r="AF56" i="10"/>
  <c r="N56" i="10" s="1"/>
  <c r="AE72" i="10"/>
  <c r="AE69" i="10"/>
  <c r="AE71" i="10"/>
  <c r="AG52" i="10"/>
  <c r="AF52" i="10"/>
  <c r="N52" i="10" s="1"/>
  <c r="U206" i="10"/>
  <c r="U208" i="10"/>
  <c r="U204" i="10"/>
  <c r="X171" i="10"/>
  <c r="U174" i="10"/>
  <c r="U168" i="10"/>
  <c r="AH39" i="10"/>
  <c r="AH38" i="10"/>
  <c r="AI41" i="10"/>
  <c r="AI40" i="10"/>
  <c r="AE82" i="10"/>
  <c r="AH48" i="10"/>
  <c r="AH47" i="10"/>
  <c r="AH83" i="10"/>
  <c r="AH34" i="10"/>
  <c r="AE83" i="10"/>
  <c r="AH78" i="10"/>
  <c r="AE79" i="10"/>
  <c r="AI52" i="10"/>
  <c r="AH51" i="10"/>
  <c r="AI51" i="10"/>
  <c r="AH55" i="10"/>
  <c r="AI55" i="10"/>
  <c r="AI54" i="10"/>
  <c r="AG57" i="10"/>
  <c r="AD57" i="10"/>
  <c r="AH57" i="10" s="1"/>
  <c r="AD53" i="10"/>
  <c r="AH53" i="10" s="1"/>
  <c r="AG55" i="10"/>
  <c r="AH37" i="10"/>
  <c r="AH36" i="10"/>
  <c r="AI35" i="10"/>
  <c r="AG54" i="10"/>
  <c r="AH50" i="10"/>
  <c r="AI50" i="10"/>
  <c r="AG50" i="10"/>
  <c r="AF50" i="10"/>
  <c r="N50" i="10" s="1"/>
  <c r="AI49" i="10"/>
  <c r="AE48" i="10"/>
  <c r="AE44" i="10"/>
  <c r="AE49" i="10"/>
  <c r="AE45" i="10"/>
  <c r="AE47" i="10"/>
  <c r="AE43" i="10"/>
  <c r="AE46" i="10"/>
  <c r="AE42" i="10"/>
  <c r="AE57" i="10"/>
  <c r="AE53" i="10"/>
  <c r="AE54" i="10"/>
  <c r="AH75" i="10"/>
  <c r="AE75" i="10"/>
  <c r="AE36" i="10"/>
  <c r="AE37" i="10"/>
  <c r="AE35" i="10"/>
  <c r="AE34" i="10"/>
  <c r="AE40" i="10"/>
  <c r="AE39" i="10"/>
  <c r="AE41" i="10"/>
  <c r="AE38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AV28" i="10"/>
  <c r="AO28" i="10"/>
  <c r="AN28" i="10"/>
  <c r="AG28" i="10"/>
  <c r="AF28" i="10"/>
  <c r="AE28" i="10" s="1"/>
  <c r="AD28" i="10"/>
  <c r="AI28" i="10" s="1"/>
  <c r="Q28" i="10"/>
  <c r="AV27" i="10"/>
  <c r="AO27" i="10"/>
  <c r="AN27" i="10"/>
  <c r="AG27" i="10"/>
  <c r="AF27" i="10"/>
  <c r="AE27" i="10" s="1"/>
  <c r="AD27" i="10"/>
  <c r="AH27" i="10" s="1"/>
  <c r="Q27" i="10"/>
  <c r="AV26" i="10"/>
  <c r="AO26" i="10"/>
  <c r="AN26" i="10"/>
  <c r="AG26" i="10"/>
  <c r="AF26" i="10"/>
  <c r="AE26" i="10" s="1"/>
  <c r="AD26" i="10"/>
  <c r="AI26" i="10" s="1"/>
  <c r="Q26" i="10"/>
  <c r="AV25" i="10"/>
  <c r="AO25" i="10"/>
  <c r="AN25" i="10"/>
  <c r="AG25" i="10"/>
  <c r="AF25" i="10"/>
  <c r="AE25" i="10" s="1"/>
  <c r="AD25" i="10"/>
  <c r="AH25" i="10" s="1"/>
  <c r="Q25" i="10"/>
  <c r="AV24" i="10"/>
  <c r="AO24" i="10"/>
  <c r="AN24" i="10"/>
  <c r="AG24" i="10"/>
  <c r="AF24" i="10"/>
  <c r="AE24" i="10" s="1"/>
  <c r="AD24" i="10"/>
  <c r="AI24" i="10" s="1"/>
  <c r="Q24" i="10"/>
  <c r="AV23" i="10"/>
  <c r="AO23" i="10"/>
  <c r="AN23" i="10"/>
  <c r="AG23" i="10"/>
  <c r="AF23" i="10"/>
  <c r="AE23" i="10" s="1"/>
  <c r="AD23" i="10"/>
  <c r="AH23" i="10" s="1"/>
  <c r="Q23" i="10"/>
  <c r="AV22" i="10"/>
  <c r="AO22" i="10"/>
  <c r="AN22" i="10"/>
  <c r="AG22" i="10"/>
  <c r="AF22" i="10"/>
  <c r="AE22" i="10" s="1"/>
  <c r="AD22" i="10"/>
  <c r="AI22" i="10" s="1"/>
  <c r="Q22" i="10"/>
  <c r="AV21" i="10"/>
  <c r="AO21" i="10"/>
  <c r="AN21" i="10"/>
  <c r="AG21" i="10"/>
  <c r="AF21" i="10"/>
  <c r="AE21" i="10" s="1"/>
  <c r="AD21" i="10"/>
  <c r="AH21" i="10" s="1"/>
  <c r="Q21" i="10"/>
  <c r="AV20" i="10"/>
  <c r="AO20" i="10"/>
  <c r="AN20" i="10"/>
  <c r="AG20" i="10"/>
  <c r="AF20" i="10"/>
  <c r="AE20" i="10" s="1"/>
  <c r="AD20" i="10"/>
  <c r="AI20" i="10" s="1"/>
  <c r="Q20" i="10"/>
  <c r="AV19" i="10"/>
  <c r="AO19" i="10"/>
  <c r="AN19" i="10"/>
  <c r="AG19" i="10"/>
  <c r="AF19" i="10"/>
  <c r="AE19" i="10" s="1"/>
  <c r="AD19" i="10"/>
  <c r="AH19" i="10" s="1"/>
  <c r="Q19" i="10"/>
  <c r="AV18" i="10"/>
  <c r="AO18" i="10"/>
  <c r="AN18" i="10"/>
  <c r="AG18" i="10"/>
  <c r="AF18" i="10"/>
  <c r="AE18" i="10" s="1"/>
  <c r="AD18" i="10"/>
  <c r="AH18" i="10" s="1"/>
  <c r="Q18" i="10"/>
  <c r="AV17" i="10"/>
  <c r="AO17" i="10"/>
  <c r="AN17" i="10"/>
  <c r="AG17" i="10"/>
  <c r="AF17" i="10"/>
  <c r="AE17" i="10" s="1"/>
  <c r="AD17" i="10"/>
  <c r="AI17" i="10" s="1"/>
  <c r="Q17" i="10"/>
  <c r="Q31" i="10"/>
  <c r="AD31" i="10"/>
  <c r="AH31" i="10" s="1"/>
  <c r="AF31" i="10"/>
  <c r="N31" i="10" s="1"/>
  <c r="AG31" i="10"/>
  <c r="AJ31" i="10"/>
  <c r="AK31" i="10"/>
  <c r="AN31" i="10"/>
  <c r="AO31" i="10"/>
  <c r="AV31" i="10"/>
  <c r="Q32" i="10"/>
  <c r="AD32" i="10"/>
  <c r="AI32" i="10" s="1"/>
  <c r="AF32" i="10"/>
  <c r="AE32" i="10" s="1"/>
  <c r="AG32" i="10"/>
  <c r="AJ32" i="10"/>
  <c r="AK32" i="10"/>
  <c r="AN32" i="10"/>
  <c r="AO32" i="10"/>
  <c r="AV32" i="10"/>
  <c r="Q33" i="10"/>
  <c r="AD33" i="10"/>
  <c r="AI33" i="10" s="1"/>
  <c r="AF33" i="10"/>
  <c r="AE33" i="10" s="1"/>
  <c r="AG33" i="10"/>
  <c r="AJ33" i="10"/>
  <c r="AK33" i="10"/>
  <c r="AN33" i="10"/>
  <c r="AO33" i="10"/>
  <c r="AV33" i="10"/>
  <c r="Q66" i="10"/>
  <c r="AD66" i="10"/>
  <c r="AI66" i="10" s="1"/>
  <c r="AF66" i="10"/>
  <c r="N66" i="10" s="1"/>
  <c r="AG66" i="10"/>
  <c r="AJ66" i="10"/>
  <c r="AK66" i="10"/>
  <c r="AN66" i="10"/>
  <c r="AO66" i="10"/>
  <c r="AV66" i="10"/>
  <c r="Q67" i="10"/>
  <c r="AD67" i="10"/>
  <c r="AI67" i="10" s="1"/>
  <c r="AF67" i="10"/>
  <c r="N67" i="10" s="1"/>
  <c r="AG67" i="10"/>
  <c r="AJ67" i="10"/>
  <c r="AK67" i="10"/>
  <c r="AN67" i="10"/>
  <c r="AO67" i="10"/>
  <c r="AV67" i="10"/>
  <c r="Q68" i="10"/>
  <c r="AD68" i="10"/>
  <c r="AH68" i="10" s="1"/>
  <c r="AF68" i="10"/>
  <c r="N68" i="10" s="1"/>
  <c r="AG68" i="10"/>
  <c r="AJ68" i="10"/>
  <c r="AK68" i="10"/>
  <c r="AN68" i="10"/>
  <c r="AO68" i="10"/>
  <c r="AV68" i="10"/>
  <c r="Q73" i="10"/>
  <c r="AD73" i="10"/>
  <c r="AI73" i="10" s="1"/>
  <c r="AF73" i="10"/>
  <c r="N73" i="10" s="1"/>
  <c r="AG73" i="10"/>
  <c r="AJ73" i="10"/>
  <c r="AK73" i="10"/>
  <c r="AN73" i="10"/>
  <c r="AO73" i="10"/>
  <c r="AV73" i="10"/>
  <c r="I673" i="1" l="1"/>
  <c r="H674" i="1"/>
  <c r="J673" i="1"/>
  <c r="O673" i="1" s="1"/>
  <c r="L2" i="19"/>
  <c r="L3" i="19" s="1"/>
  <c r="M1" i="19"/>
  <c r="K3" i="19"/>
  <c r="AE52" i="10"/>
  <c r="AE55" i="10"/>
  <c r="AE51" i="10"/>
  <c r="AH56" i="10"/>
  <c r="X205" i="10"/>
  <c r="AE56" i="10"/>
  <c r="X206" i="10"/>
  <c r="U209" i="10"/>
  <c r="U211" i="10"/>
  <c r="X208" i="10"/>
  <c r="U207" i="10"/>
  <c r="U170" i="10"/>
  <c r="U177" i="10"/>
  <c r="AI53" i="10"/>
  <c r="AI57" i="10"/>
  <c r="AE50" i="10"/>
  <c r="N28" i="10"/>
  <c r="N21" i="10"/>
  <c r="N25" i="10"/>
  <c r="N24" i="10"/>
  <c r="AH33" i="10"/>
  <c r="AI18" i="10"/>
  <c r="U18" i="10" s="1"/>
  <c r="AH73" i="10"/>
  <c r="AH67" i="10"/>
  <c r="AI31" i="10"/>
  <c r="N19" i="10"/>
  <c r="N26" i="10"/>
  <c r="N22" i="10"/>
  <c r="AI27" i="10"/>
  <c r="X27" i="10" s="1"/>
  <c r="U17" i="10"/>
  <c r="U20" i="10"/>
  <c r="AI23" i="10"/>
  <c r="X23" i="10" s="1"/>
  <c r="N17" i="10"/>
  <c r="AI19" i="10"/>
  <c r="N20" i="10"/>
  <c r="AI21" i="10"/>
  <c r="N23" i="10"/>
  <c r="N27" i="10"/>
  <c r="AH32" i="10"/>
  <c r="AI25" i="10"/>
  <c r="U25" i="10" s="1"/>
  <c r="AH17" i="10"/>
  <c r="N18" i="10"/>
  <c r="U22" i="10"/>
  <c r="U24" i="10"/>
  <c r="U26" i="10"/>
  <c r="U28" i="10"/>
  <c r="AH20" i="10"/>
  <c r="AH22" i="10"/>
  <c r="AH24" i="10"/>
  <c r="AH26" i="10"/>
  <c r="AH28" i="10"/>
  <c r="AE73" i="10"/>
  <c r="AH66" i="10"/>
  <c r="AI68" i="10"/>
  <c r="AE68" i="10"/>
  <c r="N33" i="10"/>
  <c r="N32" i="10"/>
  <c r="AE31" i="10"/>
  <c r="AE67" i="10"/>
  <c r="AE66" i="10"/>
  <c r="H675" i="1" l="1"/>
  <c r="I674" i="1"/>
  <c r="J674" i="1"/>
  <c r="O674" i="1" s="1"/>
  <c r="M2" i="19"/>
  <c r="M3" i="19" s="1"/>
  <c r="N1" i="19"/>
  <c r="U171" i="10"/>
  <c r="X169" i="10"/>
  <c r="X207" i="10"/>
  <c r="U210" i="10"/>
  <c r="U212" i="10"/>
  <c r="U214" i="10"/>
  <c r="X209" i="10"/>
  <c r="X211" i="10"/>
  <c r="U176" i="10"/>
  <c r="X170" i="10"/>
  <c r="U172" i="10"/>
  <c r="U173" i="10"/>
  <c r="X174" i="10"/>
  <c r="X177" i="10"/>
  <c r="U23" i="10"/>
  <c r="X25" i="10"/>
  <c r="X18" i="10"/>
  <c r="U19" i="10"/>
  <c r="U21" i="10"/>
  <c r="X21" i="10"/>
  <c r="U27" i="10"/>
  <c r="X19" i="10"/>
  <c r="X28" i="10"/>
  <c r="X26" i="10"/>
  <c r="X20" i="10"/>
  <c r="X17" i="10"/>
  <c r="X24" i="10"/>
  <c r="X22" i="10"/>
  <c r="I675" i="1" l="1"/>
  <c r="H676" i="1"/>
  <c r="J675" i="1"/>
  <c r="O675" i="1" s="1"/>
  <c r="N2" i="19"/>
  <c r="N3" i="19" s="1"/>
  <c r="O1" i="19"/>
  <c r="U180" i="10"/>
  <c r="U213" i="10"/>
  <c r="X212" i="10"/>
  <c r="X214" i="10"/>
  <c r="U215" i="10"/>
  <c r="U217" i="10"/>
  <c r="X210" i="10"/>
  <c r="U175" i="10"/>
  <c r="X172" i="10"/>
  <c r="X173" i="10"/>
  <c r="X180" i="10"/>
  <c r="U183" i="10"/>
  <c r="H677" i="1" l="1"/>
  <c r="I676" i="1"/>
  <c r="J676" i="1"/>
  <c r="O676" i="1" s="1"/>
  <c r="P1" i="19"/>
  <c r="O2" i="19"/>
  <c r="O3" i="19" s="1"/>
  <c r="U220" i="10"/>
  <c r="X215" i="10"/>
  <c r="X213" i="10"/>
  <c r="X217" i="10"/>
  <c r="U216" i="10"/>
  <c r="U218" i="10"/>
  <c r="X176" i="10"/>
  <c r="U179" i="10"/>
  <c r="U181" i="10"/>
  <c r="X175" i="10"/>
  <c r="U178" i="10"/>
  <c r="U186" i="10"/>
  <c r="I66" i="5"/>
  <c r="I65" i="5"/>
  <c r="I64" i="5"/>
  <c r="I63" i="5"/>
  <c r="I62" i="5"/>
  <c r="I61" i="5"/>
  <c r="I60" i="5"/>
  <c r="E60" i="5"/>
  <c r="E61" i="5" s="1"/>
  <c r="E62" i="5" s="1"/>
  <c r="E63" i="5" s="1"/>
  <c r="E64" i="5" s="1"/>
  <c r="E65" i="5" s="1"/>
  <c r="D60" i="5"/>
  <c r="D61" i="5" s="1"/>
  <c r="I59" i="5"/>
  <c r="H678" i="1" l="1"/>
  <c r="J677" i="1"/>
  <c r="O677" i="1" s="1"/>
  <c r="I677" i="1"/>
  <c r="P2" i="19"/>
  <c r="P3" i="19" s="1"/>
  <c r="Q1" i="19"/>
  <c r="X218" i="10"/>
  <c r="X216" i="10"/>
  <c r="X220" i="10"/>
  <c r="U219" i="10"/>
  <c r="U221" i="10"/>
  <c r="U223" i="10"/>
  <c r="U182" i="10"/>
  <c r="X178" i="10"/>
  <c r="X179" i="10"/>
  <c r="X186" i="10"/>
  <c r="X183" i="10"/>
  <c r="X189" i="10"/>
  <c r="U189" i="10"/>
  <c r="D62" i="5"/>
  <c r="AA62" i="5" s="1"/>
  <c r="G103" i="5"/>
  <c r="G102" i="5"/>
  <c r="G101" i="5"/>
  <c r="G100" i="5"/>
  <c r="G99" i="5"/>
  <c r="G98" i="5"/>
  <c r="G97" i="5"/>
  <c r="G96" i="5"/>
  <c r="G95" i="5"/>
  <c r="G94" i="5"/>
  <c r="AE58" i="5"/>
  <c r="AD58" i="5"/>
  <c r="I58" i="5"/>
  <c r="I57" i="5"/>
  <c r="I56" i="5"/>
  <c r="I55" i="5"/>
  <c r="I54" i="5"/>
  <c r="I53" i="5"/>
  <c r="I52" i="5"/>
  <c r="E52" i="5"/>
  <c r="D52" i="5"/>
  <c r="AA52" i="5" s="1"/>
  <c r="AE51" i="5"/>
  <c r="AD51" i="5"/>
  <c r="AA51" i="5"/>
  <c r="Z51" i="5"/>
  <c r="I51" i="5"/>
  <c r="E44" i="5"/>
  <c r="E45" i="5" s="1"/>
  <c r="E46" i="5" s="1"/>
  <c r="E47" i="5" s="1"/>
  <c r="E48" i="5" s="1"/>
  <c r="E49" i="5" s="1"/>
  <c r="D44" i="5"/>
  <c r="Z59" i="5"/>
  <c r="Z60" i="5"/>
  <c r="Z61" i="5"/>
  <c r="AA59" i="5"/>
  <c r="AA60" i="5"/>
  <c r="AA61" i="5"/>
  <c r="AD59" i="5"/>
  <c r="AD60" i="5"/>
  <c r="AD61" i="5"/>
  <c r="AD62" i="5"/>
  <c r="AE59" i="5"/>
  <c r="AE60" i="5"/>
  <c r="AE61" i="5"/>
  <c r="AE62" i="5"/>
  <c r="I67" i="5"/>
  <c r="I68" i="5"/>
  <c r="Z67" i="5"/>
  <c r="Z68" i="5"/>
  <c r="AA67" i="5"/>
  <c r="AA68" i="5"/>
  <c r="AD63" i="5"/>
  <c r="AD64" i="5"/>
  <c r="AD65" i="5"/>
  <c r="AD66" i="5"/>
  <c r="AD67" i="5"/>
  <c r="AD68" i="5"/>
  <c r="AE63" i="5"/>
  <c r="AE64" i="5"/>
  <c r="AE65" i="5"/>
  <c r="AE66" i="5"/>
  <c r="AE67" i="5"/>
  <c r="AE68" i="5"/>
  <c r="I69" i="5"/>
  <c r="I70" i="5"/>
  <c r="I71" i="5"/>
  <c r="I72" i="5"/>
  <c r="I73" i="5"/>
  <c r="I74" i="5"/>
  <c r="Z69" i="5"/>
  <c r="Z70" i="5"/>
  <c r="Z71" i="5"/>
  <c r="Z72" i="5"/>
  <c r="Z73" i="5"/>
  <c r="Z74" i="5"/>
  <c r="AA69" i="5"/>
  <c r="AA70" i="5"/>
  <c r="AA71" i="5"/>
  <c r="AA72" i="5"/>
  <c r="AA73" i="5"/>
  <c r="AA74" i="5"/>
  <c r="AD69" i="5"/>
  <c r="AD70" i="5"/>
  <c r="AD71" i="5"/>
  <c r="AD72" i="5"/>
  <c r="AD73" i="5"/>
  <c r="AD74" i="5"/>
  <c r="AE69" i="5"/>
  <c r="AE70" i="5"/>
  <c r="AE71" i="5"/>
  <c r="AE72" i="5"/>
  <c r="AE73" i="5"/>
  <c r="AE74" i="5"/>
  <c r="I75" i="5"/>
  <c r="I76" i="5"/>
  <c r="I77" i="5"/>
  <c r="I78" i="5"/>
  <c r="I79" i="5"/>
  <c r="I80" i="5"/>
  <c r="Z75" i="5"/>
  <c r="Z76" i="5"/>
  <c r="Z77" i="5"/>
  <c r="Z78" i="5"/>
  <c r="Z79" i="5"/>
  <c r="Z80" i="5"/>
  <c r="AA75" i="5"/>
  <c r="AA76" i="5"/>
  <c r="AA77" i="5"/>
  <c r="AA78" i="5"/>
  <c r="AA79" i="5"/>
  <c r="AA80" i="5"/>
  <c r="AD75" i="5"/>
  <c r="AD76" i="5"/>
  <c r="AD77" i="5"/>
  <c r="AD78" i="5"/>
  <c r="AD79" i="5"/>
  <c r="AD80" i="5"/>
  <c r="AE75" i="5"/>
  <c r="AE76" i="5"/>
  <c r="AE77" i="5"/>
  <c r="AE78" i="5"/>
  <c r="AE79" i="5"/>
  <c r="AE80" i="5"/>
  <c r="I81" i="5"/>
  <c r="I82" i="5"/>
  <c r="I83" i="5"/>
  <c r="I84" i="5"/>
  <c r="I85" i="5"/>
  <c r="I86" i="5"/>
  <c r="Z81" i="5"/>
  <c r="Z82" i="5"/>
  <c r="Z83" i="5"/>
  <c r="Z84" i="5"/>
  <c r="Z85" i="5"/>
  <c r="Z86" i="5"/>
  <c r="AA81" i="5"/>
  <c r="AA82" i="5"/>
  <c r="AA83" i="5"/>
  <c r="AA84" i="5"/>
  <c r="AA85" i="5"/>
  <c r="AA86" i="5"/>
  <c r="AD81" i="5"/>
  <c r="AD82" i="5"/>
  <c r="AD83" i="5"/>
  <c r="AD84" i="5"/>
  <c r="AD85" i="5"/>
  <c r="AD86" i="5"/>
  <c r="AE81" i="5"/>
  <c r="AE82" i="5"/>
  <c r="AE83" i="5"/>
  <c r="AE84" i="5"/>
  <c r="AE85" i="5"/>
  <c r="AE86" i="5"/>
  <c r="E37" i="5"/>
  <c r="E38" i="5" s="1"/>
  <c r="E39" i="5" s="1"/>
  <c r="E40" i="5" s="1"/>
  <c r="E41" i="5" s="1"/>
  <c r="D37" i="5"/>
  <c r="D38" i="5" s="1"/>
  <c r="D39" i="5" s="1"/>
  <c r="D40" i="5" s="1"/>
  <c r="D41" i="5" s="1"/>
  <c r="I41" i="5"/>
  <c r="I42" i="5"/>
  <c r="AD42" i="5"/>
  <c r="AE42" i="5"/>
  <c r="B25" i="5"/>
  <c r="G32" i="5" s="1"/>
  <c r="B15" i="5"/>
  <c r="G23" i="5" s="1"/>
  <c r="G14" i="5"/>
  <c r="G13" i="5"/>
  <c r="G12" i="5"/>
  <c r="G11" i="5"/>
  <c r="G10" i="5"/>
  <c r="G9" i="5"/>
  <c r="G8" i="5"/>
  <c r="G7" i="5"/>
  <c r="G6" i="5"/>
  <c r="G5" i="5"/>
  <c r="AJ208" i="1"/>
  <c r="AI207" i="1"/>
  <c r="AF204" i="1"/>
  <c r="AE203" i="1"/>
  <c r="AB200" i="1"/>
  <c r="H272" i="1"/>
  <c r="G272" i="1"/>
  <c r="H271" i="1"/>
  <c r="G271" i="1"/>
  <c r="H270" i="1"/>
  <c r="G270" i="1"/>
  <c r="H269" i="1"/>
  <c r="G269" i="1"/>
  <c r="H268" i="1"/>
  <c r="G268" i="1"/>
  <c r="H267" i="1"/>
  <c r="G267" i="1"/>
  <c r="AP267" i="1" s="1"/>
  <c r="H266" i="1"/>
  <c r="I266" i="1" s="1"/>
  <c r="G266" i="1"/>
  <c r="H265" i="1"/>
  <c r="I265" i="1" s="1"/>
  <c r="G265" i="1"/>
  <c r="AP265" i="1" s="1"/>
  <c r="H264" i="1"/>
  <c r="G264" i="1"/>
  <c r="H263" i="1"/>
  <c r="G263" i="1"/>
  <c r="AP263" i="1" s="1"/>
  <c r="H262" i="1"/>
  <c r="I262" i="1" s="1"/>
  <c r="G262" i="1"/>
  <c r="H261" i="1"/>
  <c r="I261" i="1" s="1"/>
  <c r="G261" i="1"/>
  <c r="AP261" i="1" s="1"/>
  <c r="H260" i="1"/>
  <c r="G260" i="1"/>
  <c r="H259" i="1"/>
  <c r="G259" i="1"/>
  <c r="AP259" i="1" s="1"/>
  <c r="H258" i="1"/>
  <c r="I258" i="1" s="1"/>
  <c r="G258" i="1"/>
  <c r="H257" i="1"/>
  <c r="I257" i="1" s="1"/>
  <c r="G257" i="1"/>
  <c r="AP257" i="1" s="1"/>
  <c r="H256" i="1"/>
  <c r="G256" i="1"/>
  <c r="H255" i="1"/>
  <c r="G255" i="1"/>
  <c r="AP255" i="1" s="1"/>
  <c r="H254" i="1"/>
  <c r="I254" i="1" s="1"/>
  <c r="G254" i="1"/>
  <c r="H253" i="1"/>
  <c r="I253" i="1" s="1"/>
  <c r="G253" i="1"/>
  <c r="AP253" i="1" s="1"/>
  <c r="H252" i="1"/>
  <c r="G252" i="1"/>
  <c r="H251" i="1"/>
  <c r="G251" i="1"/>
  <c r="AP251" i="1" s="1"/>
  <c r="H250" i="1"/>
  <c r="I250" i="1" s="1"/>
  <c r="G250" i="1"/>
  <c r="H249" i="1"/>
  <c r="I249" i="1" s="1"/>
  <c r="G249" i="1"/>
  <c r="AP249" i="1" s="1"/>
  <c r="H248" i="1"/>
  <c r="G248" i="1"/>
  <c r="H247" i="1"/>
  <c r="G247" i="1"/>
  <c r="AP247" i="1" s="1"/>
  <c r="H246" i="1"/>
  <c r="I246" i="1" s="1"/>
  <c r="G246" i="1"/>
  <c r="H245" i="1"/>
  <c r="I245" i="1" s="1"/>
  <c r="G245" i="1"/>
  <c r="AP245" i="1" s="1"/>
  <c r="H244" i="1"/>
  <c r="G244" i="1"/>
  <c r="H243" i="1"/>
  <c r="G243" i="1"/>
  <c r="AP243" i="1" s="1"/>
  <c r="H242" i="1"/>
  <c r="I242" i="1" s="1"/>
  <c r="G242" i="1"/>
  <c r="H241" i="1"/>
  <c r="I241" i="1" s="1"/>
  <c r="G241" i="1"/>
  <c r="H240" i="1"/>
  <c r="I240" i="1" s="1"/>
  <c r="G240" i="1"/>
  <c r="AP240" i="1" s="1"/>
  <c r="H239" i="1"/>
  <c r="G239" i="1"/>
  <c r="H238" i="1"/>
  <c r="I238" i="1" s="1"/>
  <c r="G238" i="1"/>
  <c r="H237" i="1"/>
  <c r="I237" i="1" s="1"/>
  <c r="G237" i="1"/>
  <c r="AP237" i="1" s="1"/>
  <c r="H236" i="1"/>
  <c r="I236" i="1" s="1"/>
  <c r="G236" i="1"/>
  <c r="H235" i="1"/>
  <c r="G235" i="1"/>
  <c r="AP235" i="1" s="1"/>
  <c r="H234" i="1"/>
  <c r="I234" i="1" s="1"/>
  <c r="G234" i="1"/>
  <c r="H233" i="1"/>
  <c r="I233" i="1" s="1"/>
  <c r="G233" i="1"/>
  <c r="H232" i="1"/>
  <c r="I232" i="1" s="1"/>
  <c r="G232" i="1"/>
  <c r="AP232" i="1" s="1"/>
  <c r="H231" i="1"/>
  <c r="G231" i="1"/>
  <c r="H230" i="1"/>
  <c r="I230" i="1" s="1"/>
  <c r="G230" i="1"/>
  <c r="H229" i="1"/>
  <c r="I229" i="1" s="1"/>
  <c r="G229" i="1"/>
  <c r="AP229" i="1" s="1"/>
  <c r="H228" i="1"/>
  <c r="I228" i="1" s="1"/>
  <c r="G228" i="1"/>
  <c r="H227" i="1"/>
  <c r="G227" i="1"/>
  <c r="AP227" i="1" s="1"/>
  <c r="H226" i="1"/>
  <c r="I226" i="1" s="1"/>
  <c r="G226" i="1"/>
  <c r="H225" i="1"/>
  <c r="I225" i="1" s="1"/>
  <c r="G225" i="1"/>
  <c r="H224" i="1"/>
  <c r="I224" i="1" s="1"/>
  <c r="G224" i="1"/>
  <c r="AP224" i="1" s="1"/>
  <c r="H223" i="1"/>
  <c r="G223" i="1"/>
  <c r="H222" i="1"/>
  <c r="I222" i="1" s="1"/>
  <c r="G222" i="1"/>
  <c r="H221" i="1"/>
  <c r="I221" i="1" s="1"/>
  <c r="G221" i="1"/>
  <c r="AP221" i="1" s="1"/>
  <c r="H220" i="1"/>
  <c r="I220" i="1" s="1"/>
  <c r="G220" i="1"/>
  <c r="H219" i="1"/>
  <c r="G219" i="1"/>
  <c r="AP219" i="1" s="1"/>
  <c r="H218" i="1"/>
  <c r="I218" i="1" s="1"/>
  <c r="G218" i="1"/>
  <c r="AP218" i="1" s="1"/>
  <c r="H217" i="1"/>
  <c r="I217" i="1" s="1"/>
  <c r="G217" i="1"/>
  <c r="H216" i="1"/>
  <c r="G216" i="1"/>
  <c r="AP216" i="1" s="1"/>
  <c r="H215" i="1"/>
  <c r="I215" i="1" s="1"/>
  <c r="G215" i="1"/>
  <c r="AP215" i="1" s="1"/>
  <c r="H214" i="1"/>
  <c r="I214" i="1" s="1"/>
  <c r="G214" i="1"/>
  <c r="AP214" i="1" s="1"/>
  <c r="H213" i="1"/>
  <c r="I213" i="1" s="1"/>
  <c r="G213" i="1"/>
  <c r="H212" i="1"/>
  <c r="G212" i="1"/>
  <c r="AP212" i="1" s="1"/>
  <c r="H211" i="1"/>
  <c r="I211" i="1" s="1"/>
  <c r="G211" i="1"/>
  <c r="AP211" i="1" s="1"/>
  <c r="H210" i="1"/>
  <c r="I210" i="1" s="1"/>
  <c r="G210" i="1"/>
  <c r="AP210" i="1" s="1"/>
  <c r="H209" i="1"/>
  <c r="I209" i="1" s="1"/>
  <c r="G209" i="1"/>
  <c r="H208" i="1"/>
  <c r="I208" i="1" s="1"/>
  <c r="G208" i="1"/>
  <c r="H207" i="1"/>
  <c r="I207" i="1" s="1"/>
  <c r="G207" i="1"/>
  <c r="H206" i="1"/>
  <c r="I206" i="1" s="1"/>
  <c r="G206" i="1"/>
  <c r="AP206" i="1" s="1"/>
  <c r="H205" i="1"/>
  <c r="I205" i="1" s="1"/>
  <c r="G205" i="1"/>
  <c r="H204" i="1"/>
  <c r="I204" i="1" s="1"/>
  <c r="G204" i="1"/>
  <c r="H203" i="1"/>
  <c r="I203" i="1" s="1"/>
  <c r="G203" i="1"/>
  <c r="H202" i="1"/>
  <c r="G202" i="1"/>
  <c r="I219" i="1"/>
  <c r="I244" i="1"/>
  <c r="I248" i="1"/>
  <c r="I252" i="1"/>
  <c r="I256" i="1"/>
  <c r="I260" i="1"/>
  <c r="I264" i="1"/>
  <c r="I268" i="1"/>
  <c r="AB209" i="1"/>
  <c r="AD209" i="1" s="1"/>
  <c r="AB210" i="1"/>
  <c r="AD210" i="1" s="1"/>
  <c r="AB211" i="1"/>
  <c r="AD211" i="1" s="1"/>
  <c r="AB212" i="1"/>
  <c r="AD212" i="1" s="1"/>
  <c r="AB213" i="1"/>
  <c r="AD213" i="1" s="1"/>
  <c r="AB214" i="1"/>
  <c r="AD214" i="1" s="1"/>
  <c r="AB215" i="1"/>
  <c r="AD215" i="1" s="1"/>
  <c r="AB216" i="1"/>
  <c r="AD216" i="1" s="1"/>
  <c r="AB217" i="1"/>
  <c r="AD217" i="1" s="1"/>
  <c r="AB218" i="1"/>
  <c r="AD218" i="1" s="1"/>
  <c r="AB219" i="1"/>
  <c r="AD219" i="1" s="1"/>
  <c r="AB220" i="1"/>
  <c r="AD220" i="1" s="1"/>
  <c r="AB221" i="1"/>
  <c r="AD221" i="1" s="1"/>
  <c r="AB222" i="1"/>
  <c r="AD222" i="1" s="1"/>
  <c r="AB223" i="1"/>
  <c r="AD223" i="1" s="1"/>
  <c r="AB224" i="1"/>
  <c r="AD224" i="1" s="1"/>
  <c r="AB225" i="1"/>
  <c r="AD225" i="1" s="1"/>
  <c r="AB226" i="1"/>
  <c r="AD226" i="1" s="1"/>
  <c r="AB227" i="1"/>
  <c r="AD227" i="1" s="1"/>
  <c r="AB228" i="1"/>
  <c r="AD228" i="1" s="1"/>
  <c r="AB229" i="1"/>
  <c r="AD229" i="1" s="1"/>
  <c r="AB230" i="1"/>
  <c r="AD230" i="1" s="1"/>
  <c r="AB231" i="1"/>
  <c r="AD231" i="1" s="1"/>
  <c r="AB232" i="1"/>
  <c r="AD232" i="1" s="1"/>
  <c r="AB233" i="1"/>
  <c r="AD233" i="1" s="1"/>
  <c r="AB234" i="1"/>
  <c r="AC234" i="1" s="1"/>
  <c r="AB235" i="1"/>
  <c r="AC235" i="1" s="1"/>
  <c r="AB236" i="1"/>
  <c r="AD236" i="1" s="1"/>
  <c r="AB237" i="1"/>
  <c r="AC237" i="1" s="1"/>
  <c r="AB238" i="1"/>
  <c r="AC238" i="1" s="1"/>
  <c r="AB239" i="1"/>
  <c r="AB240" i="1"/>
  <c r="AC240" i="1" s="1"/>
  <c r="AB241" i="1"/>
  <c r="AD241" i="1" s="1"/>
  <c r="AB242" i="1"/>
  <c r="AD242" i="1" s="1"/>
  <c r="AB243" i="1"/>
  <c r="AB244" i="1"/>
  <c r="AD244" i="1" s="1"/>
  <c r="AB245" i="1"/>
  <c r="AC245" i="1" s="1"/>
  <c r="AB246" i="1"/>
  <c r="AC246" i="1" s="1"/>
  <c r="AB247" i="1"/>
  <c r="AB248" i="1"/>
  <c r="AD248" i="1" s="1"/>
  <c r="AB249" i="1"/>
  <c r="AD249" i="1" s="1"/>
  <c r="AB250" i="1"/>
  <c r="AC250" i="1" s="1"/>
  <c r="AB251" i="1"/>
  <c r="AB252" i="1"/>
  <c r="AD252" i="1" s="1"/>
  <c r="AB253" i="1"/>
  <c r="AC253" i="1" s="1"/>
  <c r="AB254" i="1"/>
  <c r="AC254" i="1" s="1"/>
  <c r="AB255" i="1"/>
  <c r="AB256" i="1"/>
  <c r="AC256" i="1" s="1"/>
  <c r="AB257" i="1"/>
  <c r="AC257" i="1" s="1"/>
  <c r="AB258" i="1"/>
  <c r="AC258" i="1" s="1"/>
  <c r="AB259" i="1"/>
  <c r="AB260" i="1"/>
  <c r="AD260" i="1" s="1"/>
  <c r="AB261" i="1"/>
  <c r="AC261" i="1" s="1"/>
  <c r="AB262" i="1"/>
  <c r="AD262" i="1" s="1"/>
  <c r="AB263" i="1"/>
  <c r="AB264" i="1"/>
  <c r="AD264" i="1" s="1"/>
  <c r="AB265" i="1"/>
  <c r="AD265" i="1" s="1"/>
  <c r="AB266" i="1"/>
  <c r="AC266" i="1" s="1"/>
  <c r="AB267" i="1"/>
  <c r="AB268" i="1"/>
  <c r="AD268" i="1" s="1"/>
  <c r="AC209" i="1"/>
  <c r="AC210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P209" i="1"/>
  <c r="AP213" i="1"/>
  <c r="AP217" i="1"/>
  <c r="AP220" i="1"/>
  <c r="AP223" i="1"/>
  <c r="AP225" i="1"/>
  <c r="AP228" i="1"/>
  <c r="AP231" i="1"/>
  <c r="AP233" i="1"/>
  <c r="AP236" i="1"/>
  <c r="AP239" i="1"/>
  <c r="AP241" i="1"/>
  <c r="AP244" i="1"/>
  <c r="AP246" i="1"/>
  <c r="AP248" i="1"/>
  <c r="AP250" i="1"/>
  <c r="AP252" i="1"/>
  <c r="AP254" i="1"/>
  <c r="AP256" i="1"/>
  <c r="AP258" i="1"/>
  <c r="AP260" i="1"/>
  <c r="AP262" i="1"/>
  <c r="AP264" i="1"/>
  <c r="AP266" i="1"/>
  <c r="AP268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AB162" i="1"/>
  <c r="AD162" i="1" s="1"/>
  <c r="AB163" i="1"/>
  <c r="AD163" i="1" s="1"/>
  <c r="AB164" i="1"/>
  <c r="AC164" i="1" s="1"/>
  <c r="AE162" i="1"/>
  <c r="AE163" i="1"/>
  <c r="AE164" i="1"/>
  <c r="AF162" i="1"/>
  <c r="AF163" i="1"/>
  <c r="AF164" i="1"/>
  <c r="AI162" i="1"/>
  <c r="AI163" i="1"/>
  <c r="AI164" i="1"/>
  <c r="AJ162" i="1"/>
  <c r="AJ163" i="1"/>
  <c r="AJ164" i="1"/>
  <c r="I122" i="1"/>
  <c r="J122" i="1"/>
  <c r="O122" i="1" s="1"/>
  <c r="AB122" i="1"/>
  <c r="AD122" i="1" s="1"/>
  <c r="AE122" i="1"/>
  <c r="AF122" i="1"/>
  <c r="AI122" i="1"/>
  <c r="AJ122" i="1"/>
  <c r="AP122" i="1"/>
  <c r="I123" i="1"/>
  <c r="J123" i="1"/>
  <c r="O123" i="1" s="1"/>
  <c r="AB123" i="1"/>
  <c r="AC123" i="1" s="1"/>
  <c r="AE123" i="1"/>
  <c r="AF123" i="1"/>
  <c r="AI123" i="1"/>
  <c r="AJ123" i="1"/>
  <c r="AP123" i="1"/>
  <c r="I124" i="1"/>
  <c r="J124" i="1"/>
  <c r="O124" i="1" s="1"/>
  <c r="AB124" i="1"/>
  <c r="AC124" i="1" s="1"/>
  <c r="AE124" i="1"/>
  <c r="AF124" i="1"/>
  <c r="AI124" i="1"/>
  <c r="AJ124" i="1"/>
  <c r="AP124" i="1"/>
  <c r="H121" i="1"/>
  <c r="G121" i="1"/>
  <c r="F121" i="1"/>
  <c r="H120" i="1"/>
  <c r="G120" i="1"/>
  <c r="F120" i="1"/>
  <c r="H119" i="1"/>
  <c r="G119" i="1"/>
  <c r="F119" i="1"/>
  <c r="H118" i="1"/>
  <c r="G118" i="1"/>
  <c r="F118" i="1"/>
  <c r="H117" i="1"/>
  <c r="G117" i="1"/>
  <c r="F117" i="1"/>
  <c r="H116" i="1"/>
  <c r="G116" i="1"/>
  <c r="F116" i="1"/>
  <c r="H115" i="1"/>
  <c r="G115" i="1"/>
  <c r="F115" i="1"/>
  <c r="H114" i="1"/>
  <c r="G114" i="1"/>
  <c r="F114" i="1"/>
  <c r="H113" i="1"/>
  <c r="G113" i="1"/>
  <c r="F113" i="1"/>
  <c r="H112" i="1"/>
  <c r="G112" i="1"/>
  <c r="F112" i="1"/>
  <c r="H111" i="1"/>
  <c r="G111" i="1"/>
  <c r="F111" i="1"/>
  <c r="H110" i="1"/>
  <c r="G110" i="1"/>
  <c r="F110" i="1"/>
  <c r="H109" i="1"/>
  <c r="G109" i="1"/>
  <c r="F109" i="1"/>
  <c r="H108" i="1"/>
  <c r="G108" i="1"/>
  <c r="F108" i="1"/>
  <c r="H107" i="1"/>
  <c r="G107" i="1"/>
  <c r="F107" i="1"/>
  <c r="H106" i="1"/>
  <c r="G106" i="1"/>
  <c r="F106" i="1"/>
  <c r="H105" i="1"/>
  <c r="G105" i="1"/>
  <c r="F105" i="1"/>
  <c r="H104" i="1"/>
  <c r="G104" i="1"/>
  <c r="F104" i="1"/>
  <c r="H103" i="1"/>
  <c r="G103" i="1"/>
  <c r="F103" i="1"/>
  <c r="H102" i="1"/>
  <c r="G102" i="1"/>
  <c r="F102" i="1"/>
  <c r="H101" i="1"/>
  <c r="G101" i="1"/>
  <c r="F101" i="1"/>
  <c r="H100" i="1"/>
  <c r="G100" i="1"/>
  <c r="F100" i="1"/>
  <c r="H99" i="1"/>
  <c r="G99" i="1"/>
  <c r="F99" i="1"/>
  <c r="H98" i="1"/>
  <c r="G98" i="1"/>
  <c r="F98" i="1"/>
  <c r="H97" i="1"/>
  <c r="G97" i="1"/>
  <c r="F97" i="1"/>
  <c r="H96" i="1"/>
  <c r="G96" i="1"/>
  <c r="F96" i="1"/>
  <c r="H95" i="1"/>
  <c r="G95" i="1"/>
  <c r="F95" i="1"/>
  <c r="H94" i="1"/>
  <c r="G94" i="1"/>
  <c r="F94" i="1"/>
  <c r="H93" i="1"/>
  <c r="G93" i="1"/>
  <c r="F93" i="1"/>
  <c r="H92" i="1"/>
  <c r="G92" i="1"/>
  <c r="F92" i="1"/>
  <c r="H91" i="1"/>
  <c r="G91" i="1"/>
  <c r="F91" i="1"/>
  <c r="H90" i="1"/>
  <c r="G90" i="1"/>
  <c r="F90" i="1"/>
  <c r="H89" i="1"/>
  <c r="G89" i="1"/>
  <c r="F89" i="1"/>
  <c r="H88" i="1"/>
  <c r="G88" i="1"/>
  <c r="F88" i="1"/>
  <c r="H87" i="1"/>
  <c r="G87" i="1"/>
  <c r="F87" i="1"/>
  <c r="H86" i="1"/>
  <c r="G86" i="1"/>
  <c r="F86" i="1"/>
  <c r="G85" i="1"/>
  <c r="F85" i="1"/>
  <c r="I82" i="1"/>
  <c r="J82" i="1"/>
  <c r="O82" i="1" s="1"/>
  <c r="AB82" i="1"/>
  <c r="AC82" i="1" s="1"/>
  <c r="AE82" i="1"/>
  <c r="AF82" i="1"/>
  <c r="AI82" i="1"/>
  <c r="AJ82" i="1"/>
  <c r="AP82" i="1"/>
  <c r="I83" i="1"/>
  <c r="J83" i="1"/>
  <c r="O83" i="1" s="1"/>
  <c r="AB83" i="1"/>
  <c r="AC83" i="1" s="1"/>
  <c r="AE83" i="1"/>
  <c r="AF83" i="1"/>
  <c r="AI83" i="1"/>
  <c r="AJ83" i="1"/>
  <c r="AP83" i="1"/>
  <c r="I84" i="1"/>
  <c r="J84" i="1"/>
  <c r="O84" i="1" s="1"/>
  <c r="AB84" i="1"/>
  <c r="AD84" i="1" s="1"/>
  <c r="AE84" i="1"/>
  <c r="AF84" i="1"/>
  <c r="AI84" i="1"/>
  <c r="AJ84" i="1"/>
  <c r="AP84" i="1"/>
  <c r="H81" i="1"/>
  <c r="G81" i="1"/>
  <c r="F81" i="1"/>
  <c r="H80" i="1"/>
  <c r="G80" i="1"/>
  <c r="F80" i="1"/>
  <c r="H79" i="1"/>
  <c r="G79" i="1"/>
  <c r="F79" i="1"/>
  <c r="H78" i="1"/>
  <c r="G78" i="1"/>
  <c r="F78" i="1"/>
  <c r="H77" i="1"/>
  <c r="G77" i="1"/>
  <c r="F77" i="1"/>
  <c r="H76" i="1"/>
  <c r="G76" i="1"/>
  <c r="F76" i="1"/>
  <c r="H75" i="1"/>
  <c r="G75" i="1"/>
  <c r="F75" i="1"/>
  <c r="H74" i="1"/>
  <c r="G74" i="1"/>
  <c r="F74" i="1"/>
  <c r="H73" i="1"/>
  <c r="G73" i="1"/>
  <c r="F73" i="1"/>
  <c r="H72" i="1"/>
  <c r="G72" i="1"/>
  <c r="F72" i="1"/>
  <c r="H71" i="1"/>
  <c r="G71" i="1"/>
  <c r="F71" i="1"/>
  <c r="H70" i="1"/>
  <c r="G70" i="1"/>
  <c r="F70" i="1"/>
  <c r="H69" i="1"/>
  <c r="G69" i="1"/>
  <c r="F69" i="1"/>
  <c r="H68" i="1"/>
  <c r="G68" i="1"/>
  <c r="F68" i="1"/>
  <c r="H67" i="1"/>
  <c r="G67" i="1"/>
  <c r="F67" i="1"/>
  <c r="H66" i="1"/>
  <c r="G66" i="1"/>
  <c r="F66" i="1"/>
  <c r="H65" i="1"/>
  <c r="G65" i="1"/>
  <c r="F65" i="1"/>
  <c r="H64" i="1"/>
  <c r="G64" i="1"/>
  <c r="F64" i="1"/>
  <c r="H63" i="1"/>
  <c r="G63" i="1"/>
  <c r="F63" i="1"/>
  <c r="H62" i="1"/>
  <c r="G62" i="1"/>
  <c r="F62" i="1"/>
  <c r="H61" i="1"/>
  <c r="G61" i="1"/>
  <c r="F61" i="1"/>
  <c r="H60" i="1"/>
  <c r="G60" i="1"/>
  <c r="F60" i="1"/>
  <c r="H59" i="1"/>
  <c r="G59" i="1"/>
  <c r="F59" i="1"/>
  <c r="H58" i="1"/>
  <c r="G58" i="1"/>
  <c r="F58" i="1"/>
  <c r="H57" i="1"/>
  <c r="G57" i="1"/>
  <c r="F57" i="1"/>
  <c r="H56" i="1"/>
  <c r="G56" i="1"/>
  <c r="F56" i="1"/>
  <c r="H55" i="1"/>
  <c r="G55" i="1"/>
  <c r="F55" i="1"/>
  <c r="H54" i="1"/>
  <c r="G54" i="1"/>
  <c r="F54" i="1"/>
  <c r="H53" i="1"/>
  <c r="G53" i="1"/>
  <c r="F53" i="1"/>
  <c r="H52" i="1"/>
  <c r="G52" i="1"/>
  <c r="F52" i="1"/>
  <c r="H51" i="1"/>
  <c r="G51" i="1"/>
  <c r="F51" i="1"/>
  <c r="H50" i="1"/>
  <c r="G50" i="1"/>
  <c r="F50" i="1"/>
  <c r="H49" i="1"/>
  <c r="G49" i="1"/>
  <c r="F49" i="1"/>
  <c r="H48" i="1"/>
  <c r="G48" i="1"/>
  <c r="F48" i="1"/>
  <c r="H47" i="1"/>
  <c r="G47" i="1"/>
  <c r="F47" i="1"/>
  <c r="H46" i="1"/>
  <c r="G46" i="1"/>
  <c r="F46" i="1"/>
  <c r="H45" i="1"/>
  <c r="G45" i="1"/>
  <c r="F45" i="1"/>
  <c r="H44" i="1"/>
  <c r="I44" i="1" s="1"/>
  <c r="G44" i="1"/>
  <c r="F44" i="1"/>
  <c r="H43" i="1"/>
  <c r="I43" i="1" s="1"/>
  <c r="G43" i="1"/>
  <c r="F43" i="1"/>
  <c r="H42" i="1"/>
  <c r="I42" i="1" s="1"/>
  <c r="G42" i="1"/>
  <c r="AP42" i="1" s="1"/>
  <c r="F42" i="1"/>
  <c r="AB42" i="1"/>
  <c r="AC42" i="1" s="1"/>
  <c r="AE42" i="1"/>
  <c r="AF42" i="1"/>
  <c r="AI42" i="1"/>
  <c r="AJ42" i="1"/>
  <c r="AB43" i="1"/>
  <c r="AC43" i="1" s="1"/>
  <c r="AE43" i="1"/>
  <c r="AF43" i="1"/>
  <c r="AI43" i="1"/>
  <c r="AJ43" i="1"/>
  <c r="AB44" i="1"/>
  <c r="AC44" i="1" s="1"/>
  <c r="AE44" i="1"/>
  <c r="AF44" i="1"/>
  <c r="AI44" i="1"/>
  <c r="AJ44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1" i="1"/>
  <c r="G10" i="1"/>
  <c r="G9" i="1"/>
  <c r="G8" i="1"/>
  <c r="G7" i="1"/>
  <c r="G6" i="1"/>
  <c r="G5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C29" i="17"/>
  <c r="C25" i="17"/>
  <c r="C28" i="17"/>
  <c r="C27" i="17"/>
  <c r="C26" i="17"/>
  <c r="C24" i="17"/>
  <c r="C23" i="17"/>
  <c r="C22" i="17"/>
  <c r="C21" i="17"/>
  <c r="I678" i="1" l="1"/>
  <c r="J678" i="1"/>
  <c r="O678" i="1" s="1"/>
  <c r="H679" i="1"/>
  <c r="AC226" i="1"/>
  <c r="J190" i="1"/>
  <c r="Z52" i="5"/>
  <c r="AC218" i="1"/>
  <c r="AC230" i="1"/>
  <c r="AC214" i="1"/>
  <c r="AC222" i="1"/>
  <c r="AC220" i="1"/>
  <c r="AC212" i="1"/>
  <c r="AC228" i="1"/>
  <c r="AC232" i="1"/>
  <c r="AC224" i="1"/>
  <c r="AC216" i="1"/>
  <c r="AD245" i="1"/>
  <c r="AC223" i="1"/>
  <c r="AC225" i="1"/>
  <c r="AC221" i="1"/>
  <c r="AC265" i="1"/>
  <c r="AC233" i="1"/>
  <c r="AC229" i="1"/>
  <c r="AC215" i="1"/>
  <c r="AC231" i="1"/>
  <c r="AC217" i="1"/>
  <c r="AC213" i="1"/>
  <c r="Z62" i="5"/>
  <c r="AC227" i="1"/>
  <c r="AC219" i="1"/>
  <c r="AC211" i="1"/>
  <c r="J44" i="1"/>
  <c r="O44" i="1" s="1"/>
  <c r="AC264" i="1"/>
  <c r="J42" i="1"/>
  <c r="O42" i="1" s="1"/>
  <c r="AC249" i="1"/>
  <c r="AC248" i="1"/>
  <c r="AC260" i="1"/>
  <c r="AC244" i="1"/>
  <c r="AC252" i="1"/>
  <c r="AC236" i="1"/>
  <c r="AD237" i="1"/>
  <c r="Q2" i="19"/>
  <c r="Q3" i="19" s="1"/>
  <c r="R1" i="19"/>
  <c r="X219" i="10"/>
  <c r="U222" i="10"/>
  <c r="X221" i="10"/>
  <c r="U224" i="10"/>
  <c r="U226" i="10"/>
  <c r="X223" i="10"/>
  <c r="X182" i="10"/>
  <c r="X181" i="10"/>
  <c r="U185" i="10"/>
  <c r="U184" i="10"/>
  <c r="X192" i="10"/>
  <c r="U192" i="10"/>
  <c r="D63" i="5"/>
  <c r="D53" i="5"/>
  <c r="D54" i="5" s="1"/>
  <c r="AD257" i="1"/>
  <c r="AD235" i="1"/>
  <c r="AD258" i="1"/>
  <c r="E53" i="5"/>
  <c r="AE52" i="5"/>
  <c r="AD52" i="5"/>
  <c r="D45" i="5"/>
  <c r="G17" i="5"/>
  <c r="G21" i="5"/>
  <c r="G16" i="5"/>
  <c r="G24" i="5"/>
  <c r="G20" i="5"/>
  <c r="G18" i="5"/>
  <c r="G22" i="5"/>
  <c r="G15" i="5"/>
  <c r="G19" i="5"/>
  <c r="AD41" i="5"/>
  <c r="AE41" i="5"/>
  <c r="D42" i="5"/>
  <c r="AA41" i="5"/>
  <c r="Z41" i="5"/>
  <c r="G34" i="5"/>
  <c r="G25" i="5"/>
  <c r="G26" i="5"/>
  <c r="G33" i="5"/>
  <c r="G30" i="5"/>
  <c r="G29" i="5"/>
  <c r="G27" i="5"/>
  <c r="G31" i="5"/>
  <c r="G28" i="5"/>
  <c r="AD266" i="1"/>
  <c r="AC242" i="1"/>
  <c r="AD253" i="1"/>
  <c r="AC262" i="1"/>
  <c r="AC241" i="1"/>
  <c r="AD261" i="1"/>
  <c r="AD250" i="1"/>
  <c r="AC268" i="1"/>
  <c r="AC263" i="1"/>
  <c r="AD263" i="1"/>
  <c r="AC251" i="1"/>
  <c r="AD251" i="1"/>
  <c r="AD254" i="1"/>
  <c r="AD246" i="1"/>
  <c r="AC267" i="1"/>
  <c r="AD267" i="1"/>
  <c r="AC259" i="1"/>
  <c r="AD259" i="1"/>
  <c r="AC255" i="1"/>
  <c r="AD255" i="1"/>
  <c r="AC247" i="1"/>
  <c r="AD247" i="1"/>
  <c r="AC243" i="1"/>
  <c r="AD243" i="1"/>
  <c r="AC239" i="1"/>
  <c r="AD239" i="1"/>
  <c r="AD164" i="1"/>
  <c r="AD256" i="1"/>
  <c r="AD240" i="1"/>
  <c r="I231" i="1"/>
  <c r="I247" i="1"/>
  <c r="I251" i="1"/>
  <c r="I255" i="1"/>
  <c r="I259" i="1"/>
  <c r="I263" i="1"/>
  <c r="I267" i="1"/>
  <c r="I223" i="1"/>
  <c r="I235" i="1"/>
  <c r="I239" i="1"/>
  <c r="I243" i="1"/>
  <c r="AP242" i="1"/>
  <c r="AP230" i="1"/>
  <c r="I227" i="1"/>
  <c r="AP238" i="1"/>
  <c r="AP226" i="1"/>
  <c r="AP234" i="1"/>
  <c r="AP222" i="1"/>
  <c r="I212" i="1"/>
  <c r="I216" i="1"/>
  <c r="AD238" i="1"/>
  <c r="AD234" i="1"/>
  <c r="AC163" i="1"/>
  <c r="AC162" i="1"/>
  <c r="AD124" i="1"/>
  <c r="AC122" i="1"/>
  <c r="AD123" i="1"/>
  <c r="AC84" i="1"/>
  <c r="AD82" i="1"/>
  <c r="AD83" i="1"/>
  <c r="J43" i="1"/>
  <c r="O43" i="1" s="1"/>
  <c r="AP43" i="1"/>
  <c r="AP44" i="1"/>
  <c r="AD42" i="1"/>
  <c r="AD43" i="1"/>
  <c r="AD44" i="1"/>
  <c r="U77" i="16"/>
  <c r="U76" i="16"/>
  <c r="U75" i="16"/>
  <c r="U74" i="16"/>
  <c r="U73" i="16"/>
  <c r="U72" i="16"/>
  <c r="U71" i="16"/>
  <c r="U70" i="16"/>
  <c r="U69" i="16"/>
  <c r="U68" i="16"/>
  <c r="U67" i="16"/>
  <c r="U66" i="16"/>
  <c r="U65" i="16"/>
  <c r="U64" i="16"/>
  <c r="U63" i="16"/>
  <c r="U62" i="16"/>
  <c r="U61" i="16"/>
  <c r="U60" i="16"/>
  <c r="U59" i="16"/>
  <c r="U58" i="16"/>
  <c r="U57" i="16"/>
  <c r="U56" i="16"/>
  <c r="U55" i="16"/>
  <c r="U54" i="16"/>
  <c r="U53" i="16"/>
  <c r="U52" i="16"/>
  <c r="U51" i="16"/>
  <c r="U50" i="16"/>
  <c r="U49" i="16"/>
  <c r="U48" i="16"/>
  <c r="U47" i="16"/>
  <c r="U46" i="16"/>
  <c r="U45" i="16"/>
  <c r="U44" i="16"/>
  <c r="U43" i="16"/>
  <c r="U42" i="16"/>
  <c r="U41" i="16"/>
  <c r="U40" i="16"/>
  <c r="U39" i="16"/>
  <c r="U38" i="16"/>
  <c r="U37" i="16"/>
  <c r="U36" i="16"/>
  <c r="U35" i="16"/>
  <c r="U34" i="16"/>
  <c r="U33" i="16"/>
  <c r="U32" i="16"/>
  <c r="U31" i="16"/>
  <c r="U30" i="16"/>
  <c r="U29" i="16"/>
  <c r="U28" i="16"/>
  <c r="U27" i="16"/>
  <c r="U26" i="16"/>
  <c r="U25" i="16"/>
  <c r="U24" i="16"/>
  <c r="U23" i="16"/>
  <c r="U22" i="16"/>
  <c r="U21" i="16"/>
  <c r="U20" i="16"/>
  <c r="U19" i="16"/>
  <c r="U18" i="16"/>
  <c r="U17" i="16"/>
  <c r="U16" i="16"/>
  <c r="U15" i="16"/>
  <c r="U14" i="16"/>
  <c r="U13" i="16"/>
  <c r="U12" i="16"/>
  <c r="U11" i="16"/>
  <c r="U10" i="16"/>
  <c r="U9" i="16"/>
  <c r="U8" i="16"/>
  <c r="U7" i="16"/>
  <c r="U6" i="16"/>
  <c r="S77" i="16"/>
  <c r="S76" i="16"/>
  <c r="S75" i="16"/>
  <c r="S74" i="16"/>
  <c r="S73" i="16"/>
  <c r="S72" i="16"/>
  <c r="S71" i="16"/>
  <c r="S70" i="16"/>
  <c r="V70" i="16" s="1"/>
  <c r="S69" i="16"/>
  <c r="V69" i="16" s="1"/>
  <c r="S68" i="16"/>
  <c r="T68" i="16" s="1"/>
  <c r="S67" i="16"/>
  <c r="T67" i="16" s="1"/>
  <c r="S66" i="16"/>
  <c r="T66" i="16" s="1"/>
  <c r="S65" i="16"/>
  <c r="T65" i="16" s="1"/>
  <c r="S64" i="16"/>
  <c r="T64" i="16" s="1"/>
  <c r="S63" i="16"/>
  <c r="T63" i="16" s="1"/>
  <c r="S62" i="16"/>
  <c r="V62" i="16" s="1"/>
  <c r="S61" i="16"/>
  <c r="V61" i="16" s="1"/>
  <c r="S60" i="16"/>
  <c r="V60" i="16" s="1"/>
  <c r="S59" i="16"/>
  <c r="V59" i="16" s="1"/>
  <c r="S58" i="16"/>
  <c r="V58" i="16" s="1"/>
  <c r="S57" i="16"/>
  <c r="T57" i="16" s="1"/>
  <c r="S56" i="16"/>
  <c r="V56" i="16" s="1"/>
  <c r="S55" i="16"/>
  <c r="V55" i="16" s="1"/>
  <c r="S54" i="16"/>
  <c r="V54" i="16" s="1"/>
  <c r="S53" i="16"/>
  <c r="S52" i="16"/>
  <c r="S51" i="16"/>
  <c r="S50" i="16"/>
  <c r="S49" i="16"/>
  <c r="S48" i="16"/>
  <c r="S47" i="16"/>
  <c r="S46" i="16"/>
  <c r="S45" i="16"/>
  <c r="S44" i="16"/>
  <c r="V44" i="16" s="1"/>
  <c r="S43" i="16"/>
  <c r="S42" i="16"/>
  <c r="S41" i="16"/>
  <c r="S40" i="16"/>
  <c r="S39" i="16"/>
  <c r="S38" i="16"/>
  <c r="T38" i="16" s="1"/>
  <c r="S37" i="16"/>
  <c r="T37" i="16" s="1"/>
  <c r="S36" i="16"/>
  <c r="V36" i="16" s="1"/>
  <c r="S35" i="16"/>
  <c r="V35" i="16" s="1"/>
  <c r="S34" i="16"/>
  <c r="V34" i="16" s="1"/>
  <c r="S33" i="16"/>
  <c r="V33" i="16" s="1"/>
  <c r="S32" i="16"/>
  <c r="V32" i="16" s="1"/>
  <c r="S31" i="16"/>
  <c r="T31" i="16" s="1"/>
  <c r="S30" i="16"/>
  <c r="T30" i="16" s="1"/>
  <c r="S29" i="16"/>
  <c r="T29" i="16" s="1"/>
  <c r="S28" i="16"/>
  <c r="V28" i="16" s="1"/>
  <c r="S27" i="16"/>
  <c r="V27" i="16" s="1"/>
  <c r="S26" i="16"/>
  <c r="V26" i="16" s="1"/>
  <c r="S25" i="16"/>
  <c r="V25" i="16" s="1"/>
  <c r="S24" i="16"/>
  <c r="V24" i="16" s="1"/>
  <c r="S23" i="16"/>
  <c r="T23" i="16" s="1"/>
  <c r="S22" i="16"/>
  <c r="T22" i="16" s="1"/>
  <c r="S21" i="16"/>
  <c r="V21" i="16" s="1"/>
  <c r="S20" i="16"/>
  <c r="V20" i="16" s="1"/>
  <c r="S19" i="16"/>
  <c r="V19" i="16" s="1"/>
  <c r="S18" i="16"/>
  <c r="V18" i="16" s="1"/>
  <c r="S17" i="16"/>
  <c r="V17" i="16" s="1"/>
  <c r="S16" i="16"/>
  <c r="V16" i="16" s="1"/>
  <c r="S15" i="16"/>
  <c r="V15" i="16" s="1"/>
  <c r="S14" i="16"/>
  <c r="V14" i="16" s="1"/>
  <c r="S13" i="16"/>
  <c r="V13" i="16" s="1"/>
  <c r="S12" i="16"/>
  <c r="T12" i="16" s="1"/>
  <c r="S11" i="16"/>
  <c r="T11" i="16" s="1"/>
  <c r="S10" i="16"/>
  <c r="T10" i="16" s="1"/>
  <c r="S9" i="16"/>
  <c r="V9" i="16" s="1"/>
  <c r="S8" i="16"/>
  <c r="T8" i="16" s="1"/>
  <c r="S7" i="16"/>
  <c r="V7" i="16" s="1"/>
  <c r="S6" i="16"/>
  <c r="T6" i="16" s="1"/>
  <c r="W44" i="16"/>
  <c r="X44" i="16"/>
  <c r="AA44" i="16"/>
  <c r="AB44" i="16"/>
  <c r="W37" i="16"/>
  <c r="X37" i="16"/>
  <c r="AA37" i="16"/>
  <c r="AB37" i="16"/>
  <c r="W66" i="16"/>
  <c r="X66" i="16"/>
  <c r="AA66" i="16"/>
  <c r="AB66" i="16"/>
  <c r="W67" i="16"/>
  <c r="X67" i="16"/>
  <c r="AA67" i="16"/>
  <c r="AB67" i="16"/>
  <c r="W68" i="16"/>
  <c r="X68" i="16"/>
  <c r="AA68" i="16"/>
  <c r="AB68" i="16"/>
  <c r="W69" i="16"/>
  <c r="X69" i="16"/>
  <c r="AA69" i="16"/>
  <c r="AB69" i="16"/>
  <c r="W70" i="16"/>
  <c r="X70" i="16"/>
  <c r="AA70" i="16"/>
  <c r="AB70" i="16"/>
  <c r="W58" i="16"/>
  <c r="X58" i="16"/>
  <c r="AA58" i="16"/>
  <c r="AB58" i="16"/>
  <c r="W59" i="16"/>
  <c r="X59" i="16"/>
  <c r="AA59" i="16"/>
  <c r="AB59" i="16"/>
  <c r="W60" i="16"/>
  <c r="X60" i="16"/>
  <c r="AA60" i="16"/>
  <c r="AB60" i="16"/>
  <c r="W61" i="16"/>
  <c r="X61" i="16"/>
  <c r="AA61" i="16"/>
  <c r="AB61" i="16"/>
  <c r="W62" i="16"/>
  <c r="X62" i="16"/>
  <c r="AA62" i="16"/>
  <c r="AB62" i="16"/>
  <c r="W63" i="16"/>
  <c r="X63" i="16"/>
  <c r="AA63" i="16"/>
  <c r="AB63" i="16"/>
  <c r="W64" i="16"/>
  <c r="X64" i="16"/>
  <c r="AA64" i="16"/>
  <c r="AB64" i="16"/>
  <c r="W65" i="16"/>
  <c r="X65" i="16"/>
  <c r="AA65" i="16"/>
  <c r="AB65" i="16"/>
  <c r="W54" i="16"/>
  <c r="X54" i="16"/>
  <c r="AA54" i="16"/>
  <c r="AB54" i="16"/>
  <c r="W55" i="16"/>
  <c r="X55" i="16"/>
  <c r="AA55" i="16"/>
  <c r="AB55" i="16"/>
  <c r="W56" i="16"/>
  <c r="X56" i="16"/>
  <c r="AA56" i="16"/>
  <c r="AB56" i="16"/>
  <c r="W57" i="16"/>
  <c r="X57" i="16"/>
  <c r="AA57" i="16"/>
  <c r="AB57" i="16"/>
  <c r="AB36" i="16"/>
  <c r="AA36" i="16"/>
  <c r="X36" i="16"/>
  <c r="W36" i="16"/>
  <c r="AB35" i="16"/>
  <c r="AA35" i="16"/>
  <c r="X35" i="16"/>
  <c r="W35" i="16"/>
  <c r="AB34" i="16"/>
  <c r="AA34" i="16"/>
  <c r="X34" i="16"/>
  <c r="W34" i="16"/>
  <c r="AB33" i="16"/>
  <c r="AA33" i="16"/>
  <c r="X33" i="16"/>
  <c r="W33" i="16"/>
  <c r="AB32" i="16"/>
  <c r="AA32" i="16"/>
  <c r="D32" i="16"/>
  <c r="X32" i="16" s="1"/>
  <c r="AB31" i="16"/>
  <c r="AA31" i="16"/>
  <c r="D31" i="16"/>
  <c r="W31" i="16" s="1"/>
  <c r="AB30" i="16"/>
  <c r="AA30" i="16"/>
  <c r="D30" i="16"/>
  <c r="X30" i="16" s="1"/>
  <c r="AB29" i="16"/>
  <c r="AA29" i="16"/>
  <c r="D29" i="16"/>
  <c r="X29" i="16" s="1"/>
  <c r="AB28" i="16"/>
  <c r="AA28" i="16"/>
  <c r="X28" i="16"/>
  <c r="W28" i="16"/>
  <c r="AB27" i="16"/>
  <c r="AA27" i="16"/>
  <c r="X27" i="16"/>
  <c r="W27" i="16"/>
  <c r="AB26" i="16"/>
  <c r="AA26" i="16"/>
  <c r="X26" i="16"/>
  <c r="W26" i="16"/>
  <c r="AB25" i="16"/>
  <c r="AA25" i="16"/>
  <c r="X25" i="16"/>
  <c r="W25" i="16"/>
  <c r="AB24" i="16"/>
  <c r="AA24" i="16"/>
  <c r="D24" i="16"/>
  <c r="X24" i="16" s="1"/>
  <c r="AA23" i="16"/>
  <c r="AB23" i="16"/>
  <c r="D23" i="16"/>
  <c r="X23" i="16" s="1"/>
  <c r="AB22" i="16"/>
  <c r="D22" i="16"/>
  <c r="X22" i="16" s="1"/>
  <c r="AA21" i="16"/>
  <c r="D21" i="16"/>
  <c r="W21" i="16" s="1"/>
  <c r="W38" i="16"/>
  <c r="X38" i="16"/>
  <c r="AA38" i="16"/>
  <c r="AB38" i="16"/>
  <c r="G5" i="2"/>
  <c r="F5" i="2"/>
  <c r="E16" i="16"/>
  <c r="AA16" i="16" s="1"/>
  <c r="E15" i="16"/>
  <c r="AB15" i="16" s="1"/>
  <c r="E14" i="16"/>
  <c r="AB14" i="16" s="1"/>
  <c r="E13" i="16"/>
  <c r="AA13" i="16" s="1"/>
  <c r="E8" i="16"/>
  <c r="AB8" i="16" s="1"/>
  <c r="E7" i="16"/>
  <c r="AA7" i="16" s="1"/>
  <c r="E6" i="16"/>
  <c r="AA6" i="16" s="1"/>
  <c r="E5" i="16"/>
  <c r="D16" i="16"/>
  <c r="X16" i="16" s="1"/>
  <c r="D15" i="16"/>
  <c r="X15" i="16" s="1"/>
  <c r="D14" i="16"/>
  <c r="W14" i="16" s="1"/>
  <c r="D13" i="16"/>
  <c r="X13" i="16" s="1"/>
  <c r="D8" i="16"/>
  <c r="X8" i="16" s="1"/>
  <c r="D7" i="16"/>
  <c r="W7" i="16" s="1"/>
  <c r="D6" i="16"/>
  <c r="X6" i="16" s="1"/>
  <c r="D5" i="16"/>
  <c r="B5" i="2"/>
  <c r="B8" i="2"/>
  <c r="B7" i="2"/>
  <c r="B6" i="2"/>
  <c r="AB20" i="16"/>
  <c r="AA20" i="16"/>
  <c r="X20" i="16"/>
  <c r="W20" i="16"/>
  <c r="AB19" i="16"/>
  <c r="AA19" i="16"/>
  <c r="X19" i="16"/>
  <c r="W19" i="16"/>
  <c r="AB18" i="16"/>
  <c r="AA18" i="16"/>
  <c r="X18" i="16"/>
  <c r="W18" i="16"/>
  <c r="AB17" i="16"/>
  <c r="AA17" i="16"/>
  <c r="X17" i="16"/>
  <c r="W17" i="16"/>
  <c r="C20" i="17"/>
  <c r="W9" i="16"/>
  <c r="W10" i="16"/>
  <c r="W11" i="16"/>
  <c r="W12" i="16"/>
  <c r="X9" i="16"/>
  <c r="X10" i="16"/>
  <c r="X11" i="16"/>
  <c r="X12" i="16"/>
  <c r="AA9" i="16"/>
  <c r="AA10" i="16"/>
  <c r="AA11" i="16"/>
  <c r="AA12" i="16"/>
  <c r="AB9" i="16"/>
  <c r="AB10" i="16"/>
  <c r="AB11" i="16"/>
  <c r="AB12" i="16"/>
  <c r="I679" i="1" l="1"/>
  <c r="H680" i="1"/>
  <c r="J679" i="1"/>
  <c r="O679" i="1" s="1"/>
  <c r="F62" i="9"/>
  <c r="F70" i="9"/>
  <c r="F74" i="9"/>
  <c r="F82" i="9"/>
  <c r="F90" i="9"/>
  <c r="F98" i="9"/>
  <c r="F106" i="9"/>
  <c r="F114" i="9"/>
  <c r="F122" i="9"/>
  <c r="F63" i="9"/>
  <c r="F71" i="9"/>
  <c r="F75" i="9"/>
  <c r="F83" i="9"/>
  <c r="F91" i="9"/>
  <c r="F99" i="9"/>
  <c r="F107" i="9"/>
  <c r="F115" i="9"/>
  <c r="F123" i="9"/>
  <c r="F60" i="9"/>
  <c r="F52" i="9"/>
  <c r="F44" i="9"/>
  <c r="F36" i="9"/>
  <c r="F24" i="9"/>
  <c r="F16" i="9"/>
  <c r="F8" i="9"/>
  <c r="F66" i="9"/>
  <c r="F67" i="9"/>
  <c r="F79" i="9"/>
  <c r="F87" i="9"/>
  <c r="F95" i="9"/>
  <c r="F103" i="9"/>
  <c r="F111" i="9"/>
  <c r="D111" i="9" s="1"/>
  <c r="F119" i="9"/>
  <c r="F68" i="9"/>
  <c r="F76" i="9"/>
  <c r="F88" i="9"/>
  <c r="F101" i="9"/>
  <c r="F113" i="9"/>
  <c r="F125" i="9"/>
  <c r="F51" i="9"/>
  <c r="F42" i="9"/>
  <c r="F5" i="9"/>
  <c r="F20" i="9"/>
  <c r="F11" i="9"/>
  <c r="F32" i="9"/>
  <c r="F54" i="14"/>
  <c r="F57" i="14"/>
  <c r="F65" i="14"/>
  <c r="F120" i="14"/>
  <c r="F128" i="14"/>
  <c r="F9" i="14"/>
  <c r="F17" i="14"/>
  <c r="D17" i="14" s="1"/>
  <c r="D18" i="14" s="1"/>
  <c r="D19" i="14" s="1"/>
  <c r="D20" i="14" s="1"/>
  <c r="D21" i="14" s="1"/>
  <c r="D22" i="14" s="1"/>
  <c r="D23" i="14" s="1"/>
  <c r="D24" i="14" s="1"/>
  <c r="D25" i="14" s="1"/>
  <c r="F25" i="14"/>
  <c r="F33" i="14"/>
  <c r="F41" i="14"/>
  <c r="D41" i="14" s="1"/>
  <c r="F49" i="14"/>
  <c r="F129" i="14"/>
  <c r="F137" i="14"/>
  <c r="F318" i="11"/>
  <c r="F326" i="11"/>
  <c r="F289" i="11"/>
  <c r="F297" i="11"/>
  <c r="F165" i="11"/>
  <c r="F173" i="11"/>
  <c r="F181" i="11"/>
  <c r="D181" i="11" s="1"/>
  <c r="F189" i="11"/>
  <c r="F197" i="11"/>
  <c r="F205" i="11"/>
  <c r="F213" i="11"/>
  <c r="F221" i="11"/>
  <c r="F229" i="11"/>
  <c r="F237" i="11"/>
  <c r="F245" i="11"/>
  <c r="F253" i="11"/>
  <c r="F261" i="11"/>
  <c r="F269" i="11"/>
  <c r="F277" i="11"/>
  <c r="F69" i="9"/>
  <c r="F77" i="9"/>
  <c r="F89" i="9"/>
  <c r="F102" i="9"/>
  <c r="F116" i="9"/>
  <c r="F59" i="9"/>
  <c r="F50" i="9"/>
  <c r="F41" i="9"/>
  <c r="F28" i="9"/>
  <c r="F19" i="9"/>
  <c r="F10" i="9"/>
  <c r="F33" i="9"/>
  <c r="F58" i="14"/>
  <c r="F66" i="14"/>
  <c r="F121" i="14"/>
  <c r="F10" i="14"/>
  <c r="F18" i="14"/>
  <c r="F26" i="14"/>
  <c r="F34" i="14"/>
  <c r="F42" i="14"/>
  <c r="F50" i="14"/>
  <c r="F130" i="14"/>
  <c r="F138" i="14"/>
  <c r="F332" i="11"/>
  <c r="F336" i="11"/>
  <c r="F319" i="11"/>
  <c r="F327" i="11"/>
  <c r="F290" i="11"/>
  <c r="F298" i="11"/>
  <c r="F166" i="11"/>
  <c r="F174" i="11"/>
  <c r="F182" i="11"/>
  <c r="F190" i="11"/>
  <c r="F198" i="11"/>
  <c r="F206" i="11"/>
  <c r="F214" i="11"/>
  <c r="F222" i="11"/>
  <c r="F230" i="11"/>
  <c r="F238" i="11"/>
  <c r="F246" i="11"/>
  <c r="F254" i="11"/>
  <c r="F262" i="11"/>
  <c r="F270" i="11"/>
  <c r="D270" i="11" s="1"/>
  <c r="F278" i="11"/>
  <c r="F78" i="9"/>
  <c r="F92" i="9"/>
  <c r="F104" i="9"/>
  <c r="F117" i="9"/>
  <c r="F58" i="9"/>
  <c r="D58" i="9" s="1"/>
  <c r="D59" i="9" s="1"/>
  <c r="D60" i="9" s="1"/>
  <c r="D61" i="9" s="1"/>
  <c r="F49" i="9"/>
  <c r="F40" i="9"/>
  <c r="F27" i="9"/>
  <c r="F18" i="9"/>
  <c r="F9" i="9"/>
  <c r="F59" i="14"/>
  <c r="F122" i="14"/>
  <c r="F11" i="14"/>
  <c r="F19" i="14"/>
  <c r="F27" i="14"/>
  <c r="F35" i="14"/>
  <c r="F43" i="14"/>
  <c r="F51" i="14"/>
  <c r="F131" i="14"/>
  <c r="F139" i="14"/>
  <c r="F320" i="11"/>
  <c r="F328" i="11"/>
  <c r="F283" i="11"/>
  <c r="F291" i="11"/>
  <c r="F299" i="11"/>
  <c r="D299" i="11" s="1"/>
  <c r="F313" i="11"/>
  <c r="F167" i="11"/>
  <c r="F175" i="11"/>
  <c r="F183" i="11"/>
  <c r="F191" i="11"/>
  <c r="F199" i="11"/>
  <c r="F207" i="11"/>
  <c r="F215" i="11"/>
  <c r="F223" i="11"/>
  <c r="F231" i="11"/>
  <c r="D231" i="11" s="1"/>
  <c r="F239" i="11"/>
  <c r="F247" i="11"/>
  <c r="F255" i="11"/>
  <c r="F263" i="11"/>
  <c r="F271" i="11"/>
  <c r="F279" i="11"/>
  <c r="F81" i="9"/>
  <c r="F94" i="9"/>
  <c r="F108" i="9"/>
  <c r="F120" i="9"/>
  <c r="F56" i="9"/>
  <c r="F47" i="9"/>
  <c r="F38" i="9"/>
  <c r="F25" i="9"/>
  <c r="F15" i="9"/>
  <c r="F6" i="9"/>
  <c r="F61" i="14"/>
  <c r="F124" i="14"/>
  <c r="F5" i="14"/>
  <c r="D5" i="14" s="1"/>
  <c r="D6" i="14" s="1"/>
  <c r="D7" i="14" s="1"/>
  <c r="D8" i="14" s="1"/>
  <c r="D9" i="14" s="1"/>
  <c r="D10" i="14" s="1"/>
  <c r="D11" i="14" s="1"/>
  <c r="D12" i="14" s="1"/>
  <c r="D13" i="14" s="1"/>
  <c r="D14" i="14" s="1"/>
  <c r="D15" i="14" s="1"/>
  <c r="D16" i="14" s="1"/>
  <c r="F13" i="14"/>
  <c r="F21" i="14"/>
  <c r="F29" i="14"/>
  <c r="D29" i="14" s="1"/>
  <c r="F37" i="14"/>
  <c r="F45" i="14"/>
  <c r="F53" i="14"/>
  <c r="F133" i="14"/>
  <c r="F141" i="14"/>
  <c r="F334" i="11"/>
  <c r="F322" i="11"/>
  <c r="F330" i="11"/>
  <c r="F312" i="11"/>
  <c r="F307" i="11"/>
  <c r="F338" i="11"/>
  <c r="F285" i="11"/>
  <c r="F293" i="11"/>
  <c r="F301" i="11"/>
  <c r="F96" i="9"/>
  <c r="F121" i="9"/>
  <c r="F48" i="9"/>
  <c r="F26" i="9"/>
  <c r="F7" i="9"/>
  <c r="F60" i="14"/>
  <c r="F118" i="14"/>
  <c r="F7" i="14"/>
  <c r="F23" i="14"/>
  <c r="F39" i="14"/>
  <c r="F67" i="14"/>
  <c r="F143" i="14"/>
  <c r="F337" i="11"/>
  <c r="F321" i="11"/>
  <c r="F295" i="11"/>
  <c r="F161" i="11"/>
  <c r="F172" i="11"/>
  <c r="F186" i="11"/>
  <c r="F200" i="11"/>
  <c r="F211" i="11"/>
  <c r="F225" i="11"/>
  <c r="F236" i="11"/>
  <c r="F250" i="11"/>
  <c r="F264" i="11"/>
  <c r="F275" i="11"/>
  <c r="F280" i="11"/>
  <c r="F132" i="11"/>
  <c r="D132" i="11" s="1"/>
  <c r="F140" i="11"/>
  <c r="D140" i="11" s="1"/>
  <c r="F116" i="11"/>
  <c r="F113" i="11"/>
  <c r="F104" i="11"/>
  <c r="F89" i="11"/>
  <c r="F94" i="11"/>
  <c r="F69" i="11"/>
  <c r="F26" i="11"/>
  <c r="F27" i="11"/>
  <c r="F54" i="11"/>
  <c r="F96" i="11"/>
  <c r="F68" i="11"/>
  <c r="F80" i="9"/>
  <c r="F43" i="9"/>
  <c r="F125" i="14"/>
  <c r="F325" i="11"/>
  <c r="F164" i="11"/>
  <c r="F178" i="11"/>
  <c r="F192" i="11"/>
  <c r="F203" i="11"/>
  <c r="F217" i="11"/>
  <c r="F228" i="11"/>
  <c r="F242" i="11"/>
  <c r="F256" i="11"/>
  <c r="F267" i="11"/>
  <c r="F72" i="9"/>
  <c r="F97" i="9"/>
  <c r="F124" i="9"/>
  <c r="F46" i="9"/>
  <c r="D46" i="9" s="1"/>
  <c r="F23" i="9"/>
  <c r="F29" i="9"/>
  <c r="F62" i="14"/>
  <c r="F119" i="14"/>
  <c r="F8" i="14"/>
  <c r="F24" i="14"/>
  <c r="F40" i="14"/>
  <c r="F68" i="14"/>
  <c r="F323" i="11"/>
  <c r="F296" i="11"/>
  <c r="F162" i="11"/>
  <c r="F176" i="11"/>
  <c r="F187" i="11"/>
  <c r="F201" i="11"/>
  <c r="F212" i="11"/>
  <c r="F226" i="11"/>
  <c r="F240" i="11"/>
  <c r="F251" i="11"/>
  <c r="F265" i="11"/>
  <c r="F276" i="11"/>
  <c r="F281" i="11"/>
  <c r="F133" i="11"/>
  <c r="D133" i="11" s="1"/>
  <c r="F141" i="11"/>
  <c r="D141" i="11" s="1"/>
  <c r="F120" i="11"/>
  <c r="F108" i="11"/>
  <c r="F90" i="11"/>
  <c r="F81" i="11"/>
  <c r="F77" i="11"/>
  <c r="F95" i="11"/>
  <c r="F62" i="11"/>
  <c r="F64" i="11"/>
  <c r="F21" i="9"/>
  <c r="F64" i="14"/>
  <c r="F333" i="11"/>
  <c r="F308" i="11"/>
  <c r="F286" i="11"/>
  <c r="F73" i="9"/>
  <c r="F100" i="9"/>
  <c r="F45" i="9"/>
  <c r="F22" i="9"/>
  <c r="F30" i="9"/>
  <c r="F63" i="14"/>
  <c r="F123" i="14"/>
  <c r="F12" i="14"/>
  <c r="F28" i="14"/>
  <c r="F44" i="14"/>
  <c r="F132" i="14"/>
  <c r="F324" i="11"/>
  <c r="F306" i="11"/>
  <c r="F284" i="11"/>
  <c r="D284" i="11" s="1"/>
  <c r="F300" i="11"/>
  <c r="F163" i="11"/>
  <c r="D163" i="11" s="1"/>
  <c r="F177" i="11"/>
  <c r="F188" i="11"/>
  <c r="F202" i="11"/>
  <c r="F216" i="11"/>
  <c r="F227" i="11"/>
  <c r="F241" i="11"/>
  <c r="F252" i="11"/>
  <c r="F266" i="11"/>
  <c r="F282" i="11"/>
  <c r="F311" i="11"/>
  <c r="F134" i="11"/>
  <c r="D134" i="11" s="1"/>
  <c r="F142" i="11"/>
  <c r="D142" i="11" s="1"/>
  <c r="F119" i="11"/>
  <c r="F112" i="11"/>
  <c r="F107" i="11"/>
  <c r="F82" i="11"/>
  <c r="F61" i="9"/>
  <c r="F105" i="9"/>
  <c r="F31" i="9"/>
  <c r="F14" i="14"/>
  <c r="F30" i="14"/>
  <c r="F46" i="14"/>
  <c r="F134" i="14"/>
  <c r="F302" i="11"/>
  <c r="F64" i="9"/>
  <c r="F84" i="9"/>
  <c r="F109" i="9"/>
  <c r="F57" i="9"/>
  <c r="F39" i="9"/>
  <c r="F17" i="9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F126" i="14"/>
  <c r="F15" i="14"/>
  <c r="F31" i="14"/>
  <c r="F47" i="14"/>
  <c r="F135" i="14"/>
  <c r="F329" i="11"/>
  <c r="F309" i="11"/>
  <c r="F287" i="11"/>
  <c r="F303" i="11"/>
  <c r="F168" i="11"/>
  <c r="F179" i="11"/>
  <c r="D179" i="11" s="1"/>
  <c r="F193" i="11"/>
  <c r="F204" i="11"/>
  <c r="F218" i="11"/>
  <c r="F232" i="11"/>
  <c r="F243" i="11"/>
  <c r="F257" i="11"/>
  <c r="F268" i="11"/>
  <c r="F310" i="11"/>
  <c r="F136" i="11"/>
  <c r="D136" i="11" s="1"/>
  <c r="F146" i="11"/>
  <c r="F118" i="11"/>
  <c r="F115" i="11"/>
  <c r="F106" i="11"/>
  <c r="F88" i="11"/>
  <c r="F66" i="11"/>
  <c r="F65" i="9"/>
  <c r="F85" i="9"/>
  <c r="F110" i="9"/>
  <c r="F55" i="9"/>
  <c r="F93" i="9"/>
  <c r="F12" i="9"/>
  <c r="F127" i="14"/>
  <c r="F38" i="14"/>
  <c r="F331" i="11"/>
  <c r="F288" i="11"/>
  <c r="F185" i="11"/>
  <c r="F220" i="11"/>
  <c r="F258" i="11"/>
  <c r="F139" i="11"/>
  <c r="D139" i="11" s="1"/>
  <c r="F117" i="11"/>
  <c r="F74" i="11"/>
  <c r="D74" i="11" s="1"/>
  <c r="F92" i="11"/>
  <c r="F60" i="11"/>
  <c r="F73" i="11"/>
  <c r="D73" i="11" s="1"/>
  <c r="F84" i="11"/>
  <c r="F56" i="11"/>
  <c r="F31" i="11"/>
  <c r="F22" i="14"/>
  <c r="F315" i="11"/>
  <c r="F244" i="11"/>
  <c r="F135" i="11"/>
  <c r="D135" i="11" s="1"/>
  <c r="F316" i="11"/>
  <c r="F317" i="11"/>
  <c r="F138" i="11"/>
  <c r="D138" i="11" s="1"/>
  <c r="F111" i="11"/>
  <c r="F105" i="11"/>
  <c r="F112" i="9"/>
  <c r="F54" i="9"/>
  <c r="F48" i="14"/>
  <c r="F292" i="11"/>
  <c r="F194" i="11"/>
  <c r="F224" i="11"/>
  <c r="F259" i="11"/>
  <c r="F143" i="11"/>
  <c r="D143" i="11" s="1"/>
  <c r="F110" i="11"/>
  <c r="F93" i="11"/>
  <c r="F28" i="11"/>
  <c r="F29" i="11"/>
  <c r="F97" i="11"/>
  <c r="F70" i="11"/>
  <c r="F144" i="11"/>
  <c r="D144" i="11" s="1"/>
  <c r="F131" i="11"/>
  <c r="F34" i="9"/>
  <c r="D34" i="9" s="1"/>
  <c r="F171" i="11"/>
  <c r="F209" i="11"/>
  <c r="F274" i="11"/>
  <c r="F305" i="11"/>
  <c r="F210" i="11"/>
  <c r="F13" i="9"/>
  <c r="F118" i="9"/>
  <c r="F53" i="9"/>
  <c r="F6" i="14"/>
  <c r="F52" i="14"/>
  <c r="F294" i="11"/>
  <c r="F160" i="11"/>
  <c r="F195" i="11"/>
  <c r="F233" i="11"/>
  <c r="F260" i="11"/>
  <c r="F145" i="11"/>
  <c r="D145" i="11" s="1"/>
  <c r="F314" i="11"/>
  <c r="D314" i="11" s="1"/>
  <c r="F208" i="11"/>
  <c r="F85" i="11"/>
  <c r="F30" i="11"/>
  <c r="F86" i="9"/>
  <c r="F335" i="11"/>
  <c r="F184" i="11"/>
  <c r="F219" i="11"/>
  <c r="D219" i="11" s="1"/>
  <c r="F91" i="11"/>
  <c r="F52" i="11"/>
  <c r="F37" i="9"/>
  <c r="F56" i="14"/>
  <c r="F16" i="14"/>
  <c r="F55" i="14"/>
  <c r="F304" i="11"/>
  <c r="F169" i="11"/>
  <c r="F196" i="11"/>
  <c r="F234" i="11"/>
  <c r="F272" i="11"/>
  <c r="F109" i="11"/>
  <c r="F48" i="11"/>
  <c r="D48" i="11" s="1"/>
  <c r="F35" i="9"/>
  <c r="F20" i="14"/>
  <c r="F136" i="14"/>
  <c r="F170" i="11"/>
  <c r="F235" i="11"/>
  <c r="F273" i="11"/>
  <c r="F114" i="11"/>
  <c r="F140" i="14"/>
  <c r="F50" i="11"/>
  <c r="F24" i="11"/>
  <c r="F25" i="11"/>
  <c r="F14" i="9"/>
  <c r="F32" i="14"/>
  <c r="F142" i="14"/>
  <c r="F180" i="11"/>
  <c r="D180" i="11" s="1"/>
  <c r="F248" i="11"/>
  <c r="F76" i="11"/>
  <c r="F137" i="11"/>
  <c r="D137" i="11" s="1"/>
  <c r="F58" i="11"/>
  <c r="F117" i="14"/>
  <c r="F36" i="14"/>
  <c r="F249" i="11"/>
  <c r="F123" i="11"/>
  <c r="F121" i="11"/>
  <c r="F78" i="11"/>
  <c r="F100" i="11"/>
  <c r="F59" i="11"/>
  <c r="F157" i="11"/>
  <c r="D157" i="11" s="1"/>
  <c r="F149" i="11"/>
  <c r="D149" i="11" s="1"/>
  <c r="F43" i="11"/>
  <c r="F35" i="11"/>
  <c r="F19" i="11"/>
  <c r="F10" i="11"/>
  <c r="D10" i="11" s="1"/>
  <c r="F9" i="11"/>
  <c r="D9" i="11" s="1"/>
  <c r="F153" i="11"/>
  <c r="D153" i="11" s="1"/>
  <c r="F49" i="11"/>
  <c r="F39" i="11"/>
  <c r="F23" i="11"/>
  <c r="F14" i="11"/>
  <c r="D14" i="11" s="1"/>
  <c r="F6" i="11"/>
  <c r="D6" i="11" s="1"/>
  <c r="F124" i="11"/>
  <c r="F79" i="11"/>
  <c r="F101" i="11"/>
  <c r="F61" i="11"/>
  <c r="F156" i="11"/>
  <c r="D156" i="11" s="1"/>
  <c r="F148" i="11"/>
  <c r="D148" i="11" s="1"/>
  <c r="F42" i="11"/>
  <c r="F34" i="11"/>
  <c r="F17" i="11"/>
  <c r="D17" i="11" s="1"/>
  <c r="F127" i="11"/>
  <c r="F129" i="11"/>
  <c r="F125" i="11"/>
  <c r="F80" i="11"/>
  <c r="F155" i="11"/>
  <c r="D155" i="11" s="1"/>
  <c r="F71" i="11"/>
  <c r="F41" i="11"/>
  <c r="F33" i="11"/>
  <c r="F16" i="11"/>
  <c r="D16" i="11" s="1"/>
  <c r="F8" i="11"/>
  <c r="D8" i="11" s="1"/>
  <c r="F126" i="11"/>
  <c r="F122" i="11"/>
  <c r="F83" i="11"/>
  <c r="F63" i="11"/>
  <c r="F154" i="11"/>
  <c r="D154" i="11" s="1"/>
  <c r="F51" i="11"/>
  <c r="F40" i="11"/>
  <c r="F32" i="11"/>
  <c r="F15" i="11"/>
  <c r="D15" i="11" s="1"/>
  <c r="F7" i="11"/>
  <c r="D7" i="11" s="1"/>
  <c r="F147" i="11"/>
  <c r="F86" i="11"/>
  <c r="F65" i="11"/>
  <c r="F102" i="11"/>
  <c r="F72" i="11"/>
  <c r="D72" i="11" s="1"/>
  <c r="F98" i="11"/>
  <c r="F55" i="11"/>
  <c r="F45" i="11"/>
  <c r="F159" i="11"/>
  <c r="D159" i="11" s="1"/>
  <c r="F151" i="11"/>
  <c r="D151" i="11" s="1"/>
  <c r="F46" i="11"/>
  <c r="F37" i="11"/>
  <c r="F21" i="11"/>
  <c r="F12" i="11"/>
  <c r="D12" i="11" s="1"/>
  <c r="F75" i="11"/>
  <c r="D75" i="11" s="1"/>
  <c r="F18" i="11"/>
  <c r="F22" i="11"/>
  <c r="F152" i="11"/>
  <c r="D152" i="11" s="1"/>
  <c r="F13" i="11"/>
  <c r="D13" i="11" s="1"/>
  <c r="F150" i="11"/>
  <c r="D150" i="11" s="1"/>
  <c r="F47" i="11"/>
  <c r="D47" i="11" s="1"/>
  <c r="F128" i="11"/>
  <c r="F87" i="11"/>
  <c r="F158" i="11"/>
  <c r="D158" i="11" s="1"/>
  <c r="F20" i="11"/>
  <c r="F99" i="11"/>
  <c r="F57" i="11"/>
  <c r="F44" i="11"/>
  <c r="F67" i="11"/>
  <c r="F53" i="11"/>
  <c r="F5" i="11"/>
  <c r="F11" i="11"/>
  <c r="D11" i="11" s="1"/>
  <c r="F130" i="11"/>
  <c r="F36" i="11"/>
  <c r="F103" i="11"/>
  <c r="F38" i="11"/>
  <c r="AA53" i="5"/>
  <c r="Z53" i="5"/>
  <c r="F77" i="16"/>
  <c r="F289" i="10"/>
  <c r="AR289" i="10" s="1"/>
  <c r="F290" i="10"/>
  <c r="AR290" i="10" s="1"/>
  <c r="F294" i="10"/>
  <c r="AR294" i="10" s="1"/>
  <c r="F298" i="10"/>
  <c r="AR298" i="10" s="1"/>
  <c r="F302" i="10"/>
  <c r="AR302" i="10" s="1"/>
  <c r="F306" i="10"/>
  <c r="AR306" i="10" s="1"/>
  <c r="F274" i="10"/>
  <c r="AR274" i="10" s="1"/>
  <c r="F257" i="10"/>
  <c r="AR257" i="10" s="1"/>
  <c r="F259" i="10"/>
  <c r="AR259" i="10" s="1"/>
  <c r="F261" i="10"/>
  <c r="AR261" i="10" s="1"/>
  <c r="F263" i="10"/>
  <c r="AR263" i="10" s="1"/>
  <c r="F265" i="10"/>
  <c r="AR265" i="10" s="1"/>
  <c r="F267" i="10"/>
  <c r="AR267" i="10" s="1"/>
  <c r="F269" i="10"/>
  <c r="AR269" i="10" s="1"/>
  <c r="F273" i="10"/>
  <c r="AR273" i="10" s="1"/>
  <c r="F281" i="10"/>
  <c r="AR281" i="10" s="1"/>
  <c r="F244" i="10"/>
  <c r="AR244" i="10" s="1"/>
  <c r="F246" i="10"/>
  <c r="AR246" i="10" s="1"/>
  <c r="F248" i="10"/>
  <c r="AR248" i="10" s="1"/>
  <c r="F250" i="10"/>
  <c r="AR250" i="10" s="1"/>
  <c r="F63" i="10"/>
  <c r="AR63" i="10" s="1"/>
  <c r="F242" i="10"/>
  <c r="AR242" i="10" s="1"/>
  <c r="F169" i="10"/>
  <c r="F174" i="10"/>
  <c r="AR174" i="10" s="1"/>
  <c r="F178" i="10"/>
  <c r="AR178" i="10" s="1"/>
  <c r="F182" i="10"/>
  <c r="AR182" i="10" s="1"/>
  <c r="F186" i="10"/>
  <c r="AR186" i="10" s="1"/>
  <c r="F190" i="10"/>
  <c r="AR190" i="10" s="1"/>
  <c r="F194" i="10"/>
  <c r="AR194" i="10" s="1"/>
  <c r="F198" i="10"/>
  <c r="AR198" i="10" s="1"/>
  <c r="F202" i="10"/>
  <c r="AR202" i="10" s="1"/>
  <c r="F164" i="10"/>
  <c r="F160" i="10"/>
  <c r="F156" i="10"/>
  <c r="F133" i="10"/>
  <c r="F138" i="10"/>
  <c r="F111" i="10"/>
  <c r="F115" i="10"/>
  <c r="F119" i="10"/>
  <c r="F124" i="10"/>
  <c r="F128" i="10"/>
  <c r="F141" i="10"/>
  <c r="F109" i="10"/>
  <c r="AR109" i="10" s="1"/>
  <c r="F105" i="10"/>
  <c r="AR105" i="10" s="1"/>
  <c r="F89" i="10"/>
  <c r="AR89" i="10" s="1"/>
  <c r="F291" i="10"/>
  <c r="AR291" i="10" s="1"/>
  <c r="F296" i="10"/>
  <c r="AR296" i="10" s="1"/>
  <c r="F301" i="10"/>
  <c r="AR301" i="10" s="1"/>
  <c r="F307" i="10"/>
  <c r="AR307" i="10" s="1"/>
  <c r="F282" i="10"/>
  <c r="AR282" i="10" s="1"/>
  <c r="F284" i="10"/>
  <c r="AR284" i="10" s="1"/>
  <c r="F286" i="10"/>
  <c r="AR286" i="10" s="1"/>
  <c r="F309" i="10"/>
  <c r="AR309" i="10" s="1"/>
  <c r="F275" i="10"/>
  <c r="AR275" i="10" s="1"/>
  <c r="F280" i="10"/>
  <c r="AR280" i="10" s="1"/>
  <c r="F256" i="10"/>
  <c r="AR256" i="10" s="1"/>
  <c r="F264" i="10"/>
  <c r="AR264" i="10" s="1"/>
  <c r="F254" i="10"/>
  <c r="AR254" i="10" s="1"/>
  <c r="F249" i="10"/>
  <c r="AR249" i="10" s="1"/>
  <c r="F241" i="10"/>
  <c r="AR241" i="10" s="1"/>
  <c r="F168" i="10"/>
  <c r="F172" i="10"/>
  <c r="AR172" i="10" s="1"/>
  <c r="F175" i="10"/>
  <c r="AR175" i="10" s="1"/>
  <c r="F185" i="10"/>
  <c r="AR185" i="10" s="1"/>
  <c r="F188" i="10"/>
  <c r="AR188" i="10" s="1"/>
  <c r="F191" i="10"/>
  <c r="AR191" i="10" s="1"/>
  <c r="F201" i="10"/>
  <c r="AR201" i="10" s="1"/>
  <c r="F166" i="10"/>
  <c r="F161" i="10"/>
  <c r="F155" i="10"/>
  <c r="F135" i="10"/>
  <c r="F136" i="10"/>
  <c r="F110" i="10"/>
  <c r="F116" i="10"/>
  <c r="F121" i="10"/>
  <c r="F122" i="10"/>
  <c r="F127" i="10"/>
  <c r="F142" i="10"/>
  <c r="F107" i="10"/>
  <c r="AR107" i="10" s="1"/>
  <c r="F104" i="10"/>
  <c r="AR104" i="10" s="1"/>
  <c r="F101" i="10"/>
  <c r="AR101" i="10" s="1"/>
  <c r="F97" i="10"/>
  <c r="AR97" i="10" s="1"/>
  <c r="F93" i="10"/>
  <c r="AR93" i="10" s="1"/>
  <c r="F292" i="10"/>
  <c r="AR292" i="10" s="1"/>
  <c r="F297" i="10"/>
  <c r="AR297" i="10" s="1"/>
  <c r="F303" i="10"/>
  <c r="AR303" i="10" s="1"/>
  <c r="F308" i="10"/>
  <c r="AR308" i="10" s="1"/>
  <c r="F262" i="10"/>
  <c r="AR262" i="10" s="1"/>
  <c r="F270" i="10"/>
  <c r="F60" i="10"/>
  <c r="AR60" i="10" s="1"/>
  <c r="F58" i="10"/>
  <c r="AR58" i="10" s="1"/>
  <c r="F238" i="10"/>
  <c r="AR238" i="10" s="1"/>
  <c r="F234" i="10"/>
  <c r="AR234" i="10" s="1"/>
  <c r="F232" i="10"/>
  <c r="AR232" i="10" s="1"/>
  <c r="F228" i="10"/>
  <c r="AR228" i="10" s="1"/>
  <c r="F226" i="10"/>
  <c r="AR226" i="10" s="1"/>
  <c r="F222" i="10"/>
  <c r="AR222" i="10" s="1"/>
  <c r="F220" i="10"/>
  <c r="AR220" i="10" s="1"/>
  <c r="F216" i="10"/>
  <c r="AR216" i="10" s="1"/>
  <c r="F214" i="10"/>
  <c r="AR214" i="10" s="1"/>
  <c r="F210" i="10"/>
  <c r="AR210" i="10" s="1"/>
  <c r="F208" i="10"/>
  <c r="AR208" i="10" s="1"/>
  <c r="F204" i="10"/>
  <c r="F240" i="10"/>
  <c r="AR240" i="10" s="1"/>
  <c r="F171" i="10"/>
  <c r="AR171" i="10" s="1"/>
  <c r="F184" i="10"/>
  <c r="AR184" i="10" s="1"/>
  <c r="F187" i="10"/>
  <c r="AR187" i="10" s="1"/>
  <c r="F197" i="10"/>
  <c r="AR197" i="10" s="1"/>
  <c r="F203" i="10"/>
  <c r="AR203" i="10" s="1"/>
  <c r="F165" i="10"/>
  <c r="F131" i="10"/>
  <c r="F137" i="10"/>
  <c r="F112" i="10"/>
  <c r="F123" i="10"/>
  <c r="F108" i="10"/>
  <c r="AR108" i="10" s="1"/>
  <c r="F293" i="10"/>
  <c r="AR293" i="10" s="1"/>
  <c r="F299" i="10"/>
  <c r="AR299" i="10" s="1"/>
  <c r="F304" i="10"/>
  <c r="AR304" i="10" s="1"/>
  <c r="F283" i="10"/>
  <c r="AR283" i="10" s="1"/>
  <c r="F285" i="10"/>
  <c r="AR285" i="10" s="1"/>
  <c r="F260" i="10"/>
  <c r="AR260" i="10" s="1"/>
  <c r="F268" i="10"/>
  <c r="AR268" i="10" s="1"/>
  <c r="F271" i="10"/>
  <c r="AR271" i="10" s="1"/>
  <c r="F252" i="10"/>
  <c r="AR252" i="10" s="1"/>
  <c r="F64" i="10"/>
  <c r="AR64" i="10" s="1"/>
  <c r="F61" i="10"/>
  <c r="AR61" i="10" s="1"/>
  <c r="F177" i="10"/>
  <c r="AR177" i="10" s="1"/>
  <c r="F180" i="10"/>
  <c r="AR180" i="10" s="1"/>
  <c r="F183" i="10"/>
  <c r="AR183" i="10" s="1"/>
  <c r="F193" i="10"/>
  <c r="AR193" i="10" s="1"/>
  <c r="F196" i="10"/>
  <c r="AR196" i="10" s="1"/>
  <c r="F163" i="10"/>
  <c r="F158" i="10"/>
  <c r="F139" i="10"/>
  <c r="F113" i="10"/>
  <c r="F118" i="10"/>
  <c r="F125" i="10"/>
  <c r="F130" i="10"/>
  <c r="F102" i="10"/>
  <c r="AR102" i="10" s="1"/>
  <c r="F99" i="10"/>
  <c r="AR99" i="10" s="1"/>
  <c r="F92" i="10"/>
  <c r="AR92" i="10" s="1"/>
  <c r="F91" i="10"/>
  <c r="AR91" i="10" s="1"/>
  <c r="F90" i="10"/>
  <c r="AR90" i="10" s="1"/>
  <c r="F88" i="10"/>
  <c r="AR88" i="10" s="1"/>
  <c r="F87" i="10"/>
  <c r="AR87" i="10" s="1"/>
  <c r="F86" i="10"/>
  <c r="AR86" i="10" s="1"/>
  <c r="F276" i="10"/>
  <c r="AR276" i="10" s="1"/>
  <c r="F278" i="10"/>
  <c r="AR278" i="10" s="1"/>
  <c r="F258" i="10"/>
  <c r="AR258" i="10" s="1"/>
  <c r="F251" i="10"/>
  <c r="AR251" i="10" s="1"/>
  <c r="F65" i="10"/>
  <c r="AR65" i="10" s="1"/>
  <c r="F62" i="10"/>
  <c r="AR62" i="10" s="1"/>
  <c r="F237" i="10"/>
  <c r="AR237" i="10" s="1"/>
  <c r="F233" i="10"/>
  <c r="AR233" i="10" s="1"/>
  <c r="F229" i="10"/>
  <c r="AR229" i="10" s="1"/>
  <c r="F227" i="10"/>
  <c r="AR227" i="10" s="1"/>
  <c r="F223" i="10"/>
  <c r="AR223" i="10" s="1"/>
  <c r="F221" i="10"/>
  <c r="AR221" i="10" s="1"/>
  <c r="F217" i="10"/>
  <c r="AR217" i="10" s="1"/>
  <c r="F213" i="10"/>
  <c r="AR213" i="10" s="1"/>
  <c r="F209" i="10"/>
  <c r="AR209" i="10" s="1"/>
  <c r="F207" i="10"/>
  <c r="AR207" i="10" s="1"/>
  <c r="F243" i="10"/>
  <c r="AR243" i="10" s="1"/>
  <c r="F192" i="10"/>
  <c r="AR192" i="10" s="1"/>
  <c r="F167" i="10"/>
  <c r="F162" i="10"/>
  <c r="F134" i="10"/>
  <c r="F114" i="10"/>
  <c r="F120" i="10"/>
  <c r="F126" i="10"/>
  <c r="F106" i="10"/>
  <c r="AR106" i="10" s="1"/>
  <c r="F103" i="10"/>
  <c r="AR103" i="10" s="1"/>
  <c r="F279" i="10"/>
  <c r="AR279" i="10" s="1"/>
  <c r="F255" i="10"/>
  <c r="AR255" i="10" s="1"/>
  <c r="F272" i="10"/>
  <c r="AR272" i="10" s="1"/>
  <c r="F253" i="10"/>
  <c r="AR253" i="10" s="1"/>
  <c r="F247" i="10"/>
  <c r="AR247" i="10" s="1"/>
  <c r="F59" i="10"/>
  <c r="AR59" i="10" s="1"/>
  <c r="F236" i="10"/>
  <c r="AR236" i="10" s="1"/>
  <c r="F230" i="10"/>
  <c r="AR230" i="10" s="1"/>
  <c r="F224" i="10"/>
  <c r="AR224" i="10" s="1"/>
  <c r="F218" i="10"/>
  <c r="AR218" i="10" s="1"/>
  <c r="F212" i="10"/>
  <c r="AR212" i="10" s="1"/>
  <c r="F206" i="10"/>
  <c r="F170" i="10"/>
  <c r="F181" i="10"/>
  <c r="AR181" i="10" s="1"/>
  <c r="F200" i="10"/>
  <c r="AR200" i="10" s="1"/>
  <c r="F159" i="10"/>
  <c r="F117" i="10"/>
  <c r="F129" i="10"/>
  <c r="F287" i="10"/>
  <c r="AR287" i="10" s="1"/>
  <c r="F245" i="10"/>
  <c r="AR245" i="10" s="1"/>
  <c r="F310" i="10"/>
  <c r="F199" i="10"/>
  <c r="AR199" i="10" s="1"/>
  <c r="F132" i="10"/>
  <c r="F100" i="10"/>
  <c r="AR100" i="10" s="1"/>
  <c r="F98" i="10"/>
  <c r="AR98" i="10" s="1"/>
  <c r="F96" i="10"/>
  <c r="AR96" i="10" s="1"/>
  <c r="F95" i="10"/>
  <c r="AR95" i="10" s="1"/>
  <c r="F94" i="10"/>
  <c r="AR94" i="10" s="1"/>
  <c r="F288" i="10"/>
  <c r="AR288" i="10" s="1"/>
  <c r="F295" i="10"/>
  <c r="AR295" i="10" s="1"/>
  <c r="F300" i="10"/>
  <c r="AR300" i="10" s="1"/>
  <c r="F305" i="10"/>
  <c r="AR305" i="10" s="1"/>
  <c r="F277" i="10"/>
  <c r="AR277" i="10" s="1"/>
  <c r="F266" i="10"/>
  <c r="AR266" i="10" s="1"/>
  <c r="F239" i="10"/>
  <c r="AR239" i="10" s="1"/>
  <c r="F235" i="10"/>
  <c r="AR235" i="10" s="1"/>
  <c r="F231" i="10"/>
  <c r="AR231" i="10" s="1"/>
  <c r="F225" i="10"/>
  <c r="AR225" i="10" s="1"/>
  <c r="F219" i="10"/>
  <c r="AR219" i="10" s="1"/>
  <c r="F215" i="10"/>
  <c r="AR215" i="10" s="1"/>
  <c r="F211" i="10"/>
  <c r="AR211" i="10" s="1"/>
  <c r="F205" i="10"/>
  <c r="F173" i="10"/>
  <c r="AR173" i="10" s="1"/>
  <c r="F176" i="10"/>
  <c r="AR176" i="10" s="1"/>
  <c r="F179" i="10"/>
  <c r="AR179" i="10" s="1"/>
  <c r="F189" i="10"/>
  <c r="AR189" i="10" s="1"/>
  <c r="F195" i="10"/>
  <c r="AR195" i="10" s="1"/>
  <c r="F157" i="10"/>
  <c r="F140" i="10"/>
  <c r="F79" i="10"/>
  <c r="AR79" i="10" s="1"/>
  <c r="F71" i="10"/>
  <c r="AR71" i="10" s="1"/>
  <c r="F78" i="10"/>
  <c r="AR78" i="10" s="1"/>
  <c r="F85" i="10"/>
  <c r="AR85" i="10" s="1"/>
  <c r="F69" i="10"/>
  <c r="AR69" i="10" s="1"/>
  <c r="F77" i="10"/>
  <c r="AR77" i="10" s="1"/>
  <c r="F80" i="10"/>
  <c r="AR80" i="10" s="1"/>
  <c r="F82" i="10"/>
  <c r="AR82" i="10" s="1"/>
  <c r="F83" i="10"/>
  <c r="AR83" i="10" s="1"/>
  <c r="F84" i="10"/>
  <c r="AR84" i="10" s="1"/>
  <c r="F72" i="10"/>
  <c r="AR72" i="10" s="1"/>
  <c r="F81" i="10"/>
  <c r="AR81" i="10" s="1"/>
  <c r="F70" i="10"/>
  <c r="AR70" i="10" s="1"/>
  <c r="F45" i="10"/>
  <c r="AR45" i="10" s="1"/>
  <c r="F49" i="10"/>
  <c r="AR49" i="10" s="1"/>
  <c r="F50" i="10"/>
  <c r="AR50" i="10" s="1"/>
  <c r="F54" i="10"/>
  <c r="AR54" i="10" s="1"/>
  <c r="F36" i="10"/>
  <c r="AR36" i="10" s="1"/>
  <c r="F40" i="10"/>
  <c r="AR40" i="10" s="1"/>
  <c r="F43" i="10"/>
  <c r="AR43" i="10" s="1"/>
  <c r="F47" i="10"/>
  <c r="AR47" i="10" s="1"/>
  <c r="F52" i="10"/>
  <c r="AR52" i="10" s="1"/>
  <c r="F56" i="10"/>
  <c r="AR56" i="10" s="1"/>
  <c r="F37" i="10"/>
  <c r="AR37" i="10" s="1"/>
  <c r="F41" i="10"/>
  <c r="AR41" i="10" s="1"/>
  <c r="F44" i="10"/>
  <c r="AR44" i="10" s="1"/>
  <c r="F48" i="10"/>
  <c r="AR48" i="10" s="1"/>
  <c r="F57" i="10"/>
  <c r="AR57" i="10" s="1"/>
  <c r="F39" i="10"/>
  <c r="AR39" i="10" s="1"/>
  <c r="F51" i="10"/>
  <c r="AR51" i="10" s="1"/>
  <c r="F55" i="10"/>
  <c r="AR55" i="10" s="1"/>
  <c r="F75" i="10"/>
  <c r="AR75" i="10" s="1"/>
  <c r="F53" i="10"/>
  <c r="AR53" i="10" s="1"/>
  <c r="F34" i="10"/>
  <c r="AR34" i="10" s="1"/>
  <c r="F38" i="10"/>
  <c r="AR38" i="10" s="1"/>
  <c r="F35" i="10"/>
  <c r="AR35" i="10" s="1"/>
  <c r="F42" i="10"/>
  <c r="AR42" i="10" s="1"/>
  <c r="F46" i="10"/>
  <c r="AR46" i="10" s="1"/>
  <c r="F7" i="10"/>
  <c r="D7" i="10" s="1"/>
  <c r="F11" i="10"/>
  <c r="D11" i="10" s="1"/>
  <c r="F15" i="10"/>
  <c r="D15" i="10" s="1"/>
  <c r="F31" i="10"/>
  <c r="AR31" i="10" s="1"/>
  <c r="F67" i="10"/>
  <c r="AR67" i="10" s="1"/>
  <c r="F76" i="10"/>
  <c r="F146" i="10"/>
  <c r="D146" i="10" s="1"/>
  <c r="F150" i="10"/>
  <c r="D150" i="10" s="1"/>
  <c r="F154" i="10"/>
  <c r="D154" i="10" s="1"/>
  <c r="F28" i="10"/>
  <c r="F27" i="10"/>
  <c r="F26" i="10"/>
  <c r="F25" i="10"/>
  <c r="F24" i="10"/>
  <c r="F23" i="10"/>
  <c r="F17" i="10"/>
  <c r="F8" i="10"/>
  <c r="D8" i="10" s="1"/>
  <c r="F12" i="10"/>
  <c r="D12" i="10" s="1"/>
  <c r="F16" i="10"/>
  <c r="D16" i="10" s="1"/>
  <c r="F32" i="10"/>
  <c r="AR32" i="10" s="1"/>
  <c r="F68" i="10"/>
  <c r="AR68" i="10" s="1"/>
  <c r="F143" i="10"/>
  <c r="D143" i="10" s="1"/>
  <c r="F147" i="10"/>
  <c r="D147" i="10" s="1"/>
  <c r="F33" i="10"/>
  <c r="AR33" i="10" s="1"/>
  <c r="F144" i="10"/>
  <c r="D144" i="10" s="1"/>
  <c r="F152" i="10"/>
  <c r="D152" i="10" s="1"/>
  <c r="F6" i="10"/>
  <c r="D6" i="10" s="1"/>
  <c r="F10" i="10"/>
  <c r="D10" i="10" s="1"/>
  <c r="F14" i="10"/>
  <c r="D14" i="10" s="1"/>
  <c r="F30" i="10"/>
  <c r="F66" i="10"/>
  <c r="AR66" i="10" s="1"/>
  <c r="F74" i="10"/>
  <c r="F145" i="10"/>
  <c r="D145" i="10" s="1"/>
  <c r="F149" i="10"/>
  <c r="D149" i="10" s="1"/>
  <c r="F153" i="10"/>
  <c r="D153" i="10" s="1"/>
  <c r="F22" i="10"/>
  <c r="F21" i="10"/>
  <c r="F20" i="10"/>
  <c r="F19" i="10"/>
  <c r="F18" i="10"/>
  <c r="F151" i="10"/>
  <c r="D151" i="10" s="1"/>
  <c r="F5" i="10"/>
  <c r="D5" i="10" s="1"/>
  <c r="F9" i="10"/>
  <c r="D9" i="10" s="1"/>
  <c r="F13" i="10"/>
  <c r="D13" i="10" s="1"/>
  <c r="F29" i="10"/>
  <c r="D29" i="10" s="1"/>
  <c r="F73" i="10"/>
  <c r="AR73" i="10" s="1"/>
  <c r="F148" i="10"/>
  <c r="D148" i="10" s="1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67" i="5"/>
  <c r="F70" i="5"/>
  <c r="F74" i="5"/>
  <c r="F78" i="5"/>
  <c r="F81" i="5"/>
  <c r="F85" i="5"/>
  <c r="F41" i="5"/>
  <c r="F42" i="5"/>
  <c r="F5" i="5"/>
  <c r="D5" i="5" s="1"/>
  <c r="F9" i="5"/>
  <c r="D9" i="5" s="1"/>
  <c r="F13" i="5"/>
  <c r="D13" i="5" s="1"/>
  <c r="F17" i="5"/>
  <c r="F21" i="5"/>
  <c r="F25" i="5"/>
  <c r="F29" i="5"/>
  <c r="F33" i="5"/>
  <c r="F37" i="5"/>
  <c r="F43" i="5"/>
  <c r="F47" i="5"/>
  <c r="F87" i="5"/>
  <c r="F91" i="5"/>
  <c r="F95" i="5"/>
  <c r="D95" i="5" s="1"/>
  <c r="F99" i="5"/>
  <c r="D99" i="5" s="1"/>
  <c r="F103" i="5"/>
  <c r="D103" i="5" s="1"/>
  <c r="F79" i="5"/>
  <c r="F10" i="5"/>
  <c r="D10" i="5" s="1"/>
  <c r="F26" i="5"/>
  <c r="F38" i="5"/>
  <c r="F88" i="5"/>
  <c r="F72" i="5"/>
  <c r="F76" i="5"/>
  <c r="F80" i="5"/>
  <c r="F83" i="5"/>
  <c r="F7" i="5"/>
  <c r="D7" i="5" s="1"/>
  <c r="F11" i="5"/>
  <c r="D11" i="5" s="1"/>
  <c r="F15" i="5"/>
  <c r="F19" i="5"/>
  <c r="F23" i="5"/>
  <c r="F27" i="5"/>
  <c r="F31" i="5"/>
  <c r="F35" i="5"/>
  <c r="F39" i="5"/>
  <c r="F45" i="5"/>
  <c r="F49" i="5"/>
  <c r="F89" i="5"/>
  <c r="F93" i="5"/>
  <c r="F97" i="5"/>
  <c r="D97" i="5" s="1"/>
  <c r="F101" i="5"/>
  <c r="D101" i="5" s="1"/>
  <c r="F52" i="5"/>
  <c r="F71" i="5"/>
  <c r="F75" i="5"/>
  <c r="F82" i="5"/>
  <c r="F86" i="5"/>
  <c r="F6" i="5"/>
  <c r="D6" i="5" s="1"/>
  <c r="F14" i="5"/>
  <c r="D14" i="5" s="1"/>
  <c r="F18" i="5"/>
  <c r="F30" i="5"/>
  <c r="F34" i="5"/>
  <c r="F48" i="5"/>
  <c r="F92" i="5"/>
  <c r="F100" i="5"/>
  <c r="D100" i="5" s="1"/>
  <c r="F51" i="5"/>
  <c r="F69" i="5"/>
  <c r="F73" i="5"/>
  <c r="F77" i="5"/>
  <c r="F84" i="5"/>
  <c r="F8" i="5"/>
  <c r="D8" i="5" s="1"/>
  <c r="F12" i="5"/>
  <c r="D12" i="5" s="1"/>
  <c r="F16" i="5"/>
  <c r="F20" i="5"/>
  <c r="F24" i="5"/>
  <c r="F28" i="5"/>
  <c r="F32" i="5"/>
  <c r="F36" i="5"/>
  <c r="F40" i="5"/>
  <c r="F46" i="5"/>
  <c r="F50" i="5"/>
  <c r="F90" i="5"/>
  <c r="F94" i="5"/>
  <c r="D94" i="5" s="1"/>
  <c r="F98" i="5"/>
  <c r="D98" i="5" s="1"/>
  <c r="F102" i="5"/>
  <c r="D102" i="5" s="1"/>
  <c r="F68" i="5"/>
  <c r="F22" i="5"/>
  <c r="F44" i="5"/>
  <c r="F96" i="5"/>
  <c r="D96" i="5" s="1"/>
  <c r="R2" i="19"/>
  <c r="R3" i="19" s="1"/>
  <c r="S1" i="19"/>
  <c r="X224" i="10"/>
  <c r="X226" i="10"/>
  <c r="U227" i="10"/>
  <c r="U225" i="10"/>
  <c r="X222" i="10"/>
  <c r="AS226" i="10"/>
  <c r="U229" i="10"/>
  <c r="U187" i="10"/>
  <c r="X184" i="10"/>
  <c r="X185" i="10"/>
  <c r="X188" i="10"/>
  <c r="U188" i="10"/>
  <c r="AS185" i="10"/>
  <c r="X195" i="10"/>
  <c r="U195" i="10"/>
  <c r="D64" i="5"/>
  <c r="AA63" i="5"/>
  <c r="Z63" i="5"/>
  <c r="AA54" i="5"/>
  <c r="D55" i="5"/>
  <c r="Z54" i="5"/>
  <c r="AD53" i="5"/>
  <c r="E54" i="5"/>
  <c r="AE53" i="5"/>
  <c r="D46" i="5"/>
  <c r="AA42" i="5"/>
  <c r="Z42" i="5"/>
  <c r="F21" i="16"/>
  <c r="F6" i="16"/>
  <c r="F23" i="16"/>
  <c r="F74" i="16"/>
  <c r="F14" i="16"/>
  <c r="F29" i="16"/>
  <c r="F76" i="16"/>
  <c r="F16" i="16"/>
  <c r="F31" i="16"/>
  <c r="AB16" i="16"/>
  <c r="F13" i="16"/>
  <c r="F5" i="16"/>
  <c r="F24" i="16"/>
  <c r="F32" i="16"/>
  <c r="F75" i="16"/>
  <c r="F7" i="16"/>
  <c r="F15" i="16"/>
  <c r="F22" i="16"/>
  <c r="F30" i="16"/>
  <c r="T44" i="16"/>
  <c r="V37" i="16"/>
  <c r="V66" i="16"/>
  <c r="T61" i="16"/>
  <c r="V68" i="16"/>
  <c r="V67" i="16"/>
  <c r="T69" i="16"/>
  <c r="T70" i="16"/>
  <c r="T59" i="16"/>
  <c r="T58" i="16"/>
  <c r="T62" i="16"/>
  <c r="T60" i="16"/>
  <c r="V64" i="16"/>
  <c r="AA14" i="16"/>
  <c r="X31" i="16"/>
  <c r="V63" i="16"/>
  <c r="V65" i="16"/>
  <c r="T56" i="16"/>
  <c r="AB13" i="16"/>
  <c r="W8" i="16"/>
  <c r="V57" i="16"/>
  <c r="T55" i="16"/>
  <c r="T54" i="16"/>
  <c r="T25" i="16"/>
  <c r="W32" i="16"/>
  <c r="V29" i="16"/>
  <c r="M29" i="16" s="1"/>
  <c r="X7" i="16"/>
  <c r="T27" i="16"/>
  <c r="V38" i="16"/>
  <c r="W13" i="16"/>
  <c r="V30" i="16"/>
  <c r="P30" i="16" s="1"/>
  <c r="V31" i="16"/>
  <c r="M31" i="16" s="1"/>
  <c r="M32" i="16"/>
  <c r="W29" i="16"/>
  <c r="T32" i="16"/>
  <c r="T33" i="16"/>
  <c r="T34" i="16"/>
  <c r="T35" i="16"/>
  <c r="T36" i="16"/>
  <c r="W30" i="16"/>
  <c r="V22" i="16"/>
  <c r="T26" i="16"/>
  <c r="W23" i="16"/>
  <c r="T28" i="16"/>
  <c r="T24" i="16"/>
  <c r="P24" i="16" s="1"/>
  <c r="T21" i="16"/>
  <c r="M24" i="16"/>
  <c r="X21" i="16"/>
  <c r="AB21" i="16"/>
  <c r="V23" i="16"/>
  <c r="P23" i="16" s="1"/>
  <c r="W24" i="16"/>
  <c r="W22" i="16"/>
  <c r="AA22" i="16"/>
  <c r="AB7" i="16"/>
  <c r="W16" i="16"/>
  <c r="W15" i="16"/>
  <c r="W6" i="16"/>
  <c r="AB6" i="16"/>
  <c r="X14" i="16"/>
  <c r="AA15" i="16"/>
  <c r="AA8" i="16"/>
  <c r="M16" i="16"/>
  <c r="M15" i="16"/>
  <c r="T13" i="16"/>
  <c r="T14" i="16"/>
  <c r="T15" i="16"/>
  <c r="T16" i="16"/>
  <c r="T17" i="16"/>
  <c r="T18" i="16"/>
  <c r="T19" i="16"/>
  <c r="T20" i="16"/>
  <c r="V12" i="16"/>
  <c r="V11" i="16"/>
  <c r="V8" i="16"/>
  <c r="P8" i="16" s="1"/>
  <c r="V6" i="16"/>
  <c r="T7" i="16"/>
  <c r="V10" i="16"/>
  <c r="T9" i="16"/>
  <c r="M7" i="16"/>
  <c r="H3" i="13"/>
  <c r="I680" i="1" l="1"/>
  <c r="J680" i="1"/>
  <c r="O680" i="1" s="1"/>
  <c r="H681" i="1"/>
  <c r="AL270" i="11"/>
  <c r="D271" i="11"/>
  <c r="AK270" i="11"/>
  <c r="AL134" i="11"/>
  <c r="AK134" i="11"/>
  <c r="AL141" i="11"/>
  <c r="AK141" i="11"/>
  <c r="D42" i="14"/>
  <c r="AB41" i="14"/>
  <c r="AC41" i="14"/>
  <c r="V41" i="14"/>
  <c r="AL73" i="11"/>
  <c r="D77" i="11"/>
  <c r="AK73" i="11"/>
  <c r="AL142" i="11"/>
  <c r="AK142" i="11"/>
  <c r="D183" i="11"/>
  <c r="AL180" i="11"/>
  <c r="AK180" i="11"/>
  <c r="D47" i="9"/>
  <c r="AD46" i="9"/>
  <c r="AC46" i="9"/>
  <c r="D112" i="9"/>
  <c r="AC111" i="9"/>
  <c r="AD111" i="9"/>
  <c r="AL135" i="11"/>
  <c r="AK135" i="11"/>
  <c r="AK136" i="11"/>
  <c r="AL136" i="11"/>
  <c r="AK133" i="11"/>
  <c r="AL133" i="11"/>
  <c r="AC61" i="9"/>
  <c r="D62" i="9"/>
  <c r="AD61" i="9"/>
  <c r="D5" i="11"/>
  <c r="AL75" i="11"/>
  <c r="D79" i="11"/>
  <c r="AK75" i="11"/>
  <c r="D315" i="11"/>
  <c r="AK314" i="11"/>
  <c r="AL314" i="11"/>
  <c r="AK179" i="11"/>
  <c r="D182" i="11"/>
  <c r="AL179" i="11"/>
  <c r="AK219" i="11"/>
  <c r="D220" i="11"/>
  <c r="AL219" i="11"/>
  <c r="AK145" i="11"/>
  <c r="AL145" i="11"/>
  <c r="D35" i="9"/>
  <c r="AD34" i="9"/>
  <c r="AC34" i="9"/>
  <c r="D78" i="11"/>
  <c r="AL74" i="11"/>
  <c r="AK74" i="11"/>
  <c r="AL163" i="11"/>
  <c r="AK163" i="11"/>
  <c r="D164" i="11"/>
  <c r="AK140" i="11"/>
  <c r="AL140" i="11"/>
  <c r="AL231" i="11"/>
  <c r="AK231" i="11"/>
  <c r="D232" i="11"/>
  <c r="D26" i="14"/>
  <c r="D27" i="14" s="1"/>
  <c r="AC25" i="14"/>
  <c r="AB25" i="14"/>
  <c r="V25" i="14"/>
  <c r="D49" i="11"/>
  <c r="D76" i="11"/>
  <c r="AK72" i="11"/>
  <c r="AL72" i="11"/>
  <c r="AK137" i="11"/>
  <c r="AL137" i="11"/>
  <c r="AK143" i="11"/>
  <c r="AL143" i="11"/>
  <c r="AL132" i="11"/>
  <c r="AK132" i="11"/>
  <c r="AL144" i="11"/>
  <c r="AK144" i="11"/>
  <c r="AK139" i="11"/>
  <c r="AL139" i="11"/>
  <c r="AD28" i="9"/>
  <c r="AC28" i="9"/>
  <c r="AL284" i="11"/>
  <c r="AK284" i="11"/>
  <c r="D285" i="11"/>
  <c r="D30" i="14"/>
  <c r="AC29" i="14"/>
  <c r="AB29" i="14"/>
  <c r="V29" i="14"/>
  <c r="D300" i="11"/>
  <c r="AK299" i="11"/>
  <c r="AL299" i="11"/>
  <c r="D5" i="9"/>
  <c r="D6" i="9" s="1"/>
  <c r="D50" i="11"/>
  <c r="AK48" i="11"/>
  <c r="AL48" i="11"/>
  <c r="AL138" i="11"/>
  <c r="AK138" i="11"/>
  <c r="AK181" i="11"/>
  <c r="AL181" i="11"/>
  <c r="D184" i="11"/>
  <c r="AS184" i="10"/>
  <c r="AR20" i="10"/>
  <c r="D20" i="10"/>
  <c r="D140" i="10"/>
  <c r="AR140" i="10"/>
  <c r="D120" i="10"/>
  <c r="AR120" i="10"/>
  <c r="D125" i="10"/>
  <c r="AR125" i="10"/>
  <c r="D158" i="10"/>
  <c r="AR158" i="10"/>
  <c r="AR112" i="10"/>
  <c r="D112" i="10"/>
  <c r="AS210" i="10"/>
  <c r="D110" i="10"/>
  <c r="AR110" i="10"/>
  <c r="D161" i="10"/>
  <c r="AR161" i="10"/>
  <c r="AR168" i="10"/>
  <c r="D168" i="10"/>
  <c r="D111" i="10"/>
  <c r="AR111" i="10"/>
  <c r="AS176" i="10"/>
  <c r="AS213" i="10"/>
  <c r="D118" i="10"/>
  <c r="AR118" i="10"/>
  <c r="AS214" i="10"/>
  <c r="AR18" i="10"/>
  <c r="D18" i="10"/>
  <c r="D113" i="10"/>
  <c r="AR113" i="10"/>
  <c r="AS177" i="10"/>
  <c r="AR131" i="10"/>
  <c r="D131" i="10"/>
  <c r="D204" i="10"/>
  <c r="AR204" i="10"/>
  <c r="AS216" i="10"/>
  <c r="D121" i="10"/>
  <c r="AR121" i="10"/>
  <c r="D135" i="10"/>
  <c r="AR135" i="10"/>
  <c r="AS175" i="10"/>
  <c r="AR119" i="10"/>
  <c r="D119" i="10"/>
  <c r="D133" i="10"/>
  <c r="AR133" i="10"/>
  <c r="AS186" i="10"/>
  <c r="AR169" i="10"/>
  <c r="D169" i="10"/>
  <c r="AR24" i="10"/>
  <c r="D24" i="10"/>
  <c r="AR28" i="10"/>
  <c r="D28" i="10"/>
  <c r="AS211" i="10"/>
  <c r="AR117" i="10"/>
  <c r="D117" i="10"/>
  <c r="AR170" i="10"/>
  <c r="D170" i="10"/>
  <c r="D167" i="10"/>
  <c r="AR167" i="10"/>
  <c r="AS209" i="10"/>
  <c r="AS183" i="10"/>
  <c r="AS171" i="10"/>
  <c r="AR270" i="10"/>
  <c r="D270" i="10"/>
  <c r="AR127" i="10"/>
  <c r="D127" i="10"/>
  <c r="AS178" i="10"/>
  <c r="AR21" i="10"/>
  <c r="D21" i="10"/>
  <c r="D157" i="10"/>
  <c r="AR157" i="10"/>
  <c r="AS215" i="10"/>
  <c r="D163" i="10"/>
  <c r="AR163" i="10"/>
  <c r="D137" i="10"/>
  <c r="AR137" i="10"/>
  <c r="D122" i="10"/>
  <c r="AR122" i="10"/>
  <c r="AR136" i="10"/>
  <c r="D136" i="10"/>
  <c r="AR166" i="10"/>
  <c r="D166" i="10"/>
  <c r="AS174" i="10"/>
  <c r="AS192" i="10"/>
  <c r="AS224" i="10"/>
  <c r="AR22" i="10"/>
  <c r="D22" i="10"/>
  <c r="AR17" i="10"/>
  <c r="D17" i="10"/>
  <c r="D26" i="10"/>
  <c r="AR26" i="10"/>
  <c r="AS173" i="10"/>
  <c r="AS219" i="10"/>
  <c r="AR132" i="10"/>
  <c r="D132" i="10"/>
  <c r="AS212" i="10"/>
  <c r="D134" i="10"/>
  <c r="AR134" i="10"/>
  <c r="AS217" i="10"/>
  <c r="AS222" i="10"/>
  <c r="AR19" i="10"/>
  <c r="D19" i="10"/>
  <c r="AR23" i="10"/>
  <c r="D23" i="10"/>
  <c r="AR27" i="10"/>
  <c r="D27" i="10"/>
  <c r="AS189" i="10"/>
  <c r="D205" i="10"/>
  <c r="AR205" i="10"/>
  <c r="AR129" i="10"/>
  <c r="D129" i="10"/>
  <c r="AS181" i="10"/>
  <c r="AS218" i="10"/>
  <c r="D126" i="10"/>
  <c r="AR126" i="10"/>
  <c r="D162" i="10"/>
  <c r="AR162" i="10"/>
  <c r="AS207" i="10"/>
  <c r="AS221" i="10"/>
  <c r="D130" i="10"/>
  <c r="AR130" i="10"/>
  <c r="AR139" i="10"/>
  <c r="D139" i="10"/>
  <c r="D123" i="10"/>
  <c r="AR123" i="10"/>
  <c r="D165" i="10"/>
  <c r="AR165" i="10"/>
  <c r="AS208" i="10"/>
  <c r="AS220" i="10"/>
  <c r="D142" i="10"/>
  <c r="AR142" i="10"/>
  <c r="D116" i="10"/>
  <c r="AR116" i="10"/>
  <c r="D155" i="10"/>
  <c r="AR155" i="10"/>
  <c r="AS172" i="10"/>
  <c r="D141" i="10"/>
  <c r="AR141" i="10"/>
  <c r="AR115" i="10"/>
  <c r="D115" i="10"/>
  <c r="AR156" i="10"/>
  <c r="D156" i="10"/>
  <c r="AS182" i="10"/>
  <c r="AS179" i="10"/>
  <c r="AS223" i="10"/>
  <c r="D128" i="10"/>
  <c r="AR128" i="10"/>
  <c r="AR160" i="10"/>
  <c r="D160" i="10"/>
  <c r="AR25" i="10"/>
  <c r="D25" i="10"/>
  <c r="D159" i="10"/>
  <c r="AR159" i="10"/>
  <c r="AR206" i="10"/>
  <c r="D206" i="10"/>
  <c r="D114" i="10"/>
  <c r="AR114" i="10"/>
  <c r="AS180" i="10"/>
  <c r="D124" i="10"/>
  <c r="AR124" i="10"/>
  <c r="AR138" i="10"/>
  <c r="D138" i="10"/>
  <c r="D164" i="10"/>
  <c r="AR164" i="10"/>
  <c r="S2" i="19"/>
  <c r="S3" i="19" s="1"/>
  <c r="T1" i="19"/>
  <c r="X227" i="10"/>
  <c r="X225" i="10"/>
  <c r="U232" i="10"/>
  <c r="U230" i="10"/>
  <c r="X229" i="10"/>
  <c r="AS229" i="10"/>
  <c r="AS225" i="10"/>
  <c r="AS227" i="10"/>
  <c r="U228" i="10"/>
  <c r="U191" i="10"/>
  <c r="X187" i="10"/>
  <c r="AS187" i="10"/>
  <c r="AS188" i="10"/>
  <c r="U190" i="10"/>
  <c r="X198" i="10"/>
  <c r="AS195" i="10"/>
  <c r="U198" i="10"/>
  <c r="D65" i="5"/>
  <c r="AA64" i="5"/>
  <c r="Z64" i="5"/>
  <c r="E55" i="5"/>
  <c r="AE54" i="5"/>
  <c r="AD54" i="5"/>
  <c r="D56" i="5"/>
  <c r="Z55" i="5"/>
  <c r="AA55" i="5"/>
  <c r="D47" i="5"/>
  <c r="P29" i="16"/>
  <c r="M30" i="16"/>
  <c r="P31" i="16"/>
  <c r="P32" i="16"/>
  <c r="P21" i="16"/>
  <c r="M23" i="16"/>
  <c r="P16" i="16"/>
  <c r="P15" i="16"/>
  <c r="R14" i="16"/>
  <c r="R13" i="16"/>
  <c r="M8" i="16"/>
  <c r="I127" i="1"/>
  <c r="I86" i="1"/>
  <c r="I46" i="1"/>
  <c r="AJ161" i="1"/>
  <c r="AI161" i="1"/>
  <c r="AB161" i="1"/>
  <c r="AD161" i="1" s="1"/>
  <c r="AB160" i="1"/>
  <c r="AC160" i="1" s="1"/>
  <c r="AB159" i="1"/>
  <c r="AC159" i="1" s="1"/>
  <c r="AB158" i="1"/>
  <c r="AC158" i="1" s="1"/>
  <c r="AB157" i="1"/>
  <c r="AC157" i="1" s="1"/>
  <c r="D157" i="1"/>
  <c r="D158" i="1" s="1"/>
  <c r="AB156" i="1"/>
  <c r="D156" i="1"/>
  <c r="AE156" i="1" s="1"/>
  <c r="AJ155" i="1"/>
  <c r="AI155" i="1"/>
  <c r="AB155" i="1"/>
  <c r="AC155" i="1" s="1"/>
  <c r="AJ154" i="1"/>
  <c r="AI154" i="1"/>
  <c r="AB154" i="1"/>
  <c r="AD154" i="1" s="1"/>
  <c r="AJ153" i="1"/>
  <c r="AI153" i="1"/>
  <c r="AB153" i="1"/>
  <c r="AC153" i="1" s="1"/>
  <c r="AB152" i="1"/>
  <c r="AD152" i="1" s="1"/>
  <c r="AJ151" i="1"/>
  <c r="AI151" i="1"/>
  <c r="AB151" i="1"/>
  <c r="AD151" i="1" s="1"/>
  <c r="AJ150" i="1"/>
  <c r="AI150" i="1"/>
  <c r="AB150" i="1"/>
  <c r="AJ149" i="1"/>
  <c r="AI149" i="1"/>
  <c r="AB149" i="1"/>
  <c r="AC149" i="1" s="1"/>
  <c r="AB148" i="1"/>
  <c r="AD148" i="1" s="1"/>
  <c r="AB147" i="1"/>
  <c r="AD147" i="1" s="1"/>
  <c r="AB146" i="1"/>
  <c r="AD146" i="1" s="1"/>
  <c r="AB145" i="1"/>
  <c r="AD145" i="1" s="1"/>
  <c r="AB144" i="1"/>
  <c r="AD144" i="1" s="1"/>
  <c r="AJ143" i="1"/>
  <c r="AI143" i="1"/>
  <c r="AB143" i="1"/>
  <c r="AD143" i="1" s="1"/>
  <c r="AB142" i="1"/>
  <c r="AD142" i="1" s="1"/>
  <c r="D142" i="1"/>
  <c r="D146" i="1" s="1"/>
  <c r="E146" i="1" s="1"/>
  <c r="AJ146" i="1" s="1"/>
  <c r="AJ141" i="1"/>
  <c r="AI141" i="1"/>
  <c r="AB141" i="1"/>
  <c r="AD141" i="1" s="1"/>
  <c r="AJ140" i="1"/>
  <c r="AI140" i="1"/>
  <c r="AB140" i="1"/>
  <c r="AJ139" i="1"/>
  <c r="AI139" i="1"/>
  <c r="AB139" i="1"/>
  <c r="AD139" i="1" s="1"/>
  <c r="AJ138" i="1"/>
  <c r="AI138" i="1"/>
  <c r="AB138" i="1"/>
  <c r="AD138" i="1" s="1"/>
  <c r="AJ137" i="1"/>
  <c r="AI137" i="1"/>
  <c r="AB137" i="1"/>
  <c r="AD137" i="1" s="1"/>
  <c r="AB136" i="1"/>
  <c r="AC136" i="1" s="1"/>
  <c r="AJ135" i="1"/>
  <c r="AI135" i="1"/>
  <c r="AB135" i="1"/>
  <c r="AC135" i="1" s="1"/>
  <c r="AJ134" i="1"/>
  <c r="AI134" i="1"/>
  <c r="AB134" i="1"/>
  <c r="AD134" i="1" s="1"/>
  <c r="AJ133" i="1"/>
  <c r="AI133" i="1"/>
  <c r="AB133" i="1"/>
  <c r="AD133" i="1" s="1"/>
  <c r="AJ132" i="1"/>
  <c r="AI132" i="1"/>
  <c r="AB132" i="1"/>
  <c r="AD132" i="1" s="1"/>
  <c r="AB131" i="1"/>
  <c r="AC131" i="1" s="1"/>
  <c r="AJ130" i="1"/>
  <c r="AI130" i="1"/>
  <c r="AB130" i="1"/>
  <c r="AC130" i="1" s="1"/>
  <c r="AJ129" i="1"/>
  <c r="AI129" i="1"/>
  <c r="AB129" i="1"/>
  <c r="AJ128" i="1"/>
  <c r="AI128" i="1"/>
  <c r="AB128" i="1"/>
  <c r="AD128" i="1" s="1"/>
  <c r="AB127" i="1"/>
  <c r="AC127" i="1" s="1"/>
  <c r="F127" i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D127" i="1"/>
  <c r="D131" i="1" s="1"/>
  <c r="AJ126" i="1"/>
  <c r="AI126" i="1"/>
  <c r="AB126" i="1"/>
  <c r="AC126" i="1" s="1"/>
  <c r="J126" i="1"/>
  <c r="O126" i="1" s="1"/>
  <c r="D126" i="1"/>
  <c r="AP125" i="1"/>
  <c r="AJ125" i="1"/>
  <c r="AI125" i="1"/>
  <c r="AF125" i="1"/>
  <c r="AE125" i="1"/>
  <c r="AB125" i="1"/>
  <c r="AD125" i="1" s="1"/>
  <c r="J125" i="1"/>
  <c r="I125" i="1"/>
  <c r="AJ121" i="1"/>
  <c r="AI121" i="1"/>
  <c r="AB121" i="1"/>
  <c r="AB120" i="1"/>
  <c r="AC120" i="1" s="1"/>
  <c r="AB119" i="1"/>
  <c r="AC119" i="1" s="1"/>
  <c r="AB118" i="1"/>
  <c r="AB117" i="1"/>
  <c r="D117" i="1"/>
  <c r="AB116" i="1"/>
  <c r="AC116" i="1" s="1"/>
  <c r="D116" i="1"/>
  <c r="AE116" i="1" s="1"/>
  <c r="AJ115" i="1"/>
  <c r="AI115" i="1"/>
  <c r="AB115" i="1"/>
  <c r="AC115" i="1" s="1"/>
  <c r="AJ114" i="1"/>
  <c r="AI114" i="1"/>
  <c r="AB114" i="1"/>
  <c r="AD114" i="1" s="1"/>
  <c r="AJ113" i="1"/>
  <c r="AI113" i="1"/>
  <c r="AB113" i="1"/>
  <c r="AC113" i="1" s="1"/>
  <c r="AB112" i="1"/>
  <c r="AD112" i="1" s="1"/>
  <c r="AJ111" i="1"/>
  <c r="AI111" i="1"/>
  <c r="AB111" i="1"/>
  <c r="AJ110" i="1"/>
  <c r="AI110" i="1"/>
  <c r="AB110" i="1"/>
  <c r="AC110" i="1" s="1"/>
  <c r="AJ109" i="1"/>
  <c r="AI109" i="1"/>
  <c r="AB109" i="1"/>
  <c r="AB108" i="1"/>
  <c r="AB107" i="1"/>
  <c r="AD107" i="1" s="1"/>
  <c r="AB106" i="1"/>
  <c r="AD106" i="1" s="1"/>
  <c r="AB105" i="1"/>
  <c r="AB104" i="1"/>
  <c r="AD104" i="1" s="1"/>
  <c r="AJ103" i="1"/>
  <c r="AI103" i="1"/>
  <c r="AB103" i="1"/>
  <c r="AD103" i="1" s="1"/>
  <c r="AB102" i="1"/>
  <c r="AC102" i="1" s="1"/>
  <c r="D102" i="1"/>
  <c r="D106" i="1" s="1"/>
  <c r="AJ101" i="1"/>
  <c r="AI101" i="1"/>
  <c r="AB101" i="1"/>
  <c r="AJ100" i="1"/>
  <c r="AI100" i="1"/>
  <c r="AB100" i="1"/>
  <c r="AJ99" i="1"/>
  <c r="AI99" i="1"/>
  <c r="AB99" i="1"/>
  <c r="AJ98" i="1"/>
  <c r="AI98" i="1"/>
  <c r="AB98" i="1"/>
  <c r="AJ97" i="1"/>
  <c r="AI97" i="1"/>
  <c r="AB97" i="1"/>
  <c r="AC97" i="1" s="1"/>
  <c r="AB96" i="1"/>
  <c r="AC96" i="1" s="1"/>
  <c r="AJ95" i="1"/>
  <c r="AI95" i="1"/>
  <c r="AB95" i="1"/>
  <c r="AD95" i="1" s="1"/>
  <c r="AJ94" i="1"/>
  <c r="AI94" i="1"/>
  <c r="AB94" i="1"/>
  <c r="AD94" i="1" s="1"/>
  <c r="AJ93" i="1"/>
  <c r="AI93" i="1"/>
  <c r="AB93" i="1"/>
  <c r="AD93" i="1" s="1"/>
  <c r="AJ92" i="1"/>
  <c r="AI92" i="1"/>
  <c r="AB92" i="1"/>
  <c r="AD92" i="1" s="1"/>
  <c r="AB91" i="1"/>
  <c r="AJ90" i="1"/>
  <c r="AI90" i="1"/>
  <c r="AB90" i="1"/>
  <c r="AD90" i="1" s="1"/>
  <c r="AJ89" i="1"/>
  <c r="AI89" i="1"/>
  <c r="AB89" i="1"/>
  <c r="AJ88" i="1"/>
  <c r="AI88" i="1"/>
  <c r="AB88" i="1"/>
  <c r="AC88" i="1" s="1"/>
  <c r="AB87" i="1"/>
  <c r="AD87" i="1" s="1"/>
  <c r="D87" i="1"/>
  <c r="AF87" i="1" s="1"/>
  <c r="AJ86" i="1"/>
  <c r="AI86" i="1"/>
  <c r="AB86" i="1"/>
  <c r="AP88" i="1"/>
  <c r="D86" i="1"/>
  <c r="AF86" i="1" s="1"/>
  <c r="AP85" i="1"/>
  <c r="AJ85" i="1"/>
  <c r="AI85" i="1"/>
  <c r="AF85" i="1"/>
  <c r="AE85" i="1"/>
  <c r="AB85" i="1"/>
  <c r="AD85" i="1" s="1"/>
  <c r="J85" i="1"/>
  <c r="I85" i="1"/>
  <c r="AJ81" i="1"/>
  <c r="AI81" i="1"/>
  <c r="AB81" i="1"/>
  <c r="AD81" i="1" s="1"/>
  <c r="AB80" i="1"/>
  <c r="AB79" i="1"/>
  <c r="AB78" i="1"/>
  <c r="AB77" i="1"/>
  <c r="D77" i="1"/>
  <c r="D78" i="1" s="1"/>
  <c r="AF78" i="1" s="1"/>
  <c r="AB76" i="1"/>
  <c r="D76" i="1"/>
  <c r="AE76" i="1" s="1"/>
  <c r="AJ75" i="1"/>
  <c r="AI75" i="1"/>
  <c r="AB75" i="1"/>
  <c r="AJ74" i="1"/>
  <c r="AI74" i="1"/>
  <c r="AB74" i="1"/>
  <c r="AD74" i="1" s="1"/>
  <c r="AJ73" i="1"/>
  <c r="AI73" i="1"/>
  <c r="AB73" i="1"/>
  <c r="AB72" i="1"/>
  <c r="AD72" i="1" s="1"/>
  <c r="AJ71" i="1"/>
  <c r="AI71" i="1"/>
  <c r="AB71" i="1"/>
  <c r="AD71" i="1" s="1"/>
  <c r="AJ70" i="1"/>
  <c r="AI70" i="1"/>
  <c r="AB70" i="1"/>
  <c r="AC70" i="1" s="1"/>
  <c r="AJ69" i="1"/>
  <c r="AI69" i="1"/>
  <c r="AB69" i="1"/>
  <c r="AB68" i="1"/>
  <c r="AD68" i="1" s="1"/>
  <c r="AB67" i="1"/>
  <c r="AD67" i="1" s="1"/>
  <c r="AB66" i="1"/>
  <c r="AD66" i="1" s="1"/>
  <c r="AB65" i="1"/>
  <c r="AB64" i="1"/>
  <c r="AD64" i="1" s="1"/>
  <c r="AJ63" i="1"/>
  <c r="AI63" i="1"/>
  <c r="AB63" i="1"/>
  <c r="AB62" i="1"/>
  <c r="AD62" i="1" s="1"/>
  <c r="D62" i="1"/>
  <c r="D66" i="1" s="1"/>
  <c r="AJ61" i="1"/>
  <c r="AI61" i="1"/>
  <c r="AB61" i="1"/>
  <c r="AD61" i="1" s="1"/>
  <c r="AJ60" i="1"/>
  <c r="AI60" i="1"/>
  <c r="AB60" i="1"/>
  <c r="AC60" i="1" s="1"/>
  <c r="AJ59" i="1"/>
  <c r="AI59" i="1"/>
  <c r="AB59" i="1"/>
  <c r="AD59" i="1" s="1"/>
  <c r="AJ58" i="1"/>
  <c r="AI58" i="1"/>
  <c r="AB58" i="1"/>
  <c r="AC58" i="1" s="1"/>
  <c r="AJ57" i="1"/>
  <c r="AI57" i="1"/>
  <c r="AB57" i="1"/>
  <c r="AB56" i="1"/>
  <c r="AC56" i="1" s="1"/>
  <c r="AJ55" i="1"/>
  <c r="AI55" i="1"/>
  <c r="AB55" i="1"/>
  <c r="AJ54" i="1"/>
  <c r="AI54" i="1"/>
  <c r="AB54" i="1"/>
  <c r="AD54" i="1" s="1"/>
  <c r="AJ53" i="1"/>
  <c r="AI53" i="1"/>
  <c r="AB53" i="1"/>
  <c r="AC53" i="1" s="1"/>
  <c r="AJ52" i="1"/>
  <c r="AI52" i="1"/>
  <c r="AB52" i="1"/>
  <c r="AD52" i="1" s="1"/>
  <c r="AB51" i="1"/>
  <c r="AC51" i="1" s="1"/>
  <c r="AJ50" i="1"/>
  <c r="AI50" i="1"/>
  <c r="AB50" i="1"/>
  <c r="AC50" i="1" s="1"/>
  <c r="AJ49" i="1"/>
  <c r="AI49" i="1"/>
  <c r="AB49" i="1"/>
  <c r="AD49" i="1" s="1"/>
  <c r="AJ48" i="1"/>
  <c r="AI48" i="1"/>
  <c r="AB48" i="1"/>
  <c r="AC48" i="1" s="1"/>
  <c r="AB47" i="1"/>
  <c r="AD47" i="1" s="1"/>
  <c r="D47" i="1"/>
  <c r="AJ46" i="1"/>
  <c r="AI46" i="1"/>
  <c r="AB46" i="1"/>
  <c r="AD46" i="1" s="1"/>
  <c r="AP48" i="1"/>
  <c r="D46" i="1"/>
  <c r="AF46" i="1" s="1"/>
  <c r="AP45" i="1"/>
  <c r="AJ45" i="1"/>
  <c r="AI45" i="1"/>
  <c r="AF45" i="1"/>
  <c r="AE45" i="1"/>
  <c r="AB45" i="1"/>
  <c r="AD45" i="1" s="1"/>
  <c r="J45" i="1"/>
  <c r="I45" i="1"/>
  <c r="D182" i="1"/>
  <c r="D183" i="1" s="1"/>
  <c r="AJ198" i="1"/>
  <c r="AI198" i="1"/>
  <c r="AB198" i="1"/>
  <c r="AD198" i="1" s="1"/>
  <c r="AB197" i="1"/>
  <c r="AD197" i="1" s="1"/>
  <c r="I199" i="1"/>
  <c r="I200" i="1"/>
  <c r="I201" i="1"/>
  <c r="I202" i="1"/>
  <c r="I269" i="1"/>
  <c r="I270" i="1"/>
  <c r="I271" i="1"/>
  <c r="J199" i="1"/>
  <c r="O199" i="1" s="1"/>
  <c r="J200" i="1"/>
  <c r="O200" i="1" s="1"/>
  <c r="J201" i="1"/>
  <c r="O201" i="1" s="1"/>
  <c r="AB199" i="1"/>
  <c r="AD200" i="1"/>
  <c r="AB201" i="1"/>
  <c r="AC201" i="1" s="1"/>
  <c r="AB202" i="1"/>
  <c r="AB203" i="1"/>
  <c r="AB204" i="1"/>
  <c r="AD204" i="1" s="1"/>
  <c r="AB205" i="1"/>
  <c r="AD205" i="1" s="1"/>
  <c r="AB206" i="1"/>
  <c r="AD206" i="1" s="1"/>
  <c r="AB207" i="1"/>
  <c r="AB208" i="1"/>
  <c r="AD208" i="1" s="1"/>
  <c r="AB269" i="1"/>
  <c r="AD269" i="1" s="1"/>
  <c r="AB270" i="1"/>
  <c r="AC270" i="1" s="1"/>
  <c r="AB271" i="1"/>
  <c r="AE199" i="1"/>
  <c r="AE200" i="1"/>
  <c r="AE201" i="1"/>
  <c r="AE202" i="1"/>
  <c r="AE204" i="1"/>
  <c r="AE205" i="1"/>
  <c r="AE206" i="1"/>
  <c r="AE207" i="1"/>
  <c r="AE208" i="1"/>
  <c r="AE269" i="1"/>
  <c r="AE270" i="1"/>
  <c r="AE271" i="1"/>
  <c r="AF199" i="1"/>
  <c r="AF200" i="1"/>
  <c r="AF201" i="1"/>
  <c r="AF202" i="1"/>
  <c r="AF203" i="1"/>
  <c r="AF205" i="1"/>
  <c r="AF206" i="1"/>
  <c r="AF207" i="1"/>
  <c r="AF208" i="1"/>
  <c r="AF269" i="1"/>
  <c r="AF270" i="1"/>
  <c r="AF271" i="1"/>
  <c r="AI199" i="1"/>
  <c r="AI200" i="1"/>
  <c r="AI201" i="1"/>
  <c r="AI202" i="1"/>
  <c r="AI203" i="1"/>
  <c r="AI204" i="1"/>
  <c r="AI205" i="1"/>
  <c r="AI206" i="1"/>
  <c r="AI208" i="1"/>
  <c r="AI269" i="1"/>
  <c r="AI270" i="1"/>
  <c r="AI271" i="1"/>
  <c r="AJ199" i="1"/>
  <c r="AJ200" i="1"/>
  <c r="AJ201" i="1"/>
  <c r="AJ202" i="1"/>
  <c r="AJ203" i="1"/>
  <c r="AJ204" i="1"/>
  <c r="AJ205" i="1"/>
  <c r="AJ206" i="1"/>
  <c r="AJ207" i="1"/>
  <c r="AJ269" i="1"/>
  <c r="AJ270" i="1"/>
  <c r="AJ271" i="1"/>
  <c r="AP199" i="1"/>
  <c r="AP200" i="1"/>
  <c r="AP201" i="1"/>
  <c r="AP202" i="1"/>
  <c r="AP203" i="1"/>
  <c r="AP204" i="1"/>
  <c r="AP205" i="1"/>
  <c r="AP207" i="1"/>
  <c r="AP208" i="1"/>
  <c r="AP269" i="1"/>
  <c r="AP270" i="1"/>
  <c r="AP271" i="1"/>
  <c r="I272" i="1"/>
  <c r="AB272" i="1"/>
  <c r="AC272" i="1" s="1"/>
  <c r="AE272" i="1"/>
  <c r="AF272" i="1"/>
  <c r="AI272" i="1"/>
  <c r="AJ272" i="1"/>
  <c r="AP272" i="1"/>
  <c r="AB196" i="1"/>
  <c r="AC196" i="1" s="1"/>
  <c r="AB195" i="1"/>
  <c r="AB194" i="1"/>
  <c r="AC194" i="1" s="1"/>
  <c r="D194" i="1"/>
  <c r="D195" i="1" s="1"/>
  <c r="D196" i="1" s="1"/>
  <c r="AE196" i="1" s="1"/>
  <c r="AB193" i="1"/>
  <c r="AD193" i="1" s="1"/>
  <c r="D193" i="1"/>
  <c r="AF193" i="1" s="1"/>
  <c r="AJ192" i="1"/>
  <c r="AI192" i="1"/>
  <c r="AB192" i="1"/>
  <c r="AJ191" i="1"/>
  <c r="AI191" i="1"/>
  <c r="AB191" i="1"/>
  <c r="AD191" i="1" s="1"/>
  <c r="AJ190" i="1"/>
  <c r="AI190" i="1"/>
  <c r="AB190" i="1"/>
  <c r="AC190" i="1" s="1"/>
  <c r="AB189" i="1"/>
  <c r="AD189" i="1" s="1"/>
  <c r="AJ188" i="1"/>
  <c r="AI188" i="1"/>
  <c r="AB188" i="1"/>
  <c r="AD188" i="1" s="1"/>
  <c r="AJ187" i="1"/>
  <c r="AI187" i="1"/>
  <c r="AB187" i="1"/>
  <c r="AC187" i="1" s="1"/>
  <c r="AJ186" i="1"/>
  <c r="AI186" i="1"/>
  <c r="AB186" i="1"/>
  <c r="AB185" i="1"/>
  <c r="AD185" i="1" s="1"/>
  <c r="AB184" i="1"/>
  <c r="AD184" i="1" s="1"/>
  <c r="AJ183" i="1"/>
  <c r="AI183" i="1"/>
  <c r="AB183" i="1"/>
  <c r="AB182" i="1"/>
  <c r="AJ181" i="1"/>
  <c r="AI181" i="1"/>
  <c r="AB181" i="1"/>
  <c r="AJ180" i="1"/>
  <c r="AI180" i="1"/>
  <c r="AB180" i="1"/>
  <c r="AD180" i="1" s="1"/>
  <c r="AJ179" i="1"/>
  <c r="AI179" i="1"/>
  <c r="AB179" i="1"/>
  <c r="AD179" i="1" s="1"/>
  <c r="AJ178" i="1"/>
  <c r="AI178" i="1"/>
  <c r="AB178" i="1"/>
  <c r="AC178" i="1" s="1"/>
  <c r="AJ177" i="1"/>
  <c r="AI177" i="1"/>
  <c r="AB177" i="1"/>
  <c r="AD177" i="1" s="1"/>
  <c r="AB176" i="1"/>
  <c r="AD176" i="1" s="1"/>
  <c r="AJ175" i="1"/>
  <c r="AI175" i="1"/>
  <c r="AB175" i="1"/>
  <c r="AD175" i="1" s="1"/>
  <c r="AJ174" i="1"/>
  <c r="AI174" i="1"/>
  <c r="AB174" i="1"/>
  <c r="AD174" i="1" s="1"/>
  <c r="AJ173" i="1"/>
  <c r="AI173" i="1"/>
  <c r="AB173" i="1"/>
  <c r="AJ172" i="1"/>
  <c r="AI172" i="1"/>
  <c r="AB172" i="1"/>
  <c r="AD172" i="1" s="1"/>
  <c r="AB171" i="1"/>
  <c r="AD171" i="1" s="1"/>
  <c r="AJ170" i="1"/>
  <c r="AI170" i="1"/>
  <c r="AB170" i="1"/>
  <c r="AD170" i="1" s="1"/>
  <c r="AJ169" i="1"/>
  <c r="AI169" i="1"/>
  <c r="AB169" i="1"/>
  <c r="AD169" i="1" s="1"/>
  <c r="AJ168" i="1"/>
  <c r="AI168" i="1"/>
  <c r="AB168" i="1"/>
  <c r="AB167" i="1"/>
  <c r="AD167" i="1" s="1"/>
  <c r="D167" i="1"/>
  <c r="AE167" i="1" s="1"/>
  <c r="AJ166" i="1"/>
  <c r="AI166" i="1"/>
  <c r="AB166" i="1"/>
  <c r="AD166" i="1" s="1"/>
  <c r="AP166" i="1"/>
  <c r="D166" i="1"/>
  <c r="AE166" i="1" s="1"/>
  <c r="AP165" i="1"/>
  <c r="AJ165" i="1"/>
  <c r="AI165" i="1"/>
  <c r="AF165" i="1"/>
  <c r="AE165" i="1"/>
  <c r="AB165" i="1"/>
  <c r="I165" i="1"/>
  <c r="I7" i="1"/>
  <c r="AP8" i="1"/>
  <c r="AB40" i="1"/>
  <c r="AC40" i="1" s="1"/>
  <c r="D36" i="1"/>
  <c r="AE36" i="1" s="1"/>
  <c r="AB36" i="1"/>
  <c r="AD36" i="1" s="1"/>
  <c r="D37" i="1"/>
  <c r="E37" i="1" s="1"/>
  <c r="AI37" i="1" s="1"/>
  <c r="AB37" i="1"/>
  <c r="AD37" i="1" s="1"/>
  <c r="AB38" i="1"/>
  <c r="AD38" i="1" s="1"/>
  <c r="AB39" i="1"/>
  <c r="AB41" i="1"/>
  <c r="AC41" i="1" s="1"/>
  <c r="AB27" i="1"/>
  <c r="AD27" i="1" s="1"/>
  <c r="AJ20" i="1"/>
  <c r="AI20" i="1"/>
  <c r="AB20" i="1"/>
  <c r="AD20" i="1" s="1"/>
  <c r="AJ35" i="1"/>
  <c r="AI35" i="1"/>
  <c r="AB35" i="1"/>
  <c r="AD35" i="1" s="1"/>
  <c r="AJ34" i="1"/>
  <c r="AI34" i="1"/>
  <c r="AB34" i="1"/>
  <c r="AD34" i="1" s="1"/>
  <c r="AJ33" i="1"/>
  <c r="AI33" i="1"/>
  <c r="AB33" i="1"/>
  <c r="AD33" i="1" s="1"/>
  <c r="AB32" i="1"/>
  <c r="AD32" i="1" s="1"/>
  <c r="AJ31" i="1"/>
  <c r="AI31" i="1"/>
  <c r="AB31" i="1"/>
  <c r="AD31" i="1" s="1"/>
  <c r="AJ30" i="1"/>
  <c r="AI30" i="1"/>
  <c r="AB30" i="1"/>
  <c r="AD30" i="1" s="1"/>
  <c r="AJ29" i="1"/>
  <c r="AI29" i="1"/>
  <c r="AB29" i="1"/>
  <c r="AD29" i="1" s="1"/>
  <c r="AB28" i="1"/>
  <c r="AD28" i="1" s="1"/>
  <c r="D22" i="1"/>
  <c r="D26" i="1" s="1"/>
  <c r="AB26" i="1"/>
  <c r="AD26" i="1" s="1"/>
  <c r="AB25" i="1"/>
  <c r="AD25" i="1" s="1"/>
  <c r="AB24" i="1"/>
  <c r="AD24" i="1" s="1"/>
  <c r="AJ23" i="1"/>
  <c r="AI23" i="1"/>
  <c r="AB23" i="1"/>
  <c r="AD23" i="1" s="1"/>
  <c r="AB22" i="1"/>
  <c r="AD22" i="1" s="1"/>
  <c r="AJ21" i="1"/>
  <c r="AI21" i="1"/>
  <c r="AB21" i="1"/>
  <c r="AD21" i="1" s="1"/>
  <c r="AJ19" i="1"/>
  <c r="AI19" i="1"/>
  <c r="AB19" i="1"/>
  <c r="AD19" i="1" s="1"/>
  <c r="AJ18" i="1"/>
  <c r="AI18" i="1"/>
  <c r="AB18" i="1"/>
  <c r="AD18" i="1" s="1"/>
  <c r="AJ17" i="1"/>
  <c r="AI17" i="1"/>
  <c r="AB17" i="1"/>
  <c r="AD17" i="1" s="1"/>
  <c r="AB16" i="1"/>
  <c r="AD16" i="1" s="1"/>
  <c r="AB14" i="1"/>
  <c r="AD14" i="1" s="1"/>
  <c r="AI14" i="1"/>
  <c r="AJ14" i="1"/>
  <c r="AB15" i="1"/>
  <c r="AD15" i="1" s="1"/>
  <c r="AI15" i="1"/>
  <c r="AJ15" i="1"/>
  <c r="AJ13" i="1"/>
  <c r="AI13" i="1"/>
  <c r="AB13" i="1"/>
  <c r="AD13" i="1" s="1"/>
  <c r="AJ12" i="1"/>
  <c r="AI12" i="1"/>
  <c r="AB12" i="1"/>
  <c r="AD12" i="1" s="1"/>
  <c r="AB11" i="1"/>
  <c r="AD11" i="1" s="1"/>
  <c r="H8" i="2"/>
  <c r="H9" i="2" s="1"/>
  <c r="H10" i="2" s="1"/>
  <c r="H11" i="2" s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24" i="2" s="1"/>
  <c r="H25" i="2" s="1"/>
  <c r="AJ10" i="1"/>
  <c r="AI10" i="1"/>
  <c r="AB10" i="1"/>
  <c r="AD10" i="1" s="1"/>
  <c r="AJ9" i="1"/>
  <c r="AI9" i="1"/>
  <c r="AB9" i="1"/>
  <c r="AD9" i="1" s="1"/>
  <c r="AJ8" i="1"/>
  <c r="AI8" i="1"/>
  <c r="AB8" i="1"/>
  <c r="AD8" i="1" s="1"/>
  <c r="D7" i="1"/>
  <c r="D11" i="1" s="1"/>
  <c r="AB7" i="1"/>
  <c r="AD7" i="1" s="1"/>
  <c r="D6" i="1"/>
  <c r="H682" i="1" l="1"/>
  <c r="J681" i="1"/>
  <c r="O681" i="1" s="1"/>
  <c r="I681" i="1"/>
  <c r="D7" i="9"/>
  <c r="D8" i="9" s="1"/>
  <c r="D9" i="9" s="1"/>
  <c r="D10" i="9" s="1"/>
  <c r="D11" i="9" s="1"/>
  <c r="D12" i="9" s="1"/>
  <c r="D13" i="9" s="1"/>
  <c r="D14" i="9" s="1"/>
  <c r="D15" i="9" s="1"/>
  <c r="D16" i="9" s="1"/>
  <c r="E6" i="9"/>
  <c r="AC35" i="9"/>
  <c r="AD35" i="9"/>
  <c r="D36" i="9"/>
  <c r="D51" i="11"/>
  <c r="D81" i="11"/>
  <c r="AL77" i="11"/>
  <c r="AK77" i="11"/>
  <c r="AC42" i="14"/>
  <c r="D43" i="14"/>
  <c r="AB42" i="14"/>
  <c r="V42" i="14"/>
  <c r="AD62" i="9"/>
  <c r="AC62" i="9"/>
  <c r="D63" i="9"/>
  <c r="AL183" i="11"/>
  <c r="D186" i="11"/>
  <c r="AK183" i="11"/>
  <c r="D272" i="11"/>
  <c r="AL271" i="11"/>
  <c r="AK271" i="11"/>
  <c r="D286" i="11"/>
  <c r="AL285" i="11"/>
  <c r="AK285" i="11"/>
  <c r="AK164" i="11"/>
  <c r="D165" i="11"/>
  <c r="AL164" i="11"/>
  <c r="D185" i="11"/>
  <c r="AK182" i="11"/>
  <c r="AL182" i="11"/>
  <c r="AL5" i="11"/>
  <c r="AK5" i="11"/>
  <c r="AC30" i="14"/>
  <c r="AB30" i="14"/>
  <c r="D31" i="14"/>
  <c r="V30" i="14"/>
  <c r="AK78" i="11"/>
  <c r="D82" i="11"/>
  <c r="AL78" i="11"/>
  <c r="AC112" i="9"/>
  <c r="D113" i="9"/>
  <c r="AD112" i="9"/>
  <c r="AD47" i="9"/>
  <c r="AC47" i="9"/>
  <c r="D48" i="9"/>
  <c r="D221" i="11"/>
  <c r="AK220" i="11"/>
  <c r="AL220" i="11"/>
  <c r="D187" i="11"/>
  <c r="AK184" i="11"/>
  <c r="AL184" i="11"/>
  <c r="AK50" i="11"/>
  <c r="D52" i="11"/>
  <c r="AL50" i="11"/>
  <c r="AK76" i="11"/>
  <c r="D80" i="11"/>
  <c r="AL76" i="11"/>
  <c r="AL232" i="11"/>
  <c r="AK232" i="11"/>
  <c r="D233" i="11"/>
  <c r="AL315" i="11"/>
  <c r="AK315" i="11"/>
  <c r="D316" i="11"/>
  <c r="D301" i="11"/>
  <c r="AL300" i="11"/>
  <c r="AK300" i="11"/>
  <c r="AB27" i="14"/>
  <c r="AC27" i="14"/>
  <c r="D28" i="14"/>
  <c r="V27" i="14"/>
  <c r="D83" i="11"/>
  <c r="AK79" i="11"/>
  <c r="AL79" i="11"/>
  <c r="AJ114" i="10"/>
  <c r="AK114" i="10"/>
  <c r="AK159" i="10"/>
  <c r="AJ159" i="10"/>
  <c r="AK116" i="10"/>
  <c r="AJ116" i="10"/>
  <c r="AS23" i="10"/>
  <c r="AK22" i="10"/>
  <c r="AJ22" i="10"/>
  <c r="AA22" i="10"/>
  <c r="AJ127" i="10"/>
  <c r="AK127" i="10"/>
  <c r="AJ170" i="10"/>
  <c r="E170" i="10"/>
  <c r="D173" i="10"/>
  <c r="AK170" i="10"/>
  <c r="AJ119" i="10"/>
  <c r="AK119" i="10"/>
  <c r="AJ131" i="10"/>
  <c r="AK131" i="10"/>
  <c r="AS206" i="10"/>
  <c r="AS25" i="10"/>
  <c r="AJ128" i="10"/>
  <c r="AK128" i="10"/>
  <c r="AK141" i="10"/>
  <c r="AJ141" i="10"/>
  <c r="AK155" i="10"/>
  <c r="AJ155" i="10"/>
  <c r="AJ142" i="10"/>
  <c r="AK142" i="10"/>
  <c r="AJ123" i="10"/>
  <c r="AK123" i="10"/>
  <c r="AJ130" i="10"/>
  <c r="AK130" i="10"/>
  <c r="AJ126" i="10"/>
  <c r="AK126" i="10"/>
  <c r="AK205" i="10"/>
  <c r="D208" i="10"/>
  <c r="E205" i="10"/>
  <c r="AJ205" i="10"/>
  <c r="AS27" i="10"/>
  <c r="AS19" i="10"/>
  <c r="AK132" i="10"/>
  <c r="AJ132" i="10"/>
  <c r="AJ17" i="10"/>
  <c r="AK17" i="10"/>
  <c r="AA17" i="10"/>
  <c r="AJ166" i="10"/>
  <c r="AK166" i="10"/>
  <c r="AJ270" i="10"/>
  <c r="AK270" i="10"/>
  <c r="D271" i="10"/>
  <c r="AJ117" i="10"/>
  <c r="AK117" i="10"/>
  <c r="AA28" i="10"/>
  <c r="AJ28" i="10"/>
  <c r="AK28" i="10"/>
  <c r="AK169" i="10"/>
  <c r="AJ169" i="10"/>
  <c r="D172" i="10"/>
  <c r="E169" i="10"/>
  <c r="AS204" i="10"/>
  <c r="AA18" i="10"/>
  <c r="AJ18" i="10"/>
  <c r="AK18" i="10"/>
  <c r="AJ168" i="10"/>
  <c r="E168" i="10"/>
  <c r="AK168" i="10"/>
  <c r="D171" i="10"/>
  <c r="AJ112" i="10"/>
  <c r="AK112" i="10"/>
  <c r="AJ164" i="10"/>
  <c r="AK164" i="10"/>
  <c r="AJ124" i="10"/>
  <c r="AK124" i="10"/>
  <c r="AS26" i="10"/>
  <c r="AJ136" i="10"/>
  <c r="AK136" i="10"/>
  <c r="AJ21" i="10"/>
  <c r="AK21" i="10"/>
  <c r="AA21" i="10"/>
  <c r="AA20" i="10"/>
  <c r="AK20" i="10"/>
  <c r="AJ20" i="10"/>
  <c r="AJ160" i="10"/>
  <c r="AK160" i="10"/>
  <c r="AJ115" i="10"/>
  <c r="AK115" i="10"/>
  <c r="AJ139" i="10"/>
  <c r="AK139" i="10"/>
  <c r="AK129" i="10"/>
  <c r="AJ129" i="10"/>
  <c r="AK23" i="10"/>
  <c r="AJ23" i="10"/>
  <c r="AA23" i="10"/>
  <c r="AJ134" i="10"/>
  <c r="AK134" i="10"/>
  <c r="AS17" i="10"/>
  <c r="AJ122" i="10"/>
  <c r="AK122" i="10"/>
  <c r="AK163" i="10"/>
  <c r="AJ163" i="10"/>
  <c r="AK157" i="10"/>
  <c r="AJ157" i="10"/>
  <c r="AK167" i="10"/>
  <c r="AJ167" i="10"/>
  <c r="AS28" i="10"/>
  <c r="AS169" i="10"/>
  <c r="AK133" i="10"/>
  <c r="AJ133" i="10"/>
  <c r="AK121" i="10"/>
  <c r="AJ121" i="10"/>
  <c r="E204" i="10"/>
  <c r="AJ204" i="10"/>
  <c r="D207" i="10"/>
  <c r="AK204" i="10"/>
  <c r="AS18" i="10"/>
  <c r="AJ118" i="10"/>
  <c r="AK118" i="10"/>
  <c r="AS168" i="10"/>
  <c r="AK110" i="10"/>
  <c r="AJ110" i="10"/>
  <c r="AJ125" i="10"/>
  <c r="AK125" i="10"/>
  <c r="AJ140" i="10"/>
  <c r="AK140" i="10"/>
  <c r="AK165" i="10"/>
  <c r="AJ165" i="10"/>
  <c r="AJ162" i="10"/>
  <c r="AK162" i="10"/>
  <c r="AK24" i="10"/>
  <c r="AJ24" i="10"/>
  <c r="AA24" i="10"/>
  <c r="AJ138" i="10"/>
  <c r="AK138" i="10"/>
  <c r="E206" i="10"/>
  <c r="AJ206" i="10"/>
  <c r="D209" i="10"/>
  <c r="AK206" i="10"/>
  <c r="AK25" i="10"/>
  <c r="AJ25" i="10"/>
  <c r="AA25" i="10"/>
  <c r="AJ156" i="10"/>
  <c r="AK156" i="10"/>
  <c r="AS205" i="10"/>
  <c r="AK27" i="10"/>
  <c r="AJ27" i="10"/>
  <c r="AA27" i="10"/>
  <c r="AK19" i="10"/>
  <c r="AJ19" i="10"/>
  <c r="AA19" i="10"/>
  <c r="AA26" i="10"/>
  <c r="AK26" i="10"/>
  <c r="AJ26" i="10"/>
  <c r="AS22" i="10"/>
  <c r="AK137" i="10"/>
  <c r="AJ137" i="10"/>
  <c r="AS21" i="10"/>
  <c r="AS170" i="10"/>
  <c r="AS24" i="10"/>
  <c r="AK135" i="10"/>
  <c r="AJ135" i="10"/>
  <c r="AK113" i="10"/>
  <c r="AJ113" i="10"/>
  <c r="AJ111" i="10"/>
  <c r="AK111" i="10"/>
  <c r="AK161" i="10"/>
  <c r="AJ161" i="10"/>
  <c r="AJ158" i="10"/>
  <c r="AK158" i="10"/>
  <c r="AK120" i="10"/>
  <c r="AJ120" i="10"/>
  <c r="AS20" i="10"/>
  <c r="T2" i="19"/>
  <c r="T3" i="19" s="1"/>
  <c r="U1" i="19"/>
  <c r="AS228" i="10"/>
  <c r="AS232" i="10"/>
  <c r="X230" i="10"/>
  <c r="U233" i="10"/>
  <c r="X232" i="10"/>
  <c r="AS230" i="10"/>
  <c r="U235" i="10"/>
  <c r="X228" i="10"/>
  <c r="U231" i="10"/>
  <c r="AS191" i="10"/>
  <c r="X190" i="10"/>
  <c r="AS190" i="10"/>
  <c r="U193" i="10"/>
  <c r="U194" i="10"/>
  <c r="X191" i="10"/>
  <c r="X201" i="10"/>
  <c r="AS198" i="10"/>
  <c r="U201" i="10"/>
  <c r="D66" i="5"/>
  <c r="Z65" i="5"/>
  <c r="AA65" i="5"/>
  <c r="AA56" i="5"/>
  <c r="D57" i="5"/>
  <c r="Z56" i="5"/>
  <c r="AD55" i="5"/>
  <c r="E56" i="5"/>
  <c r="AE55" i="5"/>
  <c r="D48" i="5"/>
  <c r="AC202" i="1"/>
  <c r="AD202" i="1"/>
  <c r="O125" i="1"/>
  <c r="U125" i="1" s="1"/>
  <c r="O85" i="1"/>
  <c r="U85" i="1" s="1"/>
  <c r="AO85" i="1" s="1"/>
  <c r="I126" i="1"/>
  <c r="O45" i="1"/>
  <c r="U45" i="1" s="1"/>
  <c r="P22" i="16"/>
  <c r="AP7" i="1"/>
  <c r="AD113" i="1"/>
  <c r="AC54" i="1"/>
  <c r="AD70" i="1"/>
  <c r="AD120" i="1"/>
  <c r="J46" i="1"/>
  <c r="O46" i="1" s="1"/>
  <c r="U46" i="1" s="1"/>
  <c r="AP46" i="1"/>
  <c r="AC47" i="1"/>
  <c r="G127" i="1"/>
  <c r="AP127" i="1" s="1"/>
  <c r="AC134" i="1"/>
  <c r="AF157" i="1"/>
  <c r="AP87" i="1"/>
  <c r="AD60" i="1"/>
  <c r="AC62" i="1"/>
  <c r="AC66" i="1"/>
  <c r="AC64" i="1"/>
  <c r="E77" i="1"/>
  <c r="AI77" i="1" s="1"/>
  <c r="AD102" i="1"/>
  <c r="AP126" i="1"/>
  <c r="AD149" i="1"/>
  <c r="AD57" i="1"/>
  <c r="AC57" i="1"/>
  <c r="AD65" i="1"/>
  <c r="AC65" i="1"/>
  <c r="AC75" i="1"/>
  <c r="AD75" i="1"/>
  <c r="AD88" i="1"/>
  <c r="AC76" i="1"/>
  <c r="AD76" i="1"/>
  <c r="AD100" i="1"/>
  <c r="AC100" i="1"/>
  <c r="D88" i="1"/>
  <c r="AF88" i="1" s="1"/>
  <c r="E87" i="1"/>
  <c r="AJ87" i="1" s="1"/>
  <c r="AD131" i="1"/>
  <c r="AP47" i="1"/>
  <c r="E78" i="1"/>
  <c r="AJ78" i="1" s="1"/>
  <c r="AP86" i="1"/>
  <c r="AC103" i="1"/>
  <c r="E116" i="1"/>
  <c r="AJ116" i="1" s="1"/>
  <c r="AD130" i="1"/>
  <c r="AC148" i="1"/>
  <c r="AE102" i="1"/>
  <c r="AC61" i="1"/>
  <c r="AC85" i="1"/>
  <c r="AC95" i="1"/>
  <c r="E102" i="1"/>
  <c r="AJ102" i="1" s="1"/>
  <c r="AC104" i="1"/>
  <c r="AD115" i="1"/>
  <c r="AD119" i="1"/>
  <c r="AD127" i="1"/>
  <c r="E142" i="1"/>
  <c r="AJ142" i="1" s="1"/>
  <c r="AC147" i="1"/>
  <c r="AC151" i="1"/>
  <c r="AD153" i="1"/>
  <c r="E156" i="1"/>
  <c r="AI156" i="1" s="1"/>
  <c r="AC46" i="1"/>
  <c r="J47" i="1"/>
  <c r="O47" i="1" s="1"/>
  <c r="AD50" i="1"/>
  <c r="AC59" i="1"/>
  <c r="D63" i="1"/>
  <c r="AF63" i="1" s="1"/>
  <c r="AC67" i="1"/>
  <c r="AC68" i="1"/>
  <c r="AC72" i="1"/>
  <c r="AC74" i="1"/>
  <c r="AF77" i="1"/>
  <c r="AC81" i="1"/>
  <c r="AC93" i="1"/>
  <c r="AC94" i="1"/>
  <c r="AD96" i="1"/>
  <c r="AC106" i="1"/>
  <c r="AD110" i="1"/>
  <c r="AC114" i="1"/>
  <c r="AD135" i="1"/>
  <c r="AC138" i="1"/>
  <c r="AC139" i="1"/>
  <c r="AC143" i="1"/>
  <c r="AC144" i="1"/>
  <c r="AC145" i="1"/>
  <c r="AC146" i="1"/>
  <c r="AC152" i="1"/>
  <c r="AC154" i="1"/>
  <c r="E157" i="1"/>
  <c r="AI157" i="1" s="1"/>
  <c r="AF76" i="1"/>
  <c r="AC49" i="1"/>
  <c r="AC52" i="1"/>
  <c r="AD58" i="1"/>
  <c r="AC71" i="1"/>
  <c r="AI76" i="1"/>
  <c r="AC112" i="1"/>
  <c r="AD116" i="1"/>
  <c r="AE46" i="1"/>
  <c r="D91" i="1"/>
  <c r="AD126" i="1"/>
  <c r="X126" i="1" s="1"/>
  <c r="AD136" i="1"/>
  <c r="AF142" i="1"/>
  <c r="AD155" i="1"/>
  <c r="AF156" i="1"/>
  <c r="AD160" i="1"/>
  <c r="J86" i="1"/>
  <c r="O86" i="1" s="1"/>
  <c r="AF126" i="1"/>
  <c r="AE126" i="1"/>
  <c r="AF131" i="1"/>
  <c r="E131" i="1"/>
  <c r="D132" i="1"/>
  <c r="AE131" i="1"/>
  <c r="AD129" i="1"/>
  <c r="AC129" i="1"/>
  <c r="AE127" i="1"/>
  <c r="D128" i="1"/>
  <c r="AC125" i="1"/>
  <c r="E127" i="1"/>
  <c r="AF127" i="1"/>
  <c r="AC128" i="1"/>
  <c r="AC132" i="1"/>
  <c r="AC133" i="1"/>
  <c r="AD140" i="1"/>
  <c r="AC140" i="1"/>
  <c r="AC142" i="1"/>
  <c r="AC137" i="1"/>
  <c r="AC141" i="1"/>
  <c r="D147" i="1"/>
  <c r="AE146" i="1"/>
  <c r="AE142" i="1"/>
  <c r="D143" i="1"/>
  <c r="AF146" i="1"/>
  <c r="AC150" i="1"/>
  <c r="AD150" i="1"/>
  <c r="AI146" i="1"/>
  <c r="AC156" i="1"/>
  <c r="AD156" i="1"/>
  <c r="D159" i="1"/>
  <c r="AE158" i="1"/>
  <c r="AF158" i="1"/>
  <c r="E158" i="1"/>
  <c r="AD157" i="1"/>
  <c r="AD158" i="1"/>
  <c r="AD159" i="1"/>
  <c r="AE157" i="1"/>
  <c r="AC161" i="1"/>
  <c r="AP89" i="1"/>
  <c r="AC89" i="1"/>
  <c r="AD89" i="1"/>
  <c r="AD91" i="1"/>
  <c r="AC91" i="1"/>
  <c r="AC101" i="1"/>
  <c r="AD101" i="1"/>
  <c r="AC87" i="1"/>
  <c r="AE117" i="1"/>
  <c r="D118" i="1"/>
  <c r="AF117" i="1"/>
  <c r="E117" i="1"/>
  <c r="AD86" i="1"/>
  <c r="AC86" i="1"/>
  <c r="AC90" i="1"/>
  <c r="AC99" i="1"/>
  <c r="AD99" i="1"/>
  <c r="AD121" i="1"/>
  <c r="AC121" i="1"/>
  <c r="AE86" i="1"/>
  <c r="D107" i="1"/>
  <c r="E106" i="1"/>
  <c r="AE106" i="1"/>
  <c r="AF106" i="1"/>
  <c r="AC92" i="1"/>
  <c r="AD98" i="1"/>
  <c r="AC98" i="1"/>
  <c r="AD108" i="1"/>
  <c r="AC108" i="1"/>
  <c r="AD111" i="1"/>
  <c r="AC111" i="1"/>
  <c r="AC118" i="1"/>
  <c r="AD118" i="1"/>
  <c r="AD105" i="1"/>
  <c r="AC105" i="1"/>
  <c r="AC117" i="1"/>
  <c r="AD117" i="1"/>
  <c r="AE87" i="1"/>
  <c r="AD97" i="1"/>
  <c r="AC107" i="1"/>
  <c r="AD109" i="1"/>
  <c r="AC109" i="1"/>
  <c r="AF116" i="1"/>
  <c r="AF102" i="1"/>
  <c r="D103" i="1"/>
  <c r="D51" i="1"/>
  <c r="AF47" i="1"/>
  <c r="E47" i="1"/>
  <c r="AE47" i="1"/>
  <c r="D48" i="1"/>
  <c r="AF66" i="1"/>
  <c r="E66" i="1"/>
  <c r="AE66" i="1"/>
  <c r="AC73" i="1"/>
  <c r="AD73" i="1"/>
  <c r="AC77" i="1"/>
  <c r="AD77" i="1"/>
  <c r="AP49" i="1"/>
  <c r="AD48" i="1"/>
  <c r="AC45" i="1"/>
  <c r="AC55" i="1"/>
  <c r="AD55" i="1"/>
  <c r="D67" i="1"/>
  <c r="AD51" i="1"/>
  <c r="AD63" i="1"/>
  <c r="AC63" i="1"/>
  <c r="AF62" i="1"/>
  <c r="E62" i="1"/>
  <c r="AE62" i="1"/>
  <c r="AC79" i="1"/>
  <c r="AD79" i="1"/>
  <c r="AD53" i="1"/>
  <c r="AD56" i="1"/>
  <c r="AC69" i="1"/>
  <c r="AD69" i="1"/>
  <c r="AC78" i="1"/>
  <c r="AD78" i="1"/>
  <c r="AC80" i="1"/>
  <c r="AD80" i="1"/>
  <c r="D79" i="1"/>
  <c r="AE78" i="1"/>
  <c r="AE77" i="1"/>
  <c r="AC198" i="1"/>
  <c r="AD201" i="1"/>
  <c r="D198" i="1"/>
  <c r="AC269" i="1"/>
  <c r="D197" i="1"/>
  <c r="AF197" i="1" s="1"/>
  <c r="AC197" i="1"/>
  <c r="AC204" i="1"/>
  <c r="AF166" i="1"/>
  <c r="E193" i="1"/>
  <c r="AI193" i="1" s="1"/>
  <c r="AE193" i="1"/>
  <c r="AF196" i="1"/>
  <c r="AC206" i="1"/>
  <c r="AF36" i="1"/>
  <c r="E36" i="1"/>
  <c r="AI36" i="1" s="1"/>
  <c r="AF194" i="1"/>
  <c r="AC205" i="1"/>
  <c r="E195" i="1"/>
  <c r="AI195" i="1" s="1"/>
  <c r="AE37" i="1"/>
  <c r="AC208" i="1"/>
  <c r="AD270" i="1"/>
  <c r="AD271" i="1"/>
  <c r="AC271" i="1"/>
  <c r="AD207" i="1"/>
  <c r="AC207" i="1"/>
  <c r="AD203" i="1"/>
  <c r="AC203" i="1"/>
  <c r="AD199" i="1"/>
  <c r="AC199" i="1"/>
  <c r="AC200" i="1"/>
  <c r="AC193" i="1"/>
  <c r="AD272" i="1"/>
  <c r="I166" i="1"/>
  <c r="AE195" i="1"/>
  <c r="D168" i="1"/>
  <c r="AF168" i="1" s="1"/>
  <c r="E194" i="1"/>
  <c r="AF195" i="1"/>
  <c r="E196" i="1"/>
  <c r="AE194" i="1"/>
  <c r="AC188" i="1"/>
  <c r="AD187" i="1"/>
  <c r="AC189" i="1"/>
  <c r="AC191" i="1"/>
  <c r="AD39" i="1"/>
  <c r="AC39" i="1"/>
  <c r="AC192" i="1"/>
  <c r="AD192" i="1"/>
  <c r="AD194" i="1"/>
  <c r="AC195" i="1"/>
  <c r="AD195" i="1"/>
  <c r="AD190" i="1"/>
  <c r="AD196" i="1"/>
  <c r="AC174" i="1"/>
  <c r="AC171" i="1"/>
  <c r="AC175" i="1"/>
  <c r="AC169" i="1"/>
  <c r="AC170" i="1"/>
  <c r="AD178" i="1"/>
  <c r="AC180" i="1"/>
  <c r="AC184" i="1"/>
  <c r="AC185" i="1"/>
  <c r="AC176" i="1"/>
  <c r="AC177" i="1"/>
  <c r="AC179" i="1"/>
  <c r="AD183" i="1"/>
  <c r="AC183" i="1"/>
  <c r="AP167" i="1"/>
  <c r="J166" i="1"/>
  <c r="O166" i="1" s="1"/>
  <c r="U166" i="1" s="1"/>
  <c r="AO166" i="1" s="1"/>
  <c r="AD168" i="1"/>
  <c r="AC168" i="1"/>
  <c r="AD173" i="1"/>
  <c r="AC173" i="1"/>
  <c r="I167" i="1"/>
  <c r="AC182" i="1"/>
  <c r="AD182" i="1"/>
  <c r="AD165" i="1"/>
  <c r="AC165" i="1"/>
  <c r="AF167" i="1"/>
  <c r="D171" i="1"/>
  <c r="E167" i="1"/>
  <c r="D185" i="1"/>
  <c r="D184" i="1"/>
  <c r="AF183" i="1"/>
  <c r="AE183" i="1"/>
  <c r="AC166" i="1"/>
  <c r="AC167" i="1"/>
  <c r="AC172" i="1"/>
  <c r="E182" i="1"/>
  <c r="AC181" i="1"/>
  <c r="AD181" i="1"/>
  <c r="AE182" i="1"/>
  <c r="AF182" i="1"/>
  <c r="AC186" i="1"/>
  <c r="AD186" i="1"/>
  <c r="J7" i="1"/>
  <c r="O7" i="1" s="1"/>
  <c r="S7" i="1" s="1"/>
  <c r="AC38" i="1"/>
  <c r="E22" i="1"/>
  <c r="AI22" i="1" s="1"/>
  <c r="D23" i="1"/>
  <c r="D28" i="1" s="1"/>
  <c r="D32" i="1" s="1"/>
  <c r="D33" i="1" s="1"/>
  <c r="AC37" i="1"/>
  <c r="AE7" i="1"/>
  <c r="E7" i="1"/>
  <c r="AJ7" i="1" s="1"/>
  <c r="AP9" i="1"/>
  <c r="AD40" i="1"/>
  <c r="D27" i="1"/>
  <c r="E26" i="1"/>
  <c r="AF7" i="1"/>
  <c r="AF37" i="1"/>
  <c r="D38" i="1"/>
  <c r="AF38" i="1" s="1"/>
  <c r="D8" i="1"/>
  <c r="AE8" i="1" s="1"/>
  <c r="AJ37" i="1"/>
  <c r="AC15" i="1"/>
  <c r="AC36" i="1"/>
  <c r="AC14" i="1"/>
  <c r="AD41" i="1"/>
  <c r="AC17" i="1"/>
  <c r="AC27" i="1"/>
  <c r="AC16" i="1"/>
  <c r="AC22" i="1"/>
  <c r="AC32" i="1"/>
  <c r="AC30" i="1"/>
  <c r="AC34" i="1"/>
  <c r="AC33" i="1"/>
  <c r="AC20" i="1"/>
  <c r="AC35" i="1"/>
  <c r="AF11" i="1"/>
  <c r="AE11" i="1"/>
  <c r="D12" i="1"/>
  <c r="D16" i="1" s="1"/>
  <c r="E11" i="1"/>
  <c r="AI11" i="1" s="1"/>
  <c r="AC11" i="1"/>
  <c r="AC12" i="1"/>
  <c r="AC26" i="1"/>
  <c r="AC18" i="1"/>
  <c r="AC23" i="1"/>
  <c r="AC28" i="1"/>
  <c r="AC29" i="1"/>
  <c r="AC31" i="1"/>
  <c r="AC25" i="1"/>
  <c r="AC24" i="1"/>
  <c r="AE22" i="1"/>
  <c r="AF22" i="1"/>
  <c r="AC21" i="1"/>
  <c r="AC19" i="1"/>
  <c r="AC13" i="1"/>
  <c r="AC8" i="1"/>
  <c r="AC9" i="1"/>
  <c r="AC10" i="1"/>
  <c r="AC7" i="1"/>
  <c r="R12" i="12"/>
  <c r="R10" i="12"/>
  <c r="R9" i="12"/>
  <c r="I682" i="1" l="1"/>
  <c r="J682" i="1"/>
  <c r="O682" i="1" s="1"/>
  <c r="H683" i="1"/>
  <c r="AC28" i="14"/>
  <c r="AB28" i="14"/>
  <c r="V28" i="14"/>
  <c r="AL80" i="11"/>
  <c r="D84" i="11"/>
  <c r="AK80" i="11"/>
  <c r="D190" i="11"/>
  <c r="AL187" i="11"/>
  <c r="AK187" i="11"/>
  <c r="AK82" i="11"/>
  <c r="AL82" i="11"/>
  <c r="D86" i="11"/>
  <c r="D273" i="11"/>
  <c r="AK272" i="11"/>
  <c r="AL272" i="11"/>
  <c r="AL81" i="11"/>
  <c r="AK81" i="11"/>
  <c r="D85" i="11"/>
  <c r="D53" i="11"/>
  <c r="AK221" i="11"/>
  <c r="D222" i="11"/>
  <c r="AL221" i="11"/>
  <c r="AK186" i="11"/>
  <c r="D189" i="11"/>
  <c r="AL186" i="11"/>
  <c r="D87" i="11"/>
  <c r="AK83" i="11"/>
  <c r="AL83" i="11"/>
  <c r="D49" i="9"/>
  <c r="AD48" i="9"/>
  <c r="AC48" i="9"/>
  <c r="D32" i="14"/>
  <c r="AC31" i="14"/>
  <c r="AB31" i="14"/>
  <c r="V31" i="14"/>
  <c r="AK165" i="11"/>
  <c r="AL165" i="11"/>
  <c r="D166" i="11"/>
  <c r="D64" i="9"/>
  <c r="AD63" i="9"/>
  <c r="AC63" i="9"/>
  <c r="AB43" i="14"/>
  <c r="AC43" i="14"/>
  <c r="D44" i="14"/>
  <c r="V43" i="14"/>
  <c r="AD113" i="9"/>
  <c r="AC113" i="9"/>
  <c r="D114" i="9"/>
  <c r="AL286" i="11"/>
  <c r="AK286" i="11"/>
  <c r="D287" i="11"/>
  <c r="D234" i="11"/>
  <c r="AK233" i="11"/>
  <c r="AL233" i="11"/>
  <c r="AK301" i="11"/>
  <c r="AL301" i="11"/>
  <c r="D302" i="11"/>
  <c r="AL52" i="11"/>
  <c r="D54" i="11"/>
  <c r="AK52" i="11"/>
  <c r="AL185" i="11"/>
  <c r="AK185" i="11"/>
  <c r="D188" i="11"/>
  <c r="D37" i="9"/>
  <c r="AD36" i="9"/>
  <c r="AC36" i="9"/>
  <c r="J127" i="1"/>
  <c r="O127" i="1" s="1"/>
  <c r="S127" i="1" s="1"/>
  <c r="AM127" i="1" s="1"/>
  <c r="D317" i="11"/>
  <c r="AL316" i="11"/>
  <c r="AK316" i="11"/>
  <c r="E209" i="10"/>
  <c r="AJ209" i="10"/>
  <c r="D212" i="10"/>
  <c r="AK209" i="10"/>
  <c r="AO206" i="10"/>
  <c r="AN206" i="10"/>
  <c r="AA206" i="10"/>
  <c r="AJ173" i="10"/>
  <c r="D176" i="10"/>
  <c r="E173" i="10"/>
  <c r="AK173" i="10"/>
  <c r="AN205" i="10"/>
  <c r="AO205" i="10"/>
  <c r="AA205" i="10"/>
  <c r="AO204" i="10"/>
  <c r="AN204" i="10"/>
  <c r="AA204" i="10"/>
  <c r="E171" i="10"/>
  <c r="D174" i="10"/>
  <c r="AK171" i="10"/>
  <c r="AJ171" i="10"/>
  <c r="AO170" i="10"/>
  <c r="AN170" i="10"/>
  <c r="AA170" i="10"/>
  <c r="AO169" i="10"/>
  <c r="AN169" i="10"/>
  <c r="AA169" i="10"/>
  <c r="AK207" i="10"/>
  <c r="E207" i="10"/>
  <c r="D210" i="10"/>
  <c r="AJ207" i="10"/>
  <c r="AN168" i="10"/>
  <c r="AO168" i="10"/>
  <c r="AA168" i="10"/>
  <c r="AJ172" i="10"/>
  <c r="E172" i="10"/>
  <c r="D175" i="10"/>
  <c r="AK172" i="10"/>
  <c r="AJ271" i="10"/>
  <c r="D272" i="10"/>
  <c r="AK271" i="10"/>
  <c r="E208" i="10"/>
  <c r="AK208" i="10"/>
  <c r="AJ208" i="10"/>
  <c r="D211" i="10"/>
  <c r="U2" i="19"/>
  <c r="U3" i="19" s="1"/>
  <c r="V1" i="19"/>
  <c r="AS231" i="10"/>
  <c r="AS235" i="10"/>
  <c r="U236" i="10"/>
  <c r="X233" i="10"/>
  <c r="U238" i="10"/>
  <c r="X231" i="10"/>
  <c r="U234" i="10"/>
  <c r="X235" i="10"/>
  <c r="AS233" i="10"/>
  <c r="X193" i="10"/>
  <c r="U196" i="10"/>
  <c r="AS193" i="10"/>
  <c r="AS194" i="10"/>
  <c r="X194" i="10"/>
  <c r="U197" i="10"/>
  <c r="AS201" i="10"/>
  <c r="Z66" i="5"/>
  <c r="AA66" i="5"/>
  <c r="E57" i="5"/>
  <c r="AE56" i="5"/>
  <c r="AD56" i="5"/>
  <c r="D58" i="5"/>
  <c r="Z57" i="5"/>
  <c r="AA57" i="5"/>
  <c r="D49" i="5"/>
  <c r="X85" i="1"/>
  <c r="AJ77" i="1"/>
  <c r="AI78" i="1"/>
  <c r="AI116" i="1"/>
  <c r="AI142" i="1"/>
  <c r="G128" i="1"/>
  <c r="AP128" i="1" s="1"/>
  <c r="AJ156" i="1"/>
  <c r="V47" i="1"/>
  <c r="X46" i="1"/>
  <c r="AI87" i="1"/>
  <c r="AJ76" i="1"/>
  <c r="AE63" i="1"/>
  <c r="AE88" i="1"/>
  <c r="U126" i="1"/>
  <c r="AO126" i="1" s="1"/>
  <c r="I128" i="1"/>
  <c r="D89" i="1"/>
  <c r="AE89" i="1" s="1"/>
  <c r="AF91" i="1"/>
  <c r="D92" i="1"/>
  <c r="E91" i="1"/>
  <c r="D64" i="1"/>
  <c r="D65" i="1" s="1"/>
  <c r="D68" i="1"/>
  <c r="E68" i="1" s="1"/>
  <c r="AI102" i="1"/>
  <c r="AJ157" i="1"/>
  <c r="S47" i="1"/>
  <c r="AM47" i="1" s="1"/>
  <c r="I47" i="1"/>
  <c r="AE91" i="1"/>
  <c r="J87" i="1"/>
  <c r="O87" i="1" s="1"/>
  <c r="S87" i="1" s="1"/>
  <c r="AM87" i="1" s="1"/>
  <c r="I87" i="1"/>
  <c r="AE132" i="1"/>
  <c r="D136" i="1"/>
  <c r="D133" i="1"/>
  <c r="AF132" i="1"/>
  <c r="I129" i="1"/>
  <c r="D148" i="1"/>
  <c r="AF143" i="1"/>
  <c r="D144" i="1"/>
  <c r="AE143" i="1"/>
  <c r="X125" i="1"/>
  <c r="AJ131" i="1"/>
  <c r="AI131" i="1"/>
  <c r="AI158" i="1"/>
  <c r="AJ158" i="1"/>
  <c r="AE147" i="1"/>
  <c r="E147" i="1"/>
  <c r="AF147" i="1"/>
  <c r="AJ127" i="1"/>
  <c r="AI127" i="1"/>
  <c r="AF128" i="1"/>
  <c r="D129" i="1"/>
  <c r="AE128" i="1"/>
  <c r="D161" i="1"/>
  <c r="D160" i="1"/>
  <c r="AE159" i="1"/>
  <c r="AF159" i="1"/>
  <c r="E159" i="1"/>
  <c r="AO125" i="1"/>
  <c r="J128" i="1"/>
  <c r="O128" i="1" s="1"/>
  <c r="X128" i="1" s="1"/>
  <c r="AF107" i="1"/>
  <c r="E107" i="1"/>
  <c r="AE107" i="1"/>
  <c r="X86" i="1"/>
  <c r="AE118" i="1"/>
  <c r="AF118" i="1"/>
  <c r="E118" i="1"/>
  <c r="D119" i="1"/>
  <c r="AF103" i="1"/>
  <c r="AE103" i="1"/>
  <c r="D108" i="1"/>
  <c r="D104" i="1"/>
  <c r="U86" i="1"/>
  <c r="AJ117" i="1"/>
  <c r="AI117" i="1"/>
  <c r="AP90" i="1"/>
  <c r="AI106" i="1"/>
  <c r="AJ106" i="1"/>
  <c r="X45" i="1"/>
  <c r="AO46" i="1"/>
  <c r="AP50" i="1"/>
  <c r="D49" i="1"/>
  <c r="AE48" i="1"/>
  <c r="AF48" i="1"/>
  <c r="D52" i="1"/>
  <c r="AE51" i="1"/>
  <c r="AF51" i="1"/>
  <c r="E51" i="1"/>
  <c r="D81" i="1"/>
  <c r="D80" i="1"/>
  <c r="AE79" i="1"/>
  <c r="AF79" i="1"/>
  <c r="E79" i="1"/>
  <c r="AJ62" i="1"/>
  <c r="AI62" i="1"/>
  <c r="AF67" i="1"/>
  <c r="E67" i="1"/>
  <c r="AE67" i="1"/>
  <c r="AO45" i="1"/>
  <c r="E64" i="1"/>
  <c r="AJ66" i="1"/>
  <c r="AI66" i="1"/>
  <c r="AJ47" i="1"/>
  <c r="AI47" i="1"/>
  <c r="AJ193" i="1"/>
  <c r="AF198" i="1"/>
  <c r="AE198" i="1"/>
  <c r="E197" i="1"/>
  <c r="AJ22" i="1"/>
  <c r="AE197" i="1"/>
  <c r="D29" i="1"/>
  <c r="D30" i="1" s="1"/>
  <c r="D31" i="1" s="1"/>
  <c r="AJ36" i="1"/>
  <c r="AJ195" i="1"/>
  <c r="AE168" i="1"/>
  <c r="AI194" i="1"/>
  <c r="AJ194" i="1"/>
  <c r="D169" i="1"/>
  <c r="AF169" i="1" s="1"/>
  <c r="AI196" i="1"/>
  <c r="AJ196" i="1"/>
  <c r="D13" i="1"/>
  <c r="D14" i="1" s="1"/>
  <c r="AE14" i="1" s="1"/>
  <c r="E32" i="1"/>
  <c r="AJ32" i="1" s="1"/>
  <c r="D189" i="1"/>
  <c r="AF185" i="1"/>
  <c r="E185" i="1"/>
  <c r="AE185" i="1"/>
  <c r="D186" i="1"/>
  <c r="AJ167" i="1"/>
  <c r="AI167" i="1"/>
  <c r="D172" i="1"/>
  <c r="AE171" i="1"/>
  <c r="AF171" i="1"/>
  <c r="E171" i="1"/>
  <c r="AJ182" i="1"/>
  <c r="AI182" i="1"/>
  <c r="I168" i="1"/>
  <c r="X166" i="1"/>
  <c r="AF184" i="1"/>
  <c r="E184" i="1"/>
  <c r="AE184" i="1"/>
  <c r="AP168" i="1"/>
  <c r="J167" i="1"/>
  <c r="O167" i="1" s="1"/>
  <c r="AE32" i="1"/>
  <c r="AF23" i="1"/>
  <c r="AE28" i="1"/>
  <c r="D24" i="1"/>
  <c r="AF24" i="1" s="1"/>
  <c r="AF28" i="1"/>
  <c r="AF33" i="1"/>
  <c r="AE33" i="1"/>
  <c r="D34" i="1"/>
  <c r="AE34" i="1" s="1"/>
  <c r="AF12" i="1"/>
  <c r="AE23" i="1"/>
  <c r="E28" i="1"/>
  <c r="AI28" i="1" s="1"/>
  <c r="AF32" i="1"/>
  <c r="J9" i="1"/>
  <c r="O9" i="1" s="1"/>
  <c r="U9" i="1" s="1"/>
  <c r="AO9" i="1" s="1"/>
  <c r="I8" i="1"/>
  <c r="AE12" i="1"/>
  <c r="AI7" i="1"/>
  <c r="AP10" i="1"/>
  <c r="D9" i="1"/>
  <c r="AF8" i="1"/>
  <c r="AJ26" i="1"/>
  <c r="AI26" i="1"/>
  <c r="AE38" i="1"/>
  <c r="D39" i="1"/>
  <c r="D40" i="1" s="1"/>
  <c r="E38" i="1"/>
  <c r="AE27" i="1"/>
  <c r="E27" i="1"/>
  <c r="AF27" i="1"/>
  <c r="AJ11" i="1"/>
  <c r="AF16" i="1"/>
  <c r="D17" i="1"/>
  <c r="AE16" i="1"/>
  <c r="E16" i="1"/>
  <c r="V7" i="1"/>
  <c r="Y7" i="1"/>
  <c r="AM7" i="1"/>
  <c r="N12" i="12"/>
  <c r="N10" i="12"/>
  <c r="N9" i="12"/>
  <c r="E87" i="12"/>
  <c r="E86" i="12"/>
  <c r="Z244" i="13"/>
  <c r="E239" i="13"/>
  <c r="E238" i="13"/>
  <c r="E237" i="13"/>
  <c r="E236" i="13"/>
  <c r="E235" i="13"/>
  <c r="E234" i="13"/>
  <c r="E233" i="13"/>
  <c r="F232" i="13"/>
  <c r="E232" i="13" s="1"/>
  <c r="Z220" i="13"/>
  <c r="Z219" i="13"/>
  <c r="Z218" i="13"/>
  <c r="Z217" i="13"/>
  <c r="E216" i="13"/>
  <c r="F215" i="13"/>
  <c r="F214" i="13"/>
  <c r="F213" i="13"/>
  <c r="F212" i="13"/>
  <c r="F211" i="13"/>
  <c r="F210" i="13"/>
  <c r="F209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U5" i="16"/>
  <c r="S5" i="16"/>
  <c r="E251" i="12"/>
  <c r="E250" i="12"/>
  <c r="E249" i="12"/>
  <c r="E248" i="12"/>
  <c r="E247" i="12"/>
  <c r="E246" i="12"/>
  <c r="E245" i="12"/>
  <c r="E244" i="12"/>
  <c r="D225" i="12"/>
  <c r="E227" i="12"/>
  <c r="E228" i="12"/>
  <c r="E229" i="12"/>
  <c r="E230" i="12"/>
  <c r="I683" i="1" l="1"/>
  <c r="H684" i="1"/>
  <c r="J683" i="1"/>
  <c r="O683" i="1" s="1"/>
  <c r="V127" i="1"/>
  <c r="AA251" i="12"/>
  <c r="Z251" i="12" s="1"/>
  <c r="AW251" i="12"/>
  <c r="AV251" i="12" s="1"/>
  <c r="AA229" i="12"/>
  <c r="AW229" i="12"/>
  <c r="AV229" i="12" s="1"/>
  <c r="AA244" i="12"/>
  <c r="Z244" i="12" s="1"/>
  <c r="AW244" i="12"/>
  <c r="AV244" i="12" s="1"/>
  <c r="AA248" i="12"/>
  <c r="Z248" i="12" s="1"/>
  <c r="AW248" i="12"/>
  <c r="AV248" i="12" s="1"/>
  <c r="AA86" i="12"/>
  <c r="AW86" i="12"/>
  <c r="AA228" i="12"/>
  <c r="AW228" i="12"/>
  <c r="AV228" i="12" s="1"/>
  <c r="AA245" i="12"/>
  <c r="Z245" i="12" s="1"/>
  <c r="AW245" i="12"/>
  <c r="AV245" i="12" s="1"/>
  <c r="AA249" i="12"/>
  <c r="Z249" i="12" s="1"/>
  <c r="AW249" i="12"/>
  <c r="AV249" i="12" s="1"/>
  <c r="AA87" i="12"/>
  <c r="AW87" i="12"/>
  <c r="AA247" i="12"/>
  <c r="Z247" i="12" s="1"/>
  <c r="AW247" i="12"/>
  <c r="AV247" i="12" s="1"/>
  <c r="AA227" i="12"/>
  <c r="AW227" i="12"/>
  <c r="AV227" i="12" s="1"/>
  <c r="AA246" i="12"/>
  <c r="Z246" i="12" s="1"/>
  <c r="AW246" i="12"/>
  <c r="AV246" i="12" s="1"/>
  <c r="AA250" i="12"/>
  <c r="Z250" i="12" s="1"/>
  <c r="AW250" i="12"/>
  <c r="AV250" i="12" s="1"/>
  <c r="AA230" i="12"/>
  <c r="AW230" i="12"/>
  <c r="AV230" i="12" s="1"/>
  <c r="D235" i="11"/>
  <c r="AK234" i="11"/>
  <c r="AL234" i="11"/>
  <c r="AL222" i="11"/>
  <c r="AK222" i="11"/>
  <c r="D223" i="11"/>
  <c r="Z227" i="12"/>
  <c r="AC114" i="9"/>
  <c r="D115" i="9"/>
  <c r="AD114" i="9"/>
  <c r="AL189" i="11"/>
  <c r="AK189" i="11"/>
  <c r="D192" i="11"/>
  <c r="AL190" i="11"/>
  <c r="D193" i="11"/>
  <c r="AK190" i="11"/>
  <c r="AK85" i="11"/>
  <c r="AL85" i="11"/>
  <c r="D89" i="11"/>
  <c r="AL188" i="11"/>
  <c r="D191" i="11"/>
  <c r="AK188" i="11"/>
  <c r="AC32" i="14"/>
  <c r="D33" i="14"/>
  <c r="AB32" i="14"/>
  <c r="V32" i="14"/>
  <c r="AL86" i="11"/>
  <c r="AK86" i="11"/>
  <c r="D90" i="11"/>
  <c r="Z229" i="12"/>
  <c r="AL84" i="11"/>
  <c r="D88" i="11"/>
  <c r="AK84" i="11"/>
  <c r="AC37" i="9"/>
  <c r="AD37" i="9"/>
  <c r="D38" i="9"/>
  <c r="AD64" i="9"/>
  <c r="D65" i="9"/>
  <c r="AC64" i="9"/>
  <c r="AL87" i="11"/>
  <c r="D91" i="11"/>
  <c r="AK87" i="11"/>
  <c r="D303" i="11"/>
  <c r="AK302" i="11"/>
  <c r="AL302" i="11"/>
  <c r="Z228" i="12"/>
  <c r="AK317" i="11"/>
  <c r="AL317" i="11"/>
  <c r="D318" i="11"/>
  <c r="AC49" i="9"/>
  <c r="AD49" i="9"/>
  <c r="D50" i="9"/>
  <c r="D55" i="11"/>
  <c r="AL53" i="11"/>
  <c r="AK53" i="11"/>
  <c r="D274" i="11"/>
  <c r="AL273" i="11"/>
  <c r="AK273" i="11"/>
  <c r="Z230" i="12"/>
  <c r="AK54" i="11"/>
  <c r="AL54" i="11"/>
  <c r="D56" i="11"/>
  <c r="D288" i="11"/>
  <c r="AK287" i="11"/>
  <c r="AL287" i="11"/>
  <c r="AB44" i="14"/>
  <c r="D45" i="14"/>
  <c r="AC44" i="14"/>
  <c r="V44" i="14"/>
  <c r="D167" i="11"/>
  <c r="AL166" i="11"/>
  <c r="AK166" i="11"/>
  <c r="AO208" i="10"/>
  <c r="AN208" i="10"/>
  <c r="AA208" i="10"/>
  <c r="D273" i="10"/>
  <c r="AK272" i="10"/>
  <c r="AJ272" i="10"/>
  <c r="AO172" i="10"/>
  <c r="AN172" i="10"/>
  <c r="AA172" i="10"/>
  <c r="T5" i="16"/>
  <c r="E174" i="10"/>
  <c r="D177" i="10"/>
  <c r="AJ174" i="10"/>
  <c r="AK174" i="10"/>
  <c r="D215" i="10"/>
  <c r="E212" i="10"/>
  <c r="AK212" i="10"/>
  <c r="AJ212" i="10"/>
  <c r="AK210" i="10"/>
  <c r="E210" i="10"/>
  <c r="D213" i="10"/>
  <c r="AJ210" i="10"/>
  <c r="AN171" i="10"/>
  <c r="AO171" i="10"/>
  <c r="AA171" i="10"/>
  <c r="AO173" i="10"/>
  <c r="AN173" i="10"/>
  <c r="AA173" i="10"/>
  <c r="D214" i="10"/>
  <c r="E211" i="10"/>
  <c r="AK211" i="10"/>
  <c r="AJ211" i="10"/>
  <c r="D178" i="10"/>
  <c r="AK175" i="10"/>
  <c r="AJ175" i="10"/>
  <c r="E175" i="10"/>
  <c r="AO207" i="10"/>
  <c r="AN207" i="10"/>
  <c r="AA207" i="10"/>
  <c r="E176" i="10"/>
  <c r="AK176" i="10"/>
  <c r="D179" i="10"/>
  <c r="AJ176" i="10"/>
  <c r="AO209" i="10"/>
  <c r="AN209" i="10"/>
  <c r="AA209" i="10"/>
  <c r="V2" i="19"/>
  <c r="V3" i="19" s="1"/>
  <c r="W1" i="19"/>
  <c r="X236" i="10"/>
  <c r="X238" i="10"/>
  <c r="U239" i="10"/>
  <c r="X234" i="10"/>
  <c r="AS238" i="10"/>
  <c r="AS236" i="10"/>
  <c r="U237" i="10"/>
  <c r="AS234" i="10"/>
  <c r="AS197" i="10"/>
  <c r="U200" i="10"/>
  <c r="U199" i="10"/>
  <c r="AS196" i="10"/>
  <c r="X196" i="10"/>
  <c r="X197" i="10"/>
  <c r="AA58" i="5"/>
  <c r="Z58" i="5"/>
  <c r="AD57" i="5"/>
  <c r="AE57" i="5"/>
  <c r="D50" i="5"/>
  <c r="AI197" i="1"/>
  <c r="Y47" i="1"/>
  <c r="AJ197" i="1"/>
  <c r="G129" i="1"/>
  <c r="AP129" i="1" s="1"/>
  <c r="D90" i="1"/>
  <c r="AF90" i="1" s="1"/>
  <c r="AF89" i="1"/>
  <c r="AF68" i="1"/>
  <c r="Y127" i="1"/>
  <c r="V87" i="1"/>
  <c r="Y87" i="1"/>
  <c r="D69" i="1"/>
  <c r="AF69" i="1" s="1"/>
  <c r="AE68" i="1"/>
  <c r="I48" i="1"/>
  <c r="D72" i="1"/>
  <c r="AE72" i="1" s="1"/>
  <c r="J48" i="1"/>
  <c r="O48" i="1" s="1"/>
  <c r="U48" i="1" s="1"/>
  <c r="AO48" i="1" s="1"/>
  <c r="AI91" i="1"/>
  <c r="AJ91" i="1"/>
  <c r="AF64" i="1"/>
  <c r="D93" i="1"/>
  <c r="AE92" i="1"/>
  <c r="D96" i="1"/>
  <c r="AF92" i="1"/>
  <c r="AE64" i="1"/>
  <c r="I88" i="1"/>
  <c r="J88" i="1"/>
  <c r="O88" i="1" s="1"/>
  <c r="U128" i="1"/>
  <c r="AE160" i="1"/>
  <c r="AF160" i="1"/>
  <c r="E160" i="1"/>
  <c r="D130" i="1"/>
  <c r="AE129" i="1"/>
  <c r="AF129" i="1"/>
  <c r="I130" i="1"/>
  <c r="E136" i="1"/>
  <c r="AE136" i="1"/>
  <c r="D137" i="1"/>
  <c r="AF136" i="1"/>
  <c r="D145" i="1"/>
  <c r="AF144" i="1"/>
  <c r="E144" i="1"/>
  <c r="AE144" i="1"/>
  <c r="AI159" i="1"/>
  <c r="AJ159" i="1"/>
  <c r="AF161" i="1"/>
  <c r="AE161" i="1"/>
  <c r="AI147" i="1"/>
  <c r="AJ147" i="1"/>
  <c r="D152" i="1"/>
  <c r="D149" i="1"/>
  <c r="AE148" i="1"/>
  <c r="E148" i="1"/>
  <c r="AF148" i="1"/>
  <c r="D134" i="1"/>
  <c r="AE133" i="1"/>
  <c r="AF133" i="1"/>
  <c r="AE104" i="1"/>
  <c r="E104" i="1"/>
  <c r="D105" i="1"/>
  <c r="AF104" i="1"/>
  <c r="AJ118" i="1"/>
  <c r="AI118" i="1"/>
  <c r="AE108" i="1"/>
  <c r="E108" i="1"/>
  <c r="AF108" i="1"/>
  <c r="D112" i="1"/>
  <c r="D109" i="1"/>
  <c r="AP91" i="1"/>
  <c r="AJ107" i="1"/>
  <c r="AI107" i="1"/>
  <c r="AO86" i="1"/>
  <c r="AE119" i="1"/>
  <c r="E119" i="1"/>
  <c r="D121" i="1"/>
  <c r="D120" i="1"/>
  <c r="AF119" i="1"/>
  <c r="AJ68" i="1"/>
  <c r="AI68" i="1"/>
  <c r="AJ67" i="1"/>
  <c r="AI67" i="1"/>
  <c r="AE80" i="1"/>
  <c r="E80" i="1"/>
  <c r="AF80" i="1"/>
  <c r="AE69" i="1"/>
  <c r="AF65" i="1"/>
  <c r="E65" i="1"/>
  <c r="AE65" i="1"/>
  <c r="AI79" i="1"/>
  <c r="AJ79" i="1"/>
  <c r="AF81" i="1"/>
  <c r="AE81" i="1"/>
  <c r="D56" i="1"/>
  <c r="AF52" i="1"/>
  <c r="D53" i="1"/>
  <c r="AE52" i="1"/>
  <c r="AP51" i="1"/>
  <c r="I49" i="1"/>
  <c r="AJ64" i="1"/>
  <c r="AI64" i="1"/>
  <c r="AI51" i="1"/>
  <c r="AJ51" i="1"/>
  <c r="AF49" i="1"/>
  <c r="D50" i="1"/>
  <c r="AE49" i="1"/>
  <c r="J49" i="1"/>
  <c r="O49" i="1" s="1"/>
  <c r="AF13" i="1"/>
  <c r="AF14" i="1"/>
  <c r="D15" i="1"/>
  <c r="AF15" i="1" s="1"/>
  <c r="AF29" i="1"/>
  <c r="AE13" i="1"/>
  <c r="AF30" i="1"/>
  <c r="AE24" i="1"/>
  <c r="E24" i="1"/>
  <c r="AI24" i="1" s="1"/>
  <c r="AI32" i="1"/>
  <c r="AE29" i="1"/>
  <c r="AE30" i="1"/>
  <c r="AE169" i="1"/>
  <c r="D170" i="1"/>
  <c r="AE170" i="1" s="1"/>
  <c r="AJ28" i="1"/>
  <c r="D25" i="1"/>
  <c r="AE25" i="1" s="1"/>
  <c r="D190" i="1"/>
  <c r="E189" i="1"/>
  <c r="AF189" i="1"/>
  <c r="AE189" i="1"/>
  <c r="J168" i="1"/>
  <c r="O168" i="1" s="1"/>
  <c r="AP169" i="1"/>
  <c r="D176" i="1"/>
  <c r="AF172" i="1"/>
  <c r="D173" i="1"/>
  <c r="AE172" i="1"/>
  <c r="S167" i="1"/>
  <c r="AJ184" i="1"/>
  <c r="AI184" i="1"/>
  <c r="AJ185" i="1"/>
  <c r="AI185" i="1"/>
  <c r="V167" i="1"/>
  <c r="I169" i="1"/>
  <c r="AI171" i="1"/>
  <c r="AJ171" i="1"/>
  <c r="D187" i="1"/>
  <c r="AE186" i="1"/>
  <c r="AF186" i="1"/>
  <c r="D35" i="1"/>
  <c r="AE35" i="1" s="1"/>
  <c r="AF34" i="1"/>
  <c r="I9" i="1"/>
  <c r="J10" i="1"/>
  <c r="O10" i="1" s="1"/>
  <c r="X9" i="1"/>
  <c r="AP11" i="1"/>
  <c r="AF40" i="1"/>
  <c r="E40" i="1"/>
  <c r="AE40" i="1"/>
  <c r="AF39" i="1"/>
  <c r="D41" i="1"/>
  <c r="AE39" i="1"/>
  <c r="E39" i="1"/>
  <c r="AI27" i="1"/>
  <c r="AJ27" i="1"/>
  <c r="AE9" i="1"/>
  <c r="AF9" i="1"/>
  <c r="D10" i="1"/>
  <c r="AI38" i="1"/>
  <c r="AJ38" i="1"/>
  <c r="AJ16" i="1"/>
  <c r="AI16" i="1"/>
  <c r="AE17" i="1"/>
  <c r="AF17" i="1"/>
  <c r="D18" i="1"/>
  <c r="AF26" i="1"/>
  <c r="AE26" i="1"/>
  <c r="E208" i="13"/>
  <c r="E212" i="13"/>
  <c r="E207" i="13"/>
  <c r="E213" i="13"/>
  <c r="E209" i="13"/>
  <c r="E204" i="13"/>
  <c r="E215" i="13"/>
  <c r="E205" i="13"/>
  <c r="E211" i="13"/>
  <c r="E206" i="13"/>
  <c r="E210" i="13"/>
  <c r="E214" i="13"/>
  <c r="AR5" i="10"/>
  <c r="AR6" i="10"/>
  <c r="AR7" i="10"/>
  <c r="AR8" i="10"/>
  <c r="AR9" i="10"/>
  <c r="AR10" i="10"/>
  <c r="AR11" i="10"/>
  <c r="AR12" i="10"/>
  <c r="AR13" i="10"/>
  <c r="AR14" i="10"/>
  <c r="AR15" i="10"/>
  <c r="AR16" i="10"/>
  <c r="AR29" i="10"/>
  <c r="AR30" i="10"/>
  <c r="AR74" i="10"/>
  <c r="AR76" i="10"/>
  <c r="AR143" i="10"/>
  <c r="AR144" i="10"/>
  <c r="AR145" i="10"/>
  <c r="AR146" i="10"/>
  <c r="AR147" i="10"/>
  <c r="AR148" i="10"/>
  <c r="AR149" i="10"/>
  <c r="AR150" i="10"/>
  <c r="AR151" i="10"/>
  <c r="AR152" i="10"/>
  <c r="AR153" i="10"/>
  <c r="AR154" i="10"/>
  <c r="AR310" i="10"/>
  <c r="Q61" i="12"/>
  <c r="P61" i="12"/>
  <c r="O61" i="12"/>
  <c r="N61" i="12"/>
  <c r="M61" i="12"/>
  <c r="L61" i="12"/>
  <c r="K61" i="12"/>
  <c r="J61" i="12"/>
  <c r="I61" i="12"/>
  <c r="H61" i="12"/>
  <c r="G61" i="12"/>
  <c r="F61" i="12"/>
  <c r="E233" i="12"/>
  <c r="E232" i="12"/>
  <c r="E220" i="12"/>
  <c r="E219" i="12"/>
  <c r="E218" i="12"/>
  <c r="E217" i="12"/>
  <c r="E216" i="12"/>
  <c r="E215" i="12"/>
  <c r="AA5" i="9"/>
  <c r="AA6" i="9"/>
  <c r="AA7" i="9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56" i="9"/>
  <c r="AA57" i="9"/>
  <c r="AA58" i="9"/>
  <c r="AA59" i="9"/>
  <c r="AA60" i="9"/>
  <c r="V75" i="16"/>
  <c r="W75" i="16"/>
  <c r="X75" i="16"/>
  <c r="AA75" i="16"/>
  <c r="AB75" i="16"/>
  <c r="T76" i="16"/>
  <c r="W76" i="16"/>
  <c r="X76" i="16"/>
  <c r="AA76" i="16"/>
  <c r="AB76" i="16"/>
  <c r="V77" i="16"/>
  <c r="W77" i="16"/>
  <c r="X77" i="16"/>
  <c r="AA77" i="16"/>
  <c r="AB77" i="16"/>
  <c r="E252" i="12"/>
  <c r="AW252" i="12" s="1"/>
  <c r="AV252" i="12" s="1"/>
  <c r="D251" i="12"/>
  <c r="D250" i="12"/>
  <c r="D249" i="12"/>
  <c r="D248" i="12"/>
  <c r="D247" i="12"/>
  <c r="D246" i="12"/>
  <c r="D245" i="12"/>
  <c r="D244" i="12"/>
  <c r="E243" i="12"/>
  <c r="AW243" i="12" s="1"/>
  <c r="AV243" i="12" s="1"/>
  <c r="V51" i="16"/>
  <c r="T51" i="16"/>
  <c r="W51" i="16"/>
  <c r="X51" i="16"/>
  <c r="AA51" i="16"/>
  <c r="AB51" i="16"/>
  <c r="T52" i="16"/>
  <c r="W52" i="16"/>
  <c r="X52" i="16"/>
  <c r="AA52" i="16"/>
  <c r="AB52" i="16"/>
  <c r="T53" i="16"/>
  <c r="W53" i="16"/>
  <c r="X53" i="16"/>
  <c r="AA53" i="16"/>
  <c r="AB53" i="16"/>
  <c r="T71" i="16"/>
  <c r="W71" i="16"/>
  <c r="X71" i="16"/>
  <c r="AA71" i="16"/>
  <c r="AB71" i="16"/>
  <c r="T72" i="16"/>
  <c r="W72" i="16"/>
  <c r="X72" i="16"/>
  <c r="AA72" i="16"/>
  <c r="AB72" i="16"/>
  <c r="T73" i="16"/>
  <c r="W73" i="16"/>
  <c r="X73" i="16"/>
  <c r="AA73" i="16"/>
  <c r="AB73" i="16"/>
  <c r="V39" i="16"/>
  <c r="V40" i="16"/>
  <c r="V41" i="16"/>
  <c r="V42" i="16"/>
  <c r="V43" i="16"/>
  <c r="V45" i="16"/>
  <c r="V46" i="16"/>
  <c r="V47" i="16"/>
  <c r="V48" i="16"/>
  <c r="V49" i="16"/>
  <c r="V50" i="16"/>
  <c r="V74" i="16"/>
  <c r="AB74" i="16"/>
  <c r="AA74" i="16"/>
  <c r="X74" i="16"/>
  <c r="W74" i="16"/>
  <c r="AB50" i="16"/>
  <c r="AA50" i="16"/>
  <c r="X50" i="16"/>
  <c r="W50" i="16"/>
  <c r="AB49" i="16"/>
  <c r="AA49" i="16"/>
  <c r="X49" i="16"/>
  <c r="W49" i="16"/>
  <c r="AB48" i="16"/>
  <c r="AA48" i="16"/>
  <c r="X48" i="16"/>
  <c r="W48" i="16"/>
  <c r="AB47" i="16"/>
  <c r="AA47" i="16"/>
  <c r="X47" i="16"/>
  <c r="W47" i="16"/>
  <c r="AB46" i="16"/>
  <c r="AA46" i="16"/>
  <c r="X46" i="16"/>
  <c r="W46" i="16"/>
  <c r="AB45" i="16"/>
  <c r="AA45" i="16"/>
  <c r="X45" i="16"/>
  <c r="W45" i="16"/>
  <c r="AB43" i="16"/>
  <c r="AA43" i="16"/>
  <c r="X43" i="16"/>
  <c r="W43" i="16"/>
  <c r="AB42" i="16"/>
  <c r="AA42" i="16"/>
  <c r="X42" i="16"/>
  <c r="W42" i="16"/>
  <c r="AB41" i="16"/>
  <c r="AA41" i="16"/>
  <c r="X41" i="16"/>
  <c r="W41" i="16"/>
  <c r="AB40" i="16"/>
  <c r="AA40" i="16"/>
  <c r="X40" i="16"/>
  <c r="W40" i="16"/>
  <c r="AB39" i="16"/>
  <c r="AA39" i="16"/>
  <c r="X39" i="16"/>
  <c r="W39" i="16"/>
  <c r="AB5" i="16"/>
  <c r="AA5" i="16"/>
  <c r="X5" i="16"/>
  <c r="W5" i="16"/>
  <c r="AD184" i="13"/>
  <c r="AD181" i="13"/>
  <c r="AD180" i="13"/>
  <c r="AD177" i="13"/>
  <c r="AD176" i="13"/>
  <c r="AD173" i="13"/>
  <c r="AD172" i="13"/>
  <c r="AD114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C48" i="13"/>
  <c r="AC47" i="13"/>
  <c r="AC45" i="13"/>
  <c r="AC46" i="13"/>
  <c r="E48" i="13"/>
  <c r="E47" i="13"/>
  <c r="E46" i="13"/>
  <c r="E45" i="13"/>
  <c r="AW6" i="11"/>
  <c r="AW7" i="11"/>
  <c r="AW8" i="11"/>
  <c r="AW9" i="11"/>
  <c r="AW10" i="11"/>
  <c r="AW11" i="11"/>
  <c r="AW12" i="11"/>
  <c r="AW13" i="11"/>
  <c r="AW15" i="11"/>
  <c r="AW16" i="11"/>
  <c r="AW17" i="11"/>
  <c r="AW18" i="11"/>
  <c r="AW19" i="11"/>
  <c r="AW20" i="11"/>
  <c r="AW21" i="11"/>
  <c r="AW22" i="11"/>
  <c r="AW23" i="11"/>
  <c r="AW32" i="11"/>
  <c r="AW33" i="11"/>
  <c r="AW34" i="11"/>
  <c r="AW35" i="11"/>
  <c r="AW36" i="11"/>
  <c r="AW37" i="11"/>
  <c r="AW38" i="11"/>
  <c r="AW39" i="11"/>
  <c r="AW40" i="11"/>
  <c r="AW41" i="11"/>
  <c r="AW42" i="11"/>
  <c r="AW43" i="11"/>
  <c r="AW44" i="11"/>
  <c r="AW46" i="11"/>
  <c r="AW47" i="11"/>
  <c r="AW49" i="11"/>
  <c r="AW51" i="11"/>
  <c r="AW71" i="11"/>
  <c r="AW148" i="11"/>
  <c r="AW149" i="11"/>
  <c r="AW150" i="11"/>
  <c r="AW151" i="11"/>
  <c r="AW152" i="11"/>
  <c r="AW153" i="11"/>
  <c r="AW154" i="11"/>
  <c r="AW155" i="11"/>
  <c r="AW156" i="11"/>
  <c r="AW157" i="11"/>
  <c r="AW158" i="11"/>
  <c r="AW159" i="11"/>
  <c r="AW313" i="11"/>
  <c r="AK5" i="9"/>
  <c r="AK6" i="9"/>
  <c r="AK7" i="9"/>
  <c r="AK8" i="9"/>
  <c r="AK9" i="9"/>
  <c r="AK10" i="9"/>
  <c r="AK11" i="9"/>
  <c r="AK12" i="9"/>
  <c r="AK13" i="9"/>
  <c r="AK14" i="9"/>
  <c r="AK15" i="9"/>
  <c r="AK16" i="9"/>
  <c r="AK17" i="9"/>
  <c r="AK18" i="9"/>
  <c r="AK19" i="9"/>
  <c r="AK20" i="9"/>
  <c r="AK21" i="9"/>
  <c r="AK22" i="9"/>
  <c r="AK23" i="9"/>
  <c r="AK24" i="9"/>
  <c r="AK25" i="9"/>
  <c r="AK26" i="9"/>
  <c r="AK27" i="9"/>
  <c r="AK56" i="9"/>
  <c r="AK57" i="9"/>
  <c r="AK58" i="9"/>
  <c r="AK59" i="9"/>
  <c r="AK60" i="9"/>
  <c r="AJ5" i="14"/>
  <c r="AJ6" i="14"/>
  <c r="AJ7" i="14"/>
  <c r="AJ8" i="14"/>
  <c r="AJ9" i="14"/>
  <c r="AJ10" i="14"/>
  <c r="AJ11" i="14"/>
  <c r="AJ12" i="14"/>
  <c r="AJ13" i="14"/>
  <c r="AJ14" i="14"/>
  <c r="AJ15" i="14"/>
  <c r="AJ16" i="14"/>
  <c r="AJ17" i="14"/>
  <c r="AJ18" i="14"/>
  <c r="AJ19" i="14"/>
  <c r="AJ20" i="14"/>
  <c r="AJ21" i="14"/>
  <c r="AJ22" i="14"/>
  <c r="AJ23" i="14"/>
  <c r="AJ24" i="14"/>
  <c r="AJ26" i="14"/>
  <c r="AJ129" i="14"/>
  <c r="AJ130" i="14"/>
  <c r="AJ140" i="14"/>
  <c r="AJ131" i="14"/>
  <c r="AJ132" i="14"/>
  <c r="AJ142" i="14"/>
  <c r="AJ143" i="14"/>
  <c r="AJ133" i="14"/>
  <c r="AJ134" i="14"/>
  <c r="AJ135" i="14"/>
  <c r="Y132" i="14"/>
  <c r="AA132" i="14" s="1"/>
  <c r="AB132" i="14"/>
  <c r="AC132" i="14"/>
  <c r="AF132" i="14"/>
  <c r="AG132" i="14"/>
  <c r="Y142" i="14"/>
  <c r="AA142" i="14" s="1"/>
  <c r="AB142" i="14"/>
  <c r="AC142" i="14"/>
  <c r="AF142" i="14"/>
  <c r="AG142" i="14"/>
  <c r="Y143" i="14"/>
  <c r="AA143" i="14" s="1"/>
  <c r="AB143" i="14"/>
  <c r="AC143" i="14"/>
  <c r="AF143" i="14"/>
  <c r="AG143" i="14"/>
  <c r="Y133" i="14"/>
  <c r="AA133" i="14" s="1"/>
  <c r="AB133" i="14"/>
  <c r="AC133" i="14"/>
  <c r="AF133" i="14"/>
  <c r="AG133" i="14"/>
  <c r="Y134" i="14"/>
  <c r="Z134" i="14" s="1"/>
  <c r="AB134" i="14"/>
  <c r="AC134" i="14"/>
  <c r="AF134" i="14"/>
  <c r="AG134" i="14"/>
  <c r="AV5" i="10"/>
  <c r="AV6" i="10"/>
  <c r="AV7" i="10"/>
  <c r="AV8" i="10"/>
  <c r="AV9" i="10"/>
  <c r="AV10" i="10"/>
  <c r="AV11" i="10"/>
  <c r="AV12" i="10"/>
  <c r="AV13" i="10"/>
  <c r="AV14" i="10"/>
  <c r="AV15" i="10"/>
  <c r="AV16" i="10"/>
  <c r="AV29" i="10"/>
  <c r="AV30" i="10"/>
  <c r="AV74" i="10"/>
  <c r="AV76" i="10"/>
  <c r="AV143" i="10"/>
  <c r="AV144" i="10"/>
  <c r="AV145" i="10"/>
  <c r="AV146" i="10"/>
  <c r="AV147" i="10"/>
  <c r="AV148" i="10"/>
  <c r="AV149" i="10"/>
  <c r="AV150" i="10"/>
  <c r="AV151" i="10"/>
  <c r="AV152" i="10"/>
  <c r="AV153" i="10"/>
  <c r="AV154" i="10"/>
  <c r="AV310" i="10"/>
  <c r="AP5" i="1"/>
  <c r="AP6" i="1"/>
  <c r="H685" i="1" l="1"/>
  <c r="I684" i="1"/>
  <c r="J684" i="1"/>
  <c r="O684" i="1" s="1"/>
  <c r="AA217" i="12"/>
  <c r="Z217" i="12" s="1"/>
  <c r="AW217" i="12"/>
  <c r="AV217" i="12" s="1"/>
  <c r="AA232" i="12"/>
  <c r="AW232" i="12"/>
  <c r="AV232" i="12" s="1"/>
  <c r="AA218" i="12"/>
  <c r="AW218" i="12"/>
  <c r="AV218" i="12" s="1"/>
  <c r="AA233" i="12"/>
  <c r="AW233" i="12"/>
  <c r="AV233" i="12" s="1"/>
  <c r="AA215" i="12"/>
  <c r="Z215" i="12" s="1"/>
  <c r="AW215" i="12"/>
  <c r="AV215" i="12" s="1"/>
  <c r="AA219" i="12"/>
  <c r="AW219" i="12"/>
  <c r="AV219" i="12" s="1"/>
  <c r="AA216" i="12"/>
  <c r="Z216" i="12" s="1"/>
  <c r="AW216" i="12"/>
  <c r="AV216" i="12" s="1"/>
  <c r="AA220" i="12"/>
  <c r="AW220" i="12"/>
  <c r="AV220" i="12" s="1"/>
  <c r="AL167" i="11"/>
  <c r="AK167" i="11"/>
  <c r="D168" i="11"/>
  <c r="D92" i="11"/>
  <c r="AK88" i="11"/>
  <c r="AL88" i="11"/>
  <c r="D195" i="11"/>
  <c r="AK192" i="11"/>
  <c r="AL192" i="11"/>
  <c r="Z219" i="12"/>
  <c r="D196" i="11"/>
  <c r="AL193" i="11"/>
  <c r="AK193" i="11"/>
  <c r="Z220" i="12"/>
  <c r="AK303" i="11"/>
  <c r="D304" i="11"/>
  <c r="AL303" i="11"/>
  <c r="AL91" i="11"/>
  <c r="AK91" i="11"/>
  <c r="D95" i="11"/>
  <c r="AD115" i="9"/>
  <c r="AC115" i="9"/>
  <c r="D116" i="9"/>
  <c r="AL223" i="11"/>
  <c r="AK223" i="11"/>
  <c r="D224" i="11"/>
  <c r="AL274" i="11"/>
  <c r="D275" i="11"/>
  <c r="AK274" i="11"/>
  <c r="D51" i="9"/>
  <c r="AD50" i="9"/>
  <c r="AC50" i="9"/>
  <c r="D66" i="9"/>
  <c r="AD65" i="9"/>
  <c r="AC65" i="9"/>
  <c r="Z232" i="12"/>
  <c r="AK56" i="11"/>
  <c r="D58" i="11"/>
  <c r="AL56" i="11"/>
  <c r="D243" i="12"/>
  <c r="AA243" i="12"/>
  <c r="Z243" i="12" s="1"/>
  <c r="Z233" i="12"/>
  <c r="AB45" i="14"/>
  <c r="D46" i="14"/>
  <c r="AC45" i="14"/>
  <c r="V45" i="14"/>
  <c r="AK288" i="11"/>
  <c r="AL288" i="11"/>
  <c r="D289" i="11"/>
  <c r="AD38" i="9"/>
  <c r="D39" i="9"/>
  <c r="AC38" i="9"/>
  <c r="Z218" i="12"/>
  <c r="AK89" i="11"/>
  <c r="AL89" i="11"/>
  <c r="D93" i="11"/>
  <c r="D252" i="12"/>
  <c r="AA252" i="12"/>
  <c r="Z252" i="12" s="1"/>
  <c r="D236" i="11"/>
  <c r="AK235" i="11"/>
  <c r="AL235" i="11"/>
  <c r="AK318" i="11"/>
  <c r="AL318" i="11"/>
  <c r="D319" i="11"/>
  <c r="D57" i="11"/>
  <c r="AK55" i="11"/>
  <c r="AL55" i="11"/>
  <c r="AL90" i="11"/>
  <c r="D94" i="11"/>
  <c r="AK90" i="11"/>
  <c r="AB33" i="14"/>
  <c r="D34" i="14"/>
  <c r="AC33" i="14"/>
  <c r="V33" i="14"/>
  <c r="AL191" i="11"/>
  <c r="AK191" i="11"/>
  <c r="D194" i="11"/>
  <c r="AK273" i="10"/>
  <c r="AJ273" i="10"/>
  <c r="D274" i="10"/>
  <c r="AK178" i="10"/>
  <c r="AJ178" i="10"/>
  <c r="E178" i="10"/>
  <c r="D181" i="10"/>
  <c r="AK214" i="10"/>
  <c r="D217" i="10"/>
  <c r="E214" i="10"/>
  <c r="AJ214" i="10"/>
  <c r="D216" i="10"/>
  <c r="E213" i="10"/>
  <c r="AJ213" i="10"/>
  <c r="AK213" i="10"/>
  <c r="AO176" i="10"/>
  <c r="AN176" i="10"/>
  <c r="AA176" i="10"/>
  <c r="AN175" i="10"/>
  <c r="AO175" i="10"/>
  <c r="AA175" i="10"/>
  <c r="AO210" i="10"/>
  <c r="AN210" i="10"/>
  <c r="AA210" i="10"/>
  <c r="AO212" i="10"/>
  <c r="AN212" i="10"/>
  <c r="AA212" i="10"/>
  <c r="E177" i="10"/>
  <c r="D180" i="10"/>
  <c r="AK177" i="10"/>
  <c r="AJ177" i="10"/>
  <c r="AK179" i="10"/>
  <c r="E179" i="10"/>
  <c r="D182" i="10"/>
  <c r="AJ179" i="10"/>
  <c r="AN211" i="10"/>
  <c r="AO211" i="10"/>
  <c r="AA211" i="10"/>
  <c r="AK215" i="10"/>
  <c r="D218" i="10"/>
  <c r="E215" i="10"/>
  <c r="AJ215" i="10"/>
  <c r="AA174" i="10"/>
  <c r="AN174" i="10"/>
  <c r="AO174" i="10"/>
  <c r="X1" i="19"/>
  <c r="W2" i="19"/>
  <c r="W3" i="19" s="1"/>
  <c r="AS239" i="10"/>
  <c r="X237" i="10"/>
  <c r="AS237" i="10"/>
  <c r="X239" i="10"/>
  <c r="X200" i="10"/>
  <c r="AS199" i="10"/>
  <c r="AS200" i="10"/>
  <c r="U203" i="10"/>
  <c r="U202" i="10"/>
  <c r="X199" i="10"/>
  <c r="G130" i="1"/>
  <c r="AP130" i="1" s="1"/>
  <c r="AE90" i="1"/>
  <c r="J129" i="1"/>
  <c r="O129" i="1" s="1"/>
  <c r="X129" i="1" s="1"/>
  <c r="X48" i="1"/>
  <c r="D70" i="1"/>
  <c r="D71" i="1" s="1"/>
  <c r="E72" i="1"/>
  <c r="AJ72" i="1" s="1"/>
  <c r="AF72" i="1"/>
  <c r="D73" i="1"/>
  <c r="D74" i="1" s="1"/>
  <c r="AE93" i="1"/>
  <c r="AF93" i="1"/>
  <c r="D94" i="1"/>
  <c r="D97" i="1"/>
  <c r="AF96" i="1"/>
  <c r="E96" i="1"/>
  <c r="AE96" i="1"/>
  <c r="X88" i="1"/>
  <c r="U88" i="1"/>
  <c r="J89" i="1"/>
  <c r="O89" i="1" s="1"/>
  <c r="I89" i="1"/>
  <c r="AF130" i="1"/>
  <c r="AE130" i="1"/>
  <c r="AJ136" i="1"/>
  <c r="AI136" i="1"/>
  <c r="AI148" i="1"/>
  <c r="AJ148" i="1"/>
  <c r="AE145" i="1"/>
  <c r="AF145" i="1"/>
  <c r="E145" i="1"/>
  <c r="I131" i="1"/>
  <c r="AF134" i="1"/>
  <c r="D135" i="1"/>
  <c r="AE134" i="1"/>
  <c r="AF149" i="1"/>
  <c r="D150" i="1"/>
  <c r="AE149" i="1"/>
  <c r="AI144" i="1"/>
  <c r="AJ144" i="1"/>
  <c r="AF152" i="1"/>
  <c r="E152" i="1"/>
  <c r="D153" i="1"/>
  <c r="AE152" i="1"/>
  <c r="AI160" i="1"/>
  <c r="AJ160" i="1"/>
  <c r="AO128" i="1"/>
  <c r="D138" i="1"/>
  <c r="AF137" i="1"/>
  <c r="AE137" i="1"/>
  <c r="AF121" i="1"/>
  <c r="AE121" i="1"/>
  <c r="D113" i="1"/>
  <c r="E112" i="1"/>
  <c r="AF112" i="1"/>
  <c r="AE112" i="1"/>
  <c r="AJ119" i="1"/>
  <c r="AI119" i="1"/>
  <c r="AE105" i="1"/>
  <c r="AF105" i="1"/>
  <c r="E105" i="1"/>
  <c r="AP92" i="1"/>
  <c r="AJ108" i="1"/>
  <c r="AI108" i="1"/>
  <c r="AJ104" i="1"/>
  <c r="AI104" i="1"/>
  <c r="AE120" i="1"/>
  <c r="AF120" i="1"/>
  <c r="E120" i="1"/>
  <c r="D110" i="1"/>
  <c r="AE109" i="1"/>
  <c r="AF109" i="1"/>
  <c r="D54" i="1"/>
  <c r="AE53" i="1"/>
  <c r="AF53" i="1"/>
  <c r="AJ65" i="1"/>
  <c r="AI65" i="1"/>
  <c r="X49" i="1"/>
  <c r="U49" i="1"/>
  <c r="AE50" i="1"/>
  <c r="AF50" i="1"/>
  <c r="J51" i="1"/>
  <c r="O51" i="1" s="1"/>
  <c r="I50" i="1"/>
  <c r="AP52" i="1"/>
  <c r="J50" i="1"/>
  <c r="O50" i="1" s="1"/>
  <c r="D57" i="1"/>
  <c r="AE56" i="1"/>
  <c r="E56" i="1"/>
  <c r="AF56" i="1"/>
  <c r="AI80" i="1"/>
  <c r="AJ80" i="1"/>
  <c r="AE15" i="1"/>
  <c r="AJ24" i="1"/>
  <c r="AF35" i="1"/>
  <c r="AF170" i="1"/>
  <c r="D191" i="1"/>
  <c r="AF190" i="1"/>
  <c r="AE190" i="1"/>
  <c r="E25" i="1"/>
  <c r="AF25" i="1"/>
  <c r="AI189" i="1"/>
  <c r="AJ189" i="1"/>
  <c r="D188" i="1"/>
  <c r="AF187" i="1"/>
  <c r="AE187" i="1"/>
  <c r="D174" i="1"/>
  <c r="AE173" i="1"/>
  <c r="AF173" i="1"/>
  <c r="D177" i="1"/>
  <c r="AE176" i="1"/>
  <c r="E176" i="1"/>
  <c r="AF176" i="1"/>
  <c r="AM167" i="1"/>
  <c r="Y167" i="1"/>
  <c r="I170" i="1"/>
  <c r="U168" i="1"/>
  <c r="X168" i="1"/>
  <c r="J169" i="1"/>
  <c r="O169" i="1" s="1"/>
  <c r="AP170" i="1"/>
  <c r="I10" i="1"/>
  <c r="J11" i="1"/>
  <c r="O11" i="1" s="1"/>
  <c r="AP12" i="1"/>
  <c r="U10" i="1"/>
  <c r="AO10" i="1" s="1"/>
  <c r="X10" i="1"/>
  <c r="AJ40" i="1"/>
  <c r="AI40" i="1"/>
  <c r="AE41" i="1"/>
  <c r="AF41" i="1"/>
  <c r="AE10" i="1"/>
  <c r="AF10" i="1"/>
  <c r="AJ39" i="1"/>
  <c r="AI39" i="1"/>
  <c r="AF18" i="1"/>
  <c r="AE18" i="1"/>
  <c r="D19" i="1"/>
  <c r="D20" i="1" s="1"/>
  <c r="AF31" i="1"/>
  <c r="AE31" i="1"/>
  <c r="T77" i="16"/>
  <c r="AD174" i="13"/>
  <c r="AD178" i="13"/>
  <c r="AD182" i="13"/>
  <c r="AD175" i="13"/>
  <c r="AD179" i="13"/>
  <c r="AD183" i="13"/>
  <c r="V76" i="16"/>
  <c r="T75" i="16"/>
  <c r="V52" i="16"/>
  <c r="V53" i="16"/>
  <c r="V73" i="16"/>
  <c r="V71" i="16"/>
  <c r="T74" i="16"/>
  <c r="T40" i="16"/>
  <c r="V72" i="16"/>
  <c r="V5" i="16"/>
  <c r="M5" i="16" s="1"/>
  <c r="T42" i="16"/>
  <c r="T47" i="16"/>
  <c r="T48" i="16"/>
  <c r="T49" i="16"/>
  <c r="T45" i="16"/>
  <c r="T50" i="16"/>
  <c r="T41" i="16"/>
  <c r="T43" i="16"/>
  <c r="T39" i="16"/>
  <c r="T46" i="16"/>
  <c r="Z143" i="14"/>
  <c r="Z142" i="14"/>
  <c r="Z132" i="14"/>
  <c r="Z133" i="14"/>
  <c r="AA134" i="14"/>
  <c r="D236" i="12"/>
  <c r="D228" i="12"/>
  <c r="E214" i="12"/>
  <c r="E206" i="12"/>
  <c r="E205" i="12"/>
  <c r="E204" i="12"/>
  <c r="E203" i="12"/>
  <c r="E202" i="12"/>
  <c r="E201" i="12"/>
  <c r="E200" i="12"/>
  <c r="E199" i="12"/>
  <c r="E198" i="12"/>
  <c r="E197" i="12"/>
  <c r="E196" i="12"/>
  <c r="D207" i="12"/>
  <c r="E195" i="12"/>
  <c r="E194" i="12"/>
  <c r="E193" i="12"/>
  <c r="E192" i="12"/>
  <c r="E191" i="12"/>
  <c r="E190" i="12"/>
  <c r="E189" i="12"/>
  <c r="E188" i="12"/>
  <c r="E187" i="12"/>
  <c r="E186" i="12"/>
  <c r="G131" i="1" l="1"/>
  <c r="AP131" i="1" s="1"/>
  <c r="I685" i="1"/>
  <c r="H686" i="1"/>
  <c r="J685" i="1"/>
  <c r="O685" i="1" s="1"/>
  <c r="AA186" i="12"/>
  <c r="Z186" i="12" s="1"/>
  <c r="AW186" i="12"/>
  <c r="AV186" i="12" s="1"/>
  <c r="AA195" i="12"/>
  <c r="Z195" i="12" s="1"/>
  <c r="AW195" i="12"/>
  <c r="AV195" i="12" s="1"/>
  <c r="AA192" i="12"/>
  <c r="Z192" i="12" s="1"/>
  <c r="AW192" i="12"/>
  <c r="AV192" i="12" s="1"/>
  <c r="AA199" i="12"/>
  <c r="Z199" i="12" s="1"/>
  <c r="AW199" i="12"/>
  <c r="AV199" i="12" s="1"/>
  <c r="AA203" i="12"/>
  <c r="Z203" i="12" s="1"/>
  <c r="AW203" i="12"/>
  <c r="AV203" i="12" s="1"/>
  <c r="AA214" i="12"/>
  <c r="AW214" i="12"/>
  <c r="AV214" i="12" s="1"/>
  <c r="AA187" i="12"/>
  <c r="Z187" i="12" s="1"/>
  <c r="AW187" i="12"/>
  <c r="AV187" i="12" s="1"/>
  <c r="AA198" i="12"/>
  <c r="Z198" i="12" s="1"/>
  <c r="AW198" i="12"/>
  <c r="AV198" i="12" s="1"/>
  <c r="AA188" i="12"/>
  <c r="Z188" i="12" s="1"/>
  <c r="AW188" i="12"/>
  <c r="AV188" i="12" s="1"/>
  <c r="AA189" i="12"/>
  <c r="Z189" i="12" s="1"/>
  <c r="AW189" i="12"/>
  <c r="AV189" i="12" s="1"/>
  <c r="AA193" i="12"/>
  <c r="Z193" i="12" s="1"/>
  <c r="AW193" i="12"/>
  <c r="AV193" i="12" s="1"/>
  <c r="AA196" i="12"/>
  <c r="Z196" i="12" s="1"/>
  <c r="AW196" i="12"/>
  <c r="AV196" i="12" s="1"/>
  <c r="AA200" i="12"/>
  <c r="Z200" i="12" s="1"/>
  <c r="AW200" i="12"/>
  <c r="AV200" i="12" s="1"/>
  <c r="AA204" i="12"/>
  <c r="Z204" i="12" s="1"/>
  <c r="AW204" i="12"/>
  <c r="AV204" i="12" s="1"/>
  <c r="AA194" i="12"/>
  <c r="Z194" i="12" s="1"/>
  <c r="AW194" i="12"/>
  <c r="AV194" i="12" s="1"/>
  <c r="AA197" i="12"/>
  <c r="Z197" i="12" s="1"/>
  <c r="AW197" i="12"/>
  <c r="AV197" i="12" s="1"/>
  <c r="AA201" i="12"/>
  <c r="Z201" i="12" s="1"/>
  <c r="AW201" i="12"/>
  <c r="AV201" i="12" s="1"/>
  <c r="AA205" i="12"/>
  <c r="Z205" i="12" s="1"/>
  <c r="AW205" i="12"/>
  <c r="AV205" i="12" s="1"/>
  <c r="AA190" i="12"/>
  <c r="Z190" i="12" s="1"/>
  <c r="AW190" i="12"/>
  <c r="AV190" i="12" s="1"/>
  <c r="AA191" i="12"/>
  <c r="Z191" i="12" s="1"/>
  <c r="AW191" i="12"/>
  <c r="AV191" i="12" s="1"/>
  <c r="AA202" i="12"/>
  <c r="Z202" i="12" s="1"/>
  <c r="AW202" i="12"/>
  <c r="AV202" i="12" s="1"/>
  <c r="AA206" i="12"/>
  <c r="Z206" i="12" s="1"/>
  <c r="AW206" i="12"/>
  <c r="AV206" i="12" s="1"/>
  <c r="AL194" i="11"/>
  <c r="D197" i="11"/>
  <c r="AK194" i="11"/>
  <c r="AB34" i="14"/>
  <c r="AC34" i="14"/>
  <c r="D35" i="14"/>
  <c r="V34" i="14"/>
  <c r="D98" i="11"/>
  <c r="AL94" i="11"/>
  <c r="AK94" i="11"/>
  <c r="AC39" i="9"/>
  <c r="D40" i="9"/>
  <c r="AD39" i="9"/>
  <c r="D276" i="11"/>
  <c r="AL275" i="11"/>
  <c r="AK275" i="11"/>
  <c r="AK224" i="11"/>
  <c r="D225" i="11"/>
  <c r="AL224" i="11"/>
  <c r="Z214" i="12"/>
  <c r="AL168" i="11"/>
  <c r="D169" i="11"/>
  <c r="AK168" i="11"/>
  <c r="J130" i="1"/>
  <c r="O130" i="1" s="1"/>
  <c r="U130" i="1" s="1"/>
  <c r="AL95" i="11"/>
  <c r="AK95" i="11"/>
  <c r="D99" i="11"/>
  <c r="AK319" i="11"/>
  <c r="D320" i="11"/>
  <c r="AL319" i="11"/>
  <c r="AL58" i="11"/>
  <c r="AK58" i="11"/>
  <c r="D60" i="11"/>
  <c r="AD66" i="9"/>
  <c r="AC66" i="9"/>
  <c r="D67" i="9"/>
  <c r="AC116" i="9"/>
  <c r="D117" i="9"/>
  <c r="AD116" i="9"/>
  <c r="AK304" i="11"/>
  <c r="D305" i="11"/>
  <c r="AL304" i="11"/>
  <c r="AK57" i="11"/>
  <c r="AL57" i="11"/>
  <c r="D59" i="11"/>
  <c r="AK236" i="11"/>
  <c r="D237" i="11"/>
  <c r="AL236" i="11"/>
  <c r="AK93" i="11"/>
  <c r="D97" i="11"/>
  <c r="AL93" i="11"/>
  <c r="AD51" i="9"/>
  <c r="AC51" i="9"/>
  <c r="D52" i="9"/>
  <c r="AL195" i="11"/>
  <c r="AK195" i="11"/>
  <c r="D198" i="11"/>
  <c r="AL92" i="11"/>
  <c r="D96" i="11"/>
  <c r="AK92" i="11"/>
  <c r="AK289" i="11"/>
  <c r="AL289" i="11"/>
  <c r="D290" i="11"/>
  <c r="AC46" i="14"/>
  <c r="AB46" i="14"/>
  <c r="D47" i="14"/>
  <c r="V46" i="14"/>
  <c r="D199" i="11"/>
  <c r="AL196" i="11"/>
  <c r="AK196" i="11"/>
  <c r="D183" i="10"/>
  <c r="AK180" i="10"/>
  <c r="E180" i="10"/>
  <c r="AJ180" i="10"/>
  <c r="D184" i="10"/>
  <c r="AK181" i="10"/>
  <c r="E181" i="10"/>
  <c r="AJ181" i="10"/>
  <c r="D275" i="10"/>
  <c r="AK274" i="10"/>
  <c r="AJ274" i="10"/>
  <c r="AJ218" i="10"/>
  <c r="E218" i="10"/>
  <c r="AK218" i="10"/>
  <c r="D221" i="10"/>
  <c r="AK182" i="10"/>
  <c r="D185" i="10"/>
  <c r="AJ182" i="10"/>
  <c r="E182" i="10"/>
  <c r="AO213" i="10"/>
  <c r="AN213" i="10"/>
  <c r="AA213" i="10"/>
  <c r="AK217" i="10"/>
  <c r="E217" i="10"/>
  <c r="D220" i="10"/>
  <c r="AJ217" i="10"/>
  <c r="AN215" i="10"/>
  <c r="AO215" i="10"/>
  <c r="AA215" i="10"/>
  <c r="AA177" i="10"/>
  <c r="AO177" i="10"/>
  <c r="AN177" i="10"/>
  <c r="AO214" i="10"/>
  <c r="AN214" i="10"/>
  <c r="AA214" i="10"/>
  <c r="AN178" i="10"/>
  <c r="AO178" i="10"/>
  <c r="AA178" i="10"/>
  <c r="AN179" i="10"/>
  <c r="AO179" i="10"/>
  <c r="AA179" i="10"/>
  <c r="E216" i="10"/>
  <c r="AJ216" i="10"/>
  <c r="AK216" i="10"/>
  <c r="D219" i="10"/>
  <c r="X2" i="19"/>
  <c r="X3" i="19" s="1"/>
  <c r="Y1" i="19"/>
  <c r="X202" i="10"/>
  <c r="AS203" i="10"/>
  <c r="AS202" i="10"/>
  <c r="X203" i="10"/>
  <c r="U129" i="1"/>
  <c r="AO129" i="1" s="1"/>
  <c r="AF70" i="1"/>
  <c r="AE70" i="1"/>
  <c r="AI72" i="1"/>
  <c r="AF73" i="1"/>
  <c r="AE73" i="1"/>
  <c r="AJ96" i="1"/>
  <c r="AI96" i="1"/>
  <c r="AF97" i="1"/>
  <c r="AE97" i="1"/>
  <c r="D98" i="1"/>
  <c r="AE94" i="1"/>
  <c r="AF94" i="1"/>
  <c r="D95" i="1"/>
  <c r="J90" i="1"/>
  <c r="O90" i="1" s="1"/>
  <c r="I90" i="1"/>
  <c r="AO88" i="1"/>
  <c r="U89" i="1"/>
  <c r="X89" i="1"/>
  <c r="D151" i="1"/>
  <c r="AF150" i="1"/>
  <c r="AE150" i="1"/>
  <c r="I132" i="1"/>
  <c r="AF135" i="1"/>
  <c r="AE135" i="1"/>
  <c r="D154" i="1"/>
  <c r="AE153" i="1"/>
  <c r="AF153" i="1"/>
  <c r="AF138" i="1"/>
  <c r="D139" i="1"/>
  <c r="AE138" i="1"/>
  <c r="AJ152" i="1"/>
  <c r="AI152" i="1"/>
  <c r="AI145" i="1"/>
  <c r="AJ145" i="1"/>
  <c r="G132" i="1"/>
  <c r="AP132" i="1" s="1"/>
  <c r="J131" i="1"/>
  <c r="O131" i="1" s="1"/>
  <c r="AJ120" i="1"/>
  <c r="AI120" i="1"/>
  <c r="AI112" i="1"/>
  <c r="AJ112" i="1"/>
  <c r="D111" i="1"/>
  <c r="AF110" i="1"/>
  <c r="AE110" i="1"/>
  <c r="AP93" i="1"/>
  <c r="AI105" i="1"/>
  <c r="AJ105" i="1"/>
  <c r="D114" i="1"/>
  <c r="AE113" i="1"/>
  <c r="AF113" i="1"/>
  <c r="S51" i="1"/>
  <c r="V51" i="1"/>
  <c r="X50" i="1"/>
  <c r="U50" i="1"/>
  <c r="AP53" i="1"/>
  <c r="AO49" i="1"/>
  <c r="AF74" i="1"/>
  <c r="D75" i="1"/>
  <c r="AE74" i="1"/>
  <c r="AF57" i="1"/>
  <c r="AE57" i="1"/>
  <c r="D58" i="1"/>
  <c r="AF71" i="1"/>
  <c r="AE71" i="1"/>
  <c r="AI56" i="1"/>
  <c r="AJ56" i="1"/>
  <c r="AF54" i="1"/>
  <c r="D55" i="1"/>
  <c r="AE54" i="1"/>
  <c r="I51" i="1"/>
  <c r="D192" i="1"/>
  <c r="AF191" i="1"/>
  <c r="AE191" i="1"/>
  <c r="AF188" i="1"/>
  <c r="AE188" i="1"/>
  <c r="AI25" i="1"/>
  <c r="AJ25" i="1"/>
  <c r="AI176" i="1"/>
  <c r="AJ176" i="1"/>
  <c r="J170" i="1"/>
  <c r="O170" i="1" s="1"/>
  <c r="AP171" i="1"/>
  <c r="AF177" i="1"/>
  <c r="AE177" i="1"/>
  <c r="D178" i="1"/>
  <c r="AO168" i="1"/>
  <c r="U169" i="1"/>
  <c r="X169" i="1"/>
  <c r="I171" i="1"/>
  <c r="AF174" i="1"/>
  <c r="D175" i="1"/>
  <c r="AE174" i="1"/>
  <c r="I11" i="1"/>
  <c r="J12" i="1"/>
  <c r="O12" i="1" s="1"/>
  <c r="S11" i="1"/>
  <c r="V11" i="1"/>
  <c r="AP13" i="1"/>
  <c r="AI41" i="1"/>
  <c r="AJ41" i="1"/>
  <c r="AF20" i="1"/>
  <c r="AE20" i="1"/>
  <c r="D21" i="1"/>
  <c r="AF19" i="1"/>
  <c r="AE19" i="1"/>
  <c r="P5" i="16"/>
  <c r="D186" i="12"/>
  <c r="D190" i="12"/>
  <c r="D194" i="12"/>
  <c r="D187" i="12"/>
  <c r="D195" i="12"/>
  <c r="D199" i="12"/>
  <c r="D203" i="12"/>
  <c r="D214" i="12"/>
  <c r="D218" i="12"/>
  <c r="D222" i="12"/>
  <c r="D227" i="12"/>
  <c r="D231" i="12"/>
  <c r="D235" i="12"/>
  <c r="D191" i="12"/>
  <c r="D193" i="12"/>
  <c r="D196" i="12"/>
  <c r="D200" i="12"/>
  <c r="D223" i="12"/>
  <c r="D215" i="12"/>
  <c r="D232" i="12"/>
  <c r="D219" i="12"/>
  <c r="D216" i="12"/>
  <c r="D220" i="12"/>
  <c r="D224" i="12"/>
  <c r="D229" i="12"/>
  <c r="D233" i="12"/>
  <c r="D217" i="12"/>
  <c r="D221" i="12"/>
  <c r="D226" i="12"/>
  <c r="D230" i="12"/>
  <c r="D234" i="12"/>
  <c r="D204" i="12"/>
  <c r="D205" i="12"/>
  <c r="D206" i="12"/>
  <c r="D197" i="12"/>
  <c r="D201" i="12"/>
  <c r="D198" i="12"/>
  <c r="D202" i="12"/>
  <c r="D188" i="12"/>
  <c r="D192" i="12"/>
  <c r="D189" i="12"/>
  <c r="E177" i="12"/>
  <c r="E176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2" i="12"/>
  <c r="E151" i="12"/>
  <c r="E150" i="12"/>
  <c r="E149" i="12"/>
  <c r="E148" i="12"/>
  <c r="E147" i="12"/>
  <c r="E146" i="12"/>
  <c r="E145" i="12"/>
  <c r="E144" i="12"/>
  <c r="E143" i="12"/>
  <c r="E142" i="12"/>
  <c r="E133" i="12"/>
  <c r="E132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08" i="12"/>
  <c r="E107" i="12"/>
  <c r="E106" i="12"/>
  <c r="E105" i="12"/>
  <c r="E104" i="12"/>
  <c r="E103" i="12"/>
  <c r="E102" i="12"/>
  <c r="E101" i="12"/>
  <c r="E100" i="12"/>
  <c r="E99" i="12"/>
  <c r="E98" i="12"/>
  <c r="R46" i="12"/>
  <c r="R45" i="12"/>
  <c r="R44" i="12"/>
  <c r="R43" i="12"/>
  <c r="D79" i="12"/>
  <c r="E85" i="12"/>
  <c r="E84" i="12"/>
  <c r="E83" i="12"/>
  <c r="E82" i="12"/>
  <c r="E81" i="12"/>
  <c r="E80" i="12"/>
  <c r="E75" i="12"/>
  <c r="D46" i="12"/>
  <c r="D45" i="12"/>
  <c r="D44" i="12"/>
  <c r="D43" i="12"/>
  <c r="J5" i="1"/>
  <c r="J8" i="1" s="1"/>
  <c r="O8" i="1" s="1"/>
  <c r="J6" i="1"/>
  <c r="E56" i="12"/>
  <c r="E55" i="12"/>
  <c r="E54" i="12"/>
  <c r="E53" i="12"/>
  <c r="E52" i="12"/>
  <c r="E51" i="12"/>
  <c r="E50" i="12"/>
  <c r="E49" i="12"/>
  <c r="E48" i="12"/>
  <c r="E47" i="12"/>
  <c r="E42" i="12"/>
  <c r="I686" i="1" l="1"/>
  <c r="J686" i="1"/>
  <c r="O686" i="1" s="1"/>
  <c r="H687" i="1"/>
  <c r="X130" i="1"/>
  <c r="AA48" i="12"/>
  <c r="AW48" i="12"/>
  <c r="AA52" i="12"/>
  <c r="AW52" i="12"/>
  <c r="AA56" i="12"/>
  <c r="AW56" i="12"/>
  <c r="AA49" i="12"/>
  <c r="AW49" i="12"/>
  <c r="AA53" i="12"/>
  <c r="AW53" i="12"/>
  <c r="AA81" i="12"/>
  <c r="AW81" i="12"/>
  <c r="AA85" i="12"/>
  <c r="AW85" i="12"/>
  <c r="AA100" i="12"/>
  <c r="AW100" i="12"/>
  <c r="AV100" i="12" s="1"/>
  <c r="AA104" i="12"/>
  <c r="AW104" i="12"/>
  <c r="AV104" i="12" s="1"/>
  <c r="AA118" i="12"/>
  <c r="AW118" i="12"/>
  <c r="AV118" i="12" s="1"/>
  <c r="AA126" i="12"/>
  <c r="AW126" i="12"/>
  <c r="AV126" i="12" s="1"/>
  <c r="AA144" i="12"/>
  <c r="AW144" i="12"/>
  <c r="AV144" i="12" s="1"/>
  <c r="AA161" i="12"/>
  <c r="AW161" i="12"/>
  <c r="AV161" i="12" s="1"/>
  <c r="AA169" i="12"/>
  <c r="AW169" i="12"/>
  <c r="AV169" i="12" s="1"/>
  <c r="AA101" i="12"/>
  <c r="AW101" i="12"/>
  <c r="AV101" i="12" s="1"/>
  <c r="AA105" i="12"/>
  <c r="AW105" i="12"/>
  <c r="AV105" i="12" s="1"/>
  <c r="AA115" i="12"/>
  <c r="AW115" i="12"/>
  <c r="AV115" i="12" s="1"/>
  <c r="AA119" i="12"/>
  <c r="AW119" i="12"/>
  <c r="AV119" i="12" s="1"/>
  <c r="AA123" i="12"/>
  <c r="AW123" i="12"/>
  <c r="AV123" i="12" s="1"/>
  <c r="AA127" i="12"/>
  <c r="AW127" i="12"/>
  <c r="AV127" i="12" s="1"/>
  <c r="AA133" i="12"/>
  <c r="AW133" i="12"/>
  <c r="AA145" i="12"/>
  <c r="AW145" i="12"/>
  <c r="AV145" i="12" s="1"/>
  <c r="AA149" i="12"/>
  <c r="AW149" i="12"/>
  <c r="AV149" i="12" s="1"/>
  <c r="AA158" i="12"/>
  <c r="AW158" i="12"/>
  <c r="AV158" i="12" s="1"/>
  <c r="AA162" i="12"/>
  <c r="AW162" i="12"/>
  <c r="AV162" i="12" s="1"/>
  <c r="AA166" i="12"/>
  <c r="AW166" i="12"/>
  <c r="AV166" i="12" s="1"/>
  <c r="AA170" i="12"/>
  <c r="AW170" i="12"/>
  <c r="AV170" i="12" s="1"/>
  <c r="AA176" i="12"/>
  <c r="AW176" i="12"/>
  <c r="AA108" i="12"/>
  <c r="AW108" i="12"/>
  <c r="AV108" i="12" s="1"/>
  <c r="AA122" i="12"/>
  <c r="AW122" i="12"/>
  <c r="AV122" i="12" s="1"/>
  <c r="AA132" i="12"/>
  <c r="AW132" i="12"/>
  <c r="AA148" i="12"/>
  <c r="AW148" i="12"/>
  <c r="AV148" i="12" s="1"/>
  <c r="AA152" i="12"/>
  <c r="AW152" i="12"/>
  <c r="AV152" i="12" s="1"/>
  <c r="AA165" i="12"/>
  <c r="AW165" i="12"/>
  <c r="AV165" i="12" s="1"/>
  <c r="AA173" i="12"/>
  <c r="AW173" i="12"/>
  <c r="AV173" i="12" s="1"/>
  <c r="AA42" i="12"/>
  <c r="AW42" i="12"/>
  <c r="AA50" i="12"/>
  <c r="AW50" i="12"/>
  <c r="AA54" i="12"/>
  <c r="AW54" i="12"/>
  <c r="AA82" i="12"/>
  <c r="AW82" i="12"/>
  <c r="AA47" i="12"/>
  <c r="AW47" i="12"/>
  <c r="AA51" i="12"/>
  <c r="AW51" i="12"/>
  <c r="AA55" i="12"/>
  <c r="AW55" i="12"/>
  <c r="AA75" i="12"/>
  <c r="Z75" i="12" s="1"/>
  <c r="AW75" i="12"/>
  <c r="AV75" i="12" s="1"/>
  <c r="AA83" i="12"/>
  <c r="AW83" i="12"/>
  <c r="AA98" i="12"/>
  <c r="AW98" i="12"/>
  <c r="AV98" i="12" s="1"/>
  <c r="AA102" i="12"/>
  <c r="AW102" i="12"/>
  <c r="AV102" i="12" s="1"/>
  <c r="AA106" i="12"/>
  <c r="AW106" i="12"/>
  <c r="AV106" i="12" s="1"/>
  <c r="AA116" i="12"/>
  <c r="AW116" i="12"/>
  <c r="AV116" i="12" s="1"/>
  <c r="AA120" i="12"/>
  <c r="AW120" i="12"/>
  <c r="AV120" i="12" s="1"/>
  <c r="AA124" i="12"/>
  <c r="AW124" i="12"/>
  <c r="AV124" i="12" s="1"/>
  <c r="AA128" i="12"/>
  <c r="AW128" i="12"/>
  <c r="AV128" i="12" s="1"/>
  <c r="AA142" i="12"/>
  <c r="AW142" i="12"/>
  <c r="AV142" i="12" s="1"/>
  <c r="AA146" i="12"/>
  <c r="AW146" i="12"/>
  <c r="AV146" i="12" s="1"/>
  <c r="AA150" i="12"/>
  <c r="AW150" i="12"/>
  <c r="AV150" i="12" s="1"/>
  <c r="AA159" i="12"/>
  <c r="AW159" i="12"/>
  <c r="AV159" i="12" s="1"/>
  <c r="AA163" i="12"/>
  <c r="AW163" i="12"/>
  <c r="AV163" i="12" s="1"/>
  <c r="AA167" i="12"/>
  <c r="AW167" i="12"/>
  <c r="AV167" i="12" s="1"/>
  <c r="AA171" i="12"/>
  <c r="AW171" i="12"/>
  <c r="AV171" i="12" s="1"/>
  <c r="AA177" i="12"/>
  <c r="AW177" i="12"/>
  <c r="AA80" i="12"/>
  <c r="AW80" i="12"/>
  <c r="AA84" i="12"/>
  <c r="AW84" i="12"/>
  <c r="AA99" i="12"/>
  <c r="AW99" i="12"/>
  <c r="AV99" i="12" s="1"/>
  <c r="AA103" i="12"/>
  <c r="AW103" i="12"/>
  <c r="AV103" i="12" s="1"/>
  <c r="AA107" i="12"/>
  <c r="AW107" i="12"/>
  <c r="AV107" i="12" s="1"/>
  <c r="AA117" i="12"/>
  <c r="AW117" i="12"/>
  <c r="AV117" i="12" s="1"/>
  <c r="AA121" i="12"/>
  <c r="AW121" i="12"/>
  <c r="AV121" i="12" s="1"/>
  <c r="AA125" i="12"/>
  <c r="AW125" i="12"/>
  <c r="AV125" i="12" s="1"/>
  <c r="AA129" i="12"/>
  <c r="AW129" i="12"/>
  <c r="AV129" i="12" s="1"/>
  <c r="AA143" i="12"/>
  <c r="AW143" i="12"/>
  <c r="AV143" i="12" s="1"/>
  <c r="AA147" i="12"/>
  <c r="AW147" i="12"/>
  <c r="AV147" i="12" s="1"/>
  <c r="AA151" i="12"/>
  <c r="AW151" i="12"/>
  <c r="AV151" i="12" s="1"/>
  <c r="AA160" i="12"/>
  <c r="AW160" i="12"/>
  <c r="AV160" i="12" s="1"/>
  <c r="AA164" i="12"/>
  <c r="AW164" i="12"/>
  <c r="AV164" i="12" s="1"/>
  <c r="AA168" i="12"/>
  <c r="AW168" i="12"/>
  <c r="AV168" i="12" s="1"/>
  <c r="AA172" i="12"/>
  <c r="AW172" i="12"/>
  <c r="AV172" i="12" s="1"/>
  <c r="Z119" i="12"/>
  <c r="Z166" i="12"/>
  <c r="D118" i="9"/>
  <c r="AD117" i="9"/>
  <c r="AC117" i="9"/>
  <c r="AL60" i="11"/>
  <c r="D62" i="11"/>
  <c r="AK60" i="11"/>
  <c r="AL99" i="11"/>
  <c r="D103" i="11"/>
  <c r="AK99" i="11"/>
  <c r="D102" i="11"/>
  <c r="AK98" i="11"/>
  <c r="AL98" i="11"/>
  <c r="AN51" i="12"/>
  <c r="Z51" i="12"/>
  <c r="Z98" i="12"/>
  <c r="Z106" i="12"/>
  <c r="Z120" i="12"/>
  <c r="Z128" i="12"/>
  <c r="Z146" i="12"/>
  <c r="Z159" i="12"/>
  <c r="Z167" i="12"/>
  <c r="AK199" i="11"/>
  <c r="AL199" i="11"/>
  <c r="D202" i="11"/>
  <c r="D53" i="9"/>
  <c r="AD52" i="9"/>
  <c r="AC52" i="9"/>
  <c r="D101" i="11"/>
  <c r="AK97" i="11"/>
  <c r="AL97" i="11"/>
  <c r="D238" i="11"/>
  <c r="AK237" i="11"/>
  <c r="AL237" i="11"/>
  <c r="AN49" i="12"/>
  <c r="Z49" i="12"/>
  <c r="Z118" i="12"/>
  <c r="Z52" i="12"/>
  <c r="AN52" i="12"/>
  <c r="Z99" i="12"/>
  <c r="Z107" i="12"/>
  <c r="Z121" i="12"/>
  <c r="Z129" i="12"/>
  <c r="Z147" i="12"/>
  <c r="Z160" i="12"/>
  <c r="Z168" i="12"/>
  <c r="D306" i="11"/>
  <c r="AL305" i="11"/>
  <c r="AK305" i="11"/>
  <c r="AD67" i="9"/>
  <c r="D68" i="9"/>
  <c r="AC67" i="9"/>
  <c r="AK169" i="11"/>
  <c r="D170" i="11"/>
  <c r="AL169" i="11"/>
  <c r="AN50" i="12"/>
  <c r="Z50" i="12"/>
  <c r="Z127" i="12"/>
  <c r="AN53" i="12"/>
  <c r="Z53" i="12"/>
  <c r="Z100" i="12"/>
  <c r="Z148" i="12"/>
  <c r="AL290" i="11"/>
  <c r="D291" i="11"/>
  <c r="AK290" i="11"/>
  <c r="D321" i="11"/>
  <c r="AK320" i="11"/>
  <c r="AL320" i="11"/>
  <c r="D277" i="11"/>
  <c r="AK276" i="11"/>
  <c r="AL276" i="11"/>
  <c r="D36" i="14"/>
  <c r="AB35" i="14"/>
  <c r="AC35" i="14"/>
  <c r="V35" i="14"/>
  <c r="AK197" i="11"/>
  <c r="D200" i="11"/>
  <c r="AL197" i="11"/>
  <c r="Z144" i="12"/>
  <c r="Z165" i="12"/>
  <c r="Z145" i="12"/>
  <c r="Z108" i="12"/>
  <c r="Z161" i="12"/>
  <c r="Z169" i="12"/>
  <c r="Z42" i="12"/>
  <c r="AN42" i="12"/>
  <c r="AN54" i="12"/>
  <c r="Z54" i="12"/>
  <c r="Z101" i="12"/>
  <c r="Z115" i="12"/>
  <c r="Z123" i="12"/>
  <c r="Z149" i="12"/>
  <c r="Z162" i="12"/>
  <c r="Z170" i="12"/>
  <c r="D100" i="11"/>
  <c r="AK96" i="11"/>
  <c r="AL96" i="11"/>
  <c r="AL198" i="11"/>
  <c r="AK198" i="11"/>
  <c r="D201" i="11"/>
  <c r="AK225" i="11"/>
  <c r="D226" i="11"/>
  <c r="AL225" i="11"/>
  <c r="Z104" i="12"/>
  <c r="Z105" i="12"/>
  <c r="Z158" i="12"/>
  <c r="Z122" i="12"/>
  <c r="AN47" i="12"/>
  <c r="Z47" i="12"/>
  <c r="AN55" i="12"/>
  <c r="Z55" i="12"/>
  <c r="Z102" i="12"/>
  <c r="Z116" i="12"/>
  <c r="Z124" i="12"/>
  <c r="Z142" i="12"/>
  <c r="Z150" i="12"/>
  <c r="Z163" i="12"/>
  <c r="Z171" i="12"/>
  <c r="AC47" i="14"/>
  <c r="D48" i="14"/>
  <c r="AB47" i="14"/>
  <c r="V47" i="14"/>
  <c r="D61" i="11"/>
  <c r="AL59" i="11"/>
  <c r="AK59" i="11"/>
  <c r="Z126" i="12"/>
  <c r="Z152" i="12"/>
  <c r="Z173" i="12"/>
  <c r="Z48" i="12"/>
  <c r="AN48" i="12"/>
  <c r="Z56" i="12"/>
  <c r="AN56" i="12"/>
  <c r="Z103" i="12"/>
  <c r="Z117" i="12"/>
  <c r="Z125" i="12"/>
  <c r="Z143" i="12"/>
  <c r="Z151" i="12"/>
  <c r="Z164" i="12"/>
  <c r="Z172" i="12"/>
  <c r="AC40" i="9"/>
  <c r="AD40" i="9"/>
  <c r="D41" i="9"/>
  <c r="AO217" i="10"/>
  <c r="AN217" i="10"/>
  <c r="AA217" i="10"/>
  <c r="AO182" i="10"/>
  <c r="AN182" i="10"/>
  <c r="AA182" i="10"/>
  <c r="D224" i="10"/>
  <c r="E221" i="10"/>
  <c r="AJ221" i="10"/>
  <c r="AK221" i="10"/>
  <c r="AN181" i="10"/>
  <c r="AO181" i="10"/>
  <c r="AA181" i="10"/>
  <c r="AO180" i="10"/>
  <c r="AA180" i="10"/>
  <c r="AN180" i="10"/>
  <c r="AO216" i="10"/>
  <c r="AN216" i="10"/>
  <c r="AA216" i="10"/>
  <c r="E219" i="10"/>
  <c r="AJ219" i="10"/>
  <c r="D222" i="10"/>
  <c r="AK219" i="10"/>
  <c r="E220" i="10"/>
  <c r="D223" i="10"/>
  <c r="AJ220" i="10"/>
  <c r="AK220" i="10"/>
  <c r="D188" i="10"/>
  <c r="AJ185" i="10"/>
  <c r="E185" i="10"/>
  <c r="AK185" i="10"/>
  <c r="AN218" i="10"/>
  <c r="AO218" i="10"/>
  <c r="AA218" i="10"/>
  <c r="D276" i="10"/>
  <c r="AK275" i="10"/>
  <c r="AJ275" i="10"/>
  <c r="D187" i="10"/>
  <c r="E184" i="10"/>
  <c r="AK184" i="10"/>
  <c r="AJ184" i="10"/>
  <c r="AJ183" i="10"/>
  <c r="AK183" i="10"/>
  <c r="E183" i="10"/>
  <c r="D186" i="10"/>
  <c r="Y2" i="19"/>
  <c r="Y3" i="19" s="1"/>
  <c r="U8" i="1"/>
  <c r="AO8" i="1" s="1"/>
  <c r="X8" i="1"/>
  <c r="AF95" i="1"/>
  <c r="AE95" i="1"/>
  <c r="D99" i="1"/>
  <c r="AF98" i="1"/>
  <c r="AE98" i="1"/>
  <c r="U90" i="1"/>
  <c r="X90" i="1"/>
  <c r="J91" i="1"/>
  <c r="O91" i="1" s="1"/>
  <c r="I91" i="1"/>
  <c r="AO89" i="1"/>
  <c r="AF139" i="1"/>
  <c r="AE139" i="1"/>
  <c r="D141" i="1"/>
  <c r="D140" i="1"/>
  <c r="AO130" i="1"/>
  <c r="I133" i="1"/>
  <c r="AF154" i="1"/>
  <c r="D155" i="1"/>
  <c r="AE154" i="1"/>
  <c r="AF151" i="1"/>
  <c r="AE151" i="1"/>
  <c r="G133" i="1"/>
  <c r="AP133" i="1" s="1"/>
  <c r="J132" i="1"/>
  <c r="O132" i="1" s="1"/>
  <c r="V131" i="1"/>
  <c r="S131" i="1"/>
  <c r="AF114" i="1"/>
  <c r="AE114" i="1"/>
  <c r="D115" i="1"/>
  <c r="AP94" i="1"/>
  <c r="AF111" i="1"/>
  <c r="AE111" i="1"/>
  <c r="AP54" i="1"/>
  <c r="AO50" i="1"/>
  <c r="J53" i="1"/>
  <c r="O53" i="1" s="1"/>
  <c r="I52" i="1"/>
  <c r="D59" i="1"/>
  <c r="AE58" i="1"/>
  <c r="AF58" i="1"/>
  <c r="AE55" i="1"/>
  <c r="AF55" i="1"/>
  <c r="AM51" i="1"/>
  <c r="Y51" i="1"/>
  <c r="AE75" i="1"/>
  <c r="AF75" i="1"/>
  <c r="J52" i="1"/>
  <c r="O52" i="1" s="1"/>
  <c r="AE192" i="1"/>
  <c r="AF192" i="1"/>
  <c r="AE175" i="1"/>
  <c r="AF175" i="1"/>
  <c r="AP172" i="1"/>
  <c r="J171" i="1"/>
  <c r="O171" i="1" s="1"/>
  <c r="D179" i="1"/>
  <c r="AF178" i="1"/>
  <c r="AE178" i="1"/>
  <c r="U170" i="1"/>
  <c r="X170" i="1"/>
  <c r="I172" i="1"/>
  <c r="AO169" i="1"/>
  <c r="I12" i="1"/>
  <c r="J13" i="1"/>
  <c r="O13" i="1" s="1"/>
  <c r="AP14" i="1"/>
  <c r="AM11" i="1"/>
  <c r="Y11" i="1"/>
  <c r="U12" i="1"/>
  <c r="X12" i="1"/>
  <c r="AF21" i="1"/>
  <c r="AE21" i="1"/>
  <c r="D49" i="12"/>
  <c r="R48" i="12"/>
  <c r="R52" i="12"/>
  <c r="R56" i="12"/>
  <c r="D53" i="12"/>
  <c r="R42" i="12"/>
  <c r="R50" i="12"/>
  <c r="R54" i="12"/>
  <c r="D47" i="12"/>
  <c r="R51" i="12"/>
  <c r="R55" i="12"/>
  <c r="D103" i="12"/>
  <c r="D116" i="12"/>
  <c r="D147" i="12"/>
  <c r="D151" i="12"/>
  <c r="D159" i="12"/>
  <c r="D144" i="12"/>
  <c r="D148" i="12"/>
  <c r="D152" i="12"/>
  <c r="D99" i="12"/>
  <c r="D107" i="12"/>
  <c r="D143" i="12"/>
  <c r="D75" i="12"/>
  <c r="D115" i="12"/>
  <c r="D142" i="12"/>
  <c r="D146" i="12"/>
  <c r="D150" i="12"/>
  <c r="D160" i="12"/>
  <c r="D158" i="12"/>
  <c r="D162" i="12"/>
  <c r="D101" i="12"/>
  <c r="D105" i="12"/>
  <c r="D145" i="12"/>
  <c r="D149" i="12"/>
  <c r="D153" i="12"/>
  <c r="D170" i="12"/>
  <c r="D166" i="12"/>
  <c r="D172" i="12"/>
  <c r="D165" i="12"/>
  <c r="D163" i="12"/>
  <c r="D168" i="12"/>
  <c r="D161" i="12"/>
  <c r="D164" i="12"/>
  <c r="D169" i="12"/>
  <c r="D173" i="12"/>
  <c r="D167" i="12"/>
  <c r="D171" i="12"/>
  <c r="D119" i="12"/>
  <c r="D128" i="12"/>
  <c r="D121" i="12"/>
  <c r="D129" i="12"/>
  <c r="D118" i="12"/>
  <c r="D125" i="12"/>
  <c r="D124" i="12"/>
  <c r="D117" i="12"/>
  <c r="D123" i="12"/>
  <c r="D127" i="12"/>
  <c r="D120" i="12"/>
  <c r="D122" i="12"/>
  <c r="D126" i="12"/>
  <c r="D104" i="12"/>
  <c r="D108" i="12"/>
  <c r="D98" i="12"/>
  <c r="D102" i="12"/>
  <c r="D106" i="12"/>
  <c r="D100" i="12"/>
  <c r="R47" i="12"/>
  <c r="R49" i="12"/>
  <c r="R53" i="12"/>
  <c r="D52" i="12"/>
  <c r="D48" i="12"/>
  <c r="D54" i="12"/>
  <c r="D50" i="12"/>
  <c r="D55" i="12"/>
  <c r="D42" i="12"/>
  <c r="D51" i="12"/>
  <c r="D56" i="12"/>
  <c r="I687" i="1" l="1"/>
  <c r="J687" i="1"/>
  <c r="O687" i="1" s="1"/>
  <c r="H688" i="1"/>
  <c r="AV55" i="12"/>
  <c r="BJ55" i="12"/>
  <c r="BJ47" i="12"/>
  <c r="AV47" i="12"/>
  <c r="AV54" i="12"/>
  <c r="BJ54" i="12"/>
  <c r="AV42" i="12"/>
  <c r="BJ42" i="12"/>
  <c r="BJ49" i="12"/>
  <c r="AV49" i="12"/>
  <c r="BJ52" i="12"/>
  <c r="AV52" i="12"/>
  <c r="BJ51" i="12"/>
  <c r="AV51" i="12"/>
  <c r="AV50" i="12"/>
  <c r="BJ50" i="12"/>
  <c r="BJ53" i="12"/>
  <c r="AV53" i="12"/>
  <c r="BJ56" i="12"/>
  <c r="AV56" i="12"/>
  <c r="BJ48" i="12"/>
  <c r="AV48" i="12"/>
  <c r="AL100" i="11"/>
  <c r="AK100" i="11"/>
  <c r="D104" i="11"/>
  <c r="D203" i="11"/>
  <c r="AL200" i="11"/>
  <c r="AK200" i="11"/>
  <c r="D106" i="11"/>
  <c r="AL102" i="11"/>
  <c r="AK102" i="11"/>
  <c r="D107" i="11"/>
  <c r="AK103" i="11"/>
  <c r="AL103" i="11"/>
  <c r="D69" i="9"/>
  <c r="AC68" i="9"/>
  <c r="AD68" i="9"/>
  <c r="D307" i="11"/>
  <c r="AL306" i="11"/>
  <c r="AK306" i="11"/>
  <c r="AL226" i="11"/>
  <c r="AK226" i="11"/>
  <c r="D227" i="11"/>
  <c r="D205" i="11"/>
  <c r="AK202" i="11"/>
  <c r="AL202" i="11"/>
  <c r="D119" i="9"/>
  <c r="AD118" i="9"/>
  <c r="AC118" i="9"/>
  <c r="D105" i="11"/>
  <c r="AK101" i="11"/>
  <c r="AL101" i="11"/>
  <c r="D204" i="11"/>
  <c r="AL201" i="11"/>
  <c r="AK201" i="11"/>
  <c r="AK277" i="11"/>
  <c r="D278" i="11"/>
  <c r="AL277" i="11"/>
  <c r="D322" i="11"/>
  <c r="AK321" i="11"/>
  <c r="AL321" i="11"/>
  <c r="AK291" i="11"/>
  <c r="AL291" i="11"/>
  <c r="D292" i="11"/>
  <c r="AK170" i="11"/>
  <c r="AL170" i="11"/>
  <c r="D171" i="11"/>
  <c r="AK62" i="11"/>
  <c r="D64" i="11"/>
  <c r="AL62" i="11"/>
  <c r="AB36" i="14"/>
  <c r="D37" i="14"/>
  <c r="AC36" i="14"/>
  <c r="V36" i="14"/>
  <c r="AC53" i="9"/>
  <c r="AD53" i="9"/>
  <c r="D54" i="9"/>
  <c r="AD41" i="9"/>
  <c r="D42" i="9"/>
  <c r="AC41" i="9"/>
  <c r="AL61" i="11"/>
  <c r="D63" i="11"/>
  <c r="AK61" i="11"/>
  <c r="AC48" i="14"/>
  <c r="AB48" i="14"/>
  <c r="D49" i="14"/>
  <c r="V48" i="14"/>
  <c r="AL238" i="11"/>
  <c r="AK238" i="11"/>
  <c r="D239" i="11"/>
  <c r="AA183" i="10"/>
  <c r="AN183" i="10"/>
  <c r="AO183" i="10"/>
  <c r="D191" i="10"/>
  <c r="E188" i="10"/>
  <c r="AJ188" i="10"/>
  <c r="AK188" i="10"/>
  <c r="AN220" i="10"/>
  <c r="AO220" i="10"/>
  <c r="AA220" i="10"/>
  <c r="AN219" i="10"/>
  <c r="AO219" i="10"/>
  <c r="AA219" i="10"/>
  <c r="AN221" i="10"/>
  <c r="AO221" i="10"/>
  <c r="AA221" i="10"/>
  <c r="AK187" i="10"/>
  <c r="D190" i="10"/>
  <c r="E187" i="10"/>
  <c r="AJ187" i="10"/>
  <c r="AN185" i="10"/>
  <c r="AO185" i="10"/>
  <c r="AA185" i="10"/>
  <c r="E222" i="10"/>
  <c r="AJ222" i="10"/>
  <c r="D225" i="10"/>
  <c r="AK222" i="10"/>
  <c r="E186" i="10"/>
  <c r="AK186" i="10"/>
  <c r="AJ186" i="10"/>
  <c r="D189" i="10"/>
  <c r="AK223" i="10"/>
  <c r="E223" i="10"/>
  <c r="D226" i="10"/>
  <c r="AJ223" i="10"/>
  <c r="AN184" i="10"/>
  <c r="AO184" i="10"/>
  <c r="AA184" i="10"/>
  <c r="D277" i="10"/>
  <c r="AJ276" i="10"/>
  <c r="AK276" i="10"/>
  <c r="E224" i="10"/>
  <c r="AK224" i="10"/>
  <c r="D227" i="10"/>
  <c r="AJ224" i="10"/>
  <c r="AE99" i="1"/>
  <c r="D101" i="1"/>
  <c r="AF99" i="1"/>
  <c r="D100" i="1"/>
  <c r="I92" i="1"/>
  <c r="J92" i="1"/>
  <c r="O92" i="1" s="1"/>
  <c r="S91" i="1"/>
  <c r="V91" i="1"/>
  <c r="AO90" i="1"/>
  <c r="AE155" i="1"/>
  <c r="AF155" i="1"/>
  <c r="AE141" i="1"/>
  <c r="AF141" i="1"/>
  <c r="U132" i="1"/>
  <c r="X132" i="1"/>
  <c r="I134" i="1"/>
  <c r="AM131" i="1"/>
  <c r="Y131" i="1"/>
  <c r="G134" i="1"/>
  <c r="AP134" i="1" s="1"/>
  <c r="J133" i="1"/>
  <c r="O133" i="1" s="1"/>
  <c r="AE140" i="1"/>
  <c r="AF140" i="1"/>
  <c r="AP95" i="1"/>
  <c r="AE115" i="1"/>
  <c r="AF115" i="1"/>
  <c r="U53" i="1"/>
  <c r="X53" i="1"/>
  <c r="AF59" i="1"/>
  <c r="D61" i="1"/>
  <c r="D60" i="1"/>
  <c r="AE59" i="1"/>
  <c r="J54" i="1"/>
  <c r="O54" i="1" s="1"/>
  <c r="I53" i="1"/>
  <c r="AP55" i="1"/>
  <c r="U52" i="1"/>
  <c r="X52" i="1"/>
  <c r="I173" i="1"/>
  <c r="D180" i="1"/>
  <c r="AE179" i="1"/>
  <c r="AF179" i="1"/>
  <c r="D181" i="1"/>
  <c r="V171" i="1"/>
  <c r="S171" i="1"/>
  <c r="AP173" i="1"/>
  <c r="J172" i="1"/>
  <c r="O172" i="1" s="1"/>
  <c r="AO170" i="1"/>
  <c r="I13" i="1"/>
  <c r="U13" i="1"/>
  <c r="X13" i="1"/>
  <c r="AO12" i="1"/>
  <c r="AP15" i="1"/>
  <c r="J14" i="1"/>
  <c r="O14" i="1" s="1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4" i="13"/>
  <c r="AC183" i="13"/>
  <c r="AC184" i="13"/>
  <c r="AC215" i="13"/>
  <c r="AC216" i="13"/>
  <c r="AC203" i="13"/>
  <c r="AC202" i="13"/>
  <c r="E183" i="13"/>
  <c r="E160" i="13"/>
  <c r="E159" i="13"/>
  <c r="E158" i="13"/>
  <c r="E157" i="13"/>
  <c r="E156" i="13"/>
  <c r="E155" i="13"/>
  <c r="E154" i="13"/>
  <c r="E135" i="13"/>
  <c r="E134" i="13"/>
  <c r="E133" i="13"/>
  <c r="E132" i="13"/>
  <c r="E131" i="13"/>
  <c r="E130" i="13"/>
  <c r="E129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F86" i="13"/>
  <c r="F85" i="13"/>
  <c r="F84" i="13"/>
  <c r="F83" i="13"/>
  <c r="F82" i="13"/>
  <c r="F81" i="13"/>
  <c r="F80" i="13"/>
  <c r="F79" i="13"/>
  <c r="F78" i="13"/>
  <c r="Z53" i="13"/>
  <c r="Z52" i="13"/>
  <c r="Z51" i="13"/>
  <c r="A11" i="8"/>
  <c r="A13" i="8"/>
  <c r="A14" i="8"/>
  <c r="A12" i="8"/>
  <c r="BG26" i="2"/>
  <c r="E175" i="12" s="1"/>
  <c r="AT25" i="2"/>
  <c r="E131" i="12" s="1"/>
  <c r="H689" i="1" l="1"/>
  <c r="I688" i="1"/>
  <c r="J688" i="1"/>
  <c r="O688" i="1" s="1"/>
  <c r="AA131" i="12"/>
  <c r="AW131" i="12"/>
  <c r="AA175" i="12"/>
  <c r="AW175" i="12"/>
  <c r="D66" i="11"/>
  <c r="AK64" i="11"/>
  <c r="AL64" i="11"/>
  <c r="D109" i="11"/>
  <c r="AK105" i="11"/>
  <c r="AL105" i="11"/>
  <c r="AK227" i="11"/>
  <c r="D228" i="11"/>
  <c r="AL227" i="11"/>
  <c r="AK239" i="11"/>
  <c r="D240" i="11"/>
  <c r="AL239" i="11"/>
  <c r="AC54" i="9"/>
  <c r="AD54" i="9"/>
  <c r="D55" i="9"/>
  <c r="D38" i="14"/>
  <c r="AB37" i="14"/>
  <c r="AC37" i="14"/>
  <c r="V37" i="14"/>
  <c r="AL171" i="11"/>
  <c r="AK171" i="11"/>
  <c r="D172" i="11"/>
  <c r="AK292" i="11"/>
  <c r="AL292" i="11"/>
  <c r="D293" i="11"/>
  <c r="AK278" i="11"/>
  <c r="AL278" i="11"/>
  <c r="D279" i="11"/>
  <c r="AL204" i="11"/>
  <c r="AK204" i="11"/>
  <c r="D207" i="11"/>
  <c r="AK307" i="11"/>
  <c r="D308" i="11"/>
  <c r="AL307" i="11"/>
  <c r="D108" i="11"/>
  <c r="AK104" i="11"/>
  <c r="AL104" i="11"/>
  <c r="AK63" i="11"/>
  <c r="AL63" i="11"/>
  <c r="D65" i="11"/>
  <c r="D323" i="11"/>
  <c r="AK322" i="11"/>
  <c r="AL322" i="11"/>
  <c r="AK205" i="11"/>
  <c r="AL205" i="11"/>
  <c r="D208" i="11"/>
  <c r="D206" i="11"/>
  <c r="AK203" i="11"/>
  <c r="AL203" i="11"/>
  <c r="D43" i="9"/>
  <c r="AC42" i="9"/>
  <c r="AD42" i="9"/>
  <c r="AD119" i="9"/>
  <c r="D120" i="9"/>
  <c r="AC119" i="9"/>
  <c r="AB49" i="14"/>
  <c r="D50" i="14"/>
  <c r="AC49" i="14"/>
  <c r="V49" i="14"/>
  <c r="AC69" i="9"/>
  <c r="AD69" i="9"/>
  <c r="AK107" i="11"/>
  <c r="D111" i="11"/>
  <c r="AL107" i="11"/>
  <c r="D110" i="11"/>
  <c r="AL106" i="11"/>
  <c r="AK106" i="11"/>
  <c r="D230" i="10"/>
  <c r="AK227" i="10"/>
  <c r="E227" i="10"/>
  <c r="AJ227" i="10"/>
  <c r="AA186" i="10"/>
  <c r="AO186" i="10"/>
  <c r="AN186" i="10"/>
  <c r="AN222" i="10"/>
  <c r="AO222" i="10"/>
  <c r="AA222" i="10"/>
  <c r="AJ191" i="10"/>
  <c r="D194" i="10"/>
  <c r="E191" i="10"/>
  <c r="AK191" i="10"/>
  <c r="AK226" i="10"/>
  <c r="E226" i="10"/>
  <c r="D229" i="10"/>
  <c r="AJ226" i="10"/>
  <c r="D228" i="10"/>
  <c r="E225" i="10"/>
  <c r="AJ225" i="10"/>
  <c r="AK225" i="10"/>
  <c r="AJ190" i="10"/>
  <c r="E190" i="10"/>
  <c r="D193" i="10"/>
  <c r="AK190" i="10"/>
  <c r="AJ277" i="10"/>
  <c r="AK277" i="10"/>
  <c r="D278" i="10"/>
  <c r="E189" i="10"/>
  <c r="AK189" i="10"/>
  <c r="AJ189" i="10"/>
  <c r="D192" i="10"/>
  <c r="AN187" i="10"/>
  <c r="AO187" i="10"/>
  <c r="AA187" i="10"/>
  <c r="AO224" i="10"/>
  <c r="AN224" i="10"/>
  <c r="AA224" i="10"/>
  <c r="AO223" i="10"/>
  <c r="AN223" i="10"/>
  <c r="AA223" i="10"/>
  <c r="AN188" i="10"/>
  <c r="AO188" i="10"/>
  <c r="AA188" i="10"/>
  <c r="AE101" i="1"/>
  <c r="AF101" i="1"/>
  <c r="AE100" i="1"/>
  <c r="AF100" i="1"/>
  <c r="X92" i="1"/>
  <c r="U92" i="1"/>
  <c r="Y91" i="1"/>
  <c r="AM91" i="1"/>
  <c r="J93" i="1"/>
  <c r="O93" i="1" s="1"/>
  <c r="I93" i="1"/>
  <c r="U133" i="1"/>
  <c r="X133" i="1"/>
  <c r="I135" i="1"/>
  <c r="J134" i="1"/>
  <c r="O134" i="1" s="1"/>
  <c r="G135" i="1"/>
  <c r="AP135" i="1" s="1"/>
  <c r="AO132" i="1"/>
  <c r="AP96" i="1"/>
  <c r="AO52" i="1"/>
  <c r="AP56" i="1"/>
  <c r="U54" i="1"/>
  <c r="X54" i="1"/>
  <c r="AF61" i="1"/>
  <c r="AE61" i="1"/>
  <c r="AO53" i="1"/>
  <c r="I54" i="1"/>
  <c r="J55" i="1"/>
  <c r="O55" i="1" s="1"/>
  <c r="AE60" i="1"/>
  <c r="AF60" i="1"/>
  <c r="J173" i="1"/>
  <c r="O173" i="1" s="1"/>
  <c r="AP174" i="1"/>
  <c r="AM171" i="1"/>
  <c r="Y171" i="1"/>
  <c r="AE181" i="1"/>
  <c r="AF181" i="1"/>
  <c r="AF180" i="1"/>
  <c r="AE180" i="1"/>
  <c r="U172" i="1"/>
  <c r="X172" i="1"/>
  <c r="I174" i="1"/>
  <c r="J15" i="1"/>
  <c r="O15" i="1" s="1"/>
  <c r="I14" i="1"/>
  <c r="AP16" i="1"/>
  <c r="AO13" i="1"/>
  <c r="U14" i="1"/>
  <c r="X14" i="1"/>
  <c r="E202" i="13"/>
  <c r="E203" i="13"/>
  <c r="H690" i="1" l="1"/>
  <c r="J689" i="1"/>
  <c r="O689" i="1" s="1"/>
  <c r="I689" i="1"/>
  <c r="D210" i="11"/>
  <c r="AL207" i="11"/>
  <c r="AK207" i="11"/>
  <c r="D280" i="11"/>
  <c r="AL279" i="11"/>
  <c r="AK279" i="11"/>
  <c r="AB38" i="14"/>
  <c r="AC38" i="14"/>
  <c r="D39" i="14"/>
  <c r="V38" i="14"/>
  <c r="AC55" i="9"/>
  <c r="AD55" i="9"/>
  <c r="D56" i="9"/>
  <c r="D57" i="9" s="1"/>
  <c r="AK240" i="11"/>
  <c r="D241" i="11"/>
  <c r="AL240" i="11"/>
  <c r="D112" i="11"/>
  <c r="AL108" i="11"/>
  <c r="AK108" i="11"/>
  <c r="AK111" i="11"/>
  <c r="AL111" i="11"/>
  <c r="D115" i="11"/>
  <c r="AK208" i="11"/>
  <c r="AL208" i="11"/>
  <c r="D211" i="11"/>
  <c r="D114" i="11"/>
  <c r="AK110" i="11"/>
  <c r="AL110" i="11"/>
  <c r="AC120" i="9"/>
  <c r="D121" i="9"/>
  <c r="AD120" i="9"/>
  <c r="AL65" i="11"/>
  <c r="AK65" i="11"/>
  <c r="D67" i="11"/>
  <c r="AB50" i="14"/>
  <c r="AC50" i="14"/>
  <c r="D51" i="14"/>
  <c r="V50" i="14"/>
  <c r="AK308" i="11"/>
  <c r="AL308" i="11"/>
  <c r="D309" i="11"/>
  <c r="D229" i="11"/>
  <c r="AK228" i="11"/>
  <c r="AL228" i="11"/>
  <c r="D173" i="11"/>
  <c r="AK172" i="11"/>
  <c r="AL172" i="11"/>
  <c r="D68" i="11"/>
  <c r="AK66" i="11"/>
  <c r="AL66" i="11"/>
  <c r="AK109" i="11"/>
  <c r="AL109" i="11"/>
  <c r="D113" i="11"/>
  <c r="AD43" i="9"/>
  <c r="D44" i="9"/>
  <c r="AC43" i="9"/>
  <c r="D209" i="11"/>
  <c r="AK206" i="11"/>
  <c r="AL206" i="11"/>
  <c r="AK323" i="11"/>
  <c r="D324" i="11"/>
  <c r="AL323" i="11"/>
  <c r="D294" i="11"/>
  <c r="AL293" i="11"/>
  <c r="AK293" i="11"/>
  <c r="AN190" i="10"/>
  <c r="AO190" i="10"/>
  <c r="AA190" i="10"/>
  <c r="AN225" i="10"/>
  <c r="AO225" i="10"/>
  <c r="AA225" i="10"/>
  <c r="AO226" i="10"/>
  <c r="AN226" i="10"/>
  <c r="AA226" i="10"/>
  <c r="AJ194" i="10"/>
  <c r="AK194" i="10"/>
  <c r="D197" i="10"/>
  <c r="E194" i="10"/>
  <c r="AK228" i="10"/>
  <c r="E228" i="10"/>
  <c r="D231" i="10"/>
  <c r="AJ228" i="10"/>
  <c r="AN227" i="10"/>
  <c r="AO227" i="10"/>
  <c r="AA227" i="10"/>
  <c r="AA189" i="10"/>
  <c r="AN189" i="10"/>
  <c r="AO189" i="10"/>
  <c r="AK192" i="10"/>
  <c r="D195" i="10"/>
  <c r="E192" i="10"/>
  <c r="AJ192" i="10"/>
  <c r="AK278" i="10"/>
  <c r="AJ278" i="10"/>
  <c r="D279" i="10"/>
  <c r="E193" i="10"/>
  <c r="AJ193" i="10"/>
  <c r="AK193" i="10"/>
  <c r="D196" i="10"/>
  <c r="AJ229" i="10"/>
  <c r="E229" i="10"/>
  <c r="AK229" i="10"/>
  <c r="D232" i="10"/>
  <c r="AO191" i="10"/>
  <c r="AN191" i="10"/>
  <c r="AA191" i="10"/>
  <c r="AK230" i="10"/>
  <c r="E230" i="10"/>
  <c r="AJ230" i="10"/>
  <c r="D233" i="10"/>
  <c r="AO92" i="1"/>
  <c r="U93" i="1"/>
  <c r="X93" i="1"/>
  <c r="J94" i="1"/>
  <c r="O94" i="1" s="1"/>
  <c r="I94" i="1"/>
  <c r="U134" i="1"/>
  <c r="X134" i="1"/>
  <c r="J135" i="1"/>
  <c r="O135" i="1" s="1"/>
  <c r="G136" i="1"/>
  <c r="AP136" i="1" s="1"/>
  <c r="I136" i="1"/>
  <c r="AO133" i="1"/>
  <c r="AP97" i="1"/>
  <c r="U55" i="1"/>
  <c r="X55" i="1"/>
  <c r="AP57" i="1"/>
  <c r="J56" i="1"/>
  <c r="O56" i="1" s="1"/>
  <c r="I55" i="1"/>
  <c r="AO54" i="1"/>
  <c r="U173" i="1"/>
  <c r="X173" i="1"/>
  <c r="AP175" i="1"/>
  <c r="J174" i="1"/>
  <c r="O174" i="1" s="1"/>
  <c r="I175" i="1"/>
  <c r="AO172" i="1"/>
  <c r="I15" i="1"/>
  <c r="J16" i="1"/>
  <c r="O16" i="1" s="1"/>
  <c r="AO14" i="1"/>
  <c r="AP17" i="1"/>
  <c r="U15" i="1"/>
  <c r="X15" i="1"/>
  <c r="E8" i="8"/>
  <c r="I690" i="1" l="1"/>
  <c r="J690" i="1"/>
  <c r="O690" i="1" s="1"/>
  <c r="H691" i="1"/>
  <c r="D117" i="11"/>
  <c r="AK113" i="11"/>
  <c r="AL113" i="11"/>
  <c r="D281" i="11"/>
  <c r="AK280" i="11"/>
  <c r="AL280" i="11"/>
  <c r="AK209" i="11"/>
  <c r="AL209" i="11"/>
  <c r="D212" i="11"/>
  <c r="AC51" i="14"/>
  <c r="D52" i="14"/>
  <c r="AB51" i="14"/>
  <c r="V51" i="14"/>
  <c r="D45" i="9"/>
  <c r="AC44" i="9"/>
  <c r="AD44" i="9"/>
  <c r="AL241" i="11"/>
  <c r="AK241" i="11"/>
  <c r="D242" i="11"/>
  <c r="D325" i="11"/>
  <c r="AK324" i="11"/>
  <c r="AL324" i="11"/>
  <c r="D116" i="11"/>
  <c r="AL112" i="11"/>
  <c r="AK112" i="11"/>
  <c r="AL229" i="11"/>
  <c r="D230" i="11"/>
  <c r="AK229" i="11"/>
  <c r="AL68" i="11"/>
  <c r="D70" i="11"/>
  <c r="AK68" i="11"/>
  <c r="AK173" i="11"/>
  <c r="D174" i="11"/>
  <c r="AL173" i="11"/>
  <c r="D310" i="11"/>
  <c r="AL309" i="11"/>
  <c r="AK309" i="11"/>
  <c r="D69" i="11"/>
  <c r="AL67" i="11"/>
  <c r="AK67" i="11"/>
  <c r="AC121" i="9"/>
  <c r="AD121" i="9"/>
  <c r="D122" i="9"/>
  <c r="AL211" i="11"/>
  <c r="AK211" i="11"/>
  <c r="D214" i="11"/>
  <c r="AL294" i="11"/>
  <c r="AK294" i="11"/>
  <c r="D295" i="11"/>
  <c r="D119" i="11"/>
  <c r="AL115" i="11"/>
  <c r="AK115" i="11"/>
  <c r="D118" i="11"/>
  <c r="AL114" i="11"/>
  <c r="AK114" i="11"/>
  <c r="AB39" i="14"/>
  <c r="D40" i="14"/>
  <c r="AC39" i="14"/>
  <c r="V39" i="14"/>
  <c r="D213" i="11"/>
  <c r="AL210" i="11"/>
  <c r="AK210" i="11"/>
  <c r="AJ231" i="10"/>
  <c r="E231" i="10"/>
  <c r="D234" i="10"/>
  <c r="AK231" i="10"/>
  <c r="AJ197" i="10"/>
  <c r="AK197" i="10"/>
  <c r="D200" i="10"/>
  <c r="E197" i="10"/>
  <c r="AN230" i="10"/>
  <c r="AO230" i="10"/>
  <c r="AA230" i="10"/>
  <c r="AN193" i="10"/>
  <c r="AO193" i="10"/>
  <c r="AA193" i="10"/>
  <c r="AN228" i="10"/>
  <c r="AO228" i="10"/>
  <c r="AA228" i="10"/>
  <c r="AK232" i="10"/>
  <c r="D235" i="10"/>
  <c r="E232" i="10"/>
  <c r="AJ232" i="10"/>
  <c r="D199" i="10"/>
  <c r="AJ196" i="10"/>
  <c r="AK196" i="10"/>
  <c r="E196" i="10"/>
  <c r="AJ279" i="10"/>
  <c r="AK279" i="10"/>
  <c r="D280" i="10"/>
  <c r="AO192" i="10"/>
  <c r="AA192" i="10"/>
  <c r="AN192" i="10"/>
  <c r="AN229" i="10"/>
  <c r="AO229" i="10"/>
  <c r="AA229" i="10"/>
  <c r="D236" i="10"/>
  <c r="AJ233" i="10"/>
  <c r="AK233" i="10"/>
  <c r="E233" i="10"/>
  <c r="AK195" i="10"/>
  <c r="D198" i="10"/>
  <c r="E195" i="10"/>
  <c r="AJ195" i="10"/>
  <c r="AO194" i="10"/>
  <c r="AN194" i="10"/>
  <c r="AA194" i="10"/>
  <c r="X94" i="1"/>
  <c r="U94" i="1"/>
  <c r="AO93" i="1"/>
  <c r="I95" i="1"/>
  <c r="J95" i="1"/>
  <c r="O95" i="1" s="1"/>
  <c r="G137" i="1"/>
  <c r="AP137" i="1" s="1"/>
  <c r="J136" i="1"/>
  <c r="O136" i="1" s="1"/>
  <c r="AO134" i="1"/>
  <c r="I137" i="1"/>
  <c r="X135" i="1"/>
  <c r="U135" i="1"/>
  <c r="AP98" i="1"/>
  <c r="V56" i="1"/>
  <c r="S56" i="1"/>
  <c r="AO55" i="1"/>
  <c r="J57" i="1"/>
  <c r="O57" i="1" s="1"/>
  <c r="I56" i="1"/>
  <c r="AP58" i="1"/>
  <c r="U174" i="1"/>
  <c r="X174" i="1"/>
  <c r="AP176" i="1"/>
  <c r="J175" i="1"/>
  <c r="O175" i="1" s="1"/>
  <c r="I176" i="1"/>
  <c r="AO173" i="1"/>
  <c r="I16" i="1"/>
  <c r="AO15" i="1"/>
  <c r="S16" i="1"/>
  <c r="V16" i="1"/>
  <c r="AP18" i="1"/>
  <c r="J17" i="1"/>
  <c r="O17" i="1" s="1"/>
  <c r="BQ5" i="2"/>
  <c r="BP5" i="2"/>
  <c r="BG25" i="2"/>
  <c r="AH313" i="11"/>
  <c r="AH159" i="11"/>
  <c r="AH158" i="11"/>
  <c r="AH157" i="11"/>
  <c r="AH156" i="11"/>
  <c r="AH155" i="11"/>
  <c r="AH154" i="11"/>
  <c r="AH153" i="11"/>
  <c r="AH152" i="11"/>
  <c r="AH151" i="11"/>
  <c r="AH150" i="11"/>
  <c r="AH149" i="11"/>
  <c r="AH148" i="11"/>
  <c r="AH71" i="11"/>
  <c r="AH51" i="11"/>
  <c r="AH49" i="11"/>
  <c r="AH47" i="11"/>
  <c r="AH32" i="11"/>
  <c r="AH23" i="11"/>
  <c r="AH22" i="11"/>
  <c r="AH21" i="11"/>
  <c r="AH20" i="11"/>
  <c r="AH19" i="11"/>
  <c r="AH18" i="11"/>
  <c r="AH17" i="11"/>
  <c r="AH16" i="11"/>
  <c r="AH15" i="11"/>
  <c r="AH14" i="11"/>
  <c r="AH13" i="11"/>
  <c r="AH12" i="11"/>
  <c r="AH11" i="11"/>
  <c r="AH10" i="11"/>
  <c r="AH9" i="11"/>
  <c r="AH8" i="11"/>
  <c r="AH7" i="11"/>
  <c r="AH6" i="11"/>
  <c r="AH46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T24" i="2"/>
  <c r="AG5" i="10"/>
  <c r="AG6" i="10"/>
  <c r="AG7" i="10"/>
  <c r="AG8" i="10"/>
  <c r="AG9" i="10"/>
  <c r="AG10" i="10"/>
  <c r="AG11" i="10"/>
  <c r="AG12" i="10"/>
  <c r="AG13" i="10"/>
  <c r="AG14" i="10"/>
  <c r="AG15" i="10"/>
  <c r="AG16" i="10"/>
  <c r="AG29" i="10"/>
  <c r="AG30" i="10"/>
  <c r="AG74" i="10"/>
  <c r="AG76" i="10"/>
  <c r="AG143" i="10"/>
  <c r="AG144" i="10"/>
  <c r="AG145" i="10"/>
  <c r="AG146" i="10"/>
  <c r="AG147" i="10"/>
  <c r="AG148" i="10"/>
  <c r="AG149" i="10"/>
  <c r="AG150" i="10"/>
  <c r="AG151" i="10"/>
  <c r="AG152" i="10"/>
  <c r="AG153" i="10"/>
  <c r="AG154" i="10"/>
  <c r="AG310" i="10"/>
  <c r="AD29" i="5"/>
  <c r="AD30" i="5"/>
  <c r="AD31" i="5"/>
  <c r="AD32" i="5"/>
  <c r="AD33" i="5"/>
  <c r="AD34" i="5"/>
  <c r="AE29" i="5"/>
  <c r="AE30" i="5"/>
  <c r="AE31" i="5"/>
  <c r="AE32" i="5"/>
  <c r="AE33" i="5"/>
  <c r="AE34" i="5"/>
  <c r="AD25" i="5"/>
  <c r="AD26" i="5"/>
  <c r="AD27" i="5"/>
  <c r="AD28" i="5"/>
  <c r="AE25" i="5"/>
  <c r="AE26" i="5"/>
  <c r="AE27" i="5"/>
  <c r="AE28" i="5"/>
  <c r="I34" i="5"/>
  <c r="AD24" i="5"/>
  <c r="AE24" i="5"/>
  <c r="I691" i="1" l="1"/>
  <c r="H692" i="1"/>
  <c r="J691" i="1"/>
  <c r="O691" i="1" s="1"/>
  <c r="AV135" i="12"/>
  <c r="AV134" i="12"/>
  <c r="AV133" i="12"/>
  <c r="AV132" i="12"/>
  <c r="AV131" i="12"/>
  <c r="AV179" i="12"/>
  <c r="AV178" i="12"/>
  <c r="AV177" i="12"/>
  <c r="AV176" i="12"/>
  <c r="AV175" i="12"/>
  <c r="AK118" i="11"/>
  <c r="AL118" i="11"/>
  <c r="AK212" i="11"/>
  <c r="AL212" i="11"/>
  <c r="AL214" i="11"/>
  <c r="AK214" i="11"/>
  <c r="AK174" i="11"/>
  <c r="AL174" i="11"/>
  <c r="AK70" i="11"/>
  <c r="AL70" i="11"/>
  <c r="AL325" i="11"/>
  <c r="AK325" i="11"/>
  <c r="AK281" i="11"/>
  <c r="AL281" i="11"/>
  <c r="AB52" i="14"/>
  <c r="AC52" i="14"/>
  <c r="V52" i="14"/>
  <c r="AL213" i="11"/>
  <c r="AK213" i="11"/>
  <c r="Z135" i="12"/>
  <c r="D134" i="12"/>
  <c r="Z134" i="12"/>
  <c r="E136" i="19"/>
  <c r="AC133" i="19"/>
  <c r="AD130" i="19"/>
  <c r="AD291" i="10"/>
  <c r="AF288" i="10"/>
  <c r="AF296" i="10"/>
  <c r="AD279" i="10"/>
  <c r="AF282" i="10"/>
  <c r="AD283" i="10"/>
  <c r="AF275" i="10"/>
  <c r="AF280" i="10"/>
  <c r="AF142" i="10"/>
  <c r="AD280" i="10"/>
  <c r="AD135" i="19"/>
  <c r="AC130" i="19"/>
  <c r="AD292" i="10"/>
  <c r="AF289" i="10"/>
  <c r="AF298" i="10"/>
  <c r="AF278" i="10"/>
  <c r="AF283" i="10"/>
  <c r="AD284" i="10"/>
  <c r="AF279" i="10"/>
  <c r="AD256" i="10"/>
  <c r="AD264" i="10"/>
  <c r="AD272" i="10"/>
  <c r="AD240" i="10"/>
  <c r="AD133" i="19"/>
  <c r="AF269" i="10"/>
  <c r="AD139" i="19"/>
  <c r="AC135" i="19"/>
  <c r="AD132" i="19"/>
  <c r="AD293" i="10"/>
  <c r="AF290" i="10"/>
  <c r="AF306" i="10"/>
  <c r="AD275" i="10"/>
  <c r="AF284" i="10"/>
  <c r="AD285" i="10"/>
  <c r="AF256" i="10"/>
  <c r="AD257" i="10"/>
  <c r="AF264" i="10"/>
  <c r="AD265" i="10"/>
  <c r="AF272" i="10"/>
  <c r="AF240" i="10"/>
  <c r="AD290" i="10"/>
  <c r="AD142" i="10"/>
  <c r="AC139" i="19"/>
  <c r="AC132" i="19"/>
  <c r="AD129" i="19"/>
  <c r="AD116" i="19"/>
  <c r="AD294" i="10"/>
  <c r="AF291" i="10"/>
  <c r="AF274" i="10"/>
  <c r="AF285" i="10"/>
  <c r="AD286" i="10"/>
  <c r="AD274" i="10"/>
  <c r="AF257" i="10"/>
  <c r="AD258" i="10"/>
  <c r="AF265" i="10"/>
  <c r="AD266" i="10"/>
  <c r="AF271" i="10"/>
  <c r="AD281" i="10"/>
  <c r="AD282" i="10"/>
  <c r="E138" i="19"/>
  <c r="AD134" i="19"/>
  <c r="AC129" i="19"/>
  <c r="AC116" i="19"/>
  <c r="AD295" i="10"/>
  <c r="AF292" i="10"/>
  <c r="AD271" i="10"/>
  <c r="AF286" i="10"/>
  <c r="AD287" i="10"/>
  <c r="AD278" i="10"/>
  <c r="AF258" i="10"/>
  <c r="AF266" i="10"/>
  <c r="AD267" i="10"/>
  <c r="AD273" i="10"/>
  <c r="AF281" i="10"/>
  <c r="AC136" i="19"/>
  <c r="AD306" i="10"/>
  <c r="E137" i="19"/>
  <c r="AC134" i="19"/>
  <c r="AD131" i="19"/>
  <c r="AD288" i="10"/>
  <c r="AD296" i="10"/>
  <c r="AF293" i="10"/>
  <c r="AF287" i="10"/>
  <c r="AD277" i="10"/>
  <c r="AF267" i="10"/>
  <c r="AD268" i="10"/>
  <c r="AF273" i="10"/>
  <c r="AF295" i="10"/>
  <c r="AF276" i="10"/>
  <c r="AD136" i="19"/>
  <c r="AC131" i="19"/>
  <c r="AD289" i="10"/>
  <c r="AF294" i="10"/>
  <c r="AD276" i="10"/>
  <c r="AF277" i="10"/>
  <c r="AF268" i="10"/>
  <c r="AD269" i="10"/>
  <c r="AD302" i="10"/>
  <c r="AF300" i="10"/>
  <c r="AC16" i="19"/>
  <c r="AD308" i="10"/>
  <c r="AF301" i="10"/>
  <c r="AF270" i="10"/>
  <c r="AD307" i="10"/>
  <c r="AF308" i="10"/>
  <c r="AD305" i="10"/>
  <c r="AD298" i="10"/>
  <c r="AF302" i="10"/>
  <c r="AD309" i="10"/>
  <c r="AD301" i="10"/>
  <c r="AF297" i="10"/>
  <c r="AD297" i="10"/>
  <c r="AF309" i="10"/>
  <c r="AF304" i="10"/>
  <c r="AD299" i="10"/>
  <c r="AF305" i="10"/>
  <c r="AD300" i="10"/>
  <c r="AF307" i="10"/>
  <c r="AF299" i="10"/>
  <c r="AD303" i="10"/>
  <c r="AD270" i="10"/>
  <c r="AD304" i="10"/>
  <c r="AF303" i="10"/>
  <c r="Z132" i="12"/>
  <c r="Z133" i="12"/>
  <c r="Z131" i="12"/>
  <c r="AL119" i="11"/>
  <c r="AK119" i="11"/>
  <c r="AK242" i="11"/>
  <c r="AL242" i="11"/>
  <c r="AC40" i="14"/>
  <c r="AB40" i="14"/>
  <c r="V40" i="14"/>
  <c r="AK295" i="11"/>
  <c r="AL295" i="11"/>
  <c r="AC122" i="9"/>
  <c r="AD122" i="9"/>
  <c r="AK310" i="11"/>
  <c r="AL310" i="11"/>
  <c r="AL230" i="11"/>
  <c r="AK230" i="11"/>
  <c r="AL116" i="11"/>
  <c r="AK116" i="11"/>
  <c r="AE337" i="11"/>
  <c r="AE327" i="11"/>
  <c r="AG329" i="11"/>
  <c r="AF329" i="11" s="1"/>
  <c r="AG338" i="11"/>
  <c r="AF338" i="11" s="1"/>
  <c r="AE285" i="11"/>
  <c r="AE293" i="11"/>
  <c r="AG285" i="11"/>
  <c r="AF285" i="11" s="1"/>
  <c r="AG293" i="11"/>
  <c r="AF293" i="11" s="1"/>
  <c r="AE161" i="11"/>
  <c r="AE245" i="11"/>
  <c r="AG337" i="11"/>
  <c r="AF337" i="11" s="1"/>
  <c r="AE328" i="11"/>
  <c r="AG330" i="11"/>
  <c r="AF330" i="11" s="1"/>
  <c r="AE286" i="11"/>
  <c r="AE294" i="11"/>
  <c r="AG286" i="11"/>
  <c r="AF286" i="11" s="1"/>
  <c r="AG294" i="11"/>
  <c r="AF294" i="11" s="1"/>
  <c r="AE162" i="11"/>
  <c r="AE246" i="11"/>
  <c r="AE266" i="11"/>
  <c r="AG162" i="11"/>
  <c r="AF162" i="11" s="1"/>
  <c r="AG243" i="11"/>
  <c r="AF243" i="11" s="1"/>
  <c r="AG262" i="11"/>
  <c r="AF262" i="11" s="1"/>
  <c r="AE329" i="11"/>
  <c r="AG331" i="11"/>
  <c r="AF331" i="11" s="1"/>
  <c r="AE287" i="11"/>
  <c r="AE295" i="11"/>
  <c r="AG287" i="11"/>
  <c r="AF287" i="11" s="1"/>
  <c r="AG295" i="11"/>
  <c r="AF295" i="11" s="1"/>
  <c r="AE215" i="11"/>
  <c r="AE247" i="11"/>
  <c r="AE267" i="11"/>
  <c r="AG244" i="11"/>
  <c r="AF244" i="11" s="1"/>
  <c r="AG263" i="11"/>
  <c r="AF263" i="11" s="1"/>
  <c r="AE336" i="11"/>
  <c r="AE331" i="11"/>
  <c r="AE289" i="11"/>
  <c r="AE297" i="11"/>
  <c r="AG289" i="11"/>
  <c r="AF289" i="11" s="1"/>
  <c r="AG297" i="11"/>
  <c r="AF297" i="11" s="1"/>
  <c r="AE330" i="11"/>
  <c r="AE338" i="11"/>
  <c r="AE291" i="11"/>
  <c r="AG291" i="11"/>
  <c r="AF291" i="11" s="1"/>
  <c r="AE217" i="11"/>
  <c r="AE264" i="11"/>
  <c r="AG246" i="11"/>
  <c r="AF246" i="11" s="1"/>
  <c r="AG267" i="11"/>
  <c r="AF267" i="11" s="1"/>
  <c r="AG332" i="11"/>
  <c r="AF332" i="11" s="1"/>
  <c r="AG328" i="11"/>
  <c r="AF328" i="11" s="1"/>
  <c r="AE298" i="11"/>
  <c r="AE269" i="11"/>
  <c r="AG260" i="11"/>
  <c r="AF260" i="11" s="1"/>
  <c r="AG326" i="11"/>
  <c r="AF326" i="11" s="1"/>
  <c r="AE292" i="11"/>
  <c r="AG292" i="11"/>
  <c r="AF292" i="11" s="1"/>
  <c r="AE218" i="11"/>
  <c r="AE265" i="11"/>
  <c r="AG247" i="11"/>
  <c r="AF247" i="11" s="1"/>
  <c r="AG268" i="11"/>
  <c r="AF268" i="11" s="1"/>
  <c r="AE120" i="11"/>
  <c r="AG327" i="11"/>
  <c r="AF327" i="11" s="1"/>
  <c r="AE296" i="11"/>
  <c r="AG296" i="11"/>
  <c r="AF296" i="11" s="1"/>
  <c r="AE243" i="11"/>
  <c r="AE268" i="11"/>
  <c r="AG215" i="11"/>
  <c r="AF215" i="11" s="1"/>
  <c r="AG269" i="11"/>
  <c r="AF269" i="11" s="1"/>
  <c r="AG298" i="11"/>
  <c r="AF298" i="11" s="1"/>
  <c r="AE244" i="11"/>
  <c r="AG216" i="11"/>
  <c r="AF216" i="11" s="1"/>
  <c r="AE283" i="11"/>
  <c r="AG283" i="11"/>
  <c r="AF283" i="11" s="1"/>
  <c r="AE262" i="11"/>
  <c r="AG217" i="11"/>
  <c r="AF217" i="11" s="1"/>
  <c r="AG261" i="11"/>
  <c r="AF261" i="11" s="1"/>
  <c r="AE282" i="11"/>
  <c r="AE311" i="11"/>
  <c r="AG336" i="11"/>
  <c r="AF336" i="11" s="1"/>
  <c r="AE160" i="11"/>
  <c r="AG161" i="11"/>
  <c r="AF161" i="11" s="1"/>
  <c r="AG265" i="11"/>
  <c r="AF265" i="11" s="1"/>
  <c r="AG146" i="11"/>
  <c r="AF146" i="11" s="1"/>
  <c r="AG312" i="11"/>
  <c r="AF312" i="11" s="1"/>
  <c r="AE290" i="11"/>
  <c r="AG288" i="11"/>
  <c r="AF288" i="11" s="1"/>
  <c r="AG290" i="11"/>
  <c r="AF290" i="11" s="1"/>
  <c r="AE216" i="11"/>
  <c r="AG266" i="11"/>
  <c r="AF266" i="11" s="1"/>
  <c r="AG245" i="11"/>
  <c r="AF245" i="11" s="1"/>
  <c r="AE326" i="11"/>
  <c r="AE284" i="11"/>
  <c r="AE260" i="11"/>
  <c r="AG311" i="11"/>
  <c r="AF311" i="11" s="1"/>
  <c r="AE146" i="11"/>
  <c r="AG120" i="11"/>
  <c r="AF120" i="11" s="1"/>
  <c r="AE263" i="11"/>
  <c r="AG160" i="11"/>
  <c r="AF160" i="11" s="1"/>
  <c r="AE312" i="11"/>
  <c r="AE288" i="11"/>
  <c r="AE261" i="11"/>
  <c r="AG218" i="11"/>
  <c r="AF218" i="11" s="1"/>
  <c r="AG284" i="11"/>
  <c r="AF284" i="11" s="1"/>
  <c r="AG282" i="11"/>
  <c r="AF282" i="11" s="1"/>
  <c r="AE333" i="11"/>
  <c r="AG264" i="11"/>
  <c r="AF264" i="11" s="1"/>
  <c r="AE305" i="11"/>
  <c r="AE303" i="11"/>
  <c r="AG333" i="11"/>
  <c r="AF333" i="11" s="1"/>
  <c r="AG305" i="11"/>
  <c r="AF305" i="11" s="1"/>
  <c r="AG300" i="11"/>
  <c r="AF300" i="11" s="1"/>
  <c r="AE320" i="11"/>
  <c r="AE334" i="11"/>
  <c r="AE306" i="11"/>
  <c r="AE314" i="11"/>
  <c r="AE316" i="11"/>
  <c r="AE308" i="11"/>
  <c r="AE324" i="11"/>
  <c r="AE310" i="11"/>
  <c r="AE301" i="11"/>
  <c r="AE321" i="11"/>
  <c r="AE335" i="11"/>
  <c r="AE323" i="11"/>
  <c r="AG299" i="11"/>
  <c r="AF299" i="11" s="1"/>
  <c r="AG309" i="11"/>
  <c r="AF309" i="11" s="1"/>
  <c r="Z178" i="12"/>
  <c r="AE315" i="11"/>
  <c r="AE307" i="11"/>
  <c r="AE319" i="11"/>
  <c r="AG335" i="11"/>
  <c r="AF335" i="11" s="1"/>
  <c r="AG304" i="11"/>
  <c r="AF304" i="11" s="1"/>
  <c r="D178" i="12"/>
  <c r="Z179" i="12"/>
  <c r="AE318" i="11"/>
  <c r="AG301" i="11"/>
  <c r="AF301" i="11" s="1"/>
  <c r="AE325" i="11"/>
  <c r="AE317" i="11"/>
  <c r="AE309" i="11"/>
  <c r="AG314" i="11"/>
  <c r="AF314" i="11" s="1"/>
  <c r="AG315" i="11"/>
  <c r="AF315" i="11" s="1"/>
  <c r="AE299" i="11"/>
  <c r="AG302" i="11"/>
  <c r="AF302" i="11" s="1"/>
  <c r="AE304" i="11"/>
  <c r="AG318" i="11"/>
  <c r="AF318" i="11" s="1"/>
  <c r="AG325" i="11"/>
  <c r="AF325" i="11" s="1"/>
  <c r="AG322" i="11"/>
  <c r="AF322" i="11" s="1"/>
  <c r="AE121" i="11"/>
  <c r="AG303" i="11"/>
  <c r="AF303" i="11" s="1"/>
  <c r="AG317" i="11"/>
  <c r="AF317" i="11" s="1"/>
  <c r="AG306" i="11"/>
  <c r="AF306" i="11" s="1"/>
  <c r="AG147" i="11"/>
  <c r="AF147" i="11" s="1"/>
  <c r="AG121" i="11"/>
  <c r="AF121" i="11" s="1"/>
  <c r="AE322" i="11"/>
  <c r="AG324" i="11"/>
  <c r="AF324" i="11" s="1"/>
  <c r="AG310" i="11"/>
  <c r="AF310" i="11" s="1"/>
  <c r="AE332" i="11"/>
  <c r="AG323" i="11"/>
  <c r="AF323" i="11" s="1"/>
  <c r="AG316" i="11"/>
  <c r="AF316" i="11" s="1"/>
  <c r="AE302" i="11"/>
  <c r="AG122" i="11"/>
  <c r="AF122" i="11" s="1"/>
  <c r="AG334" i="11"/>
  <c r="AF334" i="11" s="1"/>
  <c r="AE300" i="11"/>
  <c r="AG321" i="11"/>
  <c r="AF321" i="11" s="1"/>
  <c r="AE147" i="11"/>
  <c r="AE122" i="11"/>
  <c r="AG307" i="11"/>
  <c r="AF307" i="11" s="1"/>
  <c r="AG319" i="11"/>
  <c r="AF319" i="11" s="1"/>
  <c r="AG308" i="11"/>
  <c r="AF308" i="11" s="1"/>
  <c r="AG320" i="11"/>
  <c r="AF320" i="11" s="1"/>
  <c r="AD164" i="19"/>
  <c r="AC160" i="19"/>
  <c r="AD157" i="19"/>
  <c r="AC155" i="19"/>
  <c r="AC164" i="19"/>
  <c r="AC157" i="19"/>
  <c r="AD154" i="19"/>
  <c r="AC30" i="19"/>
  <c r="E163" i="19"/>
  <c r="AD159" i="19"/>
  <c r="AC154" i="19"/>
  <c r="E162" i="19"/>
  <c r="AC159" i="19"/>
  <c r="AD156" i="19"/>
  <c r="AD161" i="19"/>
  <c r="AC156" i="19"/>
  <c r="AC161" i="19"/>
  <c r="AD158" i="19"/>
  <c r="AD160" i="19"/>
  <c r="E161" i="19"/>
  <c r="AC158" i="19"/>
  <c r="AD155" i="19"/>
  <c r="AC31" i="19"/>
  <c r="Z176" i="12"/>
  <c r="Z177" i="12"/>
  <c r="Z175" i="12"/>
  <c r="AL69" i="11"/>
  <c r="AK69" i="11"/>
  <c r="AC45" i="9"/>
  <c r="AD45" i="9"/>
  <c r="AK117" i="11"/>
  <c r="AL117" i="11"/>
  <c r="AK198" i="10"/>
  <c r="AJ198" i="10"/>
  <c r="D201" i="10"/>
  <c r="E198" i="10"/>
  <c r="D281" i="10"/>
  <c r="AJ280" i="10"/>
  <c r="AK280" i="10"/>
  <c r="AN232" i="10"/>
  <c r="AO232" i="10"/>
  <c r="AA232" i="10"/>
  <c r="AO197" i="10"/>
  <c r="AN197" i="10"/>
  <c r="AA197" i="10"/>
  <c r="E236" i="10"/>
  <c r="AK236" i="10"/>
  <c r="AJ236" i="10"/>
  <c r="D239" i="10"/>
  <c r="E235" i="10"/>
  <c r="D238" i="10"/>
  <c r="AJ235" i="10"/>
  <c r="AK235" i="10"/>
  <c r="AK200" i="10"/>
  <c r="D203" i="10"/>
  <c r="E200" i="10"/>
  <c r="AJ200" i="10"/>
  <c r="E234" i="10"/>
  <c r="D237" i="10"/>
  <c r="AK234" i="10"/>
  <c r="AJ234" i="10"/>
  <c r="AN233" i="10"/>
  <c r="AO233" i="10"/>
  <c r="AA233" i="10"/>
  <c r="AJ199" i="10"/>
  <c r="AK199" i="10"/>
  <c r="E199" i="10"/>
  <c r="D202" i="10"/>
  <c r="AO231" i="10"/>
  <c r="AN231" i="10"/>
  <c r="AA231" i="10"/>
  <c r="AA195" i="10"/>
  <c r="AO195" i="10"/>
  <c r="AN195" i="10"/>
  <c r="AN196" i="10"/>
  <c r="AO196" i="10"/>
  <c r="AA196" i="10"/>
  <c r="U95" i="1"/>
  <c r="X95" i="1"/>
  <c r="AO94" i="1"/>
  <c r="J96" i="1"/>
  <c r="O96" i="1" s="1"/>
  <c r="I96" i="1"/>
  <c r="S136" i="1"/>
  <c r="V136" i="1"/>
  <c r="AO135" i="1"/>
  <c r="I138" i="1"/>
  <c r="G138" i="1"/>
  <c r="AP138" i="1" s="1"/>
  <c r="J137" i="1"/>
  <c r="O137" i="1" s="1"/>
  <c r="AP99" i="1"/>
  <c r="AM56" i="1"/>
  <c r="Y56" i="1"/>
  <c r="AP59" i="1"/>
  <c r="J58" i="1"/>
  <c r="O58" i="1" s="1"/>
  <c r="I57" i="1"/>
  <c r="U57" i="1"/>
  <c r="X57" i="1"/>
  <c r="I177" i="1"/>
  <c r="U175" i="1"/>
  <c r="X175" i="1"/>
  <c r="J176" i="1"/>
  <c r="O176" i="1" s="1"/>
  <c r="AP177" i="1"/>
  <c r="AO174" i="1"/>
  <c r="J18" i="1"/>
  <c r="O18" i="1" s="1"/>
  <c r="I17" i="1"/>
  <c r="U17" i="1"/>
  <c r="X17" i="1"/>
  <c r="AP19" i="1"/>
  <c r="AM16" i="1"/>
  <c r="Y16" i="1"/>
  <c r="AD164" i="13"/>
  <c r="AD158" i="13"/>
  <c r="AD154" i="13"/>
  <c r="AD161" i="13"/>
  <c r="AD157" i="13"/>
  <c r="AC30" i="13"/>
  <c r="AD160" i="13"/>
  <c r="AD156" i="13"/>
  <c r="AD159" i="13"/>
  <c r="AD155" i="13"/>
  <c r="AD134" i="13"/>
  <c r="AD130" i="13"/>
  <c r="AD139" i="13"/>
  <c r="AD133" i="13"/>
  <c r="AD129" i="13"/>
  <c r="AD136" i="13"/>
  <c r="AD132" i="13"/>
  <c r="AD116" i="13"/>
  <c r="AD135" i="13"/>
  <c r="AD131" i="13"/>
  <c r="E174" i="12"/>
  <c r="D176" i="12"/>
  <c r="D179" i="12"/>
  <c r="D177" i="12"/>
  <c r="AC156" i="13"/>
  <c r="AC160" i="13"/>
  <c r="E162" i="13"/>
  <c r="AC157" i="13"/>
  <c r="AC154" i="13"/>
  <c r="AC158" i="13"/>
  <c r="AC164" i="13"/>
  <c r="AC155" i="13"/>
  <c r="AC159" i="13"/>
  <c r="E163" i="13"/>
  <c r="AC161" i="13"/>
  <c r="E161" i="13"/>
  <c r="D175" i="12"/>
  <c r="E130" i="12"/>
  <c r="D133" i="12"/>
  <c r="D132" i="12"/>
  <c r="D135" i="12"/>
  <c r="AC116" i="13"/>
  <c r="AC132" i="13"/>
  <c r="AC136" i="13"/>
  <c r="AC129" i="13"/>
  <c r="AC130" i="13"/>
  <c r="AC134" i="13"/>
  <c r="E137" i="13"/>
  <c r="AC131" i="13"/>
  <c r="AC135" i="13"/>
  <c r="E136" i="13"/>
  <c r="AC133" i="13"/>
  <c r="AC139" i="13"/>
  <c r="E138" i="13"/>
  <c r="D131" i="12"/>
  <c r="AA49" i="5"/>
  <c r="Z49" i="5"/>
  <c r="I49" i="5"/>
  <c r="AE49" i="5"/>
  <c r="AE48" i="5"/>
  <c r="AD48" i="5"/>
  <c r="AA48" i="5"/>
  <c r="Z48" i="5"/>
  <c r="I48" i="5"/>
  <c r="AE47" i="5"/>
  <c r="AD47" i="5"/>
  <c r="AA47" i="5"/>
  <c r="Z47" i="5"/>
  <c r="I47" i="5"/>
  <c r="AE46" i="5"/>
  <c r="AD46" i="5"/>
  <c r="AA46" i="5"/>
  <c r="Z46" i="5"/>
  <c r="I46" i="5"/>
  <c r="AE45" i="5"/>
  <c r="AD45" i="5"/>
  <c r="AA45" i="5"/>
  <c r="Z45" i="5"/>
  <c r="I45" i="5"/>
  <c r="AE44" i="5"/>
  <c r="AD44" i="5"/>
  <c r="AA44" i="5"/>
  <c r="Z44" i="5"/>
  <c r="I44" i="5"/>
  <c r="AE43" i="5"/>
  <c r="AD43" i="5"/>
  <c r="AA43" i="5"/>
  <c r="Z43" i="5"/>
  <c r="I43" i="5"/>
  <c r="H693" i="1" l="1"/>
  <c r="I692" i="1"/>
  <c r="J692" i="1"/>
  <c r="O692" i="1" s="1"/>
  <c r="AA174" i="12"/>
  <c r="AW174" i="12"/>
  <c r="AV174" i="12" s="1"/>
  <c r="AA130" i="12"/>
  <c r="AW130" i="12"/>
  <c r="AV130" i="12" s="1"/>
  <c r="AI319" i="11"/>
  <c r="AJ319" i="11"/>
  <c r="AI263" i="11"/>
  <c r="AJ263" i="11"/>
  <c r="N302" i="10"/>
  <c r="AE302" i="10"/>
  <c r="AI325" i="11"/>
  <c r="AJ325" i="11"/>
  <c r="AI307" i="11"/>
  <c r="AJ307" i="11"/>
  <c r="AI301" i="11"/>
  <c r="AJ301" i="11"/>
  <c r="AJ320" i="11"/>
  <c r="AI320" i="11"/>
  <c r="AI216" i="11"/>
  <c r="AJ216" i="11"/>
  <c r="AI160" i="11"/>
  <c r="AJ160" i="11"/>
  <c r="O160" i="11" s="1"/>
  <c r="AJ283" i="11"/>
  <c r="AI283" i="11"/>
  <c r="AJ267" i="11"/>
  <c r="AI267" i="11"/>
  <c r="AI329" i="11"/>
  <c r="AJ329" i="11"/>
  <c r="AE303" i="10"/>
  <c r="N303" i="10"/>
  <c r="AI299" i="10"/>
  <c r="AH299" i="10"/>
  <c r="AI298" i="10"/>
  <c r="AH298" i="10"/>
  <c r="N300" i="10"/>
  <c r="AE300" i="10"/>
  <c r="N287" i="10"/>
  <c r="AE287" i="10"/>
  <c r="AE286" i="10"/>
  <c r="N286" i="10"/>
  <c r="AI282" i="10"/>
  <c r="AH282" i="10"/>
  <c r="AH286" i="10"/>
  <c r="AI286" i="10"/>
  <c r="AE256" i="10"/>
  <c r="N256" i="10"/>
  <c r="N279" i="10"/>
  <c r="AE279" i="10"/>
  <c r="N296" i="10"/>
  <c r="AE296" i="10"/>
  <c r="AJ333" i="11"/>
  <c r="AI333" i="11"/>
  <c r="AJ243" i="11"/>
  <c r="AI243" i="11"/>
  <c r="AJ330" i="11"/>
  <c r="AI330" i="11"/>
  <c r="AI337" i="11"/>
  <c r="AJ337" i="11"/>
  <c r="AI306" i="10"/>
  <c r="AH306" i="10"/>
  <c r="AI257" i="10"/>
  <c r="AH257" i="10"/>
  <c r="AI256" i="10"/>
  <c r="AH256" i="10"/>
  <c r="AJ304" i="11"/>
  <c r="AI304" i="11"/>
  <c r="AH305" i="10"/>
  <c r="AI305" i="10"/>
  <c r="AI281" i="10"/>
  <c r="AH281" i="10"/>
  <c r="AI318" i="11"/>
  <c r="AJ318" i="11"/>
  <c r="AI324" i="11"/>
  <c r="AJ324" i="11"/>
  <c r="AJ311" i="11"/>
  <c r="AI311" i="11"/>
  <c r="AI244" i="11"/>
  <c r="AJ244" i="11"/>
  <c r="AI264" i="11"/>
  <c r="AJ264" i="11"/>
  <c r="AJ297" i="11"/>
  <c r="AI297" i="11"/>
  <c r="AJ215" i="11"/>
  <c r="AI215" i="11"/>
  <c r="AI286" i="11"/>
  <c r="AJ286" i="11"/>
  <c r="AI293" i="11"/>
  <c r="AJ293" i="11"/>
  <c r="AI270" i="10"/>
  <c r="AH270" i="10"/>
  <c r="N309" i="10"/>
  <c r="AE309" i="10"/>
  <c r="N308" i="10"/>
  <c r="AE308" i="10"/>
  <c r="AH269" i="10"/>
  <c r="AI269" i="10"/>
  <c r="N276" i="10"/>
  <c r="AE276" i="10"/>
  <c r="AI296" i="10"/>
  <c r="AH296" i="10"/>
  <c r="AH273" i="10"/>
  <c r="AI273" i="10"/>
  <c r="N292" i="10"/>
  <c r="AE292" i="10"/>
  <c r="AE271" i="10"/>
  <c r="N271" i="10"/>
  <c r="AE274" i="10"/>
  <c r="N274" i="10"/>
  <c r="AH290" i="10"/>
  <c r="AI290" i="10"/>
  <c r="N284" i="10"/>
  <c r="AE284" i="10"/>
  <c r="N269" i="10"/>
  <c r="AE269" i="10"/>
  <c r="N283" i="10"/>
  <c r="AE283" i="10"/>
  <c r="N142" i="10"/>
  <c r="AE142" i="10"/>
  <c r="AI291" i="10"/>
  <c r="AH291" i="10"/>
  <c r="AJ322" i="11"/>
  <c r="AI322" i="11"/>
  <c r="AI289" i="10"/>
  <c r="AH289" i="10"/>
  <c r="AJ302" i="11"/>
  <c r="AI302" i="11"/>
  <c r="AJ310" i="11"/>
  <c r="AI310" i="11"/>
  <c r="AH271" i="10"/>
  <c r="AI271" i="10"/>
  <c r="AJ122" i="11"/>
  <c r="AI122" i="11"/>
  <c r="AI299" i="11"/>
  <c r="AJ299" i="11"/>
  <c r="AI308" i="11"/>
  <c r="AJ308" i="11"/>
  <c r="AI261" i="11"/>
  <c r="AJ261" i="11"/>
  <c r="AI260" i="11"/>
  <c r="AJ260" i="11"/>
  <c r="AJ290" i="11"/>
  <c r="AI290" i="11"/>
  <c r="AJ282" i="11"/>
  <c r="AI282" i="11"/>
  <c r="AJ120" i="11"/>
  <c r="AI120" i="11"/>
  <c r="AJ217" i="11"/>
  <c r="AI217" i="11"/>
  <c r="AI289" i="11"/>
  <c r="AJ289" i="11"/>
  <c r="AI285" i="11"/>
  <c r="AJ285" i="11"/>
  <c r="AI303" i="10"/>
  <c r="AH303" i="10"/>
  <c r="AH297" i="10"/>
  <c r="AI297" i="10"/>
  <c r="AI307" i="10"/>
  <c r="AH307" i="10"/>
  <c r="AE268" i="10"/>
  <c r="N268" i="10"/>
  <c r="AE295" i="10"/>
  <c r="N295" i="10"/>
  <c r="AH288" i="10"/>
  <c r="AI288" i="10"/>
  <c r="AH267" i="10"/>
  <c r="AI267" i="10"/>
  <c r="AI295" i="10"/>
  <c r="AH295" i="10"/>
  <c r="AH266" i="10"/>
  <c r="AI266" i="10"/>
  <c r="AE291" i="10"/>
  <c r="N291" i="10"/>
  <c r="N240" i="10"/>
  <c r="AE240" i="10"/>
  <c r="AH275" i="10"/>
  <c r="AI275" i="10"/>
  <c r="N278" i="10"/>
  <c r="AE278" i="10"/>
  <c r="N280" i="10"/>
  <c r="AE280" i="10"/>
  <c r="AJ334" i="11"/>
  <c r="AI334" i="11"/>
  <c r="AI161" i="11"/>
  <c r="AJ161" i="11"/>
  <c r="O161" i="11" s="1"/>
  <c r="AE305" i="10"/>
  <c r="N305" i="10"/>
  <c r="AH287" i="10"/>
  <c r="AI287" i="10"/>
  <c r="AH279" i="10"/>
  <c r="AI279" i="10"/>
  <c r="AJ315" i="11"/>
  <c r="AI315" i="11"/>
  <c r="AI296" i="11"/>
  <c r="AJ296" i="11"/>
  <c r="AH302" i="10"/>
  <c r="AI302" i="10"/>
  <c r="AE293" i="10"/>
  <c r="N293" i="10"/>
  <c r="AI285" i="10"/>
  <c r="AH285" i="10"/>
  <c r="AJ147" i="11"/>
  <c r="AI147" i="11"/>
  <c r="AJ316" i="11"/>
  <c r="AI316" i="11"/>
  <c r="AJ288" i="11"/>
  <c r="AI288" i="11"/>
  <c r="AJ284" i="11"/>
  <c r="AI284" i="11"/>
  <c r="AJ269" i="11"/>
  <c r="AI269" i="11"/>
  <c r="AJ331" i="11"/>
  <c r="AI331" i="11"/>
  <c r="AI266" i="11"/>
  <c r="AJ266" i="11"/>
  <c r="AI328" i="11"/>
  <c r="AJ328" i="11"/>
  <c r="AE299" i="10"/>
  <c r="N299" i="10"/>
  <c r="AE297" i="10"/>
  <c r="N297" i="10"/>
  <c r="AE270" i="10"/>
  <c r="N270" i="10"/>
  <c r="AE277" i="10"/>
  <c r="N277" i="10"/>
  <c r="N273" i="10"/>
  <c r="AE273" i="10"/>
  <c r="AE266" i="10"/>
  <c r="N266" i="10"/>
  <c r="N265" i="10"/>
  <c r="AE265" i="10"/>
  <c r="AH294" i="10"/>
  <c r="AI294" i="10"/>
  <c r="AE272" i="10"/>
  <c r="N272" i="10"/>
  <c r="N306" i="10"/>
  <c r="AE306" i="10"/>
  <c r="AI240" i="10"/>
  <c r="AH240" i="10"/>
  <c r="X240" i="10" s="1"/>
  <c r="N298" i="10"/>
  <c r="AE298" i="10"/>
  <c r="N275" i="10"/>
  <c r="AE275" i="10"/>
  <c r="AI317" i="11"/>
  <c r="AJ317" i="11"/>
  <c r="AI277" i="10"/>
  <c r="AH277" i="10"/>
  <c r="AI146" i="11"/>
  <c r="AJ146" i="11"/>
  <c r="N304" i="10"/>
  <c r="AE304" i="10"/>
  <c r="N281" i="10"/>
  <c r="AE281" i="10"/>
  <c r="AH284" i="10"/>
  <c r="AI284" i="10"/>
  <c r="N288" i="10"/>
  <c r="AE288" i="10"/>
  <c r="AJ332" i="11"/>
  <c r="AI332" i="11"/>
  <c r="AI303" i="11"/>
  <c r="AJ303" i="11"/>
  <c r="Z130" i="12"/>
  <c r="AJ121" i="11"/>
  <c r="AI121" i="11"/>
  <c r="AI323" i="11"/>
  <c r="AJ323" i="11"/>
  <c r="AJ314" i="11"/>
  <c r="AI314" i="11"/>
  <c r="AI305" i="11"/>
  <c r="AJ305" i="11"/>
  <c r="AJ312" i="11"/>
  <c r="AI312" i="11"/>
  <c r="AI326" i="11"/>
  <c r="AJ326" i="11"/>
  <c r="AJ298" i="11"/>
  <c r="AI298" i="11"/>
  <c r="AJ291" i="11"/>
  <c r="AI291" i="11"/>
  <c r="AJ336" i="11"/>
  <c r="AI336" i="11"/>
  <c r="AI295" i="11"/>
  <c r="AJ295" i="11"/>
  <c r="AJ246" i="11"/>
  <c r="AI246" i="11"/>
  <c r="AE307" i="10"/>
  <c r="N307" i="10"/>
  <c r="AH301" i="10"/>
  <c r="AI301" i="10"/>
  <c r="AE301" i="10"/>
  <c r="N301" i="10"/>
  <c r="AI276" i="10"/>
  <c r="AH276" i="10"/>
  <c r="AI268" i="10"/>
  <c r="AH268" i="10"/>
  <c r="N258" i="10"/>
  <c r="AE258" i="10"/>
  <c r="AI258" i="10"/>
  <c r="AH258" i="10"/>
  <c r="AH265" i="10"/>
  <c r="AI265" i="10"/>
  <c r="N290" i="10"/>
  <c r="AE290" i="10"/>
  <c r="AH272" i="10"/>
  <c r="AI272" i="10"/>
  <c r="AE289" i="10"/>
  <c r="N289" i="10"/>
  <c r="AH283" i="10"/>
  <c r="AI283" i="10"/>
  <c r="AJ321" i="11"/>
  <c r="AI321" i="11"/>
  <c r="AJ218" i="11"/>
  <c r="AI218" i="11"/>
  <c r="AH274" i="10"/>
  <c r="AI274" i="10"/>
  <c r="AJ292" i="11"/>
  <c r="AI292" i="11"/>
  <c r="AI247" i="11"/>
  <c r="AJ247" i="11"/>
  <c r="AI294" i="11"/>
  <c r="AJ294" i="11"/>
  <c r="AI304" i="10"/>
  <c r="AH304" i="10"/>
  <c r="N285" i="10"/>
  <c r="AE285" i="10"/>
  <c r="AH142" i="10"/>
  <c r="AI142" i="10"/>
  <c r="AI280" i="10"/>
  <c r="AH280" i="10"/>
  <c r="Z174" i="12"/>
  <c r="AJ300" i="11"/>
  <c r="AI300" i="11"/>
  <c r="AI309" i="11"/>
  <c r="AJ309" i="11"/>
  <c r="AJ335" i="11"/>
  <c r="AI335" i="11"/>
  <c r="AI306" i="11"/>
  <c r="AJ306" i="11"/>
  <c r="AJ262" i="11"/>
  <c r="AI262" i="11"/>
  <c r="AI268" i="11"/>
  <c r="AJ268" i="11"/>
  <c r="AJ265" i="11"/>
  <c r="AI265" i="11"/>
  <c r="AI338" i="11"/>
  <c r="AJ338" i="11"/>
  <c r="AI287" i="11"/>
  <c r="AJ287" i="11"/>
  <c r="AI162" i="11"/>
  <c r="AJ162" i="11"/>
  <c r="O162" i="11" s="1"/>
  <c r="AJ245" i="11"/>
  <c r="AI245" i="11"/>
  <c r="AI327" i="11"/>
  <c r="AJ327" i="11"/>
  <c r="AH300" i="10"/>
  <c r="AI300" i="10"/>
  <c r="AH309" i="10"/>
  <c r="AI309" i="10"/>
  <c r="AI308" i="10"/>
  <c r="AH308" i="10"/>
  <c r="N294" i="10"/>
  <c r="AE294" i="10"/>
  <c r="N267" i="10"/>
  <c r="AE267" i="10"/>
  <c r="AH278" i="10"/>
  <c r="AI278" i="10"/>
  <c r="N257" i="10"/>
  <c r="AE257" i="10"/>
  <c r="AE264" i="10"/>
  <c r="N264" i="10"/>
  <c r="AH293" i="10"/>
  <c r="AI293" i="10"/>
  <c r="AI264" i="10"/>
  <c r="AH264" i="10"/>
  <c r="AI292" i="10"/>
  <c r="AH292" i="10"/>
  <c r="AE282" i="10"/>
  <c r="N282" i="10"/>
  <c r="AJ202" i="10"/>
  <c r="AK202" i="10"/>
  <c r="E202" i="10"/>
  <c r="AO200" i="10"/>
  <c r="AN200" i="10"/>
  <c r="AA200" i="10"/>
  <c r="AO198" i="10"/>
  <c r="AN198" i="10"/>
  <c r="AA198" i="10"/>
  <c r="AN199" i="10"/>
  <c r="AO199" i="10"/>
  <c r="AA199" i="10"/>
  <c r="E237" i="10"/>
  <c r="AJ237" i="10"/>
  <c r="AK237" i="10"/>
  <c r="E203" i="10"/>
  <c r="AK203" i="10"/>
  <c r="AJ203" i="10"/>
  <c r="E238" i="10"/>
  <c r="AJ238" i="10"/>
  <c r="AK238" i="10"/>
  <c r="E201" i="10"/>
  <c r="AK201" i="10"/>
  <c r="AJ201" i="10"/>
  <c r="AO234" i="10"/>
  <c r="AN234" i="10"/>
  <c r="AA234" i="10"/>
  <c r="AO235" i="10"/>
  <c r="AN235" i="10"/>
  <c r="AA235" i="10"/>
  <c r="AO236" i="10"/>
  <c r="AN236" i="10"/>
  <c r="AA236" i="10"/>
  <c r="AJ239" i="10"/>
  <c r="AK239" i="10"/>
  <c r="E239" i="10"/>
  <c r="AK281" i="10"/>
  <c r="AJ281" i="10"/>
  <c r="AO95" i="1"/>
  <c r="V96" i="1"/>
  <c r="S96" i="1"/>
  <c r="I97" i="1"/>
  <c r="J97" i="1"/>
  <c r="O97" i="1" s="1"/>
  <c r="AM136" i="1"/>
  <c r="Y136" i="1"/>
  <c r="J138" i="1"/>
  <c r="O138" i="1" s="1"/>
  <c r="G139" i="1"/>
  <c r="AP139" i="1" s="1"/>
  <c r="I139" i="1"/>
  <c r="U137" i="1"/>
  <c r="X137" i="1"/>
  <c r="AP100" i="1"/>
  <c r="J59" i="1"/>
  <c r="O59" i="1" s="1"/>
  <c r="I58" i="1"/>
  <c r="X58" i="1"/>
  <c r="U58" i="1"/>
  <c r="AO57" i="1"/>
  <c r="AP60" i="1"/>
  <c r="I178" i="1"/>
  <c r="AP178" i="1"/>
  <c r="J177" i="1"/>
  <c r="O177" i="1" s="1"/>
  <c r="AO175" i="1"/>
  <c r="V176" i="1"/>
  <c r="S176" i="1"/>
  <c r="J19" i="1"/>
  <c r="O19" i="1" s="1"/>
  <c r="I18" i="1"/>
  <c r="AP20" i="1"/>
  <c r="U18" i="1"/>
  <c r="X18" i="1"/>
  <c r="AO17" i="1"/>
  <c r="D174" i="12"/>
  <c r="D130" i="12"/>
  <c r="AD49" i="5"/>
  <c r="Y5" i="14"/>
  <c r="Y6" i="14"/>
  <c r="AA6" i="14" s="1"/>
  <c r="P6" i="14" s="1"/>
  <c r="V6" i="14" s="1"/>
  <c r="Y7" i="14"/>
  <c r="Z7" i="14" s="1"/>
  <c r="Y8" i="14"/>
  <c r="AA8" i="14" s="1"/>
  <c r="Y9" i="14"/>
  <c r="Z9" i="14" s="1"/>
  <c r="Y10" i="14"/>
  <c r="AA10" i="14" s="1"/>
  <c r="Y11" i="14"/>
  <c r="AA11" i="14" s="1"/>
  <c r="Y12" i="14"/>
  <c r="AA12" i="14" s="1"/>
  <c r="Y13" i="14"/>
  <c r="Z13" i="14" s="1"/>
  <c r="Y14" i="14"/>
  <c r="AA14" i="14" s="1"/>
  <c r="Y15" i="14"/>
  <c r="AA15" i="14" s="1"/>
  <c r="Y16" i="14"/>
  <c r="AA16" i="14" s="1"/>
  <c r="Y17" i="14"/>
  <c r="Z17" i="14" s="1"/>
  <c r="Y18" i="14"/>
  <c r="AA18" i="14" s="1"/>
  <c r="Y19" i="14"/>
  <c r="Z19" i="14" s="1"/>
  <c r="Y20" i="14"/>
  <c r="AA20" i="14" s="1"/>
  <c r="Y21" i="14"/>
  <c r="Z21" i="14" s="1"/>
  <c r="Y22" i="14"/>
  <c r="Z22" i="14" s="1"/>
  <c r="Y23" i="14"/>
  <c r="Z23" i="14" s="1"/>
  <c r="Y24" i="14"/>
  <c r="AA24" i="14" s="1"/>
  <c r="Y26" i="14"/>
  <c r="Z26" i="14" s="1"/>
  <c r="Y129" i="14"/>
  <c r="AA129" i="14" s="1"/>
  <c r="Y130" i="14"/>
  <c r="Z130" i="14" s="1"/>
  <c r="Y140" i="14"/>
  <c r="Z140" i="14" s="1"/>
  <c r="Y131" i="14"/>
  <c r="AA131" i="14" s="1"/>
  <c r="Y135" i="14"/>
  <c r="AA135" i="14" s="1"/>
  <c r="G171" i="13"/>
  <c r="F171" i="13" s="1"/>
  <c r="G170" i="13"/>
  <c r="F170" i="13" s="1"/>
  <c r="G169" i="13"/>
  <c r="F169" i="13" s="1"/>
  <c r="G168" i="13"/>
  <c r="F168" i="13" s="1"/>
  <c r="G167" i="13"/>
  <c r="F167" i="13" s="1"/>
  <c r="G166" i="13"/>
  <c r="F166" i="13" s="1"/>
  <c r="F182" i="13"/>
  <c r="F181" i="13"/>
  <c r="F180" i="13"/>
  <c r="AC180" i="13" s="1"/>
  <c r="F179" i="13"/>
  <c r="AC179" i="13" s="1"/>
  <c r="F178" i="13"/>
  <c r="F177" i="13"/>
  <c r="F176" i="13"/>
  <c r="F175" i="13"/>
  <c r="F174" i="13"/>
  <c r="F173" i="13"/>
  <c r="F172" i="13"/>
  <c r="AG135" i="14"/>
  <c r="AF135" i="14"/>
  <c r="AC135" i="14"/>
  <c r="AB135" i="14"/>
  <c r="AG131" i="14"/>
  <c r="AF131" i="14"/>
  <c r="AC131" i="14"/>
  <c r="AB131" i="14"/>
  <c r="AG140" i="14"/>
  <c r="AF140" i="14"/>
  <c r="AC140" i="14"/>
  <c r="AB140" i="14"/>
  <c r="AG130" i="14"/>
  <c r="AF130" i="14"/>
  <c r="AC130" i="14"/>
  <c r="AB130" i="14"/>
  <c r="AG129" i="14"/>
  <c r="AF129" i="14"/>
  <c r="AC129" i="14"/>
  <c r="AB129" i="14"/>
  <c r="AG26" i="14"/>
  <c r="AF26" i="14"/>
  <c r="AC26" i="14"/>
  <c r="AB26" i="14"/>
  <c r="AG24" i="14"/>
  <c r="AF24" i="14"/>
  <c r="AC24" i="14"/>
  <c r="AB24" i="14"/>
  <c r="AG23" i="14"/>
  <c r="AF23" i="14"/>
  <c r="AC23" i="14"/>
  <c r="AB23" i="14"/>
  <c r="AG22" i="14"/>
  <c r="AF22" i="14"/>
  <c r="AC22" i="14"/>
  <c r="AB22" i="14"/>
  <c r="AG21" i="14"/>
  <c r="AF21" i="14"/>
  <c r="AC21" i="14"/>
  <c r="AB21" i="14"/>
  <c r="AG20" i="14"/>
  <c r="AF20" i="14"/>
  <c r="AC20" i="14"/>
  <c r="AB20" i="14"/>
  <c r="AG19" i="14"/>
  <c r="AF19" i="14"/>
  <c r="AC19" i="14"/>
  <c r="AB19" i="14"/>
  <c r="AG18" i="14"/>
  <c r="AF18" i="14"/>
  <c r="AC18" i="14"/>
  <c r="AB18" i="14"/>
  <c r="AG17" i="14"/>
  <c r="AF17" i="14"/>
  <c r="AC17" i="14"/>
  <c r="AB17" i="14"/>
  <c r="AG16" i="14"/>
  <c r="AF16" i="14"/>
  <c r="AC16" i="14"/>
  <c r="AB16" i="14"/>
  <c r="AG15" i="14"/>
  <c r="AF15" i="14"/>
  <c r="AC15" i="14"/>
  <c r="AB15" i="14"/>
  <c r="AG14" i="14"/>
  <c r="AF14" i="14"/>
  <c r="AC14" i="14"/>
  <c r="AB14" i="14"/>
  <c r="AG13" i="14"/>
  <c r="AF13" i="14"/>
  <c r="AC13" i="14"/>
  <c r="AB13" i="14"/>
  <c r="AG12" i="14"/>
  <c r="AF12" i="14"/>
  <c r="AC12" i="14"/>
  <c r="AB12" i="14"/>
  <c r="AG11" i="14"/>
  <c r="AF11" i="14"/>
  <c r="AC11" i="14"/>
  <c r="AB11" i="14"/>
  <c r="AG10" i="14"/>
  <c r="AF10" i="14"/>
  <c r="AC10" i="14"/>
  <c r="AB10" i="14"/>
  <c r="AG9" i="14"/>
  <c r="AF9" i="14"/>
  <c r="AC9" i="14"/>
  <c r="AB9" i="14"/>
  <c r="AG8" i="14"/>
  <c r="AF8" i="14"/>
  <c r="AC8" i="14"/>
  <c r="AB8" i="14"/>
  <c r="AG7" i="14"/>
  <c r="AF7" i="14"/>
  <c r="AC7" i="14"/>
  <c r="AB7" i="14"/>
  <c r="AG6" i="14"/>
  <c r="AF6" i="14"/>
  <c r="AC6" i="14"/>
  <c r="AB6" i="14"/>
  <c r="AG5" i="14"/>
  <c r="AF5" i="14"/>
  <c r="AC5" i="14"/>
  <c r="AB5" i="14"/>
  <c r="H694" i="1" l="1"/>
  <c r="J693" i="1"/>
  <c r="O693" i="1" s="1"/>
  <c r="I693" i="1"/>
  <c r="O268" i="11"/>
  <c r="O294" i="11"/>
  <c r="O146" i="11"/>
  <c r="O266" i="11"/>
  <c r="O289" i="11"/>
  <c r="O218" i="11"/>
  <c r="O314" i="11"/>
  <c r="O288" i="11"/>
  <c r="O297" i="11"/>
  <c r="O333" i="11"/>
  <c r="O327" i="11"/>
  <c r="O338" i="11"/>
  <c r="O306" i="11"/>
  <c r="O305" i="11"/>
  <c r="O317" i="11"/>
  <c r="O328" i="11"/>
  <c r="O285" i="11"/>
  <c r="O308" i="11"/>
  <c r="O245" i="11"/>
  <c r="O265" i="11"/>
  <c r="O335" i="11"/>
  <c r="O291" i="11"/>
  <c r="O332" i="11"/>
  <c r="O284" i="11"/>
  <c r="O315" i="11"/>
  <c r="O282" i="11"/>
  <c r="O310" i="11"/>
  <c r="O215" i="11"/>
  <c r="O311" i="11"/>
  <c r="O243" i="11"/>
  <c r="O267" i="11"/>
  <c r="O320" i="11"/>
  <c r="O309" i="11"/>
  <c r="O299" i="11"/>
  <c r="O324" i="11"/>
  <c r="O301" i="11"/>
  <c r="O302" i="11"/>
  <c r="O260" i="11"/>
  <c r="O293" i="11"/>
  <c r="O264" i="11"/>
  <c r="O318" i="11"/>
  <c r="O337" i="11"/>
  <c r="O307" i="11"/>
  <c r="O263" i="11"/>
  <c r="O290" i="11"/>
  <c r="O283" i="11"/>
  <c r="O287" i="11"/>
  <c r="O247" i="11"/>
  <c r="O295" i="11"/>
  <c r="O326" i="11"/>
  <c r="O323" i="11"/>
  <c r="O262" i="11"/>
  <c r="O300" i="11"/>
  <c r="O321" i="11"/>
  <c r="O331" i="11"/>
  <c r="O316" i="11"/>
  <c r="O334" i="11"/>
  <c r="O217" i="11"/>
  <c r="O122" i="11"/>
  <c r="O304" i="11"/>
  <c r="O246" i="11"/>
  <c r="O298" i="11"/>
  <c r="O303" i="11"/>
  <c r="O296" i="11"/>
  <c r="O261" i="11"/>
  <c r="O286" i="11"/>
  <c r="O244" i="11"/>
  <c r="O329" i="11"/>
  <c r="O216" i="11"/>
  <c r="O325" i="11"/>
  <c r="O319" i="11"/>
  <c r="O292" i="11"/>
  <c r="O336" i="11"/>
  <c r="O312" i="11"/>
  <c r="O121" i="11"/>
  <c r="O269" i="11"/>
  <c r="O147" i="11"/>
  <c r="O120" i="11"/>
  <c r="O322" i="11"/>
  <c r="O330" i="11"/>
  <c r="AN239" i="10"/>
  <c r="AO239" i="10"/>
  <c r="AA239" i="10"/>
  <c r="AN203" i="10"/>
  <c r="AO203" i="10"/>
  <c r="AA203" i="10"/>
  <c r="AO238" i="10"/>
  <c r="AN238" i="10"/>
  <c r="AA238" i="10"/>
  <c r="AN202" i="10"/>
  <c r="AO202" i="10"/>
  <c r="AA202" i="10"/>
  <c r="AA201" i="10"/>
  <c r="AO201" i="10"/>
  <c r="AN201" i="10"/>
  <c r="AN237" i="10"/>
  <c r="AO237" i="10"/>
  <c r="AA237" i="10"/>
  <c r="X97" i="1"/>
  <c r="U97" i="1"/>
  <c r="I98" i="1"/>
  <c r="J98" i="1"/>
  <c r="O98" i="1" s="1"/>
  <c r="AM96" i="1"/>
  <c r="Y96" i="1"/>
  <c r="I140" i="1"/>
  <c r="G140" i="1"/>
  <c r="AP140" i="1" s="1"/>
  <c r="J139" i="1"/>
  <c r="O139" i="1" s="1"/>
  <c r="AO137" i="1"/>
  <c r="U138" i="1"/>
  <c r="X138" i="1"/>
  <c r="AP101" i="1"/>
  <c r="U59" i="1"/>
  <c r="X59" i="1"/>
  <c r="AO58" i="1"/>
  <c r="AP61" i="1"/>
  <c r="I59" i="1"/>
  <c r="J60" i="1"/>
  <c r="O60" i="1" s="1"/>
  <c r="I179" i="1"/>
  <c r="X177" i="1"/>
  <c r="U177" i="1"/>
  <c r="J178" i="1"/>
  <c r="O178" i="1" s="1"/>
  <c r="AP179" i="1"/>
  <c r="AM176" i="1"/>
  <c r="Y176" i="1"/>
  <c r="J20" i="1"/>
  <c r="O20" i="1" s="1"/>
  <c r="I19" i="1"/>
  <c r="AP21" i="1"/>
  <c r="AO18" i="1"/>
  <c r="U19" i="1"/>
  <c r="X19" i="1"/>
  <c r="E172" i="13"/>
  <c r="AC172" i="13"/>
  <c r="E176" i="13"/>
  <c r="AC176" i="13"/>
  <c r="E175" i="13"/>
  <c r="AC175" i="13"/>
  <c r="E173" i="13"/>
  <c r="AC173" i="13"/>
  <c r="E177" i="13"/>
  <c r="AC177" i="13"/>
  <c r="E181" i="13"/>
  <c r="AC181" i="13"/>
  <c r="E174" i="13"/>
  <c r="AC174" i="13"/>
  <c r="E178" i="13"/>
  <c r="AC178" i="13"/>
  <c r="E182" i="13"/>
  <c r="AC182" i="13"/>
  <c r="E179" i="13"/>
  <c r="E180" i="13"/>
  <c r="Z5" i="14"/>
  <c r="AA140" i="14"/>
  <c r="Z6" i="14"/>
  <c r="S6" i="14" s="1"/>
  <c r="Z16" i="14"/>
  <c r="AA19" i="14"/>
  <c r="AA22" i="14"/>
  <c r="Z135" i="14"/>
  <c r="AA5" i="14"/>
  <c r="Z14" i="14"/>
  <c r="AA21" i="14"/>
  <c r="AA130" i="14"/>
  <c r="Z10" i="14"/>
  <c r="Z18" i="14"/>
  <c r="Z20" i="14"/>
  <c r="AA23" i="14"/>
  <c r="Z24" i="14"/>
  <c r="AA7" i="14"/>
  <c r="Z8" i="14"/>
  <c r="Z12" i="14"/>
  <c r="Z129" i="14"/>
  <c r="Z15" i="14"/>
  <c r="AA17" i="14"/>
  <c r="Z11" i="14"/>
  <c r="AA13" i="14"/>
  <c r="AA9" i="14"/>
  <c r="AA26" i="14"/>
  <c r="Z131" i="14"/>
  <c r="I694" i="1" l="1"/>
  <c r="J694" i="1"/>
  <c r="O694" i="1" s="1"/>
  <c r="H695" i="1"/>
  <c r="X98" i="1"/>
  <c r="U98" i="1"/>
  <c r="AO97" i="1"/>
  <c r="J99" i="1"/>
  <c r="O99" i="1" s="1"/>
  <c r="I99" i="1"/>
  <c r="I141" i="1"/>
  <c r="AO138" i="1"/>
  <c r="G141" i="1"/>
  <c r="AP141" i="1" s="1"/>
  <c r="J140" i="1"/>
  <c r="O140" i="1" s="1"/>
  <c r="X139" i="1"/>
  <c r="U139" i="1"/>
  <c r="AP102" i="1"/>
  <c r="AP62" i="1"/>
  <c r="X60" i="1"/>
  <c r="U60" i="1"/>
  <c r="AO59" i="1"/>
  <c r="J61" i="1"/>
  <c r="O61" i="1" s="1"/>
  <c r="I60" i="1"/>
  <c r="J179" i="1"/>
  <c r="O179" i="1" s="1"/>
  <c r="AP180" i="1"/>
  <c r="U178" i="1"/>
  <c r="X178" i="1"/>
  <c r="AO177" i="1"/>
  <c r="I180" i="1"/>
  <c r="J21" i="1"/>
  <c r="O21" i="1" s="1"/>
  <c r="I20" i="1"/>
  <c r="U20" i="1"/>
  <c r="X20" i="1"/>
  <c r="AO19" i="1"/>
  <c r="AP22" i="1"/>
  <c r="S5" i="14"/>
  <c r="P5" i="14"/>
  <c r="V5" i="14" s="1"/>
  <c r="G89" i="13"/>
  <c r="F89" i="13" s="1"/>
  <c r="G100" i="13"/>
  <c r="F100" i="13" s="1"/>
  <c r="G99" i="13"/>
  <c r="F99" i="13" s="1"/>
  <c r="G98" i="13"/>
  <c r="F98" i="13" s="1"/>
  <c r="G97" i="13"/>
  <c r="F97" i="13" s="1"/>
  <c r="G96" i="13"/>
  <c r="F96" i="13" s="1"/>
  <c r="G95" i="13"/>
  <c r="F95" i="13" s="1"/>
  <c r="G94" i="13"/>
  <c r="F94" i="13" s="1"/>
  <c r="G93" i="13"/>
  <c r="F93" i="13" s="1"/>
  <c r="G92" i="13"/>
  <c r="F92" i="13" s="1"/>
  <c r="G91" i="13"/>
  <c r="F91" i="13" s="1"/>
  <c r="G90" i="13"/>
  <c r="F90" i="13" s="1"/>
  <c r="G190" i="13"/>
  <c r="F190" i="13" s="1"/>
  <c r="G189" i="13"/>
  <c r="F189" i="13" s="1"/>
  <c r="G188" i="13"/>
  <c r="F188" i="13" s="1"/>
  <c r="G187" i="13"/>
  <c r="F187" i="13" s="1"/>
  <c r="G186" i="13"/>
  <c r="F186" i="13" s="1"/>
  <c r="E141" i="13"/>
  <c r="AC201" i="13"/>
  <c r="AC200" i="13"/>
  <c r="AC199" i="13"/>
  <c r="AC198" i="13"/>
  <c r="AC197" i="13"/>
  <c r="AC196" i="13"/>
  <c r="AC194" i="13"/>
  <c r="AC193" i="13"/>
  <c r="AC192" i="13"/>
  <c r="F191" i="13"/>
  <c r="AC191" i="13" s="1"/>
  <c r="E116" i="13"/>
  <c r="E30" i="13"/>
  <c r="F31" i="13"/>
  <c r="F16" i="13"/>
  <c r="G153" i="13"/>
  <c r="F153" i="13" s="1"/>
  <c r="G152" i="13"/>
  <c r="F152" i="13" s="1"/>
  <c r="G151" i="13"/>
  <c r="F151" i="13" s="1"/>
  <c r="G150" i="13"/>
  <c r="F150" i="13" s="1"/>
  <c r="G149" i="13"/>
  <c r="F149" i="13" s="1"/>
  <c r="G148" i="13"/>
  <c r="G147" i="13"/>
  <c r="F147" i="13" s="1"/>
  <c r="G146" i="13"/>
  <c r="G145" i="13"/>
  <c r="F145" i="13" s="1"/>
  <c r="G144" i="13"/>
  <c r="G143" i="13"/>
  <c r="F143" i="13" s="1"/>
  <c r="G142" i="13"/>
  <c r="F142" i="13" s="1"/>
  <c r="G128" i="13"/>
  <c r="F128" i="13" s="1"/>
  <c r="G127" i="13"/>
  <c r="F127" i="13" s="1"/>
  <c r="G126" i="13"/>
  <c r="F126" i="13" s="1"/>
  <c r="G125" i="13"/>
  <c r="F125" i="13" s="1"/>
  <c r="G124" i="13"/>
  <c r="F124" i="13" s="1"/>
  <c r="G123" i="13"/>
  <c r="F123" i="13" s="1"/>
  <c r="G122" i="13"/>
  <c r="F122" i="13" s="1"/>
  <c r="G121" i="13"/>
  <c r="F121" i="13" s="1"/>
  <c r="G120" i="13"/>
  <c r="F120" i="13" s="1"/>
  <c r="G119" i="13"/>
  <c r="F119" i="13" s="1"/>
  <c r="G118" i="13"/>
  <c r="G117" i="13"/>
  <c r="F117" i="13" s="1"/>
  <c r="Z50" i="13"/>
  <c r="I695" i="1" l="1"/>
  <c r="H696" i="1"/>
  <c r="J695" i="1"/>
  <c r="O695" i="1" s="1"/>
  <c r="X99" i="1"/>
  <c r="U99" i="1"/>
  <c r="J100" i="1"/>
  <c r="O100" i="1" s="1"/>
  <c r="I100" i="1"/>
  <c r="AO98" i="1"/>
  <c r="U140" i="1"/>
  <c r="X140" i="1"/>
  <c r="AO139" i="1"/>
  <c r="G142" i="1"/>
  <c r="AP142" i="1" s="1"/>
  <c r="J141" i="1"/>
  <c r="O141" i="1" s="1"/>
  <c r="I142" i="1"/>
  <c r="AP103" i="1"/>
  <c r="AO60" i="1"/>
  <c r="U61" i="1"/>
  <c r="X61" i="1"/>
  <c r="I61" i="1"/>
  <c r="J62" i="1"/>
  <c r="O62" i="1" s="1"/>
  <c r="AP63" i="1"/>
  <c r="I181" i="1"/>
  <c r="AO178" i="1"/>
  <c r="U179" i="1"/>
  <c r="X179" i="1"/>
  <c r="J180" i="1"/>
  <c r="O180" i="1" s="1"/>
  <c r="AP181" i="1"/>
  <c r="I21" i="1"/>
  <c r="U21" i="1"/>
  <c r="X21" i="1"/>
  <c r="AP23" i="1"/>
  <c r="J22" i="1"/>
  <c r="O22" i="1" s="1"/>
  <c r="AO20" i="1"/>
  <c r="E16" i="13"/>
  <c r="AC16" i="13"/>
  <c r="AC31" i="13"/>
  <c r="E195" i="13"/>
  <c r="AC195" i="13"/>
  <c r="E191" i="13"/>
  <c r="E199" i="13"/>
  <c r="E192" i="13"/>
  <c r="E196" i="13"/>
  <c r="E200" i="13"/>
  <c r="E193" i="13"/>
  <c r="E197" i="13"/>
  <c r="E201" i="13"/>
  <c r="E194" i="13"/>
  <c r="E198" i="13"/>
  <c r="F118" i="13"/>
  <c r="E31" i="13"/>
  <c r="F144" i="13"/>
  <c r="F148" i="13"/>
  <c r="F146" i="13"/>
  <c r="G43" i="13"/>
  <c r="F43" i="13" s="1"/>
  <c r="G42" i="13"/>
  <c r="F42" i="13" s="1"/>
  <c r="G41" i="13"/>
  <c r="F41" i="13" s="1"/>
  <c r="G40" i="13"/>
  <c r="F40" i="13" s="1"/>
  <c r="G39" i="13"/>
  <c r="F39" i="13" s="1"/>
  <c r="G38" i="13"/>
  <c r="F38" i="13" s="1"/>
  <c r="G37" i="13"/>
  <c r="F37" i="13" s="1"/>
  <c r="G36" i="13"/>
  <c r="F36" i="13" s="1"/>
  <c r="G35" i="13"/>
  <c r="F35" i="13" s="1"/>
  <c r="G34" i="13"/>
  <c r="F34" i="13" s="1"/>
  <c r="G33" i="13"/>
  <c r="F33" i="13" s="1"/>
  <c r="G32" i="13"/>
  <c r="F32" i="13" s="1"/>
  <c r="G28" i="13"/>
  <c r="F28" i="13" s="1"/>
  <c r="G27" i="13"/>
  <c r="F27" i="13" s="1"/>
  <c r="G26" i="13"/>
  <c r="F26" i="13" s="1"/>
  <c r="G25" i="13"/>
  <c r="F25" i="13" s="1"/>
  <c r="G24" i="13"/>
  <c r="F24" i="13" s="1"/>
  <c r="G23" i="13"/>
  <c r="F23" i="13" s="1"/>
  <c r="G22" i="13"/>
  <c r="F22" i="13" s="1"/>
  <c r="G21" i="13"/>
  <c r="F21" i="13" s="1"/>
  <c r="G20" i="13"/>
  <c r="F20" i="13" s="1"/>
  <c r="G19" i="13"/>
  <c r="F19" i="13" s="1"/>
  <c r="G18" i="13"/>
  <c r="F18" i="13" s="1"/>
  <c r="G17" i="13"/>
  <c r="F17" i="13" s="1"/>
  <c r="G14" i="13"/>
  <c r="F14" i="13" s="1"/>
  <c r="G13" i="13"/>
  <c r="F13" i="13" s="1"/>
  <c r="G12" i="13"/>
  <c r="F12" i="13" s="1"/>
  <c r="G11" i="13"/>
  <c r="F11" i="13" s="1"/>
  <c r="G10" i="13"/>
  <c r="F10" i="13" s="1"/>
  <c r="G9" i="13"/>
  <c r="F9" i="13" s="1"/>
  <c r="G8" i="13"/>
  <c r="F8" i="13" s="1"/>
  <c r="G7" i="13"/>
  <c r="F7" i="13" s="1"/>
  <c r="G6" i="13"/>
  <c r="F6" i="13" s="1"/>
  <c r="G5" i="13"/>
  <c r="F5" i="13" s="1"/>
  <c r="I1" i="13"/>
  <c r="I7" i="8"/>
  <c r="AS33" i="11"/>
  <c r="AS34" i="11"/>
  <c r="AS35" i="11"/>
  <c r="AS36" i="11"/>
  <c r="AS37" i="11"/>
  <c r="AS38" i="11"/>
  <c r="AS39" i="11"/>
  <c r="AS40" i="11"/>
  <c r="AS41" i="11"/>
  <c r="AS42" i="11"/>
  <c r="AS43" i="11"/>
  <c r="AS44" i="11"/>
  <c r="AS46" i="11"/>
  <c r="AS6" i="11"/>
  <c r="AS7" i="11"/>
  <c r="AS8" i="11"/>
  <c r="AS9" i="11"/>
  <c r="AS10" i="11"/>
  <c r="AS12" i="11"/>
  <c r="AS13" i="11"/>
  <c r="AS14" i="11"/>
  <c r="AS15" i="11"/>
  <c r="AS16" i="11"/>
  <c r="AS17" i="11"/>
  <c r="AS18" i="11"/>
  <c r="AS19" i="11"/>
  <c r="AS20" i="11"/>
  <c r="AS21" i="11"/>
  <c r="AS22" i="11"/>
  <c r="AS23" i="11"/>
  <c r="AS32" i="11"/>
  <c r="AS47" i="11"/>
  <c r="AS49" i="11"/>
  <c r="AS51" i="11"/>
  <c r="AS71" i="11"/>
  <c r="AS148" i="11"/>
  <c r="AS149" i="11"/>
  <c r="AS150" i="11"/>
  <c r="AS151" i="11"/>
  <c r="AS152" i="11"/>
  <c r="AS153" i="11"/>
  <c r="AS154" i="11"/>
  <c r="AS155" i="11"/>
  <c r="AS156" i="11"/>
  <c r="AS157" i="11"/>
  <c r="AS158" i="11"/>
  <c r="AS159" i="11"/>
  <c r="AS313" i="11"/>
  <c r="AG33" i="11"/>
  <c r="AF33" i="11" s="1"/>
  <c r="AG34" i="11"/>
  <c r="AF34" i="11" s="1"/>
  <c r="AG35" i="11"/>
  <c r="AF35" i="11" s="1"/>
  <c r="AG36" i="11"/>
  <c r="AF36" i="11" s="1"/>
  <c r="AG37" i="11"/>
  <c r="AF37" i="11" s="1"/>
  <c r="AG38" i="11"/>
  <c r="AF38" i="11" s="1"/>
  <c r="AG39" i="11"/>
  <c r="AF39" i="11" s="1"/>
  <c r="AG40" i="11"/>
  <c r="AF40" i="11" s="1"/>
  <c r="AG41" i="11"/>
  <c r="AF41" i="11" s="1"/>
  <c r="AG42" i="11"/>
  <c r="AF42" i="11" s="1"/>
  <c r="AG43" i="11"/>
  <c r="AF43" i="11" s="1"/>
  <c r="AG44" i="11"/>
  <c r="AF44" i="11" s="1"/>
  <c r="AG46" i="11"/>
  <c r="AF46" i="11" s="1"/>
  <c r="AG6" i="11"/>
  <c r="AF6" i="11" s="1"/>
  <c r="AG7" i="11"/>
  <c r="AF7" i="11" s="1"/>
  <c r="AG8" i="11"/>
  <c r="AF8" i="11" s="1"/>
  <c r="AG9" i="11"/>
  <c r="AF9" i="11" s="1"/>
  <c r="AG10" i="11"/>
  <c r="AF10" i="11" s="1"/>
  <c r="AG11" i="11"/>
  <c r="AF11" i="11" s="1"/>
  <c r="AG12" i="11"/>
  <c r="AF12" i="11" s="1"/>
  <c r="AG13" i="11"/>
  <c r="AF13" i="11" s="1"/>
  <c r="AG14" i="11"/>
  <c r="AF14" i="11" s="1"/>
  <c r="AG15" i="11"/>
  <c r="AF15" i="11" s="1"/>
  <c r="AG16" i="11"/>
  <c r="AF16" i="11" s="1"/>
  <c r="AG17" i="11"/>
  <c r="AF17" i="11" s="1"/>
  <c r="AG18" i="11"/>
  <c r="AF18" i="11" s="1"/>
  <c r="AG19" i="11"/>
  <c r="AF19" i="11" s="1"/>
  <c r="AG20" i="11"/>
  <c r="AF20" i="11" s="1"/>
  <c r="AG21" i="11"/>
  <c r="AF21" i="11" s="1"/>
  <c r="AG22" i="11"/>
  <c r="AF22" i="11" s="1"/>
  <c r="AG23" i="11"/>
  <c r="AF23" i="11" s="1"/>
  <c r="AG32" i="11"/>
  <c r="AF32" i="11" s="1"/>
  <c r="AG47" i="11"/>
  <c r="AF47" i="11" s="1"/>
  <c r="AG49" i="11"/>
  <c r="AF49" i="11" s="1"/>
  <c r="AG51" i="11"/>
  <c r="AF51" i="11" s="1"/>
  <c r="AG71" i="11"/>
  <c r="AF71" i="11" s="1"/>
  <c r="AG148" i="11"/>
  <c r="AG149" i="11"/>
  <c r="AG150" i="11"/>
  <c r="AG151" i="11"/>
  <c r="AG152" i="11"/>
  <c r="AG153" i="11"/>
  <c r="AG154" i="11"/>
  <c r="AG155" i="11"/>
  <c r="AG156" i="11"/>
  <c r="AG157" i="11"/>
  <c r="AG158" i="11"/>
  <c r="AG159" i="11"/>
  <c r="AG313" i="11"/>
  <c r="AF313" i="11" s="1"/>
  <c r="AE33" i="11"/>
  <c r="AE34" i="11"/>
  <c r="AJ34" i="11" s="1"/>
  <c r="AE35" i="11"/>
  <c r="AI35" i="11" s="1"/>
  <c r="AE36" i="11"/>
  <c r="AJ36" i="11" s="1"/>
  <c r="AE37" i="11"/>
  <c r="AJ37" i="11" s="1"/>
  <c r="AE38" i="11"/>
  <c r="AJ38" i="11" s="1"/>
  <c r="AE39" i="11"/>
  <c r="AI39" i="11" s="1"/>
  <c r="AE40" i="11"/>
  <c r="AJ40" i="11" s="1"/>
  <c r="AE41" i="11"/>
  <c r="AJ41" i="11" s="1"/>
  <c r="AE42" i="11"/>
  <c r="AJ42" i="11" s="1"/>
  <c r="AE43" i="11"/>
  <c r="AI43" i="11" s="1"/>
  <c r="AE44" i="11"/>
  <c r="AJ44" i="11" s="1"/>
  <c r="AE46" i="11"/>
  <c r="AI46" i="11" s="1"/>
  <c r="AE6" i="11"/>
  <c r="AJ6" i="11" s="1"/>
  <c r="O6" i="11" s="1"/>
  <c r="AE7" i="11"/>
  <c r="AI7" i="11" s="1"/>
  <c r="AE8" i="11"/>
  <c r="AJ8" i="11" s="1"/>
  <c r="O8" i="11" s="1"/>
  <c r="AE9" i="11"/>
  <c r="AE10" i="11"/>
  <c r="AJ10" i="11" s="1"/>
  <c r="O10" i="11" s="1"/>
  <c r="AE11" i="11"/>
  <c r="AJ11" i="11" s="1"/>
  <c r="O11" i="11" s="1"/>
  <c r="AE12" i="11"/>
  <c r="AJ12" i="11" s="1"/>
  <c r="O12" i="11" s="1"/>
  <c r="AE13" i="11"/>
  <c r="AJ13" i="11" s="1"/>
  <c r="O13" i="11" s="1"/>
  <c r="AE14" i="11"/>
  <c r="AJ14" i="11" s="1"/>
  <c r="O14" i="11" s="1"/>
  <c r="AE15" i="11"/>
  <c r="AE16" i="11"/>
  <c r="AJ16" i="11" s="1"/>
  <c r="O16" i="11" s="1"/>
  <c r="AE17" i="11"/>
  <c r="AE18" i="11"/>
  <c r="AJ18" i="11" s="1"/>
  <c r="O18" i="11" s="1"/>
  <c r="AE19" i="11"/>
  <c r="AE20" i="11"/>
  <c r="AI20" i="11" s="1"/>
  <c r="AE21" i="11"/>
  <c r="AE22" i="11"/>
  <c r="AI22" i="11" s="1"/>
  <c r="AE23" i="11"/>
  <c r="AE32" i="11"/>
  <c r="AI32" i="11" s="1"/>
  <c r="AE47" i="11"/>
  <c r="AE49" i="11"/>
  <c r="AI49" i="11" s="1"/>
  <c r="AE51" i="11"/>
  <c r="AE71" i="11"/>
  <c r="AI71" i="11" s="1"/>
  <c r="AE148" i="11"/>
  <c r="AI148" i="11" s="1"/>
  <c r="AE149" i="11"/>
  <c r="AI149" i="11" s="1"/>
  <c r="AE150" i="11"/>
  <c r="AE151" i="11"/>
  <c r="AE152" i="11"/>
  <c r="AE153" i="11"/>
  <c r="AI153" i="11" s="1"/>
  <c r="AE154" i="11"/>
  <c r="AJ154" i="11" s="1"/>
  <c r="AE155" i="11"/>
  <c r="AI155" i="11" s="1"/>
  <c r="AE156" i="11"/>
  <c r="AI156" i="11" s="1"/>
  <c r="AE157" i="11"/>
  <c r="AE158" i="11"/>
  <c r="AI158" i="11" s="1"/>
  <c r="AE159" i="11"/>
  <c r="AE313" i="11"/>
  <c r="AI313" i="11" s="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AP313" i="11"/>
  <c r="AO313" i="11"/>
  <c r="AL313" i="11"/>
  <c r="AK313" i="11"/>
  <c r="AP159" i="11"/>
  <c r="AO159" i="11"/>
  <c r="AL159" i="11"/>
  <c r="AK159" i="11"/>
  <c r="AP158" i="11"/>
  <c r="AO158" i="11"/>
  <c r="AL158" i="11"/>
  <c r="AK158" i="11"/>
  <c r="AP157" i="11"/>
  <c r="AO157" i="11"/>
  <c r="AL157" i="11"/>
  <c r="AK157" i="11"/>
  <c r="AP156" i="11"/>
  <c r="AO156" i="11"/>
  <c r="AL156" i="11"/>
  <c r="AK156" i="11"/>
  <c r="AP155" i="11"/>
  <c r="AO155" i="11"/>
  <c r="AL155" i="11"/>
  <c r="AK155" i="11"/>
  <c r="AP154" i="11"/>
  <c r="AO154" i="11"/>
  <c r="AL154" i="11"/>
  <c r="AK154" i="11"/>
  <c r="AP153" i="11"/>
  <c r="AO153" i="11"/>
  <c r="AL153" i="11"/>
  <c r="AK153" i="11"/>
  <c r="AP152" i="11"/>
  <c r="AO152" i="11"/>
  <c r="AL152" i="11"/>
  <c r="AK152" i="11"/>
  <c r="AP151" i="11"/>
  <c r="AO151" i="11"/>
  <c r="AL151" i="11"/>
  <c r="AK151" i="11"/>
  <c r="AP150" i="11"/>
  <c r="AO150" i="11"/>
  <c r="AL150" i="11"/>
  <c r="AK150" i="11"/>
  <c r="AP149" i="11"/>
  <c r="AO149" i="11"/>
  <c r="AL149" i="11"/>
  <c r="AK149" i="11"/>
  <c r="AP148" i="11"/>
  <c r="AO148" i="11"/>
  <c r="AL148" i="11"/>
  <c r="AK148" i="11"/>
  <c r="AP71" i="11"/>
  <c r="AO71" i="11"/>
  <c r="AL71" i="11"/>
  <c r="AK71" i="11"/>
  <c r="R71" i="11"/>
  <c r="AP51" i="11"/>
  <c r="AO51" i="11"/>
  <c r="AL51" i="11"/>
  <c r="AK51" i="11"/>
  <c r="R51" i="11"/>
  <c r="AP49" i="11"/>
  <c r="AO49" i="11"/>
  <c r="AL49" i="11"/>
  <c r="AK49" i="11"/>
  <c r="R49" i="11"/>
  <c r="AP47" i="11"/>
  <c r="AO47" i="11"/>
  <c r="AL47" i="11"/>
  <c r="AK47" i="11"/>
  <c r="R47" i="11"/>
  <c r="AP32" i="11"/>
  <c r="AO32" i="11"/>
  <c r="AL32" i="11"/>
  <c r="AK32" i="11"/>
  <c r="R32" i="11"/>
  <c r="AP23" i="11"/>
  <c r="AO23" i="11"/>
  <c r="AL23" i="11"/>
  <c r="AK23" i="11"/>
  <c r="R23" i="11"/>
  <c r="AP22" i="11"/>
  <c r="AO22" i="11"/>
  <c r="AL22" i="11"/>
  <c r="AK22" i="11"/>
  <c r="R22" i="11"/>
  <c r="AP21" i="11"/>
  <c r="AO21" i="11"/>
  <c r="AL21" i="11"/>
  <c r="AK21" i="11"/>
  <c r="R21" i="11"/>
  <c r="AP20" i="11"/>
  <c r="AO20" i="11"/>
  <c r="AL20" i="11"/>
  <c r="AK20" i="11"/>
  <c r="R20" i="11"/>
  <c r="AP19" i="11"/>
  <c r="AO19" i="11"/>
  <c r="AL19" i="11"/>
  <c r="AK19" i="11"/>
  <c r="R19" i="11"/>
  <c r="AP18" i="11"/>
  <c r="AO18" i="11"/>
  <c r="AL18" i="11"/>
  <c r="AK18" i="11"/>
  <c r="R18" i="11"/>
  <c r="AP17" i="11"/>
  <c r="AO17" i="11"/>
  <c r="AL17" i="11"/>
  <c r="AK17" i="11"/>
  <c r="R17" i="11"/>
  <c r="AP16" i="11"/>
  <c r="AO16" i="11"/>
  <c r="AL16" i="11"/>
  <c r="AK16" i="11"/>
  <c r="R16" i="11"/>
  <c r="AP15" i="11"/>
  <c r="AO15" i="11"/>
  <c r="AL15" i="11"/>
  <c r="AK15" i="11"/>
  <c r="R15" i="11"/>
  <c r="AP14" i="11"/>
  <c r="AO14" i="11"/>
  <c r="AL14" i="11"/>
  <c r="AK14" i="11"/>
  <c r="R14" i="11"/>
  <c r="AP13" i="11"/>
  <c r="AO13" i="11"/>
  <c r="AL13" i="11"/>
  <c r="AK13" i="11"/>
  <c r="R13" i="11"/>
  <c r="AP12" i="11"/>
  <c r="AO12" i="11"/>
  <c r="AL12" i="11"/>
  <c r="AK12" i="11"/>
  <c r="R12" i="11"/>
  <c r="AP11" i="11"/>
  <c r="AO11" i="11"/>
  <c r="AL11" i="11"/>
  <c r="AK11" i="11"/>
  <c r="AP10" i="11"/>
  <c r="AO10" i="11"/>
  <c r="AL10" i="11"/>
  <c r="AK10" i="11"/>
  <c r="R10" i="11"/>
  <c r="AP9" i="11"/>
  <c r="AO9" i="11"/>
  <c r="AL9" i="11"/>
  <c r="AK9" i="11"/>
  <c r="R9" i="11"/>
  <c r="AP8" i="11"/>
  <c r="AO8" i="11"/>
  <c r="AL8" i="11"/>
  <c r="AK8" i="11"/>
  <c r="R8" i="11"/>
  <c r="AL7" i="11"/>
  <c r="AK7" i="11"/>
  <c r="R7" i="11"/>
  <c r="AO7" i="11"/>
  <c r="AL6" i="11"/>
  <c r="AK6" i="11"/>
  <c r="R6" i="11"/>
  <c r="AP6" i="11"/>
  <c r="R5" i="11"/>
  <c r="AP46" i="11"/>
  <c r="AO46" i="11"/>
  <c r="AL46" i="11"/>
  <c r="AK46" i="11"/>
  <c r="R46" i="11"/>
  <c r="AP44" i="11"/>
  <c r="AO44" i="11"/>
  <c r="AL44" i="11"/>
  <c r="AK44" i="11"/>
  <c r="R44" i="11"/>
  <c r="AP43" i="11"/>
  <c r="AO43" i="11"/>
  <c r="AL43" i="11"/>
  <c r="AK43" i="11"/>
  <c r="R43" i="11"/>
  <c r="AP42" i="11"/>
  <c r="AO42" i="11"/>
  <c r="AL42" i="11"/>
  <c r="AK42" i="11"/>
  <c r="R42" i="11"/>
  <c r="AP41" i="11"/>
  <c r="AO41" i="11"/>
  <c r="AL41" i="11"/>
  <c r="AK41" i="11"/>
  <c r="R41" i="11"/>
  <c r="AP40" i="11"/>
  <c r="AO40" i="11"/>
  <c r="AL40" i="11"/>
  <c r="AK40" i="11"/>
  <c r="R40" i="11"/>
  <c r="AP39" i="11"/>
  <c r="AO39" i="11"/>
  <c r="AL39" i="11"/>
  <c r="AK39" i="11"/>
  <c r="R39" i="11"/>
  <c r="AP38" i="11"/>
  <c r="AO38" i="11"/>
  <c r="AL38" i="11"/>
  <c r="AK38" i="11"/>
  <c r="R38" i="11"/>
  <c r="AP37" i="11"/>
  <c r="AO37" i="11"/>
  <c r="AL37" i="11"/>
  <c r="AK37" i="11"/>
  <c r="R37" i="11"/>
  <c r="AP36" i="11"/>
  <c r="AO36" i="11"/>
  <c r="AL36" i="11"/>
  <c r="AK36" i="11"/>
  <c r="R36" i="11"/>
  <c r="AP35" i="11"/>
  <c r="AO35" i="11"/>
  <c r="AL35" i="11"/>
  <c r="AK35" i="11"/>
  <c r="R35" i="11"/>
  <c r="AP34" i="11"/>
  <c r="AO34" i="11"/>
  <c r="AL34" i="11"/>
  <c r="AK34" i="11"/>
  <c r="R34" i="11"/>
  <c r="AP33" i="11"/>
  <c r="AO33" i="11"/>
  <c r="AL33" i="11"/>
  <c r="AK33" i="11"/>
  <c r="R33" i="11"/>
  <c r="H697" i="1" l="1"/>
  <c r="I696" i="1"/>
  <c r="J696" i="1"/>
  <c r="O696" i="1" s="1"/>
  <c r="N161" i="11"/>
  <c r="N160" i="11"/>
  <c r="N162" i="11"/>
  <c r="N157" i="11"/>
  <c r="P157" i="11" s="1"/>
  <c r="N153" i="11"/>
  <c r="P153" i="11" s="1"/>
  <c r="N149" i="11"/>
  <c r="P149" i="11" s="1"/>
  <c r="R313" i="11"/>
  <c r="N156" i="11"/>
  <c r="N152" i="11"/>
  <c r="N148" i="11"/>
  <c r="P148" i="11" s="1"/>
  <c r="N159" i="11"/>
  <c r="P159" i="11" s="1"/>
  <c r="N155" i="11"/>
  <c r="N151" i="11"/>
  <c r="P151" i="11" s="1"/>
  <c r="N158" i="11"/>
  <c r="N150" i="11"/>
  <c r="P150" i="11" s="1"/>
  <c r="N154" i="11"/>
  <c r="V5" i="11"/>
  <c r="Y5" i="11"/>
  <c r="U100" i="1"/>
  <c r="X100" i="1"/>
  <c r="AO99" i="1"/>
  <c r="J101" i="1"/>
  <c r="O101" i="1" s="1"/>
  <c r="I101" i="1"/>
  <c r="U141" i="1"/>
  <c r="X141" i="1"/>
  <c r="G143" i="1"/>
  <c r="AP143" i="1" s="1"/>
  <c r="J142" i="1"/>
  <c r="O142" i="1" s="1"/>
  <c r="I143" i="1"/>
  <c r="AO140" i="1"/>
  <c r="AP104" i="1"/>
  <c r="J63" i="1"/>
  <c r="O63" i="1" s="1"/>
  <c r="I62" i="1"/>
  <c r="AP64" i="1"/>
  <c r="AO61" i="1"/>
  <c r="S62" i="1"/>
  <c r="V62" i="1"/>
  <c r="U180" i="1"/>
  <c r="X180" i="1"/>
  <c r="AO179" i="1"/>
  <c r="J181" i="1"/>
  <c r="O181" i="1" s="1"/>
  <c r="AP182" i="1"/>
  <c r="I182" i="1"/>
  <c r="J23" i="1"/>
  <c r="O23" i="1" s="1"/>
  <c r="I22" i="1"/>
  <c r="AP24" i="1"/>
  <c r="S22" i="1"/>
  <c r="V22" i="1"/>
  <c r="AO21" i="1"/>
  <c r="O44" i="11"/>
  <c r="O40" i="11"/>
  <c r="O36" i="11"/>
  <c r="O42" i="11"/>
  <c r="O38" i="11"/>
  <c r="O34" i="11"/>
  <c r="O41" i="11"/>
  <c r="O37" i="11"/>
  <c r="R11" i="11"/>
  <c r="V6" i="11"/>
  <c r="AT6" i="11" s="1"/>
  <c r="V10" i="11"/>
  <c r="AB10" i="11" s="1"/>
  <c r="V41" i="11"/>
  <c r="AT41" i="11" s="1"/>
  <c r="V37" i="11"/>
  <c r="AB37" i="11" s="1"/>
  <c r="AJ33" i="11"/>
  <c r="G68" i="13"/>
  <c r="F68" i="13" s="1"/>
  <c r="G72" i="13"/>
  <c r="F72" i="13" s="1"/>
  <c r="G76" i="13"/>
  <c r="F76" i="13" s="1"/>
  <c r="G71" i="13"/>
  <c r="F71" i="13" s="1"/>
  <c r="G75" i="13"/>
  <c r="F75" i="13" s="1"/>
  <c r="G69" i="13"/>
  <c r="F69" i="13" s="1"/>
  <c r="G73" i="13"/>
  <c r="F73" i="13" s="1"/>
  <c r="G77" i="13"/>
  <c r="F77" i="13" s="1"/>
  <c r="G70" i="13"/>
  <c r="F70" i="13" s="1"/>
  <c r="G74" i="13"/>
  <c r="F74" i="13" s="1"/>
  <c r="I2" i="13"/>
  <c r="I3" i="13" s="1"/>
  <c r="AJ32" i="11"/>
  <c r="O32" i="11" s="1"/>
  <c r="J1" i="13"/>
  <c r="AJ46" i="11"/>
  <c r="O46" i="11" s="1"/>
  <c r="AJ20" i="11"/>
  <c r="O20" i="11" s="1"/>
  <c r="AI34" i="11"/>
  <c r="Y34" i="11" s="1"/>
  <c r="AI11" i="11"/>
  <c r="AJ155" i="11"/>
  <c r="AI33" i="11"/>
  <c r="AI38" i="11"/>
  <c r="Y38" i="11" s="1"/>
  <c r="AI6" i="11"/>
  <c r="Y6" i="11" s="1"/>
  <c r="AI14" i="11"/>
  <c r="AJ7" i="11"/>
  <c r="AJ71" i="11"/>
  <c r="O71" i="11" s="1"/>
  <c r="AJ156" i="11"/>
  <c r="AI44" i="11"/>
  <c r="Y44" i="11" s="1"/>
  <c r="AI12" i="11"/>
  <c r="AI16" i="11"/>
  <c r="AJ22" i="11"/>
  <c r="O22" i="11" s="1"/>
  <c r="AJ148" i="11"/>
  <c r="O148" i="11" s="1"/>
  <c r="AJ9" i="11"/>
  <c r="O9" i="11" s="1"/>
  <c r="AI9" i="11"/>
  <c r="AI36" i="11"/>
  <c r="Y36" i="11" s="1"/>
  <c r="AI40" i="11"/>
  <c r="AI8" i="11"/>
  <c r="Y8" i="11" s="1"/>
  <c r="AI10" i="11"/>
  <c r="Y10" i="11" s="1"/>
  <c r="AI13" i="11"/>
  <c r="AI18" i="11"/>
  <c r="AJ49" i="11"/>
  <c r="O49" i="11" s="1"/>
  <c r="AJ149" i="11"/>
  <c r="O149" i="11" s="1"/>
  <c r="AI154" i="11"/>
  <c r="AJ158" i="11"/>
  <c r="O158" i="11" s="1"/>
  <c r="AI37" i="11"/>
  <c r="Y37" i="11" s="1"/>
  <c r="AI41" i="11"/>
  <c r="AI42" i="11"/>
  <c r="Y42" i="11" s="1"/>
  <c r="AJ153" i="11"/>
  <c r="V44" i="11"/>
  <c r="V36" i="11"/>
  <c r="V40" i="11"/>
  <c r="V8" i="11"/>
  <c r="AI21" i="11"/>
  <c r="AJ21" i="11"/>
  <c r="O21" i="11" s="1"/>
  <c r="AI23" i="11"/>
  <c r="AJ23" i="11"/>
  <c r="O23" i="11" s="1"/>
  <c r="AI152" i="11"/>
  <c r="AJ152" i="11"/>
  <c r="AI157" i="11"/>
  <c r="AJ157" i="11"/>
  <c r="V38" i="11"/>
  <c r="AJ39" i="11"/>
  <c r="O39" i="11" s="1"/>
  <c r="AI15" i="11"/>
  <c r="AJ15" i="11"/>
  <c r="O15" i="11" s="1"/>
  <c r="AI47" i="11"/>
  <c r="AJ47" i="11"/>
  <c r="O47" i="11" s="1"/>
  <c r="V34" i="11"/>
  <c r="AJ35" i="11"/>
  <c r="V42" i="11"/>
  <c r="AJ43" i="11"/>
  <c r="AI19" i="11"/>
  <c r="AJ19" i="11"/>
  <c r="O19" i="11" s="1"/>
  <c r="AI150" i="11"/>
  <c r="AJ150" i="11"/>
  <c r="AI159" i="11"/>
  <c r="AJ159" i="11"/>
  <c r="O159" i="11" s="1"/>
  <c r="AI17" i="11"/>
  <c r="AJ17" i="11"/>
  <c r="O17" i="11" s="1"/>
  <c r="AI51" i="11"/>
  <c r="AJ51" i="11"/>
  <c r="O51" i="11" s="1"/>
  <c r="AI151" i="11"/>
  <c r="AJ151" i="11"/>
  <c r="AJ313" i="11"/>
  <c r="O313" i="11" s="1"/>
  <c r="AF5" i="10"/>
  <c r="AF6" i="10"/>
  <c r="AF7" i="10"/>
  <c r="N7" i="10" s="1"/>
  <c r="AF8" i="10"/>
  <c r="AF9" i="10"/>
  <c r="AF10" i="10"/>
  <c r="AF11" i="10"/>
  <c r="AF12" i="10"/>
  <c r="AF13" i="10"/>
  <c r="AF14" i="10"/>
  <c r="AF15" i="10"/>
  <c r="AF16" i="10"/>
  <c r="AF29" i="10"/>
  <c r="N29" i="10" s="1"/>
  <c r="AF30" i="10"/>
  <c r="N30" i="10" s="1"/>
  <c r="AF74" i="10"/>
  <c r="AF76" i="10"/>
  <c r="AF143" i="10"/>
  <c r="AF144" i="10"/>
  <c r="AF145" i="10"/>
  <c r="AF146" i="10"/>
  <c r="AF147" i="10"/>
  <c r="AF148" i="10"/>
  <c r="AF149" i="10"/>
  <c r="AF150" i="10"/>
  <c r="AF151" i="10"/>
  <c r="AF152" i="10"/>
  <c r="AF153" i="10"/>
  <c r="AF154" i="10"/>
  <c r="AF310" i="10"/>
  <c r="N310" i="10" s="1"/>
  <c r="I154" i="10"/>
  <c r="AD154" i="10"/>
  <c r="AH154" i="10" s="1"/>
  <c r="AJ154" i="10"/>
  <c r="AK154" i="10"/>
  <c r="AN154" i="10"/>
  <c r="AO154" i="10"/>
  <c r="I16" i="10"/>
  <c r="AO16" i="10"/>
  <c r="AN16" i="10"/>
  <c r="AK16" i="10"/>
  <c r="AJ16" i="10"/>
  <c r="AD16" i="10"/>
  <c r="AH16" i="10" s="1"/>
  <c r="Q16" i="10"/>
  <c r="Q30" i="10"/>
  <c r="AD30" i="10"/>
  <c r="AH30" i="10" s="1"/>
  <c r="AJ30" i="10"/>
  <c r="AK30" i="10"/>
  <c r="AN30" i="10"/>
  <c r="AO30" i="10"/>
  <c r="Q74" i="10"/>
  <c r="AD74" i="10"/>
  <c r="AJ74" i="10"/>
  <c r="AK74" i="10"/>
  <c r="AN74" i="10"/>
  <c r="AO74" i="10"/>
  <c r="Q76" i="10"/>
  <c r="AD76" i="10"/>
  <c r="AH76" i="10" s="1"/>
  <c r="AJ76" i="10"/>
  <c r="AK76" i="10"/>
  <c r="AN76" i="10"/>
  <c r="AO76" i="10"/>
  <c r="Q5" i="10"/>
  <c r="Q6" i="10"/>
  <c r="Q7" i="10"/>
  <c r="Q8" i="10"/>
  <c r="Q9" i="10"/>
  <c r="Q10" i="10"/>
  <c r="Q11" i="10"/>
  <c r="Q12" i="10"/>
  <c r="Q13" i="10"/>
  <c r="Q14" i="10"/>
  <c r="Q15" i="10"/>
  <c r="Q29" i="10"/>
  <c r="J697" i="1" l="1"/>
  <c r="O697" i="1" s="1"/>
  <c r="I697" i="1"/>
  <c r="H698" i="1"/>
  <c r="O150" i="11"/>
  <c r="O151" i="11"/>
  <c r="P155" i="11"/>
  <c r="R155" i="11" s="1"/>
  <c r="P162" i="11"/>
  <c r="R162" i="11" s="1"/>
  <c r="P152" i="11"/>
  <c r="O152" i="11" s="1"/>
  <c r="P154" i="11"/>
  <c r="O154" i="11" s="1"/>
  <c r="P156" i="11"/>
  <c r="R156" i="11" s="1"/>
  <c r="O157" i="11"/>
  <c r="O153" i="11"/>
  <c r="P158" i="11"/>
  <c r="R158" i="11" s="1"/>
  <c r="P160" i="11"/>
  <c r="R160" i="11" s="1"/>
  <c r="P161" i="11"/>
  <c r="R161" i="11" s="1"/>
  <c r="AX178" i="12"/>
  <c r="AX177" i="12"/>
  <c r="AX176" i="12"/>
  <c r="AX175" i="12"/>
  <c r="AX174" i="12"/>
  <c r="AX173" i="12"/>
  <c r="AX172" i="12"/>
  <c r="AX171" i="12"/>
  <c r="AX170" i="12"/>
  <c r="AX169" i="12"/>
  <c r="AY149" i="12"/>
  <c r="AX144" i="12"/>
  <c r="AX160" i="12"/>
  <c r="AY145" i="12"/>
  <c r="AX168" i="12"/>
  <c r="AX149" i="12"/>
  <c r="AY148" i="12"/>
  <c r="AX148" i="12"/>
  <c r="AX143" i="12"/>
  <c r="AY144" i="12"/>
  <c r="AX167" i="12"/>
  <c r="AX145" i="12"/>
  <c r="AX159" i="12"/>
  <c r="AY147" i="12"/>
  <c r="AY143" i="12"/>
  <c r="AX166" i="12"/>
  <c r="AX164" i="12"/>
  <c r="AX152" i="12"/>
  <c r="AX150" i="12"/>
  <c r="AX161" i="12"/>
  <c r="AY142" i="12"/>
  <c r="AX146" i="12"/>
  <c r="AX165" i="12"/>
  <c r="AX151" i="12"/>
  <c r="AX162" i="12"/>
  <c r="AX163" i="12"/>
  <c r="AY152" i="12"/>
  <c r="AX142" i="12"/>
  <c r="AX147" i="12"/>
  <c r="AY146" i="12"/>
  <c r="AX158" i="12"/>
  <c r="AY151" i="12"/>
  <c r="AY150" i="12"/>
  <c r="AC152" i="12"/>
  <c r="AC150" i="12"/>
  <c r="AB143" i="12"/>
  <c r="AB142" i="12"/>
  <c r="AB150" i="12"/>
  <c r="AC148" i="12"/>
  <c r="AC147" i="12"/>
  <c r="AB149" i="12"/>
  <c r="AB151" i="12"/>
  <c r="AC151" i="12"/>
  <c r="AB148" i="12"/>
  <c r="AC143" i="12"/>
  <c r="AB152" i="12"/>
  <c r="AD152" i="12" s="1"/>
  <c r="AB145" i="12"/>
  <c r="AB147" i="12"/>
  <c r="AC149" i="12"/>
  <c r="AB178" i="12"/>
  <c r="AB168" i="12"/>
  <c r="AB158" i="12"/>
  <c r="AB163" i="12"/>
  <c r="AB164" i="12"/>
  <c r="AB166" i="12"/>
  <c r="AB162" i="12"/>
  <c r="AB159" i="12"/>
  <c r="AB161" i="12"/>
  <c r="AB167" i="12"/>
  <c r="AB169" i="12"/>
  <c r="AB177" i="12"/>
  <c r="AB171" i="12"/>
  <c r="AB160" i="12"/>
  <c r="AB170" i="12"/>
  <c r="AB176" i="12"/>
  <c r="AB172" i="12"/>
  <c r="AB165" i="12"/>
  <c r="AB173" i="12"/>
  <c r="AB175" i="12"/>
  <c r="AB174" i="12"/>
  <c r="AC145" i="12"/>
  <c r="AD145" i="12" s="1"/>
  <c r="AC142" i="12"/>
  <c r="AB144" i="12"/>
  <c r="AC144" i="12"/>
  <c r="AC146" i="12"/>
  <c r="AB146" i="12"/>
  <c r="F178" i="12"/>
  <c r="AB5" i="11"/>
  <c r="O5" i="11"/>
  <c r="AT5" i="11"/>
  <c r="AH74" i="10"/>
  <c r="AE30" i="10"/>
  <c r="J102" i="1"/>
  <c r="O102" i="1" s="1"/>
  <c r="I102" i="1"/>
  <c r="U101" i="1"/>
  <c r="X101" i="1"/>
  <c r="AO100" i="1"/>
  <c r="I144" i="1"/>
  <c r="G144" i="1"/>
  <c r="AP144" i="1" s="1"/>
  <c r="J143" i="1"/>
  <c r="O143" i="1" s="1"/>
  <c r="S142" i="1"/>
  <c r="V142" i="1"/>
  <c r="AO141" i="1"/>
  <c r="AP105" i="1"/>
  <c r="X63" i="1"/>
  <c r="U63" i="1"/>
  <c r="AM62" i="1"/>
  <c r="Y62" i="1"/>
  <c r="AP65" i="1"/>
  <c r="J64" i="1"/>
  <c r="O64" i="1" s="1"/>
  <c r="I63" i="1"/>
  <c r="AO180" i="1"/>
  <c r="I183" i="1"/>
  <c r="I185" i="1"/>
  <c r="AP183" i="1"/>
  <c r="J182" i="1"/>
  <c r="O182" i="1" s="1"/>
  <c r="X181" i="1"/>
  <c r="U181" i="1"/>
  <c r="J24" i="1"/>
  <c r="O24" i="1" s="1"/>
  <c r="I23" i="1"/>
  <c r="U23" i="1"/>
  <c r="X23" i="1"/>
  <c r="Y22" i="1"/>
  <c r="AM22" i="1"/>
  <c r="AP25" i="1"/>
  <c r="G146" i="12"/>
  <c r="G150" i="12"/>
  <c r="G152" i="12"/>
  <c r="G143" i="12"/>
  <c r="F149" i="12"/>
  <c r="F147" i="12"/>
  <c r="F152" i="12"/>
  <c r="G142" i="12"/>
  <c r="F151" i="12"/>
  <c r="F145" i="12"/>
  <c r="F161" i="12"/>
  <c r="F170" i="12"/>
  <c r="F167" i="12"/>
  <c r="F160" i="12"/>
  <c r="F165" i="12"/>
  <c r="F169" i="12"/>
  <c r="F173" i="12"/>
  <c r="F162" i="12"/>
  <c r="F166" i="12"/>
  <c r="F163" i="12"/>
  <c r="F172" i="12"/>
  <c r="F164" i="12"/>
  <c r="F158" i="12"/>
  <c r="F176" i="12"/>
  <c r="F159" i="12"/>
  <c r="F177" i="12"/>
  <c r="F168" i="12"/>
  <c r="F171" i="12"/>
  <c r="F175" i="12"/>
  <c r="F174" i="12"/>
  <c r="F150" i="12"/>
  <c r="G148" i="12"/>
  <c r="G149" i="12"/>
  <c r="F143" i="12"/>
  <c r="F144" i="12"/>
  <c r="G144" i="12"/>
  <c r="F142" i="12"/>
  <c r="G147" i="12"/>
  <c r="F148" i="12"/>
  <c r="F146" i="12"/>
  <c r="G151" i="12"/>
  <c r="G145" i="12"/>
  <c r="N154" i="10"/>
  <c r="V33" i="11"/>
  <c r="AT33" i="11" s="1"/>
  <c r="O33" i="11"/>
  <c r="Y35" i="11"/>
  <c r="O35" i="11"/>
  <c r="Y43" i="11"/>
  <c r="O43" i="11"/>
  <c r="V7" i="11"/>
  <c r="AT7" i="11" s="1"/>
  <c r="O7" i="11"/>
  <c r="AE76" i="10"/>
  <c r="N76" i="10"/>
  <c r="AE74" i="10"/>
  <c r="N74" i="10"/>
  <c r="AE16" i="10"/>
  <c r="N16" i="10"/>
  <c r="R148" i="11"/>
  <c r="AT37" i="11"/>
  <c r="AB6" i="11"/>
  <c r="AT10" i="11"/>
  <c r="AB41" i="11"/>
  <c r="Y33" i="11"/>
  <c r="AF152" i="11"/>
  <c r="AF158" i="11"/>
  <c r="K1" i="13"/>
  <c r="J2" i="13"/>
  <c r="J3" i="13" s="1"/>
  <c r="AF148" i="11"/>
  <c r="Y7" i="11"/>
  <c r="R150" i="11"/>
  <c r="AF150" i="11"/>
  <c r="Y40" i="11"/>
  <c r="Y9" i="11"/>
  <c r="Y41" i="11"/>
  <c r="R153" i="11"/>
  <c r="AF153" i="11"/>
  <c r="V9" i="11"/>
  <c r="AT42" i="11"/>
  <c r="AB42" i="11"/>
  <c r="V35" i="11"/>
  <c r="AF157" i="11"/>
  <c r="R157" i="11"/>
  <c r="R159" i="11"/>
  <c r="AF159" i="11"/>
  <c r="V39" i="11"/>
  <c r="Y39" i="11"/>
  <c r="AT8" i="11"/>
  <c r="AB8" i="11"/>
  <c r="AT40" i="11"/>
  <c r="AB40" i="11"/>
  <c r="AT44" i="11"/>
  <c r="AB44" i="11"/>
  <c r="AT34" i="11"/>
  <c r="AB34" i="11"/>
  <c r="AB38" i="11"/>
  <c r="AT38" i="11"/>
  <c r="AF155" i="11"/>
  <c r="AF154" i="11"/>
  <c r="R151" i="11"/>
  <c r="AF151" i="11"/>
  <c r="AT36" i="11"/>
  <c r="AB36" i="11"/>
  <c r="AF149" i="11"/>
  <c r="R149" i="11"/>
  <c r="AF156" i="11"/>
  <c r="V43" i="11"/>
  <c r="AI154" i="10"/>
  <c r="AI30" i="10"/>
  <c r="AI16" i="10"/>
  <c r="AI74" i="10"/>
  <c r="AI76" i="10"/>
  <c r="I6" i="8"/>
  <c r="I153" i="10"/>
  <c r="N153" i="10" s="1"/>
  <c r="I152" i="10"/>
  <c r="N152" i="10" s="1"/>
  <c r="I151" i="10"/>
  <c r="N151" i="10" s="1"/>
  <c r="I150" i="10"/>
  <c r="N150" i="10" s="1"/>
  <c r="I149" i="10"/>
  <c r="N149" i="10" s="1"/>
  <c r="I148" i="10"/>
  <c r="N148" i="10" s="1"/>
  <c r="I147" i="10"/>
  <c r="N147" i="10" s="1"/>
  <c r="I146" i="10"/>
  <c r="N146" i="10" s="1"/>
  <c r="I145" i="10"/>
  <c r="N145" i="10" s="1"/>
  <c r="I144" i="10"/>
  <c r="N144" i="10" s="1"/>
  <c r="I143" i="10"/>
  <c r="N143" i="10" s="1"/>
  <c r="AO310" i="10"/>
  <c r="AN310" i="10"/>
  <c r="AK310" i="10"/>
  <c r="AJ310" i="10"/>
  <c r="AD310" i="10"/>
  <c r="AO153" i="10"/>
  <c r="AN153" i="10"/>
  <c r="AK153" i="10"/>
  <c r="AJ153" i="10"/>
  <c r="AD153" i="10"/>
  <c r="AH153" i="10" s="1"/>
  <c r="AO152" i="10"/>
  <c r="AN152" i="10"/>
  <c r="AK152" i="10"/>
  <c r="AJ152" i="10"/>
  <c r="AD152" i="10"/>
  <c r="AI152" i="10" s="1"/>
  <c r="AO151" i="10"/>
  <c r="AN151" i="10"/>
  <c r="AK151" i="10"/>
  <c r="AJ151" i="10"/>
  <c r="AD151" i="10"/>
  <c r="AH151" i="10" s="1"/>
  <c r="AO150" i="10"/>
  <c r="AN150" i="10"/>
  <c r="AK150" i="10"/>
  <c r="AJ150" i="10"/>
  <c r="AD150" i="10"/>
  <c r="AI150" i="10" s="1"/>
  <c r="AO149" i="10"/>
  <c r="AN149" i="10"/>
  <c r="AK149" i="10"/>
  <c r="AJ149" i="10"/>
  <c r="AD149" i="10"/>
  <c r="AH149" i="10" s="1"/>
  <c r="AO148" i="10"/>
  <c r="AN148" i="10"/>
  <c r="AK148" i="10"/>
  <c r="AJ148" i="10"/>
  <c r="AD148" i="10"/>
  <c r="AI148" i="10" s="1"/>
  <c r="AO147" i="10"/>
  <c r="AN147" i="10"/>
  <c r="AK147" i="10"/>
  <c r="AJ147" i="10"/>
  <c r="AD147" i="10"/>
  <c r="AH147" i="10" s="1"/>
  <c r="AO146" i="10"/>
  <c r="AN146" i="10"/>
  <c r="AK146" i="10"/>
  <c r="AJ146" i="10"/>
  <c r="AD146" i="10"/>
  <c r="AI146" i="10" s="1"/>
  <c r="AO145" i="10"/>
  <c r="AN145" i="10"/>
  <c r="AK145" i="10"/>
  <c r="AJ145" i="10"/>
  <c r="AD145" i="10"/>
  <c r="AO144" i="10"/>
  <c r="AN144" i="10"/>
  <c r="AK144" i="10"/>
  <c r="AJ144" i="10"/>
  <c r="AD144" i="10"/>
  <c r="AI144" i="10" s="1"/>
  <c r="AO143" i="10"/>
  <c r="AN143" i="10"/>
  <c r="AK143" i="10"/>
  <c r="AJ143" i="10"/>
  <c r="AD143" i="10"/>
  <c r="AH143" i="10" s="1"/>
  <c r="I15" i="10"/>
  <c r="N15" i="10" s="1"/>
  <c r="I14" i="10"/>
  <c r="N14" i="10" s="1"/>
  <c r="I13" i="10"/>
  <c r="N13" i="10" s="1"/>
  <c r="I12" i="10"/>
  <c r="N12" i="10" s="1"/>
  <c r="I11" i="10"/>
  <c r="N11" i="10" s="1"/>
  <c r="I10" i="10"/>
  <c r="N10" i="10" s="1"/>
  <c r="I9" i="10"/>
  <c r="N9" i="10" s="1"/>
  <c r="N8" i="10"/>
  <c r="I6" i="10"/>
  <c r="N6" i="10" s="1"/>
  <c r="I5" i="10"/>
  <c r="AE5" i="10"/>
  <c r="AE6" i="10"/>
  <c r="AE7" i="10"/>
  <c r="AE8" i="10"/>
  <c r="AE9" i="10"/>
  <c r="AE10" i="10"/>
  <c r="AE11" i="10"/>
  <c r="AE12" i="10"/>
  <c r="AE13" i="10"/>
  <c r="AE14" i="10"/>
  <c r="AE15" i="10"/>
  <c r="AE29" i="10"/>
  <c r="AD5" i="10"/>
  <c r="AD6" i="10"/>
  <c r="AD7" i="10"/>
  <c r="AD8" i="10"/>
  <c r="AD9" i="10"/>
  <c r="AD10" i="10"/>
  <c r="AD11" i="10"/>
  <c r="AD12" i="10"/>
  <c r="AD13" i="10"/>
  <c r="AD14" i="10"/>
  <c r="AD15" i="10"/>
  <c r="AD29" i="10"/>
  <c r="O156" i="11" l="1"/>
  <c r="I698" i="1"/>
  <c r="J698" i="1"/>
  <c r="O698" i="1" s="1"/>
  <c r="H699" i="1"/>
  <c r="AD147" i="12"/>
  <c r="O155" i="11"/>
  <c r="AZ174" i="12" s="1"/>
  <c r="AY174" i="12" s="1"/>
  <c r="R152" i="11"/>
  <c r="BA143" i="12"/>
  <c r="BA152" i="12"/>
  <c r="R154" i="11"/>
  <c r="AZ150" i="12"/>
  <c r="AX179" i="12"/>
  <c r="BB145" i="12"/>
  <c r="AZ145" i="12"/>
  <c r="AZ149" i="12"/>
  <c r="AX153" i="12"/>
  <c r="BA142" i="12"/>
  <c r="AY153" i="12"/>
  <c r="AY154" i="12" s="1"/>
  <c r="AZ142" i="12"/>
  <c r="AZ143" i="12"/>
  <c r="AZ144" i="12"/>
  <c r="AZ148" i="12"/>
  <c r="AZ151" i="12"/>
  <c r="AZ146" i="12"/>
  <c r="BB146" i="12"/>
  <c r="AZ152" i="12"/>
  <c r="AZ147" i="12"/>
  <c r="AD150" i="12"/>
  <c r="AD149" i="12"/>
  <c r="AD144" i="12"/>
  <c r="AD142" i="12"/>
  <c r="AC153" i="12"/>
  <c r="AE146" i="12"/>
  <c r="AD173" i="12"/>
  <c r="AC173" i="12" s="1"/>
  <c r="AF144" i="12"/>
  <c r="AD166" i="12"/>
  <c r="AC166" i="12" s="1"/>
  <c r="AF149" i="12"/>
  <c r="AE142" i="12"/>
  <c r="AD176" i="12"/>
  <c r="AC176" i="12" s="1"/>
  <c r="AF142" i="12"/>
  <c r="AD159" i="12"/>
  <c r="AC159" i="12" s="1"/>
  <c r="AD161" i="12"/>
  <c r="AC161" i="12" s="1"/>
  <c r="AD175" i="12"/>
  <c r="AC175" i="12" s="1"/>
  <c r="AD148" i="12"/>
  <c r="AD146" i="12"/>
  <c r="AD143" i="12"/>
  <c r="AB153" i="12"/>
  <c r="AE153" i="12" s="1"/>
  <c r="AB179" i="12"/>
  <c r="AD151" i="12"/>
  <c r="AE151" i="12"/>
  <c r="AF152" i="12"/>
  <c r="H178" i="12"/>
  <c r="G178" i="12" s="1"/>
  <c r="F179" i="12"/>
  <c r="G153" i="12"/>
  <c r="J153" i="12" s="1"/>
  <c r="F153" i="12"/>
  <c r="AI310" i="10"/>
  <c r="L156" i="10"/>
  <c r="L157" i="10"/>
  <c r="L158" i="10"/>
  <c r="L155" i="10"/>
  <c r="L160" i="10"/>
  <c r="L163" i="10"/>
  <c r="L159" i="10"/>
  <c r="L162" i="10"/>
  <c r="L165" i="10"/>
  <c r="L166" i="10"/>
  <c r="L164" i="10"/>
  <c r="L161" i="10"/>
  <c r="AO101" i="1"/>
  <c r="J103" i="1"/>
  <c r="O103" i="1" s="1"/>
  <c r="I103" i="1"/>
  <c r="S102" i="1"/>
  <c r="V102" i="1"/>
  <c r="U143" i="1"/>
  <c r="X143" i="1"/>
  <c r="G145" i="1"/>
  <c r="AP145" i="1" s="1"/>
  <c r="J144" i="1"/>
  <c r="O144" i="1" s="1"/>
  <c r="AM142" i="1"/>
  <c r="Y142" i="1"/>
  <c r="I145" i="1"/>
  <c r="AP106" i="1"/>
  <c r="AO63" i="1"/>
  <c r="J65" i="1"/>
  <c r="O65" i="1" s="1"/>
  <c r="I64" i="1"/>
  <c r="U64" i="1"/>
  <c r="X64" i="1"/>
  <c r="AP66" i="1"/>
  <c r="V182" i="1"/>
  <c r="S182" i="1"/>
  <c r="I184" i="1"/>
  <c r="AO181" i="1"/>
  <c r="J183" i="1"/>
  <c r="O183" i="1" s="1"/>
  <c r="J25" i="1"/>
  <c r="O25" i="1" s="1"/>
  <c r="I24" i="1"/>
  <c r="U24" i="1"/>
  <c r="X24" i="1"/>
  <c r="AP26" i="1"/>
  <c r="AO23" i="1"/>
  <c r="H175" i="12"/>
  <c r="G175" i="12" s="1"/>
  <c r="I143" i="12"/>
  <c r="H164" i="12"/>
  <c r="G164" i="12" s="1"/>
  <c r="H177" i="12"/>
  <c r="G177" i="12" s="1"/>
  <c r="H170" i="12"/>
  <c r="G170" i="12" s="1"/>
  <c r="I145" i="12"/>
  <c r="J143" i="12"/>
  <c r="H171" i="12"/>
  <c r="G171" i="12" s="1"/>
  <c r="I150" i="12"/>
  <c r="J142" i="12"/>
  <c r="H163" i="12"/>
  <c r="G163" i="12" s="1"/>
  <c r="I146" i="12"/>
  <c r="I144" i="12"/>
  <c r="J146" i="12"/>
  <c r="J145" i="12"/>
  <c r="I142" i="12"/>
  <c r="H172" i="12"/>
  <c r="G172" i="12" s="1"/>
  <c r="H166" i="12"/>
  <c r="G166" i="12" s="1"/>
  <c r="AB33" i="11"/>
  <c r="H174" i="12"/>
  <c r="G174" i="12" s="1"/>
  <c r="I151" i="12"/>
  <c r="J148" i="12"/>
  <c r="H167" i="12"/>
  <c r="G167" i="12" s="1"/>
  <c r="H165" i="12"/>
  <c r="G165" i="12" s="1"/>
  <c r="H176" i="12"/>
  <c r="G176" i="12" s="1"/>
  <c r="I149" i="12"/>
  <c r="I152" i="12"/>
  <c r="J149" i="12"/>
  <c r="J151" i="12"/>
  <c r="H161" i="12"/>
  <c r="G161" i="12" s="1"/>
  <c r="H158" i="12"/>
  <c r="J152" i="12"/>
  <c r="H159" i="12"/>
  <c r="N5" i="10"/>
  <c r="AB7" i="11"/>
  <c r="H142" i="12"/>
  <c r="H148" i="12"/>
  <c r="H143" i="12"/>
  <c r="H152" i="12"/>
  <c r="H149" i="12"/>
  <c r="H151" i="12"/>
  <c r="H146" i="12"/>
  <c r="H145" i="12"/>
  <c r="H144" i="12"/>
  <c r="H150" i="12"/>
  <c r="H147" i="12"/>
  <c r="K2" i="13"/>
  <c r="K3" i="13" s="1"/>
  <c r="F7" i="8"/>
  <c r="L1" i="13"/>
  <c r="AB9" i="11"/>
  <c r="AT9" i="11"/>
  <c r="AT35" i="11"/>
  <c r="AB35" i="11"/>
  <c r="AT43" i="11"/>
  <c r="AB43" i="11"/>
  <c r="AB39" i="11"/>
  <c r="AT39" i="11"/>
  <c r="L154" i="10"/>
  <c r="U16" i="10"/>
  <c r="AS16" i="10" s="1"/>
  <c r="X16" i="10"/>
  <c r="L144" i="10"/>
  <c r="Q144" i="10" s="1"/>
  <c r="U144" i="10" s="1"/>
  <c r="AS144" i="10" s="1"/>
  <c r="L152" i="10"/>
  <c r="Q152" i="10" s="1"/>
  <c r="L143" i="10"/>
  <c r="L147" i="10"/>
  <c r="Q147" i="10" s="1"/>
  <c r="L151" i="10"/>
  <c r="Q151" i="10" s="1"/>
  <c r="L145" i="10"/>
  <c r="Q145" i="10" s="1"/>
  <c r="L149" i="10"/>
  <c r="Q149" i="10" s="1"/>
  <c r="L153" i="10"/>
  <c r="Q153" i="10" s="1"/>
  <c r="L148" i="10"/>
  <c r="Q148" i="10" s="1"/>
  <c r="U148" i="10" s="1"/>
  <c r="AS148" i="10" s="1"/>
  <c r="L146" i="10"/>
  <c r="Q146" i="10" s="1"/>
  <c r="L150" i="10"/>
  <c r="Q150" i="10" s="1"/>
  <c r="L310" i="10"/>
  <c r="Q310" i="10" s="1"/>
  <c r="AH144" i="10"/>
  <c r="AH146" i="10"/>
  <c r="AH148" i="10"/>
  <c r="AH150" i="10"/>
  <c r="AH152" i="10"/>
  <c r="AH310" i="10"/>
  <c r="AH145" i="10"/>
  <c r="AI145" i="10"/>
  <c r="AI149" i="10"/>
  <c r="AI153" i="10"/>
  <c r="AI143" i="10"/>
  <c r="AI147" i="10"/>
  <c r="AI151" i="10"/>
  <c r="AO29" i="10"/>
  <c r="AN29" i="10"/>
  <c r="AK29" i="10"/>
  <c r="AJ29" i="10"/>
  <c r="AO15" i="10"/>
  <c r="AN15" i="10"/>
  <c r="AK15" i="10"/>
  <c r="AJ15" i="10"/>
  <c r="AI15" i="10"/>
  <c r="AO14" i="10"/>
  <c r="AN14" i="10"/>
  <c r="AK14" i="10"/>
  <c r="AJ14" i="10"/>
  <c r="AI14" i="10"/>
  <c r="AO13" i="10"/>
  <c r="AN13" i="10"/>
  <c r="AK13" i="10"/>
  <c r="AJ13" i="10"/>
  <c r="AI13" i="10"/>
  <c r="AO12" i="10"/>
  <c r="AN12" i="10"/>
  <c r="AK12" i="10"/>
  <c r="AJ12" i="10"/>
  <c r="AO11" i="10"/>
  <c r="AN11" i="10"/>
  <c r="AK11" i="10"/>
  <c r="AJ11" i="10"/>
  <c r="AH11" i="10"/>
  <c r="AO10" i="10"/>
  <c r="AN10" i="10"/>
  <c r="AK10" i="10"/>
  <c r="AJ10" i="10"/>
  <c r="AH10" i="10"/>
  <c r="AO9" i="10"/>
  <c r="AN9" i="10"/>
  <c r="AK9" i="10"/>
  <c r="AJ9" i="10"/>
  <c r="AI9" i="10"/>
  <c r="AO8" i="10"/>
  <c r="AN8" i="10"/>
  <c r="AK8" i="10"/>
  <c r="AJ8" i="10"/>
  <c r="AO7" i="10"/>
  <c r="AN7" i="10"/>
  <c r="AK7" i="10"/>
  <c r="AJ7" i="10"/>
  <c r="AI7" i="10"/>
  <c r="AO6" i="10"/>
  <c r="AN6" i="10"/>
  <c r="AK6" i="10"/>
  <c r="AJ6" i="10"/>
  <c r="AI6" i="10"/>
  <c r="AO5" i="10"/>
  <c r="AN5" i="10"/>
  <c r="AK5" i="10"/>
  <c r="AJ5" i="10"/>
  <c r="AI5" i="10"/>
  <c r="Y60" i="9"/>
  <c r="AB60" i="9" s="1"/>
  <c r="AC60" i="9"/>
  <c r="AD60" i="9"/>
  <c r="AG60" i="9"/>
  <c r="AH60" i="9"/>
  <c r="Y59" i="9"/>
  <c r="AB59" i="9" s="1"/>
  <c r="AC59" i="9"/>
  <c r="AD59" i="9"/>
  <c r="AG59" i="9"/>
  <c r="AH59" i="9"/>
  <c r="Y58" i="9"/>
  <c r="AB58" i="9" s="1"/>
  <c r="AC58" i="9"/>
  <c r="AD58" i="9"/>
  <c r="AG58" i="9"/>
  <c r="AH58" i="9"/>
  <c r="Y5" i="9"/>
  <c r="Y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56" i="9"/>
  <c r="Y57" i="9"/>
  <c r="I699" i="1" l="1"/>
  <c r="H700" i="1"/>
  <c r="J699" i="1"/>
  <c r="O699" i="1" s="1"/>
  <c r="AZ168" i="12"/>
  <c r="AY168" i="12" s="1"/>
  <c r="AZ169" i="12"/>
  <c r="AY169" i="12" s="1"/>
  <c r="AZ175" i="12"/>
  <c r="AY175" i="12" s="1"/>
  <c r="AZ171" i="12"/>
  <c r="AY171" i="12" s="1"/>
  <c r="AZ162" i="12"/>
  <c r="AY162" i="12" s="1"/>
  <c r="I148" i="12"/>
  <c r="H162" i="12"/>
  <c r="G162" i="12" s="1"/>
  <c r="H168" i="12"/>
  <c r="G168" i="12" s="1"/>
  <c r="H173" i="12"/>
  <c r="G173" i="12" s="1"/>
  <c r="H169" i="12"/>
  <c r="G169" i="12" s="1"/>
  <c r="I147" i="12"/>
  <c r="H160" i="12"/>
  <c r="G160" i="12" s="1"/>
  <c r="J147" i="12"/>
  <c r="J144" i="12"/>
  <c r="J150" i="12"/>
  <c r="I153" i="12"/>
  <c r="AE149" i="12"/>
  <c r="AE148" i="12"/>
  <c r="AD162" i="12"/>
  <c r="AC162" i="12" s="1"/>
  <c r="AF151" i="12"/>
  <c r="AD165" i="12"/>
  <c r="AC165" i="12" s="1"/>
  <c r="AD170" i="12"/>
  <c r="AC170" i="12" s="1"/>
  <c r="AD177" i="12"/>
  <c r="AC177" i="12" s="1"/>
  <c r="AF145" i="12"/>
  <c r="AE150" i="12"/>
  <c r="AE144" i="12"/>
  <c r="AG144" i="12" s="1"/>
  <c r="AD169" i="12"/>
  <c r="AC169" i="12" s="1"/>
  <c r="AD178" i="12"/>
  <c r="AC178" i="12" s="1"/>
  <c r="BB147" i="12"/>
  <c r="BB144" i="12"/>
  <c r="BB142" i="12"/>
  <c r="BC142" i="12" s="1"/>
  <c r="BA153" i="12"/>
  <c r="BA146" i="12"/>
  <c r="BC146" i="12" s="1"/>
  <c r="BA150" i="12"/>
  <c r="BA149" i="12"/>
  <c r="AZ176" i="12"/>
  <c r="AY176" i="12" s="1"/>
  <c r="AZ163" i="12"/>
  <c r="AY163" i="12" s="1"/>
  <c r="AZ166" i="12"/>
  <c r="AY166" i="12" s="1"/>
  <c r="AZ177" i="12"/>
  <c r="AY177" i="12" s="1"/>
  <c r="AZ173" i="12"/>
  <c r="AY173" i="12" s="1"/>
  <c r="AD164" i="12"/>
  <c r="AC164" i="12" s="1"/>
  <c r="AF143" i="12"/>
  <c r="AF146" i="12"/>
  <c r="AD163" i="12"/>
  <c r="AC163" i="12" s="1"/>
  <c r="AF148" i="12"/>
  <c r="AF147" i="12"/>
  <c r="AD168" i="12"/>
  <c r="AC168" i="12" s="1"/>
  <c r="AE147" i="12"/>
  <c r="AF153" i="12"/>
  <c r="AG153" i="12" s="1"/>
  <c r="BB151" i="12"/>
  <c r="BB148" i="12"/>
  <c r="BB149" i="12"/>
  <c r="BA148" i="12"/>
  <c r="BA147" i="12"/>
  <c r="BA151" i="12"/>
  <c r="AZ161" i="12"/>
  <c r="AY161" i="12" s="1"/>
  <c r="AZ158" i="12"/>
  <c r="AZ165" i="12"/>
  <c r="AY165" i="12" s="1"/>
  <c r="AZ172" i="12"/>
  <c r="AY172" i="12" s="1"/>
  <c r="AZ178" i="12"/>
  <c r="AY178" i="12" s="1"/>
  <c r="AD174" i="12"/>
  <c r="AC174" i="12" s="1"/>
  <c r="AE145" i="12"/>
  <c r="AG145" i="12" s="1"/>
  <c r="AD171" i="12"/>
  <c r="AC171" i="12" s="1"/>
  <c r="AE152" i="12"/>
  <c r="AE143" i="12"/>
  <c r="AF150" i="12"/>
  <c r="AD160" i="12"/>
  <c r="AC160" i="12" s="1"/>
  <c r="AD158" i="12"/>
  <c r="AC158" i="12" s="1"/>
  <c r="AD172" i="12"/>
  <c r="AC172" i="12" s="1"/>
  <c r="AD167" i="12"/>
  <c r="AC167" i="12" s="1"/>
  <c r="BB152" i="12"/>
  <c r="BC152" i="12" s="1"/>
  <c r="BB143" i="12"/>
  <c r="BC143" i="12" s="1"/>
  <c r="BB150" i="12"/>
  <c r="BA145" i="12"/>
  <c r="BC145" i="12" s="1"/>
  <c r="BA144" i="12"/>
  <c r="AZ167" i="12"/>
  <c r="AY167" i="12" s="1"/>
  <c r="AZ170" i="12"/>
  <c r="AY170" i="12" s="1"/>
  <c r="AZ160" i="12"/>
  <c r="AY160" i="12" s="1"/>
  <c r="AZ159" i="12"/>
  <c r="AY159" i="12" s="1"/>
  <c r="AZ164" i="12"/>
  <c r="AY164" i="12" s="1"/>
  <c r="BB153" i="12"/>
  <c r="AZ153" i="12"/>
  <c r="AZ154" i="12" s="1"/>
  <c r="AX154" i="12"/>
  <c r="AY107" i="12"/>
  <c r="AY106" i="12"/>
  <c r="AX109" i="12"/>
  <c r="BA109" i="12" s="1"/>
  <c r="AX105" i="12"/>
  <c r="BA105" i="12" s="1"/>
  <c r="AX100" i="12"/>
  <c r="BA100" i="12" s="1"/>
  <c r="AZ129" i="12"/>
  <c r="AX107" i="12"/>
  <c r="BA107" i="12" s="1"/>
  <c r="AY104" i="12"/>
  <c r="AY103" i="12"/>
  <c r="AX99" i="12"/>
  <c r="BA99" i="12" s="1"/>
  <c r="AX103" i="12"/>
  <c r="BA103" i="12" s="1"/>
  <c r="AY100" i="12"/>
  <c r="AX101" i="12"/>
  <c r="AZ126" i="12"/>
  <c r="AZ128" i="12"/>
  <c r="AZ115" i="12"/>
  <c r="AX98" i="12"/>
  <c r="AX102" i="12"/>
  <c r="BA102" i="12" s="1"/>
  <c r="AZ132" i="12"/>
  <c r="AY105" i="12"/>
  <c r="AX119" i="12"/>
  <c r="AX123" i="12"/>
  <c r="AX127" i="12"/>
  <c r="AZ125" i="12"/>
  <c r="AX130" i="12"/>
  <c r="AX131" i="12"/>
  <c r="AX108" i="12"/>
  <c r="BA108" i="12" s="1"/>
  <c r="AX117" i="12"/>
  <c r="AX125" i="12"/>
  <c r="AZ122" i="12"/>
  <c r="AY101" i="12"/>
  <c r="BB101" i="12" s="1"/>
  <c r="AZ130" i="12"/>
  <c r="AX104" i="12"/>
  <c r="BA104" i="12" s="1"/>
  <c r="AY98" i="12"/>
  <c r="AX122" i="12"/>
  <c r="AZ117" i="12"/>
  <c r="AZ121" i="12"/>
  <c r="AZ119" i="12"/>
  <c r="AX134" i="12"/>
  <c r="AY99" i="12"/>
  <c r="AY108" i="12"/>
  <c r="AY109" i="12"/>
  <c r="BB109" i="12" s="1"/>
  <c r="AX120" i="12"/>
  <c r="AX124" i="12"/>
  <c r="AX128" i="12"/>
  <c r="AZ118" i="12"/>
  <c r="AZ116" i="12"/>
  <c r="AZ123" i="12"/>
  <c r="AZ134" i="12"/>
  <c r="AX106" i="12"/>
  <c r="BA106" i="12" s="1"/>
  <c r="AY102" i="12"/>
  <c r="AX133" i="12"/>
  <c r="AX121" i="12"/>
  <c r="AY121" i="12" s="1"/>
  <c r="AX129" i="12"/>
  <c r="AY129" i="12" s="1"/>
  <c r="AZ120" i="12"/>
  <c r="AZ124" i="12"/>
  <c r="AZ127" i="12"/>
  <c r="AZ131" i="12"/>
  <c r="AY131" i="12" s="1"/>
  <c r="AX132" i="12"/>
  <c r="AZ133" i="12"/>
  <c r="AY133" i="12" s="1"/>
  <c r="AX118" i="12"/>
  <c r="AX126" i="12"/>
  <c r="AY126" i="12" s="1"/>
  <c r="AC101" i="12"/>
  <c r="AF101" i="12" s="1"/>
  <c r="AD134" i="12"/>
  <c r="H134" i="12"/>
  <c r="AD118" i="12"/>
  <c r="AD129" i="12"/>
  <c r="AD124" i="12"/>
  <c r="AD117" i="12"/>
  <c r="AD122" i="12"/>
  <c r="AD132" i="12"/>
  <c r="AD127" i="12"/>
  <c r="AD128" i="12"/>
  <c r="AD123" i="12"/>
  <c r="AD125" i="12"/>
  <c r="AD116" i="12"/>
  <c r="AD126" i="12"/>
  <c r="AD133" i="12"/>
  <c r="AD120" i="12"/>
  <c r="AD115" i="12"/>
  <c r="AD119" i="12"/>
  <c r="AD121" i="12"/>
  <c r="AD131" i="12"/>
  <c r="AD130" i="12"/>
  <c r="AB99" i="12"/>
  <c r="AE99" i="12" s="1"/>
  <c r="AB104" i="12"/>
  <c r="AE104" i="12" s="1"/>
  <c r="AC100" i="12"/>
  <c r="AF100" i="12" s="1"/>
  <c r="AC99" i="12"/>
  <c r="AF99" i="12" s="1"/>
  <c r="AG151" i="12"/>
  <c r="AG148" i="12"/>
  <c r="AC154" i="12"/>
  <c r="AD153" i="12"/>
  <c r="AD154" i="12" s="1"/>
  <c r="AB105" i="12"/>
  <c r="AE105" i="12" s="1"/>
  <c r="AC103" i="12"/>
  <c r="F109" i="12"/>
  <c r="I109" i="12" s="1"/>
  <c r="AG142" i="12"/>
  <c r="AC98" i="12"/>
  <c r="AB98" i="12"/>
  <c r="AE98" i="12" s="1"/>
  <c r="AB154" i="12"/>
  <c r="AB108" i="12"/>
  <c r="AE108" i="12" s="1"/>
  <c r="AB106" i="12"/>
  <c r="AE106" i="12" s="1"/>
  <c r="AB100" i="12"/>
  <c r="AE100" i="12" s="1"/>
  <c r="AC102" i="12"/>
  <c r="AC105" i="12"/>
  <c r="AB103" i="12"/>
  <c r="AE103" i="12" s="1"/>
  <c r="AC107" i="12"/>
  <c r="AF107" i="12" s="1"/>
  <c r="AC109" i="12"/>
  <c r="AF109" i="12" s="1"/>
  <c r="AG143" i="12"/>
  <c r="AB101" i="12"/>
  <c r="AD101" i="12" s="1"/>
  <c r="AB102" i="12"/>
  <c r="AE102" i="12" s="1"/>
  <c r="AG152" i="12"/>
  <c r="G109" i="12"/>
  <c r="J109" i="12" s="1"/>
  <c r="F134" i="12"/>
  <c r="AB134" i="12"/>
  <c r="AB123" i="12"/>
  <c r="AB122" i="12"/>
  <c r="AB124" i="12"/>
  <c r="AB117" i="12"/>
  <c r="AB132" i="12"/>
  <c r="AB118" i="12"/>
  <c r="AB119" i="12"/>
  <c r="AB128" i="12"/>
  <c r="AB121" i="12"/>
  <c r="AB127" i="12"/>
  <c r="AB125" i="12"/>
  <c r="AB129" i="12"/>
  <c r="AB133" i="12"/>
  <c r="AB120" i="12"/>
  <c r="AB126" i="12"/>
  <c r="AB131" i="12"/>
  <c r="AB130" i="12"/>
  <c r="AB107" i="12"/>
  <c r="AC108" i="12"/>
  <c r="AC104" i="12"/>
  <c r="AC106" i="12"/>
  <c r="AB109" i="12"/>
  <c r="AE109" i="12" s="1"/>
  <c r="AG149" i="12"/>
  <c r="AG146" i="12"/>
  <c r="G154" i="12"/>
  <c r="H153" i="12"/>
  <c r="H154" i="12" s="1"/>
  <c r="F154" i="12"/>
  <c r="H179" i="12"/>
  <c r="G179" i="12" s="1"/>
  <c r="Q164" i="10"/>
  <c r="AE164" i="10"/>
  <c r="Q159" i="10"/>
  <c r="AE159" i="10"/>
  <c r="Q158" i="10"/>
  <c r="AE158" i="10"/>
  <c r="Q166" i="10"/>
  <c r="AE166" i="10"/>
  <c r="Q163" i="10"/>
  <c r="AE163" i="10"/>
  <c r="Q157" i="10"/>
  <c r="AE157" i="10"/>
  <c r="Q165" i="10"/>
  <c r="AE165" i="10"/>
  <c r="Q160" i="10"/>
  <c r="AE160" i="10"/>
  <c r="Q156" i="10"/>
  <c r="AE156" i="10"/>
  <c r="Q161" i="10"/>
  <c r="AE161" i="10"/>
  <c r="Q162" i="10"/>
  <c r="AE162" i="10"/>
  <c r="Q155" i="10"/>
  <c r="AE155" i="10"/>
  <c r="AP184" i="1"/>
  <c r="AM102" i="1"/>
  <c r="Y102" i="1"/>
  <c r="U103" i="1"/>
  <c r="X103" i="1"/>
  <c r="I104" i="1"/>
  <c r="J104" i="1"/>
  <c r="O104" i="1" s="1"/>
  <c r="I146" i="1"/>
  <c r="U144" i="1"/>
  <c r="X144" i="1"/>
  <c r="AO143" i="1"/>
  <c r="G146" i="1"/>
  <c r="AP146" i="1" s="1"/>
  <c r="J145" i="1"/>
  <c r="O145" i="1" s="1"/>
  <c r="AP107" i="1"/>
  <c r="AP67" i="1"/>
  <c r="I65" i="1"/>
  <c r="AO64" i="1"/>
  <c r="U65" i="1"/>
  <c r="X65" i="1"/>
  <c r="AM182" i="1"/>
  <c r="Y182" i="1"/>
  <c r="J184" i="1"/>
  <c r="O184" i="1" s="1"/>
  <c r="X183" i="1"/>
  <c r="U183" i="1"/>
  <c r="J26" i="1"/>
  <c r="O26" i="1" s="1"/>
  <c r="I25" i="1"/>
  <c r="U25" i="1"/>
  <c r="X25" i="1"/>
  <c r="AO24" i="1"/>
  <c r="AP27" i="1"/>
  <c r="G107" i="12"/>
  <c r="J107" i="12" s="1"/>
  <c r="G106" i="12"/>
  <c r="J106" i="12" s="1"/>
  <c r="F104" i="12"/>
  <c r="I104" i="12" s="1"/>
  <c r="F121" i="12"/>
  <c r="F126" i="12"/>
  <c r="F127" i="12"/>
  <c r="F119" i="12"/>
  <c r="F133" i="12"/>
  <c r="F120" i="12"/>
  <c r="F117" i="12"/>
  <c r="F124" i="12"/>
  <c r="F129" i="12"/>
  <c r="F118" i="12"/>
  <c r="F132" i="12"/>
  <c r="F123" i="12"/>
  <c r="F128" i="12"/>
  <c r="F125" i="12"/>
  <c r="F122" i="12"/>
  <c r="F131" i="12"/>
  <c r="F130" i="12"/>
  <c r="F107" i="12"/>
  <c r="I107" i="12" s="1"/>
  <c r="F102" i="12"/>
  <c r="I102" i="12" s="1"/>
  <c r="F100" i="12"/>
  <c r="I100" i="12" s="1"/>
  <c r="F99" i="12"/>
  <c r="I99" i="12" s="1"/>
  <c r="F103" i="12"/>
  <c r="I103" i="12" s="1"/>
  <c r="G104" i="12"/>
  <c r="J104" i="12" s="1"/>
  <c r="G105" i="12"/>
  <c r="J105" i="12" s="1"/>
  <c r="F106" i="12"/>
  <c r="I106" i="12" s="1"/>
  <c r="G102" i="12"/>
  <c r="J102" i="12" s="1"/>
  <c r="G98" i="12"/>
  <c r="G103" i="12"/>
  <c r="J103" i="12" s="1"/>
  <c r="F105" i="12"/>
  <c r="I105" i="12" s="1"/>
  <c r="H117" i="12"/>
  <c r="H133" i="12"/>
  <c r="H115" i="12"/>
  <c r="H132" i="12"/>
  <c r="H131" i="12"/>
  <c r="H127" i="12"/>
  <c r="H124" i="12"/>
  <c r="H126" i="12"/>
  <c r="H129" i="12"/>
  <c r="H118" i="12"/>
  <c r="H119" i="12"/>
  <c r="H125" i="12"/>
  <c r="H121" i="12"/>
  <c r="H123" i="12"/>
  <c r="H120" i="12"/>
  <c r="H128" i="12"/>
  <c r="H116" i="12"/>
  <c r="H122" i="12"/>
  <c r="H130" i="12"/>
  <c r="F101" i="12"/>
  <c r="I101" i="12" s="1"/>
  <c r="G100" i="12"/>
  <c r="J100" i="12" s="1"/>
  <c r="G101" i="12"/>
  <c r="J101" i="12" s="1"/>
  <c r="G108" i="12"/>
  <c r="J108" i="12" s="1"/>
  <c r="G99" i="12"/>
  <c r="J99" i="12" s="1"/>
  <c r="F98" i="12"/>
  <c r="F108" i="12"/>
  <c r="I108" i="12" s="1"/>
  <c r="K144" i="12"/>
  <c r="K145" i="12"/>
  <c r="K151" i="12"/>
  <c r="K149" i="12"/>
  <c r="K142" i="12"/>
  <c r="K143" i="12"/>
  <c r="K147" i="12"/>
  <c r="K146" i="12"/>
  <c r="K153" i="12"/>
  <c r="K152" i="12"/>
  <c r="J154" i="12"/>
  <c r="K150" i="12"/>
  <c r="K148" i="12"/>
  <c r="Q143" i="10"/>
  <c r="X143" i="10" s="1"/>
  <c r="M1" i="13"/>
  <c r="L2" i="13"/>
  <c r="L3" i="13" s="1"/>
  <c r="Q154" i="10"/>
  <c r="U154" i="10" s="1"/>
  <c r="AS154" i="10" s="1"/>
  <c r="AE154" i="10"/>
  <c r="AA16" i="10"/>
  <c r="X146" i="10"/>
  <c r="U152" i="10"/>
  <c r="X152" i="10"/>
  <c r="AE151" i="10"/>
  <c r="AE152" i="10"/>
  <c r="U150" i="10"/>
  <c r="AS150" i="10" s="1"/>
  <c r="X150" i="10"/>
  <c r="AE147" i="10"/>
  <c r="AE148" i="10"/>
  <c r="AE153" i="10"/>
  <c r="X147" i="10"/>
  <c r="AE150" i="10"/>
  <c r="AE143" i="10"/>
  <c r="U146" i="10"/>
  <c r="AE145" i="10"/>
  <c r="AE310" i="10"/>
  <c r="AE149" i="10"/>
  <c r="AE146" i="10"/>
  <c r="X144" i="10"/>
  <c r="AE144" i="10"/>
  <c r="X148" i="10"/>
  <c r="X149" i="10"/>
  <c r="AA148" i="10"/>
  <c r="AA144" i="10"/>
  <c r="U153" i="10"/>
  <c r="AS153" i="10" s="1"/>
  <c r="X153" i="10"/>
  <c r="U145" i="10"/>
  <c r="AS145" i="10" s="1"/>
  <c r="U151" i="10"/>
  <c r="AS151" i="10" s="1"/>
  <c r="U147" i="10"/>
  <c r="AS147" i="10" s="1"/>
  <c r="U149" i="10"/>
  <c r="AS149" i="10" s="1"/>
  <c r="X151" i="10"/>
  <c r="X145" i="10"/>
  <c r="Z59" i="9"/>
  <c r="AI11" i="10"/>
  <c r="AH7" i="10"/>
  <c r="Z58" i="9"/>
  <c r="Z60" i="9"/>
  <c r="AH6" i="10"/>
  <c r="AI10" i="10"/>
  <c r="AH9" i="10"/>
  <c r="AH14" i="10"/>
  <c r="AH15" i="10"/>
  <c r="U9" i="10"/>
  <c r="AS9" i="10" s="1"/>
  <c r="AH12" i="10"/>
  <c r="AI12" i="10"/>
  <c r="AH29" i="10"/>
  <c r="AI29" i="10"/>
  <c r="AH5" i="10"/>
  <c r="AH13" i="10"/>
  <c r="AH8" i="10"/>
  <c r="AI8" i="10"/>
  <c r="AH57" i="9"/>
  <c r="AG57" i="9"/>
  <c r="AD57" i="9"/>
  <c r="AC57" i="9"/>
  <c r="Z57" i="9"/>
  <c r="AH56" i="9"/>
  <c r="AG56" i="9"/>
  <c r="AD56" i="9"/>
  <c r="AC56" i="9"/>
  <c r="Z56" i="9"/>
  <c r="AH27" i="9"/>
  <c r="AG27" i="9"/>
  <c r="AD27" i="9"/>
  <c r="AC27" i="9"/>
  <c r="AB27" i="9"/>
  <c r="AH26" i="9"/>
  <c r="AG26" i="9"/>
  <c r="AD26" i="9"/>
  <c r="AC26" i="9"/>
  <c r="AB26" i="9"/>
  <c r="AH25" i="9"/>
  <c r="AG25" i="9"/>
  <c r="AD25" i="9"/>
  <c r="AC25" i="9"/>
  <c r="AH24" i="9"/>
  <c r="AG24" i="9"/>
  <c r="AD24" i="9"/>
  <c r="AC24" i="9"/>
  <c r="Z24" i="9"/>
  <c r="AH23" i="9"/>
  <c r="AG23" i="9"/>
  <c r="AD23" i="9"/>
  <c r="AC23" i="9"/>
  <c r="AH22" i="9"/>
  <c r="AG22" i="9"/>
  <c r="AD22" i="9"/>
  <c r="AC22" i="9"/>
  <c r="AB22" i="9"/>
  <c r="AH21" i="9"/>
  <c r="AG21" i="9"/>
  <c r="AD21" i="9"/>
  <c r="AC21" i="9"/>
  <c r="AH20" i="9"/>
  <c r="AG20" i="9"/>
  <c r="AD20" i="9"/>
  <c r="AC20" i="9"/>
  <c r="AB20" i="9"/>
  <c r="AH19" i="9"/>
  <c r="AG19" i="9"/>
  <c r="AD19" i="9"/>
  <c r="AC19" i="9"/>
  <c r="AH18" i="9"/>
  <c r="AG18" i="9"/>
  <c r="AD18" i="9"/>
  <c r="AC18" i="9"/>
  <c r="AB18" i="9"/>
  <c r="AH17" i="9"/>
  <c r="AG17" i="9"/>
  <c r="AD17" i="9"/>
  <c r="AC17" i="9"/>
  <c r="AH16" i="9"/>
  <c r="AG16" i="9"/>
  <c r="AD16" i="9"/>
  <c r="AC16" i="9"/>
  <c r="AB16" i="9"/>
  <c r="AH15" i="9"/>
  <c r="AG15" i="9"/>
  <c r="AD15" i="9"/>
  <c r="AC15" i="9"/>
  <c r="AB15" i="9"/>
  <c r="AH14" i="9"/>
  <c r="AG14" i="9"/>
  <c r="AD14" i="9"/>
  <c r="AC14" i="9"/>
  <c r="AB14" i="9"/>
  <c r="AH13" i="9"/>
  <c r="AG13" i="9"/>
  <c r="AD13" i="9"/>
  <c r="AC13" i="9"/>
  <c r="Z13" i="9"/>
  <c r="AH12" i="9"/>
  <c r="AG12" i="9"/>
  <c r="AD12" i="9"/>
  <c r="AC12" i="9"/>
  <c r="AB12" i="9"/>
  <c r="AH11" i="9"/>
  <c r="AG11" i="9"/>
  <c r="AD11" i="9"/>
  <c r="AC11" i="9"/>
  <c r="AB11" i="9"/>
  <c r="AH10" i="9"/>
  <c r="AG10" i="9"/>
  <c r="AD10" i="9"/>
  <c r="AC10" i="9"/>
  <c r="AB10" i="9"/>
  <c r="AH9" i="9"/>
  <c r="AG9" i="9"/>
  <c r="AD9" i="9"/>
  <c r="AC9" i="9"/>
  <c r="Z9" i="9"/>
  <c r="AH8" i="9"/>
  <c r="AG8" i="9"/>
  <c r="AD8" i="9"/>
  <c r="AC8" i="9"/>
  <c r="Z8" i="9"/>
  <c r="AH7" i="9"/>
  <c r="AG7" i="9"/>
  <c r="AD7" i="9"/>
  <c r="AC7" i="9"/>
  <c r="AB7" i="9"/>
  <c r="AH6" i="9"/>
  <c r="AG6" i="9"/>
  <c r="AD6" i="9"/>
  <c r="AC6" i="9"/>
  <c r="AB6" i="9"/>
  <c r="AH5" i="9"/>
  <c r="AG5" i="9"/>
  <c r="AD5" i="9"/>
  <c r="AC5" i="9"/>
  <c r="Z5" i="9"/>
  <c r="I14" i="5"/>
  <c r="I13" i="5"/>
  <c r="I12" i="5"/>
  <c r="I11" i="5"/>
  <c r="I10" i="5"/>
  <c r="I9" i="5"/>
  <c r="I8" i="5"/>
  <c r="I7" i="5"/>
  <c r="I6" i="5"/>
  <c r="I5" i="5"/>
  <c r="T6" i="5"/>
  <c r="X6" i="5" s="1"/>
  <c r="T7" i="5"/>
  <c r="X7" i="5" s="1"/>
  <c r="T8" i="5"/>
  <c r="X8" i="5" s="1"/>
  <c r="T9" i="5"/>
  <c r="X9" i="5" s="1"/>
  <c r="T10" i="5"/>
  <c r="X10" i="5" s="1"/>
  <c r="T11" i="5"/>
  <c r="X11" i="5" s="1"/>
  <c r="T12" i="5"/>
  <c r="X12" i="5" s="1"/>
  <c r="T13" i="5"/>
  <c r="Y13" i="5" s="1"/>
  <c r="T14" i="5"/>
  <c r="Y14" i="5" s="1"/>
  <c r="U6" i="5"/>
  <c r="U7" i="5"/>
  <c r="U8" i="5"/>
  <c r="U9" i="5"/>
  <c r="U10" i="5"/>
  <c r="U11" i="5"/>
  <c r="U12" i="5"/>
  <c r="U13" i="5"/>
  <c r="U14" i="5"/>
  <c r="Z6" i="5"/>
  <c r="Z7" i="5"/>
  <c r="Z8" i="5"/>
  <c r="Z9" i="5"/>
  <c r="Z10" i="5"/>
  <c r="Z11" i="5"/>
  <c r="Z12" i="5"/>
  <c r="Z13" i="5"/>
  <c r="Z14" i="5"/>
  <c r="AA6" i="5"/>
  <c r="AA7" i="5"/>
  <c r="AA8" i="5"/>
  <c r="AA9" i="5"/>
  <c r="AA10" i="5"/>
  <c r="AA11" i="5"/>
  <c r="AA12" i="5"/>
  <c r="AA13" i="5"/>
  <c r="AA14" i="5"/>
  <c r="AD6" i="5"/>
  <c r="AD7" i="5"/>
  <c r="AD8" i="5"/>
  <c r="AD9" i="5"/>
  <c r="AD10" i="5"/>
  <c r="AD11" i="5"/>
  <c r="AD12" i="5"/>
  <c r="AD13" i="5"/>
  <c r="AD14" i="5"/>
  <c r="AE6" i="5"/>
  <c r="AE7" i="5"/>
  <c r="AE8" i="5"/>
  <c r="AE9" i="5"/>
  <c r="AE10" i="5"/>
  <c r="AE11" i="5"/>
  <c r="AE12" i="5"/>
  <c r="AE13" i="5"/>
  <c r="AE14" i="5"/>
  <c r="I103" i="5"/>
  <c r="I102" i="5"/>
  <c r="I101" i="5"/>
  <c r="I100" i="5"/>
  <c r="I99" i="5"/>
  <c r="I98" i="5"/>
  <c r="I97" i="5"/>
  <c r="I96" i="5"/>
  <c r="I95" i="5"/>
  <c r="I94" i="5"/>
  <c r="T96" i="5"/>
  <c r="Y96" i="5" s="1"/>
  <c r="T97" i="5"/>
  <c r="X97" i="5" s="1"/>
  <c r="T98" i="5"/>
  <c r="X98" i="5" s="1"/>
  <c r="T99" i="5"/>
  <c r="X99" i="5" s="1"/>
  <c r="T100" i="5"/>
  <c r="X100" i="5" s="1"/>
  <c r="T101" i="5"/>
  <c r="X101" i="5" s="1"/>
  <c r="U96" i="5"/>
  <c r="U97" i="5"/>
  <c r="U98" i="5"/>
  <c r="U99" i="5"/>
  <c r="U100" i="5"/>
  <c r="U101" i="5"/>
  <c r="Z96" i="5"/>
  <c r="Z97" i="5"/>
  <c r="Z98" i="5"/>
  <c r="Z99" i="5"/>
  <c r="Z100" i="5"/>
  <c r="Z101" i="5"/>
  <c r="AA96" i="5"/>
  <c r="AA97" i="5"/>
  <c r="AA98" i="5"/>
  <c r="AA99" i="5"/>
  <c r="AA100" i="5"/>
  <c r="AA101" i="5"/>
  <c r="AD96" i="5"/>
  <c r="AD97" i="5"/>
  <c r="AD98" i="5"/>
  <c r="AD99" i="5"/>
  <c r="AD100" i="5"/>
  <c r="AD101" i="5"/>
  <c r="AE96" i="5"/>
  <c r="AE97" i="5"/>
  <c r="AE98" i="5"/>
  <c r="AE99" i="5"/>
  <c r="AE100" i="5"/>
  <c r="AE101" i="5"/>
  <c r="AE94" i="5"/>
  <c r="AD94" i="5"/>
  <c r="AA94" i="5"/>
  <c r="Z94" i="5"/>
  <c r="U94" i="5"/>
  <c r="T94" i="5"/>
  <c r="Y94" i="5" s="1"/>
  <c r="U5" i="5"/>
  <c r="U95" i="5"/>
  <c r="U102" i="5"/>
  <c r="U103" i="5"/>
  <c r="I87" i="5"/>
  <c r="Z87" i="5"/>
  <c r="AA87" i="5"/>
  <c r="AD87" i="5"/>
  <c r="AE87" i="5"/>
  <c r="AE23" i="5"/>
  <c r="AD23" i="5"/>
  <c r="I32" i="5"/>
  <c r="I28" i="5"/>
  <c r="I27" i="5"/>
  <c r="AE22" i="5"/>
  <c r="AD22" i="5"/>
  <c r="AE21" i="5"/>
  <c r="AD21" i="5"/>
  <c r="AE20" i="5"/>
  <c r="AD20" i="5"/>
  <c r="AE19" i="5"/>
  <c r="AD19" i="5"/>
  <c r="AE18" i="5"/>
  <c r="AD18" i="5"/>
  <c r="AE17" i="5"/>
  <c r="AD17" i="5"/>
  <c r="AE16" i="5"/>
  <c r="AD16" i="5"/>
  <c r="T5" i="5"/>
  <c r="T95" i="5"/>
  <c r="T102" i="5"/>
  <c r="Y102" i="5" s="1"/>
  <c r="T103" i="5"/>
  <c r="I40" i="5"/>
  <c r="I39" i="5"/>
  <c r="I38" i="5"/>
  <c r="I37" i="5"/>
  <c r="I35" i="5"/>
  <c r="I36" i="5"/>
  <c r="I50" i="5"/>
  <c r="I88" i="5"/>
  <c r="I89" i="5"/>
  <c r="I90" i="5"/>
  <c r="I91" i="5"/>
  <c r="I92" i="5"/>
  <c r="I93" i="5"/>
  <c r="I5" i="1"/>
  <c r="I6" i="1"/>
  <c r="AE103" i="5"/>
  <c r="AD103" i="5"/>
  <c r="AA103" i="5"/>
  <c r="Z103" i="5"/>
  <c r="AE102" i="5"/>
  <c r="AD102" i="5"/>
  <c r="AA102" i="5"/>
  <c r="Z102" i="5"/>
  <c r="AE95" i="5"/>
  <c r="AD95" i="5"/>
  <c r="AA95" i="5"/>
  <c r="Z95" i="5"/>
  <c r="AE15" i="5"/>
  <c r="AD15" i="5"/>
  <c r="AE93" i="5"/>
  <c r="AD93" i="5"/>
  <c r="AA93" i="5"/>
  <c r="Z93" i="5"/>
  <c r="AE92" i="5"/>
  <c r="AD92" i="5"/>
  <c r="AA92" i="5"/>
  <c r="Z92" i="5"/>
  <c r="AE91" i="5"/>
  <c r="AD91" i="5"/>
  <c r="AA91" i="5"/>
  <c r="Z91" i="5"/>
  <c r="AE90" i="5"/>
  <c r="AD90" i="5"/>
  <c r="AA90" i="5"/>
  <c r="Z90" i="5"/>
  <c r="AE89" i="5"/>
  <c r="AD89" i="5"/>
  <c r="AA89" i="5"/>
  <c r="Z89" i="5"/>
  <c r="AE88" i="5"/>
  <c r="AD88" i="5"/>
  <c r="AA88" i="5"/>
  <c r="Z88" i="5"/>
  <c r="AE50" i="5"/>
  <c r="AD50" i="5"/>
  <c r="AA50" i="5"/>
  <c r="Z50" i="5"/>
  <c r="AE40" i="5"/>
  <c r="AD40" i="5"/>
  <c r="AA40" i="5"/>
  <c r="Z40" i="5"/>
  <c r="AE39" i="5"/>
  <c r="AD39" i="5"/>
  <c r="AA39" i="5"/>
  <c r="Z39" i="5"/>
  <c r="AE38" i="5"/>
  <c r="AD38" i="5"/>
  <c r="AA38" i="5"/>
  <c r="Z38" i="5"/>
  <c r="AE37" i="5"/>
  <c r="AD37" i="5"/>
  <c r="AA37" i="5"/>
  <c r="Z37" i="5"/>
  <c r="AE36" i="5"/>
  <c r="AD36" i="5"/>
  <c r="AA36" i="5"/>
  <c r="Z36" i="5"/>
  <c r="AE35" i="5"/>
  <c r="AD35" i="5"/>
  <c r="AA35" i="5"/>
  <c r="Z35" i="5"/>
  <c r="AE5" i="5"/>
  <c r="AD5" i="5"/>
  <c r="AA5" i="5"/>
  <c r="Z5" i="5"/>
  <c r="AF5" i="1"/>
  <c r="AF6" i="1"/>
  <c r="AE5" i="1"/>
  <c r="AE6" i="1"/>
  <c r="AB6" i="1"/>
  <c r="AC6" i="1" s="1"/>
  <c r="AB5" i="1"/>
  <c r="AJ6" i="1"/>
  <c r="AJ5" i="1"/>
  <c r="AI6" i="1"/>
  <c r="AI5" i="1"/>
  <c r="H701" i="1" l="1"/>
  <c r="I700" i="1"/>
  <c r="J700" i="1"/>
  <c r="O700" i="1" s="1"/>
  <c r="AV77" i="12"/>
  <c r="AV78" i="12"/>
  <c r="AV76" i="12"/>
  <c r="AV87" i="12"/>
  <c r="AV86" i="12"/>
  <c r="AV80" i="12"/>
  <c r="AV84" i="12"/>
  <c r="AV83" i="12"/>
  <c r="AV85" i="12"/>
  <c r="AV82" i="12"/>
  <c r="AV81" i="12"/>
  <c r="AG147" i="12"/>
  <c r="AF154" i="12"/>
  <c r="AG150" i="12"/>
  <c r="BC150" i="12"/>
  <c r="AD179" i="12"/>
  <c r="AC179" i="12" s="1"/>
  <c r="BC151" i="12"/>
  <c r="AE154" i="12"/>
  <c r="BC149" i="12"/>
  <c r="BC144" i="12"/>
  <c r="I154" i="12"/>
  <c r="AY128" i="12"/>
  <c r="AY130" i="12"/>
  <c r="BA154" i="12"/>
  <c r="BC148" i="12"/>
  <c r="BC147" i="12"/>
  <c r="AY158" i="12"/>
  <c r="AZ179" i="12"/>
  <c r="AY179" i="12" s="1"/>
  <c r="BB154" i="12"/>
  <c r="BC153" i="12"/>
  <c r="AY122" i="12"/>
  <c r="AY124" i="12"/>
  <c r="BB99" i="12"/>
  <c r="BC99" i="12" s="1"/>
  <c r="AZ99" i="12"/>
  <c r="AY117" i="12"/>
  <c r="AZ105" i="12"/>
  <c r="BB105" i="12"/>
  <c r="BC105" i="12" s="1"/>
  <c r="AZ135" i="12"/>
  <c r="AZ136" i="12" s="1"/>
  <c r="BH14" i="12" s="1"/>
  <c r="AZ100" i="12"/>
  <c r="BB100" i="12"/>
  <c r="BC100" i="12" s="1"/>
  <c r="BB104" i="12"/>
  <c r="BC104" i="12" s="1"/>
  <c r="AZ104" i="12"/>
  <c r="AZ102" i="12"/>
  <c r="BB102" i="12"/>
  <c r="BC102" i="12" s="1"/>
  <c r="AY120" i="12"/>
  <c r="AY127" i="12"/>
  <c r="AY132" i="12"/>
  <c r="AZ98" i="12"/>
  <c r="BB98" i="12"/>
  <c r="AY110" i="12"/>
  <c r="AY111" i="12" s="1"/>
  <c r="AX116" i="12" s="1"/>
  <c r="AY116" i="12" s="1"/>
  <c r="AY123" i="12"/>
  <c r="AZ106" i="12"/>
  <c r="BB106" i="12"/>
  <c r="BC106" i="12" s="1"/>
  <c r="AY118" i="12"/>
  <c r="AY134" i="12"/>
  <c r="AZ108" i="12"/>
  <c r="BB108" i="12"/>
  <c r="BC108" i="12" s="1"/>
  <c r="AY125" i="12"/>
  <c r="AY119" i="12"/>
  <c r="BA98" i="12"/>
  <c r="AX110" i="12"/>
  <c r="BA110" i="12" s="1"/>
  <c r="AZ101" i="12"/>
  <c r="BA101" i="12"/>
  <c r="BC101" i="12" s="1"/>
  <c r="AZ103" i="12"/>
  <c r="BB103" i="12"/>
  <c r="BC103" i="12" s="1"/>
  <c r="AZ107" i="12"/>
  <c r="BB107" i="12"/>
  <c r="BC107" i="12" s="1"/>
  <c r="AD107" i="12"/>
  <c r="AD108" i="12"/>
  <c r="AD104" i="12"/>
  <c r="AC126" i="12"/>
  <c r="AC117" i="12"/>
  <c r="AG99" i="12"/>
  <c r="AD106" i="12"/>
  <c r="AF106" i="12"/>
  <c r="AD180" i="12"/>
  <c r="AF102" i="12"/>
  <c r="AD102" i="12"/>
  <c r="AC110" i="12"/>
  <c r="AD98" i="12"/>
  <c r="AF98" i="12"/>
  <c r="AC120" i="12"/>
  <c r="AC132" i="12"/>
  <c r="AC133" i="12"/>
  <c r="AC122" i="12"/>
  <c r="AD103" i="12"/>
  <c r="AF103" i="12"/>
  <c r="AE107" i="12"/>
  <c r="AE101" i="12"/>
  <c r="AG154" i="12"/>
  <c r="AC130" i="12"/>
  <c r="AC124" i="12"/>
  <c r="AD105" i="12"/>
  <c r="AF105" i="12"/>
  <c r="AC131" i="12"/>
  <c r="AC125" i="12"/>
  <c r="AC129" i="12"/>
  <c r="D86" i="12"/>
  <c r="Z76" i="12"/>
  <c r="Z78" i="12"/>
  <c r="Z77" i="12"/>
  <c r="AD81" i="19"/>
  <c r="AD87" i="19"/>
  <c r="AD84" i="19"/>
  <c r="AD78" i="19"/>
  <c r="AC50" i="19"/>
  <c r="AC87" i="19"/>
  <c r="AC84" i="19"/>
  <c r="E81" i="19"/>
  <c r="AC78" i="19"/>
  <c r="AC4" i="19"/>
  <c r="E87" i="19"/>
  <c r="AD80" i="19"/>
  <c r="E4" i="19"/>
  <c r="AD86" i="19"/>
  <c r="AD83" i="19"/>
  <c r="AD79" i="19"/>
  <c r="AD85" i="19"/>
  <c r="AD82" i="19"/>
  <c r="E85" i="19"/>
  <c r="AC82" i="19"/>
  <c r="E80" i="19"/>
  <c r="E79" i="19"/>
  <c r="E82" i="19"/>
  <c r="AC80" i="19"/>
  <c r="E78" i="19"/>
  <c r="AC83" i="19"/>
  <c r="AC86" i="19"/>
  <c r="E83" i="19"/>
  <c r="AC79" i="19"/>
  <c r="E86" i="19"/>
  <c r="AC85" i="19"/>
  <c r="AC81" i="19"/>
  <c r="E84" i="19"/>
  <c r="T63" i="5"/>
  <c r="U60" i="5"/>
  <c r="U63" i="5"/>
  <c r="U65" i="5"/>
  <c r="T60" i="5"/>
  <c r="T59" i="5"/>
  <c r="T65" i="5"/>
  <c r="U62" i="5"/>
  <c r="T62" i="5"/>
  <c r="T66" i="5"/>
  <c r="U64" i="5"/>
  <c r="U59" i="5"/>
  <c r="T64" i="5"/>
  <c r="U61" i="5"/>
  <c r="U66" i="5"/>
  <c r="T61" i="5"/>
  <c r="T57" i="5"/>
  <c r="U54" i="5"/>
  <c r="T52" i="5"/>
  <c r="U51" i="5"/>
  <c r="T67" i="5"/>
  <c r="T71" i="5"/>
  <c r="U73" i="5"/>
  <c r="U76" i="5"/>
  <c r="T83" i="5"/>
  <c r="U85" i="5"/>
  <c r="U41" i="5"/>
  <c r="T54" i="5"/>
  <c r="T51" i="5"/>
  <c r="T68" i="5"/>
  <c r="T72" i="5"/>
  <c r="U74" i="5"/>
  <c r="T75" i="5"/>
  <c r="U77" i="5"/>
  <c r="T84" i="5"/>
  <c r="U86" i="5"/>
  <c r="U56" i="5"/>
  <c r="U67" i="5"/>
  <c r="T73" i="5"/>
  <c r="T76" i="5"/>
  <c r="U78" i="5"/>
  <c r="T85" i="5"/>
  <c r="T42" i="5"/>
  <c r="T56" i="5"/>
  <c r="U53" i="5"/>
  <c r="U68" i="5"/>
  <c r="T74" i="5"/>
  <c r="T77" i="5"/>
  <c r="U79" i="5"/>
  <c r="T86" i="5"/>
  <c r="U42" i="5"/>
  <c r="U58" i="5"/>
  <c r="T53" i="5"/>
  <c r="U69" i="5"/>
  <c r="T78" i="5"/>
  <c r="U80" i="5"/>
  <c r="U81" i="5"/>
  <c r="T58" i="5"/>
  <c r="U55" i="5"/>
  <c r="U70" i="5"/>
  <c r="T79" i="5"/>
  <c r="U82" i="5"/>
  <c r="U57" i="5"/>
  <c r="U52" i="5"/>
  <c r="U72" i="5"/>
  <c r="U84" i="5"/>
  <c r="T41" i="5"/>
  <c r="T55" i="5"/>
  <c r="T69" i="5"/>
  <c r="U71" i="5"/>
  <c r="T80" i="5"/>
  <c r="T81" i="5"/>
  <c r="U83" i="5"/>
  <c r="T70" i="5"/>
  <c r="U75" i="5"/>
  <c r="T82" i="5"/>
  <c r="Z86" i="12"/>
  <c r="Z87" i="12"/>
  <c r="Z85" i="12"/>
  <c r="Z82" i="12"/>
  <c r="Z84" i="12"/>
  <c r="Z81" i="12"/>
  <c r="Z80" i="12"/>
  <c r="Z83" i="12"/>
  <c r="AF108" i="12"/>
  <c r="AF104" i="12"/>
  <c r="AG104" i="12" s="1"/>
  <c r="AD99" i="12"/>
  <c r="AC121" i="12"/>
  <c r="AC123" i="12"/>
  <c r="AC118" i="12"/>
  <c r="AG100" i="12"/>
  <c r="AC119" i="12"/>
  <c r="AC128" i="12"/>
  <c r="G134" i="12"/>
  <c r="AB110" i="12"/>
  <c r="AE110" i="12" s="1"/>
  <c r="AD100" i="12"/>
  <c r="AD135" i="12"/>
  <c r="AD136" i="12" s="1"/>
  <c r="AL14" i="12" s="1"/>
  <c r="AC127" i="12"/>
  <c r="AC134" i="12"/>
  <c r="H135" i="12"/>
  <c r="I98" i="12"/>
  <c r="F110" i="12"/>
  <c r="I110" i="12" s="1"/>
  <c r="J98" i="12"/>
  <c r="G110" i="12"/>
  <c r="J110" i="12" s="1"/>
  <c r="M282" i="10"/>
  <c r="M291" i="10"/>
  <c r="M288" i="10"/>
  <c r="M299" i="10"/>
  <c r="M293" i="10"/>
  <c r="M294" i="10"/>
  <c r="M300" i="10"/>
  <c r="M298" i="10"/>
  <c r="M307" i="10"/>
  <c r="M304" i="10"/>
  <c r="M295" i="10"/>
  <c r="M305" i="10"/>
  <c r="M290" i="10"/>
  <c r="M303" i="10"/>
  <c r="M297" i="10"/>
  <c r="M302" i="10"/>
  <c r="M308" i="10"/>
  <c r="M296" i="10"/>
  <c r="M301" i="10"/>
  <c r="M306" i="10"/>
  <c r="M289" i="10"/>
  <c r="M292" i="10"/>
  <c r="M283" i="10"/>
  <c r="M284" i="10"/>
  <c r="M285" i="10"/>
  <c r="M286" i="10"/>
  <c r="M287" i="10"/>
  <c r="M309" i="10"/>
  <c r="M275" i="10"/>
  <c r="M280" i="10"/>
  <c r="M279" i="10"/>
  <c r="M276" i="10"/>
  <c r="M277" i="10"/>
  <c r="M278" i="10"/>
  <c r="M274" i="10"/>
  <c r="M258" i="10"/>
  <c r="M255" i="10"/>
  <c r="M269" i="10"/>
  <c r="M259" i="10"/>
  <c r="M266" i="10"/>
  <c r="M271" i="10"/>
  <c r="M263" i="10"/>
  <c r="M267" i="10"/>
  <c r="M270" i="10"/>
  <c r="M260" i="10"/>
  <c r="M265" i="10"/>
  <c r="M257" i="10"/>
  <c r="M261" i="10"/>
  <c r="M262" i="10"/>
  <c r="M268" i="10"/>
  <c r="M264" i="10"/>
  <c r="M256" i="10"/>
  <c r="M272" i="10"/>
  <c r="M253" i="10"/>
  <c r="M254" i="10"/>
  <c r="M273" i="10"/>
  <c r="M281" i="10"/>
  <c r="M245" i="10"/>
  <c r="M248" i="10"/>
  <c r="M246" i="10"/>
  <c r="M244" i="10"/>
  <c r="M249" i="10"/>
  <c r="M247" i="10"/>
  <c r="M250" i="10"/>
  <c r="M251" i="10"/>
  <c r="M252" i="10"/>
  <c r="M65" i="10"/>
  <c r="M64" i="10"/>
  <c r="M61" i="10"/>
  <c r="M59" i="10"/>
  <c r="M63" i="10"/>
  <c r="M60" i="10"/>
  <c r="M58" i="10"/>
  <c r="M62" i="10"/>
  <c r="M207" i="10"/>
  <c r="M223" i="10"/>
  <c r="M239" i="10"/>
  <c r="M216" i="10"/>
  <c r="M206" i="10"/>
  <c r="M222" i="10"/>
  <c r="M238" i="10"/>
  <c r="M237" i="10"/>
  <c r="M233" i="10"/>
  <c r="M211" i="10"/>
  <c r="M227" i="10"/>
  <c r="M204" i="10"/>
  <c r="M220" i="10"/>
  <c r="M210" i="10"/>
  <c r="M226" i="10"/>
  <c r="M217" i="10"/>
  <c r="M232" i="10"/>
  <c r="M236" i="10"/>
  <c r="M213" i="10"/>
  <c r="M215" i="10"/>
  <c r="M231" i="10"/>
  <c r="M208" i="10"/>
  <c r="M224" i="10"/>
  <c r="M214" i="10"/>
  <c r="M230" i="10"/>
  <c r="M221" i="10"/>
  <c r="M225" i="10"/>
  <c r="M205" i="10"/>
  <c r="M219" i="10"/>
  <c r="M235" i="10"/>
  <c r="M212" i="10"/>
  <c r="M228" i="10"/>
  <c r="M218" i="10"/>
  <c r="M234" i="10"/>
  <c r="M229" i="10"/>
  <c r="M209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40" i="10"/>
  <c r="M241" i="10"/>
  <c r="M242" i="10"/>
  <c r="M243" i="10"/>
  <c r="M167" i="10"/>
  <c r="M155" i="10"/>
  <c r="M160" i="10"/>
  <c r="M161" i="10"/>
  <c r="M164" i="10"/>
  <c r="M163" i="10"/>
  <c r="M158" i="10"/>
  <c r="M165" i="10"/>
  <c r="M156" i="10"/>
  <c r="M166" i="10"/>
  <c r="M162" i="10"/>
  <c r="M159" i="10"/>
  <c r="M157" i="10"/>
  <c r="M137" i="10"/>
  <c r="M89" i="10"/>
  <c r="M152" i="10"/>
  <c r="M32" i="10"/>
  <c r="M151" i="10"/>
  <c r="M134" i="10"/>
  <c r="M86" i="10"/>
  <c r="M133" i="10"/>
  <c r="M147" i="10"/>
  <c r="M131" i="10"/>
  <c r="M115" i="10"/>
  <c r="M99" i="10"/>
  <c r="M83" i="10"/>
  <c r="M67" i="10"/>
  <c r="M43" i="10"/>
  <c r="M26" i="10"/>
  <c r="M10" i="10"/>
  <c r="M146" i="10"/>
  <c r="M130" i="10"/>
  <c r="M114" i="10"/>
  <c r="M98" i="10"/>
  <c r="M82" i="10"/>
  <c r="M66" i="10"/>
  <c r="M42" i="10"/>
  <c r="M25" i="10"/>
  <c r="M9" i="10"/>
  <c r="M145" i="10"/>
  <c r="M129" i="10"/>
  <c r="M113" i="10"/>
  <c r="M97" i="10"/>
  <c r="M81" i="10"/>
  <c r="M57" i="10"/>
  <c r="M41" i="10"/>
  <c r="M24" i="10"/>
  <c r="M8" i="10"/>
  <c r="M144" i="10"/>
  <c r="M128" i="10"/>
  <c r="M112" i="10"/>
  <c r="M96" i="10"/>
  <c r="M80" i="10"/>
  <c r="M56" i="10"/>
  <c r="M40" i="10"/>
  <c r="M23" i="10"/>
  <c r="M7" i="10"/>
  <c r="M102" i="10"/>
  <c r="M46" i="10"/>
  <c r="M149" i="10"/>
  <c r="M85" i="10"/>
  <c r="M45" i="10"/>
  <c r="M12" i="10"/>
  <c r="M143" i="10"/>
  <c r="M127" i="10"/>
  <c r="M111" i="10"/>
  <c r="M95" i="10"/>
  <c r="M79" i="10"/>
  <c r="M55" i="10"/>
  <c r="M39" i="10"/>
  <c r="M22" i="10"/>
  <c r="M6" i="10"/>
  <c r="M142" i="10"/>
  <c r="M126" i="10"/>
  <c r="M110" i="10"/>
  <c r="M94" i="10"/>
  <c r="M78" i="10"/>
  <c r="M54" i="10"/>
  <c r="M38" i="10"/>
  <c r="M21" i="10"/>
  <c r="M5" i="10"/>
  <c r="M141" i="10"/>
  <c r="M125" i="10"/>
  <c r="M109" i="10"/>
  <c r="M93" i="10"/>
  <c r="M77" i="10"/>
  <c r="M53" i="10"/>
  <c r="M37" i="10"/>
  <c r="M20" i="10"/>
  <c r="M30" i="10"/>
  <c r="M140" i="10"/>
  <c r="M124" i="10"/>
  <c r="M108" i="10"/>
  <c r="M92" i="10"/>
  <c r="M76" i="10"/>
  <c r="M52" i="10"/>
  <c r="M36" i="10"/>
  <c r="M19" i="10"/>
  <c r="M310" i="10"/>
  <c r="M139" i="10"/>
  <c r="M123" i="10"/>
  <c r="M107" i="10"/>
  <c r="M91" i="10"/>
  <c r="M75" i="10"/>
  <c r="M51" i="10"/>
  <c r="M35" i="10"/>
  <c r="M18" i="10"/>
  <c r="M154" i="10"/>
  <c r="M138" i="10"/>
  <c r="M122" i="10"/>
  <c r="M106" i="10"/>
  <c r="M90" i="10"/>
  <c r="M74" i="10"/>
  <c r="M50" i="10"/>
  <c r="M34" i="10"/>
  <c r="M17" i="10"/>
  <c r="M153" i="10"/>
  <c r="M121" i="10"/>
  <c r="M105" i="10"/>
  <c r="M73" i="10"/>
  <c r="M49" i="10"/>
  <c r="M33" i="10"/>
  <c r="M16" i="10"/>
  <c r="M136" i="10"/>
  <c r="M120" i="10"/>
  <c r="M104" i="10"/>
  <c r="M88" i="10"/>
  <c r="M72" i="10"/>
  <c r="M48" i="10"/>
  <c r="M15" i="10"/>
  <c r="M135" i="10"/>
  <c r="M119" i="10"/>
  <c r="M103" i="10"/>
  <c r="M87" i="10"/>
  <c r="M71" i="10"/>
  <c r="M47" i="10"/>
  <c r="M31" i="10"/>
  <c r="M14" i="10"/>
  <c r="M150" i="10"/>
  <c r="M118" i="10"/>
  <c r="M70" i="10"/>
  <c r="M29" i="10"/>
  <c r="M13" i="10"/>
  <c r="M117" i="10"/>
  <c r="M101" i="10"/>
  <c r="M69" i="10"/>
  <c r="M28" i="10"/>
  <c r="M148" i="10"/>
  <c r="M132" i="10"/>
  <c r="M68" i="10"/>
  <c r="M44" i="10"/>
  <c r="M100" i="10"/>
  <c r="M116" i="10"/>
  <c r="M84" i="10"/>
  <c r="M11" i="10"/>
  <c r="M27" i="10"/>
  <c r="X96" i="5"/>
  <c r="J185" i="1"/>
  <c r="AP185" i="1"/>
  <c r="U104" i="1"/>
  <c r="X104" i="1"/>
  <c r="I105" i="1"/>
  <c r="J105" i="1"/>
  <c r="O105" i="1" s="1"/>
  <c r="AO103" i="1"/>
  <c r="J146" i="1"/>
  <c r="O146" i="1" s="1"/>
  <c r="G147" i="1"/>
  <c r="AP147" i="1" s="1"/>
  <c r="I147" i="1"/>
  <c r="AO144" i="1"/>
  <c r="U145" i="1"/>
  <c r="X145" i="1"/>
  <c r="AP108" i="1"/>
  <c r="I66" i="1"/>
  <c r="AO65" i="1"/>
  <c r="J66" i="1"/>
  <c r="O66" i="1" s="1"/>
  <c r="AP68" i="1"/>
  <c r="J67" i="1"/>
  <c r="O67" i="1" s="1"/>
  <c r="AO183" i="1"/>
  <c r="U184" i="1"/>
  <c r="X184" i="1"/>
  <c r="I26" i="1"/>
  <c r="J27" i="1"/>
  <c r="O27" i="1" s="1"/>
  <c r="V26" i="1"/>
  <c r="S26" i="1"/>
  <c r="AP28" i="1"/>
  <c r="AO25" i="1"/>
  <c r="G120" i="12"/>
  <c r="AD86" i="13"/>
  <c r="AD82" i="13"/>
  <c r="AD78" i="13"/>
  <c r="AD85" i="13"/>
  <c r="AD81" i="13"/>
  <c r="AD84" i="13"/>
  <c r="AD80" i="13"/>
  <c r="AD87" i="13"/>
  <c r="AD83" i="13"/>
  <c r="AD79" i="13"/>
  <c r="AC4" i="13"/>
  <c r="D78" i="12"/>
  <c r="D77" i="12"/>
  <c r="D76" i="12"/>
  <c r="D80" i="12"/>
  <c r="D82" i="12"/>
  <c r="D81" i="12"/>
  <c r="D85" i="12"/>
  <c r="D83" i="12"/>
  <c r="D87" i="12"/>
  <c r="D84" i="12"/>
  <c r="E84" i="13"/>
  <c r="AC87" i="13"/>
  <c r="E87" i="13"/>
  <c r="E80" i="13"/>
  <c r="E82" i="13"/>
  <c r="AC79" i="13"/>
  <c r="AC86" i="13"/>
  <c r="E85" i="13"/>
  <c r="E83" i="13"/>
  <c r="E81" i="13"/>
  <c r="AC81" i="13"/>
  <c r="AC82" i="13"/>
  <c r="E86" i="13"/>
  <c r="AC85" i="13"/>
  <c r="E78" i="13"/>
  <c r="AC83" i="13"/>
  <c r="E79" i="13"/>
  <c r="AC84" i="13"/>
  <c r="AC80" i="13"/>
  <c r="U143" i="10"/>
  <c r="AS143" i="10" s="1"/>
  <c r="G121" i="12"/>
  <c r="K100" i="12"/>
  <c r="K107" i="12"/>
  <c r="K103" i="12"/>
  <c r="K99" i="12"/>
  <c r="K108" i="12"/>
  <c r="K104" i="12"/>
  <c r="K106" i="12"/>
  <c r="K102" i="12"/>
  <c r="K105" i="12"/>
  <c r="K101" i="12"/>
  <c r="G133" i="12"/>
  <c r="G123" i="12"/>
  <c r="G127" i="12"/>
  <c r="G118" i="12"/>
  <c r="G125" i="12"/>
  <c r="G132" i="12"/>
  <c r="G124" i="12"/>
  <c r="G130" i="12"/>
  <c r="G129" i="12"/>
  <c r="G119" i="12"/>
  <c r="G159" i="12"/>
  <c r="K154" i="12"/>
  <c r="G128" i="12"/>
  <c r="G126" i="12"/>
  <c r="G117" i="12"/>
  <c r="G131" i="12"/>
  <c r="G122" i="12"/>
  <c r="H98" i="12"/>
  <c r="H103" i="12"/>
  <c r="H108" i="12"/>
  <c r="H104" i="12"/>
  <c r="H106" i="12"/>
  <c r="H99" i="12"/>
  <c r="H107" i="12"/>
  <c r="H105" i="12"/>
  <c r="H100" i="12"/>
  <c r="H101" i="12"/>
  <c r="H102" i="12"/>
  <c r="D32" i="5"/>
  <c r="N32" i="5"/>
  <c r="P32" i="5"/>
  <c r="K32" i="5"/>
  <c r="I16" i="5"/>
  <c r="I26" i="5"/>
  <c r="T31" i="5"/>
  <c r="U29" i="5"/>
  <c r="U33" i="5"/>
  <c r="T25" i="5"/>
  <c r="U25" i="5"/>
  <c r="T26" i="5"/>
  <c r="U26" i="5"/>
  <c r="T30" i="5"/>
  <c r="T34" i="5"/>
  <c r="U32" i="5"/>
  <c r="T28" i="5"/>
  <c r="T32" i="5"/>
  <c r="U30" i="5"/>
  <c r="U34" i="5"/>
  <c r="U28" i="5"/>
  <c r="T29" i="5"/>
  <c r="T33" i="5"/>
  <c r="U31" i="5"/>
  <c r="T27" i="5"/>
  <c r="U27" i="5"/>
  <c r="I20" i="5"/>
  <c r="I30" i="5"/>
  <c r="I21" i="5"/>
  <c r="I31" i="5"/>
  <c r="I23" i="5"/>
  <c r="I33" i="5"/>
  <c r="I15" i="5"/>
  <c r="I25" i="5"/>
  <c r="I19" i="5"/>
  <c r="I29" i="5"/>
  <c r="U24" i="5"/>
  <c r="T24" i="5"/>
  <c r="U49" i="5"/>
  <c r="U48" i="5"/>
  <c r="T47" i="5"/>
  <c r="U44" i="5"/>
  <c r="T43" i="5"/>
  <c r="U47" i="5"/>
  <c r="T46" i="5"/>
  <c r="U43" i="5"/>
  <c r="T49" i="5"/>
  <c r="T48" i="5"/>
  <c r="U45" i="5"/>
  <c r="T44" i="5"/>
  <c r="U46" i="5"/>
  <c r="T45" i="5"/>
  <c r="I24" i="5"/>
  <c r="AC50" i="13"/>
  <c r="AC78" i="13"/>
  <c r="E4" i="13"/>
  <c r="AD5" i="1"/>
  <c r="Y5" i="5"/>
  <c r="P5" i="5" s="1"/>
  <c r="H109" i="12" s="1"/>
  <c r="N1" i="13"/>
  <c r="M2" i="13"/>
  <c r="M3" i="13" s="1"/>
  <c r="AA146" i="10"/>
  <c r="AS146" i="10"/>
  <c r="AA152" i="10"/>
  <c r="AS152" i="10"/>
  <c r="X154" i="10"/>
  <c r="AA150" i="10"/>
  <c r="E6" i="8"/>
  <c r="AA149" i="10"/>
  <c r="AA151" i="10"/>
  <c r="AA153" i="10"/>
  <c r="AA147" i="10"/>
  <c r="AA145" i="10"/>
  <c r="U93" i="5"/>
  <c r="T89" i="5"/>
  <c r="Y89" i="5" s="1"/>
  <c r="T19" i="5"/>
  <c r="X19" i="5" s="1"/>
  <c r="T87" i="5"/>
  <c r="X87" i="5" s="1"/>
  <c r="X9" i="10"/>
  <c r="AA9" i="10"/>
  <c r="U88" i="5"/>
  <c r="T40" i="5"/>
  <c r="X40" i="5" s="1"/>
  <c r="T16" i="5"/>
  <c r="X16" i="5" s="1"/>
  <c r="U20" i="5"/>
  <c r="U17" i="5"/>
  <c r="U39" i="5"/>
  <c r="T93" i="5"/>
  <c r="Y93" i="5" s="1"/>
  <c r="T88" i="5"/>
  <c r="Y88" i="5" s="1"/>
  <c r="T38" i="5"/>
  <c r="X38" i="5" s="1"/>
  <c r="T17" i="5"/>
  <c r="Y17" i="5" s="1"/>
  <c r="T22" i="5"/>
  <c r="Y22" i="5" s="1"/>
  <c r="U22" i="5"/>
  <c r="U19" i="5"/>
  <c r="U92" i="5"/>
  <c r="U50" i="5"/>
  <c r="U38" i="5"/>
  <c r="T92" i="5"/>
  <c r="X92" i="5" s="1"/>
  <c r="T50" i="5"/>
  <c r="Y50" i="5" s="1"/>
  <c r="T37" i="5"/>
  <c r="Y37" i="5" s="1"/>
  <c r="T20" i="5"/>
  <c r="Y20" i="5" s="1"/>
  <c r="T23" i="5"/>
  <c r="X23" i="5" s="1"/>
  <c r="U21" i="5"/>
  <c r="U16" i="5"/>
  <c r="U90" i="5"/>
  <c r="U36" i="5"/>
  <c r="T91" i="5"/>
  <c r="Y91" i="5" s="1"/>
  <c r="T36" i="5"/>
  <c r="X36" i="5" s="1"/>
  <c r="T18" i="5"/>
  <c r="Y18" i="5" s="1"/>
  <c r="T21" i="5"/>
  <c r="Y21" i="5" s="1"/>
  <c r="U23" i="5"/>
  <c r="U18" i="5"/>
  <c r="U15" i="5"/>
  <c r="U89" i="5"/>
  <c r="U40" i="5"/>
  <c r="U35" i="5"/>
  <c r="A2" i="8"/>
  <c r="A3" i="8" s="1"/>
  <c r="Z22" i="9"/>
  <c r="T15" i="5"/>
  <c r="X15" i="5" s="1"/>
  <c r="T90" i="5"/>
  <c r="X90" i="5" s="1"/>
  <c r="T39" i="5"/>
  <c r="Y39" i="5" s="1"/>
  <c r="P39" i="5" s="1"/>
  <c r="T35" i="5"/>
  <c r="Y35" i="5" s="1"/>
  <c r="P35" i="5" s="1"/>
  <c r="U91" i="5"/>
  <c r="U87" i="5"/>
  <c r="U37" i="5"/>
  <c r="AB8" i="9"/>
  <c r="Z26" i="9"/>
  <c r="AB56" i="9"/>
  <c r="Z14" i="9"/>
  <c r="AB24" i="9"/>
  <c r="Z10" i="9"/>
  <c r="Z15" i="9"/>
  <c r="Z16" i="9"/>
  <c r="Z6" i="9"/>
  <c r="Z11" i="9"/>
  <c r="Z12" i="9"/>
  <c r="Z18" i="9"/>
  <c r="Z20" i="9"/>
  <c r="Z7" i="9"/>
  <c r="AB57" i="9"/>
  <c r="AB19" i="9"/>
  <c r="Z19" i="9"/>
  <c r="Z21" i="9"/>
  <c r="AB21" i="9"/>
  <c r="AB5" i="9"/>
  <c r="AB9" i="9"/>
  <c r="AB13" i="9"/>
  <c r="AB23" i="9"/>
  <c r="Z23" i="9"/>
  <c r="Z17" i="9"/>
  <c r="AB17" i="9"/>
  <c r="Z25" i="9"/>
  <c r="AB25" i="9"/>
  <c r="Z27" i="9"/>
  <c r="Y9" i="5"/>
  <c r="V9" i="5" s="1"/>
  <c r="X14" i="5"/>
  <c r="S14" i="5" s="1"/>
  <c r="X13" i="5"/>
  <c r="S13" i="5" s="1"/>
  <c r="Y12" i="5"/>
  <c r="S12" i="5" s="1"/>
  <c r="Y10" i="5"/>
  <c r="S10" i="5" s="1"/>
  <c r="P14" i="5"/>
  <c r="Y6" i="5"/>
  <c r="P6" i="5" s="1"/>
  <c r="P13" i="5"/>
  <c r="Y100" i="5"/>
  <c r="Y99" i="5"/>
  <c r="Y8" i="5"/>
  <c r="Y11" i="5"/>
  <c r="V11" i="5" s="1"/>
  <c r="Y7" i="5"/>
  <c r="S7" i="5" s="1"/>
  <c r="V14" i="5"/>
  <c r="V13" i="5"/>
  <c r="Y98" i="5"/>
  <c r="Y101" i="5"/>
  <c r="Y97" i="5"/>
  <c r="X94" i="5"/>
  <c r="I17" i="5"/>
  <c r="I18" i="5"/>
  <c r="I22" i="5"/>
  <c r="X102" i="5"/>
  <c r="X5" i="5"/>
  <c r="Y95" i="5"/>
  <c r="X95" i="5"/>
  <c r="Y103" i="5"/>
  <c r="X103" i="5"/>
  <c r="AD6" i="1"/>
  <c r="AC5" i="1"/>
  <c r="I701" i="1" l="1"/>
  <c r="H702" i="1"/>
  <c r="J701" i="1"/>
  <c r="O701" i="1" s="1"/>
  <c r="BC154" i="12"/>
  <c r="AZ180" i="12"/>
  <c r="BA111" i="12"/>
  <c r="AX111" i="12"/>
  <c r="AX115" i="12" s="1"/>
  <c r="AZ110" i="12"/>
  <c r="BB110" i="12"/>
  <c r="BC110" i="12" s="1"/>
  <c r="BC98" i="12"/>
  <c r="AB111" i="12"/>
  <c r="AB115" i="12" s="1"/>
  <c r="K98" i="12"/>
  <c r="Y68" i="5"/>
  <c r="V68" i="5" s="1"/>
  <c r="X68" i="5"/>
  <c r="X71" i="5"/>
  <c r="Y71" i="5"/>
  <c r="V71" i="5" s="1"/>
  <c r="X59" i="5"/>
  <c r="Y59" i="5"/>
  <c r="AD110" i="12"/>
  <c r="AF110" i="12"/>
  <c r="AG110" i="12" s="1"/>
  <c r="AG108" i="12"/>
  <c r="Y69" i="5"/>
  <c r="V69" i="5" s="1"/>
  <c r="X69" i="5"/>
  <c r="X79" i="5"/>
  <c r="Y79" i="5"/>
  <c r="V79" i="5" s="1"/>
  <c r="Y53" i="5"/>
  <c r="X53" i="5"/>
  <c r="Y51" i="5"/>
  <c r="X51" i="5"/>
  <c r="Q51" i="5" s="1"/>
  <c r="X67" i="5"/>
  <c r="Y67" i="5"/>
  <c r="V67" i="5" s="1"/>
  <c r="X64" i="5"/>
  <c r="Y64" i="5"/>
  <c r="X60" i="5"/>
  <c r="Y60" i="5"/>
  <c r="AG101" i="12"/>
  <c r="Y82" i="5"/>
  <c r="V82" i="5" s="1"/>
  <c r="X82" i="5"/>
  <c r="Y55" i="5"/>
  <c r="X55" i="5"/>
  <c r="X56" i="5"/>
  <c r="S56" i="5" s="1"/>
  <c r="Y56" i="5"/>
  <c r="X54" i="5"/>
  <c r="Y54" i="5"/>
  <c r="AG102" i="12"/>
  <c r="X41" i="5"/>
  <c r="Y41" i="5"/>
  <c r="V41" i="5" s="1"/>
  <c r="X42" i="5"/>
  <c r="Y42" i="5"/>
  <c r="V42" i="5" s="1"/>
  <c r="X84" i="5"/>
  <c r="Y84" i="5"/>
  <c r="V84" i="5" s="1"/>
  <c r="X52" i="5"/>
  <c r="Y52" i="5"/>
  <c r="X70" i="5"/>
  <c r="Y70" i="5"/>
  <c r="V70" i="5" s="1"/>
  <c r="Y58" i="5"/>
  <c r="V58" i="5" s="1"/>
  <c r="X58" i="5"/>
  <c r="X86" i="5"/>
  <c r="Y86" i="5"/>
  <c r="V86" i="5" s="1"/>
  <c r="X85" i="5"/>
  <c r="Y85" i="5"/>
  <c r="V85" i="5" s="1"/>
  <c r="X66" i="5"/>
  <c r="Y66" i="5"/>
  <c r="V66" i="5" s="1"/>
  <c r="AG105" i="12"/>
  <c r="AG107" i="12"/>
  <c r="AE111" i="12"/>
  <c r="Y75" i="5"/>
  <c r="V75" i="5" s="1"/>
  <c r="X75" i="5"/>
  <c r="X83" i="5"/>
  <c r="Y83" i="5"/>
  <c r="V83" i="5" s="1"/>
  <c r="Y57" i="5"/>
  <c r="V57" i="5" s="1"/>
  <c r="X57" i="5"/>
  <c r="Y62" i="5"/>
  <c r="X62" i="5"/>
  <c r="X63" i="5"/>
  <c r="Y63" i="5"/>
  <c r="AG103" i="12"/>
  <c r="AG98" i="12"/>
  <c r="AC115" i="12"/>
  <c r="Y81" i="5"/>
  <c r="V81" i="5" s="1"/>
  <c r="X81" i="5"/>
  <c r="X77" i="5"/>
  <c r="Y77" i="5"/>
  <c r="V77" i="5" s="1"/>
  <c r="Y76" i="5"/>
  <c r="V76" i="5" s="1"/>
  <c r="X76" i="5"/>
  <c r="Y61" i="5"/>
  <c r="X61" i="5"/>
  <c r="AC111" i="12"/>
  <c r="AB116" i="12" s="1"/>
  <c r="AC116" i="12" s="1"/>
  <c r="AG106" i="12"/>
  <c r="K110" i="12"/>
  <c r="X80" i="5"/>
  <c r="Y80" i="5"/>
  <c r="V80" i="5" s="1"/>
  <c r="X78" i="5"/>
  <c r="Y78" i="5"/>
  <c r="V78" i="5" s="1"/>
  <c r="X74" i="5"/>
  <c r="Y74" i="5"/>
  <c r="V74" i="5" s="1"/>
  <c r="X73" i="5"/>
  <c r="Y73" i="5"/>
  <c r="V73" i="5" s="1"/>
  <c r="X72" i="5"/>
  <c r="Y72" i="5"/>
  <c r="V72" i="5" s="1"/>
  <c r="Y65" i="5"/>
  <c r="V65" i="5" s="1"/>
  <c r="X65" i="5"/>
  <c r="H110" i="12"/>
  <c r="I106" i="1"/>
  <c r="J106" i="1"/>
  <c r="O106" i="1" s="1"/>
  <c r="U105" i="1"/>
  <c r="X105" i="1"/>
  <c r="AO104" i="1"/>
  <c r="I148" i="1"/>
  <c r="AO145" i="1"/>
  <c r="J147" i="1"/>
  <c r="O147" i="1" s="1"/>
  <c r="G148" i="1"/>
  <c r="AP148" i="1" s="1"/>
  <c r="V146" i="1"/>
  <c r="S146" i="1"/>
  <c r="AP109" i="1"/>
  <c r="S66" i="1"/>
  <c r="V66" i="1"/>
  <c r="U67" i="1"/>
  <c r="X67" i="1"/>
  <c r="I67" i="1"/>
  <c r="J68" i="1"/>
  <c r="O68" i="1" s="1"/>
  <c r="AP69" i="1"/>
  <c r="AO184" i="1"/>
  <c r="I27" i="1"/>
  <c r="J28" i="1"/>
  <c r="O28" i="1" s="1"/>
  <c r="U27" i="1"/>
  <c r="X27" i="1"/>
  <c r="AM26" i="1"/>
  <c r="AP29" i="1"/>
  <c r="Y26" i="1"/>
  <c r="F86" i="12"/>
  <c r="H86" i="12"/>
  <c r="N86" i="12"/>
  <c r="G86" i="12"/>
  <c r="I86" i="12"/>
  <c r="O86" i="12"/>
  <c r="M86" i="12"/>
  <c r="Q86" i="12"/>
  <c r="P86" i="12"/>
  <c r="J86" i="12"/>
  <c r="L86" i="12"/>
  <c r="K86" i="12"/>
  <c r="AA143" i="10"/>
  <c r="G158" i="12"/>
  <c r="H180" i="12"/>
  <c r="P33" i="5"/>
  <c r="K33" i="5"/>
  <c r="D33" i="5"/>
  <c r="N33" i="5"/>
  <c r="Z32" i="5"/>
  <c r="AA32" i="5"/>
  <c r="P31" i="5"/>
  <c r="D31" i="5"/>
  <c r="N31" i="5"/>
  <c r="K31" i="5"/>
  <c r="L32" i="5"/>
  <c r="X33" i="5"/>
  <c r="Y33" i="5"/>
  <c r="X34" i="5"/>
  <c r="Y34" i="5"/>
  <c r="X31" i="5"/>
  <c r="Y31" i="5"/>
  <c r="Y26" i="5"/>
  <c r="X26" i="5"/>
  <c r="Y29" i="5"/>
  <c r="X29" i="5"/>
  <c r="X32" i="5"/>
  <c r="Y32" i="5"/>
  <c r="X30" i="5"/>
  <c r="Y30" i="5"/>
  <c r="X25" i="5"/>
  <c r="Y25" i="5"/>
  <c r="Y27" i="5"/>
  <c r="X27" i="5"/>
  <c r="X28" i="5"/>
  <c r="Y28" i="5"/>
  <c r="X48" i="5"/>
  <c r="Y48" i="5"/>
  <c r="Y43" i="5"/>
  <c r="X43" i="5"/>
  <c r="X44" i="5"/>
  <c r="Y44" i="5"/>
  <c r="X24" i="5"/>
  <c r="Y24" i="5"/>
  <c r="Y45" i="5"/>
  <c r="X45" i="5"/>
  <c r="Y49" i="5"/>
  <c r="X49" i="5"/>
  <c r="X46" i="5"/>
  <c r="Y46" i="5"/>
  <c r="Y47" i="5"/>
  <c r="X47" i="5"/>
  <c r="V91" i="5"/>
  <c r="V89" i="5"/>
  <c r="V88" i="5"/>
  <c r="V5" i="5"/>
  <c r="O1" i="13"/>
  <c r="N2" i="13"/>
  <c r="N3" i="13" s="1"/>
  <c r="Y40" i="5"/>
  <c r="S40" i="5" s="1"/>
  <c r="V93" i="5"/>
  <c r="X89" i="5"/>
  <c r="Y19" i="5"/>
  <c r="Y87" i="5"/>
  <c r="V87" i="5" s="1"/>
  <c r="Y16" i="5"/>
  <c r="Y36" i="5"/>
  <c r="Q36" i="5" s="1"/>
  <c r="Y92" i="5"/>
  <c r="V92" i="5" s="1"/>
  <c r="V37" i="5"/>
  <c r="V50" i="5"/>
  <c r="X18" i="5"/>
  <c r="X93" i="5"/>
  <c r="Y23" i="5"/>
  <c r="X17" i="5"/>
  <c r="X88" i="5"/>
  <c r="X39" i="5"/>
  <c r="S39" i="5" s="1"/>
  <c r="Y38" i="5"/>
  <c r="V38" i="5" s="1"/>
  <c r="X21" i="5"/>
  <c r="X91" i="5"/>
  <c r="X37" i="5"/>
  <c r="Q37" i="5" s="1"/>
  <c r="X50" i="5"/>
  <c r="X22" i="5"/>
  <c r="X20" i="5"/>
  <c r="Y90" i="5"/>
  <c r="V90" i="5" s="1"/>
  <c r="Y15" i="5"/>
  <c r="V39" i="5"/>
  <c r="X35" i="5"/>
  <c r="S35" i="5" s="1"/>
  <c r="V35" i="5"/>
  <c r="A4" i="8"/>
  <c r="S9" i="5"/>
  <c r="V12" i="5"/>
  <c r="V10" i="5"/>
  <c r="S6" i="5"/>
  <c r="P10" i="5"/>
  <c r="V6" i="5"/>
  <c r="V8" i="5"/>
  <c r="S11" i="5"/>
  <c r="S8" i="5"/>
  <c r="P8" i="5"/>
  <c r="P7" i="5"/>
  <c r="V7" i="5"/>
  <c r="P11" i="5"/>
  <c r="S5" i="5"/>
  <c r="O5" i="1"/>
  <c r="O6" i="1"/>
  <c r="J702" i="1" l="1"/>
  <c r="O702" i="1" s="1"/>
  <c r="H703" i="1"/>
  <c r="I702" i="1"/>
  <c r="S55" i="5"/>
  <c r="Q60" i="5"/>
  <c r="Q61" i="5"/>
  <c r="S64" i="5"/>
  <c r="S63" i="5"/>
  <c r="BC111" i="12"/>
  <c r="BB111" i="12"/>
  <c r="AX135" i="12"/>
  <c r="AY135" i="12" s="1"/>
  <c r="AY115" i="12"/>
  <c r="AB135" i="12"/>
  <c r="AC135" i="12" s="1"/>
  <c r="AG111" i="12"/>
  <c r="V62" i="5"/>
  <c r="P62" i="5"/>
  <c r="Q59" i="5"/>
  <c r="N59" i="5"/>
  <c r="V59" i="5"/>
  <c r="S54" i="5"/>
  <c r="P54" i="5"/>
  <c r="V54" i="5"/>
  <c r="P56" i="5"/>
  <c r="V56" i="5"/>
  <c r="N51" i="5"/>
  <c r="V51" i="5"/>
  <c r="V63" i="5"/>
  <c r="P63" i="5"/>
  <c r="V60" i="5"/>
  <c r="N60" i="5"/>
  <c r="Q53" i="5"/>
  <c r="N52" i="5"/>
  <c r="V52" i="5"/>
  <c r="N53" i="5"/>
  <c r="V53" i="5"/>
  <c r="V61" i="5"/>
  <c r="N61" i="5"/>
  <c r="AF111" i="12"/>
  <c r="S62" i="5"/>
  <c r="Q52" i="5"/>
  <c r="V55" i="5"/>
  <c r="P55" i="5"/>
  <c r="P64" i="5"/>
  <c r="V64" i="5"/>
  <c r="AO105" i="1"/>
  <c r="J107" i="1"/>
  <c r="O107" i="1" s="1"/>
  <c r="I107" i="1"/>
  <c r="S106" i="1"/>
  <c r="V106" i="1"/>
  <c r="U147" i="1"/>
  <c r="X147" i="1"/>
  <c r="AM146" i="1"/>
  <c r="Y146" i="1"/>
  <c r="J148" i="1"/>
  <c r="O148" i="1" s="1"/>
  <c r="G149" i="1"/>
  <c r="AP149" i="1" s="1"/>
  <c r="I149" i="1"/>
  <c r="AP110" i="1"/>
  <c r="AO67" i="1"/>
  <c r="S68" i="1"/>
  <c r="V68" i="1"/>
  <c r="AP70" i="1"/>
  <c r="I68" i="1"/>
  <c r="J69" i="1"/>
  <c r="O69" i="1" s="1"/>
  <c r="AM66" i="1"/>
  <c r="Y66" i="1"/>
  <c r="J29" i="1"/>
  <c r="O29" i="1" s="1"/>
  <c r="I28" i="1"/>
  <c r="AP30" i="1"/>
  <c r="S28" i="1"/>
  <c r="V28" i="1"/>
  <c r="AO27" i="1"/>
  <c r="L31" i="5"/>
  <c r="S31" i="5" s="1"/>
  <c r="L33" i="5"/>
  <c r="S33" i="5" s="1"/>
  <c r="AA31" i="5"/>
  <c r="Z31" i="5"/>
  <c r="Z33" i="5"/>
  <c r="AA33" i="5"/>
  <c r="V32" i="5"/>
  <c r="S32" i="5"/>
  <c r="V31" i="5"/>
  <c r="V33" i="5"/>
  <c r="S47" i="5"/>
  <c r="V49" i="5"/>
  <c r="V43" i="5"/>
  <c r="S46" i="5"/>
  <c r="V46" i="5"/>
  <c r="P46" i="5"/>
  <c r="Q45" i="5"/>
  <c r="Q44" i="5"/>
  <c r="V44" i="5"/>
  <c r="N44" i="5"/>
  <c r="V48" i="5"/>
  <c r="P48" i="5"/>
  <c r="P47" i="5"/>
  <c r="V47" i="5"/>
  <c r="V45" i="5"/>
  <c r="N45" i="5"/>
  <c r="S48" i="5"/>
  <c r="P1" i="13"/>
  <c r="O2" i="13"/>
  <c r="O3" i="13" s="1"/>
  <c r="V40" i="5"/>
  <c r="P40" i="5"/>
  <c r="V36" i="5"/>
  <c r="N36" i="5"/>
  <c r="P38" i="5"/>
  <c r="S38" i="5"/>
  <c r="X5" i="1"/>
  <c r="H704" i="1" l="1"/>
  <c r="J703" i="1"/>
  <c r="O703" i="1" s="1"/>
  <c r="I703" i="1"/>
  <c r="X107" i="1"/>
  <c r="U107" i="1"/>
  <c r="I108" i="1"/>
  <c r="J108" i="1"/>
  <c r="O108" i="1" s="1"/>
  <c r="Y106" i="1"/>
  <c r="AM106" i="1"/>
  <c r="I150" i="1"/>
  <c r="G150" i="1"/>
  <c r="AP150" i="1" s="1"/>
  <c r="J149" i="1"/>
  <c r="O149" i="1" s="1"/>
  <c r="AO147" i="1"/>
  <c r="V148" i="1"/>
  <c r="S148" i="1"/>
  <c r="AP111" i="1"/>
  <c r="X69" i="1"/>
  <c r="U69" i="1"/>
  <c r="AP71" i="1"/>
  <c r="AM68" i="1"/>
  <c r="Y68" i="1"/>
  <c r="I69" i="1"/>
  <c r="J70" i="1"/>
  <c r="O70" i="1" s="1"/>
  <c r="I186" i="1"/>
  <c r="AP186" i="1"/>
  <c r="O185" i="1"/>
  <c r="I29" i="1"/>
  <c r="J30" i="1"/>
  <c r="O30" i="1" s="1"/>
  <c r="Y28" i="1"/>
  <c r="AM28" i="1"/>
  <c r="AP31" i="1"/>
  <c r="U29" i="1"/>
  <c r="X29" i="1"/>
  <c r="Q1" i="13"/>
  <c r="P2" i="13"/>
  <c r="P3" i="13" s="1"/>
  <c r="J704" i="1" l="1"/>
  <c r="O704" i="1" s="1"/>
  <c r="I704" i="1"/>
  <c r="I109" i="1"/>
  <c r="J109" i="1"/>
  <c r="O109" i="1" s="1"/>
  <c r="V108" i="1"/>
  <c r="S108" i="1"/>
  <c r="AO107" i="1"/>
  <c r="U149" i="1"/>
  <c r="X149" i="1"/>
  <c r="G151" i="1"/>
  <c r="AP151" i="1" s="1"/>
  <c r="J150" i="1"/>
  <c r="O150" i="1" s="1"/>
  <c r="AM148" i="1"/>
  <c r="Y148" i="1"/>
  <c r="I151" i="1"/>
  <c r="AP112" i="1"/>
  <c r="X70" i="1"/>
  <c r="U70" i="1"/>
  <c r="AO69" i="1"/>
  <c r="I70" i="1"/>
  <c r="AP72" i="1"/>
  <c r="I187" i="1"/>
  <c r="AP187" i="1"/>
  <c r="J186" i="1"/>
  <c r="O186" i="1" s="1"/>
  <c r="V185" i="1"/>
  <c r="S185" i="1"/>
  <c r="I30" i="1"/>
  <c r="AO29" i="1"/>
  <c r="AP32" i="1"/>
  <c r="J31" i="1"/>
  <c r="O31" i="1" s="1"/>
  <c r="U30" i="1"/>
  <c r="X30" i="1"/>
  <c r="R1" i="13"/>
  <c r="Q2" i="13"/>
  <c r="Q3" i="13" s="1"/>
  <c r="F6" i="2"/>
  <c r="J110" i="1" l="1"/>
  <c r="O110" i="1" s="1"/>
  <c r="I110" i="1"/>
  <c r="U109" i="1"/>
  <c r="X109" i="1"/>
  <c r="AM108" i="1"/>
  <c r="Y108" i="1"/>
  <c r="I152" i="1"/>
  <c r="U150" i="1"/>
  <c r="X150" i="1"/>
  <c r="G152" i="1"/>
  <c r="AP152" i="1" s="1"/>
  <c r="J151" i="1"/>
  <c r="O151" i="1" s="1"/>
  <c r="AO149" i="1"/>
  <c r="AP113" i="1"/>
  <c r="I71" i="1"/>
  <c r="J72" i="1"/>
  <c r="O72" i="1" s="1"/>
  <c r="J71" i="1"/>
  <c r="O71" i="1" s="1"/>
  <c r="AO70" i="1"/>
  <c r="AP73" i="1"/>
  <c r="AP188" i="1"/>
  <c r="J187" i="1"/>
  <c r="O187" i="1" s="1"/>
  <c r="I188" i="1"/>
  <c r="X186" i="1"/>
  <c r="U186" i="1"/>
  <c r="AM185" i="1"/>
  <c r="Y185" i="1"/>
  <c r="J32" i="1"/>
  <c r="O32" i="1" s="1"/>
  <c r="I31" i="1"/>
  <c r="U31" i="1"/>
  <c r="X31" i="1"/>
  <c r="AP33" i="1"/>
  <c r="AO30" i="1"/>
  <c r="BP6" i="2"/>
  <c r="S1" i="13"/>
  <c r="R2" i="13"/>
  <c r="R3" i="13" s="1"/>
  <c r="G6" i="2"/>
  <c r="F7" i="2"/>
  <c r="BP7" i="2" s="1"/>
  <c r="AO109" i="1" l="1"/>
  <c r="J111" i="1"/>
  <c r="O111" i="1" s="1"/>
  <c r="I111" i="1"/>
  <c r="U110" i="1"/>
  <c r="X110" i="1"/>
  <c r="U151" i="1"/>
  <c r="X151" i="1"/>
  <c r="AO150" i="1"/>
  <c r="J152" i="1"/>
  <c r="O152" i="1" s="1"/>
  <c r="G153" i="1"/>
  <c r="AP153" i="1" s="1"/>
  <c r="I153" i="1"/>
  <c r="AP114" i="1"/>
  <c r="U71" i="1"/>
  <c r="X71" i="1"/>
  <c r="AP74" i="1"/>
  <c r="J73" i="1"/>
  <c r="O73" i="1" s="1"/>
  <c r="I72" i="1"/>
  <c r="U72" i="1"/>
  <c r="X72" i="1"/>
  <c r="X187" i="1"/>
  <c r="U187" i="1"/>
  <c r="I189" i="1"/>
  <c r="AP189" i="1"/>
  <c r="J188" i="1"/>
  <c r="O188" i="1" s="1"/>
  <c r="AO186" i="1"/>
  <c r="J33" i="1"/>
  <c r="O33" i="1" s="1"/>
  <c r="I32" i="1"/>
  <c r="U32" i="1"/>
  <c r="X32" i="1"/>
  <c r="AP34" i="1"/>
  <c r="AO31" i="1"/>
  <c r="BQ6" i="2"/>
  <c r="F8" i="2"/>
  <c r="T1" i="13"/>
  <c r="S2" i="13"/>
  <c r="S3" i="13" s="1"/>
  <c r="U5" i="1"/>
  <c r="G7" i="2"/>
  <c r="U111" i="1" l="1"/>
  <c r="X111" i="1"/>
  <c r="AO110" i="1"/>
  <c r="I112" i="1"/>
  <c r="J112" i="1"/>
  <c r="O112" i="1" s="1"/>
  <c r="U152" i="1"/>
  <c r="X152" i="1"/>
  <c r="I154" i="1"/>
  <c r="G154" i="1"/>
  <c r="AP154" i="1" s="1"/>
  <c r="J153" i="1"/>
  <c r="O153" i="1" s="1"/>
  <c r="AO151" i="1"/>
  <c r="AP115" i="1"/>
  <c r="I73" i="1"/>
  <c r="J74" i="1"/>
  <c r="O74" i="1" s="1"/>
  <c r="U73" i="1"/>
  <c r="X73" i="1"/>
  <c r="AO72" i="1"/>
  <c r="AP75" i="1"/>
  <c r="AO71" i="1"/>
  <c r="X188" i="1"/>
  <c r="U188" i="1"/>
  <c r="AP190" i="1"/>
  <c r="J189" i="1"/>
  <c r="O189" i="1" s="1"/>
  <c r="AO187" i="1"/>
  <c r="I190" i="1"/>
  <c r="I33" i="1"/>
  <c r="J34" i="1"/>
  <c r="O34" i="1" s="1"/>
  <c r="AP35" i="1"/>
  <c r="AO32" i="1"/>
  <c r="U33" i="1"/>
  <c r="X33" i="1"/>
  <c r="BQ7" i="2"/>
  <c r="F9" i="2"/>
  <c r="BP8" i="2"/>
  <c r="AO5" i="1"/>
  <c r="U1" i="13"/>
  <c r="T2" i="13"/>
  <c r="T3" i="13" s="1"/>
  <c r="G8" i="2"/>
  <c r="J113" i="1" l="1"/>
  <c r="O113" i="1" s="1"/>
  <c r="I113" i="1"/>
  <c r="X112" i="1"/>
  <c r="U112" i="1"/>
  <c r="AO111" i="1"/>
  <c r="X153" i="1"/>
  <c r="U153" i="1"/>
  <c r="G155" i="1"/>
  <c r="AP155" i="1" s="1"/>
  <c r="J154" i="1"/>
  <c r="O154" i="1" s="1"/>
  <c r="I155" i="1"/>
  <c r="AO152" i="1"/>
  <c r="AP116" i="1"/>
  <c r="U74" i="1"/>
  <c r="X74" i="1"/>
  <c r="AO73" i="1"/>
  <c r="AP76" i="1"/>
  <c r="I74" i="1"/>
  <c r="J75" i="1"/>
  <c r="O75" i="1" s="1"/>
  <c r="U189" i="1"/>
  <c r="X189" i="1"/>
  <c r="I191" i="1"/>
  <c r="AO188" i="1"/>
  <c r="AP191" i="1"/>
  <c r="O190" i="1"/>
  <c r="I34" i="1"/>
  <c r="J35" i="1"/>
  <c r="O35" i="1" s="1"/>
  <c r="AO33" i="1"/>
  <c r="AP36" i="1"/>
  <c r="U34" i="1"/>
  <c r="X34" i="1"/>
  <c r="BQ8" i="2"/>
  <c r="F10" i="2"/>
  <c r="BP9" i="2"/>
  <c r="V1" i="13"/>
  <c r="U2" i="13"/>
  <c r="U3" i="13" s="1"/>
  <c r="G9" i="2"/>
  <c r="J114" i="1" l="1"/>
  <c r="O114" i="1" s="1"/>
  <c r="I114" i="1"/>
  <c r="AO112" i="1"/>
  <c r="X113" i="1"/>
  <c r="U113" i="1"/>
  <c r="AO153" i="1"/>
  <c r="U154" i="1"/>
  <c r="X154" i="1"/>
  <c r="I156" i="1"/>
  <c r="J155" i="1"/>
  <c r="O155" i="1" s="1"/>
  <c r="G156" i="1"/>
  <c r="AP156" i="1" s="1"/>
  <c r="AP117" i="1"/>
  <c r="U75" i="1"/>
  <c r="X75" i="1"/>
  <c r="AP77" i="1"/>
  <c r="J76" i="1"/>
  <c r="O76" i="1" s="1"/>
  <c r="I75" i="1"/>
  <c r="AO74" i="1"/>
  <c r="AP192" i="1"/>
  <c r="J191" i="1"/>
  <c r="O191" i="1" s="1"/>
  <c r="I192" i="1"/>
  <c r="U190" i="1"/>
  <c r="X190" i="1"/>
  <c r="AO189" i="1"/>
  <c r="I35" i="1"/>
  <c r="J36" i="1"/>
  <c r="O36" i="1" s="1"/>
  <c r="AP37" i="1"/>
  <c r="U35" i="1"/>
  <c r="X35" i="1"/>
  <c r="AO34" i="1"/>
  <c r="BQ9" i="2"/>
  <c r="F11" i="2"/>
  <c r="BP10" i="2"/>
  <c r="W1" i="13"/>
  <c r="V2" i="13"/>
  <c r="V3" i="13" s="1"/>
  <c r="G10" i="2"/>
  <c r="AO113" i="1" l="1"/>
  <c r="X114" i="1"/>
  <c r="U114" i="1"/>
  <c r="I115" i="1"/>
  <c r="J115" i="1"/>
  <c r="O115" i="1" s="1"/>
  <c r="X155" i="1"/>
  <c r="U155" i="1"/>
  <c r="I157" i="1"/>
  <c r="AO154" i="1"/>
  <c r="J156" i="1"/>
  <c r="O156" i="1" s="1"/>
  <c r="G157" i="1"/>
  <c r="AP157" i="1" s="1"/>
  <c r="AP118" i="1"/>
  <c r="X76" i="1"/>
  <c r="U76" i="1"/>
  <c r="I76" i="1"/>
  <c r="AO75" i="1"/>
  <c r="J77" i="1"/>
  <c r="O77" i="1" s="1"/>
  <c r="AP78" i="1"/>
  <c r="AO190" i="1"/>
  <c r="I193" i="1"/>
  <c r="U191" i="1"/>
  <c r="X191" i="1"/>
  <c r="AP193" i="1"/>
  <c r="J192" i="1"/>
  <c r="O192" i="1" s="1"/>
  <c r="J37" i="1"/>
  <c r="O37" i="1" s="1"/>
  <c r="I36" i="1"/>
  <c r="AP38" i="1"/>
  <c r="AO35" i="1"/>
  <c r="U36" i="1"/>
  <c r="X36" i="1"/>
  <c r="BQ10" i="2"/>
  <c r="F12" i="2"/>
  <c r="BP11" i="2"/>
  <c r="X1" i="13"/>
  <c r="W2" i="13"/>
  <c r="W3" i="13" s="1"/>
  <c r="G11" i="2"/>
  <c r="J116" i="1" l="1"/>
  <c r="O116" i="1" s="1"/>
  <c r="I116" i="1"/>
  <c r="X115" i="1"/>
  <c r="U115" i="1"/>
  <c r="AO114" i="1"/>
  <c r="AO155" i="1"/>
  <c r="U156" i="1"/>
  <c r="X156" i="1"/>
  <c r="I158" i="1"/>
  <c r="J157" i="1"/>
  <c r="O157" i="1" s="1"/>
  <c r="G158" i="1"/>
  <c r="AP158" i="1" s="1"/>
  <c r="AP119" i="1"/>
  <c r="U77" i="1"/>
  <c r="X77" i="1"/>
  <c r="AO76" i="1"/>
  <c r="I77" i="1"/>
  <c r="J78" i="1"/>
  <c r="O78" i="1" s="1"/>
  <c r="AP79" i="1"/>
  <c r="AP194" i="1"/>
  <c r="J193" i="1"/>
  <c r="O193" i="1" s="1"/>
  <c r="AO191" i="1"/>
  <c r="I194" i="1"/>
  <c r="U192" i="1"/>
  <c r="X192" i="1"/>
  <c r="I37" i="1"/>
  <c r="J38" i="1"/>
  <c r="O38" i="1" s="1"/>
  <c r="AP39" i="1"/>
  <c r="U37" i="1"/>
  <c r="X37" i="1"/>
  <c r="AO36" i="1"/>
  <c r="BQ11" i="2"/>
  <c r="F13" i="2"/>
  <c r="BP12" i="2"/>
  <c r="G12" i="2"/>
  <c r="Y1" i="13"/>
  <c r="X2" i="13"/>
  <c r="X3" i="13" s="1"/>
  <c r="X116" i="1" l="1"/>
  <c r="U116" i="1"/>
  <c r="AO115" i="1"/>
  <c r="I117" i="1"/>
  <c r="J117" i="1"/>
  <c r="O117" i="1" s="1"/>
  <c r="U157" i="1"/>
  <c r="X157" i="1"/>
  <c r="AO156" i="1"/>
  <c r="I159" i="1"/>
  <c r="J158" i="1"/>
  <c r="O158" i="1" s="1"/>
  <c r="G159" i="1"/>
  <c r="AP159" i="1" s="1"/>
  <c r="AP120" i="1"/>
  <c r="AP80" i="1"/>
  <c r="J79" i="1"/>
  <c r="O79" i="1" s="1"/>
  <c r="I78" i="1"/>
  <c r="U78" i="1"/>
  <c r="X78" i="1"/>
  <c r="AO77" i="1"/>
  <c r="AO192" i="1"/>
  <c r="X193" i="1"/>
  <c r="U193" i="1"/>
  <c r="I195" i="1"/>
  <c r="AP195" i="1"/>
  <c r="J194" i="1"/>
  <c r="O194" i="1" s="1"/>
  <c r="I38" i="1"/>
  <c r="J39" i="1"/>
  <c r="O39" i="1" s="1"/>
  <c r="AO37" i="1"/>
  <c r="X38" i="1"/>
  <c r="U38" i="1"/>
  <c r="AP40" i="1"/>
  <c r="BQ12" i="2"/>
  <c r="Y2" i="13"/>
  <c r="Y3" i="13" s="1"/>
  <c r="F14" i="2"/>
  <c r="BP13" i="2"/>
  <c r="G13" i="2"/>
  <c r="J118" i="1" l="1"/>
  <c r="O118" i="1" s="1"/>
  <c r="I118" i="1"/>
  <c r="AO116" i="1"/>
  <c r="U117" i="1"/>
  <c r="X117" i="1"/>
  <c r="I160" i="1"/>
  <c r="AO157" i="1"/>
  <c r="J159" i="1"/>
  <c r="O159" i="1" s="1"/>
  <c r="G160" i="1"/>
  <c r="AP160" i="1" s="1"/>
  <c r="X158" i="1"/>
  <c r="U158" i="1"/>
  <c r="AP121" i="1"/>
  <c r="AO78" i="1"/>
  <c r="J80" i="1"/>
  <c r="O80" i="1" s="1"/>
  <c r="I79" i="1"/>
  <c r="AP81" i="1"/>
  <c r="X79" i="1"/>
  <c r="U79" i="1"/>
  <c r="I197" i="1"/>
  <c r="I198" i="1"/>
  <c r="J195" i="1"/>
  <c r="O195" i="1" s="1"/>
  <c r="AO193" i="1"/>
  <c r="I196" i="1"/>
  <c r="X194" i="1"/>
  <c r="U194" i="1"/>
  <c r="J40" i="1"/>
  <c r="O40" i="1" s="1"/>
  <c r="I39" i="1"/>
  <c r="AO38" i="1"/>
  <c r="AP41" i="1"/>
  <c r="U39" i="1"/>
  <c r="X39" i="1"/>
  <c r="G14" i="2"/>
  <c r="BQ14" i="2" s="1"/>
  <c r="BQ13" i="2"/>
  <c r="F15" i="2"/>
  <c r="BP14" i="2"/>
  <c r="I161" i="1" l="1"/>
  <c r="U195" i="1"/>
  <c r="AP197" i="1"/>
  <c r="AP196" i="1"/>
  <c r="AO117" i="1"/>
  <c r="I119" i="1"/>
  <c r="J119" i="1"/>
  <c r="O119" i="1" s="1"/>
  <c r="X118" i="1"/>
  <c r="U118" i="1"/>
  <c r="AO158" i="1"/>
  <c r="G161" i="1"/>
  <c r="G162" i="1" s="1"/>
  <c r="J160" i="1"/>
  <c r="O160" i="1" s="1"/>
  <c r="X159" i="1"/>
  <c r="U159" i="1"/>
  <c r="AO79" i="1"/>
  <c r="I81" i="1"/>
  <c r="I80" i="1"/>
  <c r="U80" i="1"/>
  <c r="X80" i="1"/>
  <c r="X195" i="1"/>
  <c r="AO194" i="1"/>
  <c r="J196" i="1"/>
  <c r="O196" i="1" s="1"/>
  <c r="X196" i="1" s="1"/>
  <c r="I41" i="1"/>
  <c r="I40" i="1"/>
  <c r="AO39" i="1"/>
  <c r="U40" i="1"/>
  <c r="X40" i="1"/>
  <c r="G15" i="2"/>
  <c r="BQ15" i="2" s="1"/>
  <c r="F16" i="2"/>
  <c r="BP15" i="2"/>
  <c r="G163" i="1" l="1"/>
  <c r="AP162" i="1"/>
  <c r="J162" i="1"/>
  <c r="O162" i="1" s="1"/>
  <c r="I162" i="1"/>
  <c r="J197" i="1"/>
  <c r="O197" i="1" s="1"/>
  <c r="U197" i="1" s="1"/>
  <c r="J198" i="1"/>
  <c r="O198" i="1" s="1"/>
  <c r="J161" i="1"/>
  <c r="O161" i="1" s="1"/>
  <c r="U161" i="1" s="1"/>
  <c r="AP161" i="1"/>
  <c r="AP198" i="1"/>
  <c r="AO118" i="1"/>
  <c r="J120" i="1"/>
  <c r="O120" i="1" s="1"/>
  <c r="I120" i="1"/>
  <c r="X119" i="1"/>
  <c r="U119" i="1"/>
  <c r="X160" i="1"/>
  <c r="U160" i="1"/>
  <c r="AO159" i="1"/>
  <c r="J81" i="1"/>
  <c r="O81" i="1" s="1"/>
  <c r="AO80" i="1"/>
  <c r="J41" i="1"/>
  <c r="O41" i="1" s="1"/>
  <c r="U41" i="1" s="1"/>
  <c r="U196" i="1"/>
  <c r="AO195" i="1"/>
  <c r="AO40" i="1"/>
  <c r="G16" i="2"/>
  <c r="BQ16" i="2" s="1"/>
  <c r="F17" i="2"/>
  <c r="BP16" i="2"/>
  <c r="G164" i="1" l="1"/>
  <c r="AP164" i="1" s="1"/>
  <c r="AP163" i="1"/>
  <c r="I163" i="1"/>
  <c r="J163" i="1"/>
  <c r="O163" i="1" s="1"/>
  <c r="AO197" i="1"/>
  <c r="X197" i="1"/>
  <c r="U198" i="1"/>
  <c r="AO198" i="1" s="1"/>
  <c r="X198" i="1"/>
  <c r="X161" i="1"/>
  <c r="U120" i="1"/>
  <c r="X120" i="1"/>
  <c r="I121" i="1"/>
  <c r="J121" i="1"/>
  <c r="O121" i="1" s="1"/>
  <c r="AO119" i="1"/>
  <c r="AO160" i="1"/>
  <c r="AO161" i="1"/>
  <c r="U81" i="1"/>
  <c r="X81" i="1"/>
  <c r="AO41" i="1"/>
  <c r="X41" i="1"/>
  <c r="AO196" i="1"/>
  <c r="G17" i="2"/>
  <c r="BQ17" i="2" s="1"/>
  <c r="F18" i="2"/>
  <c r="BP17" i="2"/>
  <c r="J164" i="1" l="1"/>
  <c r="O164" i="1" s="1"/>
  <c r="I164" i="1"/>
  <c r="X121" i="1"/>
  <c r="U121" i="1"/>
  <c r="AO120" i="1"/>
  <c r="AO81" i="1"/>
  <c r="F19" i="2"/>
  <c r="BP18" i="2"/>
  <c r="G18" i="2"/>
  <c r="Y11" i="11"/>
  <c r="V11" i="11"/>
  <c r="V13" i="11"/>
  <c r="AT13" i="11" s="1"/>
  <c r="Y13" i="11"/>
  <c r="AA154" i="10"/>
  <c r="U12" i="10"/>
  <c r="U8" i="10"/>
  <c r="U11" i="10"/>
  <c r="U6" i="10"/>
  <c r="U7" i="10"/>
  <c r="U10" i="10"/>
  <c r="U13" i="10"/>
  <c r="U5" i="10"/>
  <c r="U14" i="10"/>
  <c r="X7" i="10"/>
  <c r="U15" i="10"/>
  <c r="X11" i="10"/>
  <c r="X10" i="10"/>
  <c r="X14" i="10"/>
  <c r="X5" i="10"/>
  <c r="X13" i="10"/>
  <c r="X15" i="10"/>
  <c r="X6" i="10"/>
  <c r="X12" i="10"/>
  <c r="X8" i="10"/>
  <c r="P6" i="9"/>
  <c r="P5" i="9"/>
  <c r="S6" i="9"/>
  <c r="S5" i="9"/>
  <c r="P12" i="5"/>
  <c r="P9" i="5"/>
  <c r="N37" i="5"/>
  <c r="V6" i="9" l="1"/>
  <c r="AO121" i="1"/>
  <c r="F20" i="2"/>
  <c r="BP19" i="2"/>
  <c r="G19" i="2"/>
  <c r="BQ18" i="2"/>
  <c r="AA5" i="10"/>
  <c r="AS5" i="10"/>
  <c r="AS6" i="10"/>
  <c r="AB13" i="11"/>
  <c r="AA8" i="10"/>
  <c r="AS8" i="10"/>
  <c r="AB11" i="11"/>
  <c r="AA10" i="10"/>
  <c r="AS10" i="10"/>
  <c r="AS15" i="10"/>
  <c r="AA14" i="10"/>
  <c r="AS14" i="10"/>
  <c r="AS13" i="10"/>
  <c r="AA7" i="10"/>
  <c r="AS7" i="10"/>
  <c r="AS11" i="10"/>
  <c r="AA12" i="10"/>
  <c r="AS12" i="10"/>
  <c r="AT11" i="11"/>
  <c r="AA6" i="10"/>
  <c r="AA15" i="10"/>
  <c r="AA13" i="10"/>
  <c r="AA11" i="10"/>
  <c r="V5" i="9"/>
  <c r="F21" i="2" l="1"/>
  <c r="F22" i="2" s="1"/>
  <c r="F23" i="2" s="1"/>
  <c r="F24" i="2" s="1"/>
  <c r="F25" i="2" s="1"/>
  <c r="BP20" i="2"/>
  <c r="G20" i="2"/>
  <c r="BQ19" i="2"/>
  <c r="BP21" i="2" l="1"/>
  <c r="G21" i="2"/>
  <c r="BQ20" i="2"/>
  <c r="G22" i="2" l="1"/>
  <c r="N43" i="5"/>
  <c r="Q43" i="5"/>
  <c r="BQ21" i="2"/>
  <c r="Y14" i="11"/>
  <c r="V14" i="11"/>
  <c r="L115" i="11" l="1"/>
  <c r="M262" i="11"/>
  <c r="M269" i="11"/>
  <c r="L226" i="11"/>
  <c r="L285" i="11"/>
  <c r="L205" i="11"/>
  <c r="M12" i="11"/>
  <c r="M18" i="11"/>
  <c r="L138" i="11"/>
  <c r="M207" i="11"/>
  <c r="L167" i="11"/>
  <c r="M209" i="11"/>
  <c r="M21" i="11"/>
  <c r="L142" i="11"/>
  <c r="M154" i="11"/>
  <c r="M320" i="11"/>
  <c r="L191" i="11"/>
  <c r="M165" i="11"/>
  <c r="L202" i="11"/>
  <c r="L140" i="11"/>
  <c r="L317" i="11"/>
  <c r="M204" i="11"/>
  <c r="L141" i="11"/>
  <c r="L67" i="11"/>
  <c r="M291" i="11"/>
  <c r="M255" i="11"/>
  <c r="M81" i="11"/>
  <c r="L220" i="11"/>
  <c r="M215" i="11"/>
  <c r="M276" i="11"/>
  <c r="M103" i="11"/>
  <c r="M167" i="11"/>
  <c r="L59" i="11"/>
  <c r="M194" i="11"/>
  <c r="L282" i="11"/>
  <c r="L196" i="11"/>
  <c r="M234" i="11"/>
  <c r="M107" i="11"/>
  <c r="M301" i="11"/>
  <c r="M100" i="11"/>
  <c r="M112" i="11"/>
  <c r="M28" i="11"/>
  <c r="M22" i="11"/>
  <c r="M152" i="11"/>
  <c r="M83" i="11"/>
  <c r="L110" i="11"/>
  <c r="L238" i="11"/>
  <c r="M121" i="11"/>
  <c r="M125" i="11"/>
  <c r="L200" i="11"/>
  <c r="M38" i="11"/>
  <c r="M259" i="11"/>
  <c r="M148" i="11"/>
  <c r="L270" i="11"/>
  <c r="L26" i="11"/>
  <c r="L303" i="11"/>
  <c r="M74" i="11"/>
  <c r="M114" i="11"/>
  <c r="M272" i="11"/>
  <c r="M20" i="11"/>
  <c r="M156" i="11"/>
  <c r="M324" i="11"/>
  <c r="L143" i="11"/>
  <c r="M127" i="11"/>
  <c r="M42" i="11"/>
  <c r="L133" i="11"/>
  <c r="L165" i="11"/>
  <c r="P165" i="11" s="1"/>
  <c r="R165" i="11" s="1"/>
  <c r="M158" i="11"/>
  <c r="M17" i="11"/>
  <c r="L328" i="11"/>
  <c r="M180" i="11"/>
  <c r="M61" i="11"/>
  <c r="M322" i="11"/>
  <c r="L240" i="11"/>
  <c r="M203" i="11"/>
  <c r="M304" i="11"/>
  <c r="L234" i="11"/>
  <c r="L236" i="11"/>
  <c r="M141" i="11"/>
  <c r="L79" i="11"/>
  <c r="M287" i="11"/>
  <c r="L31" i="11"/>
  <c r="M293" i="11"/>
  <c r="M261" i="11"/>
  <c r="L111" i="11"/>
  <c r="M147" i="11"/>
  <c r="M36" i="11"/>
  <c r="M228" i="11"/>
  <c r="M238" i="11"/>
  <c r="M275" i="11"/>
  <c r="L195" i="11"/>
  <c r="L197" i="11"/>
  <c r="M201" i="11"/>
  <c r="M321" i="11"/>
  <c r="M314" i="11"/>
  <c r="L292" i="11"/>
  <c r="L93" i="11"/>
  <c r="M51" i="11"/>
  <c r="L331" i="11"/>
  <c r="M67" i="11"/>
  <c r="L97" i="11"/>
  <c r="M305" i="11"/>
  <c r="L217" i="11"/>
  <c r="M316" i="11"/>
  <c r="L105" i="11"/>
  <c r="M47" i="11"/>
  <c r="L316" i="11"/>
  <c r="L330" i="11"/>
  <c r="M86" i="11"/>
  <c r="M132" i="11"/>
  <c r="L204" i="11"/>
  <c r="M313" i="11"/>
  <c r="L301" i="11"/>
  <c r="M226" i="11"/>
  <c r="M319" i="11"/>
  <c r="L81" i="11"/>
  <c r="M278" i="11"/>
  <c r="M134" i="11"/>
  <c r="L74" i="11"/>
  <c r="M99" i="11"/>
  <c r="M195" i="11"/>
  <c r="M90" i="11"/>
  <c r="L233" i="11"/>
  <c r="M232" i="11"/>
  <c r="L61" i="11"/>
  <c r="M8" i="11"/>
  <c r="L314" i="11"/>
  <c r="L135" i="11"/>
  <c r="M91" i="11"/>
  <c r="L272" i="11"/>
  <c r="L78" i="11"/>
  <c r="L50" i="11"/>
  <c r="M46" i="11"/>
  <c r="M34" i="11"/>
  <c r="M157" i="11"/>
  <c r="M236" i="11"/>
  <c r="L274" i="11"/>
  <c r="M128" i="11"/>
  <c r="M41" i="11"/>
  <c r="M277" i="11"/>
  <c r="M92" i="11"/>
  <c r="L206" i="11"/>
  <c r="M105" i="11"/>
  <c r="M197" i="11"/>
  <c r="M308" i="11"/>
  <c r="M72" i="11"/>
  <c r="L101" i="11"/>
  <c r="L257" i="11"/>
  <c r="L52" i="11"/>
  <c r="L294" i="11"/>
  <c r="L179" i="11"/>
  <c r="M23" i="11"/>
  <c r="L283" i="11"/>
  <c r="M29" i="11"/>
  <c r="L45" i="11"/>
  <c r="M110" i="11"/>
  <c r="M323" i="11"/>
  <c r="L161" i="11"/>
  <c r="L249" i="11"/>
  <c r="M250" i="11"/>
  <c r="M64" i="11"/>
  <c r="M150" i="11"/>
  <c r="M164" i="11"/>
  <c r="M317" i="11"/>
  <c r="M52" i="11"/>
  <c r="L223" i="11"/>
  <c r="M113" i="11"/>
  <c r="M183" i="11"/>
  <c r="M237" i="11"/>
  <c r="L244" i="11"/>
  <c r="M210" i="11"/>
  <c r="L308" i="11"/>
  <c r="M95" i="11"/>
  <c r="L53" i="11"/>
  <c r="M286" i="11"/>
  <c r="M270" i="11"/>
  <c r="M115" i="11"/>
  <c r="M299" i="11"/>
  <c r="M184" i="11"/>
  <c r="M57" i="11"/>
  <c r="L229" i="11"/>
  <c r="L99" i="11"/>
  <c r="L120" i="11"/>
  <c r="L72" i="11"/>
  <c r="L327" i="11"/>
  <c r="M189" i="11"/>
  <c r="L114" i="11"/>
  <c r="M307" i="11"/>
  <c r="M102" i="11"/>
  <c r="L225" i="11"/>
  <c r="M7" i="11"/>
  <c r="L64" i="11"/>
  <c r="L287" i="11"/>
  <c r="L222" i="11"/>
  <c r="M111" i="11"/>
  <c r="M290" i="11"/>
  <c r="M192" i="11"/>
  <c r="L86" i="11"/>
  <c r="M187" i="11"/>
  <c r="M14" i="11"/>
  <c r="L108" i="11"/>
  <c r="L326" i="11"/>
  <c r="L73" i="11"/>
  <c r="L208" i="11"/>
  <c r="M155" i="11"/>
  <c r="L80" i="11"/>
  <c r="M122" i="11"/>
  <c r="L123" i="11"/>
  <c r="L189" i="11"/>
  <c r="M49" i="11"/>
  <c r="M231" i="11"/>
  <c r="M169" i="11"/>
  <c r="M19" i="11"/>
  <c r="M302" i="11"/>
  <c r="M243" i="11"/>
  <c r="L228" i="11"/>
  <c r="L163" i="11"/>
  <c r="L299" i="11"/>
  <c r="L58" i="11"/>
  <c r="L309" i="11"/>
  <c r="M221" i="11"/>
  <c r="L100" i="11"/>
  <c r="M202" i="11"/>
  <c r="M89" i="11"/>
  <c r="L323" i="11"/>
  <c r="M315" i="11"/>
  <c r="M171" i="11"/>
  <c r="L275" i="11"/>
  <c r="M218" i="11"/>
  <c r="M166" i="11"/>
  <c r="M181" i="11"/>
  <c r="M77" i="11"/>
  <c r="L107" i="11"/>
  <c r="M288" i="11"/>
  <c r="M298" i="11"/>
  <c r="M33" i="11"/>
  <c r="L290" i="11"/>
  <c r="L164" i="11"/>
  <c r="P164" i="11" s="1"/>
  <c r="R164" i="11" s="1"/>
  <c r="M55" i="11"/>
  <c r="L278" i="11"/>
  <c r="M142" i="11"/>
  <c r="L265" i="11"/>
  <c r="M78" i="11"/>
  <c r="L113" i="11"/>
  <c r="M240" i="11"/>
  <c r="M292" i="11"/>
  <c r="M32" i="11"/>
  <c r="M44" i="11"/>
  <c r="L92" i="11"/>
  <c r="L296" i="11"/>
  <c r="L291" i="11"/>
  <c r="M50" i="11"/>
  <c r="M258" i="11"/>
  <c r="M186" i="11"/>
  <c r="M196" i="11"/>
  <c r="L188" i="11"/>
  <c r="M163" i="11"/>
  <c r="L182" i="11"/>
  <c r="M223" i="11"/>
  <c r="M35" i="11"/>
  <c r="L63" i="11"/>
  <c r="M101" i="11"/>
  <c r="M96" i="11"/>
  <c r="M336" i="11"/>
  <c r="L190" i="11"/>
  <c r="L289" i="11"/>
  <c r="L207" i="11"/>
  <c r="L237" i="11"/>
  <c r="M80" i="11"/>
  <c r="M56" i="11"/>
  <c r="M318" i="11"/>
  <c r="L145" i="11"/>
  <c r="M137" i="11"/>
  <c r="L76" i="11"/>
  <c r="M267" i="11"/>
  <c r="M109" i="11"/>
  <c r="L248" i="11"/>
  <c r="M185" i="11"/>
  <c r="L329" i="11"/>
  <c r="L98" i="11"/>
  <c r="L273" i="11"/>
  <c r="L171" i="11"/>
  <c r="M63" i="11"/>
  <c r="M66" i="11"/>
  <c r="M179" i="11"/>
  <c r="L90" i="11"/>
  <c r="L277" i="11"/>
  <c r="M170" i="11"/>
  <c r="M5" i="11"/>
  <c r="M241" i="11"/>
  <c r="M159" i="11"/>
  <c r="M87" i="11"/>
  <c r="L56" i="11"/>
  <c r="L82" i="11"/>
  <c r="M130" i="11"/>
  <c r="L180" i="11"/>
  <c r="M15" i="11"/>
  <c r="L87" i="11"/>
  <c r="M54" i="11"/>
  <c r="M294" i="11"/>
  <c r="L271" i="11"/>
  <c r="M263" i="11"/>
  <c r="M146" i="11"/>
  <c r="M279" i="11"/>
  <c r="L137" i="11"/>
  <c r="M266" i="11"/>
  <c r="M6" i="11"/>
  <c r="L337" i="11"/>
  <c r="M24" i="11"/>
  <c r="M251" i="11"/>
  <c r="M106" i="11"/>
  <c r="L184" i="11"/>
  <c r="L320" i="11"/>
  <c r="M271" i="11"/>
  <c r="M254" i="11"/>
  <c r="L168" i="11"/>
  <c r="M191" i="11"/>
  <c r="M225" i="11"/>
  <c r="L62" i="11"/>
  <c r="L198" i="11"/>
  <c r="L307" i="11"/>
  <c r="L276" i="11"/>
  <c r="M303" i="11"/>
  <c r="M60" i="11"/>
  <c r="L54" i="11"/>
  <c r="L139" i="11"/>
  <c r="L216" i="11"/>
  <c r="L252" i="11"/>
  <c r="L193" i="11"/>
  <c r="L172" i="11"/>
  <c r="M227" i="11"/>
  <c r="L187" i="11"/>
  <c r="M160" i="11"/>
  <c r="M39" i="11"/>
  <c r="M145" i="11"/>
  <c r="M188" i="11"/>
  <c r="L88" i="11"/>
  <c r="M199" i="11"/>
  <c r="M285" i="11"/>
  <c r="L324" i="11"/>
  <c r="L194" i="11"/>
  <c r="M73" i="11"/>
  <c r="M312" i="11"/>
  <c r="L302" i="11"/>
  <c r="L185" i="11"/>
  <c r="L253" i="11"/>
  <c r="L321" i="11"/>
  <c r="M98" i="11"/>
  <c r="M239" i="11"/>
  <c r="M59" i="11"/>
  <c r="L57" i="11"/>
  <c r="L102" i="11"/>
  <c r="L94" i="11"/>
  <c r="L55" i="11"/>
  <c r="L144" i="11"/>
  <c r="L319" i="11"/>
  <c r="L280" i="11"/>
  <c r="L181" i="11"/>
  <c r="L288" i="11"/>
  <c r="M79" i="11"/>
  <c r="M11" i="11"/>
  <c r="M82" i="11"/>
  <c r="M300" i="11"/>
  <c r="L170" i="11"/>
  <c r="P170" i="11" s="1"/>
  <c r="R170" i="11" s="1"/>
  <c r="L322" i="11"/>
  <c r="M43" i="11"/>
  <c r="M193" i="11"/>
  <c r="L134" i="11"/>
  <c r="M200" i="11"/>
  <c r="L286" i="11"/>
  <c r="L60" i="11"/>
  <c r="L192" i="11"/>
  <c r="M84" i="11"/>
  <c r="M273" i="11"/>
  <c r="L84" i="11"/>
  <c r="M65" i="11"/>
  <c r="M205" i="11"/>
  <c r="L231" i="11"/>
  <c r="M85" i="11"/>
  <c r="M76" i="11"/>
  <c r="M68" i="11"/>
  <c r="M274" i="11"/>
  <c r="L284" i="11"/>
  <c r="L104" i="11"/>
  <c r="M211" i="11"/>
  <c r="L95" i="11"/>
  <c r="M149" i="11"/>
  <c r="L199" i="11"/>
  <c r="L279" i="11"/>
  <c r="L293" i="11"/>
  <c r="M190" i="11"/>
  <c r="L306" i="11"/>
  <c r="L209" i="11"/>
  <c r="M246" i="11"/>
  <c r="M25" i="11"/>
  <c r="M62" i="11"/>
  <c r="M144" i="11"/>
  <c r="L297" i="11"/>
  <c r="L260" i="11"/>
  <c r="M309" i="11"/>
  <c r="M16" i="11"/>
  <c r="M129" i="11"/>
  <c r="L109" i="11"/>
  <c r="M222" i="11"/>
  <c r="L166" i="11"/>
  <c r="P166" i="11" s="1"/>
  <c r="R166" i="11" s="1"/>
  <c r="L89" i="11"/>
  <c r="L85" i="11"/>
  <c r="L83" i="11"/>
  <c r="M88" i="11"/>
  <c r="L315" i="11"/>
  <c r="L239" i="11"/>
  <c r="L68" i="11"/>
  <c r="L186" i="11"/>
  <c r="M229" i="11"/>
  <c r="M133" i="11"/>
  <c r="M206" i="11"/>
  <c r="M247" i="11"/>
  <c r="M97" i="11"/>
  <c r="M198" i="11"/>
  <c r="M94" i="11"/>
  <c r="L268" i="11"/>
  <c r="L241" i="11"/>
  <c r="L112" i="11"/>
  <c r="L203" i="11"/>
  <c r="M224" i="11"/>
  <c r="M13" i="11"/>
  <c r="M9" i="11"/>
  <c r="L169" i="11"/>
  <c r="P169" i="11" s="1"/>
  <c r="R169" i="11" s="1"/>
  <c r="M264" i="11"/>
  <c r="M168" i="11"/>
  <c r="M153" i="11"/>
  <c r="L124" i="11"/>
  <c r="L75" i="11"/>
  <c r="L258" i="11"/>
  <c r="L129" i="11"/>
  <c r="M283" i="11"/>
  <c r="L28" i="11"/>
  <c r="L183" i="11"/>
  <c r="M295" i="11"/>
  <c r="M176" i="11"/>
  <c r="L264" i="11"/>
  <c r="M10" i="11"/>
  <c r="L250" i="11"/>
  <c r="M331" i="11"/>
  <c r="L332" i="11"/>
  <c r="L118" i="11"/>
  <c r="L300" i="11"/>
  <c r="M161" i="11"/>
  <c r="M123" i="11"/>
  <c r="M306" i="11"/>
  <c r="L29" i="11"/>
  <c r="L127" i="11"/>
  <c r="M333" i="11"/>
  <c r="L122" i="11"/>
  <c r="M335" i="11"/>
  <c r="M175" i="11"/>
  <c r="M325" i="11"/>
  <c r="L146" i="11"/>
  <c r="M182" i="11"/>
  <c r="M265" i="11"/>
  <c r="L259" i="11"/>
  <c r="M71" i="11"/>
  <c r="M48" i="11"/>
  <c r="M45" i="11"/>
  <c r="M260" i="11"/>
  <c r="L325" i="11"/>
  <c r="L305" i="11"/>
  <c r="M118" i="11"/>
  <c r="L116" i="11"/>
  <c r="M311" i="11"/>
  <c r="L227" i="11"/>
  <c r="L304" i="11"/>
  <c r="M135" i="11"/>
  <c r="M268" i="11"/>
  <c r="M289" i="11"/>
  <c r="L310" i="11"/>
  <c r="L214" i="11"/>
  <c r="L65" i="11"/>
  <c r="M178" i="11"/>
  <c r="L174" i="11"/>
  <c r="L224" i="11"/>
  <c r="L131" i="11"/>
  <c r="M58" i="11"/>
  <c r="M131" i="11"/>
  <c r="L136" i="11"/>
  <c r="M75" i="11"/>
  <c r="M93" i="11"/>
  <c r="L230" i="11"/>
  <c r="M329" i="11"/>
  <c r="L312" i="11"/>
  <c r="L261" i="11"/>
  <c r="L267" i="11"/>
  <c r="L247" i="11"/>
  <c r="M30" i="11"/>
  <c r="L175" i="11"/>
  <c r="M208" i="11"/>
  <c r="M212" i="11"/>
  <c r="L201" i="11"/>
  <c r="L232" i="11"/>
  <c r="L177" i="11"/>
  <c r="M252" i="11"/>
  <c r="M70" i="11"/>
  <c r="L132" i="11"/>
  <c r="M37" i="11"/>
  <c r="L256" i="11"/>
  <c r="M284" i="11"/>
  <c r="L213" i="11"/>
  <c r="M253" i="11"/>
  <c r="M104" i="11"/>
  <c r="M53" i="11"/>
  <c r="L245" i="11"/>
  <c r="M337" i="11"/>
  <c r="L211" i="11"/>
  <c r="L117" i="11"/>
  <c r="M330" i="11"/>
  <c r="M172" i="11"/>
  <c r="M338" i="11"/>
  <c r="M230" i="11"/>
  <c r="M332" i="11"/>
  <c r="M327" i="11"/>
  <c r="L215" i="11"/>
  <c r="L212" i="11"/>
  <c r="L162" i="11"/>
  <c r="L126" i="11"/>
  <c r="L242" i="11"/>
  <c r="M136" i="11"/>
  <c r="M126" i="11"/>
  <c r="M140" i="11"/>
  <c r="L318" i="11"/>
  <c r="M256" i="11"/>
  <c r="M242" i="11"/>
  <c r="L128" i="11"/>
  <c r="M282" i="11"/>
  <c r="L246" i="11"/>
  <c r="L77" i="11"/>
  <c r="M248" i="11"/>
  <c r="M138" i="11"/>
  <c r="M233" i="11"/>
  <c r="M69" i="11"/>
  <c r="M108" i="11"/>
  <c r="L335" i="11"/>
  <c r="L25" i="11"/>
  <c r="M334" i="11"/>
  <c r="L125" i="11"/>
  <c r="L48" i="11"/>
  <c r="M328" i="11"/>
  <c r="L173" i="11"/>
  <c r="M31" i="11"/>
  <c r="M177" i="11"/>
  <c r="M119" i="11"/>
  <c r="L103" i="11"/>
  <c r="L262" i="11"/>
  <c r="M27" i="11"/>
  <c r="M26" i="11"/>
  <c r="L178" i="11"/>
  <c r="M40" i="11"/>
  <c r="M124" i="11"/>
  <c r="L298" i="11"/>
  <c r="M220" i="11"/>
  <c r="L255" i="11"/>
  <c r="L91" i="11"/>
  <c r="L333" i="11"/>
  <c r="L218" i="11"/>
  <c r="M139" i="11"/>
  <c r="M213" i="11"/>
  <c r="M281" i="11"/>
  <c r="L235" i="11"/>
  <c r="L219" i="11"/>
  <c r="L336" i="11"/>
  <c r="M173" i="11"/>
  <c r="L176" i="11"/>
  <c r="M244" i="11"/>
  <c r="M245" i="11"/>
  <c r="M174" i="11"/>
  <c r="L130" i="11"/>
  <c r="M151" i="11"/>
  <c r="M214" i="11"/>
  <c r="M280" i="11"/>
  <c r="M219" i="11"/>
  <c r="M116" i="11"/>
  <c r="L66" i="11"/>
  <c r="L221" i="11"/>
  <c r="M162" i="11"/>
  <c r="L334" i="11"/>
  <c r="L295" i="11"/>
  <c r="L263" i="11"/>
  <c r="M117" i="11"/>
  <c r="L106" i="11"/>
  <c r="M310" i="11"/>
  <c r="M216" i="11"/>
  <c r="L243" i="11"/>
  <c r="M326" i="11"/>
  <c r="L338" i="11"/>
  <c r="L96" i="11"/>
  <c r="L24" i="11"/>
  <c r="M235" i="11"/>
  <c r="M143" i="11"/>
  <c r="L266" i="11"/>
  <c r="L210" i="11"/>
  <c r="L119" i="11"/>
  <c r="L281" i="11"/>
  <c r="L30" i="11"/>
  <c r="M217" i="11"/>
  <c r="L69" i="11"/>
  <c r="M296" i="11"/>
  <c r="L160" i="11"/>
  <c r="L269" i="11"/>
  <c r="M297" i="11"/>
  <c r="L27" i="11"/>
  <c r="M257" i="11"/>
  <c r="L251" i="11"/>
  <c r="L70" i="11"/>
  <c r="M249" i="11"/>
  <c r="L121" i="11"/>
  <c r="M120" i="11"/>
  <c r="L147" i="11"/>
  <c r="L311" i="11"/>
  <c r="L254" i="11"/>
  <c r="G23" i="2"/>
  <c r="M21" i="16"/>
  <c r="M22" i="16"/>
  <c r="O14" i="16"/>
  <c r="O13" i="16"/>
  <c r="P7" i="16"/>
  <c r="S8" i="9"/>
  <c r="P8" i="9"/>
  <c r="P9" i="9"/>
  <c r="L21" i="11"/>
  <c r="L34" i="11"/>
  <c r="L17" i="11"/>
  <c r="L37" i="11"/>
  <c r="L149" i="11"/>
  <c r="L23" i="11"/>
  <c r="L18" i="11"/>
  <c r="L158" i="11"/>
  <c r="L6" i="11"/>
  <c r="L33" i="11"/>
  <c r="L14" i="11"/>
  <c r="L16" i="11"/>
  <c r="L40" i="11"/>
  <c r="L153" i="11"/>
  <c r="L151" i="11"/>
  <c r="L13" i="11"/>
  <c r="L22" i="11"/>
  <c r="L49" i="11"/>
  <c r="L9" i="11"/>
  <c r="L36" i="11"/>
  <c r="L39" i="11"/>
  <c r="L156" i="11"/>
  <c r="L47" i="11"/>
  <c r="L150" i="11"/>
  <c r="L35" i="11"/>
  <c r="L7" i="11"/>
  <c r="L5" i="11"/>
  <c r="L32" i="11"/>
  <c r="L313" i="11"/>
  <c r="L12" i="11"/>
  <c r="L15" i="11"/>
  <c r="L43" i="11"/>
  <c r="L38" i="11"/>
  <c r="L8" i="11"/>
  <c r="L157" i="11"/>
  <c r="L46" i="11"/>
  <c r="L148" i="11"/>
  <c r="L20" i="11"/>
  <c r="L41" i="11"/>
  <c r="L155" i="11"/>
  <c r="L19" i="11"/>
  <c r="L71" i="11"/>
  <c r="L42" i="11"/>
  <c r="L10" i="11"/>
  <c r="L51" i="11"/>
  <c r="L152" i="11"/>
  <c r="L154" i="11"/>
  <c r="L44" i="11"/>
  <c r="L11" i="11"/>
  <c r="L159" i="11"/>
  <c r="X29" i="10"/>
  <c r="X74" i="10"/>
  <c r="AT14" i="11"/>
  <c r="U74" i="10"/>
  <c r="AB14" i="11"/>
  <c r="Y12" i="11"/>
  <c r="V12" i="11"/>
  <c r="P171" i="11" l="1"/>
  <c r="R171" i="11" s="1"/>
  <c r="P168" i="11"/>
  <c r="R168" i="11" s="1"/>
  <c r="P173" i="11"/>
  <c r="R173" i="11" s="1"/>
  <c r="P167" i="11"/>
  <c r="R167" i="11" s="1"/>
  <c r="P172" i="11"/>
  <c r="R172" i="11" s="1"/>
  <c r="P163" i="11"/>
  <c r="G24" i="2"/>
  <c r="V9" i="9"/>
  <c r="V8" i="9"/>
  <c r="AB12" i="11"/>
  <c r="AT12" i="11"/>
  <c r="AA74" i="10"/>
  <c r="AS74" i="10"/>
  <c r="R163" i="11" l="1"/>
  <c r="BA166" i="12" s="1"/>
  <c r="BA180" i="12" s="1"/>
  <c r="BL14" i="12" s="1"/>
  <c r="K34" i="5"/>
  <c r="F8" i="8"/>
  <c r="K27" i="5"/>
  <c r="K28" i="5"/>
  <c r="K29" i="5"/>
  <c r="K26" i="5"/>
  <c r="K25" i="5"/>
  <c r="D25" i="5" s="1"/>
  <c r="K30" i="5"/>
  <c r="G25" i="2"/>
  <c r="AE118" i="14" l="1"/>
  <c r="AL695" i="1"/>
  <c r="AH667" i="1"/>
  <c r="AH700" i="1"/>
  <c r="AH675" i="1"/>
  <c r="AL699" i="1"/>
  <c r="AL674" i="1"/>
  <c r="AH698" i="1"/>
  <c r="AL660" i="1"/>
  <c r="AH663" i="1"/>
  <c r="AG665" i="1"/>
  <c r="AK694" i="1"/>
  <c r="AK702" i="1"/>
  <c r="AG658" i="1"/>
  <c r="AG678" i="1"/>
  <c r="AG687" i="1"/>
  <c r="AL681" i="1"/>
  <c r="AL694" i="1"/>
  <c r="AL698" i="1"/>
  <c r="AK699" i="1"/>
  <c r="AH665" i="1"/>
  <c r="AH651" i="1"/>
  <c r="AK689" i="1"/>
  <c r="AG671" i="1"/>
  <c r="AG685" i="1"/>
  <c r="AH669" i="1"/>
  <c r="AK665" i="1"/>
  <c r="AL682" i="1"/>
  <c r="AH693" i="1"/>
  <c r="AK686" i="1"/>
  <c r="AH692" i="1"/>
  <c r="AK687" i="1"/>
  <c r="AG657" i="1"/>
  <c r="AG664" i="1"/>
  <c r="AG651" i="1"/>
  <c r="AG655" i="1"/>
  <c r="AH659" i="1"/>
  <c r="AL671" i="1"/>
  <c r="AH653" i="1"/>
  <c r="AL677" i="1"/>
  <c r="AG652" i="1"/>
  <c r="AG661" i="1"/>
  <c r="AH699" i="1"/>
  <c r="AG677" i="1"/>
  <c r="AK693" i="1"/>
  <c r="AL658" i="1"/>
  <c r="AH662" i="1"/>
  <c r="AH702" i="1"/>
  <c r="AL703" i="1"/>
  <c r="AH676" i="1"/>
  <c r="AK655" i="1"/>
  <c r="AK659" i="1"/>
  <c r="AK678" i="1"/>
  <c r="AG688" i="1"/>
  <c r="AH696" i="1"/>
  <c r="AH681" i="1"/>
  <c r="AG686" i="1"/>
  <c r="AG691" i="1"/>
  <c r="AH701" i="1"/>
  <c r="AK677" i="1"/>
  <c r="AH668" i="1"/>
  <c r="AK661" i="1"/>
  <c r="AG690" i="1"/>
  <c r="AL683" i="1"/>
  <c r="AL653" i="1"/>
  <c r="AH654" i="1"/>
  <c r="AL700" i="1"/>
  <c r="AK696" i="1"/>
  <c r="AH660" i="1"/>
  <c r="AK703" i="1"/>
  <c r="AG702" i="1"/>
  <c r="AL675" i="1"/>
  <c r="AK653" i="1"/>
  <c r="AG666" i="1"/>
  <c r="AK690" i="1"/>
  <c r="AK670" i="1"/>
  <c r="AK675" i="1"/>
  <c r="AK692" i="1"/>
  <c r="AH657" i="1"/>
  <c r="AK652" i="1"/>
  <c r="AH678" i="1"/>
  <c r="AK666" i="1"/>
  <c r="AH666" i="1"/>
  <c r="AK676" i="1"/>
  <c r="AL679" i="1"/>
  <c r="AG659" i="1"/>
  <c r="AH683" i="1"/>
  <c r="AH695" i="1"/>
  <c r="AK663" i="1"/>
  <c r="AH652" i="1"/>
  <c r="AG698" i="1"/>
  <c r="AK651" i="1"/>
  <c r="AL680" i="1"/>
  <c r="AL702" i="1"/>
  <c r="AL655" i="1"/>
  <c r="AK685" i="1"/>
  <c r="AK701" i="1"/>
  <c r="AK674" i="1"/>
  <c r="AK684" i="1"/>
  <c r="AH672" i="1"/>
  <c r="AK688" i="1"/>
  <c r="AH704" i="1"/>
  <c r="AL669" i="1"/>
  <c r="AH655" i="1"/>
  <c r="AK656" i="1"/>
  <c r="AK672" i="1"/>
  <c r="AL664" i="1"/>
  <c r="AG654" i="1"/>
  <c r="AH697" i="1"/>
  <c r="AG656" i="1"/>
  <c r="AG703" i="1"/>
  <c r="AH664" i="1"/>
  <c r="AL704" i="1"/>
  <c r="AH674" i="1"/>
  <c r="AG667" i="1"/>
  <c r="AL673" i="1"/>
  <c r="AL666" i="1"/>
  <c r="AH680" i="1"/>
  <c r="AL678" i="1"/>
  <c r="AK691" i="1"/>
  <c r="AL662" i="1"/>
  <c r="AH703" i="1"/>
  <c r="AL676" i="1"/>
  <c r="AG663" i="1"/>
  <c r="AH670" i="1"/>
  <c r="AL667" i="1"/>
  <c r="AG662" i="1"/>
  <c r="AH694" i="1"/>
  <c r="AH661" i="1"/>
  <c r="AG676" i="1"/>
  <c r="AL668" i="1"/>
  <c r="AH682" i="1"/>
  <c r="AH656" i="1"/>
  <c r="AK695" i="1"/>
  <c r="AG700" i="1"/>
  <c r="AG660" i="1"/>
  <c r="AG653" i="1"/>
  <c r="AK657" i="1"/>
  <c r="AG675" i="1"/>
  <c r="AG673" i="1"/>
  <c r="AH677" i="1"/>
  <c r="AG689" i="1"/>
  <c r="AH679" i="1"/>
  <c r="AL701" i="1"/>
  <c r="AK654" i="1"/>
  <c r="AH658" i="1"/>
  <c r="AK697" i="1"/>
  <c r="AG694" i="1"/>
  <c r="AK680" i="1"/>
  <c r="AL686" i="1"/>
  <c r="AG679" i="1"/>
  <c r="AK698" i="1"/>
  <c r="AG693" i="1"/>
  <c r="AH689" i="1"/>
  <c r="AL659" i="1"/>
  <c r="AL689" i="1"/>
  <c r="AL651" i="1"/>
  <c r="AL693" i="1"/>
  <c r="AG672" i="1"/>
  <c r="AK664" i="1"/>
  <c r="AG670" i="1"/>
  <c r="AG704" i="1"/>
  <c r="AG668" i="1"/>
  <c r="AL690" i="1"/>
  <c r="AL665" i="1"/>
  <c r="AG669" i="1"/>
  <c r="AL670" i="1"/>
  <c r="AL684" i="1"/>
  <c r="AL697" i="1"/>
  <c r="AK660" i="1"/>
  <c r="AH673" i="1"/>
  <c r="AG680" i="1"/>
  <c r="AL691" i="1"/>
  <c r="AL656" i="1"/>
  <c r="AL652" i="1"/>
  <c r="AL661" i="1"/>
  <c r="AG697" i="1"/>
  <c r="AH688" i="1"/>
  <c r="AK671" i="1"/>
  <c r="AH691" i="1"/>
  <c r="AK673" i="1"/>
  <c r="AG701" i="1"/>
  <c r="AL687" i="1"/>
  <c r="AG699" i="1"/>
  <c r="AH685" i="1"/>
  <c r="AL657" i="1"/>
  <c r="AK662" i="1"/>
  <c r="AK679" i="1"/>
  <c r="AH684" i="1"/>
  <c r="AH686" i="1"/>
  <c r="AK668" i="1"/>
  <c r="AG684" i="1"/>
  <c r="AK700" i="1"/>
  <c r="AL685" i="1"/>
  <c r="AG696" i="1"/>
  <c r="AK669" i="1"/>
  <c r="AG683" i="1"/>
  <c r="AK683" i="1"/>
  <c r="AK681" i="1"/>
  <c r="AL688" i="1"/>
  <c r="AG695" i="1"/>
  <c r="AK682" i="1"/>
  <c r="AH690" i="1"/>
  <c r="AG681" i="1"/>
  <c r="AH671" i="1"/>
  <c r="AL663" i="1"/>
  <c r="AK704" i="1"/>
  <c r="AG692" i="1"/>
  <c r="AK667" i="1"/>
  <c r="AK658" i="1"/>
  <c r="AL692" i="1"/>
  <c r="AL654" i="1"/>
  <c r="AH687" i="1"/>
  <c r="AL672" i="1"/>
  <c r="AG674" i="1"/>
  <c r="AL696" i="1"/>
  <c r="AG682" i="1"/>
  <c r="AM330" i="11"/>
  <c r="AR54" i="11"/>
  <c r="AQ191" i="11"/>
  <c r="AN219" i="11"/>
  <c r="AN205" i="11"/>
  <c r="AQ57" i="11"/>
  <c r="AI68" i="14"/>
  <c r="AR141" i="11"/>
  <c r="AN201" i="11"/>
  <c r="AQ103" i="11"/>
  <c r="AR194" i="11"/>
  <c r="AJ34" i="9"/>
  <c r="AR300" i="11"/>
  <c r="AM135" i="11"/>
  <c r="AR145" i="11"/>
  <c r="AE124" i="9"/>
  <c r="AQ267" i="11"/>
  <c r="AM338" i="11"/>
  <c r="AD32" i="14"/>
  <c r="R32" i="14" s="1"/>
  <c r="AI79" i="9"/>
  <c r="S79" i="9" s="1"/>
  <c r="AE34" i="14"/>
  <c r="Q34" i="14" s="1"/>
  <c r="AM78" i="11"/>
  <c r="AE121" i="9"/>
  <c r="R121" i="9" s="1"/>
  <c r="AM237" i="11"/>
  <c r="V237" i="11" s="1"/>
  <c r="Z25" i="5"/>
  <c r="V135" i="11"/>
  <c r="X135" i="11"/>
  <c r="U79" i="9"/>
  <c r="P121" i="9"/>
  <c r="X237" i="11"/>
  <c r="AD64" i="14"/>
  <c r="AQ114" i="11"/>
  <c r="AR236" i="11"/>
  <c r="AM174" i="11"/>
  <c r="AN167" i="11"/>
  <c r="AJ29" i="9"/>
  <c r="AJ123" i="9"/>
  <c r="AQ278" i="11"/>
  <c r="AL219" i="1"/>
  <c r="AR57" i="11"/>
  <c r="AQ83" i="11"/>
  <c r="AR247" i="11"/>
  <c r="AN320" i="11"/>
  <c r="AJ111" i="9"/>
  <c r="AI47" i="14"/>
  <c r="AH50" i="14"/>
  <c r="AQ203" i="11"/>
  <c r="AI78" i="14"/>
  <c r="D34" i="5"/>
  <c r="V34" i="5"/>
  <c r="AD102" i="14"/>
  <c r="R102" i="14" s="1"/>
  <c r="AM251" i="11"/>
  <c r="AD128" i="14"/>
  <c r="AR131" i="11"/>
  <c r="AH125" i="14"/>
  <c r="AQ74" i="11"/>
  <c r="AN237" i="11"/>
  <c r="AQ173" i="11"/>
  <c r="AN176" i="11"/>
  <c r="AQ146" i="11"/>
  <c r="AM205" i="11"/>
  <c r="AF51" i="9"/>
  <c r="AQ105" i="11"/>
  <c r="AF118" i="9"/>
  <c r="AR198" i="11"/>
  <c r="AE65" i="9"/>
  <c r="AH127" i="14"/>
  <c r="AN139" i="11"/>
  <c r="AQ31" i="11"/>
  <c r="AM312" i="11"/>
  <c r="X330" i="11"/>
  <c r="V330" i="11"/>
  <c r="Y267" i="11"/>
  <c r="AA267" i="11"/>
  <c r="P124" i="9"/>
  <c r="R124" i="9"/>
  <c r="AM95" i="11"/>
  <c r="AR228" i="11"/>
  <c r="I166" i="12"/>
  <c r="I180" i="12" s="1"/>
  <c r="T14" i="12" s="1"/>
  <c r="AE127" i="14"/>
  <c r="AF78" i="9"/>
  <c r="AR268" i="11"/>
  <c r="AE109" i="9"/>
  <c r="AE57" i="14"/>
  <c r="Q57" i="14" s="1"/>
  <c r="AI42" i="9"/>
  <c r="AF91" i="9"/>
  <c r="AN200" i="11"/>
  <c r="AQ132" i="11"/>
  <c r="AJ33" i="9"/>
  <c r="AI71" i="9"/>
  <c r="AM247" i="11"/>
  <c r="AR336" i="11"/>
  <c r="AN319" i="11"/>
  <c r="AQ96" i="11"/>
  <c r="AM202" i="11"/>
  <c r="AD73" i="14"/>
  <c r="R73" i="14" s="1"/>
  <c r="AI136" i="14"/>
  <c r="AR255" i="11"/>
  <c r="AR93" i="11"/>
  <c r="AI120" i="9"/>
  <c r="AE116" i="14"/>
  <c r="Q116" i="14" s="1"/>
  <c r="AM241" i="11"/>
  <c r="AI30" i="9"/>
  <c r="AH87" i="14"/>
  <c r="AH104" i="14"/>
  <c r="AR182" i="11"/>
  <c r="AI115" i="9"/>
  <c r="Y57" i="11"/>
  <c r="AA57" i="11"/>
  <c r="AA103" i="11"/>
  <c r="Y103" i="11"/>
  <c r="AQ308" i="11"/>
  <c r="AR181" i="11"/>
  <c r="AR213" i="11"/>
  <c r="AR307" i="11"/>
  <c r="AR241" i="11"/>
  <c r="AI45" i="9"/>
  <c r="AJ105" i="9"/>
  <c r="AE110" i="9"/>
  <c r="AQ162" i="11"/>
  <c r="AQ91" i="11"/>
  <c r="AQ269" i="11"/>
  <c r="AI77" i="9"/>
  <c r="AJ86" i="9"/>
  <c r="AR244" i="11"/>
  <c r="AI38" i="9"/>
  <c r="AR257" i="11"/>
  <c r="AJ30" i="9"/>
  <c r="AR306" i="11"/>
  <c r="AJ31" i="9"/>
  <c r="AQ220" i="11"/>
  <c r="AR95" i="11"/>
  <c r="AI81" i="9"/>
  <c r="AQ94" i="11"/>
  <c r="AQ161" i="11"/>
  <c r="AR209" i="11"/>
  <c r="AI36" i="9"/>
  <c r="AJ28" i="9"/>
  <c r="AR225" i="11"/>
  <c r="AR309" i="11"/>
  <c r="AQ163" i="11"/>
  <c r="AA163" i="11" s="1"/>
  <c r="AR193" i="11"/>
  <c r="AI53" i="9"/>
  <c r="AR177" i="11"/>
  <c r="AR308" i="11"/>
  <c r="AQ265" i="11"/>
  <c r="AQ93" i="11"/>
  <c r="AR165" i="11"/>
  <c r="AQ272" i="11"/>
  <c r="AJ94" i="9"/>
  <c r="AN61" i="11"/>
  <c r="AF111" i="9"/>
  <c r="AE99" i="14"/>
  <c r="Q99" i="14" s="1"/>
  <c r="AR220" i="11"/>
  <c r="AQ200" i="11"/>
  <c r="AR334" i="11"/>
  <c r="AJ121" i="9"/>
  <c r="AQ164" i="11"/>
  <c r="AI39" i="9"/>
  <c r="AJ52" i="9"/>
  <c r="AM143" i="11"/>
  <c r="AN326" i="11"/>
  <c r="AR224" i="11"/>
  <c r="AQ188" i="11"/>
  <c r="AR276" i="11"/>
  <c r="AQ256" i="11"/>
  <c r="AI44" i="9"/>
  <c r="AI109" i="9"/>
  <c r="AJ53" i="9"/>
  <c r="AQ204" i="11"/>
  <c r="AI105" i="9"/>
  <c r="AI47" i="9"/>
  <c r="AR243" i="11"/>
  <c r="AN335" i="11"/>
  <c r="AJ78" i="9"/>
  <c r="AQ232" i="11"/>
  <c r="AR279" i="11"/>
  <c r="AN330" i="11"/>
  <c r="W330" i="11" s="1"/>
  <c r="AU330" i="11" s="1"/>
  <c r="AN334" i="11"/>
  <c r="AM164" i="11"/>
  <c r="AR176" i="11"/>
  <c r="AQ95" i="11"/>
  <c r="AR248" i="11"/>
  <c r="AQ228" i="11"/>
  <c r="AI54" i="9"/>
  <c r="AJ64" i="9"/>
  <c r="AR332" i="11"/>
  <c r="AQ260" i="11"/>
  <c r="AQ211" i="11"/>
  <c r="AR240" i="11"/>
  <c r="AQ326" i="11"/>
  <c r="AQ318" i="11"/>
  <c r="AQ264" i="11"/>
  <c r="Y264" i="11" s="1"/>
  <c r="AE80" i="14"/>
  <c r="Q80" i="14" s="1"/>
  <c r="AJ55" i="9"/>
  <c r="AN332" i="11"/>
  <c r="AE117" i="9"/>
  <c r="AR322" i="11"/>
  <c r="AF79" i="9"/>
  <c r="AI31" i="9"/>
  <c r="AR333" i="11"/>
  <c r="AM179" i="11"/>
  <c r="AQ244" i="11"/>
  <c r="AI52" i="9"/>
  <c r="AI46" i="9"/>
  <c r="AN185" i="11"/>
  <c r="AR335" i="11"/>
  <c r="AE41" i="14"/>
  <c r="Q41" i="14" s="1"/>
  <c r="AJ118" i="9"/>
  <c r="AM145" i="11"/>
  <c r="AF82" i="9"/>
  <c r="AI42" i="14"/>
  <c r="AF94" i="9"/>
  <c r="AR172" i="11"/>
  <c r="AJ54" i="9"/>
  <c r="AJ39" i="9"/>
  <c r="AJ44" i="9"/>
  <c r="AI75" i="14"/>
  <c r="AR164" i="11"/>
  <c r="AI68" i="9"/>
  <c r="AD79" i="14"/>
  <c r="R79" i="14" s="1"/>
  <c r="AN94" i="11"/>
  <c r="AQ333" i="11"/>
  <c r="AR227" i="11"/>
  <c r="AN327" i="11"/>
  <c r="AJ89" i="9"/>
  <c r="AF83" i="9"/>
  <c r="AR212" i="11"/>
  <c r="AQ216" i="11"/>
  <c r="AE78" i="9"/>
  <c r="AM191" i="11"/>
  <c r="AR184" i="11"/>
  <c r="AM181" i="11"/>
  <c r="AN133" i="11"/>
  <c r="AJ47" i="9"/>
  <c r="AJ102" i="9"/>
  <c r="AJ46" i="9"/>
  <c r="AJ61" i="9"/>
  <c r="AR91" i="11"/>
  <c r="AI49" i="9"/>
  <c r="AR208" i="11"/>
  <c r="AD56" i="14"/>
  <c r="R56" i="14" s="1"/>
  <c r="AN279" i="11"/>
  <c r="AE30" i="14"/>
  <c r="Q30" i="14" s="1"/>
  <c r="AN321" i="11"/>
  <c r="AR305" i="11"/>
  <c r="AF115" i="9"/>
  <c r="AR89" i="11"/>
  <c r="AN115" i="11"/>
  <c r="AR282" i="11"/>
  <c r="AM60" i="11"/>
  <c r="AH103" i="14"/>
  <c r="AE86" i="14"/>
  <c r="Q86" i="14" s="1"/>
  <c r="AE72" i="9"/>
  <c r="AM165" i="11"/>
  <c r="AH33" i="14"/>
  <c r="AQ115" i="11"/>
  <c r="AR239" i="11"/>
  <c r="AR232" i="11"/>
  <c r="AR188" i="11"/>
  <c r="AE73" i="9"/>
  <c r="AR107" i="11"/>
  <c r="AN273" i="11"/>
  <c r="AD53" i="14"/>
  <c r="AN275" i="11"/>
  <c r="AR207" i="11"/>
  <c r="AH51" i="14"/>
  <c r="AR274" i="11"/>
  <c r="AQ52" i="11"/>
  <c r="AR69" i="11"/>
  <c r="AE48" i="9"/>
  <c r="AR80" i="11"/>
  <c r="AH95" i="14"/>
  <c r="AE73" i="14"/>
  <c r="Q73" i="14" s="1"/>
  <c r="AR73" i="11"/>
  <c r="AQ133" i="11"/>
  <c r="AN178" i="11"/>
  <c r="AQ168" i="11"/>
  <c r="AR221" i="11"/>
  <c r="AN70" i="11"/>
  <c r="AQ60" i="11"/>
  <c r="AH37" i="14"/>
  <c r="AN243" i="11"/>
  <c r="AM206" i="11"/>
  <c r="AR106" i="11"/>
  <c r="AR280" i="11"/>
  <c r="AI56" i="14"/>
  <c r="AE81" i="14"/>
  <c r="Q81" i="14" s="1"/>
  <c r="AI91" i="9"/>
  <c r="AQ62" i="11"/>
  <c r="AM94" i="11"/>
  <c r="AI123" i="9"/>
  <c r="AQ63" i="11"/>
  <c r="AI119" i="9"/>
  <c r="AI111" i="9"/>
  <c r="AE98" i="14"/>
  <c r="AN169" i="11"/>
  <c r="AF89" i="9"/>
  <c r="AN254" i="11"/>
  <c r="AQ229" i="11"/>
  <c r="AQ263" i="11"/>
  <c r="AA263" i="11" s="1"/>
  <c r="AI70" i="9"/>
  <c r="AH42" i="14"/>
  <c r="AN224" i="11"/>
  <c r="AH108" i="14"/>
  <c r="U108" i="14" s="1"/>
  <c r="AD55" i="14"/>
  <c r="R55" i="14" s="1"/>
  <c r="AM277" i="11"/>
  <c r="AI84" i="14"/>
  <c r="AH72" i="14"/>
  <c r="AI124" i="14"/>
  <c r="AR146" i="11"/>
  <c r="AR29" i="11"/>
  <c r="AN248" i="11"/>
  <c r="AI62" i="9"/>
  <c r="AI51" i="14"/>
  <c r="AI104" i="14"/>
  <c r="AD70" i="14"/>
  <c r="AM226" i="11"/>
  <c r="AR235" i="11"/>
  <c r="AI66" i="9"/>
  <c r="AH90" i="14"/>
  <c r="AF50" i="9"/>
  <c r="AI121" i="9"/>
  <c r="AQ316" i="11"/>
  <c r="AH36" i="14"/>
  <c r="AR246" i="11"/>
  <c r="AQ100" i="11"/>
  <c r="AN253" i="11"/>
  <c r="AE92" i="9"/>
  <c r="AQ69" i="11"/>
  <c r="AF28" i="9"/>
  <c r="AM333" i="11"/>
  <c r="AH123" i="14"/>
  <c r="AR99" i="11"/>
  <c r="AD76" i="14"/>
  <c r="R76" i="14" s="1"/>
  <c r="AN298" i="11"/>
  <c r="AN190" i="11"/>
  <c r="AR50" i="11"/>
  <c r="AM280" i="11"/>
  <c r="AH138" i="14"/>
  <c r="AN318" i="11"/>
  <c r="AN217" i="11"/>
  <c r="AD33" i="14"/>
  <c r="R33" i="14" s="1"/>
  <c r="AN186" i="11"/>
  <c r="AM316" i="11"/>
  <c r="AR290" i="11"/>
  <c r="AM96" i="11"/>
  <c r="AD106" i="14"/>
  <c r="R106" i="14" s="1"/>
  <c r="AE101" i="14"/>
  <c r="Q101" i="14" s="1"/>
  <c r="AM76" i="11"/>
  <c r="AI43" i="14"/>
  <c r="AE79" i="14"/>
  <c r="Q79" i="14" s="1"/>
  <c r="AH75" i="14"/>
  <c r="AM302" i="11"/>
  <c r="AM265" i="11"/>
  <c r="AJ99" i="9"/>
  <c r="AE39" i="14"/>
  <c r="Q39" i="14" s="1"/>
  <c r="AF125" i="9"/>
  <c r="AM169" i="11"/>
  <c r="AI39" i="14"/>
  <c r="AI77" i="14"/>
  <c r="AN268" i="11"/>
  <c r="AH116" i="14"/>
  <c r="AN180" i="11"/>
  <c r="AJ106" i="9"/>
  <c r="AR119" i="11"/>
  <c r="AI63" i="14"/>
  <c r="AM50" i="11"/>
  <c r="AE93" i="14"/>
  <c r="Q93" i="14" s="1"/>
  <c r="AR304" i="11"/>
  <c r="AQ195" i="11"/>
  <c r="AR86" i="11"/>
  <c r="AR251" i="11"/>
  <c r="AR197" i="11"/>
  <c r="AM177" i="11"/>
  <c r="AH46" i="14"/>
  <c r="AQ80" i="11"/>
  <c r="AE69" i="9"/>
  <c r="AR200" i="11"/>
  <c r="AQ75" i="11"/>
  <c r="AJ65" i="9"/>
  <c r="AJ35" i="9"/>
  <c r="AI102" i="14"/>
  <c r="AI27" i="14"/>
  <c r="AE28" i="14"/>
  <c r="Q28" i="14" s="1"/>
  <c r="AQ180" i="11"/>
  <c r="AR179" i="11"/>
  <c r="AH93" i="14"/>
  <c r="AD90" i="14"/>
  <c r="R90" i="14" s="1"/>
  <c r="AD112" i="14"/>
  <c r="R112" i="14" s="1"/>
  <c r="AD83" i="14"/>
  <c r="AJ108" i="9"/>
  <c r="AN117" i="11"/>
  <c r="AQ230" i="11"/>
  <c r="AN226" i="11"/>
  <c r="AI128" i="14"/>
  <c r="AI50" i="14"/>
  <c r="AJ85" i="9"/>
  <c r="AR136" i="11"/>
  <c r="AQ275" i="11"/>
  <c r="AM87" i="11"/>
  <c r="AM331" i="11"/>
  <c r="AQ97" i="11"/>
  <c r="AR111" i="11"/>
  <c r="AF102" i="9"/>
  <c r="AN25" i="11"/>
  <c r="AQ190" i="11"/>
  <c r="AI46" i="14"/>
  <c r="AD136" i="14"/>
  <c r="AI114" i="14"/>
  <c r="AR262" i="11"/>
  <c r="AR258" i="11"/>
  <c r="AH29" i="14"/>
  <c r="AI112" i="14"/>
  <c r="AR45" i="11"/>
  <c r="AM230" i="11"/>
  <c r="AE74" i="14"/>
  <c r="Q74" i="14" s="1"/>
  <c r="AM91" i="11"/>
  <c r="AN161" i="11"/>
  <c r="AQ99" i="11"/>
  <c r="AR195" i="11"/>
  <c r="AE114" i="9"/>
  <c r="AR64" i="11"/>
  <c r="AJ71" i="9"/>
  <c r="AD74" i="14"/>
  <c r="R74" i="14" s="1"/>
  <c r="AM257" i="11"/>
  <c r="AR143" i="11"/>
  <c r="AQ325" i="11"/>
  <c r="AE43" i="9"/>
  <c r="AE136" i="14"/>
  <c r="AN271" i="11"/>
  <c r="AN52" i="11"/>
  <c r="AE95" i="9"/>
  <c r="AM5" i="11"/>
  <c r="X5" i="11" s="1"/>
  <c r="AR325" i="11"/>
  <c r="AI97" i="14"/>
  <c r="AM121" i="11"/>
  <c r="AR127" i="11"/>
  <c r="AR160" i="11"/>
  <c r="AD127" i="14"/>
  <c r="AJ88" i="9"/>
  <c r="AN72" i="11"/>
  <c r="AN333" i="11"/>
  <c r="AI58" i="14"/>
  <c r="AN82" i="11"/>
  <c r="AH118" i="14"/>
  <c r="AN295" i="11"/>
  <c r="AM52" i="11"/>
  <c r="AN223" i="11"/>
  <c r="AN105" i="11"/>
  <c r="AM112" i="11"/>
  <c r="AR65" i="11"/>
  <c r="AN337" i="11"/>
  <c r="AN263" i="11"/>
  <c r="AD60" i="14"/>
  <c r="R60" i="14" s="1"/>
  <c r="AN110" i="11"/>
  <c r="AI120" i="14"/>
  <c r="AN307" i="11"/>
  <c r="AM58" i="11"/>
  <c r="AN48" i="11"/>
  <c r="AQ309" i="11"/>
  <c r="AR174" i="11"/>
  <c r="AQ321" i="11"/>
  <c r="AQ219" i="11"/>
  <c r="AJ114" i="9"/>
  <c r="AM176" i="11"/>
  <c r="AR202" i="11"/>
  <c r="AQ299" i="11"/>
  <c r="AN325" i="11"/>
  <c r="AI86" i="14"/>
  <c r="AM231" i="11"/>
  <c r="AE139" i="14"/>
  <c r="AN24" i="11"/>
  <c r="W24" i="11" s="1"/>
  <c r="AU24" i="11" s="1"/>
  <c r="AF70" i="9"/>
  <c r="AD38" i="14"/>
  <c r="R38" i="14" s="1"/>
  <c r="AR25" i="11"/>
  <c r="AM319" i="11"/>
  <c r="AN187" i="11"/>
  <c r="AI70" i="14"/>
  <c r="AR140" i="11"/>
  <c r="AQ311" i="11"/>
  <c r="AF69" i="9"/>
  <c r="AR323" i="11"/>
  <c r="AM107" i="11"/>
  <c r="AD43" i="14"/>
  <c r="R43" i="14" s="1"/>
  <c r="AQ300" i="11"/>
  <c r="AI119" i="14"/>
  <c r="AI73" i="9"/>
  <c r="AM92" i="11"/>
  <c r="AR53" i="11"/>
  <c r="AE51" i="14"/>
  <c r="Q51" i="14" s="1"/>
  <c r="AM168" i="11"/>
  <c r="AQ178" i="11"/>
  <c r="AH30" i="14"/>
  <c r="AQ330" i="11"/>
  <c r="AR166" i="11"/>
  <c r="AM322" i="11"/>
  <c r="AD92" i="14"/>
  <c r="R92" i="14" s="1"/>
  <c r="AQ119" i="11"/>
  <c r="AE103" i="9"/>
  <c r="AQ320" i="11"/>
  <c r="AQ201" i="11"/>
  <c r="AQ337" i="11"/>
  <c r="AH84" i="14"/>
  <c r="AI107" i="14"/>
  <c r="AM263" i="11"/>
  <c r="AN171" i="11"/>
  <c r="AD137" i="14"/>
  <c r="AN174" i="11"/>
  <c r="AR234" i="11"/>
  <c r="AD25" i="14"/>
  <c r="R25" i="14" s="1"/>
  <c r="AM220" i="11"/>
  <c r="AE108" i="14"/>
  <c r="AR226" i="11"/>
  <c r="AE113" i="9"/>
  <c r="AQ182" i="11"/>
  <c r="AN290" i="11"/>
  <c r="AQ56" i="11"/>
  <c r="AE87" i="14"/>
  <c r="Q87" i="14" s="1"/>
  <c r="AR124" i="11"/>
  <c r="AI30" i="14"/>
  <c r="AH44" i="14"/>
  <c r="AM216" i="11"/>
  <c r="AR219" i="11"/>
  <c r="AI110" i="14"/>
  <c r="AF31" i="9"/>
  <c r="AF62" i="9"/>
  <c r="AM221" i="11"/>
  <c r="AN222" i="11"/>
  <c r="AF107" i="9"/>
  <c r="AM25" i="11"/>
  <c r="AR218" i="11"/>
  <c r="AN250" i="11"/>
  <c r="AM26" i="11"/>
  <c r="X26" i="11" s="1"/>
  <c r="AV26" i="11" s="1"/>
  <c r="AF61" i="9"/>
  <c r="AJ84" i="9"/>
  <c r="AR59" i="11"/>
  <c r="AE89" i="9"/>
  <c r="AM144" i="11"/>
  <c r="AR110" i="11"/>
  <c r="AR320" i="11"/>
  <c r="AQ289" i="11"/>
  <c r="AM320" i="11"/>
  <c r="AN87" i="11"/>
  <c r="AN135" i="11"/>
  <c r="W135" i="11" s="1"/>
  <c r="AU135" i="11" s="1"/>
  <c r="AQ242" i="11"/>
  <c r="AJ103" i="9"/>
  <c r="AF46" i="9"/>
  <c r="AH88" i="14"/>
  <c r="AJ63" i="9"/>
  <c r="AE106" i="14"/>
  <c r="Q106" i="14" s="1"/>
  <c r="AE90" i="14"/>
  <c r="Q90" i="14" s="1"/>
  <c r="AQ79" i="11"/>
  <c r="AQ255" i="11"/>
  <c r="AI49" i="14"/>
  <c r="AR206" i="11"/>
  <c r="AR62" i="11"/>
  <c r="AI81" i="14"/>
  <c r="AR183" i="11"/>
  <c r="AQ125" i="11"/>
  <c r="AN317" i="11"/>
  <c r="AR301" i="11"/>
  <c r="AR171" i="11"/>
  <c r="AQ218" i="11"/>
  <c r="AI139" i="14"/>
  <c r="AQ312" i="11"/>
  <c r="AF98" i="9"/>
  <c r="AN136" i="11"/>
  <c r="AQ124" i="11"/>
  <c r="AQ223" i="11"/>
  <c r="AN264" i="11"/>
  <c r="AE53" i="9"/>
  <c r="AI96" i="14"/>
  <c r="AD126" i="14"/>
  <c r="AQ268" i="11"/>
  <c r="AI65" i="9"/>
  <c r="AR242" i="11"/>
  <c r="AE62" i="14"/>
  <c r="AI86" i="9"/>
  <c r="AE55" i="14"/>
  <c r="Q55" i="14" s="1"/>
  <c r="AN306" i="11"/>
  <c r="AE97" i="14"/>
  <c r="Q97" i="14" s="1"/>
  <c r="AI79" i="14"/>
  <c r="AE115" i="9"/>
  <c r="AM29" i="11"/>
  <c r="X29" i="11" s="1"/>
  <c r="AV29" i="11" s="1"/>
  <c r="AQ238" i="11"/>
  <c r="AN234" i="11"/>
  <c r="AI89" i="9"/>
  <c r="AM273" i="11"/>
  <c r="AJ96" i="9"/>
  <c r="AN163" i="11"/>
  <c r="AR126" i="11"/>
  <c r="AD124" i="14"/>
  <c r="AN54" i="11"/>
  <c r="AQ208" i="11"/>
  <c r="AQ128" i="11"/>
  <c r="AR205" i="11"/>
  <c r="AE61" i="14"/>
  <c r="AF32" i="9"/>
  <c r="AE92" i="14"/>
  <c r="Q92" i="14" s="1"/>
  <c r="AN233" i="11"/>
  <c r="AI137" i="14"/>
  <c r="AF85" i="9"/>
  <c r="AE44" i="9"/>
  <c r="AQ273" i="11"/>
  <c r="AM122" i="11"/>
  <c r="AF86" i="9"/>
  <c r="AD77" i="14"/>
  <c r="R77" i="14" s="1"/>
  <c r="AR123" i="11"/>
  <c r="AN252" i="11"/>
  <c r="AQ166" i="11"/>
  <c r="AE70" i="14"/>
  <c r="AJ48" i="9"/>
  <c r="AI84" i="9"/>
  <c r="AM193" i="11"/>
  <c r="AE85" i="14"/>
  <c r="Q85" i="14" s="1"/>
  <c r="AM67" i="11"/>
  <c r="AD117" i="14"/>
  <c r="AR294" i="11"/>
  <c r="AE104" i="9"/>
  <c r="AQ179" i="11"/>
  <c r="Y179" i="11" s="1"/>
  <c r="AI90" i="9"/>
  <c r="AM102" i="11"/>
  <c r="AI112" i="9"/>
  <c r="AN73" i="11"/>
  <c r="AE114" i="14"/>
  <c r="AR170" i="11"/>
  <c r="AH45" i="14"/>
  <c r="AH92" i="14"/>
  <c r="AF120" i="9"/>
  <c r="AQ90" i="11"/>
  <c r="AD94" i="14"/>
  <c r="R94" i="14" s="1"/>
  <c r="V94" i="14" s="1"/>
  <c r="AN249" i="11"/>
  <c r="AN241" i="11"/>
  <c r="AJ74" i="9"/>
  <c r="AD42" i="14"/>
  <c r="R42" i="14" s="1"/>
  <c r="AR48" i="11"/>
  <c r="AM267" i="11"/>
  <c r="AJ45" i="9"/>
  <c r="AQ140" i="11"/>
  <c r="AM199" i="11"/>
  <c r="AI63" i="9"/>
  <c r="AR289" i="11"/>
  <c r="AQ222" i="11"/>
  <c r="AE120" i="9"/>
  <c r="AR24" i="11"/>
  <c r="AN283" i="11"/>
  <c r="AI75" i="9"/>
  <c r="AN214" i="11"/>
  <c r="AN202" i="11"/>
  <c r="AE76" i="14"/>
  <c r="Q76" i="14" s="1"/>
  <c r="AM141" i="11"/>
  <c r="AD29" i="14"/>
  <c r="R29" i="14" s="1"/>
  <c r="AM217" i="11"/>
  <c r="AF75" i="9"/>
  <c r="AQ249" i="11"/>
  <c r="AR185" i="11"/>
  <c r="AN211" i="11"/>
  <c r="AR87" i="11"/>
  <c r="AJ76" i="9"/>
  <c r="AR259" i="11"/>
  <c r="AH68" i="14"/>
  <c r="AI40" i="14"/>
  <c r="AE59" i="14"/>
  <c r="Q59" i="14" s="1"/>
  <c r="AN262" i="11"/>
  <c r="AN64" i="11"/>
  <c r="AQ294" i="11"/>
  <c r="AI95" i="14"/>
  <c r="AH117" i="14"/>
  <c r="AM227" i="11"/>
  <c r="AN297" i="11"/>
  <c r="AH49" i="14"/>
  <c r="AR269" i="11"/>
  <c r="AQ234" i="11"/>
  <c r="AI76" i="14"/>
  <c r="AM85" i="11"/>
  <c r="AN102" i="11"/>
  <c r="AQ202" i="11"/>
  <c r="AN98" i="11"/>
  <c r="AE90" i="9"/>
  <c r="AF42" i="9"/>
  <c r="AR28" i="11"/>
  <c r="AQ304" i="11"/>
  <c r="AE80" i="9"/>
  <c r="AM104" i="11"/>
  <c r="AM305" i="11"/>
  <c r="AQ266" i="11"/>
  <c r="AE55" i="9"/>
  <c r="AI122" i="9"/>
  <c r="AI101" i="9"/>
  <c r="AD97" i="14"/>
  <c r="R97" i="14" s="1"/>
  <c r="AQ254" i="11"/>
  <c r="AN251" i="11"/>
  <c r="AM235" i="11"/>
  <c r="AE50" i="14"/>
  <c r="Q50" i="14" s="1"/>
  <c r="AN197" i="11"/>
  <c r="AQ210" i="11"/>
  <c r="AM283" i="11"/>
  <c r="AQ183" i="11"/>
  <c r="AR168" i="11"/>
  <c r="AM285" i="11"/>
  <c r="AR281" i="11"/>
  <c r="AQ142" i="11"/>
  <c r="AN119" i="11"/>
  <c r="AJ104" i="9"/>
  <c r="AE113" i="14"/>
  <c r="Q113" i="14" s="1"/>
  <c r="AH89" i="14"/>
  <c r="AQ206" i="11"/>
  <c r="AJ117" i="9"/>
  <c r="AQ279" i="11"/>
  <c r="AN86" i="11"/>
  <c r="AE68" i="14"/>
  <c r="AN287" i="11"/>
  <c r="AD35" i="14"/>
  <c r="R35" i="14" s="1"/>
  <c r="AM253" i="11"/>
  <c r="AM84" i="11"/>
  <c r="AM69" i="11"/>
  <c r="AD61" i="14"/>
  <c r="AM297" i="11"/>
  <c r="AQ271" i="11"/>
  <c r="AN220" i="11"/>
  <c r="AM162" i="11"/>
  <c r="AQ86" i="11"/>
  <c r="AN120" i="11"/>
  <c r="AE42" i="9"/>
  <c r="AM215" i="11"/>
  <c r="AQ81" i="11"/>
  <c r="AN138" i="11"/>
  <c r="AQ72" i="11"/>
  <c r="AM74" i="11"/>
  <c r="AM56" i="11"/>
  <c r="AI91" i="14"/>
  <c r="AR122" i="11"/>
  <c r="AR100" i="11"/>
  <c r="AN302" i="11"/>
  <c r="AI40" i="9"/>
  <c r="AR230" i="11"/>
  <c r="AQ165" i="11"/>
  <c r="AD40" i="14"/>
  <c r="R40" i="14" s="1"/>
  <c r="AD89" i="14"/>
  <c r="R89" i="14" s="1"/>
  <c r="AN125" i="11"/>
  <c r="AN246" i="11"/>
  <c r="AM80" i="11"/>
  <c r="AQ334" i="11"/>
  <c r="AQ53" i="11"/>
  <c r="AQ88" i="11"/>
  <c r="AN203" i="11"/>
  <c r="AM246" i="11"/>
  <c r="AM100" i="11"/>
  <c r="AM184" i="11"/>
  <c r="AM314" i="11"/>
  <c r="AM103" i="11"/>
  <c r="AD141" i="14"/>
  <c r="AM275" i="11"/>
  <c r="AD34" i="14"/>
  <c r="R34" i="14" s="1"/>
  <c r="AJ50" i="9"/>
  <c r="AQ92" i="11"/>
  <c r="AM211" i="11"/>
  <c r="AR337" i="11"/>
  <c r="AN232" i="11"/>
  <c r="AN106" i="11"/>
  <c r="AQ328" i="11"/>
  <c r="AQ169" i="11"/>
  <c r="AR63" i="11"/>
  <c r="AN242" i="11"/>
  <c r="AN130" i="11"/>
  <c r="AQ240" i="11"/>
  <c r="AM224" i="11"/>
  <c r="AI59" i="14"/>
  <c r="AQ98" i="11"/>
  <c r="AQ66" i="11"/>
  <c r="AI73" i="14"/>
  <c r="AN230" i="11"/>
  <c r="AI61" i="9"/>
  <c r="AH39" i="14"/>
  <c r="AQ237" i="11"/>
  <c r="AE96" i="14"/>
  <c r="AM188" i="11"/>
  <c r="AH111" i="14"/>
  <c r="AN162" i="11"/>
  <c r="AQ253" i="11"/>
  <c r="AH40" i="14"/>
  <c r="AQ329" i="11"/>
  <c r="AH79" i="14"/>
  <c r="AR249" i="11"/>
  <c r="AE45" i="14"/>
  <c r="Q45" i="14" s="1"/>
  <c r="AI102" i="9"/>
  <c r="AM183" i="11"/>
  <c r="AR299" i="11"/>
  <c r="AJ87" i="9"/>
  <c r="AR317" i="11"/>
  <c r="AD62" i="14"/>
  <c r="AR162" i="11"/>
  <c r="AR211" i="11"/>
  <c r="AM88" i="11"/>
  <c r="AJ125" i="9"/>
  <c r="AF123" i="9"/>
  <c r="AR104" i="11"/>
  <c r="AH80" i="14"/>
  <c r="AM108" i="11"/>
  <c r="AR97" i="11"/>
  <c r="AR265" i="11"/>
  <c r="AM163" i="11"/>
  <c r="X163" i="11" s="1"/>
  <c r="AI64" i="14"/>
  <c r="AR81" i="11"/>
  <c r="AH97" i="14"/>
  <c r="AN5" i="11"/>
  <c r="W5" i="11" s="1"/>
  <c r="AF41" i="9"/>
  <c r="AE123" i="9"/>
  <c r="AE118" i="9"/>
  <c r="AR233" i="11"/>
  <c r="AM244" i="11"/>
  <c r="AM98" i="11"/>
  <c r="AQ172" i="11"/>
  <c r="AN97" i="11"/>
  <c r="AR189" i="11"/>
  <c r="AE47" i="14"/>
  <c r="Q47" i="14" s="1"/>
  <c r="AJ67" i="9"/>
  <c r="AH35" i="14"/>
  <c r="AI103" i="14"/>
  <c r="AQ160" i="11"/>
  <c r="AR238" i="11"/>
  <c r="AQ286" i="11"/>
  <c r="AN177" i="11"/>
  <c r="AE34" i="9"/>
  <c r="AQ170" i="11"/>
  <c r="AQ113" i="11"/>
  <c r="AN282" i="11"/>
  <c r="AN26" i="11"/>
  <c r="W26" i="11" s="1"/>
  <c r="AU26" i="11" s="1"/>
  <c r="AQ212" i="11"/>
  <c r="AQ28" i="11"/>
  <c r="AR199" i="11"/>
  <c r="AQ251" i="11"/>
  <c r="AE53" i="14"/>
  <c r="AQ248" i="11"/>
  <c r="AQ65" i="11"/>
  <c r="AD86" i="14"/>
  <c r="R86" i="14" s="1"/>
  <c r="AI116" i="14"/>
  <c r="AD111" i="14"/>
  <c r="R111" i="14" s="1"/>
  <c r="V111" i="14" s="1"/>
  <c r="AN331" i="11"/>
  <c r="AM140" i="11"/>
  <c r="AR245" i="11"/>
  <c r="AM259" i="11"/>
  <c r="AM286" i="11"/>
  <c r="AR267" i="11"/>
  <c r="AR115" i="11"/>
  <c r="AR147" i="11"/>
  <c r="AE49" i="14"/>
  <c r="Q49" i="14" s="1"/>
  <c r="AM249" i="11"/>
  <c r="AN83" i="11"/>
  <c r="AR287" i="11"/>
  <c r="AQ283" i="11"/>
  <c r="AE28" i="9"/>
  <c r="AE63" i="9"/>
  <c r="AN286" i="11"/>
  <c r="AN134" i="11"/>
  <c r="AM175" i="11"/>
  <c r="AE84" i="9"/>
  <c r="AD85" i="14"/>
  <c r="R85" i="14" s="1"/>
  <c r="AQ77" i="11"/>
  <c r="AD119" i="14"/>
  <c r="AJ41" i="9"/>
  <c r="AR132" i="11"/>
  <c r="AQ306" i="11"/>
  <c r="AN296" i="11"/>
  <c r="AM65" i="11"/>
  <c r="AE117" i="14"/>
  <c r="AM318" i="11"/>
  <c r="AM192" i="11"/>
  <c r="AM326" i="11"/>
  <c r="AJ124" i="9"/>
  <c r="AR192" i="11"/>
  <c r="AN68" i="11"/>
  <c r="AN212" i="11"/>
  <c r="AE41" i="9"/>
  <c r="AR121" i="11"/>
  <c r="AQ280" i="11"/>
  <c r="AQ207" i="11"/>
  <c r="AM242" i="11"/>
  <c r="AQ310" i="11"/>
  <c r="AH96" i="14"/>
  <c r="U96" i="14" s="1"/>
  <c r="AE94" i="14"/>
  <c r="Q94" i="14" s="1"/>
  <c r="AI29" i="14"/>
  <c r="AR210" i="11"/>
  <c r="AI108" i="14"/>
  <c r="AN259" i="11"/>
  <c r="AE61" i="9"/>
  <c r="AN322" i="11"/>
  <c r="AR103" i="11"/>
  <c r="AN27" i="11"/>
  <c r="W27" i="11" s="1"/>
  <c r="AU27" i="11" s="1"/>
  <c r="AH47" i="14"/>
  <c r="AE67" i="9"/>
  <c r="AN315" i="11"/>
  <c r="AM258" i="11"/>
  <c r="AQ109" i="11"/>
  <c r="AE102" i="9"/>
  <c r="AM289" i="11"/>
  <c r="AM255" i="11"/>
  <c r="AM327" i="11"/>
  <c r="AM129" i="11"/>
  <c r="AN228" i="11"/>
  <c r="AE54" i="9"/>
  <c r="AR278" i="11"/>
  <c r="AN255" i="11"/>
  <c r="AI115" i="14"/>
  <c r="AI93" i="9"/>
  <c r="AN55" i="11"/>
  <c r="AF65" i="9"/>
  <c r="AQ55" i="11"/>
  <c r="AQ327" i="11"/>
  <c r="AM299" i="11"/>
  <c r="AN256" i="11"/>
  <c r="AH67" i="14"/>
  <c r="AQ176" i="11"/>
  <c r="AR214" i="11"/>
  <c r="AR231" i="11"/>
  <c r="AQ189" i="11"/>
  <c r="AI89" i="14"/>
  <c r="AR142" i="11"/>
  <c r="AM27" i="11"/>
  <c r="X27" i="11" s="1"/>
  <c r="AV27" i="11" s="1"/>
  <c r="AR215" i="11"/>
  <c r="AR105" i="11"/>
  <c r="AQ186" i="11"/>
  <c r="AR186" i="11"/>
  <c r="AM252" i="11"/>
  <c r="AQ324" i="11"/>
  <c r="AQ270" i="11"/>
  <c r="AN278" i="11"/>
  <c r="AJ38" i="9"/>
  <c r="AM213" i="11"/>
  <c r="AN225" i="11"/>
  <c r="AN93" i="11"/>
  <c r="AM310" i="11"/>
  <c r="AI124" i="9"/>
  <c r="AM110" i="11"/>
  <c r="AI97" i="9"/>
  <c r="AE124" i="14"/>
  <c r="AM197" i="11"/>
  <c r="AD113" i="14"/>
  <c r="R113" i="14" s="1"/>
  <c r="V113" i="14" s="1"/>
  <c r="AQ131" i="11"/>
  <c r="AM203" i="11"/>
  <c r="AI61" i="14"/>
  <c r="AD110" i="14"/>
  <c r="R110" i="14" s="1"/>
  <c r="V110" i="14" s="1"/>
  <c r="AD31" i="14"/>
  <c r="R31" i="14" s="1"/>
  <c r="AE125" i="14"/>
  <c r="AM324" i="11"/>
  <c r="AQ145" i="11"/>
  <c r="AF122" i="9"/>
  <c r="AE36" i="9"/>
  <c r="AH69" i="14"/>
  <c r="AI113" i="14"/>
  <c r="AD54" i="14"/>
  <c r="AN277" i="11"/>
  <c r="AQ303" i="11"/>
  <c r="AR55" i="11"/>
  <c r="AQ61" i="11"/>
  <c r="AM307" i="11"/>
  <c r="AQ8" i="11"/>
  <c r="AM256" i="11"/>
  <c r="AN193" i="11"/>
  <c r="AN231" i="11"/>
  <c r="AN184" i="11"/>
  <c r="AE108" i="9"/>
  <c r="AM131" i="11"/>
  <c r="AN45" i="11"/>
  <c r="W45" i="11" s="1"/>
  <c r="AU45" i="11" s="1"/>
  <c r="AN147" i="11"/>
  <c r="AM291" i="11"/>
  <c r="AI67" i="14"/>
  <c r="AN266" i="11"/>
  <c r="AI57" i="14"/>
  <c r="AJ73" i="9"/>
  <c r="AR297" i="11"/>
  <c r="AN272" i="11"/>
  <c r="AR138" i="11"/>
  <c r="AE93" i="9"/>
  <c r="AE74" i="9"/>
  <c r="AI41" i="14"/>
  <c r="AD78" i="14"/>
  <c r="R78" i="14" s="1"/>
  <c r="AE31" i="9"/>
  <c r="AN128" i="11"/>
  <c r="AQ101" i="11"/>
  <c r="AH91" i="14"/>
  <c r="AE91" i="9"/>
  <c r="AI29" i="9"/>
  <c r="AI33" i="9"/>
  <c r="AN179" i="11"/>
  <c r="AQ45" i="11"/>
  <c r="AE32" i="14"/>
  <c r="Q32" i="14" s="1"/>
  <c r="AM209" i="11"/>
  <c r="AQ233" i="11"/>
  <c r="AM243" i="11"/>
  <c r="AN62" i="11"/>
  <c r="AD30" i="14"/>
  <c r="R30" i="14" s="1"/>
  <c r="AN81" i="11"/>
  <c r="AD69" i="14"/>
  <c r="R69" i="14" s="1"/>
  <c r="AN324" i="11"/>
  <c r="AD99" i="14"/>
  <c r="R99" i="14" s="1"/>
  <c r="AN59" i="11"/>
  <c r="AM101" i="11"/>
  <c r="AF63" i="9"/>
  <c r="AH60" i="14"/>
  <c r="AE96" i="9"/>
  <c r="AH76" i="14"/>
  <c r="AE107" i="14"/>
  <c r="Q107" i="14" s="1"/>
  <c r="AD49" i="14"/>
  <c r="R49" i="14" s="1"/>
  <c r="AJ68" i="9"/>
  <c r="AH94" i="14"/>
  <c r="AI95" i="9"/>
  <c r="AH105" i="14"/>
  <c r="AF29" i="9"/>
  <c r="AH141" i="14"/>
  <c r="AN67" i="11"/>
  <c r="AE126" i="14"/>
  <c r="AI64" i="9"/>
  <c r="AN65" i="11"/>
  <c r="AF93" i="9"/>
  <c r="AQ138" i="11"/>
  <c r="AI85" i="9"/>
  <c r="AF76" i="9"/>
  <c r="AQ332" i="11"/>
  <c r="AR85" i="11"/>
  <c r="AF73" i="9"/>
  <c r="AQ68" i="11"/>
  <c r="AM187" i="11"/>
  <c r="AI83" i="9"/>
  <c r="AR314" i="11"/>
  <c r="AN91" i="11"/>
  <c r="AH61" i="14"/>
  <c r="AI127" i="14"/>
  <c r="AR319" i="11"/>
  <c r="AF110" i="9"/>
  <c r="AN215" i="11"/>
  <c r="AN121" i="11"/>
  <c r="AJ32" i="9"/>
  <c r="AE91" i="14"/>
  <c r="Q91" i="14" s="1"/>
  <c r="AI93" i="14"/>
  <c r="AE88" i="14"/>
  <c r="Q88" i="14" s="1"/>
  <c r="AI54" i="14"/>
  <c r="AR311" i="11"/>
  <c r="AD28" i="14"/>
  <c r="R28" i="14" s="1"/>
  <c r="AI74" i="9"/>
  <c r="AE66" i="14"/>
  <c r="AN312" i="11"/>
  <c r="AQ224" i="11"/>
  <c r="AE75" i="9"/>
  <c r="AQ118" i="11"/>
  <c r="AN77" i="11"/>
  <c r="AQ231" i="11"/>
  <c r="AR328" i="11"/>
  <c r="AJ110" i="9"/>
  <c r="AF48" i="9"/>
  <c r="AJ91" i="9"/>
  <c r="AQ102" i="11"/>
  <c r="AN265" i="11"/>
  <c r="AF103" i="9"/>
  <c r="AM290" i="11"/>
  <c r="AI78" i="9"/>
  <c r="AE75" i="14"/>
  <c r="Q75" i="14" s="1"/>
  <c r="AI35" i="14"/>
  <c r="AI82" i="9"/>
  <c r="AI76" i="9"/>
  <c r="AM300" i="11"/>
  <c r="AQ336" i="11"/>
  <c r="AD105" i="14"/>
  <c r="R105" i="14" s="1"/>
  <c r="V105" i="14" s="1"/>
  <c r="AM170" i="11"/>
  <c r="AD103" i="14"/>
  <c r="R103" i="14" s="1"/>
  <c r="AQ276" i="11"/>
  <c r="AH81" i="14"/>
  <c r="AQ139" i="11"/>
  <c r="AQ246" i="11"/>
  <c r="AN160" i="11"/>
  <c r="AN314" i="11"/>
  <c r="AI106" i="14"/>
  <c r="AQ177" i="11"/>
  <c r="AI98" i="9"/>
  <c r="AH110" i="14"/>
  <c r="AE83" i="14"/>
  <c r="AE107" i="9"/>
  <c r="AQ122" i="11"/>
  <c r="AM130" i="11"/>
  <c r="AM261" i="11"/>
  <c r="AH83" i="14"/>
  <c r="U83" i="14" s="1"/>
  <c r="AM262" i="11"/>
  <c r="AR187" i="11"/>
  <c r="AJ92" i="9"/>
  <c r="AJ37" i="9"/>
  <c r="AN96" i="11"/>
  <c r="AM166" i="11"/>
  <c r="AM321" i="11"/>
  <c r="AM276" i="11"/>
  <c r="AD39" i="14"/>
  <c r="R39" i="14" s="1"/>
  <c r="AE77" i="9"/>
  <c r="AF54" i="9"/>
  <c r="AN100" i="11"/>
  <c r="AN118" i="11"/>
  <c r="AR98" i="11"/>
  <c r="AM139" i="11"/>
  <c r="AJ107" i="9"/>
  <c r="AM337" i="11"/>
  <c r="AI125" i="14"/>
  <c r="AQ285" i="11"/>
  <c r="AD58" i="14"/>
  <c r="R58" i="14" s="1"/>
  <c r="AH136" i="14"/>
  <c r="AI80" i="14"/>
  <c r="AQ111" i="11"/>
  <c r="AE36" i="14"/>
  <c r="Q36" i="14" s="1"/>
  <c r="AM173" i="11"/>
  <c r="AN132" i="11"/>
  <c r="AN284" i="11"/>
  <c r="AN58" i="11"/>
  <c r="AQ296" i="11"/>
  <c r="AI43" i="9"/>
  <c r="AM82" i="11"/>
  <c r="AI25" i="14"/>
  <c r="AR82" i="11"/>
  <c r="AE49" i="9"/>
  <c r="AM114" i="11"/>
  <c r="AF92" i="9"/>
  <c r="AQ301" i="11"/>
  <c r="AH121" i="14"/>
  <c r="AM185" i="11"/>
  <c r="AI74" i="14"/>
  <c r="AM73" i="11"/>
  <c r="AE37" i="9"/>
  <c r="AM260" i="11"/>
  <c r="AD41" i="14"/>
  <c r="R41" i="14" s="1"/>
  <c r="AE119" i="9"/>
  <c r="AE39" i="9"/>
  <c r="AM294" i="11"/>
  <c r="AM167" i="11"/>
  <c r="AM68" i="11"/>
  <c r="AH63" i="14"/>
  <c r="AN309" i="11"/>
  <c r="AE69" i="14"/>
  <c r="Q69" i="14" s="1"/>
  <c r="AM90" i="11"/>
  <c r="AM24" i="11"/>
  <c r="X24" i="11" s="1"/>
  <c r="AV24" i="11" s="1"/>
  <c r="AD100" i="14"/>
  <c r="R100" i="14" s="1"/>
  <c r="V100" i="14" s="1"/>
  <c r="AI37" i="14"/>
  <c r="AN141" i="11"/>
  <c r="AR250" i="11"/>
  <c r="AN50" i="11"/>
  <c r="AF116" i="9"/>
  <c r="AJ70" i="9"/>
  <c r="AQ144" i="11"/>
  <c r="AR229" i="11"/>
  <c r="AM109" i="11"/>
  <c r="AM264" i="11"/>
  <c r="AE105" i="14"/>
  <c r="Q105" i="14" s="1"/>
  <c r="AM336" i="11"/>
  <c r="AE110" i="14"/>
  <c r="Q110" i="14" s="1"/>
  <c r="AR180" i="11"/>
  <c r="AI50" i="9"/>
  <c r="AR312" i="11"/>
  <c r="AM334" i="11"/>
  <c r="AR137" i="11"/>
  <c r="AD57" i="14"/>
  <c r="R57" i="14" s="1"/>
  <c r="AQ307" i="11"/>
  <c r="AM325" i="11"/>
  <c r="AN124" i="11"/>
  <c r="AE86" i="9"/>
  <c r="AE30" i="9"/>
  <c r="AM137" i="11"/>
  <c r="AR102" i="11"/>
  <c r="AE76" i="9"/>
  <c r="AE40" i="9"/>
  <c r="AD88" i="14"/>
  <c r="R88" i="14" s="1"/>
  <c r="V88" i="14" s="1"/>
  <c r="AR31" i="11"/>
  <c r="AQ130" i="11"/>
  <c r="AM292" i="11"/>
  <c r="AQ70" i="11"/>
  <c r="AD116" i="14"/>
  <c r="R116" i="14" s="1"/>
  <c r="V116" i="14" s="1"/>
  <c r="AF87" i="9"/>
  <c r="AJ113" i="9"/>
  <c r="AM63" i="11"/>
  <c r="AR296" i="11"/>
  <c r="AF121" i="9"/>
  <c r="Q121" i="9" s="1"/>
  <c r="AN109" i="11"/>
  <c r="AM238" i="11"/>
  <c r="AR163" i="11"/>
  <c r="AN288" i="11"/>
  <c r="AQ110" i="11"/>
  <c r="AH58" i="14"/>
  <c r="AF97" i="9"/>
  <c r="AM296" i="11"/>
  <c r="AE121" i="14"/>
  <c r="AE33" i="14"/>
  <c r="Q33" i="14" s="1"/>
  <c r="AM295" i="11"/>
  <c r="AE70" i="9"/>
  <c r="AE106" i="9"/>
  <c r="AI107" i="9"/>
  <c r="AI90" i="14"/>
  <c r="AQ58" i="11"/>
  <c r="AM214" i="11"/>
  <c r="AD47" i="14"/>
  <c r="R47" i="14" s="1"/>
  <c r="AN308" i="11"/>
  <c r="AM125" i="11"/>
  <c r="AJ81" i="9"/>
  <c r="AQ129" i="11"/>
  <c r="AQ67" i="11"/>
  <c r="AI32" i="14"/>
  <c r="AM86" i="11"/>
  <c r="AE35" i="9"/>
  <c r="AI96" i="9"/>
  <c r="AM239" i="11"/>
  <c r="AN305" i="11"/>
  <c r="AR331" i="11"/>
  <c r="AN300" i="11"/>
  <c r="AD84" i="14"/>
  <c r="R84" i="14" s="1"/>
  <c r="AF105" i="9"/>
  <c r="AM171" i="11"/>
  <c r="AN236" i="11"/>
  <c r="AH53" i="14"/>
  <c r="AM311" i="11"/>
  <c r="AI31" i="14"/>
  <c r="AH122" i="14"/>
  <c r="AM323" i="11"/>
  <c r="AH119" i="14"/>
  <c r="AN88" i="11"/>
  <c r="AI103" i="9"/>
  <c r="AD104" i="14"/>
  <c r="R104" i="14" s="1"/>
  <c r="AI66" i="14"/>
  <c r="AI125" i="9"/>
  <c r="AQ315" i="11"/>
  <c r="AH99" i="14"/>
  <c r="AI116" i="9"/>
  <c r="AM72" i="11"/>
  <c r="AR161" i="11"/>
  <c r="AM138" i="11"/>
  <c r="AH109" i="14"/>
  <c r="AH57" i="14"/>
  <c r="AF30" i="9"/>
  <c r="AR196" i="11"/>
  <c r="AR321" i="11"/>
  <c r="AR253" i="11"/>
  <c r="AD52" i="14"/>
  <c r="R52" i="14" s="1"/>
  <c r="AH64" i="14"/>
  <c r="AN291" i="11"/>
  <c r="AH56" i="14"/>
  <c r="AF100" i="9"/>
  <c r="AR285" i="11"/>
  <c r="AQ213" i="11"/>
  <c r="AR286" i="11"/>
  <c r="AQ175" i="11"/>
  <c r="AQ84" i="11"/>
  <c r="AQ292" i="11"/>
  <c r="AQ112" i="11"/>
  <c r="AD80" i="14"/>
  <c r="R80" i="14" s="1"/>
  <c r="V80" i="14" s="1"/>
  <c r="AN244" i="11"/>
  <c r="AH139" i="14"/>
  <c r="AR101" i="11"/>
  <c r="AJ112" i="9"/>
  <c r="AQ48" i="11"/>
  <c r="AN66" i="11"/>
  <c r="AR113" i="11"/>
  <c r="AR270" i="11"/>
  <c r="AM161" i="11"/>
  <c r="AD95" i="14"/>
  <c r="R95" i="14" s="1"/>
  <c r="V95" i="14" s="1"/>
  <c r="AI36" i="14"/>
  <c r="AQ106" i="11"/>
  <c r="AI34" i="14"/>
  <c r="AE111" i="14"/>
  <c r="Q111" i="14" s="1"/>
  <c r="AQ76" i="11"/>
  <c r="AI83" i="14"/>
  <c r="AR324" i="11"/>
  <c r="AQ171" i="11"/>
  <c r="AR68" i="11"/>
  <c r="AR112" i="11"/>
  <c r="AE83" i="9"/>
  <c r="AN276" i="11"/>
  <c r="AH101" i="14"/>
  <c r="AR191" i="11"/>
  <c r="AN260" i="11"/>
  <c r="AR96" i="11"/>
  <c r="AH25" i="14"/>
  <c r="AR135" i="11"/>
  <c r="AM106" i="11"/>
  <c r="AR108" i="11"/>
  <c r="AE122" i="14"/>
  <c r="AR295" i="11"/>
  <c r="AE52" i="14"/>
  <c r="Q52" i="14" s="1"/>
  <c r="AH28" i="14"/>
  <c r="AN127" i="11"/>
  <c r="AJ75" i="9"/>
  <c r="AD108" i="14"/>
  <c r="AN258" i="11"/>
  <c r="AD138" i="14"/>
  <c r="AQ198" i="11"/>
  <c r="AR316" i="11"/>
  <c r="AR254" i="11"/>
  <c r="AM212" i="11"/>
  <c r="AM329" i="11"/>
  <c r="AN304" i="11"/>
  <c r="AN84" i="11"/>
  <c r="AR263" i="11"/>
  <c r="AN194" i="11"/>
  <c r="AE87" i="9"/>
  <c r="AN289" i="11"/>
  <c r="AQ123" i="11"/>
  <c r="AF84" i="9"/>
  <c r="AN146" i="11"/>
  <c r="AQ193" i="11"/>
  <c r="AR83" i="11"/>
  <c r="AJ69" i="9"/>
  <c r="AR169" i="11"/>
  <c r="AN63" i="11"/>
  <c r="AD59" i="14"/>
  <c r="R59" i="14" s="1"/>
  <c r="AQ282" i="11"/>
  <c r="AE77" i="14"/>
  <c r="Q77" i="14" s="1"/>
  <c r="AR94" i="11"/>
  <c r="AH85" i="14"/>
  <c r="AN168" i="11"/>
  <c r="AR52" i="11"/>
  <c r="AF106" i="9"/>
  <c r="AM268" i="11"/>
  <c r="AN173" i="11"/>
  <c r="AE115" i="14"/>
  <c r="Q115" i="14" s="1"/>
  <c r="AF112" i="9"/>
  <c r="AN99" i="11"/>
  <c r="AQ225" i="11"/>
  <c r="AN80" i="11"/>
  <c r="AQ184" i="11"/>
  <c r="AQ209" i="11"/>
  <c r="AJ116" i="9"/>
  <c r="AM328" i="11"/>
  <c r="AD82" i="14"/>
  <c r="R82" i="14" s="1"/>
  <c r="AH32" i="14"/>
  <c r="AD123" i="14"/>
  <c r="AM279" i="11"/>
  <c r="AQ59" i="11"/>
  <c r="AM219" i="11"/>
  <c r="AE99" i="9"/>
  <c r="AQ30" i="11"/>
  <c r="AN95" i="11"/>
  <c r="AD125" i="14"/>
  <c r="AN56" i="11"/>
  <c r="AR315" i="11"/>
  <c r="AJ97" i="9"/>
  <c r="AR291" i="11"/>
  <c r="AD67" i="14"/>
  <c r="AQ323" i="11"/>
  <c r="AF108" i="9"/>
  <c r="AR271" i="11"/>
  <c r="AI44" i="14"/>
  <c r="AR129" i="11"/>
  <c r="AQ257" i="11"/>
  <c r="AR78" i="11"/>
  <c r="AQ258" i="11"/>
  <c r="AE94" i="9"/>
  <c r="AQ181" i="11"/>
  <c r="AM306" i="11"/>
  <c r="AJ82" i="9"/>
  <c r="AQ120" i="11"/>
  <c r="AM132" i="11"/>
  <c r="AI92" i="14"/>
  <c r="AN78" i="11"/>
  <c r="AR79" i="11"/>
  <c r="AN69" i="11"/>
  <c r="AH86" i="14"/>
  <c r="AN199" i="11"/>
  <c r="AN218" i="11"/>
  <c r="AM234" i="11"/>
  <c r="AJ36" i="9"/>
  <c r="AN204" i="11"/>
  <c r="AQ104" i="11"/>
  <c r="AN207" i="11"/>
  <c r="AJ122" i="9"/>
  <c r="AN229" i="11"/>
  <c r="AM57" i="11"/>
  <c r="AI121" i="14"/>
  <c r="AE84" i="14"/>
  <c r="Q84" i="14" s="1"/>
  <c r="AI51" i="9"/>
  <c r="AH114" i="14"/>
  <c r="U114" i="14" s="1"/>
  <c r="AM127" i="11"/>
  <c r="AH62" i="14"/>
  <c r="AQ239" i="11"/>
  <c r="AQ116" i="11"/>
  <c r="AQ82" i="11"/>
  <c r="AD36" i="14"/>
  <c r="R36" i="14" s="1"/>
  <c r="AQ302" i="11"/>
  <c r="AQ262" i="11"/>
  <c r="AR284" i="11"/>
  <c r="AR125" i="11"/>
  <c r="AQ26" i="11"/>
  <c r="AM269" i="11"/>
  <c r="AM240" i="11"/>
  <c r="AE65" i="14"/>
  <c r="AM146" i="11"/>
  <c r="AR84" i="11"/>
  <c r="AQ174" i="11"/>
  <c r="AQ85" i="11"/>
  <c r="AR277" i="11"/>
  <c r="AI60" i="14"/>
  <c r="AI37" i="9"/>
  <c r="AQ291" i="11"/>
  <c r="AN227" i="11"/>
  <c r="AE82" i="9"/>
  <c r="AD27" i="14"/>
  <c r="R27" i="14" s="1"/>
  <c r="AN285" i="11"/>
  <c r="AQ288" i="11"/>
  <c r="AQ136" i="11"/>
  <c r="AM79" i="11"/>
  <c r="AQ135" i="11"/>
  <c r="AI72" i="9"/>
  <c r="AE58" i="14"/>
  <c r="Q58" i="14" s="1"/>
  <c r="AN316" i="11"/>
  <c r="AM250" i="11"/>
  <c r="AM105" i="11"/>
  <c r="AN111" i="11"/>
  <c r="AM190" i="11"/>
  <c r="AM123" i="11"/>
  <c r="AD91" i="14"/>
  <c r="R91" i="14" s="1"/>
  <c r="AI48" i="9"/>
  <c r="AJ66" i="9"/>
  <c r="AQ25" i="11"/>
  <c r="AA25" i="11" s="1"/>
  <c r="AI109" i="14"/>
  <c r="AH65" i="14"/>
  <c r="AI38" i="14"/>
  <c r="AH74" i="14"/>
  <c r="AM301" i="11"/>
  <c r="AR272" i="11"/>
  <c r="AE32" i="9"/>
  <c r="AN92" i="11"/>
  <c r="AE100" i="9"/>
  <c r="AM274" i="11"/>
  <c r="AE85" i="9"/>
  <c r="AQ215" i="11"/>
  <c r="AE89" i="14"/>
  <c r="Q89" i="14" s="1"/>
  <c r="AD75" i="14"/>
  <c r="R75" i="14" s="1"/>
  <c r="AH124" i="14"/>
  <c r="AE27" i="14"/>
  <c r="Q27" i="14" s="1"/>
  <c r="AE78" i="14"/>
  <c r="Q78" i="14" s="1"/>
  <c r="AM281" i="11"/>
  <c r="AE119" i="14"/>
  <c r="AN53" i="11"/>
  <c r="AQ214" i="11"/>
  <c r="AR5" i="11"/>
  <c r="AN181" i="11"/>
  <c r="AE48" i="14"/>
  <c r="Q48" i="14" s="1"/>
  <c r="AM225" i="11"/>
  <c r="AQ126" i="11"/>
  <c r="AF81" i="9"/>
  <c r="AF99" i="9"/>
  <c r="AM228" i="11"/>
  <c r="AD107" i="14"/>
  <c r="R107" i="14" s="1"/>
  <c r="V107" i="14" s="1"/>
  <c r="AD96" i="14"/>
  <c r="AI94" i="9"/>
  <c r="AN238" i="11"/>
  <c r="AR326" i="11"/>
  <c r="AI67" i="9"/>
  <c r="AE60" i="14"/>
  <c r="Q60" i="14" s="1"/>
  <c r="AE79" i="9"/>
  <c r="AI28" i="14"/>
  <c r="AE82" i="14"/>
  <c r="Q82" i="14" s="1"/>
  <c r="AN123" i="11"/>
  <c r="AI141" i="14"/>
  <c r="AH107" i="14"/>
  <c r="AH54" i="14"/>
  <c r="AF47" i="9"/>
  <c r="AI45" i="14"/>
  <c r="AH66" i="14"/>
  <c r="AI82" i="14"/>
  <c r="AD68" i="14"/>
  <c r="AI72" i="14"/>
  <c r="AM189" i="11"/>
  <c r="AR178" i="11"/>
  <c r="AN116" i="11"/>
  <c r="AD120" i="14"/>
  <c r="AE40" i="14"/>
  <c r="Q40" i="14" s="1"/>
  <c r="AQ298" i="11"/>
  <c r="AE112" i="14"/>
  <c r="Q112" i="14" s="1"/>
  <c r="AQ247" i="11"/>
  <c r="AI88" i="9"/>
  <c r="AE128" i="14"/>
  <c r="AE120" i="14"/>
  <c r="AE112" i="9"/>
  <c r="AH128" i="14"/>
  <c r="AN122" i="11"/>
  <c r="AE71" i="14"/>
  <c r="Q71" i="14" s="1"/>
  <c r="AE137" i="14"/>
  <c r="AR318" i="11"/>
  <c r="AJ83" i="9"/>
  <c r="AI87" i="9"/>
  <c r="AQ78" i="11"/>
  <c r="AQ185" i="11"/>
  <c r="AI101" i="14"/>
  <c r="AF66" i="9"/>
  <c r="AD118" i="14"/>
  <c r="AN90" i="11"/>
  <c r="AF95" i="9"/>
  <c r="AQ235" i="11"/>
  <c r="AQ277" i="11"/>
  <c r="AR56" i="11"/>
  <c r="AN328" i="11"/>
  <c r="AM124" i="11"/>
  <c r="AQ199" i="11"/>
  <c r="AH31" i="14"/>
  <c r="AF37" i="9"/>
  <c r="AE100" i="14"/>
  <c r="Q100" i="14" s="1"/>
  <c r="AN114" i="11"/>
  <c r="AI65" i="14"/>
  <c r="AQ236" i="11"/>
  <c r="AR27" i="11"/>
  <c r="AN28" i="11"/>
  <c r="W28" i="11" s="1"/>
  <c r="AU28" i="11" s="1"/>
  <c r="AM186" i="11"/>
  <c r="AH106" i="14"/>
  <c r="AR90" i="11"/>
  <c r="AQ196" i="11"/>
  <c r="AM332" i="11"/>
  <c r="AN329" i="11"/>
  <c r="AQ54" i="11"/>
  <c r="AE95" i="14"/>
  <c r="Q95" i="14" s="1"/>
  <c r="AI108" i="9"/>
  <c r="AR30" i="11"/>
  <c r="AR130" i="11"/>
  <c r="AF104" i="9"/>
  <c r="AQ187" i="11"/>
  <c r="AN292" i="11"/>
  <c r="AD98" i="14"/>
  <c r="AM64" i="11"/>
  <c r="AE105" i="9"/>
  <c r="AN60" i="11"/>
  <c r="AM248" i="11"/>
  <c r="AE101" i="9"/>
  <c r="AQ335" i="11"/>
  <c r="AI85" i="14"/>
  <c r="AF64" i="9"/>
  <c r="AQ338" i="11"/>
  <c r="AJ80" i="9"/>
  <c r="AE29" i="14"/>
  <c r="Q29" i="14" s="1"/>
  <c r="AM117" i="11"/>
  <c r="AH78" i="14"/>
  <c r="AH120" i="14"/>
  <c r="AJ72" i="9"/>
  <c r="AM288" i="11"/>
  <c r="AN101" i="11"/>
  <c r="AM200" i="11"/>
  <c r="AF33" i="9"/>
  <c r="AR329" i="11"/>
  <c r="AJ100" i="9"/>
  <c r="AM97" i="11"/>
  <c r="AQ319" i="11"/>
  <c r="AE103" i="14"/>
  <c r="Q103" i="14" s="1"/>
  <c r="AM196" i="11"/>
  <c r="AJ79" i="9"/>
  <c r="AQ284" i="11"/>
  <c r="AM315" i="11"/>
  <c r="AM317" i="11"/>
  <c r="AN270" i="11"/>
  <c r="AF77" i="9"/>
  <c r="AR66" i="11"/>
  <c r="AF67" i="9"/>
  <c r="AQ274" i="11"/>
  <c r="AN31" i="11"/>
  <c r="W31" i="11" s="1"/>
  <c r="AU31" i="11" s="1"/>
  <c r="AF90" i="9"/>
  <c r="AE46" i="14"/>
  <c r="Q46" i="14" s="1"/>
  <c r="AJ40" i="9"/>
  <c r="AR133" i="11"/>
  <c r="AR330" i="11"/>
  <c r="AE37" i="14"/>
  <c r="Q37" i="14" s="1"/>
  <c r="AR144" i="11"/>
  <c r="AN293" i="11"/>
  <c r="AI92" i="9"/>
  <c r="AI118" i="14"/>
  <c r="AQ281" i="11"/>
  <c r="AD71" i="14"/>
  <c r="R71" i="14" s="1"/>
  <c r="V71" i="14" s="1"/>
  <c r="AI69" i="9"/>
  <c r="AN191" i="11"/>
  <c r="AN281" i="11"/>
  <c r="AN76" i="11"/>
  <c r="AD87" i="14"/>
  <c r="R87" i="14" s="1"/>
  <c r="AM160" i="11"/>
  <c r="AI100" i="14"/>
  <c r="AQ317" i="11"/>
  <c r="AR283" i="11"/>
  <c r="AR70" i="11"/>
  <c r="AF96" i="9"/>
  <c r="AI87" i="14"/>
  <c r="AJ43" i="9"/>
  <c r="AM254" i="11"/>
  <c r="AI41" i="9"/>
  <c r="AH112" i="14"/>
  <c r="AQ297" i="11"/>
  <c r="AF124" i="9"/>
  <c r="Q124" i="9" s="1"/>
  <c r="AM116" i="11"/>
  <c r="AR74" i="11"/>
  <c r="AE42" i="14"/>
  <c r="Q42" i="14" s="1"/>
  <c r="AN192" i="11"/>
  <c r="AE45" i="9"/>
  <c r="AQ50" i="11"/>
  <c r="AF35" i="9"/>
  <c r="AQ137" i="11"/>
  <c r="AR216" i="11"/>
  <c r="AN336" i="11"/>
  <c r="AM308" i="11"/>
  <c r="AI53" i="14"/>
  <c r="AE64" i="14"/>
  <c r="AR256" i="11"/>
  <c r="AF109" i="9"/>
  <c r="AH52" i="14"/>
  <c r="AI55" i="14"/>
  <c r="AR273" i="11"/>
  <c r="AN235" i="11"/>
  <c r="AM182" i="11"/>
  <c r="AD63" i="14"/>
  <c r="AE50" i="9"/>
  <c r="AD114" i="14"/>
  <c r="AN108" i="11"/>
  <c r="AJ119" i="9"/>
  <c r="AQ64" i="11"/>
  <c r="AQ221" i="11"/>
  <c r="AI138" i="14"/>
  <c r="AE138" i="14"/>
  <c r="AF49" i="9"/>
  <c r="AF68" i="9"/>
  <c r="AR118" i="11"/>
  <c r="AQ117" i="11"/>
  <c r="AQ217" i="11"/>
  <c r="AN196" i="11"/>
  <c r="AI94" i="14"/>
  <c r="AM278" i="11"/>
  <c r="AE81" i="9"/>
  <c r="AF45" i="9"/>
  <c r="AE98" i="9"/>
  <c r="AR114" i="11"/>
  <c r="AQ227" i="11"/>
  <c r="AN75" i="11"/>
  <c r="AR75" i="11"/>
  <c r="AH113" i="14"/>
  <c r="AH27" i="14"/>
  <c r="AH100" i="14"/>
  <c r="AM194" i="11"/>
  <c r="AI71" i="14"/>
  <c r="AD72" i="14"/>
  <c r="R72" i="14" s="1"/>
  <c r="AM70" i="11"/>
  <c r="AM201" i="11"/>
  <c r="AE67" i="14"/>
  <c r="AD44" i="14"/>
  <c r="R44" i="14" s="1"/>
  <c r="AN195" i="11"/>
  <c r="AJ90" i="9"/>
  <c r="AM178" i="11"/>
  <c r="AN145" i="11"/>
  <c r="AF39" i="9"/>
  <c r="AN240" i="11"/>
  <c r="AI32" i="9"/>
  <c r="AE38" i="9"/>
  <c r="AI69" i="14"/>
  <c r="AE63" i="14"/>
  <c r="AR117" i="11"/>
  <c r="AM83" i="11"/>
  <c r="AN269" i="11"/>
  <c r="AR217" i="11"/>
  <c r="AR201" i="11"/>
  <c r="AR76" i="11"/>
  <c r="AR77" i="11"/>
  <c r="AM111" i="11"/>
  <c r="AE109" i="14"/>
  <c r="Q109" i="14" s="1"/>
  <c r="AR109" i="11"/>
  <c r="AI99" i="9"/>
  <c r="AQ197" i="11"/>
  <c r="AD50" i="14"/>
  <c r="R50" i="14" s="1"/>
  <c r="AM28" i="11"/>
  <c r="X28" i="11" s="1"/>
  <c r="AV28" i="11" s="1"/>
  <c r="AM93" i="11"/>
  <c r="AN239" i="11"/>
  <c r="AR120" i="11"/>
  <c r="AM75" i="11"/>
  <c r="AN137" i="11"/>
  <c r="AM120" i="11"/>
  <c r="AI111" i="14"/>
  <c r="AI35" i="9"/>
  <c r="AN164" i="11"/>
  <c r="AM134" i="11"/>
  <c r="AN257" i="11"/>
  <c r="AR303" i="11"/>
  <c r="AQ73" i="11"/>
  <c r="AH73" i="14"/>
  <c r="AQ331" i="11"/>
  <c r="AN198" i="11"/>
  <c r="AF80" i="9"/>
  <c r="AD51" i="14"/>
  <c r="R51" i="14" s="1"/>
  <c r="AN245" i="11"/>
  <c r="AQ293" i="11"/>
  <c r="AE72" i="14"/>
  <c r="Q72" i="14" s="1"/>
  <c r="AI105" i="14"/>
  <c r="AQ241" i="11"/>
  <c r="AI62" i="14"/>
  <c r="AR26" i="11"/>
  <c r="AM136" i="11"/>
  <c r="AM309" i="11"/>
  <c r="AD115" i="14"/>
  <c r="R115" i="14" s="1"/>
  <c r="V115" i="14" s="1"/>
  <c r="AD81" i="14"/>
  <c r="R81" i="14" s="1"/>
  <c r="AF101" i="9"/>
  <c r="AH70" i="14"/>
  <c r="U70" i="14" s="1"/>
  <c r="AM115" i="11"/>
  <c r="AI113" i="9"/>
  <c r="AF52" i="9"/>
  <c r="AR92" i="11"/>
  <c r="AR264" i="11"/>
  <c r="AJ101" i="9"/>
  <c r="AR302" i="11"/>
  <c r="AE102" i="14"/>
  <c r="Q102" i="14" s="1"/>
  <c r="AF88" i="9"/>
  <c r="AE141" i="14"/>
  <c r="AH126" i="14"/>
  <c r="AR203" i="11"/>
  <c r="AM304" i="11"/>
  <c r="AN182" i="11"/>
  <c r="AH41" i="14"/>
  <c r="AM48" i="11"/>
  <c r="AQ287" i="11"/>
  <c r="AN247" i="11"/>
  <c r="AR237" i="11"/>
  <c r="AI34" i="9"/>
  <c r="AQ143" i="11"/>
  <c r="AN143" i="11"/>
  <c r="AR310" i="11"/>
  <c r="AE33" i="9"/>
  <c r="AQ27" i="11"/>
  <c r="AI88" i="14"/>
  <c r="AF34" i="9"/>
  <c r="AH71" i="14"/>
  <c r="AE122" i="9"/>
  <c r="AN165" i="11"/>
  <c r="AD66" i="14"/>
  <c r="AM54" i="11"/>
  <c r="AI118" i="9"/>
  <c r="AM208" i="11"/>
  <c r="AD37" i="14"/>
  <c r="R37" i="14" s="1"/>
  <c r="AE51" i="9"/>
  <c r="AQ261" i="11"/>
  <c r="AM53" i="11"/>
  <c r="AE123" i="14"/>
  <c r="AH98" i="14"/>
  <c r="U98" i="14" s="1"/>
  <c r="AF113" i="9"/>
  <c r="AM293" i="11"/>
  <c r="AJ77" i="9"/>
  <c r="AQ290" i="11"/>
  <c r="AQ127" i="11"/>
  <c r="AM271" i="11"/>
  <c r="AM232" i="11"/>
  <c r="AQ5" i="11"/>
  <c r="AM128" i="11"/>
  <c r="AR67" i="11"/>
  <c r="AE35" i="14"/>
  <c r="Q35" i="14" s="1"/>
  <c r="AM284" i="11"/>
  <c r="AN142" i="11"/>
  <c r="AM147" i="11"/>
  <c r="AN208" i="11"/>
  <c r="AR252" i="11"/>
  <c r="AE125" i="9"/>
  <c r="AM180" i="11"/>
  <c r="AF40" i="9"/>
  <c r="AM195" i="11"/>
  <c r="AH34" i="14"/>
  <c r="AR128" i="11"/>
  <c r="AI52" i="14"/>
  <c r="AD139" i="14"/>
  <c r="AM287" i="11"/>
  <c r="AN104" i="11"/>
  <c r="AN210" i="11"/>
  <c r="AQ134" i="11"/>
  <c r="AN74" i="11"/>
  <c r="AN57" i="11"/>
  <c r="AR9" i="11"/>
  <c r="AN6" i="11"/>
  <c r="W6" i="11" s="1"/>
  <c r="AQ147" i="11"/>
  <c r="AN89" i="11"/>
  <c r="AH48" i="14"/>
  <c r="AE31" i="14"/>
  <c r="Q31" i="14" s="1"/>
  <c r="AN107" i="11"/>
  <c r="AF117" i="9"/>
  <c r="AM198" i="11"/>
  <c r="AF72" i="9"/>
  <c r="AM207" i="11"/>
  <c r="AI55" i="9"/>
  <c r="AQ305" i="11"/>
  <c r="AN301" i="11"/>
  <c r="AN112" i="11"/>
  <c r="AQ252" i="11"/>
  <c r="AE25" i="14"/>
  <c r="Q25" i="14" s="1"/>
  <c r="AJ42" i="9"/>
  <c r="AN126" i="11"/>
  <c r="AQ314" i="11"/>
  <c r="AI100" i="9"/>
  <c r="AF55" i="9"/>
  <c r="AI106" i="9"/>
  <c r="AI98" i="14"/>
  <c r="AN131" i="11"/>
  <c r="AR58" i="11"/>
  <c r="AM113" i="11"/>
  <c r="AJ51" i="9"/>
  <c r="AM223" i="11"/>
  <c r="AM89" i="11"/>
  <c r="AI99" i="14"/>
  <c r="AR175" i="11"/>
  <c r="AE38" i="14"/>
  <c r="Q38" i="14" s="1"/>
  <c r="AD101" i="14"/>
  <c r="R101" i="14" s="1"/>
  <c r="V101" i="14" s="1"/>
  <c r="AH82" i="14"/>
  <c r="AM118" i="11"/>
  <c r="AM61" i="11"/>
  <c r="AR204" i="11"/>
  <c r="AR61" i="11"/>
  <c r="AM222" i="11"/>
  <c r="AD46" i="14"/>
  <c r="R46" i="14" s="1"/>
  <c r="AR134" i="11"/>
  <c r="AM270" i="11"/>
  <c r="AM62" i="11"/>
  <c r="AM119" i="11"/>
  <c r="AQ205" i="11"/>
  <c r="AR223" i="11"/>
  <c r="AI126" i="14"/>
  <c r="AQ259" i="11"/>
  <c r="AN183" i="11"/>
  <c r="AM210" i="11"/>
  <c r="AN216" i="11"/>
  <c r="AN261" i="11"/>
  <c r="AM335" i="11"/>
  <c r="V25" i="5"/>
  <c r="AQ243" i="11"/>
  <c r="AE43" i="14"/>
  <c r="Q43" i="14" s="1"/>
  <c r="AN294" i="11"/>
  <c r="AN113" i="11"/>
  <c r="AM172" i="11"/>
  <c r="AN140" i="11"/>
  <c r="AQ167" i="11"/>
  <c r="AH38" i="14"/>
  <c r="AQ89" i="11"/>
  <c r="AR338" i="11"/>
  <c r="AN209" i="11"/>
  <c r="AR173" i="11"/>
  <c r="AI110" i="9"/>
  <c r="AQ295" i="11"/>
  <c r="D26" i="5"/>
  <c r="V26" i="5"/>
  <c r="AN221" i="11"/>
  <c r="AH77" i="14"/>
  <c r="AD121" i="14"/>
  <c r="AE97" i="9"/>
  <c r="AM30" i="11"/>
  <c r="X30" i="11" s="1"/>
  <c r="AV30" i="11" s="1"/>
  <c r="AH115" i="14"/>
  <c r="AF36" i="9"/>
  <c r="AI117" i="14"/>
  <c r="AQ322" i="11"/>
  <c r="AR292" i="11"/>
  <c r="AR222" i="11"/>
  <c r="AD65" i="14"/>
  <c r="AN303" i="11"/>
  <c r="AE56" i="14"/>
  <c r="Q56" i="14" s="1"/>
  <c r="AM303" i="11"/>
  <c r="AH102" i="14"/>
  <c r="AM31" i="11"/>
  <c r="X31" i="11" s="1"/>
  <c r="AV31" i="11" s="1"/>
  <c r="AM126" i="11"/>
  <c r="AH137" i="14"/>
  <c r="AQ29" i="11"/>
  <c r="AR261" i="11"/>
  <c r="D30" i="5"/>
  <c r="V30" i="5"/>
  <c r="AI122" i="14"/>
  <c r="AJ109" i="9"/>
  <c r="AM142" i="11"/>
  <c r="AM133" i="11"/>
  <c r="AD93" i="14"/>
  <c r="R93" i="14" s="1"/>
  <c r="AI104" i="9"/>
  <c r="AR266" i="11"/>
  <c r="AI114" i="9"/>
  <c r="AQ108" i="11"/>
  <c r="AI80" i="9"/>
  <c r="AQ194" i="11"/>
  <c r="AD109" i="14"/>
  <c r="R109" i="14" s="1"/>
  <c r="AN172" i="11"/>
  <c r="AJ120" i="9"/>
  <c r="AQ121" i="11"/>
  <c r="AM204" i="11"/>
  <c r="AE29" i="9"/>
  <c r="AH59" i="14"/>
  <c r="AR60" i="11"/>
  <c r="AQ141" i="11"/>
  <c r="AR298" i="11"/>
  <c r="AN280" i="11"/>
  <c r="AN170" i="11"/>
  <c r="AM233" i="11"/>
  <c r="D29" i="5"/>
  <c r="V29" i="5"/>
  <c r="AE46" i="9"/>
  <c r="AR260" i="11"/>
  <c r="AJ93" i="9"/>
  <c r="AM229" i="11"/>
  <c r="AI48" i="14"/>
  <c r="AN274" i="11"/>
  <c r="AM77" i="11"/>
  <c r="AF53" i="9"/>
  <c r="AQ250" i="11"/>
  <c r="AQ245" i="11"/>
  <c r="AF38" i="9"/>
  <c r="AR288" i="11"/>
  <c r="AJ95" i="9"/>
  <c r="AF74" i="9"/>
  <c r="AE111" i="9"/>
  <c r="AM99" i="11"/>
  <c r="AH55" i="14"/>
  <c r="AR116" i="11"/>
  <c r="AN189" i="11"/>
  <c r="AM59" i="11"/>
  <c r="AF114" i="9"/>
  <c r="V338" i="11"/>
  <c r="X338" i="11"/>
  <c r="X78" i="11"/>
  <c r="V78" i="11"/>
  <c r="AM282" i="11"/>
  <c r="AN144" i="11"/>
  <c r="AR327" i="11"/>
  <c r="AF119" i="9"/>
  <c r="AN188" i="11"/>
  <c r="AN310" i="11"/>
  <c r="AQ87" i="11"/>
  <c r="AE166" i="12"/>
  <c r="AE180" i="12" s="1"/>
  <c r="AP14" i="12" s="1"/>
  <c r="AN175" i="11"/>
  <c r="AE47" i="9"/>
  <c r="AE54" i="14"/>
  <c r="AM81" i="11"/>
  <c r="AN166" i="11"/>
  <c r="AQ226" i="11"/>
  <c r="AN213" i="11"/>
  <c r="AE116" i="9"/>
  <c r="D28" i="5"/>
  <c r="V28" i="5"/>
  <c r="AN267" i="11"/>
  <c r="AR72" i="11"/>
  <c r="AJ115" i="9"/>
  <c r="AD48" i="14"/>
  <c r="R48" i="14" s="1"/>
  <c r="AF71" i="9"/>
  <c r="AM45" i="11"/>
  <c r="X45" i="11" s="1"/>
  <c r="AV45" i="11" s="1"/>
  <c r="AN30" i="11"/>
  <c r="W30" i="11" s="1"/>
  <c r="AU30" i="11" s="1"/>
  <c r="AD122" i="14"/>
  <c r="AN323" i="11"/>
  <c r="AN85" i="11"/>
  <c r="AN103" i="11"/>
  <c r="AM298" i="11"/>
  <c r="AR190" i="11"/>
  <c r="AR167" i="11"/>
  <c r="AE44" i="14"/>
  <c r="Q44" i="14" s="1"/>
  <c r="AE62" i="9"/>
  <c r="AE52" i="9"/>
  <c r="AJ98" i="9"/>
  <c r="AR275" i="11"/>
  <c r="AH43" i="14"/>
  <c r="AE104" i="14"/>
  <c r="Q104" i="14" s="1"/>
  <c r="Y191" i="11"/>
  <c r="AA191" i="11"/>
  <c r="AM272" i="11"/>
  <c r="AQ107" i="11"/>
  <c r="AN129" i="11"/>
  <c r="AQ24" i="11"/>
  <c r="AM245" i="11"/>
  <c r="AN206" i="11"/>
  <c r="AN299" i="11"/>
  <c r="AR293" i="11"/>
  <c r="AE71" i="9"/>
  <c r="AE64" i="9"/>
  <c r="AI123" i="14"/>
  <c r="AM236" i="11"/>
  <c r="AM218" i="11"/>
  <c r="D27" i="5"/>
  <c r="V27" i="5"/>
  <c r="AF44" i="9"/>
  <c r="AR88" i="11"/>
  <c r="AE88" i="9"/>
  <c r="AE66" i="9"/>
  <c r="AN79" i="11"/>
  <c r="AM66" i="11"/>
  <c r="AN311" i="11"/>
  <c r="AN29" i="11"/>
  <c r="W29" i="11" s="1"/>
  <c r="AU29" i="11" s="1"/>
  <c r="AR139" i="11"/>
  <c r="AD45" i="14"/>
  <c r="R45" i="14" s="1"/>
  <c r="AJ49" i="9"/>
  <c r="AF43" i="9"/>
  <c r="AQ192" i="11"/>
  <c r="AN338" i="11"/>
  <c r="W338" i="11" s="1"/>
  <c r="AU338" i="11" s="1"/>
  <c r="AJ62" i="9"/>
  <c r="AM266" i="11"/>
  <c r="AE68" i="9"/>
  <c r="AI33" i="14"/>
  <c r="AM55" i="11"/>
  <c r="AI117" i="9"/>
  <c r="AI28" i="9"/>
  <c r="AM45" i="10"/>
  <c r="AQ52" i="10"/>
  <c r="AL43" i="10"/>
  <c r="AP43" i="10"/>
  <c r="AL49" i="10"/>
  <c r="AP48" i="10"/>
  <c r="AL48" i="10"/>
  <c r="AP56" i="10"/>
  <c r="AP49" i="10"/>
  <c r="AL44" i="10"/>
  <c r="AP55" i="10"/>
  <c r="AL129" i="10"/>
  <c r="AM295" i="10"/>
  <c r="AF59" i="5"/>
  <c r="S59" i="5" s="1"/>
  <c r="AP282" i="10"/>
  <c r="AQ297" i="10"/>
  <c r="AL45" i="10"/>
  <c r="AM166" i="10"/>
  <c r="AM27" i="10"/>
  <c r="V27" i="10" s="1"/>
  <c r="AT27" i="10" s="1"/>
  <c r="AM119" i="10"/>
  <c r="AQ289" i="10"/>
  <c r="AL25" i="10"/>
  <c r="W25" i="10" s="1"/>
  <c r="AU25" i="10" s="1"/>
  <c r="AG72" i="5"/>
  <c r="AF56" i="5"/>
  <c r="Q56" i="5" s="1"/>
  <c r="AL166" i="10"/>
  <c r="AM297" i="10"/>
  <c r="AQ307" i="10"/>
  <c r="AM305" i="10"/>
  <c r="AL168" i="10"/>
  <c r="W168" i="10" s="1"/>
  <c r="AU168" i="10" s="1"/>
  <c r="AL292" i="10"/>
  <c r="AB61" i="5"/>
  <c r="P61" i="5" s="1"/>
  <c r="AL110" i="10"/>
  <c r="AP302" i="10"/>
  <c r="AL156" i="10"/>
  <c r="AM302" i="10"/>
  <c r="AQ293" i="10"/>
  <c r="AC60" i="5"/>
  <c r="O60" i="5" s="1"/>
  <c r="AM19" i="10"/>
  <c r="V19" i="10" s="1"/>
  <c r="AT19" i="10" s="1"/>
  <c r="AM299" i="10"/>
  <c r="AL134" i="10"/>
  <c r="AM121" i="10"/>
  <c r="AL114" i="10"/>
  <c r="AM270" i="10"/>
  <c r="AM289" i="10"/>
  <c r="AL140" i="10"/>
  <c r="AQ305" i="10"/>
  <c r="AP45" i="10"/>
  <c r="AM23" i="10"/>
  <c r="V23" i="10" s="1"/>
  <c r="AT23" i="10" s="1"/>
  <c r="AP44" i="10"/>
  <c r="AQ45" i="10"/>
  <c r="AP211" i="10"/>
  <c r="AQ291" i="10"/>
  <c r="AM160" i="10"/>
  <c r="AC74" i="5"/>
  <c r="AP294" i="10"/>
  <c r="AQ292" i="10"/>
  <c r="AL127" i="10"/>
  <c r="AQ299" i="10"/>
  <c r="AM139" i="10"/>
  <c r="AM184" i="10"/>
  <c r="V184" i="10" s="1"/>
  <c r="AT184" i="10" s="1"/>
  <c r="AM202" i="10"/>
  <c r="V202" i="10" s="1"/>
  <c r="AT202" i="10" s="1"/>
  <c r="AP157" i="10"/>
  <c r="AM211" i="10"/>
  <c r="V211" i="10" s="1"/>
  <c r="AT211" i="10" s="1"/>
  <c r="AL179" i="10"/>
  <c r="W179" i="10" s="1"/>
  <c r="AU179" i="10" s="1"/>
  <c r="AM38" i="10"/>
  <c r="AM100" i="10"/>
  <c r="AM183" i="10"/>
  <c r="V183" i="10" s="1"/>
  <c r="AT183" i="10" s="1"/>
  <c r="AL118" i="10"/>
  <c r="AQ268" i="10"/>
  <c r="AQ43" i="10"/>
  <c r="AM175" i="10"/>
  <c r="V175" i="10" s="1"/>
  <c r="AT175" i="10" s="1"/>
  <c r="AQ290" i="10"/>
  <c r="AP254" i="10"/>
  <c r="AQ182" i="10"/>
  <c r="AG59" i="5"/>
  <c r="R59" i="5" s="1"/>
  <c r="AQ121" i="10"/>
  <c r="AL232" i="10"/>
  <c r="W232" i="10" s="1"/>
  <c r="AU232" i="10" s="1"/>
  <c r="AP110" i="10"/>
  <c r="AP199" i="10"/>
  <c r="AM210" i="10"/>
  <c r="V210" i="10" s="1"/>
  <c r="AT210" i="10" s="1"/>
  <c r="AP79" i="10"/>
  <c r="AQ194" i="10"/>
  <c r="AP131" i="10"/>
  <c r="AF78" i="5"/>
  <c r="AQ81" i="10"/>
  <c r="AP272" i="10"/>
  <c r="AQ199" i="10"/>
  <c r="AQ271" i="10"/>
  <c r="AC41" i="5"/>
  <c r="AC66" i="5"/>
  <c r="AM265" i="10"/>
  <c r="AL211" i="10"/>
  <c r="W211" i="10" s="1"/>
  <c r="AU211" i="10" s="1"/>
  <c r="AM17" i="10"/>
  <c r="V17" i="10" s="1"/>
  <c r="AT17" i="10" s="1"/>
  <c r="AQ163" i="10"/>
  <c r="AC81" i="5"/>
  <c r="AL299" i="10"/>
  <c r="AL119" i="10"/>
  <c r="AQ161" i="10"/>
  <c r="AL124" i="10"/>
  <c r="AG52" i="5"/>
  <c r="R52" i="5" s="1"/>
  <c r="AL82" i="10"/>
  <c r="AP109" i="10"/>
  <c r="AQ36" i="10"/>
  <c r="AM92" i="10"/>
  <c r="AG71" i="5"/>
  <c r="AF58" i="5"/>
  <c r="AQ241" i="10"/>
  <c r="AP33" i="10"/>
  <c r="AM182" i="10"/>
  <c r="V182" i="10" s="1"/>
  <c r="AT182" i="10" s="1"/>
  <c r="AM261" i="10"/>
  <c r="AF65" i="5"/>
  <c r="AL86" i="10"/>
  <c r="AQ22" i="10"/>
  <c r="AP62" i="10"/>
  <c r="AM116" i="10"/>
  <c r="AF74" i="5"/>
  <c r="AL98" i="10"/>
  <c r="AP57" i="10"/>
  <c r="AQ215" i="10"/>
  <c r="AQ142" i="10"/>
  <c r="AP267" i="10"/>
  <c r="AP196" i="10"/>
  <c r="AQ60" i="10"/>
  <c r="AG63" i="5"/>
  <c r="AL228" i="10"/>
  <c r="W228" i="10" s="1"/>
  <c r="AU228" i="10" s="1"/>
  <c r="AM72" i="10"/>
  <c r="AQ202" i="10"/>
  <c r="AL171" i="10"/>
  <c r="W171" i="10" s="1"/>
  <c r="AU171" i="10" s="1"/>
  <c r="AL255" i="10"/>
  <c r="AM285" i="10"/>
  <c r="AP176" i="10"/>
  <c r="AP136" i="10"/>
  <c r="AC85" i="5"/>
  <c r="AL256" i="10"/>
  <c r="AQ112" i="10"/>
  <c r="AL189" i="10"/>
  <c r="W189" i="10" s="1"/>
  <c r="AU189" i="10" s="1"/>
  <c r="AM25" i="10"/>
  <c r="V25" i="10" s="1"/>
  <c r="AT25" i="10" s="1"/>
  <c r="AL103" i="10"/>
  <c r="AP185" i="10"/>
  <c r="AQ274" i="10"/>
  <c r="AQ200" i="10"/>
  <c r="AP73" i="10"/>
  <c r="AP248" i="10"/>
  <c r="AQ109" i="10"/>
  <c r="AL301" i="10"/>
  <c r="AL158" i="10"/>
  <c r="AM162" i="10"/>
  <c r="AQ179" i="10"/>
  <c r="AL206" i="10"/>
  <c r="W206" i="10" s="1"/>
  <c r="AU206" i="10" s="1"/>
  <c r="AM246" i="10"/>
  <c r="AG62" i="5"/>
  <c r="AP159" i="10"/>
  <c r="AM36" i="10"/>
  <c r="AL39" i="10"/>
  <c r="AQ243" i="10"/>
  <c r="AC86" i="5"/>
  <c r="AP266" i="10"/>
  <c r="AL224" i="10"/>
  <c r="W224" i="10" s="1"/>
  <c r="AU224" i="10" s="1"/>
  <c r="AP207" i="10"/>
  <c r="AQ171" i="10"/>
  <c r="AM292" i="10"/>
  <c r="AQ62" i="10"/>
  <c r="AQ132" i="10"/>
  <c r="AP125" i="10"/>
  <c r="AQ195" i="10"/>
  <c r="AP165" i="10"/>
  <c r="AG61" i="5"/>
  <c r="R61" i="5" s="1"/>
  <c r="AL218" i="10"/>
  <c r="W218" i="10" s="1"/>
  <c r="AU218" i="10" s="1"/>
  <c r="AQ106" i="10"/>
  <c r="AM181" i="10"/>
  <c r="V181" i="10" s="1"/>
  <c r="AT181" i="10" s="1"/>
  <c r="AB82" i="5"/>
  <c r="AP34" i="10"/>
  <c r="AP233" i="10"/>
  <c r="AL121" i="10"/>
  <c r="AP28" i="10"/>
  <c r="AM244" i="10"/>
  <c r="AQ91" i="10"/>
  <c r="AL284" i="10"/>
  <c r="AM85" i="10"/>
  <c r="AM217" i="10"/>
  <c r="V217" i="10" s="1"/>
  <c r="AT217" i="10" s="1"/>
  <c r="AM71" i="10"/>
  <c r="AQ287" i="10"/>
  <c r="AM132" i="10"/>
  <c r="AL21" i="10"/>
  <c r="W21" i="10" s="1"/>
  <c r="AU21" i="10" s="1"/>
  <c r="AM235" i="10"/>
  <c r="V235" i="10" s="1"/>
  <c r="AT235" i="10" s="1"/>
  <c r="AM54" i="10"/>
  <c r="AQ107" i="10"/>
  <c r="AM213" i="10"/>
  <c r="V213" i="10" s="1"/>
  <c r="AT213" i="10" s="1"/>
  <c r="AG80" i="5"/>
  <c r="AP112" i="10"/>
  <c r="AP106" i="10"/>
  <c r="AQ296" i="10"/>
  <c r="AQ231" i="10"/>
  <c r="AL283" i="10"/>
  <c r="AM158" i="10"/>
  <c r="AL273" i="10"/>
  <c r="AM113" i="10"/>
  <c r="AL155" i="10"/>
  <c r="AM176" i="10"/>
  <c r="V176" i="10" s="1"/>
  <c r="AT176" i="10" s="1"/>
  <c r="AP205" i="10"/>
  <c r="AP231" i="10"/>
  <c r="AL207" i="10"/>
  <c r="W207" i="10" s="1"/>
  <c r="AU207" i="10" s="1"/>
  <c r="AL260" i="10"/>
  <c r="AP217" i="10"/>
  <c r="AC59" i="5"/>
  <c r="O59" i="5" s="1"/>
  <c r="AM60" i="10"/>
  <c r="AL305" i="10"/>
  <c r="AP72" i="10"/>
  <c r="AQ187" i="10"/>
  <c r="AP105" i="10"/>
  <c r="AQ207" i="10"/>
  <c r="AQ94" i="10"/>
  <c r="AM241" i="10"/>
  <c r="AG82" i="5"/>
  <c r="AP253" i="10"/>
  <c r="AM174" i="10"/>
  <c r="V174" i="10" s="1"/>
  <c r="AT174" i="10" s="1"/>
  <c r="AF64" i="5"/>
  <c r="Q64" i="5" s="1"/>
  <c r="AQ114" i="10"/>
  <c r="AG41" i="5"/>
  <c r="AQ116" i="10"/>
  <c r="AP250" i="10"/>
  <c r="AL298" i="10"/>
  <c r="AQ169" i="10"/>
  <c r="AL104" i="10"/>
  <c r="AP38" i="10"/>
  <c r="AL195" i="10"/>
  <c r="W195" i="10" s="1"/>
  <c r="AU195" i="10" s="1"/>
  <c r="AQ101" i="10"/>
  <c r="AM140" i="10"/>
  <c r="AC57" i="5"/>
  <c r="AQ247" i="10"/>
  <c r="AB73" i="5"/>
  <c r="AM199" i="10"/>
  <c r="V199" i="10" s="1"/>
  <c r="AT199" i="10" s="1"/>
  <c r="AL85" i="10"/>
  <c r="AP188" i="10"/>
  <c r="AP142" i="10"/>
  <c r="AQ100" i="10"/>
  <c r="AM99" i="10"/>
  <c r="AL54" i="10"/>
  <c r="AL212" i="10"/>
  <c r="W212" i="10" s="1"/>
  <c r="AU212" i="10" s="1"/>
  <c r="AQ136" i="10"/>
  <c r="AM177" i="10"/>
  <c r="V177" i="10" s="1"/>
  <c r="AT177" i="10" s="1"/>
  <c r="AQ184" i="10"/>
  <c r="AP137" i="10"/>
  <c r="AB42" i="5"/>
  <c r="AP259" i="10"/>
  <c r="AL186" i="10"/>
  <c r="W186" i="10" s="1"/>
  <c r="AU186" i="10" s="1"/>
  <c r="AL261" i="10"/>
  <c r="AL172" i="10"/>
  <c r="W172" i="10" s="1"/>
  <c r="AU172" i="10" s="1"/>
  <c r="AP221" i="10"/>
  <c r="AM131" i="10"/>
  <c r="AL288" i="10"/>
  <c r="AF85" i="5"/>
  <c r="AM114" i="10"/>
  <c r="AQ117" i="10"/>
  <c r="AM39" i="10"/>
  <c r="AM73" i="10"/>
  <c r="AP306" i="10"/>
  <c r="AL213" i="10"/>
  <c r="W213" i="10" s="1"/>
  <c r="AU213" i="10" s="1"/>
  <c r="AL259" i="10"/>
  <c r="AB52" i="5"/>
  <c r="P52" i="5" s="1"/>
  <c r="AL190" i="10"/>
  <c r="W190" i="10" s="1"/>
  <c r="AU190" i="10" s="1"/>
  <c r="AP133" i="10"/>
  <c r="AP69" i="10"/>
  <c r="AM95" i="10"/>
  <c r="AQ79" i="10"/>
  <c r="AQ131" i="10"/>
  <c r="AQ211" i="10"/>
  <c r="AL262" i="10"/>
  <c r="AM84" i="10"/>
  <c r="AP175" i="10"/>
  <c r="AB69" i="5"/>
  <c r="AP130" i="10"/>
  <c r="AC79" i="5"/>
  <c r="AQ138" i="10"/>
  <c r="AL201" i="10"/>
  <c r="W201" i="10" s="1"/>
  <c r="AU201" i="10" s="1"/>
  <c r="AM67" i="10"/>
  <c r="AM253" i="10"/>
  <c r="AL223" i="10"/>
  <c r="W223" i="10" s="1"/>
  <c r="AU223" i="10" s="1"/>
  <c r="AQ39" i="10"/>
  <c r="AP299" i="10"/>
  <c r="AQ50" i="10"/>
  <c r="AP278" i="10"/>
  <c r="AL188" i="10"/>
  <c r="W188" i="10" s="1"/>
  <c r="AU188" i="10" s="1"/>
  <c r="AQ87" i="10"/>
  <c r="AP121" i="10"/>
  <c r="AQ234" i="10"/>
  <c r="AQ68" i="10"/>
  <c r="AQ308" i="10"/>
  <c r="AB41" i="5"/>
  <c r="AP113" i="10"/>
  <c r="AL240" i="10"/>
  <c r="AP23" i="10"/>
  <c r="AM102" i="10"/>
  <c r="AG60" i="5"/>
  <c r="R60" i="5" s="1"/>
  <c r="AP52" i="10"/>
  <c r="AL137" i="10"/>
  <c r="AC71" i="5"/>
  <c r="AQ80" i="10"/>
  <c r="AL84" i="10"/>
  <c r="AQ191" i="10"/>
  <c r="AP94" i="10"/>
  <c r="AQ218" i="10"/>
  <c r="AP223" i="10"/>
  <c r="AP53" i="10"/>
  <c r="AQ40" i="10"/>
  <c r="AL215" i="10"/>
  <c r="W215" i="10" s="1"/>
  <c r="AU215" i="10" s="1"/>
  <c r="AL306" i="10"/>
  <c r="AG77" i="5"/>
  <c r="AP161" i="10"/>
  <c r="AM110" i="10"/>
  <c r="AQ92" i="10"/>
  <c r="AQ190" i="10"/>
  <c r="AM301" i="10"/>
  <c r="AQ27" i="10"/>
  <c r="AP156" i="10"/>
  <c r="AP88" i="10"/>
  <c r="AF76" i="5"/>
  <c r="AL234" i="10"/>
  <c r="W234" i="10" s="1"/>
  <c r="AU234" i="10" s="1"/>
  <c r="AQ284" i="10"/>
  <c r="AL210" i="10"/>
  <c r="W210" i="10" s="1"/>
  <c r="AU210" i="10" s="1"/>
  <c r="AL105" i="10"/>
  <c r="AB83" i="5"/>
  <c r="AP64" i="10"/>
  <c r="AP208" i="10"/>
  <c r="AL94" i="10"/>
  <c r="AL125" i="10"/>
  <c r="AM21" i="10"/>
  <c r="V21" i="10" s="1"/>
  <c r="AT21" i="10" s="1"/>
  <c r="AF70" i="5"/>
  <c r="AM303" i="10"/>
  <c r="AL130" i="10"/>
  <c r="AL197" i="10"/>
  <c r="W197" i="10" s="1"/>
  <c r="AU197" i="10" s="1"/>
  <c r="AQ167" i="10"/>
  <c r="AM31" i="10"/>
  <c r="AP83" i="10"/>
  <c r="AM286" i="10"/>
  <c r="AL235" i="10"/>
  <c r="W235" i="10" s="1"/>
  <c r="AU235" i="10" s="1"/>
  <c r="AF62" i="5"/>
  <c r="Q62" i="5" s="1"/>
  <c r="AM201" i="10"/>
  <c r="V201" i="10" s="1"/>
  <c r="AT201" i="10" s="1"/>
  <c r="AQ28" i="10"/>
  <c r="AL38" i="10"/>
  <c r="AG76" i="5"/>
  <c r="AM250" i="10"/>
  <c r="AB78" i="5"/>
  <c r="AQ53" i="10"/>
  <c r="AM240" i="10"/>
  <c r="AM165" i="10"/>
  <c r="AM267" i="10"/>
  <c r="AQ98" i="10"/>
  <c r="AM237" i="10"/>
  <c r="V237" i="10" s="1"/>
  <c r="AT237" i="10" s="1"/>
  <c r="AL77" i="10"/>
  <c r="AF61" i="5"/>
  <c r="S61" i="5" s="1"/>
  <c r="AP197" i="10"/>
  <c r="AM43" i="10"/>
  <c r="AQ198" i="10"/>
  <c r="AM66" i="10"/>
  <c r="AL65" i="10"/>
  <c r="AQ180" i="10"/>
  <c r="AM263" i="10"/>
  <c r="AB77" i="5"/>
  <c r="AP71" i="10"/>
  <c r="AQ221" i="10"/>
  <c r="AQ41" i="10"/>
  <c r="AL268" i="10"/>
  <c r="AP227" i="10"/>
  <c r="AM269" i="10"/>
  <c r="AL182" i="10"/>
  <c r="W182" i="10" s="1"/>
  <c r="AU182" i="10" s="1"/>
  <c r="AM186" i="10"/>
  <c r="V186" i="10" s="1"/>
  <c r="AT186" i="10" s="1"/>
  <c r="AL287" i="10"/>
  <c r="AQ217" i="10"/>
  <c r="AM187" i="10"/>
  <c r="V187" i="10" s="1"/>
  <c r="AT187" i="10" s="1"/>
  <c r="AP141" i="10"/>
  <c r="AB55" i="5"/>
  <c r="N55" i="5" s="1"/>
  <c r="AP39" i="10"/>
  <c r="AQ59" i="10"/>
  <c r="AL254" i="10"/>
  <c r="AM290" i="10"/>
  <c r="AP222" i="10"/>
  <c r="AL72" i="10"/>
  <c r="AP75" i="10"/>
  <c r="AP228" i="10"/>
  <c r="AQ275" i="10"/>
  <c r="AM232" i="10"/>
  <c r="V232" i="10" s="1"/>
  <c r="AT232" i="10" s="1"/>
  <c r="AQ230" i="10"/>
  <c r="AL265" i="10"/>
  <c r="AQ216" i="10"/>
  <c r="AF71" i="5"/>
  <c r="AL123" i="10"/>
  <c r="AL280" i="10"/>
  <c r="AP114" i="10"/>
  <c r="AM258" i="10"/>
  <c r="AP129" i="10"/>
  <c r="AP301" i="10"/>
  <c r="AL308" i="10"/>
  <c r="AL122" i="10"/>
  <c r="AL132" i="10"/>
  <c r="AQ47" i="10"/>
  <c r="AP87" i="10"/>
  <c r="AB62" i="5"/>
  <c r="N62" i="5" s="1"/>
  <c r="AM135" i="10"/>
  <c r="AM296" i="10"/>
  <c r="AL73" i="10"/>
  <c r="AP92" i="10"/>
  <c r="AC42" i="5"/>
  <c r="AP37" i="10"/>
  <c r="AM87" i="10"/>
  <c r="AM18" i="10"/>
  <c r="V18" i="10" s="1"/>
  <c r="AT18" i="10" s="1"/>
  <c r="AQ133" i="10"/>
  <c r="AL217" i="10"/>
  <c r="W217" i="10" s="1"/>
  <c r="AU217" i="10" s="1"/>
  <c r="AQ78" i="10"/>
  <c r="AP184" i="10"/>
  <c r="AM126" i="10"/>
  <c r="AM194" i="10"/>
  <c r="V194" i="10" s="1"/>
  <c r="AT194" i="10" s="1"/>
  <c r="AQ56" i="10"/>
  <c r="AL99" i="10"/>
  <c r="AM238" i="10"/>
  <c r="V238" i="10" s="1"/>
  <c r="AT238" i="10" s="1"/>
  <c r="AG66" i="5"/>
  <c r="AQ269" i="10"/>
  <c r="AQ173" i="10"/>
  <c r="AP181" i="10"/>
  <c r="AL307" i="10"/>
  <c r="AP286" i="10"/>
  <c r="AQ96" i="10"/>
  <c r="AL196" i="10"/>
  <c r="W196" i="10" s="1"/>
  <c r="AU196" i="10" s="1"/>
  <c r="AL208" i="10"/>
  <c r="W208" i="10" s="1"/>
  <c r="AU208" i="10" s="1"/>
  <c r="AQ250" i="10"/>
  <c r="AM26" i="10"/>
  <c r="V26" i="10" s="1"/>
  <c r="AT26" i="10" s="1"/>
  <c r="AL90" i="10"/>
  <c r="AP238" i="10"/>
  <c r="AL204" i="10"/>
  <c r="W204" i="10" s="1"/>
  <c r="AU204" i="10" s="1"/>
  <c r="AF60" i="5"/>
  <c r="S60" i="5" s="1"/>
  <c r="AC68" i="5"/>
  <c r="AM195" i="10"/>
  <c r="V195" i="10" s="1"/>
  <c r="AT195" i="10" s="1"/>
  <c r="AL253" i="10"/>
  <c r="AL272" i="10"/>
  <c r="AP51" i="10"/>
  <c r="AP58" i="10"/>
  <c r="AQ225" i="10"/>
  <c r="AB81" i="5"/>
  <c r="AQ303" i="10"/>
  <c r="AC70" i="5"/>
  <c r="AL193" i="10"/>
  <c r="W193" i="10" s="1"/>
  <c r="AU193" i="10" s="1"/>
  <c r="AL70" i="10"/>
  <c r="AM57" i="10"/>
  <c r="AM24" i="10"/>
  <c r="V24" i="10" s="1"/>
  <c r="AT24" i="10" s="1"/>
  <c r="AL117" i="10"/>
  <c r="AQ135" i="10"/>
  <c r="AM142" i="10"/>
  <c r="AQ164" i="10"/>
  <c r="AP155" i="10"/>
  <c r="AM208" i="10"/>
  <c r="V208" i="10" s="1"/>
  <c r="AT208" i="10" s="1"/>
  <c r="AQ205" i="10"/>
  <c r="AP123" i="10"/>
  <c r="AQ233" i="10"/>
  <c r="AM129" i="10"/>
  <c r="AM256" i="10"/>
  <c r="AQ214" i="10"/>
  <c r="AL62" i="10"/>
  <c r="AF77" i="5"/>
  <c r="AF41" i="5"/>
  <c r="AM83" i="10"/>
  <c r="AP192" i="10"/>
  <c r="AQ246" i="10"/>
  <c r="AP66" i="10"/>
  <c r="AM90" i="10"/>
  <c r="AQ34" i="10"/>
  <c r="AQ26" i="10"/>
  <c r="AP268" i="10"/>
  <c r="AL243" i="10"/>
  <c r="AP180" i="10"/>
  <c r="AF42" i="5"/>
  <c r="AM242" i="10"/>
  <c r="AP215" i="10"/>
  <c r="AP101" i="10"/>
  <c r="AB75" i="5"/>
  <c r="AG85" i="5"/>
  <c r="AP117" i="10"/>
  <c r="AM75" i="10"/>
  <c r="AL106" i="10"/>
  <c r="AP193" i="10"/>
  <c r="AL113" i="10"/>
  <c r="AP201" i="10"/>
  <c r="AP269" i="10"/>
  <c r="AG42" i="5"/>
  <c r="AM82" i="10"/>
  <c r="AP276" i="10"/>
  <c r="AM271" i="10"/>
  <c r="AF72" i="5"/>
  <c r="AM300" i="10"/>
  <c r="AG75" i="5"/>
  <c r="AM306" i="10"/>
  <c r="AQ193" i="10"/>
  <c r="AM51" i="10"/>
  <c r="AQ286" i="10"/>
  <c r="AB85" i="5"/>
  <c r="AM309" i="10"/>
  <c r="AQ69" i="10"/>
  <c r="AQ264" i="10"/>
  <c r="AC83" i="5"/>
  <c r="AL164" i="10"/>
  <c r="AL58" i="10"/>
  <c r="AQ20" i="10"/>
  <c r="AL221" i="10"/>
  <c r="W221" i="10" s="1"/>
  <c r="AU221" i="10" s="1"/>
  <c r="AL239" i="10"/>
  <c r="W239" i="10" s="1"/>
  <c r="AU239" i="10" s="1"/>
  <c r="AG84" i="5"/>
  <c r="AQ235" i="10"/>
  <c r="AP35" i="10"/>
  <c r="AQ159" i="10"/>
  <c r="AG58" i="5"/>
  <c r="AL80" i="10"/>
  <c r="AM53" i="10"/>
  <c r="AL111" i="10"/>
  <c r="AL115" i="10"/>
  <c r="AM291" i="10"/>
  <c r="AQ300" i="10"/>
  <c r="AL300" i="10"/>
  <c r="AQ57" i="10"/>
  <c r="AL108" i="10"/>
  <c r="AQ238" i="10"/>
  <c r="AQ155" i="10"/>
  <c r="AP85" i="10"/>
  <c r="AL20" i="10"/>
  <c r="W20" i="10" s="1"/>
  <c r="AU20" i="10" s="1"/>
  <c r="AL173" i="10"/>
  <c r="W173" i="10" s="1"/>
  <c r="AU173" i="10" s="1"/>
  <c r="AQ183" i="10"/>
  <c r="AB53" i="5"/>
  <c r="P53" i="5" s="1"/>
  <c r="AQ95" i="10"/>
  <c r="AQ19" i="10"/>
  <c r="AP46" i="10"/>
  <c r="AL69" i="10"/>
  <c r="AP163" i="10"/>
  <c r="AM220" i="10"/>
  <c r="V220" i="10" s="1"/>
  <c r="AT220" i="10" s="1"/>
  <c r="AM123" i="10"/>
  <c r="AQ288" i="10"/>
  <c r="AP285" i="10"/>
  <c r="AL33" i="10"/>
  <c r="AP80" i="10"/>
  <c r="AL63" i="10"/>
  <c r="AP303" i="10"/>
  <c r="AM130" i="10"/>
  <c r="AM209" i="10"/>
  <c r="V209" i="10" s="1"/>
  <c r="AT209" i="10" s="1"/>
  <c r="AM222" i="10"/>
  <c r="V222" i="10" s="1"/>
  <c r="AT222" i="10" s="1"/>
  <c r="AQ63" i="10"/>
  <c r="AB67" i="5"/>
  <c r="AQ134" i="10"/>
  <c r="AP229" i="10"/>
  <c r="AQ201" i="10"/>
  <c r="AP118" i="10"/>
  <c r="AM40" i="10"/>
  <c r="AL60" i="10"/>
  <c r="AL237" i="10"/>
  <c r="W237" i="10" s="1"/>
  <c r="AU237" i="10" s="1"/>
  <c r="AL304" i="10"/>
  <c r="AL23" i="10"/>
  <c r="W23" i="10" s="1"/>
  <c r="AU23" i="10" s="1"/>
  <c r="AL47" i="10"/>
  <c r="AM206" i="10"/>
  <c r="V206" i="10" s="1"/>
  <c r="AT206" i="10" s="1"/>
  <c r="AB66" i="5"/>
  <c r="AM33" i="10"/>
  <c r="AM49" i="10"/>
  <c r="AC65" i="5"/>
  <c r="AQ168" i="10"/>
  <c r="AL97" i="10"/>
  <c r="AM180" i="10"/>
  <c r="V180" i="10" s="1"/>
  <c r="AT180" i="10" s="1"/>
  <c r="AP288" i="10"/>
  <c r="AL209" i="10"/>
  <c r="W209" i="10" s="1"/>
  <c r="AU209" i="10" s="1"/>
  <c r="AQ85" i="10"/>
  <c r="AP307" i="10"/>
  <c r="AQ239" i="10"/>
  <c r="AP60" i="10"/>
  <c r="AF67" i="5"/>
  <c r="AP82" i="10"/>
  <c r="AP59" i="10"/>
  <c r="AC82" i="5"/>
  <c r="AM178" i="10"/>
  <c r="V178" i="10" s="1"/>
  <c r="AT178" i="10" s="1"/>
  <c r="AQ84" i="10"/>
  <c r="AP200" i="10"/>
  <c r="AP209" i="10"/>
  <c r="AL249" i="10"/>
  <c r="AM275" i="10"/>
  <c r="AP108" i="10"/>
  <c r="AC54" i="5"/>
  <c r="AL87" i="10"/>
  <c r="AQ127" i="10"/>
  <c r="AQ65" i="10"/>
  <c r="AP284" i="10"/>
  <c r="AM52" i="10"/>
  <c r="AP99" i="10"/>
  <c r="AB86" i="5"/>
  <c r="AM231" i="10"/>
  <c r="V231" i="10" s="1"/>
  <c r="AT231" i="10" s="1"/>
  <c r="AM257" i="10"/>
  <c r="AP216" i="10"/>
  <c r="AP256" i="10"/>
  <c r="AL229" i="10"/>
  <c r="W229" i="10" s="1"/>
  <c r="AU229" i="10" s="1"/>
  <c r="AL238" i="10"/>
  <c r="W238" i="10" s="1"/>
  <c r="AU238" i="10" s="1"/>
  <c r="AQ70" i="10"/>
  <c r="AC53" i="5"/>
  <c r="O53" i="5" s="1"/>
  <c r="AQ272" i="10"/>
  <c r="AP206" i="10"/>
  <c r="AP304" i="10"/>
  <c r="AG86" i="5"/>
  <c r="AQ103" i="10"/>
  <c r="AQ72" i="10"/>
  <c r="AC64" i="5"/>
  <c r="AL112" i="10"/>
  <c r="AQ37" i="10"/>
  <c r="AQ189" i="10"/>
  <c r="AL52" i="10"/>
  <c r="AB80" i="5"/>
  <c r="AM196" i="10"/>
  <c r="V196" i="10" s="1"/>
  <c r="AT196" i="10" s="1"/>
  <c r="AL83" i="10"/>
  <c r="AL230" i="10"/>
  <c r="W230" i="10" s="1"/>
  <c r="AU230" i="10" s="1"/>
  <c r="AL162" i="10"/>
  <c r="AQ281" i="10"/>
  <c r="AL180" i="10"/>
  <c r="W180" i="10" s="1"/>
  <c r="AU180" i="10" s="1"/>
  <c r="AM298" i="10"/>
  <c r="AF69" i="5"/>
  <c r="AF53" i="5"/>
  <c r="S53" i="5" s="1"/>
  <c r="AM294" i="10"/>
  <c r="AL96" i="10"/>
  <c r="AM304" i="10"/>
  <c r="AL126" i="10"/>
  <c r="AM77" i="10"/>
  <c r="AL64" i="10"/>
  <c r="AQ75" i="10"/>
  <c r="AP164" i="10"/>
  <c r="AP119" i="10"/>
  <c r="AM280" i="10"/>
  <c r="AP32" i="10"/>
  <c r="AL89" i="10"/>
  <c r="AQ31" i="10"/>
  <c r="AM221" i="10"/>
  <c r="V221" i="10" s="1"/>
  <c r="AT221" i="10" s="1"/>
  <c r="AP249" i="10"/>
  <c r="AP224" i="10"/>
  <c r="AQ298" i="10"/>
  <c r="AL274" i="10"/>
  <c r="AP116" i="10"/>
  <c r="AM215" i="10"/>
  <c r="V215" i="10" s="1"/>
  <c r="AT215" i="10" s="1"/>
  <c r="AL282" i="10"/>
  <c r="AP135" i="10"/>
  <c r="AF75" i="5"/>
  <c r="AQ99" i="10"/>
  <c r="AP210" i="10"/>
  <c r="AL219" i="10"/>
  <c r="W219" i="10" s="1"/>
  <c r="AU219" i="10" s="1"/>
  <c r="AQ302" i="10"/>
  <c r="AQ222" i="10"/>
  <c r="AL278" i="10"/>
  <c r="AQ54" i="10"/>
  <c r="AM55" i="10"/>
  <c r="AQ172" i="10"/>
  <c r="AP97" i="10"/>
  <c r="AP42" i="10"/>
  <c r="AM94" i="10"/>
  <c r="AP203" i="10"/>
  <c r="AP140" i="10"/>
  <c r="AQ279" i="10"/>
  <c r="AG79" i="5"/>
  <c r="AM124" i="10"/>
  <c r="AP300" i="10"/>
  <c r="AP41" i="10"/>
  <c r="AP275" i="10"/>
  <c r="AF66" i="5"/>
  <c r="AP194" i="10"/>
  <c r="AM161" i="10"/>
  <c r="AQ33" i="10"/>
  <c r="AM173" i="10"/>
  <c r="V173" i="10" s="1"/>
  <c r="AT173" i="10" s="1"/>
  <c r="AM88" i="10"/>
  <c r="AM252" i="10"/>
  <c r="AQ115" i="10"/>
  <c r="AM225" i="10"/>
  <c r="V225" i="10" s="1"/>
  <c r="AT225" i="10" s="1"/>
  <c r="AP132" i="10"/>
  <c r="AL294" i="10"/>
  <c r="AQ226" i="10"/>
  <c r="AM287" i="10"/>
  <c r="AL116" i="10"/>
  <c r="AL233" i="10"/>
  <c r="W233" i="10" s="1"/>
  <c r="AU233" i="10" s="1"/>
  <c r="AQ23" i="10"/>
  <c r="AL199" i="10"/>
  <c r="W199" i="10" s="1"/>
  <c r="AU199" i="10" s="1"/>
  <c r="AQ32" i="10"/>
  <c r="AM247" i="10"/>
  <c r="AP178" i="10"/>
  <c r="AP226" i="10"/>
  <c r="AM207" i="10"/>
  <c r="V207" i="10" s="1"/>
  <c r="AT207" i="10" s="1"/>
  <c r="AP239" i="10"/>
  <c r="AM118" i="10"/>
  <c r="AL266" i="10"/>
  <c r="AP122" i="10"/>
  <c r="AP36" i="10"/>
  <c r="AQ64" i="10"/>
  <c r="AP198" i="10"/>
  <c r="AM189" i="10"/>
  <c r="V189" i="10" s="1"/>
  <c r="AT189" i="10" s="1"/>
  <c r="AQ294" i="10"/>
  <c r="AM224" i="10"/>
  <c r="V224" i="10" s="1"/>
  <c r="AT224" i="10" s="1"/>
  <c r="AP212" i="10"/>
  <c r="AP218" i="10"/>
  <c r="AF86" i="5"/>
  <c r="AL270" i="10"/>
  <c r="AM203" i="10"/>
  <c r="V203" i="10" s="1"/>
  <c r="AT203" i="10" s="1"/>
  <c r="AQ157" i="10"/>
  <c r="AQ185" i="10"/>
  <c r="AM164" i="10"/>
  <c r="AM307" i="10"/>
  <c r="AQ61" i="10"/>
  <c r="AQ44" i="10"/>
  <c r="AQ21" i="10"/>
  <c r="AQ111" i="10"/>
  <c r="AM105" i="10"/>
  <c r="AL198" i="10"/>
  <c r="W198" i="10" s="1"/>
  <c r="AU198" i="10" s="1"/>
  <c r="AM86" i="10"/>
  <c r="AM56" i="10"/>
  <c r="AP213" i="10"/>
  <c r="AF55" i="5"/>
  <c r="Q55" i="5" s="1"/>
  <c r="AG83" i="5"/>
  <c r="AM259" i="10"/>
  <c r="AQ266" i="10"/>
  <c r="AL57" i="10"/>
  <c r="AQ301" i="10"/>
  <c r="AL169" i="10"/>
  <c r="W169" i="10" s="1"/>
  <c r="AU169" i="10" s="1"/>
  <c r="AC67" i="5"/>
  <c r="AQ295" i="10"/>
  <c r="AL67" i="10"/>
  <c r="AP289" i="10"/>
  <c r="AQ192" i="10"/>
  <c r="AP191" i="10"/>
  <c r="AQ304" i="10"/>
  <c r="AB63" i="5"/>
  <c r="N63" i="5" s="1"/>
  <c r="AL41" i="10"/>
  <c r="AQ252" i="10"/>
  <c r="AL17" i="10"/>
  <c r="W17" i="10" s="1"/>
  <c r="AU17" i="10" s="1"/>
  <c r="AF82" i="5"/>
  <c r="AQ261" i="10"/>
  <c r="AQ249" i="10"/>
  <c r="AQ123" i="10"/>
  <c r="AM133" i="10"/>
  <c r="AP246" i="10"/>
  <c r="AP17" i="10"/>
  <c r="AL295" i="10"/>
  <c r="AP244" i="10"/>
  <c r="AF73" i="5"/>
  <c r="AM277" i="10"/>
  <c r="AM104" i="10"/>
  <c r="AP182" i="10"/>
  <c r="AP90" i="10"/>
  <c r="AF52" i="5"/>
  <c r="S52" i="5" s="1"/>
  <c r="AL202" i="10"/>
  <c r="W202" i="10" s="1"/>
  <c r="AU202" i="10" s="1"/>
  <c r="AL102" i="10"/>
  <c r="AL227" i="10"/>
  <c r="W227" i="10" s="1"/>
  <c r="AU227" i="10" s="1"/>
  <c r="AM255" i="10"/>
  <c r="AM112" i="10"/>
  <c r="AP91" i="10"/>
  <c r="AL286" i="10"/>
  <c r="AM179" i="10"/>
  <c r="V179" i="10" s="1"/>
  <c r="AT179" i="10" s="1"/>
  <c r="AP261" i="10"/>
  <c r="AQ42" i="10"/>
  <c r="AB84" i="5"/>
  <c r="AC56" i="5"/>
  <c r="AQ251" i="10"/>
  <c r="AL187" i="10"/>
  <c r="W187" i="10" s="1"/>
  <c r="AU187" i="10" s="1"/>
  <c r="AP158" i="10"/>
  <c r="AM193" i="10"/>
  <c r="V193" i="10" s="1"/>
  <c r="AT193" i="10" s="1"/>
  <c r="AB65" i="5"/>
  <c r="AP81" i="10"/>
  <c r="AM80" i="10"/>
  <c r="AM293" i="10"/>
  <c r="AQ229" i="10"/>
  <c r="AL27" i="10"/>
  <c r="W27" i="10" s="1"/>
  <c r="AU27" i="10" s="1"/>
  <c r="AQ140" i="10"/>
  <c r="AF83" i="5"/>
  <c r="AP247" i="10"/>
  <c r="AP120" i="10"/>
  <c r="AM172" i="10"/>
  <c r="V172" i="10" s="1"/>
  <c r="AT172" i="10" s="1"/>
  <c r="AQ174" i="10"/>
  <c r="AM190" i="10"/>
  <c r="V190" i="10" s="1"/>
  <c r="AT190" i="10" s="1"/>
  <c r="AL281" i="10"/>
  <c r="AM163" i="10"/>
  <c r="AL271" i="10"/>
  <c r="AL183" i="10"/>
  <c r="W183" i="10" s="1"/>
  <c r="AU183" i="10" s="1"/>
  <c r="AP283" i="10"/>
  <c r="AQ82" i="10"/>
  <c r="AM138" i="10"/>
  <c r="AQ166" i="10"/>
  <c r="AP77" i="10"/>
  <c r="AP179" i="10"/>
  <c r="AP291" i="10"/>
  <c r="AL252" i="10"/>
  <c r="AP177" i="10"/>
  <c r="AL68" i="10"/>
  <c r="AQ273" i="10"/>
  <c r="AL26" i="10"/>
  <c r="W26" i="10" s="1"/>
  <c r="AU26" i="10" s="1"/>
  <c r="AL257" i="10"/>
  <c r="AP24" i="10"/>
  <c r="AL181" i="10"/>
  <c r="W181" i="10" s="1"/>
  <c r="AU181" i="10" s="1"/>
  <c r="AQ278" i="10"/>
  <c r="AL141" i="10"/>
  <c r="AQ257" i="10"/>
  <c r="AF84" i="5"/>
  <c r="AM22" i="10"/>
  <c r="V22" i="10" s="1"/>
  <c r="AT22" i="10" s="1"/>
  <c r="AM157" i="10"/>
  <c r="AP19" i="10"/>
  <c r="AQ35" i="10"/>
  <c r="AL290" i="10"/>
  <c r="AQ253" i="10"/>
  <c r="AM59" i="10"/>
  <c r="AM243" i="10"/>
  <c r="AP169" i="10"/>
  <c r="AL246" i="10"/>
  <c r="AP47" i="10"/>
  <c r="AL194" i="10"/>
  <c r="W194" i="10" s="1"/>
  <c r="AU194" i="10" s="1"/>
  <c r="AP295" i="10"/>
  <c r="AL109" i="10"/>
  <c r="AQ102" i="10"/>
  <c r="AM134" i="10"/>
  <c r="AC80" i="5"/>
  <c r="AL138" i="10"/>
  <c r="AL142" i="10"/>
  <c r="AQ210" i="10"/>
  <c r="AM192" i="10"/>
  <c r="V192" i="10" s="1"/>
  <c r="AT192" i="10" s="1"/>
  <c r="AG69" i="5"/>
  <c r="AL51" i="10"/>
  <c r="AP202" i="10"/>
  <c r="AB70" i="5"/>
  <c r="AP172" i="10"/>
  <c r="AP195" i="10"/>
  <c r="AB54" i="5"/>
  <c r="N54" i="5" s="1"/>
  <c r="AQ129" i="10"/>
  <c r="AP104" i="10"/>
  <c r="AL101" i="10"/>
  <c r="AL205" i="10"/>
  <c r="W205" i="10" s="1"/>
  <c r="AU205" i="10" s="1"/>
  <c r="AP22" i="10"/>
  <c r="AM58" i="10"/>
  <c r="AL135" i="10"/>
  <c r="AP134" i="10"/>
  <c r="AL34" i="10"/>
  <c r="AG81" i="5"/>
  <c r="AQ206" i="10"/>
  <c r="AG65" i="5"/>
  <c r="AM98" i="10"/>
  <c r="AG55" i="5"/>
  <c r="R55" i="5" s="1"/>
  <c r="AQ73" i="10"/>
  <c r="AM219" i="10"/>
  <c r="V219" i="10" s="1"/>
  <c r="AT219" i="10" s="1"/>
  <c r="AP26" i="10"/>
  <c r="AL309" i="10"/>
  <c r="AQ248" i="10"/>
  <c r="AC77" i="5"/>
  <c r="AQ48" i="10"/>
  <c r="AQ139" i="10"/>
  <c r="AP111" i="10"/>
  <c r="AQ245" i="10"/>
  <c r="AL35" i="10"/>
  <c r="AQ223" i="10"/>
  <c r="AM282" i="10"/>
  <c r="AL160" i="10"/>
  <c r="AQ120" i="10"/>
  <c r="AF80" i="5"/>
  <c r="AL222" i="10"/>
  <c r="W222" i="10" s="1"/>
  <c r="AU222" i="10" s="1"/>
  <c r="AM48" i="10"/>
  <c r="AL170" i="10"/>
  <c r="W170" i="10" s="1"/>
  <c r="AU170" i="10" s="1"/>
  <c r="AL247" i="10"/>
  <c r="AM249" i="10"/>
  <c r="AP255" i="10"/>
  <c r="AP68" i="10"/>
  <c r="AB51" i="5"/>
  <c r="P51" i="5" s="1"/>
  <c r="AP309" i="10"/>
  <c r="AQ141" i="10"/>
  <c r="AL216" i="10"/>
  <c r="W216" i="10" s="1"/>
  <c r="AU216" i="10" s="1"/>
  <c r="AP235" i="10"/>
  <c r="AP225" i="10"/>
  <c r="AL174" i="10"/>
  <c r="W174" i="10" s="1"/>
  <c r="AU174" i="10" s="1"/>
  <c r="AQ232" i="10"/>
  <c r="AM185" i="10"/>
  <c r="V185" i="10" s="1"/>
  <c r="AT185" i="10" s="1"/>
  <c r="AQ212" i="10"/>
  <c r="AM50" i="10"/>
  <c r="AP89" i="10"/>
  <c r="AQ244" i="10"/>
  <c r="AL37" i="10"/>
  <c r="AQ276" i="10"/>
  <c r="AM245" i="10"/>
  <c r="AP63" i="10"/>
  <c r="AP18" i="10"/>
  <c r="AL167" i="10"/>
  <c r="AQ209" i="10"/>
  <c r="AP265" i="10"/>
  <c r="AM272" i="10"/>
  <c r="AQ265" i="10"/>
  <c r="AG67" i="5"/>
  <c r="AQ122" i="10"/>
  <c r="AL267" i="10"/>
  <c r="AM260" i="10"/>
  <c r="AP96" i="10"/>
  <c r="AP124" i="10"/>
  <c r="AL263" i="10"/>
  <c r="AQ270" i="10"/>
  <c r="AQ309" i="10"/>
  <c r="AQ128" i="10"/>
  <c r="AM42" i="10"/>
  <c r="AQ97" i="10"/>
  <c r="AL24" i="10"/>
  <c r="W24" i="10" s="1"/>
  <c r="AU24" i="10" s="1"/>
  <c r="AM234" i="10"/>
  <c r="V234" i="10" s="1"/>
  <c r="AT234" i="10" s="1"/>
  <c r="AQ126" i="10"/>
  <c r="AL159" i="10"/>
  <c r="AP264" i="10"/>
  <c r="AP204" i="10"/>
  <c r="AM44" i="10"/>
  <c r="AL91" i="10"/>
  <c r="AL175" i="10"/>
  <c r="W175" i="10" s="1"/>
  <c r="AU175" i="10" s="1"/>
  <c r="AM251" i="10"/>
  <c r="AP262" i="10"/>
  <c r="AP115" i="10"/>
  <c r="AP279" i="10"/>
  <c r="AL136" i="10"/>
  <c r="AM273" i="10"/>
  <c r="AL165" i="10"/>
  <c r="AM168" i="10"/>
  <c r="V168" i="10" s="1"/>
  <c r="AT168" i="10" s="1"/>
  <c r="AQ236" i="10"/>
  <c r="AM278" i="10"/>
  <c r="AP242" i="10"/>
  <c r="AQ176" i="10"/>
  <c r="AM276" i="10"/>
  <c r="AG74" i="5"/>
  <c r="AM268" i="10"/>
  <c r="AB74" i="5"/>
  <c r="AP65" i="10"/>
  <c r="AL157" i="10"/>
  <c r="AQ160" i="10"/>
  <c r="AM106" i="10"/>
  <c r="AM61" i="10"/>
  <c r="AM20" i="10"/>
  <c r="V20" i="10" s="1"/>
  <c r="AT20" i="10" s="1"/>
  <c r="AM115" i="10"/>
  <c r="AM127" i="10"/>
  <c r="AM62" i="10"/>
  <c r="AL50" i="10"/>
  <c r="AP138" i="10"/>
  <c r="AF79" i="5"/>
  <c r="AQ18" i="10"/>
  <c r="AL250" i="10"/>
  <c r="AM41" i="10"/>
  <c r="AL242" i="10"/>
  <c r="AL59" i="10"/>
  <c r="AQ110" i="10"/>
  <c r="AP102" i="10"/>
  <c r="AB68" i="5"/>
  <c r="AM34" i="10"/>
  <c r="AQ237" i="10"/>
  <c r="AC78" i="5"/>
  <c r="AQ25" i="10"/>
  <c r="AP232" i="10"/>
  <c r="AL36" i="10"/>
  <c r="AQ204" i="10"/>
  <c r="AP127" i="10"/>
  <c r="AP245" i="10"/>
  <c r="AQ49" i="10"/>
  <c r="AP78" i="10"/>
  <c r="AM169" i="10"/>
  <c r="V169" i="10" s="1"/>
  <c r="AT169" i="10" s="1"/>
  <c r="AP296" i="10"/>
  <c r="AQ46" i="10"/>
  <c r="AP270" i="10"/>
  <c r="AM136" i="10"/>
  <c r="AM167" i="10"/>
  <c r="AM233" i="10"/>
  <c r="V233" i="10" s="1"/>
  <c r="AT233" i="10" s="1"/>
  <c r="AQ213" i="10"/>
  <c r="AM279" i="10"/>
  <c r="AP190" i="10"/>
  <c r="AP171" i="10"/>
  <c r="AG68" i="5"/>
  <c r="AM65" i="10"/>
  <c r="AP160" i="10"/>
  <c r="AC61" i="5"/>
  <c r="O61" i="5" s="1"/>
  <c r="AL214" i="10"/>
  <c r="W214" i="10" s="1"/>
  <c r="AU214" i="10" s="1"/>
  <c r="AB57" i="5"/>
  <c r="AG56" i="5"/>
  <c r="R56" i="5" s="1"/>
  <c r="AQ186" i="10"/>
  <c r="AQ240" i="10"/>
  <c r="AM120" i="10"/>
  <c r="AQ306" i="10"/>
  <c r="AP277" i="10"/>
  <c r="AP100" i="10"/>
  <c r="AQ113" i="10"/>
  <c r="AM228" i="10"/>
  <c r="V228" i="10" s="1"/>
  <c r="AT228" i="10" s="1"/>
  <c r="AM155" i="10"/>
  <c r="AP70" i="10"/>
  <c r="AQ118" i="10"/>
  <c r="AQ162" i="10"/>
  <c r="AF68" i="5"/>
  <c r="AQ188" i="10"/>
  <c r="AM214" i="10"/>
  <c r="V214" i="10" s="1"/>
  <c r="AT214" i="10" s="1"/>
  <c r="AL285" i="10"/>
  <c r="AF81" i="5"/>
  <c r="AQ71" i="10"/>
  <c r="AL258" i="10"/>
  <c r="AC73" i="5"/>
  <c r="AL93" i="10"/>
  <c r="AQ260" i="10"/>
  <c r="AM204" i="10"/>
  <c r="V204" i="10" s="1"/>
  <c r="AT204" i="10" s="1"/>
  <c r="AM212" i="10"/>
  <c r="V212" i="10" s="1"/>
  <c r="AT212" i="10" s="1"/>
  <c r="AM230" i="10"/>
  <c r="V230" i="10" s="1"/>
  <c r="AT230" i="10" s="1"/>
  <c r="AC62" i="5"/>
  <c r="O62" i="5" s="1"/>
  <c r="AQ262" i="10"/>
  <c r="AM264" i="10"/>
  <c r="AL95" i="10"/>
  <c r="AL297" i="10"/>
  <c r="AQ158" i="10"/>
  <c r="AP292" i="10"/>
  <c r="AL220" i="10"/>
  <c r="W220" i="10" s="1"/>
  <c r="AU220" i="10" s="1"/>
  <c r="AM254" i="10"/>
  <c r="AC72" i="5"/>
  <c r="AL269" i="10"/>
  <c r="AQ256" i="10"/>
  <c r="AQ227" i="10"/>
  <c r="AM109" i="10"/>
  <c r="AP86" i="10"/>
  <c r="AB59" i="5"/>
  <c r="P59" i="5" s="1"/>
  <c r="AL185" i="10"/>
  <c r="W185" i="10" s="1"/>
  <c r="AU185" i="10" s="1"/>
  <c r="AP67" i="10"/>
  <c r="AP186" i="10"/>
  <c r="AM188" i="10"/>
  <c r="V188" i="10" s="1"/>
  <c r="AT188" i="10" s="1"/>
  <c r="AM223" i="10"/>
  <c r="V223" i="10" s="1"/>
  <c r="AT223" i="10" s="1"/>
  <c r="AL200" i="10"/>
  <c r="W200" i="10" s="1"/>
  <c r="AU200" i="10" s="1"/>
  <c r="AP273" i="10"/>
  <c r="AQ203" i="10"/>
  <c r="AM117" i="10"/>
  <c r="AB71" i="5"/>
  <c r="AP170" i="10"/>
  <c r="AQ220" i="10"/>
  <c r="AB60" i="5"/>
  <c r="P60" i="5" s="1"/>
  <c r="AQ58" i="10"/>
  <c r="AQ178" i="10"/>
  <c r="AL40" i="10"/>
  <c r="AM89" i="10"/>
  <c r="AB79" i="5"/>
  <c r="AP241" i="10"/>
  <c r="AP260" i="10"/>
  <c r="AM96" i="10"/>
  <c r="AM170" i="10"/>
  <c r="V170" i="10" s="1"/>
  <c r="AT170" i="10" s="1"/>
  <c r="AL31" i="10"/>
  <c r="AP103" i="10"/>
  <c r="AQ88" i="10"/>
  <c r="AP271" i="10"/>
  <c r="AM47" i="10"/>
  <c r="AM156" i="10"/>
  <c r="AQ89" i="10"/>
  <c r="AQ254" i="10"/>
  <c r="AP243" i="10"/>
  <c r="AP281" i="10"/>
  <c r="AQ177" i="10"/>
  <c r="AL178" i="10"/>
  <c r="W178" i="10" s="1"/>
  <c r="AU178" i="10" s="1"/>
  <c r="AL177" i="10"/>
  <c r="W177" i="10" s="1"/>
  <c r="AU177" i="10" s="1"/>
  <c r="AL293" i="10"/>
  <c r="AM248" i="10"/>
  <c r="AP274" i="10"/>
  <c r="AQ219" i="10"/>
  <c r="AL107" i="10"/>
  <c r="AC69" i="5"/>
  <c r="AQ181" i="10"/>
  <c r="AQ130" i="10"/>
  <c r="AP25" i="10"/>
  <c r="AM218" i="10"/>
  <c r="V218" i="10" s="1"/>
  <c r="AT218" i="10" s="1"/>
  <c r="AF57" i="5"/>
  <c r="AF51" i="5"/>
  <c r="S51" i="5" s="1"/>
  <c r="AL75" i="10"/>
  <c r="AP220" i="10"/>
  <c r="AP305" i="10"/>
  <c r="AP187" i="10"/>
  <c r="AP298" i="10"/>
  <c r="AL244" i="10"/>
  <c r="AP234" i="10"/>
  <c r="AQ124" i="10"/>
  <c r="AP290" i="10"/>
  <c r="AL120" i="10"/>
  <c r="AM125" i="10"/>
  <c r="AP126" i="10"/>
  <c r="AQ93" i="10"/>
  <c r="AL56" i="10"/>
  <c r="AL231" i="10"/>
  <c r="W231" i="10" s="1"/>
  <c r="AU231" i="10" s="1"/>
  <c r="AC52" i="5"/>
  <c r="O52" i="5" s="1"/>
  <c r="AM128" i="10"/>
  <c r="AL139" i="10"/>
  <c r="AM197" i="10"/>
  <c r="V197" i="10" s="1"/>
  <c r="AT197" i="10" s="1"/>
  <c r="AQ267" i="10"/>
  <c r="AQ55" i="10"/>
  <c r="AM284" i="10"/>
  <c r="AP257" i="10"/>
  <c r="AF63" i="5"/>
  <c r="Q63" i="5" s="1"/>
  <c r="AQ285" i="10"/>
  <c r="AP40" i="10"/>
  <c r="AM35" i="10"/>
  <c r="AQ83" i="10"/>
  <c r="AL131" i="10"/>
  <c r="AG54" i="5"/>
  <c r="AQ280" i="10"/>
  <c r="AM46" i="10"/>
  <c r="AB56" i="5"/>
  <c r="N56" i="5" s="1"/>
  <c r="AL226" i="10"/>
  <c r="W226" i="10" s="1"/>
  <c r="AU226" i="10" s="1"/>
  <c r="AP237" i="10"/>
  <c r="AL28" i="10"/>
  <c r="W28" i="10" s="1"/>
  <c r="AU28" i="10" s="1"/>
  <c r="AM37" i="10"/>
  <c r="AL19" i="10"/>
  <c r="W19" i="10" s="1"/>
  <c r="AU19" i="10" s="1"/>
  <c r="AQ165" i="10"/>
  <c r="AM101" i="10"/>
  <c r="AP287" i="10"/>
  <c r="AQ24" i="10"/>
  <c r="AL279" i="10"/>
  <c r="AQ86" i="10"/>
  <c r="AM78" i="10"/>
  <c r="AM69" i="10"/>
  <c r="AP230" i="10"/>
  <c r="AL81" i="10"/>
  <c r="AL289" i="10"/>
  <c r="AP61" i="10"/>
  <c r="AQ255" i="10"/>
  <c r="AM308" i="10"/>
  <c r="AM236" i="10"/>
  <c r="V236" i="10" s="1"/>
  <c r="AT236" i="10" s="1"/>
  <c r="AM191" i="10"/>
  <c r="V191" i="10" s="1"/>
  <c r="AT191" i="10" s="1"/>
  <c r="AG64" i="5"/>
  <c r="R64" i="5" s="1"/>
  <c r="AM97" i="10"/>
  <c r="AL303" i="10"/>
  <c r="AM137" i="10"/>
  <c r="AL277" i="10"/>
  <c r="AQ125" i="10"/>
  <c r="AL61" i="10"/>
  <c r="AQ283" i="10"/>
  <c r="AQ282" i="10"/>
  <c r="AL42" i="10"/>
  <c r="AQ197" i="10"/>
  <c r="AC75" i="5"/>
  <c r="AP173" i="10"/>
  <c r="AQ170" i="10"/>
  <c r="AQ119" i="10"/>
  <c r="AP236" i="10"/>
  <c r="AP258" i="10"/>
  <c r="AM205" i="10"/>
  <c r="V205" i="10" s="1"/>
  <c r="AT205" i="10" s="1"/>
  <c r="AP168" i="10"/>
  <c r="AM93" i="10"/>
  <c r="AP162" i="10"/>
  <c r="AP107" i="10"/>
  <c r="AM68" i="10"/>
  <c r="AP31" i="10"/>
  <c r="AL248" i="10"/>
  <c r="AL32" i="10"/>
  <c r="AQ66" i="10"/>
  <c r="AB76" i="5"/>
  <c r="AG73" i="5"/>
  <c r="AP240" i="10"/>
  <c r="Z240" i="10" s="1"/>
  <c r="AC63" i="5"/>
  <c r="O63" i="5" s="1"/>
  <c r="AP139" i="10"/>
  <c r="AL66" i="10"/>
  <c r="AB58" i="5"/>
  <c r="AL276" i="10"/>
  <c r="AP263" i="10"/>
  <c r="AP27" i="10"/>
  <c r="AL236" i="10"/>
  <c r="W236" i="10" s="1"/>
  <c r="AU236" i="10" s="1"/>
  <c r="AL191" i="10"/>
  <c r="W191" i="10" s="1"/>
  <c r="AU191" i="10" s="1"/>
  <c r="AF54" i="5"/>
  <c r="Q54" i="5" s="1"/>
  <c r="AP219" i="10"/>
  <c r="AL184" i="10"/>
  <c r="W184" i="10" s="1"/>
  <c r="AU184" i="10" s="1"/>
  <c r="AL176" i="10"/>
  <c r="W176" i="10" s="1"/>
  <c r="AU176" i="10" s="1"/>
  <c r="AM103" i="10"/>
  <c r="AL245" i="10"/>
  <c r="AL92" i="10"/>
  <c r="AM70" i="10"/>
  <c r="AP308" i="10"/>
  <c r="AP95" i="10"/>
  <c r="AL78" i="10"/>
  <c r="AM281" i="10"/>
  <c r="AL79" i="10"/>
  <c r="AQ156" i="10"/>
  <c r="AL291" i="10"/>
  <c r="AM141" i="10"/>
  <c r="AQ208" i="10"/>
  <c r="AM198" i="10"/>
  <c r="V198" i="10" s="1"/>
  <c r="AT198" i="10" s="1"/>
  <c r="AB64" i="5"/>
  <c r="N64" i="5" s="1"/>
  <c r="AP50" i="10"/>
  <c r="AQ263" i="10"/>
  <c r="AM108" i="10"/>
  <c r="AL163" i="10"/>
  <c r="AM262" i="10"/>
  <c r="AQ108" i="10"/>
  <c r="AQ137" i="10"/>
  <c r="AP280" i="10"/>
  <c r="AM216" i="10"/>
  <c r="V216" i="10" s="1"/>
  <c r="AT216" i="10" s="1"/>
  <c r="AQ105" i="10"/>
  <c r="AM227" i="10"/>
  <c r="V227" i="10" s="1"/>
  <c r="AT227" i="10" s="1"/>
  <c r="AL264" i="10"/>
  <c r="AP21" i="10"/>
  <c r="AM91" i="10"/>
  <c r="AM229" i="10"/>
  <c r="V229" i="10" s="1"/>
  <c r="AT229" i="10" s="1"/>
  <c r="AM32" i="10"/>
  <c r="AM111" i="10"/>
  <c r="AC51" i="5"/>
  <c r="O51" i="5" s="1"/>
  <c r="AB72" i="5"/>
  <c r="AQ90" i="10"/>
  <c r="AP214" i="10"/>
  <c r="AP252" i="10"/>
  <c r="AQ51" i="10"/>
  <c r="AQ277" i="10"/>
  <c r="AQ259" i="10"/>
  <c r="AM63" i="10"/>
  <c r="AM239" i="10"/>
  <c r="V239" i="10" s="1"/>
  <c r="AT239" i="10" s="1"/>
  <c r="AP174" i="10"/>
  <c r="AC84" i="5"/>
  <c r="AL192" i="10"/>
  <c r="W192" i="10" s="1"/>
  <c r="AU192" i="10" s="1"/>
  <c r="AM28" i="10"/>
  <c r="V28" i="10" s="1"/>
  <c r="AT28" i="10" s="1"/>
  <c r="AP98" i="10"/>
  <c r="AL133" i="10"/>
  <c r="AM107" i="10"/>
  <c r="AL128" i="10"/>
  <c r="AP297" i="10"/>
  <c r="AP84" i="10"/>
  <c r="AM283" i="10"/>
  <c r="AQ17" i="10"/>
  <c r="AP251" i="10"/>
  <c r="AL251" i="10"/>
  <c r="AL22" i="10"/>
  <c r="W22" i="10" s="1"/>
  <c r="AU22" i="10" s="1"/>
  <c r="AM288" i="10"/>
  <c r="AP93" i="10"/>
  <c r="AG53" i="5"/>
  <c r="R53" i="5" s="1"/>
  <c r="AL296" i="10"/>
  <c r="AQ77" i="10"/>
  <c r="AM79" i="10"/>
  <c r="AQ38" i="10"/>
  <c r="AQ196" i="10"/>
  <c r="AL241" i="10"/>
  <c r="AM81" i="10"/>
  <c r="AC76" i="5"/>
  <c r="AP128" i="10"/>
  <c r="AP183" i="10"/>
  <c r="AM226" i="10"/>
  <c r="V226" i="10" s="1"/>
  <c r="AT226" i="10" s="1"/>
  <c r="AQ224" i="10"/>
  <c r="AL55" i="10"/>
  <c r="AC58" i="5"/>
  <c r="AQ104" i="10"/>
  <c r="AP54" i="10"/>
  <c r="AM159" i="10"/>
  <c r="AL88" i="10"/>
  <c r="AM200" i="10"/>
  <c r="V200" i="10" s="1"/>
  <c r="AT200" i="10" s="1"/>
  <c r="AL18" i="10"/>
  <c r="W18" i="10" s="1"/>
  <c r="AU18" i="10" s="1"/>
  <c r="AC55" i="5"/>
  <c r="O55" i="5" s="1"/>
  <c r="AL225" i="10"/>
  <c r="W225" i="10" s="1"/>
  <c r="AU225" i="10" s="1"/>
  <c r="AQ67" i="10"/>
  <c r="AG70" i="5"/>
  <c r="AM274" i="10"/>
  <c r="AL71" i="10"/>
  <c r="AP293" i="10"/>
  <c r="AM171" i="10"/>
  <c r="V171" i="10" s="1"/>
  <c r="AT171" i="10" s="1"/>
  <c r="AL203" i="10"/>
  <c r="W203" i="10" s="1"/>
  <c r="AU203" i="10" s="1"/>
  <c r="AM266" i="10"/>
  <c r="AL302" i="10"/>
  <c r="AL53" i="10"/>
  <c r="AG78" i="5"/>
  <c r="AL100" i="10"/>
  <c r="AL46" i="10"/>
  <c r="AP166" i="10"/>
  <c r="AG51" i="5"/>
  <c r="R51" i="5" s="1"/>
  <c r="AM64" i="10"/>
  <c r="AQ175" i="10"/>
  <c r="AL275" i="10"/>
  <c r="AQ228" i="10"/>
  <c r="AM122" i="10"/>
  <c r="AQ242" i="10"/>
  <c r="AQ258" i="10"/>
  <c r="AP20" i="10"/>
  <c r="AP189" i="10"/>
  <c r="AP167" i="10"/>
  <c r="AL161" i="10"/>
  <c r="AG57" i="5"/>
  <c r="AL82" i="1"/>
  <c r="AL263" i="1"/>
  <c r="AK248" i="1"/>
  <c r="AL216" i="1"/>
  <c r="AL268" i="1"/>
  <c r="AL244" i="1"/>
  <c r="AL259" i="1"/>
  <c r="AH244" i="1"/>
  <c r="AL257" i="1"/>
  <c r="AG164" i="1"/>
  <c r="AH246" i="1"/>
  <c r="AH221" i="1"/>
  <c r="AG220" i="1"/>
  <c r="AL222" i="1"/>
  <c r="AL256" i="1"/>
  <c r="AK213" i="1"/>
  <c r="AH253" i="1"/>
  <c r="AG224" i="1"/>
  <c r="AD44" i="16"/>
  <c r="Y69" i="16"/>
  <c r="AD28" i="16"/>
  <c r="AD37" i="16"/>
  <c r="AD32" i="16"/>
  <c r="AC31" i="16"/>
  <c r="R31" i="16" s="1"/>
  <c r="Y38" i="16"/>
  <c r="AC67" i="16"/>
  <c r="Z60" i="16"/>
  <c r="AD13" i="16"/>
  <c r="Y17" i="16"/>
  <c r="AC7" i="16"/>
  <c r="R7" i="16" s="1"/>
  <c r="AG24" i="1"/>
  <c r="S24" i="1" s="1"/>
  <c r="Y8" i="16"/>
  <c r="O8" i="16" s="1"/>
  <c r="AG194" i="1"/>
  <c r="S194" i="1" s="1"/>
  <c r="AG66" i="1"/>
  <c r="U66" i="1" s="1"/>
  <c r="AO66" i="1" s="1"/>
  <c r="AL181" i="1"/>
  <c r="AH100" i="1"/>
  <c r="AL201" i="1"/>
  <c r="AH208" i="1"/>
  <c r="AH24" i="1"/>
  <c r="AK78" i="1"/>
  <c r="AH135" i="1"/>
  <c r="AH22" i="1"/>
  <c r="T22" i="1" s="1"/>
  <c r="AN22" i="1" s="1"/>
  <c r="AG269" i="1"/>
  <c r="AG12" i="1"/>
  <c r="S12" i="1" s="1"/>
  <c r="AG112" i="1"/>
  <c r="S112" i="1" s="1"/>
  <c r="Y9" i="16"/>
  <c r="AG78" i="1"/>
  <c r="S78" i="1" s="1"/>
  <c r="AK29" i="1"/>
  <c r="AG41" i="1"/>
  <c r="S41" i="1" s="1"/>
  <c r="AH45" i="1"/>
  <c r="AG146" i="1"/>
  <c r="U146" i="1" s="1"/>
  <c r="AO146" i="1" s="1"/>
  <c r="AL270" i="1"/>
  <c r="AK31" i="1"/>
  <c r="AK99" i="1"/>
  <c r="AL22" i="1"/>
  <c r="AK55" i="1"/>
  <c r="AG49" i="1"/>
  <c r="S49" i="1" s="1"/>
  <c r="AK98" i="1"/>
  <c r="AH102" i="1"/>
  <c r="T102" i="1" s="1"/>
  <c r="AN102" i="1" s="1"/>
  <c r="Y11" i="16"/>
  <c r="AK169" i="1"/>
  <c r="AK20" i="1"/>
  <c r="AH139" i="1"/>
  <c r="AG54" i="1"/>
  <c r="S54" i="1" s="1"/>
  <c r="AH40" i="1"/>
  <c r="AK117" i="1"/>
  <c r="AG74" i="1"/>
  <c r="S74" i="1" s="1"/>
  <c r="AL131" i="1"/>
  <c r="AK37" i="1"/>
  <c r="AL189" i="1"/>
  <c r="AH18" i="1"/>
  <c r="AG23" i="1"/>
  <c r="S23" i="1" s="1"/>
  <c r="AK178" i="1"/>
  <c r="AH31" i="1"/>
  <c r="AL64" i="1"/>
  <c r="AH171" i="1"/>
  <c r="T171" i="1" s="1"/>
  <c r="AN171" i="1" s="1"/>
  <c r="AG115" i="1"/>
  <c r="S115" i="1" s="1"/>
  <c r="AG72" i="1"/>
  <c r="S72" i="1" s="1"/>
  <c r="AH148" i="1"/>
  <c r="T148" i="1" s="1"/>
  <c r="AN148" i="1" s="1"/>
  <c r="AK7" i="1"/>
  <c r="AR47" i="11"/>
  <c r="AR6" i="11"/>
  <c r="AB14" i="5"/>
  <c r="N14" i="5" s="1"/>
  <c r="Y75" i="16"/>
  <c r="AC43" i="16"/>
  <c r="AL231" i="1"/>
  <c r="AK222" i="1"/>
  <c r="AG267" i="1"/>
  <c r="AK261" i="1"/>
  <c r="AL44" i="1"/>
  <c r="AG247" i="1"/>
  <c r="AH227" i="1"/>
  <c r="AG234" i="1"/>
  <c r="AH248" i="1"/>
  <c r="AK225" i="1"/>
  <c r="AK164" i="1"/>
  <c r="AK249" i="1"/>
  <c r="AH267" i="1"/>
  <c r="AH226" i="1"/>
  <c r="AG229" i="1"/>
  <c r="AG215" i="1"/>
  <c r="AG261" i="1"/>
  <c r="AL163" i="1"/>
  <c r="Z44" i="16"/>
  <c r="AD63" i="16"/>
  <c r="Y60" i="16"/>
  <c r="AD62" i="16"/>
  <c r="Z55" i="16"/>
  <c r="AC22" i="16"/>
  <c r="R22" i="16" s="1"/>
  <c r="Z21" i="16"/>
  <c r="Y27" i="16"/>
  <c r="Z22" i="16"/>
  <c r="Z18" i="16"/>
  <c r="Z19" i="16"/>
  <c r="AH55" i="1"/>
  <c r="AD8" i="16"/>
  <c r="AD11" i="16"/>
  <c r="AH60" i="1"/>
  <c r="AH192" i="1"/>
  <c r="AK67" i="1"/>
  <c r="AG171" i="1"/>
  <c r="U171" i="1" s="1"/>
  <c r="AO171" i="1" s="1"/>
  <c r="AH27" i="1"/>
  <c r="AH111" i="1"/>
  <c r="AC11" i="16"/>
  <c r="AK61" i="1"/>
  <c r="AL29" i="1"/>
  <c r="AG178" i="1"/>
  <c r="S178" i="1" s="1"/>
  <c r="AH146" i="1"/>
  <c r="T146" i="1" s="1"/>
  <c r="AN146" i="1" s="1"/>
  <c r="AH125" i="1"/>
  <c r="AL39" i="1"/>
  <c r="AH140" i="1"/>
  <c r="AL80" i="1"/>
  <c r="AG92" i="1"/>
  <c r="S92" i="1" s="1"/>
  <c r="AK113" i="1"/>
  <c r="AK174" i="1"/>
  <c r="AL34" i="1"/>
  <c r="AH183" i="1"/>
  <c r="AL118" i="1"/>
  <c r="AL168" i="1"/>
  <c r="AL93" i="1"/>
  <c r="AG15" i="1"/>
  <c r="S15" i="1" s="1"/>
  <c r="AK51" i="1"/>
  <c r="AL140" i="1"/>
  <c r="AK201" i="1"/>
  <c r="AH85" i="1"/>
  <c r="AK190" i="1"/>
  <c r="AL177" i="1"/>
  <c r="AG73" i="1"/>
  <c r="S73" i="1" s="1"/>
  <c r="AD12" i="16"/>
  <c r="AG22" i="1"/>
  <c r="U22" i="1" s="1"/>
  <c r="AO22" i="1" s="1"/>
  <c r="AH39" i="1"/>
  <c r="AH41" i="1"/>
  <c r="AL187" i="1"/>
  <c r="AK66" i="1"/>
  <c r="AG108" i="1"/>
  <c r="U108" i="1" s="1"/>
  <c r="AO108" i="1" s="1"/>
  <c r="AG30" i="1"/>
  <c r="S30" i="1" s="1"/>
  <c r="AK16" i="1"/>
  <c r="AL194" i="1"/>
  <c r="AC10" i="16"/>
  <c r="AG153" i="1"/>
  <c r="S153" i="1" s="1"/>
  <c r="AH94" i="1"/>
  <c r="AG117" i="1"/>
  <c r="S117" i="1" s="1"/>
  <c r="AL15" i="1"/>
  <c r="AH9" i="1"/>
  <c r="AM13" i="11"/>
  <c r="X13" i="11" s="1"/>
  <c r="AV13" i="11" s="1"/>
  <c r="AG17" i="5"/>
  <c r="AG33" i="5"/>
  <c r="AD40" i="16"/>
  <c r="Y5" i="16"/>
  <c r="O5" i="16" s="1"/>
  <c r="Z47" i="16"/>
  <c r="AK218" i="1"/>
  <c r="AH254" i="1"/>
  <c r="AK234" i="1"/>
  <c r="AL247" i="1"/>
  <c r="AL255" i="1"/>
  <c r="AK259" i="1"/>
  <c r="AL217" i="1"/>
  <c r="AK233" i="1"/>
  <c r="AH209" i="1"/>
  <c r="AG258" i="1"/>
  <c r="AH266" i="1"/>
  <c r="AG249" i="1"/>
  <c r="AG256" i="1"/>
  <c r="AL230" i="1"/>
  <c r="AG268" i="1"/>
  <c r="AK237" i="1"/>
  <c r="AL246" i="1"/>
  <c r="AH224" i="1"/>
  <c r="Y24" i="16"/>
  <c r="O24" i="16" s="1"/>
  <c r="Z61" i="16"/>
  <c r="AC63" i="16"/>
  <c r="AC25" i="16"/>
  <c r="Y21" i="16"/>
  <c r="O21" i="16" s="1"/>
  <c r="Y67" i="16"/>
  <c r="AD55" i="16"/>
  <c r="Z26" i="16"/>
  <c r="AC36" i="16"/>
  <c r="AC20" i="16"/>
  <c r="AC19" i="16"/>
  <c r="AL87" i="1"/>
  <c r="Y7" i="16"/>
  <c r="O7" i="16" s="1"/>
  <c r="AG14" i="1"/>
  <c r="S14" i="1" s="1"/>
  <c r="AL121" i="1"/>
  <c r="AG131" i="1"/>
  <c r="U131" i="1" s="1"/>
  <c r="AO131" i="1" s="1"/>
  <c r="AH175" i="1"/>
  <c r="AK170" i="1"/>
  <c r="AL73" i="1"/>
  <c r="AG33" i="1"/>
  <c r="S33" i="1" s="1"/>
  <c r="AH51" i="1"/>
  <c r="T51" i="1" s="1"/>
  <c r="AN51" i="1" s="1"/>
  <c r="AH116" i="1"/>
  <c r="AH114" i="1"/>
  <c r="AH203" i="1"/>
  <c r="AH49" i="1"/>
  <c r="AK23" i="1"/>
  <c r="AH152" i="1"/>
  <c r="AH155" i="1"/>
  <c r="AG90" i="1"/>
  <c r="S90" i="1" s="1"/>
  <c r="AG11" i="1"/>
  <c r="U11" i="1" s="1"/>
  <c r="AO11" i="1" s="1"/>
  <c r="AG87" i="1"/>
  <c r="U87" i="1" s="1"/>
  <c r="AO87" i="1" s="1"/>
  <c r="AG129" i="1"/>
  <c r="S129" i="1" s="1"/>
  <c r="AK120" i="1"/>
  <c r="AL16" i="1"/>
  <c r="AK168" i="1"/>
  <c r="AH13" i="1"/>
  <c r="AH142" i="1"/>
  <c r="T142" i="1" s="1"/>
  <c r="AN142" i="1" s="1"/>
  <c r="AK116" i="1"/>
  <c r="AL147" i="1"/>
  <c r="AH188" i="1"/>
  <c r="AH147" i="1"/>
  <c r="AH52" i="1"/>
  <c r="AH170" i="1"/>
  <c r="AG206" i="1"/>
  <c r="AL41" i="1"/>
  <c r="AH144" i="1"/>
  <c r="AG203" i="1"/>
  <c r="AK21" i="1"/>
  <c r="AK186" i="1"/>
  <c r="AK101" i="1"/>
  <c r="AG141" i="1"/>
  <c r="S141" i="1" s="1"/>
  <c r="AG119" i="1"/>
  <c r="S119" i="1" s="1"/>
  <c r="AL197" i="1"/>
  <c r="AH57" i="1"/>
  <c r="AL51" i="1"/>
  <c r="AH131" i="1"/>
  <c r="T131" i="1" s="1"/>
  <c r="AN131" i="1" s="1"/>
  <c r="AG133" i="1"/>
  <c r="S133" i="1" s="1"/>
  <c r="AG52" i="1"/>
  <c r="S52" i="1" s="1"/>
  <c r="AG151" i="1"/>
  <c r="S151" i="1" s="1"/>
  <c r="AH12" i="1"/>
  <c r="AL7" i="1"/>
  <c r="AI16" i="9"/>
  <c r="AB7" i="5"/>
  <c r="N7" i="5" s="1"/>
  <c r="AI129" i="14"/>
  <c r="AC51" i="16"/>
  <c r="AD39" i="16"/>
  <c r="AK266" i="1"/>
  <c r="AK242" i="1"/>
  <c r="AK254" i="1"/>
  <c r="AH163" i="1"/>
  <c r="AH124" i="1"/>
  <c r="AG239" i="1"/>
  <c r="AH247" i="1"/>
  <c r="AK251" i="1"/>
  <c r="AK256" i="1"/>
  <c r="AK44" i="1"/>
  <c r="AH257" i="1"/>
  <c r="AK224" i="1"/>
  <c r="AL218" i="1"/>
  <c r="AH242" i="1"/>
  <c r="AL234" i="1"/>
  <c r="AH164" i="1"/>
  <c r="AL245" i="1"/>
  <c r="AG237" i="1"/>
  <c r="AC44" i="16"/>
  <c r="AD67" i="16"/>
  <c r="AD57" i="16"/>
  <c r="Z24" i="16"/>
  <c r="Z59" i="16"/>
  <c r="AD61" i="16"/>
  <c r="Z63" i="16"/>
  <c r="Z62" i="16"/>
  <c r="Y57" i="16"/>
  <c r="Z13" i="16"/>
  <c r="AC13" i="16"/>
  <c r="P13" i="16" s="1"/>
  <c r="AD10" i="16"/>
  <c r="AL141" i="1"/>
  <c r="AG75" i="1"/>
  <c r="S75" i="1" s="1"/>
  <c r="AH79" i="1"/>
  <c r="AG98" i="1"/>
  <c r="S98" i="1" s="1"/>
  <c r="AL206" i="1"/>
  <c r="AL19" i="1"/>
  <c r="AL70" i="1"/>
  <c r="AL74" i="1"/>
  <c r="AL90" i="1"/>
  <c r="AH177" i="1"/>
  <c r="AK150" i="1"/>
  <c r="AK95" i="1"/>
  <c r="AH91" i="1"/>
  <c r="T91" i="1" s="1"/>
  <c r="AN91" i="1" s="1"/>
  <c r="AH106" i="1"/>
  <c r="T106" i="1" s="1"/>
  <c r="AN106" i="1" s="1"/>
  <c r="AH99" i="1"/>
  <c r="AK85" i="1"/>
  <c r="AL113" i="1"/>
  <c r="AK87" i="1"/>
  <c r="AL108" i="1"/>
  <c r="AH134" i="1"/>
  <c r="AH104" i="1"/>
  <c r="AK199" i="1"/>
  <c r="AH138" i="1"/>
  <c r="AK69" i="1"/>
  <c r="AL185" i="1"/>
  <c r="AC6" i="16"/>
  <c r="AK81" i="1"/>
  <c r="AH11" i="1"/>
  <c r="T11" i="1" s="1"/>
  <c r="AN11" i="1" s="1"/>
  <c r="AG60" i="1"/>
  <c r="S60" i="1" s="1"/>
  <c r="AK94" i="1"/>
  <c r="AK153" i="1"/>
  <c r="AL75" i="1"/>
  <c r="AL104" i="1"/>
  <c r="AL14" i="1"/>
  <c r="AK126" i="1"/>
  <c r="AK179" i="1"/>
  <c r="AK130" i="1"/>
  <c r="AH174" i="1"/>
  <c r="AG63" i="1"/>
  <c r="S63" i="1" s="1"/>
  <c r="AH156" i="1"/>
  <c r="AL50" i="1"/>
  <c r="AG18" i="1"/>
  <c r="S18" i="1" s="1"/>
  <c r="AG64" i="1"/>
  <c r="S64" i="1" s="1"/>
  <c r="AH159" i="1"/>
  <c r="AK80" i="1"/>
  <c r="AK144" i="1"/>
  <c r="AK119" i="1"/>
  <c r="AG144" i="1"/>
  <c r="S144" i="1" s="1"/>
  <c r="AH10" i="1"/>
  <c r="AM11" i="11"/>
  <c r="X11" i="11" s="1"/>
  <c r="AV11" i="11" s="1"/>
  <c r="AJ16" i="9"/>
  <c r="AC8" i="5"/>
  <c r="AC75" i="16"/>
  <c r="AC42" i="16"/>
  <c r="AC40" i="16"/>
  <c r="AD41" i="16"/>
  <c r="AG230" i="1"/>
  <c r="AH239" i="1"/>
  <c r="AH238" i="1"/>
  <c r="AK211" i="1"/>
  <c r="AL212" i="1"/>
  <c r="AG228" i="1"/>
  <c r="AL249" i="1"/>
  <c r="AK163" i="1"/>
  <c r="AH210" i="1"/>
  <c r="AK245" i="1"/>
  <c r="AH233" i="1"/>
  <c r="AG245" i="1"/>
  <c r="AH260" i="1"/>
  <c r="AG231" i="1"/>
  <c r="AG221" i="1"/>
  <c r="AG227" i="1"/>
  <c r="AH268" i="1"/>
  <c r="AK268" i="1"/>
  <c r="Z37" i="16"/>
  <c r="AD21" i="16"/>
  <c r="AC30" i="16"/>
  <c r="R30" i="16" s="1"/>
  <c r="Y33" i="16"/>
  <c r="AC32" i="16"/>
  <c r="R32" i="16" s="1"/>
  <c r="Z23" i="16"/>
  <c r="Y62" i="16"/>
  <c r="AD31" i="16"/>
  <c r="Z35" i="16"/>
  <c r="Z14" i="16"/>
  <c r="AC16" i="16"/>
  <c r="R16" i="16" s="1"/>
  <c r="AL105" i="1"/>
  <c r="AK102" i="1"/>
  <c r="AK76" i="1"/>
  <c r="AL13" i="1"/>
  <c r="AG99" i="1"/>
  <c r="S99" i="1" s="1"/>
  <c r="AH67" i="1"/>
  <c r="AH19" i="1"/>
  <c r="AK176" i="1"/>
  <c r="AL157" i="1"/>
  <c r="AL21" i="1"/>
  <c r="AL272" i="1"/>
  <c r="AL102" i="1"/>
  <c r="AH23" i="1"/>
  <c r="AH76" i="1"/>
  <c r="AG177" i="1"/>
  <c r="S177" i="1" s="1"/>
  <c r="AL128" i="1"/>
  <c r="AH36" i="1"/>
  <c r="AK161" i="1"/>
  <c r="AL49" i="1"/>
  <c r="AL66" i="1"/>
  <c r="AG204" i="1"/>
  <c r="AH54" i="1"/>
  <c r="AK121" i="1"/>
  <c r="AG200" i="1"/>
  <c r="AK138" i="1"/>
  <c r="AK68" i="1"/>
  <c r="AK272" i="1"/>
  <c r="AL190" i="1"/>
  <c r="AK151" i="1"/>
  <c r="AG158" i="1"/>
  <c r="S158" i="1" s="1"/>
  <c r="AH143" i="1"/>
  <c r="AG47" i="1"/>
  <c r="U47" i="1" s="1"/>
  <c r="AO47" i="1" s="1"/>
  <c r="AK154" i="1"/>
  <c r="AK46" i="1"/>
  <c r="AL133" i="1"/>
  <c r="AL196" i="1"/>
  <c r="AL96" i="1"/>
  <c r="AK26" i="1"/>
  <c r="AH120" i="1"/>
  <c r="AK38" i="1"/>
  <c r="AH118" i="1"/>
  <c r="AG71" i="1"/>
  <c r="S71" i="1" s="1"/>
  <c r="AL98" i="1"/>
  <c r="AG107" i="1"/>
  <c r="S107" i="1" s="1"/>
  <c r="AG69" i="1"/>
  <c r="S69" i="1" s="1"/>
  <c r="AH150" i="1"/>
  <c r="AG176" i="1"/>
  <c r="U176" i="1" s="1"/>
  <c r="AO176" i="1" s="1"/>
  <c r="AH96" i="1"/>
  <c r="T96" i="1" s="1"/>
  <c r="AN96" i="1" s="1"/>
  <c r="AH56" i="1"/>
  <c r="T56" i="1" s="1"/>
  <c r="AN56" i="1" s="1"/>
  <c r="AL8" i="1"/>
  <c r="AR23" i="11"/>
  <c r="AM74" i="10"/>
  <c r="V74" i="10" s="1"/>
  <c r="AT74" i="10" s="1"/>
  <c r="AM38" i="11"/>
  <c r="X38" i="11" s="1"/>
  <c r="AV38" i="11" s="1"/>
  <c r="AJ24" i="9"/>
  <c r="Z71" i="16"/>
  <c r="AD53" i="16"/>
  <c r="AH222" i="1"/>
  <c r="AK209" i="1"/>
  <c r="AG219" i="1"/>
  <c r="AK260" i="1"/>
  <c r="AK216" i="1"/>
  <c r="AH211" i="1"/>
  <c r="AL209" i="1"/>
  <c r="AL211" i="1"/>
  <c r="AL240" i="1"/>
  <c r="AG265" i="1"/>
  <c r="AH232" i="1"/>
  <c r="AL227" i="1"/>
  <c r="AL220" i="1"/>
  <c r="AK162" i="1"/>
  <c r="AK264" i="1"/>
  <c r="AL252" i="1"/>
  <c r="AG163" i="1"/>
  <c r="AL123" i="1"/>
  <c r="AC34" i="16"/>
  <c r="Y23" i="16"/>
  <c r="O23" i="16" s="1"/>
  <c r="AD69" i="16"/>
  <c r="Z57" i="16"/>
  <c r="AD34" i="16"/>
  <c r="Z34" i="16"/>
  <c r="AD56" i="16"/>
  <c r="Y64" i="16"/>
  <c r="AD68" i="16"/>
  <c r="AC18" i="16"/>
  <c r="AD18" i="16"/>
  <c r="AD9" i="16"/>
  <c r="AG89" i="1"/>
  <c r="S89" i="1" s="1"/>
  <c r="AK156" i="1"/>
  <c r="AH119" i="1"/>
  <c r="AG271" i="1"/>
  <c r="AL23" i="1"/>
  <c r="AK27" i="1"/>
  <c r="AK149" i="1"/>
  <c r="AL58" i="1"/>
  <c r="AL127" i="1"/>
  <c r="AL155" i="1"/>
  <c r="AK200" i="1"/>
  <c r="AK188" i="1"/>
  <c r="AL174" i="1"/>
  <c r="AK183" i="1"/>
  <c r="AL53" i="1"/>
  <c r="AH198" i="1"/>
  <c r="AL207" i="1"/>
  <c r="AK13" i="1"/>
  <c r="AH153" i="1"/>
  <c r="AG201" i="1"/>
  <c r="AK194" i="1"/>
  <c r="AK93" i="1"/>
  <c r="AK206" i="1"/>
  <c r="AH193" i="1"/>
  <c r="AD7" i="16"/>
  <c r="AG174" i="1"/>
  <c r="S174" i="1" s="1"/>
  <c r="AH194" i="1"/>
  <c r="AK63" i="1"/>
  <c r="AH190" i="1"/>
  <c r="AH17" i="1"/>
  <c r="AH151" i="1"/>
  <c r="AL106" i="1"/>
  <c r="AH269" i="1"/>
  <c r="AL65" i="1"/>
  <c r="AG102" i="1"/>
  <c r="U102" i="1" s="1"/>
  <c r="AO102" i="1" s="1"/>
  <c r="AK73" i="1"/>
  <c r="AG152" i="1"/>
  <c r="S152" i="1" s="1"/>
  <c r="AK137" i="1"/>
  <c r="AG103" i="1"/>
  <c r="S103" i="1" s="1"/>
  <c r="AL195" i="1"/>
  <c r="AG173" i="1"/>
  <c r="S173" i="1" s="1"/>
  <c r="AG180" i="1"/>
  <c r="S180" i="1" s="1"/>
  <c r="AK167" i="1"/>
  <c r="AG13" i="1"/>
  <c r="S13" i="1" s="1"/>
  <c r="AG96" i="1"/>
  <c r="U96" i="1" s="1"/>
  <c r="AO96" i="1" s="1"/>
  <c r="AL107" i="1"/>
  <c r="AG110" i="1"/>
  <c r="S110" i="1" s="1"/>
  <c r="AG19" i="1"/>
  <c r="S19" i="1" s="1"/>
  <c r="AH8" i="1"/>
  <c r="AF38" i="5"/>
  <c r="Q38" i="5" s="1"/>
  <c r="AQ148" i="10"/>
  <c r="AE13" i="14"/>
  <c r="AD77" i="16"/>
  <c r="AC47" i="16"/>
  <c r="Y50" i="16"/>
  <c r="AL267" i="1"/>
  <c r="AK246" i="1"/>
  <c r="AK239" i="1"/>
  <c r="AL242" i="1"/>
  <c r="AK223" i="1"/>
  <c r="AL42" i="1"/>
  <c r="AG241" i="1"/>
  <c r="AK258" i="1"/>
  <c r="AH122" i="1"/>
  <c r="AG252" i="1"/>
  <c r="AG124" i="1"/>
  <c r="AL221" i="1"/>
  <c r="AK252" i="1"/>
  <c r="AG84" i="1"/>
  <c r="AG259" i="1"/>
  <c r="AL237" i="1"/>
  <c r="AH82" i="1"/>
  <c r="AK42" i="1"/>
  <c r="AD23" i="16"/>
  <c r="Y35" i="16"/>
  <c r="Y25" i="16"/>
  <c r="Y63" i="16"/>
  <c r="Z32" i="16"/>
  <c r="AC69" i="16"/>
  <c r="AC26" i="16"/>
  <c r="Y36" i="16"/>
  <c r="AD29" i="16"/>
  <c r="Y14" i="16"/>
  <c r="M14" i="16" s="1"/>
  <c r="Y18" i="16"/>
  <c r="Y10" i="16"/>
  <c r="AG35" i="1"/>
  <c r="S35" i="1" s="1"/>
  <c r="AL193" i="1"/>
  <c r="AG46" i="1"/>
  <c r="S46" i="1" s="1"/>
  <c r="AL167" i="1"/>
  <c r="AK140" i="1"/>
  <c r="AG120" i="1"/>
  <c r="S120" i="1" s="1"/>
  <c r="AL35" i="1"/>
  <c r="AL11" i="1"/>
  <c r="AG105" i="1"/>
  <c r="S105" i="1" s="1"/>
  <c r="AL173" i="1"/>
  <c r="AG172" i="1"/>
  <c r="S172" i="1" s="1"/>
  <c r="AL191" i="1"/>
  <c r="AG132" i="1"/>
  <c r="S132" i="1" s="1"/>
  <c r="AH72" i="1"/>
  <c r="AL165" i="1"/>
  <c r="AL166" i="1"/>
  <c r="AH197" i="1"/>
  <c r="AG165" i="1"/>
  <c r="AK79" i="1"/>
  <c r="AK96" i="1"/>
  <c r="AG136" i="1"/>
  <c r="U136" i="1" s="1"/>
  <c r="AO136" i="1" s="1"/>
  <c r="AK57" i="1"/>
  <c r="AG161" i="1"/>
  <c r="S161" i="1" s="1"/>
  <c r="AL97" i="1"/>
  <c r="AK24" i="1"/>
  <c r="AK187" i="1"/>
  <c r="AH89" i="1"/>
  <c r="AG175" i="1"/>
  <c r="S175" i="1" s="1"/>
  <c r="AG142" i="1"/>
  <c r="U142" i="1" s="1"/>
  <c r="AO142" i="1" s="1"/>
  <c r="AK74" i="1"/>
  <c r="AK166" i="1"/>
  <c r="AG186" i="1"/>
  <c r="S186" i="1" s="1"/>
  <c r="AG45" i="1"/>
  <c r="S45" i="1" s="1"/>
  <c r="AH132" i="1"/>
  <c r="AH110" i="1"/>
  <c r="AL89" i="1"/>
  <c r="AH158" i="1"/>
  <c r="AH129" i="1"/>
  <c r="AG81" i="1"/>
  <c r="S81" i="1" s="1"/>
  <c r="AH199" i="1"/>
  <c r="AK60" i="1"/>
  <c r="AG29" i="1"/>
  <c r="S29" i="1" s="1"/>
  <c r="AG193" i="1"/>
  <c r="S193" i="1" s="1"/>
  <c r="AH34" i="1"/>
  <c r="AK197" i="1"/>
  <c r="AL136" i="1"/>
  <c r="AK19" i="1"/>
  <c r="AG48" i="1"/>
  <c r="S48" i="1" s="1"/>
  <c r="AK8" i="1"/>
  <c r="AE10" i="14"/>
  <c r="AQ22" i="11"/>
  <c r="AG95" i="5"/>
  <c r="Z76" i="16"/>
  <c r="AQ153" i="11"/>
  <c r="Y153" i="11" s="1"/>
  <c r="AK231" i="1"/>
  <c r="AK250" i="1"/>
  <c r="AL260" i="1"/>
  <c r="AH261" i="1"/>
  <c r="AK255" i="1"/>
  <c r="AH250" i="1"/>
  <c r="AH262" i="1"/>
  <c r="AK267" i="1"/>
  <c r="AK232" i="1"/>
  <c r="AL261" i="1"/>
  <c r="AL250" i="1"/>
  <c r="AL229" i="1"/>
  <c r="AG240" i="1"/>
  <c r="AL265" i="1"/>
  <c r="AG238" i="1"/>
  <c r="AK265" i="1"/>
  <c r="AG226" i="1"/>
  <c r="AH44" i="1"/>
  <c r="AC35" i="16"/>
  <c r="Z33" i="16"/>
  <c r="AC21" i="16"/>
  <c r="R21" i="16" s="1"/>
  <c r="Y30" i="16"/>
  <c r="O30" i="16" s="1"/>
  <c r="Y32" i="16"/>
  <c r="O32" i="16" s="1"/>
  <c r="Y65" i="16"/>
  <c r="Y28" i="16"/>
  <c r="AD36" i="16"/>
  <c r="AD60" i="16"/>
  <c r="Y16" i="16"/>
  <c r="O16" i="16" s="1"/>
  <c r="Y20" i="16"/>
  <c r="AH15" i="1"/>
  <c r="AL24" i="1"/>
  <c r="AK139" i="1"/>
  <c r="AH166" i="1"/>
  <c r="Z6" i="16"/>
  <c r="AH272" i="1"/>
  <c r="AL188" i="1"/>
  <c r="AG137" i="1"/>
  <c r="S137" i="1" s="1"/>
  <c r="AH30" i="1"/>
  <c r="AL184" i="1"/>
  <c r="AH37" i="1"/>
  <c r="AK207" i="1"/>
  <c r="AK100" i="1"/>
  <c r="AK157" i="1"/>
  <c r="AH202" i="1"/>
  <c r="AK86" i="1"/>
  <c r="AG16" i="1"/>
  <c r="U16" i="1" s="1"/>
  <c r="AO16" i="1" s="1"/>
  <c r="AL17" i="1"/>
  <c r="AK89" i="1"/>
  <c r="AK71" i="1"/>
  <c r="AK128" i="1"/>
  <c r="AL38" i="1"/>
  <c r="AK270" i="1"/>
  <c r="AG31" i="1"/>
  <c r="S31" i="1" s="1"/>
  <c r="AK62" i="1"/>
  <c r="AL132" i="1"/>
  <c r="AH168" i="1"/>
  <c r="AK48" i="1"/>
  <c r="AG37" i="1"/>
  <c r="S37" i="1" s="1"/>
  <c r="Z7" i="16"/>
  <c r="AL63" i="1"/>
  <c r="AK106" i="1"/>
  <c r="AG160" i="1"/>
  <c r="S160" i="1" s="1"/>
  <c r="AG104" i="1"/>
  <c r="S104" i="1" s="1"/>
  <c r="AL40" i="1"/>
  <c r="AG91" i="1"/>
  <c r="U91" i="1" s="1"/>
  <c r="AO91" i="1" s="1"/>
  <c r="AG40" i="1"/>
  <c r="S40" i="1" s="1"/>
  <c r="AG130" i="1"/>
  <c r="S130" i="1" s="1"/>
  <c r="AK110" i="1"/>
  <c r="AG118" i="1"/>
  <c r="S118" i="1" s="1"/>
  <c r="AH70" i="1"/>
  <c r="AL28" i="1"/>
  <c r="AH29" i="1"/>
  <c r="AK58" i="1"/>
  <c r="AG208" i="1"/>
  <c r="AK271" i="1"/>
  <c r="AH81" i="1"/>
  <c r="AG68" i="1"/>
  <c r="U68" i="1" s="1"/>
  <c r="AO68" i="1" s="1"/>
  <c r="AK173" i="1"/>
  <c r="AG9" i="1"/>
  <c r="S9" i="1" s="1"/>
  <c r="AB87" i="5"/>
  <c r="AF43" i="5"/>
  <c r="S43" i="5" s="1"/>
  <c r="AI8" i="9"/>
  <c r="Z51" i="16"/>
  <c r="AC76" i="16"/>
  <c r="Z74" i="16"/>
  <c r="AG214" i="1"/>
  <c r="AL235" i="1"/>
  <c r="AG262" i="1"/>
  <c r="AL162" i="1"/>
  <c r="AH83" i="1"/>
  <c r="AK212" i="1"/>
  <c r="AG254" i="1"/>
  <c r="AG218" i="1"/>
  <c r="AG248" i="1"/>
  <c r="AL241" i="1"/>
  <c r="AG216" i="1"/>
  <c r="AG43" i="1"/>
  <c r="AG243" i="1"/>
  <c r="AH243" i="1"/>
  <c r="AH251" i="1"/>
  <c r="AH84" i="1"/>
  <c r="AG225" i="1"/>
  <c r="AH216" i="1"/>
  <c r="AC27" i="16"/>
  <c r="Z27" i="16"/>
  <c r="AC59" i="16"/>
  <c r="AD65" i="16"/>
  <c r="AC70" i="16"/>
  <c r="AC64" i="16"/>
  <c r="Z56" i="16"/>
  <c r="AC24" i="16"/>
  <c r="R24" i="16" s="1"/>
  <c r="Z65" i="16"/>
  <c r="AC17" i="16"/>
  <c r="Y13" i="16"/>
  <c r="M13" i="16" s="1"/>
  <c r="AG34" i="1"/>
  <c r="S34" i="1" s="1"/>
  <c r="AG76" i="1"/>
  <c r="S76" i="1" s="1"/>
  <c r="AK195" i="1"/>
  <c r="AL129" i="1"/>
  <c r="AK202" i="1"/>
  <c r="AK112" i="1"/>
  <c r="AK70" i="1"/>
  <c r="AL95" i="1"/>
  <c r="AH182" i="1"/>
  <c r="T182" i="1" s="1"/>
  <c r="AN182" i="1" s="1"/>
  <c r="AH20" i="1"/>
  <c r="AK40" i="1"/>
  <c r="AG20" i="1"/>
  <c r="S20" i="1" s="1"/>
  <c r="AH181" i="1"/>
  <c r="AK108" i="1"/>
  <c r="AK107" i="1"/>
  <c r="AK35" i="1"/>
  <c r="AG159" i="1"/>
  <c r="S159" i="1" s="1"/>
  <c r="AG187" i="1"/>
  <c r="S187" i="1" s="1"/>
  <c r="AG70" i="1"/>
  <c r="S70" i="1" s="1"/>
  <c r="AL52" i="1"/>
  <c r="AK90" i="1"/>
  <c r="AK45" i="1"/>
  <c r="AH35" i="1"/>
  <c r="AG25" i="1"/>
  <c r="S25" i="1" s="1"/>
  <c r="AK180" i="1"/>
  <c r="AG183" i="1"/>
  <c r="S183" i="1" s="1"/>
  <c r="AH93" i="1"/>
  <c r="AG27" i="1"/>
  <c r="S27" i="1" s="1"/>
  <c r="AL47" i="1"/>
  <c r="AL186" i="1"/>
  <c r="AL59" i="1"/>
  <c r="AK33" i="1"/>
  <c r="AH136" i="1"/>
  <c r="T136" i="1" s="1"/>
  <c r="AN136" i="1" s="1"/>
  <c r="AK189" i="1"/>
  <c r="Z8" i="16"/>
  <c r="AK88" i="1"/>
  <c r="AG270" i="1"/>
  <c r="AL114" i="1"/>
  <c r="AG26" i="1"/>
  <c r="U26" i="1" s="1"/>
  <c r="AO26" i="1" s="1"/>
  <c r="AK25" i="1"/>
  <c r="AL145" i="1"/>
  <c r="AK18" i="1"/>
  <c r="AL144" i="1"/>
  <c r="AH61" i="1"/>
  <c r="AG93" i="1"/>
  <c r="S93" i="1" s="1"/>
  <c r="AG56" i="1"/>
  <c r="U56" i="1" s="1"/>
  <c r="AO56" i="1" s="1"/>
  <c r="AL33" i="1"/>
  <c r="AK72" i="1"/>
  <c r="AH21" i="1"/>
  <c r="AH7" i="1"/>
  <c r="T7" i="1" s="1"/>
  <c r="AN7" i="1" s="1"/>
  <c r="AR7" i="11"/>
  <c r="AG28" i="5"/>
  <c r="AF5" i="9"/>
  <c r="Q5" i="9" s="1"/>
  <c r="Y77" i="16"/>
  <c r="Z52" i="16"/>
  <c r="Y41" i="16"/>
  <c r="AK238" i="1"/>
  <c r="AK263" i="1"/>
  <c r="AL264" i="1"/>
  <c r="AG211" i="1"/>
  <c r="AG257" i="1"/>
  <c r="AH215" i="1"/>
  <c r="AG233" i="1"/>
  <c r="AG264" i="1"/>
  <c r="AH252" i="1"/>
  <c r="AL253" i="1"/>
  <c r="AL254" i="1"/>
  <c r="AL214" i="1"/>
  <c r="AG44" i="1"/>
  <c r="AL226" i="1"/>
  <c r="AH235" i="1"/>
  <c r="AL122" i="1"/>
  <c r="AH43" i="1"/>
  <c r="AK244" i="1"/>
  <c r="AC33" i="16"/>
  <c r="AC28" i="16"/>
  <c r="AC54" i="16"/>
  <c r="AC66" i="16"/>
  <c r="AD38" i="16"/>
  <c r="AD27" i="16"/>
  <c r="Z30" i="16"/>
  <c r="Y34" i="16"/>
  <c r="AC29" i="16"/>
  <c r="R29" i="16" s="1"/>
  <c r="AD15" i="16"/>
  <c r="Z17" i="16"/>
  <c r="AL78" i="1"/>
  <c r="Z9" i="16"/>
  <c r="AH167" i="1"/>
  <c r="T167" i="1" s="1"/>
  <c r="AN167" i="1" s="1"/>
  <c r="AG59" i="1"/>
  <c r="S59" i="1" s="1"/>
  <c r="AK192" i="1"/>
  <c r="AL119" i="1"/>
  <c r="AH16" i="1"/>
  <c r="T16" i="1" s="1"/>
  <c r="AN16" i="1" s="1"/>
  <c r="AH77" i="1"/>
  <c r="AH157" i="1"/>
  <c r="AL202" i="1"/>
  <c r="AH88" i="1"/>
  <c r="AK54" i="1"/>
  <c r="AH103" i="1"/>
  <c r="AH74" i="1"/>
  <c r="AL36" i="1"/>
  <c r="AL25" i="1"/>
  <c r="AK109" i="1"/>
  <c r="AL116" i="1"/>
  <c r="AK36" i="1"/>
  <c r="AH112" i="1"/>
  <c r="AG148" i="1"/>
  <c r="U148" i="1" s="1"/>
  <c r="AO148" i="1" s="1"/>
  <c r="AG189" i="1"/>
  <c r="S189" i="1" s="1"/>
  <c r="AK41" i="1"/>
  <c r="AK34" i="1"/>
  <c r="AL27" i="1"/>
  <c r="AK91" i="1"/>
  <c r="AL146" i="1"/>
  <c r="AK129" i="1"/>
  <c r="AK103" i="1"/>
  <c r="AG111" i="1"/>
  <c r="S111" i="1" s="1"/>
  <c r="AK184" i="1"/>
  <c r="AL135" i="1"/>
  <c r="AK158" i="1"/>
  <c r="AL46" i="1"/>
  <c r="AL203" i="1"/>
  <c r="AL45" i="1"/>
  <c r="AG168" i="1"/>
  <c r="S168" i="1" s="1"/>
  <c r="AH59" i="1"/>
  <c r="AK175" i="1"/>
  <c r="AH184" i="1"/>
  <c r="AG57" i="1"/>
  <c r="S57" i="1" s="1"/>
  <c r="AL88" i="1"/>
  <c r="AH169" i="1"/>
  <c r="AH71" i="1"/>
  <c r="AG190" i="1"/>
  <c r="S190" i="1" s="1"/>
  <c r="AL148" i="1"/>
  <c r="AH160" i="1"/>
  <c r="AH178" i="1"/>
  <c r="AG106" i="1"/>
  <c r="U106" i="1" s="1"/>
  <c r="AO106" i="1" s="1"/>
  <c r="AG7" i="1"/>
  <c r="U7" i="1" s="1"/>
  <c r="AN39" i="11"/>
  <c r="W39" i="11" s="1"/>
  <c r="AU39" i="11" s="1"/>
  <c r="AQ144" i="10"/>
  <c r="AK6" i="1"/>
  <c r="X6" i="1" s="1"/>
  <c r="AD49" i="16"/>
  <c r="AC41" i="16"/>
  <c r="AL223" i="1"/>
  <c r="AG246" i="1"/>
  <c r="AH255" i="1"/>
  <c r="AK235" i="1"/>
  <c r="AH234" i="1"/>
  <c r="AK122" i="1"/>
  <c r="AK220" i="1"/>
  <c r="AG123" i="1"/>
  <c r="AL43" i="1"/>
  <c r="AL213" i="1"/>
  <c r="AH213" i="1"/>
  <c r="AG162" i="1"/>
  <c r="AK221" i="1"/>
  <c r="AH241" i="1"/>
  <c r="AK84" i="1"/>
  <c r="AH162" i="1"/>
  <c r="AH258" i="1"/>
  <c r="AL236" i="1"/>
  <c r="AK247" i="1"/>
  <c r="Y26" i="16"/>
  <c r="AC56" i="16"/>
  <c r="Y22" i="16"/>
  <c r="O22" i="16" s="1"/>
  <c r="AC57" i="16"/>
  <c r="AD64" i="16"/>
  <c r="AD70" i="16"/>
  <c r="AD54" i="16"/>
  <c r="AD66" i="16"/>
  <c r="Z64" i="16"/>
  <c r="AD14" i="16"/>
  <c r="AD20" i="16"/>
  <c r="AL32" i="1"/>
  <c r="Y6" i="16"/>
  <c r="AH176" i="1"/>
  <c r="T176" i="1" s="1"/>
  <c r="AN176" i="1" s="1"/>
  <c r="AH65" i="1"/>
  <c r="AL110" i="1"/>
  <c r="AH98" i="1"/>
  <c r="AK15" i="1"/>
  <c r="AK132" i="1"/>
  <c r="AL139" i="1"/>
  <c r="AH68" i="1"/>
  <c r="T68" i="1" s="1"/>
  <c r="AN68" i="1" s="1"/>
  <c r="AK198" i="1"/>
  <c r="AL150" i="1"/>
  <c r="AH66" i="1"/>
  <c r="T66" i="1" s="1"/>
  <c r="AN66" i="1" s="1"/>
  <c r="AK146" i="1"/>
  <c r="AL71" i="1"/>
  <c r="AK104" i="1"/>
  <c r="AK77" i="1"/>
  <c r="AK185" i="1"/>
  <c r="AL120" i="1"/>
  <c r="AL205" i="1"/>
  <c r="AK148" i="1"/>
  <c r="AK135" i="1"/>
  <c r="AK208" i="1"/>
  <c r="AG97" i="1"/>
  <c r="S97" i="1" s="1"/>
  <c r="AG95" i="1"/>
  <c r="S95" i="1" s="1"/>
  <c r="AH133" i="1"/>
  <c r="AK114" i="1"/>
  <c r="AK30" i="1"/>
  <c r="AL100" i="1"/>
  <c r="AG166" i="1"/>
  <c r="S166" i="1" s="1"/>
  <c r="AK92" i="1"/>
  <c r="AH201" i="1"/>
  <c r="AH165" i="1"/>
  <c r="AH180" i="1"/>
  <c r="AH141" i="1"/>
  <c r="AK49" i="1"/>
  <c r="AK204" i="1"/>
  <c r="AK11" i="1"/>
  <c r="AL158" i="1"/>
  <c r="AH53" i="1"/>
  <c r="AG100" i="1"/>
  <c r="S100" i="1" s="1"/>
  <c r="AH38" i="1"/>
  <c r="AH191" i="1"/>
  <c r="AG135" i="1"/>
  <c r="S135" i="1" s="1"/>
  <c r="AL126" i="1"/>
  <c r="AL159" i="1"/>
  <c r="AK12" i="1"/>
  <c r="AG109" i="1"/>
  <c r="S109" i="1" s="1"/>
  <c r="AG150" i="1"/>
  <c r="S150" i="1" s="1"/>
  <c r="AK10" i="1"/>
  <c r="AE140" i="14"/>
  <c r="AF12" i="9"/>
  <c r="AN23" i="11"/>
  <c r="Y52" i="16"/>
  <c r="AG122" i="1"/>
  <c r="AK262" i="1"/>
  <c r="AG251" i="1"/>
  <c r="AG205" i="1"/>
  <c r="AL164" i="1"/>
  <c r="AK217" i="1"/>
  <c r="AL262" i="1"/>
  <c r="AH264" i="1"/>
  <c r="AK124" i="1"/>
  <c r="AL84" i="1"/>
  <c r="AG236" i="1"/>
  <c r="AG212" i="1"/>
  <c r="AL124" i="1"/>
  <c r="AL238" i="1"/>
  <c r="AL210" i="1"/>
  <c r="AG213" i="1"/>
  <c r="AG83" i="1"/>
  <c r="AK229" i="1"/>
  <c r="Y44" i="16"/>
  <c r="Z66" i="16"/>
  <c r="AD30" i="16"/>
  <c r="Z29" i="16"/>
  <c r="Y29" i="16"/>
  <c r="O29" i="16" s="1"/>
  <c r="Z38" i="16"/>
  <c r="AC55" i="16"/>
  <c r="AC58" i="16"/>
  <c r="AD24" i="16"/>
  <c r="AP14" i="10"/>
  <c r="AD16" i="16"/>
  <c r="AK142" i="1"/>
  <c r="AH90" i="1"/>
  <c r="AG88" i="1"/>
  <c r="S88" i="1" s="1"/>
  <c r="AH101" i="1"/>
  <c r="AL55" i="1"/>
  <c r="AL99" i="1"/>
  <c r="AG196" i="1"/>
  <c r="S196" i="1" s="1"/>
  <c r="AL271" i="1"/>
  <c r="AH26" i="1"/>
  <c r="T26" i="1" s="1"/>
  <c r="AN26" i="1" s="1"/>
  <c r="AL69" i="1"/>
  <c r="AH195" i="1"/>
  <c r="AK143" i="1"/>
  <c r="AK127" i="1"/>
  <c r="AL109" i="1"/>
  <c r="AG181" i="1"/>
  <c r="S181" i="1" s="1"/>
  <c r="AH200" i="1"/>
  <c r="AG32" i="1"/>
  <c r="S32" i="1" s="1"/>
  <c r="AG199" i="1"/>
  <c r="AH187" i="1"/>
  <c r="AL152" i="1"/>
  <c r="AG134" i="1"/>
  <c r="S134" i="1" s="1"/>
  <c r="AG192" i="1"/>
  <c r="S192" i="1" s="1"/>
  <c r="AH173" i="1"/>
  <c r="AK39" i="1"/>
  <c r="AD6" i="16"/>
  <c r="AK59" i="1"/>
  <c r="AL179" i="1"/>
  <c r="AK155" i="1"/>
  <c r="AL178" i="1"/>
  <c r="AL204" i="1"/>
  <c r="AH64" i="1"/>
  <c r="AL149" i="1"/>
  <c r="AK131" i="1"/>
  <c r="AK134" i="1"/>
  <c r="AL12" i="1"/>
  <c r="AL94" i="1"/>
  <c r="AL103" i="1"/>
  <c r="AK17" i="1"/>
  <c r="AG169" i="1"/>
  <c r="S169" i="1" s="1"/>
  <c r="AG62" i="1"/>
  <c r="U62" i="1" s="1"/>
  <c r="AO62" i="1" s="1"/>
  <c r="AG138" i="1"/>
  <c r="S138" i="1" s="1"/>
  <c r="AL67" i="1"/>
  <c r="AL112" i="1"/>
  <c r="AL101" i="1"/>
  <c r="AG28" i="1"/>
  <c r="U28" i="1" s="1"/>
  <c r="AO28" i="1" s="1"/>
  <c r="AH32" i="1"/>
  <c r="AK136" i="1"/>
  <c r="AH137" i="1"/>
  <c r="AL169" i="1"/>
  <c r="AL134" i="1"/>
  <c r="AG8" i="1"/>
  <c r="S8" i="1" s="1"/>
  <c r="AN151" i="11"/>
  <c r="AE23" i="14"/>
  <c r="AG35" i="5"/>
  <c r="Y53" i="16"/>
  <c r="AD5" i="16"/>
  <c r="AK215" i="1"/>
  <c r="AK214" i="1"/>
  <c r="AK230" i="1"/>
  <c r="AH218" i="1"/>
  <c r="AL225" i="1"/>
  <c r="AH231" i="1"/>
  <c r="AG260" i="1"/>
  <c r="AL239" i="1"/>
  <c r="AK43" i="1"/>
  <c r="AH230" i="1"/>
  <c r="AG242" i="1"/>
  <c r="AH123" i="1"/>
  <c r="AH225" i="1"/>
  <c r="AH219" i="1"/>
  <c r="AG232" i="1"/>
  <c r="AG42" i="1"/>
  <c r="AK253" i="1"/>
  <c r="AG253" i="1"/>
  <c r="AK123" i="1"/>
  <c r="AC23" i="16"/>
  <c r="R23" i="16" s="1"/>
  <c r="Z67" i="16"/>
  <c r="AD58" i="16"/>
  <c r="AD26" i="16"/>
  <c r="AC60" i="16"/>
  <c r="AC61" i="16"/>
  <c r="Y56" i="16"/>
  <c r="Z58" i="16"/>
  <c r="AC68" i="16"/>
  <c r="AC14" i="16"/>
  <c r="P14" i="16" s="1"/>
  <c r="Y15" i="16"/>
  <c r="O15" i="16" s="1"/>
  <c r="Z10" i="16"/>
  <c r="AL37" i="1"/>
  <c r="AG36" i="1"/>
  <c r="S36" i="1" s="1"/>
  <c r="AL175" i="1"/>
  <c r="AG179" i="1"/>
  <c r="S179" i="1" s="1"/>
  <c r="AG113" i="1"/>
  <c r="S113" i="1" s="1"/>
  <c r="AG207" i="1"/>
  <c r="AH48" i="1"/>
  <c r="AL125" i="1"/>
  <c r="AH58" i="1"/>
  <c r="AH204" i="1"/>
  <c r="AK105" i="1"/>
  <c r="AK50" i="1"/>
  <c r="AK193" i="1"/>
  <c r="AH97" i="1"/>
  <c r="AK56" i="1"/>
  <c r="AL85" i="1"/>
  <c r="AK172" i="1"/>
  <c r="AK32" i="1"/>
  <c r="AL115" i="1"/>
  <c r="AL81" i="1"/>
  <c r="AL92" i="1"/>
  <c r="AG53" i="1"/>
  <c r="S53" i="1" s="1"/>
  <c r="AL30" i="1"/>
  <c r="AH73" i="1"/>
  <c r="AH78" i="1"/>
  <c r="AG182" i="1"/>
  <c r="U182" i="1" s="1"/>
  <c r="AO182" i="1" s="1"/>
  <c r="AL48" i="1"/>
  <c r="AL199" i="1"/>
  <c r="AL170" i="1"/>
  <c r="AL208" i="1"/>
  <c r="AL176" i="1"/>
  <c r="AG157" i="1"/>
  <c r="S157" i="1" s="1"/>
  <c r="AG198" i="1"/>
  <c r="S198" i="1" s="1"/>
  <c r="AH161" i="1"/>
  <c r="AH185" i="1"/>
  <c r="T185" i="1" s="1"/>
  <c r="AN185" i="1" s="1"/>
  <c r="AL57" i="1"/>
  <c r="AL68" i="1"/>
  <c r="AG116" i="1"/>
  <c r="S116" i="1" s="1"/>
  <c r="AG101" i="1"/>
  <c r="S101" i="1" s="1"/>
  <c r="AH149" i="1"/>
  <c r="AK52" i="1"/>
  <c r="AL56" i="1"/>
  <c r="AK191" i="1"/>
  <c r="AK65" i="1"/>
  <c r="AH189" i="1"/>
  <c r="AH154" i="1"/>
  <c r="AH179" i="1"/>
  <c r="AL151" i="1"/>
  <c r="AL10" i="1"/>
  <c r="AR51" i="11"/>
  <c r="AM9" i="11"/>
  <c r="X9" i="11" s="1"/>
  <c r="AV9" i="11" s="1"/>
  <c r="AR37" i="11"/>
  <c r="Z45" i="16"/>
  <c r="AC46" i="16"/>
  <c r="AL228" i="1"/>
  <c r="AK210" i="1"/>
  <c r="AK243" i="1"/>
  <c r="AH223" i="1"/>
  <c r="AL258" i="1"/>
  <c r="AH206" i="1"/>
  <c r="AL243" i="1"/>
  <c r="AK227" i="1"/>
  <c r="AL266" i="1"/>
  <c r="AG209" i="1"/>
  <c r="AH220" i="1"/>
  <c r="AG82" i="1"/>
  <c r="AK240" i="1"/>
  <c r="AH263" i="1"/>
  <c r="AH259" i="1"/>
  <c r="AH236" i="1"/>
  <c r="AH42" i="1"/>
  <c r="AK257" i="1"/>
  <c r="Y37" i="16"/>
  <c r="Y70" i="16"/>
  <c r="Y59" i="16"/>
  <c r="Y66" i="16"/>
  <c r="AD59" i="16"/>
  <c r="Z69" i="16"/>
  <c r="Y55" i="16"/>
  <c r="Z36" i="16"/>
  <c r="Y68" i="16"/>
  <c r="AD17" i="16"/>
  <c r="Z20" i="16"/>
  <c r="AL77" i="1"/>
  <c r="AG156" i="1"/>
  <c r="S156" i="1" s="1"/>
  <c r="Y12" i="16"/>
  <c r="AL142" i="1"/>
  <c r="AG55" i="1"/>
  <c r="S55" i="1" s="1"/>
  <c r="AG170" i="1"/>
  <c r="S170" i="1" s="1"/>
  <c r="AH47" i="1"/>
  <c r="T47" i="1" s="1"/>
  <c r="AN47" i="1" s="1"/>
  <c r="AH128" i="1"/>
  <c r="AH113" i="1"/>
  <c r="AL18" i="1"/>
  <c r="AG272" i="1"/>
  <c r="AL180" i="1"/>
  <c r="AL79" i="1"/>
  <c r="AG50" i="1"/>
  <c r="S50" i="1" s="1"/>
  <c r="AL138" i="1"/>
  <c r="AH172" i="1"/>
  <c r="AC9" i="16"/>
  <c r="AK171" i="1"/>
  <c r="AL172" i="1"/>
  <c r="AL192" i="1"/>
  <c r="AG139" i="1"/>
  <c r="S139" i="1" s="1"/>
  <c r="AL198" i="1"/>
  <c r="AC12" i="16"/>
  <c r="AG191" i="1"/>
  <c r="S191" i="1" s="1"/>
  <c r="AK53" i="1"/>
  <c r="AC8" i="16"/>
  <c r="R8" i="16" s="1"/>
  <c r="AL171" i="1"/>
  <c r="AH75" i="1"/>
  <c r="AG79" i="1"/>
  <c r="S79" i="1" s="1"/>
  <c r="AG143" i="1"/>
  <c r="S143" i="1" s="1"/>
  <c r="AH92" i="1"/>
  <c r="AG147" i="1"/>
  <c r="S147" i="1" s="1"/>
  <c r="AG184" i="1"/>
  <c r="S184" i="1" s="1"/>
  <c r="AL86" i="1"/>
  <c r="AG67" i="1"/>
  <c r="S67" i="1" s="1"/>
  <c r="AH108" i="1"/>
  <c r="T108" i="1" s="1"/>
  <c r="AN108" i="1" s="1"/>
  <c r="AL269" i="1"/>
  <c r="AG39" i="1"/>
  <c r="S39" i="1" s="1"/>
  <c r="AH127" i="1"/>
  <c r="T127" i="1" s="1"/>
  <c r="AN127" i="1" s="1"/>
  <c r="AL156" i="1"/>
  <c r="AG140" i="1"/>
  <c r="S140" i="1" s="1"/>
  <c r="AG125" i="1"/>
  <c r="S125" i="1" s="1"/>
  <c r="AK203" i="1"/>
  <c r="AG149" i="1"/>
  <c r="S149" i="1" s="1"/>
  <c r="AG80" i="1"/>
  <c r="S80" i="1" s="1"/>
  <c r="AH33" i="1"/>
  <c r="AH86" i="1"/>
  <c r="AG21" i="1"/>
  <c r="S21" i="1" s="1"/>
  <c r="AL143" i="1"/>
  <c r="AQ310" i="10"/>
  <c r="AG10" i="1"/>
  <c r="S10" i="1" s="1"/>
  <c r="AH15" i="14"/>
  <c r="AB32" i="5"/>
  <c r="AP13" i="10"/>
  <c r="AC72" i="16"/>
  <c r="AC48" i="16"/>
  <c r="AL232" i="1"/>
  <c r="AG235" i="1"/>
  <c r="AG250" i="1"/>
  <c r="AL251" i="1"/>
  <c r="AG255" i="1"/>
  <c r="AL83" i="1"/>
  <c r="AG266" i="1"/>
  <c r="AK228" i="1"/>
  <c r="AK241" i="1"/>
  <c r="AL233" i="1"/>
  <c r="AH245" i="1"/>
  <c r="AK82" i="1"/>
  <c r="AH217" i="1"/>
  <c r="AH229" i="1"/>
  <c r="AH237" i="1"/>
  <c r="AH228" i="1"/>
  <c r="AK236" i="1"/>
  <c r="AK83" i="1"/>
  <c r="AD33" i="16"/>
  <c r="AD25" i="16"/>
  <c r="Z68" i="16"/>
  <c r="Y58" i="16"/>
  <c r="Y31" i="16"/>
  <c r="O31" i="16" s="1"/>
  <c r="AC37" i="16"/>
  <c r="AC38" i="16"/>
  <c r="AC62" i="16"/>
  <c r="AD22" i="16"/>
  <c r="AD19" i="16"/>
  <c r="Y19" i="16"/>
  <c r="Z12" i="16"/>
  <c r="AH25" i="1"/>
  <c r="AK22" i="1"/>
  <c r="AG188" i="1"/>
  <c r="S188" i="1" s="1"/>
  <c r="AL117" i="1"/>
  <c r="AG197" i="1"/>
  <c r="S197" i="1" s="1"/>
  <c r="AH126" i="1"/>
  <c r="AH62" i="1"/>
  <c r="T62" i="1" s="1"/>
  <c r="AN62" i="1" s="1"/>
  <c r="AG61" i="1"/>
  <c r="S61" i="1" s="1"/>
  <c r="AK14" i="1"/>
  <c r="AG121" i="1"/>
  <c r="S121" i="1" s="1"/>
  <c r="AL154" i="1"/>
  <c r="AG51" i="1"/>
  <c r="U51" i="1" s="1"/>
  <c r="AO51" i="1" s="1"/>
  <c r="AL62" i="1"/>
  <c r="AG128" i="1"/>
  <c r="S128" i="1" s="1"/>
  <c r="AK47" i="1"/>
  <c r="AH115" i="1"/>
  <c r="AH46" i="1"/>
  <c r="AK269" i="1"/>
  <c r="AH109" i="1"/>
  <c r="AK182" i="1"/>
  <c r="AL111" i="1"/>
  <c r="AH95" i="1"/>
  <c r="AL61" i="1"/>
  <c r="AH130" i="1"/>
  <c r="AG17" i="1"/>
  <c r="S17" i="1" s="1"/>
  <c r="AK205" i="1"/>
  <c r="AK97" i="1"/>
  <c r="AG127" i="1"/>
  <c r="U127" i="1" s="1"/>
  <c r="AO127" i="1" s="1"/>
  <c r="AG195" i="1"/>
  <c r="S195" i="1" s="1"/>
  <c r="AG167" i="1"/>
  <c r="U167" i="1" s="1"/>
  <c r="AO167" i="1" s="1"/>
  <c r="AK75" i="1"/>
  <c r="AK159" i="1"/>
  <c r="AG126" i="1"/>
  <c r="S126" i="1" s="1"/>
  <c r="AH270" i="1"/>
  <c r="AG202" i="1"/>
  <c r="AH63" i="1"/>
  <c r="AG145" i="1"/>
  <c r="S145" i="1" s="1"/>
  <c r="AK133" i="1"/>
  <c r="AH117" i="1"/>
  <c r="AL153" i="1"/>
  <c r="AH50" i="1"/>
  <c r="AL54" i="1"/>
  <c r="AH121" i="1"/>
  <c r="AH105" i="1"/>
  <c r="AL20" i="1"/>
  <c r="AL26" i="1"/>
  <c r="AG155" i="1"/>
  <c r="S155" i="1" s="1"/>
  <c r="AK152" i="1"/>
  <c r="AK9" i="1"/>
  <c r="AM21" i="11"/>
  <c r="AQ46" i="11"/>
  <c r="AH6" i="14"/>
  <c r="Z53" i="16"/>
  <c r="Z15" i="16"/>
  <c r="AL215" i="1"/>
  <c r="AK226" i="1"/>
  <c r="AG263" i="1"/>
  <c r="AH265" i="1"/>
  <c r="AG217" i="1"/>
  <c r="AG244" i="1"/>
  <c r="AL248" i="1"/>
  <c r="AH256" i="1"/>
  <c r="AL224" i="1"/>
  <c r="AK219" i="1"/>
  <c r="AH249" i="1"/>
  <c r="AG223" i="1"/>
  <c r="AH214" i="1"/>
  <c r="AG210" i="1"/>
  <c r="AH240" i="1"/>
  <c r="AG222" i="1"/>
  <c r="AH212" i="1"/>
  <c r="Z31" i="16"/>
  <c r="Z54" i="16"/>
  <c r="Z25" i="16"/>
  <c r="AC65" i="16"/>
  <c r="Z70" i="16"/>
  <c r="Y61" i="16"/>
  <c r="AD35" i="16"/>
  <c r="Z28" i="16"/>
  <c r="Y54" i="16"/>
  <c r="Z16" i="16"/>
  <c r="AC15" i="16"/>
  <c r="R15" i="16" s="1"/>
  <c r="Z11" i="16"/>
  <c r="AH196" i="1"/>
  <c r="AK28" i="1"/>
  <c r="AL91" i="1"/>
  <c r="AL160" i="1"/>
  <c r="AG38" i="1"/>
  <c r="S38" i="1" s="1"/>
  <c r="AG185" i="1"/>
  <c r="U185" i="1" s="1"/>
  <c r="AO185" i="1" s="1"/>
  <c r="AK115" i="1"/>
  <c r="AG94" i="1"/>
  <c r="S94" i="1" s="1"/>
  <c r="AK160" i="1"/>
  <c r="AK125" i="1"/>
  <c r="AG85" i="1"/>
  <c r="S85" i="1" s="1"/>
  <c r="AL31" i="1"/>
  <c r="AL130" i="1"/>
  <c r="AG114" i="1"/>
  <c r="S114" i="1" s="1"/>
  <c r="AL161" i="1"/>
  <c r="AH145" i="1"/>
  <c r="AH69" i="1"/>
  <c r="AK165" i="1"/>
  <c r="AK181" i="1"/>
  <c r="AL183" i="1"/>
  <c r="AL60" i="1"/>
  <c r="AK177" i="1"/>
  <c r="AK147" i="1"/>
  <c r="AG77" i="1"/>
  <c r="S77" i="1" s="1"/>
  <c r="AK111" i="1"/>
  <c r="AL137" i="1"/>
  <c r="AH205" i="1"/>
  <c r="AK145" i="1"/>
  <c r="AK141" i="1"/>
  <c r="AG86" i="1"/>
  <c r="S86" i="1" s="1"/>
  <c r="AG58" i="1"/>
  <c r="S58" i="1" s="1"/>
  <c r="AL182" i="1"/>
  <c r="AH271" i="1"/>
  <c r="AK64" i="1"/>
  <c r="AL72" i="1"/>
  <c r="AH207" i="1"/>
  <c r="AL76" i="1"/>
  <c r="AK196" i="1"/>
  <c r="AK118" i="1"/>
  <c r="AH80" i="1"/>
  <c r="AH186" i="1"/>
  <c r="AL200" i="1"/>
  <c r="AH28" i="1"/>
  <c r="T28" i="1" s="1"/>
  <c r="AN28" i="1" s="1"/>
  <c r="AH87" i="1"/>
  <c r="T87" i="1" s="1"/>
  <c r="AN87" i="1" s="1"/>
  <c r="AH107" i="1"/>
  <c r="AH14" i="1"/>
  <c r="AG65" i="1"/>
  <c r="S65" i="1" s="1"/>
  <c r="AG154" i="1"/>
  <c r="S154" i="1" s="1"/>
  <c r="AL9" i="1"/>
  <c r="AH17" i="14"/>
  <c r="AH140" i="14"/>
  <c r="AH13" i="14"/>
  <c r="AP154" i="10"/>
  <c r="Y40" i="16"/>
  <c r="Y73" i="16"/>
  <c r="Z5" i="16"/>
  <c r="Z75" i="16"/>
  <c r="Z50" i="16"/>
  <c r="Z73" i="16"/>
  <c r="AM16" i="11"/>
  <c r="AQ10" i="11"/>
  <c r="AQ14" i="11"/>
  <c r="AQ7" i="11"/>
  <c r="AB38" i="5"/>
  <c r="N38" i="5" s="1"/>
  <c r="AG89" i="5"/>
  <c r="AM37" i="11"/>
  <c r="X37" i="11" s="1"/>
  <c r="AV37" i="11" s="1"/>
  <c r="AG100" i="5"/>
  <c r="AF9" i="9"/>
  <c r="Q9" i="9" s="1"/>
  <c r="AI23" i="9"/>
  <c r="AQ152" i="10"/>
  <c r="AB88" i="5"/>
  <c r="AJ9" i="9"/>
  <c r="AE14" i="14"/>
  <c r="AH133" i="14"/>
  <c r="AH142" i="14"/>
  <c r="AG37" i="5"/>
  <c r="R37" i="5" s="1"/>
  <c r="AQ29" i="10"/>
  <c r="AR158" i="11"/>
  <c r="AN9" i="11"/>
  <c r="W9" i="11" s="1"/>
  <c r="AU9" i="11" s="1"/>
  <c r="AM159" i="11"/>
  <c r="AB11" i="5"/>
  <c r="N11" i="5" s="1"/>
  <c r="AM49" i="11"/>
  <c r="AM148" i="10"/>
  <c r="V148" i="10" s="1"/>
  <c r="AT148" i="10" s="1"/>
  <c r="AH130" i="14"/>
  <c r="AI5" i="9"/>
  <c r="AI56" i="9"/>
  <c r="AN12" i="11"/>
  <c r="W12" i="11" s="1"/>
  <c r="AU12" i="11" s="1"/>
  <c r="AB5" i="5"/>
  <c r="N5" i="5" s="1"/>
  <c r="AB10" i="5"/>
  <c r="N10" i="5" s="1"/>
  <c r="AF89" i="5"/>
  <c r="AN14" i="11"/>
  <c r="W14" i="11" s="1"/>
  <c r="AU14" i="11" s="1"/>
  <c r="AL7" i="10"/>
  <c r="W7" i="10" s="1"/>
  <c r="AU7" i="10" s="1"/>
  <c r="AE11" i="14"/>
  <c r="AJ59" i="9"/>
  <c r="AH12" i="14"/>
  <c r="AG50" i="5"/>
  <c r="AE60" i="9"/>
  <c r="AM36" i="11"/>
  <c r="X36" i="11" s="1"/>
  <c r="AV36" i="11" s="1"/>
  <c r="AB49" i="5"/>
  <c r="AE15" i="14"/>
  <c r="AF57" i="9"/>
  <c r="AN21" i="11"/>
  <c r="AI140" i="14"/>
  <c r="AG98" i="5"/>
  <c r="AL310" i="10"/>
  <c r="AE22" i="14"/>
  <c r="Z43" i="16"/>
  <c r="Y76" i="16"/>
  <c r="Y42" i="16"/>
  <c r="AB90" i="5"/>
  <c r="AI9" i="9"/>
  <c r="AQ159" i="11"/>
  <c r="Y159" i="11" s="1"/>
  <c r="AG45" i="5"/>
  <c r="R45" i="5" s="1"/>
  <c r="AI22" i="9"/>
  <c r="AB40" i="5"/>
  <c r="N40" i="5" s="1"/>
  <c r="AB47" i="5"/>
  <c r="N47" i="5" s="1"/>
  <c r="AF88" i="5"/>
  <c r="AE57" i="9"/>
  <c r="AC38" i="5"/>
  <c r="AE24" i="9"/>
  <c r="AQ149" i="10"/>
  <c r="AB45" i="5"/>
  <c r="P45" i="5" s="1"/>
  <c r="AI142" i="14"/>
  <c r="AI133" i="14"/>
  <c r="AE7" i="9"/>
  <c r="AB93" i="5"/>
  <c r="AF60" i="9"/>
  <c r="AJ25" i="9"/>
  <c r="AF26" i="9"/>
  <c r="AF22" i="5"/>
  <c r="AL30" i="10"/>
  <c r="AF101" i="5"/>
  <c r="AQ14" i="10"/>
  <c r="AF14" i="5"/>
  <c r="Q14" i="5" s="1"/>
  <c r="AG5" i="5"/>
  <c r="AM7" i="10"/>
  <c r="V7" i="10" s="1"/>
  <c r="AT7" i="10" s="1"/>
  <c r="AP15" i="10"/>
  <c r="AD8" i="14"/>
  <c r="AG14" i="5"/>
  <c r="AE11" i="9"/>
  <c r="AR14" i="11"/>
  <c r="AE16" i="14"/>
  <c r="AL14" i="10"/>
  <c r="W14" i="10" s="1"/>
  <c r="AU14" i="10" s="1"/>
  <c r="AF30" i="5"/>
  <c r="AE23" i="9"/>
  <c r="AQ20" i="11"/>
  <c r="AR313" i="11"/>
  <c r="AD24" i="14"/>
  <c r="AI11" i="14"/>
  <c r="AI9" i="14"/>
  <c r="AD16" i="14"/>
  <c r="AM39" i="11"/>
  <c r="X39" i="11" s="1"/>
  <c r="AV39" i="11" s="1"/>
  <c r="AF98" i="5"/>
  <c r="AC74" i="16"/>
  <c r="Y46" i="16"/>
  <c r="Z39" i="16"/>
  <c r="AD47" i="16"/>
  <c r="AJ12" i="9"/>
  <c r="AL29" i="10"/>
  <c r="AG44" i="5"/>
  <c r="R44" i="5" s="1"/>
  <c r="AH22" i="14"/>
  <c r="AC7" i="5"/>
  <c r="O7" i="5" s="1"/>
  <c r="AF12" i="5"/>
  <c r="Q12" i="5" s="1"/>
  <c r="AE5" i="14"/>
  <c r="Q5" i="14" s="1"/>
  <c r="AM20" i="11"/>
  <c r="AB92" i="5"/>
  <c r="AM152" i="10"/>
  <c r="V152" i="10" s="1"/>
  <c r="AT152" i="10" s="1"/>
  <c r="AC88" i="5"/>
  <c r="AJ6" i="9"/>
  <c r="AQ150" i="11"/>
  <c r="Y150" i="11" s="1"/>
  <c r="AD143" i="14"/>
  <c r="AG20" i="5"/>
  <c r="AG12" i="5"/>
  <c r="AN47" i="11"/>
  <c r="AE17" i="9"/>
  <c r="AL151" i="10"/>
  <c r="W151" i="10" s="1"/>
  <c r="AU151" i="10" s="1"/>
  <c r="AR15" i="11"/>
  <c r="AM44" i="11"/>
  <c r="X44" i="11" s="1"/>
  <c r="AV44" i="11" s="1"/>
  <c r="AD22" i="14"/>
  <c r="AP76" i="10"/>
  <c r="AI19" i="9"/>
  <c r="AG90" i="5"/>
  <c r="AQ155" i="11"/>
  <c r="Y155" i="11" s="1"/>
  <c r="AH26" i="14"/>
  <c r="AF6" i="5"/>
  <c r="Q6" i="5" s="1"/>
  <c r="AQ35" i="11"/>
  <c r="AM42" i="11"/>
  <c r="X42" i="11" s="1"/>
  <c r="AV42" i="11" s="1"/>
  <c r="AF21" i="9"/>
  <c r="AE26" i="9"/>
  <c r="AC31" i="5"/>
  <c r="O31" i="5" s="1"/>
  <c r="AH11" i="14"/>
  <c r="AM154" i="11"/>
  <c r="AI130" i="14"/>
  <c r="AI7" i="14"/>
  <c r="AI17" i="9"/>
  <c r="AQ15" i="10"/>
  <c r="AH7" i="14"/>
  <c r="U7" i="14" s="1"/>
  <c r="AF87" i="5"/>
  <c r="AM151" i="10"/>
  <c r="V151" i="10" s="1"/>
  <c r="AT151" i="10" s="1"/>
  <c r="AQ143" i="10"/>
  <c r="AM76" i="10"/>
  <c r="AP146" i="10"/>
  <c r="AC46" i="5"/>
  <c r="Z49" i="16"/>
  <c r="AD46" i="16"/>
  <c r="AD75" i="16"/>
  <c r="AQ19" i="11"/>
  <c r="AF10" i="9"/>
  <c r="AG92" i="5"/>
  <c r="AE20" i="14"/>
  <c r="AL10" i="10"/>
  <c r="W10" i="10" s="1"/>
  <c r="AU10" i="10" s="1"/>
  <c r="AM30" i="10"/>
  <c r="AE135" i="14"/>
  <c r="AE58" i="9"/>
  <c r="AQ158" i="11"/>
  <c r="Y158" i="11" s="1"/>
  <c r="AP6" i="10"/>
  <c r="AC97" i="5"/>
  <c r="AF7" i="9"/>
  <c r="AE59" i="9"/>
  <c r="AB94" i="5"/>
  <c r="AL76" i="10"/>
  <c r="AH134" i="14"/>
  <c r="AE56" i="9"/>
  <c r="AG38" i="5"/>
  <c r="R38" i="5" s="1"/>
  <c r="AG16" i="5"/>
  <c r="AE5" i="9"/>
  <c r="R5" i="9" s="1"/>
  <c r="AG30" i="5"/>
  <c r="AB97" i="5"/>
  <c r="AQ47" i="11"/>
  <c r="AL147" i="10"/>
  <c r="W147" i="10" s="1"/>
  <c r="AU147" i="10" s="1"/>
  <c r="AF29" i="5"/>
  <c r="AC40" i="5"/>
  <c r="AG91" i="5"/>
  <c r="AI12" i="9"/>
  <c r="AE15" i="9"/>
  <c r="AB6" i="5"/>
  <c r="N6" i="5" s="1"/>
  <c r="AL143" i="10"/>
  <c r="W143" i="10" s="1"/>
  <c r="AU143" i="10" s="1"/>
  <c r="AF39" i="5"/>
  <c r="Q39" i="5" s="1"/>
  <c r="AB33" i="5"/>
  <c r="AQ76" i="10"/>
  <c r="AL74" i="10"/>
  <c r="W74" i="10" s="1"/>
  <c r="AU74" i="10" s="1"/>
  <c r="AF96" i="5"/>
  <c r="AL149" i="10"/>
  <c r="W149" i="10" s="1"/>
  <c r="AU149" i="10" s="1"/>
  <c r="AI13" i="14"/>
  <c r="AD19" i="14"/>
  <c r="AF59" i="9"/>
  <c r="AH9" i="14"/>
  <c r="AD18" i="14"/>
  <c r="AI6" i="14"/>
  <c r="AF33" i="5"/>
  <c r="Q33" i="5" s="1"/>
  <c r="AQ49" i="11"/>
  <c r="AN49" i="11"/>
  <c r="AC53" i="16"/>
  <c r="AC52" i="16"/>
  <c r="Y51" i="16"/>
  <c r="AN155" i="11"/>
  <c r="AC94" i="5"/>
  <c r="AN71" i="11"/>
  <c r="AM23" i="11"/>
  <c r="AB39" i="5"/>
  <c r="N39" i="5" s="1"/>
  <c r="AG96" i="5"/>
  <c r="AC99" i="5"/>
  <c r="AB12" i="5"/>
  <c r="N12" i="5" s="1"/>
  <c r="AR38" i="11"/>
  <c r="AM149" i="10"/>
  <c r="V149" i="10" s="1"/>
  <c r="AT149" i="10" s="1"/>
  <c r="AG103" i="5"/>
  <c r="AE9" i="9"/>
  <c r="R9" i="9" s="1"/>
  <c r="AE8" i="14"/>
  <c r="AE132" i="14"/>
  <c r="AH19" i="14"/>
  <c r="AC35" i="5"/>
  <c r="AB91" i="5"/>
  <c r="AG6" i="5"/>
  <c r="AB102" i="5"/>
  <c r="AF16" i="9"/>
  <c r="AF37" i="5"/>
  <c r="S37" i="5" s="1"/>
  <c r="AR156" i="11"/>
  <c r="AB44" i="5"/>
  <c r="P44" i="5" s="1"/>
  <c r="AF11" i="9"/>
  <c r="AI24" i="14"/>
  <c r="AB89" i="5"/>
  <c r="AC45" i="5"/>
  <c r="O45" i="5" s="1"/>
  <c r="AI6" i="9"/>
  <c r="AC103" i="5"/>
  <c r="AP8" i="10"/>
  <c r="AC14" i="5"/>
  <c r="O14" i="5" s="1"/>
  <c r="AC43" i="5"/>
  <c r="O43" i="5" s="1"/>
  <c r="AF47" i="5"/>
  <c r="Q47" i="5" s="1"/>
  <c r="AL153" i="10"/>
  <c r="W153" i="10" s="1"/>
  <c r="AU153" i="10" s="1"/>
  <c r="AG34" i="5"/>
  <c r="AF8" i="9"/>
  <c r="Q8" i="9" s="1"/>
  <c r="AF44" i="5"/>
  <c r="S44" i="5" s="1"/>
  <c r="AR43" i="11"/>
  <c r="AD12" i="14"/>
  <c r="AP153" i="10"/>
  <c r="AR154" i="11"/>
  <c r="AM15" i="10"/>
  <c r="V15" i="10" s="1"/>
  <c r="AT15" i="10" s="1"/>
  <c r="AM43" i="11"/>
  <c r="X43" i="11" s="1"/>
  <c r="AV43" i="11" s="1"/>
  <c r="AH10" i="14"/>
  <c r="AF45" i="5"/>
  <c r="S45" i="5" s="1"/>
  <c r="Z42" i="16"/>
  <c r="AD51" i="16"/>
  <c r="AC45" i="16"/>
  <c r="AD48" i="16"/>
  <c r="AJ17" i="9"/>
  <c r="AI58" i="9"/>
  <c r="AF18" i="5"/>
  <c r="AQ8" i="10"/>
  <c r="AP9" i="10"/>
  <c r="AG15" i="5"/>
  <c r="AB96" i="5"/>
  <c r="AG10" i="5"/>
  <c r="AI10" i="9"/>
  <c r="AE12" i="9"/>
  <c r="AE6" i="9"/>
  <c r="R6" i="9" s="1"/>
  <c r="AM12" i="10"/>
  <c r="V12" i="10" s="1"/>
  <c r="AT12" i="10" s="1"/>
  <c r="AM9" i="10"/>
  <c r="V9" i="10" s="1"/>
  <c r="AT9" i="10" s="1"/>
  <c r="AD132" i="14"/>
  <c r="AE19" i="14"/>
  <c r="AF48" i="5"/>
  <c r="Q48" i="5" s="1"/>
  <c r="AM35" i="11"/>
  <c r="X35" i="11" s="1"/>
  <c r="AV35" i="11" s="1"/>
  <c r="AR16" i="11"/>
  <c r="AQ313" i="11"/>
  <c r="AF40" i="5"/>
  <c r="Q40" i="5" s="1"/>
  <c r="AH14" i="14"/>
  <c r="AP149" i="10"/>
  <c r="AM10" i="11"/>
  <c r="X10" i="11" s="1"/>
  <c r="AV10" i="11" s="1"/>
  <c r="AD9" i="14"/>
  <c r="AF94" i="5"/>
  <c r="AQ33" i="11"/>
  <c r="AM158" i="11"/>
  <c r="AH131" i="14"/>
  <c r="AC98" i="5"/>
  <c r="AC92" i="5"/>
  <c r="AF24" i="9"/>
  <c r="AQ150" i="10"/>
  <c r="AG46" i="5"/>
  <c r="AM148" i="11"/>
  <c r="AG24" i="5"/>
  <c r="AF32" i="5"/>
  <c r="Q32" i="5" s="1"/>
  <c r="AI60" i="9"/>
  <c r="AN313" i="11"/>
  <c r="AP152" i="10"/>
  <c r="AP151" i="10"/>
  <c r="AN17" i="11"/>
  <c r="AH129" i="14"/>
  <c r="AC49" i="5"/>
  <c r="AH16" i="14"/>
  <c r="AH21" i="14"/>
  <c r="AC73" i="16"/>
  <c r="AD52" i="16"/>
  <c r="AD73" i="16"/>
  <c r="AF20" i="9"/>
  <c r="AN20" i="11"/>
  <c r="AQ6" i="10"/>
  <c r="AR149" i="11"/>
  <c r="AI27" i="9"/>
  <c r="AL8" i="10"/>
  <c r="W8" i="10" s="1"/>
  <c r="AU8" i="10" s="1"/>
  <c r="AN156" i="11"/>
  <c r="AD11" i="14"/>
  <c r="AQ5" i="10"/>
  <c r="AD135" i="14"/>
  <c r="AE130" i="14"/>
  <c r="AM10" i="10"/>
  <c r="V10" i="10" s="1"/>
  <c r="AT10" i="10" s="1"/>
  <c r="AM153" i="10"/>
  <c r="V153" i="10" s="1"/>
  <c r="AT153" i="10" s="1"/>
  <c r="AF19" i="5"/>
  <c r="AE6" i="14"/>
  <c r="Q6" i="14" s="1"/>
  <c r="AI132" i="14"/>
  <c r="AP11" i="10"/>
  <c r="AL5" i="10"/>
  <c r="W5" i="10" s="1"/>
  <c r="AF22" i="9"/>
  <c r="AG94" i="5"/>
  <c r="AN148" i="11"/>
  <c r="AJ26" i="9"/>
  <c r="AE9" i="14"/>
  <c r="AQ23" i="11"/>
  <c r="AP16" i="10"/>
  <c r="AE14" i="9"/>
  <c r="AF102" i="5"/>
  <c r="AM6" i="11"/>
  <c r="X6" i="11" s="1"/>
  <c r="AQ21" i="11"/>
  <c r="AL6" i="1"/>
  <c r="AD130" i="14"/>
  <c r="AL145" i="10"/>
  <c r="W145" i="10" s="1"/>
  <c r="AU145" i="10" s="1"/>
  <c r="AQ149" i="11"/>
  <c r="Y149" i="11" s="1"/>
  <c r="AI59" i="9"/>
  <c r="AQ6" i="11"/>
  <c r="AE26" i="14"/>
  <c r="AB98" i="5"/>
  <c r="AI12" i="14"/>
  <c r="AQ147" i="10"/>
  <c r="AI23" i="14"/>
  <c r="AD26" i="14"/>
  <c r="AP148" i="10"/>
  <c r="AR32" i="11"/>
  <c r="AP144" i="10"/>
  <c r="AH135" i="14"/>
  <c r="AC50" i="16"/>
  <c r="Z41" i="16"/>
  <c r="Z77" i="16"/>
  <c r="AE12" i="14"/>
  <c r="AI26" i="14"/>
  <c r="AE20" i="9"/>
  <c r="AI18" i="9"/>
  <c r="AQ30" i="10"/>
  <c r="AD15" i="14"/>
  <c r="AB43" i="5"/>
  <c r="P43" i="5" s="1"/>
  <c r="AI20" i="9"/>
  <c r="AR148" i="11"/>
  <c r="AC36" i="5"/>
  <c r="O36" i="5" s="1"/>
  <c r="AF11" i="5"/>
  <c r="Q11" i="5" s="1"/>
  <c r="AI57" i="9"/>
  <c r="AJ21" i="9"/>
  <c r="AG48" i="5"/>
  <c r="AD142" i="14"/>
  <c r="AE133" i="14"/>
  <c r="AF103" i="5"/>
  <c r="AC89" i="5"/>
  <c r="AG97" i="5"/>
  <c r="AF17" i="9"/>
  <c r="AE21" i="9"/>
  <c r="AC96" i="5"/>
  <c r="AI5" i="14"/>
  <c r="AL148" i="10"/>
  <c r="W148" i="10" s="1"/>
  <c r="AU148" i="10" s="1"/>
  <c r="AQ39" i="11"/>
  <c r="AG102" i="5"/>
  <c r="AB103" i="5"/>
  <c r="AM157" i="11"/>
  <c r="AG19" i="5"/>
  <c r="AR33" i="11"/>
  <c r="AG36" i="5"/>
  <c r="R36" i="5" s="1"/>
  <c r="AG31" i="5"/>
  <c r="AM152" i="11"/>
  <c r="AF17" i="5"/>
  <c r="AR41" i="11"/>
  <c r="AM147" i="10"/>
  <c r="V147" i="10" s="1"/>
  <c r="AT147" i="10" s="1"/>
  <c r="AN22" i="11"/>
  <c r="AD21" i="14"/>
  <c r="AI135" i="14"/>
  <c r="AQ34" i="11"/>
  <c r="AE18" i="14"/>
  <c r="AC47" i="5"/>
  <c r="O47" i="5" s="1"/>
  <c r="AN153" i="11"/>
  <c r="AR153" i="11"/>
  <c r="AD74" i="16"/>
  <c r="Y72" i="16"/>
  <c r="Z72" i="16"/>
  <c r="AC90" i="5"/>
  <c r="AD14" i="14"/>
  <c r="AP143" i="10"/>
  <c r="AF13" i="5"/>
  <c r="Q13" i="5" s="1"/>
  <c r="AM8" i="10"/>
  <c r="V8" i="10" s="1"/>
  <c r="AM5" i="10"/>
  <c r="V5" i="10" s="1"/>
  <c r="AR49" i="11"/>
  <c r="AF34" i="5"/>
  <c r="AQ36" i="11"/>
  <c r="AN38" i="11"/>
  <c r="W38" i="11" s="1"/>
  <c r="AU38" i="11" s="1"/>
  <c r="AR40" i="11"/>
  <c r="AI131" i="14"/>
  <c r="AE143" i="14"/>
  <c r="AM156" i="11"/>
  <c r="AN150" i="11"/>
  <c r="AI18" i="14"/>
  <c r="AI15" i="9"/>
  <c r="AN8" i="11"/>
  <c r="W8" i="11" s="1"/>
  <c r="AF93" i="5"/>
  <c r="AM14" i="11"/>
  <c r="X14" i="11" s="1"/>
  <c r="AV14" i="11" s="1"/>
  <c r="AI11" i="9"/>
  <c r="AI17" i="14"/>
  <c r="AL144" i="10"/>
  <c r="W144" i="10" s="1"/>
  <c r="AU144" i="10" s="1"/>
  <c r="AD10" i="14"/>
  <c r="AE22" i="9"/>
  <c r="AM71" i="11"/>
  <c r="AG93" i="5"/>
  <c r="AI21" i="14"/>
  <c r="AM41" i="11"/>
  <c r="X41" i="11" s="1"/>
  <c r="AV41" i="11" s="1"/>
  <c r="AR39" i="11"/>
  <c r="AG29" i="5"/>
  <c r="AB31" i="5"/>
  <c r="AN157" i="11"/>
  <c r="AE7" i="14"/>
  <c r="AM14" i="10"/>
  <c r="V14" i="10" s="1"/>
  <c r="AT14" i="10" s="1"/>
  <c r="AG9" i="5"/>
  <c r="AM154" i="10"/>
  <c r="V154" i="10" s="1"/>
  <c r="AT154" i="10" s="1"/>
  <c r="AQ148" i="11"/>
  <c r="Y148" i="11" s="1"/>
  <c r="AF27" i="9"/>
  <c r="AN40" i="11"/>
  <c r="W40" i="11" s="1"/>
  <c r="AU40" i="11" s="1"/>
  <c r="AQ40" i="11"/>
  <c r="AM13" i="10"/>
  <c r="V13" i="10" s="1"/>
  <c r="AT13" i="10" s="1"/>
  <c r="AN33" i="11"/>
  <c r="W33" i="11" s="1"/>
  <c r="AU33" i="11" s="1"/>
  <c r="AD50" i="16"/>
  <c r="Y49" i="16"/>
  <c r="AD76" i="16"/>
  <c r="Z40" i="16"/>
  <c r="AD6" i="14"/>
  <c r="R6" i="14" s="1"/>
  <c r="AN34" i="11"/>
  <c r="W34" i="11" s="1"/>
  <c r="AU34" i="11" s="1"/>
  <c r="AG13" i="5"/>
  <c r="AC100" i="5"/>
  <c r="AC12" i="5"/>
  <c r="AL6" i="10"/>
  <c r="W6" i="10" s="1"/>
  <c r="AU6" i="10" s="1"/>
  <c r="AI10" i="14"/>
  <c r="AR18" i="11"/>
  <c r="AP5" i="10"/>
  <c r="AC9" i="5"/>
  <c r="AG87" i="5"/>
  <c r="AE24" i="14"/>
  <c r="AE142" i="14"/>
  <c r="AQ153" i="10"/>
  <c r="AL16" i="10"/>
  <c r="W16" i="10" s="1"/>
  <c r="AU16" i="10" s="1"/>
  <c r="AR11" i="11"/>
  <c r="AF90" i="5"/>
  <c r="AR159" i="11"/>
  <c r="AI20" i="14"/>
  <c r="AR17" i="11"/>
  <c r="AM150" i="10"/>
  <c r="V150" i="10" s="1"/>
  <c r="AT150" i="10" s="1"/>
  <c r="AM40" i="11"/>
  <c r="X40" i="11" s="1"/>
  <c r="AV40" i="11" s="1"/>
  <c r="AQ16" i="10"/>
  <c r="AF10" i="5"/>
  <c r="Q10" i="5" s="1"/>
  <c r="AN16" i="11"/>
  <c r="AG40" i="5"/>
  <c r="R40" i="5" s="1"/>
  <c r="AP29" i="10"/>
  <c r="Z29" i="10" s="1"/>
  <c r="AF92" i="5"/>
  <c r="AN42" i="11"/>
  <c r="W42" i="11" s="1"/>
  <c r="AU42" i="11" s="1"/>
  <c r="AQ151" i="10"/>
  <c r="AD129" i="14"/>
  <c r="AR157" i="11"/>
  <c r="AM149" i="11"/>
  <c r="AR34" i="11"/>
  <c r="AD13" i="14"/>
  <c r="AR152" i="11"/>
  <c r="AM313" i="11"/>
  <c r="AI22" i="14"/>
  <c r="AD131" i="14"/>
  <c r="AE17" i="14"/>
  <c r="AN152" i="11"/>
  <c r="AF26" i="5"/>
  <c r="AP10" i="10"/>
  <c r="AC5" i="16"/>
  <c r="R5" i="16" s="1"/>
  <c r="AC49" i="16"/>
  <c r="AD45" i="16"/>
  <c r="AN15" i="11"/>
  <c r="AM146" i="10"/>
  <c r="V146" i="10" s="1"/>
  <c r="AT146" i="10" s="1"/>
  <c r="AG22" i="5"/>
  <c r="AR12" i="11"/>
  <c r="AC102" i="5"/>
  <c r="AQ43" i="11"/>
  <c r="AB35" i="5"/>
  <c r="N35" i="5" s="1"/>
  <c r="AP147" i="10"/>
  <c r="AP150" i="10"/>
  <c r="AQ51" i="11"/>
  <c r="AN18" i="11"/>
  <c r="AF50" i="5"/>
  <c r="AM155" i="11"/>
  <c r="AN154" i="11"/>
  <c r="AD133" i="14"/>
  <c r="AD134" i="14"/>
  <c r="AJ14" i="9"/>
  <c r="AG49" i="5"/>
  <c r="AF6" i="9"/>
  <c r="Q6" i="9" s="1"/>
  <c r="AQ32" i="11"/>
  <c r="AN7" i="11"/>
  <c r="W7" i="11" s="1"/>
  <c r="AU7" i="11" s="1"/>
  <c r="AF20" i="5"/>
  <c r="AG23" i="5"/>
  <c r="AL150" i="10"/>
  <c r="W150" i="10" s="1"/>
  <c r="AU150" i="10" s="1"/>
  <c r="AR36" i="11"/>
  <c r="AC33" i="5"/>
  <c r="O33" i="5" s="1"/>
  <c r="AB13" i="5"/>
  <c r="N13" i="5" s="1"/>
  <c r="AG7" i="5"/>
  <c r="AN11" i="11"/>
  <c r="W11" i="11" s="1"/>
  <c r="AU11" i="11" s="1"/>
  <c r="AJ58" i="9"/>
  <c r="AC10" i="5"/>
  <c r="O10" i="5" s="1"/>
  <c r="AN36" i="11"/>
  <c r="W36" i="11" s="1"/>
  <c r="AU36" i="11" s="1"/>
  <c r="AI19" i="14"/>
  <c r="AR71" i="11"/>
  <c r="AJ27" i="9"/>
  <c r="AF21" i="5"/>
  <c r="AM47" i="11"/>
  <c r="AD5" i="14"/>
  <c r="R5" i="14" s="1"/>
  <c r="AM34" i="11"/>
  <c r="X34" i="11" s="1"/>
  <c r="AV34" i="11" s="1"/>
  <c r="AN32" i="11"/>
  <c r="AQ10" i="10"/>
  <c r="AQ146" i="10"/>
  <c r="AM17" i="11"/>
  <c r="AM143" i="10"/>
  <c r="V143" i="10" s="1"/>
  <c r="AT143" i="10" s="1"/>
  <c r="AG27" i="5"/>
  <c r="AJ56" i="9"/>
  <c r="AD42" i="16"/>
  <c r="Y43" i="16"/>
  <c r="AD43" i="16"/>
  <c r="AG6" i="1"/>
  <c r="AG39" i="5"/>
  <c r="AJ7" i="9"/>
  <c r="AE25" i="9"/>
  <c r="AR13" i="11"/>
  <c r="AI21" i="9"/>
  <c r="AB101" i="5"/>
  <c r="AG99" i="5"/>
  <c r="AL13" i="10"/>
  <c r="W13" i="10" s="1"/>
  <c r="AU13" i="10" s="1"/>
  <c r="AF7" i="5"/>
  <c r="Q7" i="5" s="1"/>
  <c r="AB95" i="5"/>
  <c r="AI26" i="9"/>
  <c r="AH143" i="14"/>
  <c r="AC13" i="5"/>
  <c r="AJ18" i="9"/>
  <c r="AE27" i="9"/>
  <c r="AE16" i="9"/>
  <c r="AL5" i="1"/>
  <c r="AG11" i="5"/>
  <c r="AB8" i="5"/>
  <c r="N8" i="5" s="1"/>
  <c r="AB50" i="5"/>
  <c r="AC39" i="5"/>
  <c r="O39" i="5" s="1"/>
  <c r="AM150" i="11"/>
  <c r="AC91" i="5"/>
  <c r="AF8" i="5"/>
  <c r="Q8" i="5" s="1"/>
  <c r="AJ8" i="9"/>
  <c r="AQ71" i="11"/>
  <c r="AF99" i="5"/>
  <c r="AE129" i="14"/>
  <c r="AB37" i="5"/>
  <c r="P37" i="5" s="1"/>
  <c r="AG43" i="5"/>
  <c r="R43" i="5" s="1"/>
  <c r="AN35" i="11"/>
  <c r="W35" i="11" s="1"/>
  <c r="AU35" i="11" s="1"/>
  <c r="AR8" i="11"/>
  <c r="AC101" i="5"/>
  <c r="AM46" i="11"/>
  <c r="AF46" i="5"/>
  <c r="Q46" i="5" s="1"/>
  <c r="AM19" i="11"/>
  <c r="AE18" i="9"/>
  <c r="AQ151" i="11"/>
  <c r="Y151" i="11" s="1"/>
  <c r="AQ154" i="11"/>
  <c r="Y154" i="11" s="1"/>
  <c r="AR44" i="11"/>
  <c r="AL15" i="10"/>
  <c r="W15" i="10" s="1"/>
  <c r="AU15" i="10" s="1"/>
  <c r="Y74" i="16"/>
  <c r="Y71" i="16"/>
  <c r="AF14" i="9"/>
  <c r="AC77" i="16"/>
  <c r="AR151" i="11"/>
  <c r="AM16" i="10"/>
  <c r="V16" i="10" s="1"/>
  <c r="AT16" i="10" s="1"/>
  <c r="AG47" i="5"/>
  <c r="R47" i="5" s="1"/>
  <c r="AF58" i="9"/>
  <c r="AF100" i="5"/>
  <c r="AJ22" i="9"/>
  <c r="AH18" i="14"/>
  <c r="AG88" i="5"/>
  <c r="AJ19" i="9"/>
  <c r="AQ11" i="11"/>
  <c r="AI8" i="14"/>
  <c r="AI134" i="14"/>
  <c r="AK5" i="1"/>
  <c r="AC37" i="5"/>
  <c r="O37" i="5" s="1"/>
  <c r="AJ15" i="9"/>
  <c r="AE131" i="14"/>
  <c r="AN46" i="11"/>
  <c r="AF25" i="5"/>
  <c r="AF27" i="5"/>
  <c r="AM8" i="11"/>
  <c r="X8" i="11" s="1"/>
  <c r="AV8" i="11" s="1"/>
  <c r="AF23" i="5"/>
  <c r="AM151" i="11"/>
  <c r="AH5" i="1"/>
  <c r="AF31" i="5"/>
  <c r="Q31" i="5" s="1"/>
  <c r="AD7" i="14"/>
  <c r="AC6" i="5"/>
  <c r="O6" i="5" s="1"/>
  <c r="AF16" i="5"/>
  <c r="AN158" i="11"/>
  <c r="AM145" i="10"/>
  <c r="V145" i="10" s="1"/>
  <c r="AT145" i="10" s="1"/>
  <c r="AN19" i="11"/>
  <c r="AQ12" i="11"/>
  <c r="AJ57" i="9"/>
  <c r="AF97" i="5"/>
  <c r="AR42" i="11"/>
  <c r="AF15" i="9"/>
  <c r="AQ44" i="11"/>
  <c r="AF18" i="9"/>
  <c r="AF25" i="9"/>
  <c r="AE21" i="14"/>
  <c r="Y45" i="16"/>
  <c r="Z48" i="16"/>
  <c r="AC71" i="16"/>
  <c r="AQ18" i="11"/>
  <c r="AG26" i="5"/>
  <c r="AC93" i="5"/>
  <c r="AR150" i="11"/>
  <c r="AH5" i="14"/>
  <c r="AB36" i="5"/>
  <c r="P36" i="5" s="1"/>
  <c r="AB9" i="5"/>
  <c r="N9" i="5" s="1"/>
  <c r="AH6" i="1"/>
  <c r="AF28" i="5"/>
  <c r="AI13" i="9"/>
  <c r="AR20" i="11"/>
  <c r="AR10" i="11"/>
  <c r="AH8" i="14"/>
  <c r="AR19" i="11"/>
  <c r="AM7" i="11"/>
  <c r="X7" i="11" s="1"/>
  <c r="AV7" i="11" s="1"/>
  <c r="AI143" i="14"/>
  <c r="AG5" i="1"/>
  <c r="S5" i="1" s="1"/>
  <c r="AP30" i="10"/>
  <c r="AL11" i="10"/>
  <c r="W11" i="10" s="1"/>
  <c r="AU11" i="10" s="1"/>
  <c r="AQ74" i="10"/>
  <c r="AM15" i="11"/>
  <c r="AJ13" i="9"/>
  <c r="AI15" i="14"/>
  <c r="AE10" i="9"/>
  <c r="AN44" i="11"/>
  <c r="W44" i="11" s="1"/>
  <c r="AU44" i="11" s="1"/>
  <c r="AN37" i="11"/>
  <c r="W37" i="11" s="1"/>
  <c r="AU37" i="11" s="1"/>
  <c r="AC50" i="5"/>
  <c r="AP12" i="10"/>
  <c r="AF91" i="5"/>
  <c r="AQ13" i="11"/>
  <c r="AJ23" i="9"/>
  <c r="AV5" i="11"/>
  <c r="AF56" i="9"/>
  <c r="AH20" i="14"/>
  <c r="AM33" i="11"/>
  <c r="X33" i="11" s="1"/>
  <c r="AV33" i="11" s="1"/>
  <c r="AQ13" i="10"/>
  <c r="AF9" i="5"/>
  <c r="Q9" i="5" s="1"/>
  <c r="AR155" i="11"/>
  <c r="AC32" i="5"/>
  <c r="O32" i="5" s="1"/>
  <c r="AM22" i="11"/>
  <c r="AC48" i="5"/>
  <c r="AR21" i="11"/>
  <c r="AH24" i="14"/>
  <c r="AM153" i="11"/>
  <c r="AQ16" i="11"/>
  <c r="AB46" i="5"/>
  <c r="N46" i="5" s="1"/>
  <c r="AM51" i="11"/>
  <c r="Y47" i="16"/>
  <c r="Z46" i="16"/>
  <c r="AC39" i="16"/>
  <c r="AQ7" i="10"/>
  <c r="AI25" i="9"/>
  <c r="AM11" i="10"/>
  <c r="V11" i="10" s="1"/>
  <c r="AT11" i="10" s="1"/>
  <c r="AQ38" i="11"/>
  <c r="AE8" i="9"/>
  <c r="R8" i="9" s="1"/>
  <c r="AN149" i="11"/>
  <c r="AM18" i="11"/>
  <c r="AQ15" i="11"/>
  <c r="AF15" i="5"/>
  <c r="AB99" i="5"/>
  <c r="AC11" i="5"/>
  <c r="O11" i="5" s="1"/>
  <c r="AM32" i="11"/>
  <c r="AG8" i="5"/>
  <c r="AM29" i="10"/>
  <c r="AH132" i="14"/>
  <c r="AQ41" i="11"/>
  <c r="AQ9" i="11"/>
  <c r="AM144" i="10"/>
  <c r="V144" i="10" s="1"/>
  <c r="AT144" i="10" s="1"/>
  <c r="AL9" i="10"/>
  <c r="W9" i="10" s="1"/>
  <c r="AU9" i="10" s="1"/>
  <c r="AC95" i="5"/>
  <c r="AC5" i="5"/>
  <c r="O5" i="5" s="1"/>
  <c r="AL154" i="10"/>
  <c r="W154" i="10" s="1"/>
  <c r="AU154" i="10" s="1"/>
  <c r="AQ12" i="10"/>
  <c r="AL146" i="10"/>
  <c r="W146" i="10" s="1"/>
  <c r="AU146" i="10" s="1"/>
  <c r="AF49" i="5"/>
  <c r="AF95" i="5"/>
  <c r="AI7" i="9"/>
  <c r="U7" i="9" s="1"/>
  <c r="AQ9" i="10"/>
  <c r="AH23" i="14"/>
  <c r="AI14" i="9"/>
  <c r="AD17" i="14"/>
  <c r="AI16" i="14"/>
  <c r="AN41" i="11"/>
  <c r="W41" i="11" s="1"/>
  <c r="AU41" i="11" s="1"/>
  <c r="AQ156" i="11"/>
  <c r="Y156" i="11" s="1"/>
  <c r="AE19" i="9"/>
  <c r="AI14" i="14"/>
  <c r="AN10" i="11"/>
  <c r="W10" i="11" s="1"/>
  <c r="AU10" i="11" s="1"/>
  <c r="AI24" i="9"/>
  <c r="AR35" i="11"/>
  <c r="AF24" i="5"/>
  <c r="AL152" i="10"/>
  <c r="W152" i="10" s="1"/>
  <c r="AU152" i="10" s="1"/>
  <c r="AN43" i="11"/>
  <c r="W43" i="11" s="1"/>
  <c r="AU43" i="11" s="1"/>
  <c r="AP7" i="10"/>
  <c r="AN51" i="11"/>
  <c r="AQ152" i="11"/>
  <c r="Y152" i="11" s="1"/>
  <c r="AD71" i="16"/>
  <c r="AD72" i="16"/>
  <c r="Y48" i="16"/>
  <c r="Y39" i="16"/>
  <c r="AE13" i="9"/>
  <c r="AD20" i="14"/>
  <c r="AF5" i="5"/>
  <c r="Q5" i="5" s="1"/>
  <c r="AD23" i="14"/>
  <c r="AF36" i="5"/>
  <c r="S36" i="5" s="1"/>
  <c r="AQ157" i="11"/>
  <c r="Y157" i="11" s="1"/>
  <c r="AG101" i="5"/>
  <c r="AQ145" i="10"/>
  <c r="AF19" i="9"/>
  <c r="AG21" i="5"/>
  <c r="AJ20" i="9"/>
  <c r="AR46" i="11"/>
  <c r="AE134" i="14"/>
  <c r="AQ11" i="10"/>
  <c r="AB100" i="5"/>
  <c r="AP310" i="10"/>
  <c r="AF35" i="5"/>
  <c r="Q35" i="5" s="1"/>
  <c r="AJ11" i="9"/>
  <c r="AC87" i="5"/>
  <c r="AP145" i="10"/>
  <c r="AG32" i="5"/>
  <c r="AF13" i="9"/>
  <c r="AM6" i="10"/>
  <c r="V6" i="10" s="1"/>
  <c r="AT6" i="10" s="1"/>
  <c r="AM310" i="10"/>
  <c r="AJ10" i="9"/>
  <c r="AC44" i="5"/>
  <c r="O44" i="5" s="1"/>
  <c r="AJ60" i="9"/>
  <c r="AL12" i="10"/>
  <c r="W12" i="10" s="1"/>
  <c r="AU12" i="10" s="1"/>
  <c r="AJ5" i="9"/>
  <c r="AG18" i="5"/>
  <c r="AM12" i="11"/>
  <c r="X12" i="11" s="1"/>
  <c r="AV12" i="11" s="1"/>
  <c r="AP74" i="10"/>
  <c r="AN13" i="11"/>
  <c r="W13" i="11" s="1"/>
  <c r="AU13" i="11" s="1"/>
  <c r="AD140" i="14"/>
  <c r="AN159" i="11"/>
  <c r="AF23" i="9"/>
  <c r="AQ42" i="11"/>
  <c r="AQ154" i="10"/>
  <c r="AB48" i="5"/>
  <c r="N48" i="5" s="1"/>
  <c r="AQ37" i="11"/>
  <c r="AR22" i="11"/>
  <c r="AG25" i="5"/>
  <c r="AQ17" i="11"/>
  <c r="H111" i="12"/>
  <c r="F111" i="12"/>
  <c r="F115" i="12" s="1"/>
  <c r="G111" i="12"/>
  <c r="F116" i="12" s="1"/>
  <c r="K111" i="12"/>
  <c r="I111" i="12"/>
  <c r="J111" i="12"/>
  <c r="R32" i="5" l="1"/>
  <c r="R12" i="5"/>
  <c r="S692" i="1"/>
  <c r="U692" i="1"/>
  <c r="S681" i="1"/>
  <c r="U681" i="1"/>
  <c r="V669" i="1"/>
  <c r="W669" i="1" s="1"/>
  <c r="X669" i="1"/>
  <c r="S684" i="1"/>
  <c r="U684" i="1"/>
  <c r="X679" i="1"/>
  <c r="V679" i="1"/>
  <c r="W679" i="1" s="1"/>
  <c r="U699" i="1"/>
  <c r="S699" i="1"/>
  <c r="S680" i="1"/>
  <c r="U680" i="1"/>
  <c r="X664" i="1"/>
  <c r="V664" i="1"/>
  <c r="W664" i="1" s="1"/>
  <c r="V698" i="1"/>
  <c r="W698" i="1" s="1"/>
  <c r="X698" i="1"/>
  <c r="U694" i="1"/>
  <c r="S694" i="1"/>
  <c r="U673" i="1"/>
  <c r="S673" i="1"/>
  <c r="S660" i="1"/>
  <c r="U660" i="1"/>
  <c r="S663" i="1"/>
  <c r="U663" i="1"/>
  <c r="V691" i="1"/>
  <c r="W691" i="1" s="1"/>
  <c r="X691" i="1"/>
  <c r="U654" i="1"/>
  <c r="S654" i="1"/>
  <c r="V685" i="1"/>
  <c r="W685" i="1" s="1"/>
  <c r="X685" i="1"/>
  <c r="V651" i="1"/>
  <c r="W651" i="1" s="1"/>
  <c r="X651" i="1"/>
  <c r="V676" i="1"/>
  <c r="W676" i="1" s="1"/>
  <c r="X676" i="1"/>
  <c r="X652" i="1"/>
  <c r="V652" i="1"/>
  <c r="W652" i="1" s="1"/>
  <c r="X670" i="1"/>
  <c r="V670" i="1"/>
  <c r="W670" i="1" s="1"/>
  <c r="X696" i="1"/>
  <c r="V696" i="1"/>
  <c r="W696" i="1" s="1"/>
  <c r="X677" i="1"/>
  <c r="V677" i="1"/>
  <c r="W677" i="1" s="1"/>
  <c r="V659" i="1"/>
  <c r="W659" i="1" s="1"/>
  <c r="X659" i="1"/>
  <c r="S677" i="1"/>
  <c r="U677" i="1"/>
  <c r="S655" i="1"/>
  <c r="U655" i="1"/>
  <c r="V687" i="1"/>
  <c r="W687" i="1" s="1"/>
  <c r="X687" i="1"/>
  <c r="U671" i="1"/>
  <c r="S671" i="1"/>
  <c r="V699" i="1"/>
  <c r="W699" i="1" s="1"/>
  <c r="X699" i="1"/>
  <c r="S687" i="1"/>
  <c r="U687" i="1"/>
  <c r="X694" i="1"/>
  <c r="V694" i="1"/>
  <c r="W694" i="1" s="1"/>
  <c r="R8" i="5"/>
  <c r="R11" i="5"/>
  <c r="R7" i="5"/>
  <c r="O40" i="5"/>
  <c r="U674" i="1"/>
  <c r="S674" i="1"/>
  <c r="V704" i="1"/>
  <c r="W704" i="1" s="1"/>
  <c r="X704" i="1"/>
  <c r="X681" i="1"/>
  <c r="V681" i="1"/>
  <c r="W681" i="1" s="1"/>
  <c r="U696" i="1"/>
  <c r="S696" i="1"/>
  <c r="V668" i="1"/>
  <c r="W668" i="1" s="1"/>
  <c r="X668" i="1"/>
  <c r="V662" i="1"/>
  <c r="W662" i="1" s="1"/>
  <c r="X662" i="1"/>
  <c r="X671" i="1"/>
  <c r="V671" i="1"/>
  <c r="W671" i="1" s="1"/>
  <c r="U668" i="1"/>
  <c r="S668" i="1"/>
  <c r="S672" i="1"/>
  <c r="U672" i="1"/>
  <c r="U679" i="1"/>
  <c r="S679" i="1"/>
  <c r="X697" i="1"/>
  <c r="V697" i="1"/>
  <c r="W697" i="1" s="1"/>
  <c r="U675" i="1"/>
  <c r="S675" i="1"/>
  <c r="S700" i="1"/>
  <c r="U700" i="1"/>
  <c r="S662" i="1"/>
  <c r="U662" i="1"/>
  <c r="S667" i="1"/>
  <c r="U667" i="1"/>
  <c r="S703" i="1"/>
  <c r="U703" i="1"/>
  <c r="V684" i="1"/>
  <c r="W684" i="1" s="1"/>
  <c r="X684" i="1"/>
  <c r="S698" i="1"/>
  <c r="U698" i="1"/>
  <c r="V690" i="1"/>
  <c r="W690" i="1" s="1"/>
  <c r="X690" i="1"/>
  <c r="S702" i="1"/>
  <c r="U702" i="1"/>
  <c r="S690" i="1"/>
  <c r="U690" i="1"/>
  <c r="V655" i="1"/>
  <c r="W655" i="1" s="1"/>
  <c r="X655" i="1"/>
  <c r="S651" i="1"/>
  <c r="U651" i="1"/>
  <c r="X665" i="1"/>
  <c r="V665" i="1"/>
  <c r="W665" i="1" s="1"/>
  <c r="X689" i="1"/>
  <c r="V689" i="1"/>
  <c r="W689" i="1" s="1"/>
  <c r="S678" i="1"/>
  <c r="U678" i="1"/>
  <c r="U665" i="1"/>
  <c r="S665" i="1"/>
  <c r="X658" i="1"/>
  <c r="V658" i="1"/>
  <c r="W658" i="1" s="1"/>
  <c r="X682" i="1"/>
  <c r="V682" i="1"/>
  <c r="W682" i="1" s="1"/>
  <c r="X683" i="1"/>
  <c r="V683" i="1"/>
  <c r="W683" i="1" s="1"/>
  <c r="U701" i="1"/>
  <c r="S701" i="1"/>
  <c r="V660" i="1"/>
  <c r="W660" i="1" s="1"/>
  <c r="X660" i="1"/>
  <c r="S669" i="1"/>
  <c r="U669" i="1"/>
  <c r="S704" i="1"/>
  <c r="U704" i="1"/>
  <c r="S689" i="1"/>
  <c r="U689" i="1"/>
  <c r="X657" i="1"/>
  <c r="V657" i="1"/>
  <c r="W657" i="1" s="1"/>
  <c r="X695" i="1"/>
  <c r="V695" i="1"/>
  <c r="W695" i="1" s="1"/>
  <c r="S676" i="1"/>
  <c r="U676" i="1"/>
  <c r="U656" i="1"/>
  <c r="S656" i="1"/>
  <c r="V672" i="1"/>
  <c r="W672" i="1" s="1"/>
  <c r="X672" i="1"/>
  <c r="V674" i="1"/>
  <c r="W674" i="1" s="1"/>
  <c r="X674" i="1"/>
  <c r="U659" i="1"/>
  <c r="S659" i="1"/>
  <c r="X666" i="1"/>
  <c r="V666" i="1"/>
  <c r="W666" i="1" s="1"/>
  <c r="X692" i="1"/>
  <c r="V692" i="1"/>
  <c r="W692" i="1" s="1"/>
  <c r="U666" i="1"/>
  <c r="S666" i="1"/>
  <c r="X703" i="1"/>
  <c r="V703" i="1"/>
  <c r="W703" i="1" s="1"/>
  <c r="X661" i="1"/>
  <c r="V661" i="1"/>
  <c r="W661" i="1" s="1"/>
  <c r="U691" i="1"/>
  <c r="S691" i="1"/>
  <c r="U688" i="1"/>
  <c r="S688" i="1"/>
  <c r="U661" i="1"/>
  <c r="S661" i="1"/>
  <c r="S664" i="1"/>
  <c r="U664" i="1"/>
  <c r="V686" i="1"/>
  <c r="W686" i="1" s="1"/>
  <c r="X686" i="1"/>
  <c r="S658" i="1"/>
  <c r="U658" i="1"/>
  <c r="S682" i="1"/>
  <c r="U682" i="1"/>
  <c r="X667" i="1"/>
  <c r="V667" i="1"/>
  <c r="W667" i="1" s="1"/>
  <c r="U695" i="1"/>
  <c r="S695" i="1"/>
  <c r="U683" i="1"/>
  <c r="S683" i="1"/>
  <c r="X700" i="1"/>
  <c r="V700" i="1"/>
  <c r="W700" i="1" s="1"/>
  <c r="X673" i="1"/>
  <c r="V673" i="1"/>
  <c r="W673" i="1" s="1"/>
  <c r="S697" i="1"/>
  <c r="U697" i="1"/>
  <c r="U670" i="1"/>
  <c r="S670" i="1"/>
  <c r="S693" i="1"/>
  <c r="U693" i="1"/>
  <c r="V680" i="1"/>
  <c r="W680" i="1" s="1"/>
  <c r="X680" i="1"/>
  <c r="X654" i="1"/>
  <c r="V654" i="1"/>
  <c r="W654" i="1" s="1"/>
  <c r="U653" i="1"/>
  <c r="S653" i="1"/>
  <c r="X656" i="1"/>
  <c r="V656" i="1"/>
  <c r="W656" i="1" s="1"/>
  <c r="X688" i="1"/>
  <c r="V688" i="1"/>
  <c r="W688" i="1" s="1"/>
  <c r="X701" i="1"/>
  <c r="V701" i="1"/>
  <c r="W701" i="1" s="1"/>
  <c r="X663" i="1"/>
  <c r="V663" i="1"/>
  <c r="W663" i="1" s="1"/>
  <c r="V675" i="1"/>
  <c r="W675" i="1" s="1"/>
  <c r="X675" i="1"/>
  <c r="X653" i="1"/>
  <c r="V653" i="1"/>
  <c r="W653" i="1" s="1"/>
  <c r="U686" i="1"/>
  <c r="S686" i="1"/>
  <c r="V678" i="1"/>
  <c r="W678" i="1" s="1"/>
  <c r="X678" i="1"/>
  <c r="V693" i="1"/>
  <c r="W693" i="1" s="1"/>
  <c r="X693" i="1"/>
  <c r="U652" i="1"/>
  <c r="S652" i="1"/>
  <c r="S657" i="1"/>
  <c r="U657" i="1"/>
  <c r="S685" i="1"/>
  <c r="U685" i="1"/>
  <c r="X702" i="1"/>
  <c r="V702" i="1"/>
  <c r="W702" i="1" s="1"/>
  <c r="O9" i="5"/>
  <c r="R39" i="5"/>
  <c r="R14" i="5"/>
  <c r="R62" i="5"/>
  <c r="O38" i="5"/>
  <c r="AA25" i="5"/>
  <c r="O13" i="5"/>
  <c r="R48" i="5"/>
  <c r="W237" i="11"/>
  <c r="AU237" i="11" s="1"/>
  <c r="AB25" i="5"/>
  <c r="R13" i="5"/>
  <c r="X155" i="11"/>
  <c r="V155" i="11"/>
  <c r="AT155" i="11" s="1"/>
  <c r="X148" i="11"/>
  <c r="AB148" i="11" s="1"/>
  <c r="V148" i="11"/>
  <c r="AT148" i="11" s="1"/>
  <c r="O35" i="5"/>
  <c r="O6" i="16"/>
  <c r="M6" i="16"/>
  <c r="O8" i="5"/>
  <c r="X156" i="11"/>
  <c r="V156" i="11"/>
  <c r="AT156" i="11" s="1"/>
  <c r="W148" i="11"/>
  <c r="AU148" i="11" s="1"/>
  <c r="R46" i="5"/>
  <c r="W155" i="11"/>
  <c r="AU155" i="11" s="1"/>
  <c r="R35" i="5"/>
  <c r="O48" i="5"/>
  <c r="X150" i="11"/>
  <c r="V150" i="11"/>
  <c r="AT150" i="11" s="1"/>
  <c r="X149" i="11"/>
  <c r="V149" i="11"/>
  <c r="AT149" i="11" s="1"/>
  <c r="O12" i="5"/>
  <c r="R9" i="5"/>
  <c r="X152" i="11"/>
  <c r="V152" i="11"/>
  <c r="AT152" i="11" s="1"/>
  <c r="R10" i="5"/>
  <c r="R6" i="5"/>
  <c r="X154" i="11"/>
  <c r="V154" i="11"/>
  <c r="AT154" i="11" s="1"/>
  <c r="R6" i="16"/>
  <c r="P6" i="16"/>
  <c r="X153" i="11"/>
  <c r="V153" i="11"/>
  <c r="AT153" i="11" s="1"/>
  <c r="X151" i="11"/>
  <c r="V151" i="11"/>
  <c r="AT151" i="11" s="1"/>
  <c r="X157" i="11"/>
  <c r="V157" i="11"/>
  <c r="AT157" i="11" s="1"/>
  <c r="W156" i="11"/>
  <c r="AU156" i="11" s="1"/>
  <c r="X158" i="11"/>
  <c r="V158" i="11"/>
  <c r="AT158" i="11" s="1"/>
  <c r="O46" i="5"/>
  <c r="R5" i="5"/>
  <c r="X159" i="11"/>
  <c r="V159" i="11"/>
  <c r="AT159" i="11" s="1"/>
  <c r="R54" i="5"/>
  <c r="O56" i="5"/>
  <c r="O64" i="5"/>
  <c r="R63" i="5"/>
  <c r="O54" i="5"/>
  <c r="W78" i="11"/>
  <c r="AU78" i="11" s="1"/>
  <c r="X264" i="11"/>
  <c r="V264" i="11"/>
  <c r="AT264" i="11" s="1"/>
  <c r="V263" i="11"/>
  <c r="W263" i="11" s="1"/>
  <c r="AU263" i="11" s="1"/>
  <c r="X263" i="11"/>
  <c r="AV263" i="11" s="1"/>
  <c r="AC25" i="5"/>
  <c r="R31" i="5"/>
  <c r="R33" i="5"/>
  <c r="AC35" i="11"/>
  <c r="Z35" i="11"/>
  <c r="BF86" i="12"/>
  <c r="BI86" i="12"/>
  <c r="BD86" i="12"/>
  <c r="AZ86" i="12"/>
  <c r="AZ109" i="12"/>
  <c r="AZ111" i="12" s="1"/>
  <c r="BH86" i="12"/>
  <c r="BC86" i="12"/>
  <c r="AY86" i="12"/>
  <c r="BG86" i="12"/>
  <c r="BB86" i="12"/>
  <c r="AX86" i="12"/>
  <c r="BE86" i="12"/>
  <c r="BA86" i="12"/>
  <c r="Z150" i="11"/>
  <c r="Z157" i="11"/>
  <c r="AC43" i="11"/>
  <c r="Z43" i="11"/>
  <c r="AB143" i="10"/>
  <c r="Y143" i="10"/>
  <c r="AB149" i="10"/>
  <c r="Y149" i="10"/>
  <c r="AB148" i="10"/>
  <c r="Y148" i="10"/>
  <c r="Y175" i="10"/>
  <c r="AB175" i="10"/>
  <c r="AB222" i="10"/>
  <c r="Y222" i="10"/>
  <c r="AB218" i="10"/>
  <c r="Y218" i="10"/>
  <c r="AC26" i="11"/>
  <c r="Z26" i="11"/>
  <c r="T36" i="14"/>
  <c r="W36" i="14"/>
  <c r="T37" i="14"/>
  <c r="W37" i="14"/>
  <c r="T25" i="14"/>
  <c r="W25" i="14"/>
  <c r="T89" i="14"/>
  <c r="W89" i="14"/>
  <c r="T112" i="14"/>
  <c r="W112" i="14"/>
  <c r="T75" i="14"/>
  <c r="W75" i="14"/>
  <c r="AB145" i="10"/>
  <c r="Y145" i="10"/>
  <c r="AB9" i="10"/>
  <c r="Y9" i="10"/>
  <c r="Z155" i="11"/>
  <c r="AC44" i="11"/>
  <c r="Z44" i="11"/>
  <c r="Z36" i="11"/>
  <c r="AC36" i="11"/>
  <c r="AC39" i="11"/>
  <c r="Z39" i="11"/>
  <c r="AC40" i="11"/>
  <c r="Z40" i="11"/>
  <c r="AB6" i="10"/>
  <c r="Y6" i="10"/>
  <c r="Z154" i="11"/>
  <c r="AB17" i="10"/>
  <c r="Y17" i="10"/>
  <c r="AB181" i="10"/>
  <c r="Y181" i="10"/>
  <c r="Y25" i="10"/>
  <c r="AB25" i="10"/>
  <c r="Y176" i="10"/>
  <c r="AB176" i="10"/>
  <c r="AB209" i="10"/>
  <c r="Y209" i="10"/>
  <c r="AB232" i="10"/>
  <c r="Y232" i="10"/>
  <c r="AB229" i="10"/>
  <c r="Y229" i="10"/>
  <c r="AB21" i="10"/>
  <c r="Y21" i="10"/>
  <c r="AB23" i="10"/>
  <c r="Y23" i="10"/>
  <c r="AB226" i="10"/>
  <c r="Y226" i="10"/>
  <c r="AB239" i="10"/>
  <c r="Y239" i="10"/>
  <c r="AB201" i="10"/>
  <c r="Y201" i="10"/>
  <c r="AB235" i="10"/>
  <c r="Y235" i="10"/>
  <c r="AB20" i="10"/>
  <c r="Y20" i="10"/>
  <c r="AB233" i="10"/>
  <c r="Y233" i="10"/>
  <c r="AB225" i="10"/>
  <c r="Y225" i="10"/>
  <c r="AB216" i="10"/>
  <c r="Y216" i="10"/>
  <c r="Y217" i="10"/>
  <c r="AB217" i="10"/>
  <c r="AB221" i="10"/>
  <c r="Y221" i="10"/>
  <c r="AB180" i="10"/>
  <c r="Y180" i="10"/>
  <c r="AB187" i="10"/>
  <c r="Y187" i="10"/>
  <c r="AB231" i="10"/>
  <c r="Y231" i="10"/>
  <c r="AB195" i="10"/>
  <c r="Y195" i="10"/>
  <c r="AB200" i="10"/>
  <c r="Y200" i="10"/>
  <c r="AB22" i="10"/>
  <c r="Y22" i="10"/>
  <c r="W33" i="14"/>
  <c r="T33" i="14"/>
  <c r="T99" i="14"/>
  <c r="W99" i="14"/>
  <c r="Z264" i="11"/>
  <c r="W87" i="14"/>
  <c r="T87" i="14"/>
  <c r="T85" i="14"/>
  <c r="W85" i="14"/>
  <c r="AC30" i="11"/>
  <c r="Z30" i="11"/>
  <c r="T101" i="14"/>
  <c r="W101" i="14"/>
  <c r="T82" i="14"/>
  <c r="W82" i="14"/>
  <c r="T38" i="14"/>
  <c r="W38" i="14"/>
  <c r="T106" i="14"/>
  <c r="W106" i="14"/>
  <c r="T41" i="14"/>
  <c r="W41" i="14"/>
  <c r="T115" i="14"/>
  <c r="W115" i="14"/>
  <c r="Z103" i="11"/>
  <c r="T108" i="14"/>
  <c r="Z267" i="11"/>
  <c r="T59" i="14"/>
  <c r="W59" i="14"/>
  <c r="T96" i="14"/>
  <c r="T110" i="14"/>
  <c r="W110" i="14"/>
  <c r="T30" i="14"/>
  <c r="W30" i="14"/>
  <c r="T107" i="14"/>
  <c r="W107" i="14"/>
  <c r="T50" i="14"/>
  <c r="W50" i="14"/>
  <c r="T77" i="14"/>
  <c r="W77" i="14"/>
  <c r="T47" i="14"/>
  <c r="W47" i="14"/>
  <c r="T8" i="9"/>
  <c r="W8" i="9"/>
  <c r="AB150" i="10"/>
  <c r="Y150" i="10"/>
  <c r="Z156" i="11"/>
  <c r="AB178" i="10"/>
  <c r="Y178" i="10"/>
  <c r="AB168" i="10"/>
  <c r="Y168" i="10"/>
  <c r="AB19" i="10"/>
  <c r="Y19" i="10"/>
  <c r="Y27" i="10"/>
  <c r="AB27" i="10"/>
  <c r="AB184" i="10"/>
  <c r="Y184" i="10"/>
  <c r="AB182" i="10"/>
  <c r="Y182" i="10"/>
  <c r="T98" i="14"/>
  <c r="AC27" i="11"/>
  <c r="Z27" i="11"/>
  <c r="T31" i="14"/>
  <c r="W31" i="14"/>
  <c r="T74" i="14"/>
  <c r="W74" i="14"/>
  <c r="T57" i="14"/>
  <c r="W57" i="14"/>
  <c r="T116" i="14"/>
  <c r="W116" i="14"/>
  <c r="AC24" i="11"/>
  <c r="Z24" i="11"/>
  <c r="T86" i="14"/>
  <c r="W86" i="14"/>
  <c r="AB8" i="10"/>
  <c r="Y8" i="10"/>
  <c r="W9" i="9"/>
  <c r="Z151" i="11"/>
  <c r="AB151" i="10"/>
  <c r="Y151" i="10"/>
  <c r="Y153" i="10"/>
  <c r="AB153" i="10"/>
  <c r="AU8" i="11"/>
  <c r="AC41" i="11"/>
  <c r="Z41" i="11"/>
  <c r="T5" i="14"/>
  <c r="W5" i="14"/>
  <c r="AC148" i="11"/>
  <c r="Z148" i="11"/>
  <c r="AC38" i="11"/>
  <c r="Z38" i="11"/>
  <c r="AC37" i="11"/>
  <c r="Z37" i="11"/>
  <c r="Y228" i="10"/>
  <c r="AB228" i="10"/>
  <c r="Y196" i="10"/>
  <c r="AB196" i="10"/>
  <c r="AB208" i="10"/>
  <c r="Y208" i="10"/>
  <c r="AB24" i="10"/>
  <c r="Y24" i="10"/>
  <c r="AB177" i="10"/>
  <c r="Y177" i="10"/>
  <c r="AB227" i="10"/>
  <c r="Y227" i="10"/>
  <c r="AB188" i="10"/>
  <c r="Y188" i="10"/>
  <c r="Y240" i="10"/>
  <c r="AB213" i="10"/>
  <c r="Y213" i="10"/>
  <c r="AB204" i="10"/>
  <c r="Y204" i="10"/>
  <c r="AB210" i="10"/>
  <c r="Y210" i="10"/>
  <c r="AB174" i="10"/>
  <c r="Y174" i="10"/>
  <c r="AB185" i="10"/>
  <c r="Y185" i="10"/>
  <c r="AB214" i="10"/>
  <c r="Y214" i="10"/>
  <c r="AB190" i="10"/>
  <c r="Y190" i="10"/>
  <c r="AB191" i="10"/>
  <c r="Y191" i="10"/>
  <c r="AB171" i="10"/>
  <c r="Y171" i="10"/>
  <c r="AB179" i="10"/>
  <c r="Y179" i="10"/>
  <c r="AU6" i="11"/>
  <c r="T111" i="14"/>
  <c r="W111" i="14"/>
  <c r="T71" i="14"/>
  <c r="W71" i="14"/>
  <c r="W55" i="14"/>
  <c r="T55" i="14"/>
  <c r="T100" i="14"/>
  <c r="W100" i="14"/>
  <c r="T79" i="9"/>
  <c r="W28" i="14"/>
  <c r="T28" i="14"/>
  <c r="AC5" i="11"/>
  <c r="Z5" i="11"/>
  <c r="W60" i="14"/>
  <c r="T60" i="14"/>
  <c r="T34" i="14"/>
  <c r="W34" i="14"/>
  <c r="T32" i="14"/>
  <c r="W32" i="14"/>
  <c r="T80" i="14"/>
  <c r="W80" i="14"/>
  <c r="T93" i="14"/>
  <c r="W93" i="14"/>
  <c r="W103" i="14"/>
  <c r="T73" i="14"/>
  <c r="W73" i="14"/>
  <c r="T91" i="14"/>
  <c r="W91" i="14"/>
  <c r="T95" i="14"/>
  <c r="W95" i="14"/>
  <c r="Z25" i="11"/>
  <c r="T58" i="14"/>
  <c r="W58" i="14"/>
  <c r="W97" i="14"/>
  <c r="T46" i="14"/>
  <c r="W46" i="14"/>
  <c r="T27" i="14"/>
  <c r="W27" i="14"/>
  <c r="T39" i="14"/>
  <c r="W39" i="14"/>
  <c r="T104" i="14"/>
  <c r="W104" i="14"/>
  <c r="AC29" i="11"/>
  <c r="Z29" i="11"/>
  <c r="T84" i="14"/>
  <c r="W84" i="14"/>
  <c r="T42" i="14"/>
  <c r="W42" i="14"/>
  <c r="T78" i="14"/>
  <c r="W78" i="14"/>
  <c r="Z57" i="11"/>
  <c r="AB7" i="10"/>
  <c r="Y7" i="10"/>
  <c r="AB74" i="10"/>
  <c r="Y74" i="10"/>
  <c r="Z10" i="11"/>
  <c r="AC10" i="11"/>
  <c r="AC42" i="11"/>
  <c r="Z42" i="11"/>
  <c r="AB10" i="10"/>
  <c r="Y10" i="10"/>
  <c r="Z152" i="11"/>
  <c r="AC11" i="11"/>
  <c r="Z11" i="11"/>
  <c r="AT8" i="10"/>
  <c r="AB147" i="10"/>
  <c r="Y147" i="10"/>
  <c r="Z149" i="11"/>
  <c r="AB15" i="10"/>
  <c r="Y15" i="10"/>
  <c r="Y29" i="10"/>
  <c r="AC6" i="11"/>
  <c r="Z6" i="11"/>
  <c r="AB170" i="10"/>
  <c r="Y170" i="10"/>
  <c r="AB219" i="10"/>
  <c r="Y219" i="10"/>
  <c r="AB18" i="10"/>
  <c r="Y18" i="10"/>
  <c r="Y236" i="10"/>
  <c r="AB236" i="10"/>
  <c r="AB223" i="10"/>
  <c r="Y223" i="10"/>
  <c r="AB172" i="10"/>
  <c r="Y172" i="10"/>
  <c r="AB238" i="10"/>
  <c r="Y238" i="10"/>
  <c r="AB26" i="10"/>
  <c r="Y26" i="10"/>
  <c r="AB173" i="10"/>
  <c r="Y173" i="10"/>
  <c r="AB198" i="10"/>
  <c r="Y198" i="10"/>
  <c r="AB234" i="10"/>
  <c r="Y234" i="10"/>
  <c r="AB194" i="10"/>
  <c r="Y194" i="10"/>
  <c r="T88" i="14"/>
  <c r="W88" i="14"/>
  <c r="W69" i="14"/>
  <c r="W92" i="14"/>
  <c r="Z28" i="11"/>
  <c r="AC28" i="11"/>
  <c r="T81" i="14"/>
  <c r="W81" i="14"/>
  <c r="T114" i="14"/>
  <c r="AC8" i="11"/>
  <c r="Z8" i="11"/>
  <c r="AB16" i="10"/>
  <c r="Y16" i="10"/>
  <c r="Z153" i="11"/>
  <c r="AB144" i="10"/>
  <c r="Y144" i="10"/>
  <c r="AB154" i="10"/>
  <c r="Y154" i="10"/>
  <c r="AB12" i="10"/>
  <c r="Y12" i="10"/>
  <c r="AC13" i="11"/>
  <c r="Z13" i="11"/>
  <c r="AC12" i="11"/>
  <c r="Z12" i="11"/>
  <c r="AC34" i="11"/>
  <c r="Z34" i="11"/>
  <c r="Z159" i="11"/>
  <c r="T6" i="14"/>
  <c r="W6" i="14"/>
  <c r="W5" i="9"/>
  <c r="T5" i="9"/>
  <c r="AB11" i="10"/>
  <c r="Y11" i="10"/>
  <c r="AB13" i="10"/>
  <c r="Y13" i="10"/>
  <c r="AB146" i="10"/>
  <c r="Y146" i="10"/>
  <c r="AT5" i="10"/>
  <c r="AC33" i="11"/>
  <c r="Z33" i="11"/>
  <c r="AB5" i="10"/>
  <c r="Y5" i="10"/>
  <c r="Z14" i="11"/>
  <c r="AC14" i="11"/>
  <c r="AB14" i="10"/>
  <c r="Y14" i="10"/>
  <c r="Z158" i="11"/>
  <c r="AB152" i="10"/>
  <c r="Y152" i="10"/>
  <c r="AC7" i="11"/>
  <c r="Z7" i="11"/>
  <c r="AB224" i="10"/>
  <c r="Y224" i="10"/>
  <c r="AB197" i="10"/>
  <c r="Y197" i="10"/>
  <c r="AB220" i="10"/>
  <c r="Y220" i="10"/>
  <c r="AB203" i="10"/>
  <c r="Y203" i="10"/>
  <c r="AB186" i="10"/>
  <c r="Y186" i="10"/>
  <c r="AB237" i="10"/>
  <c r="Y237" i="10"/>
  <c r="AB212" i="10"/>
  <c r="Y212" i="10"/>
  <c r="AB206" i="10"/>
  <c r="Y206" i="10"/>
  <c r="AB192" i="10"/>
  <c r="Y192" i="10"/>
  <c r="AB189" i="10"/>
  <c r="Y189" i="10"/>
  <c r="AB183" i="10"/>
  <c r="Y183" i="10"/>
  <c r="AB193" i="10"/>
  <c r="Y193" i="10"/>
  <c r="AB205" i="10"/>
  <c r="Y205" i="10"/>
  <c r="AB230" i="10"/>
  <c r="Y230" i="10"/>
  <c r="AB28" i="10"/>
  <c r="Y28" i="10"/>
  <c r="AB211" i="10"/>
  <c r="Y211" i="10"/>
  <c r="AB169" i="10"/>
  <c r="Y169" i="10"/>
  <c r="AB207" i="10"/>
  <c r="Y207" i="10"/>
  <c r="AB202" i="10"/>
  <c r="Y202" i="10"/>
  <c r="AB215" i="10"/>
  <c r="Y215" i="10"/>
  <c r="AB199" i="10"/>
  <c r="Y199" i="10"/>
  <c r="T48" i="14"/>
  <c r="W48" i="14"/>
  <c r="AC9" i="11"/>
  <c r="Z9" i="11"/>
  <c r="T52" i="14"/>
  <c r="W52" i="14"/>
  <c r="T105" i="14"/>
  <c r="W105" i="14"/>
  <c r="T94" i="14"/>
  <c r="W94" i="14"/>
  <c r="T72" i="14"/>
  <c r="W72" i="14"/>
  <c r="T45" i="14"/>
  <c r="W45" i="14"/>
  <c r="T109" i="14"/>
  <c r="W109" i="14"/>
  <c r="W44" i="14"/>
  <c r="T44" i="14"/>
  <c r="Z191" i="11"/>
  <c r="T83" i="14"/>
  <c r="T90" i="14"/>
  <c r="W90" i="14"/>
  <c r="AC31" i="11"/>
  <c r="Z31" i="11"/>
  <c r="T35" i="14"/>
  <c r="W35" i="14"/>
  <c r="T113" i="14"/>
  <c r="W113" i="14"/>
  <c r="T29" i="14"/>
  <c r="W29" i="14"/>
  <c r="AU5" i="11"/>
  <c r="W76" i="14"/>
  <c r="T76" i="14"/>
  <c r="T40" i="14"/>
  <c r="W40" i="14"/>
  <c r="T79" i="14"/>
  <c r="W79" i="14"/>
  <c r="W49" i="14"/>
  <c r="T70" i="14"/>
  <c r="AC45" i="11"/>
  <c r="Z45" i="11"/>
  <c r="Z179" i="11"/>
  <c r="T102" i="14"/>
  <c r="W102" i="14"/>
  <c r="T43" i="14"/>
  <c r="W43" i="14"/>
  <c r="T51" i="14"/>
  <c r="W51" i="14"/>
  <c r="T56" i="14"/>
  <c r="W56" i="14"/>
  <c r="T6" i="9"/>
  <c r="W6" i="9"/>
  <c r="AV156" i="11"/>
  <c r="AB156" i="11"/>
  <c r="AC156" i="11" s="1"/>
  <c r="AV150" i="11"/>
  <c r="AB150" i="11"/>
  <c r="AC150" i="11" s="1"/>
  <c r="AV151" i="11"/>
  <c r="AB151" i="11"/>
  <c r="AC151" i="11" s="1"/>
  <c r="AV152" i="11"/>
  <c r="AB152" i="11"/>
  <c r="AC152" i="11" s="1"/>
  <c r="AV154" i="11"/>
  <c r="AB154" i="11"/>
  <c r="AC154" i="11" s="1"/>
  <c r="AV153" i="11"/>
  <c r="AB153" i="11"/>
  <c r="AC153" i="11" s="1"/>
  <c r="AV149" i="11"/>
  <c r="AB149" i="11"/>
  <c r="AC149" i="11" s="1"/>
  <c r="AV155" i="11"/>
  <c r="AB155" i="11"/>
  <c r="AC155" i="11" s="1"/>
  <c r="AV157" i="11"/>
  <c r="AB157" i="11"/>
  <c r="AC157" i="11" s="1"/>
  <c r="AV158" i="11"/>
  <c r="AB158" i="11"/>
  <c r="AC158" i="11" s="1"/>
  <c r="AV159" i="11"/>
  <c r="AB159" i="11"/>
  <c r="AC159" i="11" s="1"/>
  <c r="AV264" i="11"/>
  <c r="AB264" i="11"/>
  <c r="AC264" i="11" s="1"/>
  <c r="X179" i="11"/>
  <c r="V179" i="11"/>
  <c r="V163" i="11"/>
  <c r="W163" i="11" s="1"/>
  <c r="AU163" i="11" s="1"/>
  <c r="Y163" i="11"/>
  <c r="Z163" i="11" s="1"/>
  <c r="AV179" i="11"/>
  <c r="AB179" i="11"/>
  <c r="AC179" i="11" s="1"/>
  <c r="AV163" i="11"/>
  <c r="AB163" i="11"/>
  <c r="AC163" i="11" s="1"/>
  <c r="AB78" i="11"/>
  <c r="AC78" i="11" s="1"/>
  <c r="AV78" i="11"/>
  <c r="P33" i="9"/>
  <c r="R33" i="9"/>
  <c r="V33" i="9" s="1"/>
  <c r="W33" i="9" s="1"/>
  <c r="Y241" i="11"/>
  <c r="Z241" i="11" s="1"/>
  <c r="AA241" i="11"/>
  <c r="V278" i="11"/>
  <c r="W278" i="11" s="1"/>
  <c r="AU278" i="11" s="1"/>
  <c r="X278" i="11"/>
  <c r="R63" i="14"/>
  <c r="V63" i="14" s="1"/>
  <c r="W63" i="14" s="1"/>
  <c r="P63" i="14"/>
  <c r="R45" i="9"/>
  <c r="V45" i="9" s="1"/>
  <c r="W45" i="9" s="1"/>
  <c r="P45" i="9"/>
  <c r="X97" i="11"/>
  <c r="V97" i="11"/>
  <c r="W97" i="11" s="1"/>
  <c r="AU97" i="11" s="1"/>
  <c r="Y187" i="11"/>
  <c r="Z187" i="11" s="1"/>
  <c r="AA187" i="11"/>
  <c r="Y185" i="11"/>
  <c r="Z185" i="11" s="1"/>
  <c r="AA185" i="11"/>
  <c r="Y323" i="11"/>
  <c r="Z323" i="11" s="1"/>
  <c r="AA323" i="11"/>
  <c r="P108" i="14"/>
  <c r="R108" i="14"/>
  <c r="R83" i="9"/>
  <c r="V83" i="9" s="1"/>
  <c r="W83" i="9" s="1"/>
  <c r="P83" i="9"/>
  <c r="AA48" i="11"/>
  <c r="Y48" i="11"/>
  <c r="Z48" i="11" s="1"/>
  <c r="S64" i="14"/>
  <c r="T64" i="14" s="1"/>
  <c r="U64" i="14"/>
  <c r="X138" i="11"/>
  <c r="V138" i="11"/>
  <c r="W138" i="11" s="1"/>
  <c r="AU138" i="11" s="1"/>
  <c r="X239" i="11"/>
  <c r="V239" i="11"/>
  <c r="W239" i="11" s="1"/>
  <c r="AU239" i="11" s="1"/>
  <c r="P70" i="9"/>
  <c r="R70" i="9"/>
  <c r="V70" i="9" s="1"/>
  <c r="W70" i="9" s="1"/>
  <c r="R37" i="9"/>
  <c r="V37" i="9" s="1"/>
  <c r="W37" i="9" s="1"/>
  <c r="P37" i="9"/>
  <c r="R77" i="9"/>
  <c r="V77" i="9" s="1"/>
  <c r="W77" i="9" s="1"/>
  <c r="P77" i="9"/>
  <c r="U110" i="14"/>
  <c r="X110" i="14"/>
  <c r="S82" i="9"/>
  <c r="T82" i="9" s="1"/>
  <c r="U82" i="9"/>
  <c r="Y224" i="11"/>
  <c r="Z224" i="11" s="1"/>
  <c r="AA224" i="11"/>
  <c r="U61" i="14"/>
  <c r="S61" i="14"/>
  <c r="T61" i="14" s="1"/>
  <c r="Y61" i="11"/>
  <c r="Z61" i="11" s="1"/>
  <c r="AA61" i="11"/>
  <c r="Y131" i="11"/>
  <c r="Z131" i="11" s="1"/>
  <c r="AA131" i="11"/>
  <c r="R67" i="9"/>
  <c r="V67" i="9" s="1"/>
  <c r="W67" i="9" s="1"/>
  <c r="P67" i="9"/>
  <c r="AA77" i="11"/>
  <c r="Y77" i="11"/>
  <c r="Z77" i="11" s="1"/>
  <c r="V286" i="11"/>
  <c r="W286" i="11" s="1"/>
  <c r="AU286" i="11" s="1"/>
  <c r="X286" i="11"/>
  <c r="X244" i="11"/>
  <c r="V244" i="11"/>
  <c r="W244" i="11" s="1"/>
  <c r="AU244" i="11" s="1"/>
  <c r="Y206" i="11"/>
  <c r="Z206" i="11" s="1"/>
  <c r="AA206" i="11"/>
  <c r="AA254" i="11"/>
  <c r="Y254" i="11"/>
  <c r="Z254" i="11" s="1"/>
  <c r="V85" i="11"/>
  <c r="W85" i="11" s="1"/>
  <c r="AU85" i="11" s="1"/>
  <c r="X85" i="11"/>
  <c r="P104" i="9"/>
  <c r="R104" i="9"/>
  <c r="V104" i="9" s="1"/>
  <c r="W104" i="9" s="1"/>
  <c r="R44" i="9"/>
  <c r="V44" i="9" s="1"/>
  <c r="W44" i="9" s="1"/>
  <c r="P44" i="9"/>
  <c r="S89" i="9"/>
  <c r="T89" i="9" s="1"/>
  <c r="U89" i="9"/>
  <c r="R53" i="9"/>
  <c r="V53" i="9" s="1"/>
  <c r="W53" i="9" s="1"/>
  <c r="P53" i="9"/>
  <c r="AA182" i="11"/>
  <c r="Y182" i="11"/>
  <c r="Z182" i="11" s="1"/>
  <c r="R103" i="9"/>
  <c r="V103" i="9" s="1"/>
  <c r="W103" i="9" s="1"/>
  <c r="P103" i="9"/>
  <c r="V107" i="11"/>
  <c r="W107" i="11" s="1"/>
  <c r="AU107" i="11" s="1"/>
  <c r="X107" i="11"/>
  <c r="AA299" i="11"/>
  <c r="Y299" i="11"/>
  <c r="Z299" i="11" s="1"/>
  <c r="AA99" i="11"/>
  <c r="Y99" i="11"/>
  <c r="Z99" i="11" s="1"/>
  <c r="U93" i="14"/>
  <c r="X93" i="14"/>
  <c r="V333" i="11"/>
  <c r="W333" i="11" s="1"/>
  <c r="AU333" i="11" s="1"/>
  <c r="X333" i="11"/>
  <c r="AA229" i="11"/>
  <c r="Y229" i="11"/>
  <c r="Z229" i="11" s="1"/>
  <c r="X206" i="11"/>
  <c r="V206" i="11"/>
  <c r="W206" i="11" s="1"/>
  <c r="AU206" i="11" s="1"/>
  <c r="S103" i="14"/>
  <c r="T103" i="14" s="1"/>
  <c r="U103" i="14"/>
  <c r="X103" i="14"/>
  <c r="U52" i="9"/>
  <c r="S52" i="9"/>
  <c r="T52" i="9" s="1"/>
  <c r="X164" i="11"/>
  <c r="V164" i="11"/>
  <c r="W164" i="11" s="1"/>
  <c r="AU164" i="11" s="1"/>
  <c r="AA188" i="11"/>
  <c r="Y188" i="11"/>
  <c r="Z188" i="11" s="1"/>
  <c r="U120" i="9"/>
  <c r="S120" i="9"/>
  <c r="T120" i="9" s="1"/>
  <c r="AT163" i="11"/>
  <c r="AD163" i="11"/>
  <c r="AT330" i="11"/>
  <c r="AD330" i="11"/>
  <c r="Y74" i="11"/>
  <c r="Z74" i="11" s="1"/>
  <c r="AA74" i="11"/>
  <c r="Y114" i="11"/>
  <c r="Z114" i="11" s="1"/>
  <c r="AA114" i="11"/>
  <c r="AG86" i="12"/>
  <c r="AF86" i="12"/>
  <c r="AM86" i="12"/>
  <c r="AE86" i="12"/>
  <c r="AC86" i="12"/>
  <c r="AJ86" i="12"/>
  <c r="AL86" i="12"/>
  <c r="AB86" i="12"/>
  <c r="AD86" i="12"/>
  <c r="AI86" i="12"/>
  <c r="AK86" i="12"/>
  <c r="AH86" i="12"/>
  <c r="AD109" i="12"/>
  <c r="AD111" i="12" s="1"/>
  <c r="X66" i="11"/>
  <c r="V66" i="11"/>
  <c r="W66" i="11" s="1"/>
  <c r="AU66" i="11" s="1"/>
  <c r="X218" i="11"/>
  <c r="V218" i="11"/>
  <c r="W218" i="11" s="1"/>
  <c r="AU218" i="11" s="1"/>
  <c r="X245" i="11"/>
  <c r="V245" i="11"/>
  <c r="W245" i="11" s="1"/>
  <c r="AU245" i="11" s="1"/>
  <c r="U43" i="14"/>
  <c r="X43" i="14"/>
  <c r="X298" i="11"/>
  <c r="V298" i="11"/>
  <c r="W298" i="11" s="1"/>
  <c r="AU298" i="11" s="1"/>
  <c r="AA226" i="11"/>
  <c r="Y226" i="11"/>
  <c r="Z226" i="11" s="1"/>
  <c r="AB338" i="11"/>
  <c r="AC338" i="11" s="1"/>
  <c r="AV338" i="11"/>
  <c r="P111" i="9"/>
  <c r="R111" i="9"/>
  <c r="V111" i="9" s="1"/>
  <c r="W111" i="9" s="1"/>
  <c r="V77" i="11"/>
  <c r="W77" i="11" s="1"/>
  <c r="AU77" i="11" s="1"/>
  <c r="X77" i="11"/>
  <c r="Z29" i="5"/>
  <c r="AA29" i="5"/>
  <c r="R29" i="9"/>
  <c r="V29" i="9" s="1"/>
  <c r="W29" i="9" s="1"/>
  <c r="P29" i="9"/>
  <c r="AA108" i="11"/>
  <c r="Y108" i="11"/>
  <c r="Z108" i="11" s="1"/>
  <c r="U102" i="14"/>
  <c r="X102" i="14"/>
  <c r="U38" i="14"/>
  <c r="X38" i="14"/>
  <c r="Y259" i="11"/>
  <c r="Z259" i="11" s="1"/>
  <c r="AA259" i="11"/>
  <c r="V198" i="11"/>
  <c r="W198" i="11" s="1"/>
  <c r="AU198" i="11" s="1"/>
  <c r="X198" i="11"/>
  <c r="V232" i="11"/>
  <c r="W232" i="11" s="1"/>
  <c r="AU232" i="11" s="1"/>
  <c r="X232" i="11"/>
  <c r="R66" i="14"/>
  <c r="V66" i="14" s="1"/>
  <c r="W66" i="14" s="1"/>
  <c r="P66" i="14"/>
  <c r="U41" i="14"/>
  <c r="X41" i="14"/>
  <c r="U73" i="14"/>
  <c r="X73" i="14"/>
  <c r="V120" i="11"/>
  <c r="W120" i="11" s="1"/>
  <c r="AU120" i="11" s="1"/>
  <c r="X120" i="11"/>
  <c r="Y197" i="11"/>
  <c r="Z197" i="11" s="1"/>
  <c r="AA197" i="11"/>
  <c r="V201" i="11"/>
  <c r="W201" i="11" s="1"/>
  <c r="AU201" i="11" s="1"/>
  <c r="X201" i="11"/>
  <c r="X182" i="11"/>
  <c r="V182" i="11"/>
  <c r="W182" i="11" s="1"/>
  <c r="AU182" i="11" s="1"/>
  <c r="X254" i="11"/>
  <c r="V254" i="11"/>
  <c r="W254" i="11" s="1"/>
  <c r="AU254" i="11" s="1"/>
  <c r="V160" i="11"/>
  <c r="W160" i="11" s="1"/>
  <c r="X160" i="11"/>
  <c r="X317" i="11"/>
  <c r="V317" i="11"/>
  <c r="W317" i="11" s="1"/>
  <c r="AU317" i="11" s="1"/>
  <c r="U78" i="14"/>
  <c r="X78" i="14"/>
  <c r="P101" i="9"/>
  <c r="R101" i="9"/>
  <c r="V101" i="9" s="1"/>
  <c r="W101" i="9" s="1"/>
  <c r="AA196" i="11"/>
  <c r="Y196" i="11"/>
  <c r="Z196" i="11" s="1"/>
  <c r="AA277" i="11"/>
  <c r="Y277" i="11"/>
  <c r="Z277" i="11" s="1"/>
  <c r="AA78" i="11"/>
  <c r="Y78" i="11"/>
  <c r="Z78" i="11" s="1"/>
  <c r="P112" i="9"/>
  <c r="R112" i="9"/>
  <c r="V112" i="9" s="1"/>
  <c r="W112" i="9" s="1"/>
  <c r="R120" i="14"/>
  <c r="V120" i="14" s="1"/>
  <c r="W120" i="14" s="1"/>
  <c r="P120" i="14"/>
  <c r="R79" i="9"/>
  <c r="V79" i="9" s="1"/>
  <c r="W79" i="9" s="1"/>
  <c r="P79" i="9"/>
  <c r="X228" i="11"/>
  <c r="V228" i="11"/>
  <c r="W228" i="11" s="1"/>
  <c r="AU228" i="11" s="1"/>
  <c r="Y214" i="11"/>
  <c r="Z214" i="11" s="1"/>
  <c r="AA214" i="11"/>
  <c r="V301" i="11"/>
  <c r="W301" i="11" s="1"/>
  <c r="AU301" i="11" s="1"/>
  <c r="X301" i="11"/>
  <c r="S72" i="9"/>
  <c r="T72" i="9" s="1"/>
  <c r="U72" i="9"/>
  <c r="X146" i="11"/>
  <c r="V146" i="11"/>
  <c r="W146" i="11" s="1"/>
  <c r="AU146" i="11" s="1"/>
  <c r="Y302" i="11"/>
  <c r="Z302" i="11" s="1"/>
  <c r="AA302" i="11"/>
  <c r="S51" i="9"/>
  <c r="T51" i="9" s="1"/>
  <c r="U51" i="9"/>
  <c r="AA258" i="11"/>
  <c r="Y258" i="11"/>
  <c r="Z258" i="11" s="1"/>
  <c r="P67" i="14"/>
  <c r="R67" i="14"/>
  <c r="V67" i="14" s="1"/>
  <c r="W67" i="14" s="1"/>
  <c r="P99" i="9"/>
  <c r="R99" i="9"/>
  <c r="V99" i="9" s="1"/>
  <c r="W99" i="9" s="1"/>
  <c r="AA282" i="11"/>
  <c r="Y282" i="11"/>
  <c r="Z282" i="11" s="1"/>
  <c r="V329" i="11"/>
  <c r="W329" i="11" s="1"/>
  <c r="AU329" i="11" s="1"/>
  <c r="X329" i="11"/>
  <c r="Y106" i="11"/>
  <c r="Z106" i="11" s="1"/>
  <c r="AA106" i="11"/>
  <c r="AA175" i="11"/>
  <c r="Y175" i="11"/>
  <c r="Z175" i="11" s="1"/>
  <c r="U103" i="9"/>
  <c r="S103" i="9"/>
  <c r="T103" i="9" s="1"/>
  <c r="S96" i="9"/>
  <c r="T96" i="9" s="1"/>
  <c r="U96" i="9"/>
  <c r="V295" i="11"/>
  <c r="W295" i="11" s="1"/>
  <c r="AU295" i="11" s="1"/>
  <c r="X295" i="11"/>
  <c r="V68" i="11"/>
  <c r="W68" i="11" s="1"/>
  <c r="AU68" i="11" s="1"/>
  <c r="X68" i="11"/>
  <c r="V73" i="11"/>
  <c r="W73" i="11" s="1"/>
  <c r="AU73" i="11" s="1"/>
  <c r="X73" i="11"/>
  <c r="V173" i="11"/>
  <c r="W173" i="11" s="1"/>
  <c r="AU173" i="11" s="1"/>
  <c r="X173" i="11"/>
  <c r="X337" i="11"/>
  <c r="V337" i="11"/>
  <c r="W337" i="11" s="1"/>
  <c r="AU337" i="11" s="1"/>
  <c r="X262" i="11"/>
  <c r="V262" i="11"/>
  <c r="W262" i="11" s="1"/>
  <c r="AU262" i="11" s="1"/>
  <c r="S98" i="9"/>
  <c r="T98" i="9" s="1"/>
  <c r="U98" i="9"/>
  <c r="Y276" i="11"/>
  <c r="Z276" i="11" s="1"/>
  <c r="AA276" i="11"/>
  <c r="S141" i="14"/>
  <c r="T141" i="14" s="1"/>
  <c r="U141" i="14"/>
  <c r="U76" i="14"/>
  <c r="X76" i="14"/>
  <c r="AD45" i="11"/>
  <c r="AA45" i="11"/>
  <c r="P31" i="9"/>
  <c r="R31" i="9"/>
  <c r="V31" i="9" s="1"/>
  <c r="W31" i="9" s="1"/>
  <c r="P108" i="9"/>
  <c r="R108" i="9"/>
  <c r="V108" i="9" s="1"/>
  <c r="W108" i="9" s="1"/>
  <c r="Y145" i="11"/>
  <c r="Z145" i="11" s="1"/>
  <c r="AA145" i="11"/>
  <c r="AA186" i="11"/>
  <c r="Y186" i="11"/>
  <c r="Z186" i="11" s="1"/>
  <c r="X327" i="11"/>
  <c r="V327" i="11"/>
  <c r="W327" i="11" s="1"/>
  <c r="AU327" i="11" s="1"/>
  <c r="U47" i="14"/>
  <c r="X47" i="14"/>
  <c r="P41" i="9"/>
  <c r="R41" i="9"/>
  <c r="V41" i="9" s="1"/>
  <c r="W41" i="9" s="1"/>
  <c r="X259" i="11"/>
  <c r="V259" i="11"/>
  <c r="W259" i="11" s="1"/>
  <c r="AU259" i="11" s="1"/>
  <c r="AA248" i="11"/>
  <c r="Y248" i="11"/>
  <c r="Z248" i="11" s="1"/>
  <c r="AA113" i="11"/>
  <c r="Y113" i="11"/>
  <c r="Z113" i="11" s="1"/>
  <c r="U35" i="14"/>
  <c r="X35" i="14"/>
  <c r="X88" i="11"/>
  <c r="V88" i="11"/>
  <c r="W88" i="11" s="1"/>
  <c r="AU88" i="11" s="1"/>
  <c r="U102" i="9"/>
  <c r="S102" i="9"/>
  <c r="T102" i="9" s="1"/>
  <c r="U111" i="14"/>
  <c r="X111" i="14"/>
  <c r="AA66" i="11"/>
  <c r="Y66" i="11"/>
  <c r="Z66" i="11" s="1"/>
  <c r="AA169" i="11"/>
  <c r="Y169" i="11"/>
  <c r="Z169" i="11" s="1"/>
  <c r="V56" i="11"/>
  <c r="W56" i="11" s="1"/>
  <c r="AU56" i="11" s="1"/>
  <c r="X56" i="11"/>
  <c r="AA86" i="11"/>
  <c r="Y86" i="11"/>
  <c r="Z86" i="11" s="1"/>
  <c r="X253" i="11"/>
  <c r="V253" i="11"/>
  <c r="W253" i="11" s="1"/>
  <c r="AU253" i="11" s="1"/>
  <c r="U89" i="14"/>
  <c r="X89" i="14"/>
  <c r="AA183" i="11"/>
  <c r="Y183" i="11"/>
  <c r="Z183" i="11" s="1"/>
  <c r="AA304" i="11"/>
  <c r="Y304" i="11"/>
  <c r="Z304" i="11" s="1"/>
  <c r="Y294" i="11"/>
  <c r="Z294" i="11" s="1"/>
  <c r="AA294" i="11"/>
  <c r="Y166" i="11"/>
  <c r="Z166" i="11" s="1"/>
  <c r="AA166" i="11"/>
  <c r="Y208" i="11"/>
  <c r="Z208" i="11" s="1"/>
  <c r="AA208" i="11"/>
  <c r="S86" i="9"/>
  <c r="T86" i="9" s="1"/>
  <c r="U86" i="9"/>
  <c r="V144" i="11"/>
  <c r="W144" i="11" s="1"/>
  <c r="AU144" i="11" s="1"/>
  <c r="X144" i="11"/>
  <c r="V25" i="11"/>
  <c r="W25" i="11" s="1"/>
  <c r="AU25" i="11" s="1"/>
  <c r="X25" i="11"/>
  <c r="AV25" i="11" s="1"/>
  <c r="X216" i="11"/>
  <c r="V216" i="11"/>
  <c r="W216" i="11" s="1"/>
  <c r="AU216" i="11" s="1"/>
  <c r="P113" i="9"/>
  <c r="R113" i="9"/>
  <c r="V113" i="9" s="1"/>
  <c r="W113" i="9" s="1"/>
  <c r="Y119" i="11"/>
  <c r="Z119" i="11" s="1"/>
  <c r="AA119" i="11"/>
  <c r="V58" i="11"/>
  <c r="W58" i="11" s="1"/>
  <c r="AU58" i="11" s="1"/>
  <c r="X58" i="11"/>
  <c r="X112" i="11"/>
  <c r="V112" i="11"/>
  <c r="W112" i="11" s="1"/>
  <c r="AU112" i="11" s="1"/>
  <c r="AA97" i="11"/>
  <c r="Y97" i="11"/>
  <c r="Z97" i="11" s="1"/>
  <c r="Y195" i="11"/>
  <c r="Z195" i="11" s="1"/>
  <c r="AA195" i="11"/>
  <c r="U116" i="14"/>
  <c r="X116" i="14"/>
  <c r="V265" i="11"/>
  <c r="W265" i="11" s="1"/>
  <c r="AU265" i="11" s="1"/>
  <c r="X265" i="11"/>
  <c r="X96" i="11"/>
  <c r="V96" i="11"/>
  <c r="W96" i="11" s="1"/>
  <c r="AU96" i="11" s="1"/>
  <c r="V280" i="11"/>
  <c r="W280" i="11" s="1"/>
  <c r="AU280" i="11" s="1"/>
  <c r="X280" i="11"/>
  <c r="U121" i="9"/>
  <c r="S121" i="9"/>
  <c r="T121" i="9" s="1"/>
  <c r="V277" i="11"/>
  <c r="W277" i="11" s="1"/>
  <c r="AU277" i="11" s="1"/>
  <c r="X277" i="11"/>
  <c r="X94" i="11"/>
  <c r="V94" i="11"/>
  <c r="W94" i="11" s="1"/>
  <c r="AU94" i="11" s="1"/>
  <c r="U51" i="14"/>
  <c r="X51" i="14"/>
  <c r="V60" i="11"/>
  <c r="W60" i="11" s="1"/>
  <c r="AU60" i="11" s="1"/>
  <c r="X60" i="11"/>
  <c r="AA244" i="11"/>
  <c r="Y244" i="11"/>
  <c r="Z244" i="11" s="1"/>
  <c r="S105" i="9"/>
  <c r="T105" i="9" s="1"/>
  <c r="U105" i="9"/>
  <c r="AA200" i="11"/>
  <c r="Y200" i="11"/>
  <c r="Z200" i="11" s="1"/>
  <c r="AA93" i="11"/>
  <c r="Y93" i="11"/>
  <c r="Z93" i="11" s="1"/>
  <c r="Y220" i="11"/>
  <c r="Z220" i="11" s="1"/>
  <c r="AA220" i="11"/>
  <c r="U77" i="9"/>
  <c r="S77" i="9"/>
  <c r="T77" i="9" s="1"/>
  <c r="S115" i="9"/>
  <c r="T115" i="9" s="1"/>
  <c r="U115" i="9"/>
  <c r="V247" i="11"/>
  <c r="W247" i="11" s="1"/>
  <c r="AU247" i="11" s="1"/>
  <c r="X247" i="11"/>
  <c r="P109" i="9"/>
  <c r="R109" i="9"/>
  <c r="V109" i="9" s="1"/>
  <c r="W109" i="9" s="1"/>
  <c r="AB330" i="11"/>
  <c r="AC330" i="11" s="1"/>
  <c r="AV330" i="11"/>
  <c r="AA105" i="11"/>
  <c r="Y105" i="11"/>
  <c r="Z105" i="11" s="1"/>
  <c r="U125" i="14"/>
  <c r="S125" i="14"/>
  <c r="T125" i="14" s="1"/>
  <c r="Y203" i="11"/>
  <c r="Z203" i="11" s="1"/>
  <c r="AA203" i="11"/>
  <c r="R64" i="14"/>
  <c r="V64" i="14" s="1"/>
  <c r="W64" i="14" s="1"/>
  <c r="P64" i="14"/>
  <c r="AD135" i="11"/>
  <c r="AT135" i="11"/>
  <c r="AA27" i="5"/>
  <c r="Z27" i="5"/>
  <c r="AA87" i="11"/>
  <c r="Y87" i="11"/>
  <c r="Z87" i="11" s="1"/>
  <c r="X99" i="11"/>
  <c r="V99" i="11"/>
  <c r="W99" i="11" s="1"/>
  <c r="AU99" i="11" s="1"/>
  <c r="U59" i="14"/>
  <c r="X59" i="14"/>
  <c r="U80" i="9"/>
  <c r="S80" i="9"/>
  <c r="T80" i="9" s="1"/>
  <c r="Y322" i="11"/>
  <c r="Z322" i="11" s="1"/>
  <c r="AA322" i="11"/>
  <c r="Y89" i="11"/>
  <c r="Z89" i="11" s="1"/>
  <c r="AA89" i="11"/>
  <c r="Y243" i="11"/>
  <c r="Z243" i="11" s="1"/>
  <c r="AA243" i="11"/>
  <c r="R139" i="14"/>
  <c r="V139" i="14" s="1"/>
  <c r="W139" i="14" s="1"/>
  <c r="P139" i="14"/>
  <c r="AA5" i="11"/>
  <c r="AD5" i="11"/>
  <c r="V54" i="11"/>
  <c r="W54" i="11" s="1"/>
  <c r="AU54" i="11" s="1"/>
  <c r="X54" i="11"/>
  <c r="X48" i="11"/>
  <c r="V48" i="11"/>
  <c r="W48" i="11" s="1"/>
  <c r="AU48" i="11" s="1"/>
  <c r="Y331" i="11"/>
  <c r="Z331" i="11" s="1"/>
  <c r="AA331" i="11"/>
  <c r="U32" i="9"/>
  <c r="S32" i="9"/>
  <c r="T32" i="9" s="1"/>
  <c r="U113" i="14"/>
  <c r="X113" i="14"/>
  <c r="U41" i="9"/>
  <c r="S41" i="9"/>
  <c r="T41" i="9" s="1"/>
  <c r="Y281" i="11"/>
  <c r="Z281" i="11" s="1"/>
  <c r="AA281" i="11"/>
  <c r="S120" i="14"/>
  <c r="T120" i="14" s="1"/>
  <c r="U120" i="14"/>
  <c r="AA335" i="11"/>
  <c r="Y335" i="11"/>
  <c r="Z335" i="11" s="1"/>
  <c r="V332" i="11"/>
  <c r="W332" i="11" s="1"/>
  <c r="AU332" i="11" s="1"/>
  <c r="X332" i="11"/>
  <c r="U128" i="14"/>
  <c r="S128" i="14"/>
  <c r="T128" i="14" s="1"/>
  <c r="S66" i="14"/>
  <c r="T66" i="14" s="1"/>
  <c r="U66" i="14"/>
  <c r="U48" i="9"/>
  <c r="S48" i="9"/>
  <c r="T48" i="9" s="1"/>
  <c r="P82" i="9"/>
  <c r="R82" i="9"/>
  <c r="V82" i="9" s="1"/>
  <c r="W82" i="9" s="1"/>
  <c r="Y262" i="11"/>
  <c r="Z262" i="11" s="1"/>
  <c r="AA262" i="11"/>
  <c r="AA104" i="11"/>
  <c r="Y104" i="11"/>
  <c r="Z104" i="11" s="1"/>
  <c r="R94" i="9"/>
  <c r="V94" i="9" s="1"/>
  <c r="W94" i="9" s="1"/>
  <c r="P94" i="9"/>
  <c r="AD30" i="11"/>
  <c r="AA30" i="11"/>
  <c r="X328" i="11"/>
  <c r="V328" i="11"/>
  <c r="W328" i="11" s="1"/>
  <c r="AU328" i="11" s="1"/>
  <c r="V106" i="11"/>
  <c r="W106" i="11" s="1"/>
  <c r="AU106" i="11" s="1"/>
  <c r="X106" i="11"/>
  <c r="AA84" i="11"/>
  <c r="Y84" i="11"/>
  <c r="Z84" i="11" s="1"/>
  <c r="U53" i="14"/>
  <c r="S53" i="14"/>
  <c r="T53" i="14" s="1"/>
  <c r="X125" i="11"/>
  <c r="V125" i="11"/>
  <c r="W125" i="11" s="1"/>
  <c r="AU125" i="11" s="1"/>
  <c r="R76" i="9"/>
  <c r="V76" i="9" s="1"/>
  <c r="W76" i="9" s="1"/>
  <c r="P76" i="9"/>
  <c r="U63" i="14"/>
  <c r="S63" i="14"/>
  <c r="T63" i="14" s="1"/>
  <c r="R49" i="9"/>
  <c r="V49" i="9" s="1"/>
  <c r="W49" i="9" s="1"/>
  <c r="P49" i="9"/>
  <c r="U81" i="14"/>
  <c r="X81" i="14"/>
  <c r="AA332" i="11"/>
  <c r="Y332" i="11"/>
  <c r="Z332" i="11" s="1"/>
  <c r="V131" i="11"/>
  <c r="W131" i="11" s="1"/>
  <c r="AU131" i="11" s="1"/>
  <c r="X131" i="11"/>
  <c r="X129" i="11"/>
  <c r="V129" i="11"/>
  <c r="W129" i="11" s="1"/>
  <c r="AU129" i="11" s="1"/>
  <c r="X318" i="11"/>
  <c r="V318" i="11"/>
  <c r="W318" i="11" s="1"/>
  <c r="AU318" i="11" s="1"/>
  <c r="AA283" i="11"/>
  <c r="Y283" i="11"/>
  <c r="Z283" i="11" s="1"/>
  <c r="Y65" i="11"/>
  <c r="Z65" i="11" s="1"/>
  <c r="AA65" i="11"/>
  <c r="V183" i="11"/>
  <c r="W183" i="11" s="1"/>
  <c r="AU183" i="11" s="1"/>
  <c r="X183" i="11"/>
  <c r="X246" i="11"/>
  <c r="V246" i="11"/>
  <c r="W246" i="11" s="1"/>
  <c r="AU246" i="11" s="1"/>
  <c r="V84" i="11"/>
  <c r="W84" i="11" s="1"/>
  <c r="AU84" i="11" s="1"/>
  <c r="X84" i="11"/>
  <c r="P80" i="9"/>
  <c r="R80" i="9"/>
  <c r="V80" i="9" s="1"/>
  <c r="W80" i="9" s="1"/>
  <c r="X141" i="11"/>
  <c r="V141" i="11"/>
  <c r="W141" i="11" s="1"/>
  <c r="AU141" i="11" s="1"/>
  <c r="AA222" i="11"/>
  <c r="Y222" i="11"/>
  <c r="Z222" i="11" s="1"/>
  <c r="U45" i="14"/>
  <c r="X45" i="14"/>
  <c r="Y128" i="11"/>
  <c r="Z128" i="11" s="1"/>
  <c r="AA128" i="11"/>
  <c r="AA218" i="11"/>
  <c r="Y218" i="11"/>
  <c r="Z218" i="11" s="1"/>
  <c r="R137" i="14"/>
  <c r="V137" i="14" s="1"/>
  <c r="W137" i="14" s="1"/>
  <c r="P137" i="14"/>
  <c r="X168" i="11"/>
  <c r="V168" i="11"/>
  <c r="W168" i="11" s="1"/>
  <c r="AU168" i="11" s="1"/>
  <c r="Y325" i="11"/>
  <c r="Z325" i="11" s="1"/>
  <c r="AA325" i="11"/>
  <c r="Y75" i="11"/>
  <c r="Z75" i="11" s="1"/>
  <c r="AA75" i="11"/>
  <c r="U138" i="14"/>
  <c r="S138" i="14"/>
  <c r="T138" i="14" s="1"/>
  <c r="AA316" i="11"/>
  <c r="Y316" i="11"/>
  <c r="Z316" i="11" s="1"/>
  <c r="S123" i="9"/>
  <c r="T123" i="9" s="1"/>
  <c r="U123" i="9"/>
  <c r="AA133" i="11"/>
  <c r="Y133" i="11"/>
  <c r="Z133" i="11" s="1"/>
  <c r="S68" i="9"/>
  <c r="T68" i="9" s="1"/>
  <c r="U68" i="9"/>
  <c r="Y260" i="11"/>
  <c r="Z260" i="11" s="1"/>
  <c r="AA260" i="11"/>
  <c r="S47" i="9"/>
  <c r="T47" i="9" s="1"/>
  <c r="U47" i="9"/>
  <c r="S28" i="9"/>
  <c r="T28" i="9" s="1"/>
  <c r="U28" i="9"/>
  <c r="AA192" i="11"/>
  <c r="Y192" i="11"/>
  <c r="Z192" i="11" s="1"/>
  <c r="V236" i="11"/>
  <c r="W236" i="11" s="1"/>
  <c r="AU236" i="11" s="1"/>
  <c r="X236" i="11"/>
  <c r="AD24" i="11"/>
  <c r="AA24" i="11"/>
  <c r="AT338" i="11"/>
  <c r="AD338" i="11"/>
  <c r="V233" i="11"/>
  <c r="W233" i="11" s="1"/>
  <c r="AU233" i="11" s="1"/>
  <c r="X233" i="11"/>
  <c r="V204" i="11"/>
  <c r="W204" i="11" s="1"/>
  <c r="AU204" i="11" s="1"/>
  <c r="X204" i="11"/>
  <c r="S114" i="9"/>
  <c r="T114" i="9" s="1"/>
  <c r="U114" i="9"/>
  <c r="X303" i="11"/>
  <c r="V303" i="11"/>
  <c r="W303" i="11" s="1"/>
  <c r="AU303" i="11" s="1"/>
  <c r="AA26" i="5"/>
  <c r="Z26" i="5"/>
  <c r="AA167" i="11"/>
  <c r="Y167" i="11"/>
  <c r="Z167" i="11" s="1"/>
  <c r="X222" i="11"/>
  <c r="V222" i="11"/>
  <c r="W222" i="11" s="1"/>
  <c r="AU222" i="11" s="1"/>
  <c r="Y252" i="11"/>
  <c r="Z252" i="11" s="1"/>
  <c r="AA252" i="11"/>
  <c r="V147" i="11"/>
  <c r="W147" i="11" s="1"/>
  <c r="AU147" i="11" s="1"/>
  <c r="X147" i="11"/>
  <c r="V271" i="11"/>
  <c r="W271" i="11" s="1"/>
  <c r="AU271" i="11" s="1"/>
  <c r="X271" i="11"/>
  <c r="X53" i="11"/>
  <c r="V53" i="11"/>
  <c r="W53" i="11" s="1"/>
  <c r="AU53" i="11" s="1"/>
  <c r="Y73" i="11"/>
  <c r="Z73" i="11" s="1"/>
  <c r="AA73" i="11"/>
  <c r="S99" i="9"/>
  <c r="T99" i="9" s="1"/>
  <c r="U99" i="9"/>
  <c r="X70" i="11"/>
  <c r="V70" i="11"/>
  <c r="W70" i="11" s="1"/>
  <c r="AU70" i="11" s="1"/>
  <c r="Y221" i="11"/>
  <c r="Z221" i="11" s="1"/>
  <c r="AA221" i="11"/>
  <c r="V308" i="11"/>
  <c r="W308" i="11" s="1"/>
  <c r="AU308" i="11" s="1"/>
  <c r="X308" i="11"/>
  <c r="S92" i="9"/>
  <c r="T92" i="9" s="1"/>
  <c r="U92" i="9"/>
  <c r="V315" i="11"/>
  <c r="W315" i="11" s="1"/>
  <c r="AU315" i="11" s="1"/>
  <c r="X315" i="11"/>
  <c r="X117" i="11"/>
  <c r="V117" i="11"/>
  <c r="W117" i="11" s="1"/>
  <c r="AU117" i="11" s="1"/>
  <c r="V248" i="11"/>
  <c r="W248" i="11" s="1"/>
  <c r="AU248" i="11" s="1"/>
  <c r="X248" i="11"/>
  <c r="AA235" i="11"/>
  <c r="Y235" i="11"/>
  <c r="Z235" i="11" s="1"/>
  <c r="U87" i="9"/>
  <c r="S87" i="9"/>
  <c r="T87" i="9" s="1"/>
  <c r="Y215" i="11"/>
  <c r="Z215" i="11" s="1"/>
  <c r="AA215" i="11"/>
  <c r="U74" i="14"/>
  <c r="X74" i="14"/>
  <c r="X123" i="11"/>
  <c r="V123" i="11"/>
  <c r="W123" i="11" s="1"/>
  <c r="AU123" i="11" s="1"/>
  <c r="AA135" i="11"/>
  <c r="Y135" i="11"/>
  <c r="Z135" i="11" s="1"/>
  <c r="AA291" i="11"/>
  <c r="Y291" i="11"/>
  <c r="Z291" i="11" s="1"/>
  <c r="V219" i="11"/>
  <c r="W219" i="11" s="1"/>
  <c r="AU219" i="11" s="1"/>
  <c r="X219" i="11"/>
  <c r="Y209" i="11"/>
  <c r="Z209" i="11" s="1"/>
  <c r="AA209" i="11"/>
  <c r="V268" i="11"/>
  <c r="W268" i="11" s="1"/>
  <c r="AU268" i="11" s="1"/>
  <c r="X268" i="11"/>
  <c r="Y123" i="11"/>
  <c r="Z123" i="11" s="1"/>
  <c r="AA123" i="11"/>
  <c r="X212" i="11"/>
  <c r="V212" i="11"/>
  <c r="W212" i="11" s="1"/>
  <c r="AU212" i="11" s="1"/>
  <c r="U25" i="14"/>
  <c r="X25" i="14"/>
  <c r="V72" i="11"/>
  <c r="W72" i="11" s="1"/>
  <c r="AU72" i="11" s="1"/>
  <c r="X72" i="11"/>
  <c r="V171" i="11"/>
  <c r="W171" i="11" s="1"/>
  <c r="AU171" i="11" s="1"/>
  <c r="X171" i="11"/>
  <c r="R35" i="9"/>
  <c r="V35" i="9" s="1"/>
  <c r="W35" i="9" s="1"/>
  <c r="P35" i="9"/>
  <c r="X238" i="11"/>
  <c r="V238" i="11"/>
  <c r="W238" i="11" s="1"/>
  <c r="AU238" i="11" s="1"/>
  <c r="AA70" i="11"/>
  <c r="Y70" i="11"/>
  <c r="Z70" i="11" s="1"/>
  <c r="V137" i="11"/>
  <c r="W137" i="11" s="1"/>
  <c r="AU137" i="11" s="1"/>
  <c r="X137" i="11"/>
  <c r="X334" i="11"/>
  <c r="V334" i="11"/>
  <c r="W334" i="11" s="1"/>
  <c r="AU334" i="11" s="1"/>
  <c r="V109" i="11"/>
  <c r="W109" i="11" s="1"/>
  <c r="AU109" i="11" s="1"/>
  <c r="X109" i="11"/>
  <c r="V167" i="11"/>
  <c r="W167" i="11" s="1"/>
  <c r="AU167" i="11" s="1"/>
  <c r="X167" i="11"/>
  <c r="V276" i="11"/>
  <c r="W276" i="11" s="1"/>
  <c r="AU276" i="11" s="1"/>
  <c r="X276" i="11"/>
  <c r="Y177" i="11"/>
  <c r="Z177" i="11" s="1"/>
  <c r="AA177" i="11"/>
  <c r="U85" i="9"/>
  <c r="S85" i="9"/>
  <c r="T85" i="9" s="1"/>
  <c r="P96" i="9"/>
  <c r="R96" i="9"/>
  <c r="V96" i="9" s="1"/>
  <c r="W96" i="9" s="1"/>
  <c r="AA303" i="11"/>
  <c r="Y303" i="11"/>
  <c r="Z303" i="11" s="1"/>
  <c r="X324" i="11"/>
  <c r="V324" i="11"/>
  <c r="W324" i="11" s="1"/>
  <c r="AU324" i="11" s="1"/>
  <c r="X197" i="11"/>
  <c r="V197" i="11"/>
  <c r="W197" i="11" s="1"/>
  <c r="AU197" i="11" s="1"/>
  <c r="V213" i="11"/>
  <c r="W213" i="11" s="1"/>
  <c r="AU213" i="11" s="1"/>
  <c r="X213" i="11"/>
  <c r="Y176" i="11"/>
  <c r="Z176" i="11" s="1"/>
  <c r="AA176" i="11"/>
  <c r="S93" i="9"/>
  <c r="T93" i="9" s="1"/>
  <c r="U93" i="9"/>
  <c r="V255" i="11"/>
  <c r="W255" i="11" s="1"/>
  <c r="AU255" i="11" s="1"/>
  <c r="X255" i="11"/>
  <c r="X65" i="11"/>
  <c r="V65" i="11"/>
  <c r="W65" i="11" s="1"/>
  <c r="AU65" i="11" s="1"/>
  <c r="R84" i="9"/>
  <c r="V84" i="9" s="1"/>
  <c r="W84" i="9" s="1"/>
  <c r="P84" i="9"/>
  <c r="AA170" i="11"/>
  <c r="Y170" i="11"/>
  <c r="Z170" i="11" s="1"/>
  <c r="P118" i="9"/>
  <c r="R118" i="9"/>
  <c r="V118" i="9" s="1"/>
  <c r="W118" i="9" s="1"/>
  <c r="X188" i="11"/>
  <c r="V188" i="11"/>
  <c r="W188" i="11" s="1"/>
  <c r="AU188" i="11" s="1"/>
  <c r="Y98" i="11"/>
  <c r="Z98" i="11" s="1"/>
  <c r="AA98" i="11"/>
  <c r="AA328" i="11"/>
  <c r="Y328" i="11"/>
  <c r="Z328" i="11" s="1"/>
  <c r="X275" i="11"/>
  <c r="V275" i="11"/>
  <c r="W275" i="11" s="1"/>
  <c r="AU275" i="11" s="1"/>
  <c r="AA88" i="11"/>
  <c r="Y88" i="11"/>
  <c r="Z88" i="11" s="1"/>
  <c r="Y165" i="11"/>
  <c r="Z165" i="11" s="1"/>
  <c r="AA165" i="11"/>
  <c r="V74" i="11"/>
  <c r="W74" i="11" s="1"/>
  <c r="AU74" i="11" s="1"/>
  <c r="X74" i="11"/>
  <c r="X162" i="11"/>
  <c r="V162" i="11"/>
  <c r="W162" i="11" s="1"/>
  <c r="AU162" i="11" s="1"/>
  <c r="V283" i="11"/>
  <c r="W283" i="11" s="1"/>
  <c r="AU283" i="11" s="1"/>
  <c r="X283" i="11"/>
  <c r="S101" i="9"/>
  <c r="T101" i="9" s="1"/>
  <c r="U101" i="9"/>
  <c r="AA234" i="11"/>
  <c r="Y234" i="11"/>
  <c r="Z234" i="11" s="1"/>
  <c r="S63" i="9"/>
  <c r="T63" i="9" s="1"/>
  <c r="U63" i="9"/>
  <c r="P117" i="14"/>
  <c r="R117" i="14"/>
  <c r="V117" i="14" s="1"/>
  <c r="W117" i="14" s="1"/>
  <c r="Y238" i="11"/>
  <c r="Z238" i="11" s="1"/>
  <c r="AA238" i="11"/>
  <c r="Y223" i="11"/>
  <c r="Z223" i="11" s="1"/>
  <c r="AA223" i="11"/>
  <c r="AA255" i="11"/>
  <c r="Y255" i="11"/>
  <c r="Z255" i="11" s="1"/>
  <c r="Y242" i="11"/>
  <c r="Z242" i="11" s="1"/>
  <c r="AA242" i="11"/>
  <c r="R89" i="9"/>
  <c r="V89" i="9" s="1"/>
  <c r="W89" i="9" s="1"/>
  <c r="P89" i="9"/>
  <c r="U44" i="14"/>
  <c r="X44" i="14"/>
  <c r="AD263" i="11"/>
  <c r="AT263" i="11"/>
  <c r="X176" i="11"/>
  <c r="V176" i="11"/>
  <c r="W176" i="11" s="1"/>
  <c r="AU176" i="11" s="1"/>
  <c r="X257" i="11"/>
  <c r="V257" i="11"/>
  <c r="W257" i="11" s="1"/>
  <c r="AU257" i="11" s="1"/>
  <c r="X91" i="11"/>
  <c r="V91" i="11"/>
  <c r="W91" i="11" s="1"/>
  <c r="AU91" i="11" s="1"/>
  <c r="X331" i="11"/>
  <c r="V331" i="11"/>
  <c r="W331" i="11" s="1"/>
  <c r="AU331" i="11" s="1"/>
  <c r="AA230" i="11"/>
  <c r="Y230" i="11"/>
  <c r="Z230" i="11" s="1"/>
  <c r="AA180" i="11"/>
  <c r="Y180" i="11"/>
  <c r="Z180" i="11" s="1"/>
  <c r="R69" i="9"/>
  <c r="V69" i="9" s="1"/>
  <c r="W69" i="9" s="1"/>
  <c r="P69" i="9"/>
  <c r="X302" i="11"/>
  <c r="V302" i="11"/>
  <c r="W302" i="11" s="1"/>
  <c r="AU302" i="11" s="1"/>
  <c r="AA69" i="11"/>
  <c r="Y69" i="11"/>
  <c r="Z69" i="11" s="1"/>
  <c r="U62" i="9"/>
  <c r="S62" i="9"/>
  <c r="T62" i="9" s="1"/>
  <c r="AA62" i="11"/>
  <c r="Y62" i="11"/>
  <c r="Z62" i="11" s="1"/>
  <c r="U37" i="14"/>
  <c r="X37" i="14"/>
  <c r="V145" i="11"/>
  <c r="W145" i="11" s="1"/>
  <c r="AU145" i="11" s="1"/>
  <c r="X145" i="11"/>
  <c r="Y204" i="11"/>
  <c r="Z204" i="11" s="1"/>
  <c r="AA204" i="11"/>
  <c r="Y265" i="11"/>
  <c r="Z265" i="11" s="1"/>
  <c r="AA265" i="11"/>
  <c r="Y269" i="11"/>
  <c r="Z269" i="11" s="1"/>
  <c r="AA269" i="11"/>
  <c r="U71" i="9"/>
  <c r="S71" i="9"/>
  <c r="T71" i="9" s="1"/>
  <c r="X312" i="11"/>
  <c r="V312" i="11"/>
  <c r="W312" i="11" s="1"/>
  <c r="AU312" i="11" s="1"/>
  <c r="U50" i="14"/>
  <c r="X50" i="14"/>
  <c r="Y278" i="11"/>
  <c r="Z278" i="11" s="1"/>
  <c r="AA278" i="11"/>
  <c r="AT237" i="11"/>
  <c r="AD237" i="11"/>
  <c r="S117" i="9"/>
  <c r="T117" i="9" s="1"/>
  <c r="U117" i="9"/>
  <c r="P66" i="9"/>
  <c r="R66" i="9"/>
  <c r="V66" i="9" s="1"/>
  <c r="W66" i="9" s="1"/>
  <c r="X81" i="11"/>
  <c r="V81" i="11"/>
  <c r="W81" i="11" s="1"/>
  <c r="AU81" i="11" s="1"/>
  <c r="AA121" i="11"/>
  <c r="Y121" i="11"/>
  <c r="Z121" i="11" s="1"/>
  <c r="AA30" i="5"/>
  <c r="Z30" i="5"/>
  <c r="U115" i="14"/>
  <c r="X115" i="14"/>
  <c r="Y295" i="11"/>
  <c r="Z295" i="11" s="1"/>
  <c r="AA295" i="11"/>
  <c r="S106" i="9"/>
  <c r="T106" i="9" s="1"/>
  <c r="U106" i="9"/>
  <c r="U34" i="14"/>
  <c r="X34" i="14"/>
  <c r="Y127" i="11"/>
  <c r="Z127" i="11" s="1"/>
  <c r="AA127" i="11"/>
  <c r="AA261" i="11"/>
  <c r="Y261" i="11"/>
  <c r="Z261" i="11" s="1"/>
  <c r="R122" i="9"/>
  <c r="V122" i="9" s="1"/>
  <c r="W122" i="9" s="1"/>
  <c r="P122" i="9"/>
  <c r="AA143" i="11"/>
  <c r="Y143" i="11"/>
  <c r="Z143" i="11" s="1"/>
  <c r="V304" i="11"/>
  <c r="W304" i="11" s="1"/>
  <c r="AU304" i="11" s="1"/>
  <c r="X304" i="11"/>
  <c r="AA293" i="11"/>
  <c r="Y293" i="11"/>
  <c r="Z293" i="11" s="1"/>
  <c r="X75" i="11"/>
  <c r="V75" i="11"/>
  <c r="W75" i="11" s="1"/>
  <c r="AU75" i="11" s="1"/>
  <c r="X83" i="11"/>
  <c r="V83" i="11"/>
  <c r="W83" i="11" s="1"/>
  <c r="AU83" i="11" s="1"/>
  <c r="Y227" i="11"/>
  <c r="Z227" i="11" s="1"/>
  <c r="AA227" i="11"/>
  <c r="AA217" i="11"/>
  <c r="Y217" i="11"/>
  <c r="Z217" i="11" s="1"/>
  <c r="AA64" i="11"/>
  <c r="Y64" i="11"/>
  <c r="Z64" i="11" s="1"/>
  <c r="Y284" i="11"/>
  <c r="Z284" i="11" s="1"/>
  <c r="AA284" i="11"/>
  <c r="U106" i="14"/>
  <c r="X106" i="14"/>
  <c r="U54" i="14"/>
  <c r="S54" i="14"/>
  <c r="T54" i="14" s="1"/>
  <c r="S67" i="9"/>
  <c r="T67" i="9" s="1"/>
  <c r="U67" i="9"/>
  <c r="R85" i="9"/>
  <c r="V85" i="9" s="1"/>
  <c r="W85" i="9" s="1"/>
  <c r="P85" i="9"/>
  <c r="V190" i="11"/>
  <c r="W190" i="11" s="1"/>
  <c r="AU190" i="11" s="1"/>
  <c r="X190" i="11"/>
  <c r="X79" i="11"/>
  <c r="V79" i="11"/>
  <c r="W79" i="11" s="1"/>
  <c r="AU79" i="11" s="1"/>
  <c r="S37" i="9"/>
  <c r="T37" i="9" s="1"/>
  <c r="U37" i="9"/>
  <c r="V240" i="11"/>
  <c r="W240" i="11" s="1"/>
  <c r="AU240" i="11" s="1"/>
  <c r="X240" i="11"/>
  <c r="Y82" i="11"/>
  <c r="Z82" i="11" s="1"/>
  <c r="AA82" i="11"/>
  <c r="X234" i="11"/>
  <c r="V234" i="11"/>
  <c r="W234" i="11" s="1"/>
  <c r="AU234" i="11" s="1"/>
  <c r="V132" i="11"/>
  <c r="W132" i="11" s="1"/>
  <c r="AU132" i="11" s="1"/>
  <c r="X132" i="11"/>
  <c r="AA257" i="11"/>
  <c r="Y257" i="11"/>
  <c r="Z257" i="11" s="1"/>
  <c r="AA59" i="11"/>
  <c r="Y59" i="11"/>
  <c r="Z59" i="11" s="1"/>
  <c r="AA184" i="11"/>
  <c r="Y184" i="11"/>
  <c r="Z184" i="11" s="1"/>
  <c r="U28" i="14"/>
  <c r="X28" i="14"/>
  <c r="Y171" i="11"/>
  <c r="Z171" i="11" s="1"/>
  <c r="AA171" i="11"/>
  <c r="S139" i="14"/>
  <c r="T139" i="14" s="1"/>
  <c r="U139" i="14"/>
  <c r="AA213" i="11"/>
  <c r="Y213" i="11"/>
  <c r="Z213" i="11" s="1"/>
  <c r="S116" i="9"/>
  <c r="T116" i="9" s="1"/>
  <c r="U116" i="9"/>
  <c r="S119" i="14"/>
  <c r="T119" i="14" s="1"/>
  <c r="U119" i="14"/>
  <c r="V86" i="11"/>
  <c r="W86" i="11" s="1"/>
  <c r="AU86" i="11" s="1"/>
  <c r="X86" i="11"/>
  <c r="X214" i="11"/>
  <c r="V214" i="11"/>
  <c r="W214" i="11" s="1"/>
  <c r="AU214" i="11" s="1"/>
  <c r="V292" i="11"/>
  <c r="W292" i="11" s="1"/>
  <c r="AU292" i="11" s="1"/>
  <c r="X292" i="11"/>
  <c r="P30" i="9"/>
  <c r="R30" i="9"/>
  <c r="V30" i="9" s="1"/>
  <c r="W30" i="9" s="1"/>
  <c r="V294" i="11"/>
  <c r="W294" i="11" s="1"/>
  <c r="AU294" i="11" s="1"/>
  <c r="X294" i="11"/>
  <c r="X185" i="11"/>
  <c r="V185" i="11"/>
  <c r="W185" i="11" s="1"/>
  <c r="AU185" i="11" s="1"/>
  <c r="X82" i="11"/>
  <c r="V82" i="11"/>
  <c r="W82" i="11" s="1"/>
  <c r="AU82" i="11" s="1"/>
  <c r="Y111" i="11"/>
  <c r="Z111" i="11" s="1"/>
  <c r="AA111" i="11"/>
  <c r="V139" i="11"/>
  <c r="W139" i="11" s="1"/>
  <c r="AU139" i="11" s="1"/>
  <c r="X139" i="11"/>
  <c r="X321" i="11"/>
  <c r="V321" i="11"/>
  <c r="W321" i="11" s="1"/>
  <c r="AU321" i="11" s="1"/>
  <c r="X261" i="11"/>
  <c r="V261" i="11"/>
  <c r="W261" i="11" s="1"/>
  <c r="AU261" i="11" s="1"/>
  <c r="V170" i="11"/>
  <c r="W170" i="11" s="1"/>
  <c r="AU170" i="11" s="1"/>
  <c r="X170" i="11"/>
  <c r="U78" i="9"/>
  <c r="S78" i="9"/>
  <c r="T78" i="9" s="1"/>
  <c r="U74" i="9"/>
  <c r="S74" i="9"/>
  <c r="T74" i="9" s="1"/>
  <c r="S83" i="9"/>
  <c r="T83" i="9" s="1"/>
  <c r="U83" i="9"/>
  <c r="Y138" i="11"/>
  <c r="Z138" i="11" s="1"/>
  <c r="AA138" i="11"/>
  <c r="U105" i="14"/>
  <c r="X105" i="14"/>
  <c r="X60" i="14"/>
  <c r="U60" i="14"/>
  <c r="S33" i="9"/>
  <c r="T33" i="9" s="1"/>
  <c r="U33" i="9"/>
  <c r="U67" i="14"/>
  <c r="S67" i="14"/>
  <c r="T67" i="14" s="1"/>
  <c r="X289" i="11"/>
  <c r="V289" i="11"/>
  <c r="W289" i="11" s="1"/>
  <c r="AU289" i="11" s="1"/>
  <c r="X175" i="11"/>
  <c r="V175" i="11"/>
  <c r="W175" i="11" s="1"/>
  <c r="AU175" i="11" s="1"/>
  <c r="V249" i="11"/>
  <c r="W249" i="11" s="1"/>
  <c r="AU249" i="11" s="1"/>
  <c r="X249" i="11"/>
  <c r="V140" i="11"/>
  <c r="W140" i="11" s="1"/>
  <c r="AU140" i="11" s="1"/>
  <c r="X140" i="11"/>
  <c r="AA251" i="11"/>
  <c r="Y251" i="11"/>
  <c r="Z251" i="11" s="1"/>
  <c r="R34" i="9"/>
  <c r="V34" i="9" s="1"/>
  <c r="W34" i="9" s="1"/>
  <c r="P34" i="9"/>
  <c r="P123" i="9"/>
  <c r="R123" i="9"/>
  <c r="V123" i="9" s="1"/>
  <c r="W123" i="9" s="1"/>
  <c r="R141" i="14"/>
  <c r="V141" i="14" s="1"/>
  <c r="W141" i="14" s="1"/>
  <c r="P141" i="14"/>
  <c r="Y53" i="11"/>
  <c r="Z53" i="11" s="1"/>
  <c r="AA53" i="11"/>
  <c r="AA72" i="11"/>
  <c r="Y72" i="11"/>
  <c r="Z72" i="11" s="1"/>
  <c r="AA210" i="11"/>
  <c r="Y210" i="11"/>
  <c r="Z210" i="11" s="1"/>
  <c r="S122" i="9"/>
  <c r="T122" i="9" s="1"/>
  <c r="U122" i="9"/>
  <c r="V199" i="11"/>
  <c r="W199" i="11" s="1"/>
  <c r="AU199" i="11" s="1"/>
  <c r="X199" i="11"/>
  <c r="V67" i="11"/>
  <c r="W67" i="11" s="1"/>
  <c r="AU67" i="11" s="1"/>
  <c r="X67" i="11"/>
  <c r="R124" i="14"/>
  <c r="V124" i="14" s="1"/>
  <c r="W124" i="14" s="1"/>
  <c r="P124" i="14"/>
  <c r="AA124" i="11"/>
  <c r="Y124" i="11"/>
  <c r="Z124" i="11" s="1"/>
  <c r="Y79" i="11"/>
  <c r="Z79" i="11" s="1"/>
  <c r="AA79" i="11"/>
  <c r="V322" i="11"/>
  <c r="W322" i="11" s="1"/>
  <c r="AU322" i="11" s="1"/>
  <c r="X322" i="11"/>
  <c r="V92" i="11"/>
  <c r="W92" i="11" s="1"/>
  <c r="AU92" i="11" s="1"/>
  <c r="X92" i="11"/>
  <c r="Y311" i="11"/>
  <c r="Z311" i="11" s="1"/>
  <c r="AA311" i="11"/>
  <c r="P95" i="9"/>
  <c r="R95" i="9"/>
  <c r="V95" i="9" s="1"/>
  <c r="W95" i="9" s="1"/>
  <c r="P136" i="14"/>
  <c r="R136" i="14"/>
  <c r="V136" i="14" s="1"/>
  <c r="W136" i="14" s="1"/>
  <c r="X87" i="11"/>
  <c r="V87" i="11"/>
  <c r="W87" i="11" s="1"/>
  <c r="AU87" i="11" s="1"/>
  <c r="AA80" i="11"/>
  <c r="Y80" i="11"/>
  <c r="Z80" i="11" s="1"/>
  <c r="U75" i="14"/>
  <c r="X75" i="14"/>
  <c r="V316" i="11"/>
  <c r="W316" i="11" s="1"/>
  <c r="AU316" i="11" s="1"/>
  <c r="X316" i="11"/>
  <c r="R92" i="9"/>
  <c r="V92" i="9" s="1"/>
  <c r="W92" i="9" s="1"/>
  <c r="P92" i="9"/>
  <c r="U90" i="14"/>
  <c r="X90" i="14"/>
  <c r="S91" i="9"/>
  <c r="T91" i="9" s="1"/>
  <c r="U91" i="9"/>
  <c r="AA60" i="11"/>
  <c r="Y60" i="11"/>
  <c r="Z60" i="11" s="1"/>
  <c r="U95" i="14"/>
  <c r="X95" i="14"/>
  <c r="Y115" i="11"/>
  <c r="Z115" i="11" s="1"/>
  <c r="AA115" i="11"/>
  <c r="X181" i="11"/>
  <c r="V181" i="11"/>
  <c r="W181" i="11" s="1"/>
  <c r="AU181" i="11" s="1"/>
  <c r="AA264" i="11"/>
  <c r="AD264" i="11"/>
  <c r="S54" i="9"/>
  <c r="T54" i="9" s="1"/>
  <c r="U54" i="9"/>
  <c r="X143" i="11"/>
  <c r="V143" i="11"/>
  <c r="W143" i="11" s="1"/>
  <c r="AU143" i="11" s="1"/>
  <c r="S36" i="9"/>
  <c r="T36" i="9" s="1"/>
  <c r="U36" i="9"/>
  <c r="Y91" i="11"/>
  <c r="Z91" i="11" s="1"/>
  <c r="AA91" i="11"/>
  <c r="U104" i="14"/>
  <c r="X104" i="14"/>
  <c r="V95" i="11"/>
  <c r="W95" i="11" s="1"/>
  <c r="AU95" i="11" s="1"/>
  <c r="X95" i="11"/>
  <c r="AA31" i="11"/>
  <c r="AD31" i="11"/>
  <c r="X205" i="11"/>
  <c r="V205" i="11"/>
  <c r="W205" i="11" s="1"/>
  <c r="AU205" i="11" s="1"/>
  <c r="R128" i="14"/>
  <c r="V128" i="14" s="1"/>
  <c r="W128" i="14" s="1"/>
  <c r="P128" i="14"/>
  <c r="AV237" i="11"/>
  <c r="AB237" i="11"/>
  <c r="AC237" i="11" s="1"/>
  <c r="X55" i="11"/>
  <c r="V55" i="11"/>
  <c r="W55" i="11" s="1"/>
  <c r="AU55" i="11" s="1"/>
  <c r="P88" i="9"/>
  <c r="R88" i="9"/>
  <c r="V88" i="9" s="1"/>
  <c r="W88" i="9" s="1"/>
  <c r="R64" i="9"/>
  <c r="V64" i="9" s="1"/>
  <c r="W64" i="9" s="1"/>
  <c r="P64" i="9"/>
  <c r="Y107" i="11"/>
  <c r="Z107" i="11" s="1"/>
  <c r="AA107" i="11"/>
  <c r="R52" i="9"/>
  <c r="V52" i="9" s="1"/>
  <c r="W52" i="9" s="1"/>
  <c r="P52" i="9"/>
  <c r="V59" i="11"/>
  <c r="W59" i="11" s="1"/>
  <c r="AU59" i="11" s="1"/>
  <c r="X59" i="11"/>
  <c r="V229" i="11"/>
  <c r="W229" i="11" s="1"/>
  <c r="AU229" i="11" s="1"/>
  <c r="X229" i="11"/>
  <c r="U104" i="9"/>
  <c r="S104" i="9"/>
  <c r="T104" i="9" s="1"/>
  <c r="U110" i="9"/>
  <c r="S110" i="9"/>
  <c r="T110" i="9" s="1"/>
  <c r="X172" i="11"/>
  <c r="V172" i="11"/>
  <c r="W172" i="11" s="1"/>
  <c r="AU172" i="11" s="1"/>
  <c r="V335" i="11"/>
  <c r="W335" i="11" s="1"/>
  <c r="AU335" i="11" s="1"/>
  <c r="X335" i="11"/>
  <c r="AA205" i="11"/>
  <c r="Y205" i="11"/>
  <c r="Z205" i="11" s="1"/>
  <c r="V89" i="11"/>
  <c r="W89" i="11" s="1"/>
  <c r="AU89" i="11" s="1"/>
  <c r="X89" i="11"/>
  <c r="AA134" i="11"/>
  <c r="Y134" i="11"/>
  <c r="Z134" i="11" s="1"/>
  <c r="V195" i="11"/>
  <c r="W195" i="11" s="1"/>
  <c r="AU195" i="11" s="1"/>
  <c r="X195" i="11"/>
  <c r="X284" i="11"/>
  <c r="V284" i="11"/>
  <c r="W284" i="11" s="1"/>
  <c r="AU284" i="11" s="1"/>
  <c r="AA290" i="11"/>
  <c r="Y290" i="11"/>
  <c r="Z290" i="11" s="1"/>
  <c r="P51" i="9"/>
  <c r="R51" i="9"/>
  <c r="V51" i="9" s="1"/>
  <c r="W51" i="9" s="1"/>
  <c r="U71" i="14"/>
  <c r="X71" i="14"/>
  <c r="U34" i="9"/>
  <c r="S34" i="9"/>
  <c r="T34" i="9" s="1"/>
  <c r="X309" i="11"/>
  <c r="V309" i="11"/>
  <c r="W309" i="11" s="1"/>
  <c r="AU309" i="11" s="1"/>
  <c r="X178" i="11"/>
  <c r="V178" i="11"/>
  <c r="W178" i="11" s="1"/>
  <c r="AU178" i="11" s="1"/>
  <c r="AA117" i="11"/>
  <c r="Y117" i="11"/>
  <c r="Z117" i="11" s="1"/>
  <c r="V116" i="11"/>
  <c r="W116" i="11" s="1"/>
  <c r="AU116" i="11" s="1"/>
  <c r="X116" i="11"/>
  <c r="Y274" i="11"/>
  <c r="Z274" i="11" s="1"/>
  <c r="AA274" i="11"/>
  <c r="V200" i="11"/>
  <c r="W200" i="11" s="1"/>
  <c r="AU200" i="11" s="1"/>
  <c r="X200" i="11"/>
  <c r="P105" i="9"/>
  <c r="R105" i="9"/>
  <c r="V105" i="9" s="1"/>
  <c r="W105" i="9" s="1"/>
  <c r="U108" i="9"/>
  <c r="S108" i="9"/>
  <c r="T108" i="9" s="1"/>
  <c r="V186" i="11"/>
  <c r="W186" i="11" s="1"/>
  <c r="AU186" i="11" s="1"/>
  <c r="X186" i="11"/>
  <c r="U31" i="14"/>
  <c r="X31" i="14"/>
  <c r="U88" i="9"/>
  <c r="S88" i="9"/>
  <c r="T88" i="9" s="1"/>
  <c r="V189" i="11"/>
  <c r="W189" i="11" s="1"/>
  <c r="AU189" i="11" s="1"/>
  <c r="X189" i="11"/>
  <c r="U107" i="14"/>
  <c r="X107" i="14"/>
  <c r="Y126" i="11"/>
  <c r="Z126" i="11" s="1"/>
  <c r="AA126" i="11"/>
  <c r="V281" i="11"/>
  <c r="W281" i="11" s="1"/>
  <c r="AU281" i="11" s="1"/>
  <c r="X281" i="11"/>
  <c r="V274" i="11"/>
  <c r="W274" i="11" s="1"/>
  <c r="AU274" i="11" s="1"/>
  <c r="X274" i="11"/>
  <c r="U65" i="14"/>
  <c r="S65" i="14"/>
  <c r="T65" i="14" s="1"/>
  <c r="AA136" i="11"/>
  <c r="Y136" i="11"/>
  <c r="Z136" i="11" s="1"/>
  <c r="V269" i="11"/>
  <c r="W269" i="11" s="1"/>
  <c r="AU269" i="11" s="1"/>
  <c r="X269" i="11"/>
  <c r="Y116" i="11"/>
  <c r="Z116" i="11" s="1"/>
  <c r="AA116" i="11"/>
  <c r="V57" i="11"/>
  <c r="W57" i="11" s="1"/>
  <c r="AU57" i="11" s="1"/>
  <c r="X57" i="11"/>
  <c r="AA120" i="11"/>
  <c r="Y120" i="11"/>
  <c r="Z120" i="11" s="1"/>
  <c r="V279" i="11"/>
  <c r="W279" i="11" s="1"/>
  <c r="AU279" i="11" s="1"/>
  <c r="X279" i="11"/>
  <c r="R87" i="9"/>
  <c r="V87" i="9" s="1"/>
  <c r="W87" i="9" s="1"/>
  <c r="P87" i="9"/>
  <c r="V161" i="11"/>
  <c r="W161" i="11" s="1"/>
  <c r="AU161" i="11" s="1"/>
  <c r="X161" i="11"/>
  <c r="U99" i="14"/>
  <c r="X99" i="14"/>
  <c r="X323" i="11"/>
  <c r="V323" i="11"/>
  <c r="W323" i="11" s="1"/>
  <c r="AU323" i="11" s="1"/>
  <c r="AA58" i="11"/>
  <c r="Y58" i="11"/>
  <c r="Z58" i="11" s="1"/>
  <c r="V296" i="11"/>
  <c r="W296" i="11" s="1"/>
  <c r="AU296" i="11" s="1"/>
  <c r="X296" i="11"/>
  <c r="AA130" i="11"/>
  <c r="Y130" i="11"/>
  <c r="Z130" i="11" s="1"/>
  <c r="R86" i="9"/>
  <c r="V86" i="9" s="1"/>
  <c r="W86" i="9" s="1"/>
  <c r="P86" i="9"/>
  <c r="U50" i="9"/>
  <c r="S50" i="9"/>
  <c r="T50" i="9" s="1"/>
  <c r="AA144" i="11"/>
  <c r="Y144" i="11"/>
  <c r="Z144" i="11" s="1"/>
  <c r="P39" i="9"/>
  <c r="R39" i="9"/>
  <c r="V39" i="9" s="1"/>
  <c r="W39" i="9" s="1"/>
  <c r="S121" i="14"/>
  <c r="T121" i="14" s="1"/>
  <c r="U121" i="14"/>
  <c r="U43" i="9"/>
  <c r="S43" i="9"/>
  <c r="T43" i="9" s="1"/>
  <c r="V166" i="11"/>
  <c r="W166" i="11" s="1"/>
  <c r="AU166" i="11" s="1"/>
  <c r="X166" i="11"/>
  <c r="V130" i="11"/>
  <c r="W130" i="11" s="1"/>
  <c r="AU130" i="11" s="1"/>
  <c r="X130" i="11"/>
  <c r="V290" i="11"/>
  <c r="W290" i="11" s="1"/>
  <c r="AU290" i="11" s="1"/>
  <c r="X290" i="11"/>
  <c r="AA231" i="11"/>
  <c r="Y231" i="11"/>
  <c r="Z231" i="11" s="1"/>
  <c r="X187" i="11"/>
  <c r="V187" i="11"/>
  <c r="W187" i="11" s="1"/>
  <c r="AU187" i="11" s="1"/>
  <c r="U95" i="9"/>
  <c r="S95" i="9"/>
  <c r="T95" i="9" s="1"/>
  <c r="S29" i="9"/>
  <c r="T29" i="9" s="1"/>
  <c r="U29" i="9"/>
  <c r="P74" i="9"/>
  <c r="R74" i="9"/>
  <c r="V74" i="9" s="1"/>
  <c r="W74" i="9" s="1"/>
  <c r="P54" i="14"/>
  <c r="R54" i="14"/>
  <c r="V54" i="14" s="1"/>
  <c r="W54" i="14" s="1"/>
  <c r="U97" i="9"/>
  <c r="S97" i="9"/>
  <c r="T97" i="9" s="1"/>
  <c r="R102" i="9"/>
  <c r="V102" i="9" s="1"/>
  <c r="W102" i="9" s="1"/>
  <c r="P102" i="9"/>
  <c r="AA310" i="11"/>
  <c r="Y310" i="11"/>
  <c r="Z310" i="11" s="1"/>
  <c r="Y306" i="11"/>
  <c r="Z306" i="11" s="1"/>
  <c r="AA306" i="11"/>
  <c r="V108" i="11"/>
  <c r="W108" i="11" s="1"/>
  <c r="AU108" i="11" s="1"/>
  <c r="X108" i="11"/>
  <c r="R62" i="14"/>
  <c r="V62" i="14" s="1"/>
  <c r="W62" i="14" s="1"/>
  <c r="P62" i="14"/>
  <c r="U79" i="14"/>
  <c r="X79" i="14"/>
  <c r="AA237" i="11"/>
  <c r="Y237" i="11"/>
  <c r="Z237" i="11" s="1"/>
  <c r="V224" i="11"/>
  <c r="W224" i="11" s="1"/>
  <c r="AU224" i="11" s="1"/>
  <c r="X224" i="11"/>
  <c r="V103" i="11"/>
  <c r="W103" i="11" s="1"/>
  <c r="AU103" i="11" s="1"/>
  <c r="X103" i="11"/>
  <c r="Y334" i="11"/>
  <c r="Z334" i="11" s="1"/>
  <c r="AA334" i="11"/>
  <c r="S40" i="9"/>
  <c r="T40" i="9" s="1"/>
  <c r="U40" i="9"/>
  <c r="AA271" i="11"/>
  <c r="Y271" i="11"/>
  <c r="Z271" i="11" s="1"/>
  <c r="R55" i="9"/>
  <c r="V55" i="9" s="1"/>
  <c r="W55" i="9" s="1"/>
  <c r="P55" i="9"/>
  <c r="R90" i="9"/>
  <c r="V90" i="9" s="1"/>
  <c r="W90" i="9" s="1"/>
  <c r="P90" i="9"/>
  <c r="S49" i="14"/>
  <c r="T49" i="14" s="1"/>
  <c r="U49" i="14"/>
  <c r="X49" i="14"/>
  <c r="Y249" i="11"/>
  <c r="Z249" i="11" s="1"/>
  <c r="AA249" i="11"/>
  <c r="U75" i="9"/>
  <c r="S75" i="9"/>
  <c r="T75" i="9" s="1"/>
  <c r="AA140" i="11"/>
  <c r="Y140" i="11"/>
  <c r="Z140" i="11" s="1"/>
  <c r="S112" i="9"/>
  <c r="T112" i="9" s="1"/>
  <c r="U112" i="9"/>
  <c r="R115" i="9"/>
  <c r="V115" i="9" s="1"/>
  <c r="W115" i="9" s="1"/>
  <c r="P115" i="9"/>
  <c r="U65" i="9"/>
  <c r="S65" i="9"/>
  <c r="T65" i="9" s="1"/>
  <c r="Y125" i="11"/>
  <c r="Z125" i="11" s="1"/>
  <c r="AA125" i="11"/>
  <c r="V221" i="11"/>
  <c r="W221" i="11" s="1"/>
  <c r="AU221" i="11" s="1"/>
  <c r="X221" i="11"/>
  <c r="X220" i="11"/>
  <c r="V220" i="11"/>
  <c r="W220" i="11" s="1"/>
  <c r="AU220" i="11" s="1"/>
  <c r="U84" i="14"/>
  <c r="X84" i="14"/>
  <c r="U73" i="9"/>
  <c r="S73" i="9"/>
  <c r="T73" i="9" s="1"/>
  <c r="AA219" i="11"/>
  <c r="Y219" i="11"/>
  <c r="Z219" i="11" s="1"/>
  <c r="V52" i="11"/>
  <c r="W52" i="11" s="1"/>
  <c r="AU52" i="11" s="1"/>
  <c r="X52" i="11"/>
  <c r="R127" i="14"/>
  <c r="V127" i="14" s="1"/>
  <c r="W127" i="14" s="1"/>
  <c r="P127" i="14"/>
  <c r="V230" i="11"/>
  <c r="W230" i="11" s="1"/>
  <c r="AU230" i="11" s="1"/>
  <c r="X230" i="11"/>
  <c r="AA275" i="11"/>
  <c r="Y275" i="11"/>
  <c r="Z275" i="11" s="1"/>
  <c r="U46" i="14"/>
  <c r="X46" i="14"/>
  <c r="X50" i="11"/>
  <c r="V50" i="11"/>
  <c r="W50" i="11" s="1"/>
  <c r="AU50" i="11" s="1"/>
  <c r="S66" i="9"/>
  <c r="T66" i="9" s="1"/>
  <c r="U66" i="9"/>
  <c r="P53" i="14"/>
  <c r="R53" i="14"/>
  <c r="V53" i="14" s="1"/>
  <c r="W53" i="14" s="1"/>
  <c r="U33" i="14"/>
  <c r="X33" i="14"/>
  <c r="U49" i="9"/>
  <c r="S49" i="9"/>
  <c r="T49" i="9" s="1"/>
  <c r="S31" i="9"/>
  <c r="T31" i="9" s="1"/>
  <c r="U31" i="9"/>
  <c r="Y318" i="11"/>
  <c r="Z318" i="11" s="1"/>
  <c r="AA318" i="11"/>
  <c r="Y228" i="11"/>
  <c r="Z228" i="11" s="1"/>
  <c r="AA228" i="11"/>
  <c r="AA232" i="11"/>
  <c r="Y232" i="11"/>
  <c r="Z232" i="11" s="1"/>
  <c r="S109" i="9"/>
  <c r="T109" i="9" s="1"/>
  <c r="U109" i="9"/>
  <c r="AA162" i="11"/>
  <c r="Y162" i="11"/>
  <c r="Z162" i="11" s="1"/>
  <c r="AA308" i="11"/>
  <c r="Y308" i="11"/>
  <c r="Z308" i="11" s="1"/>
  <c r="U87" i="14"/>
  <c r="X87" i="14"/>
  <c r="AA132" i="11"/>
  <c r="Y132" i="11"/>
  <c r="Z132" i="11" s="1"/>
  <c r="V124" i="9"/>
  <c r="W124" i="9" s="1"/>
  <c r="Y146" i="11"/>
  <c r="Z146" i="11" s="1"/>
  <c r="AA146" i="11"/>
  <c r="V251" i="11"/>
  <c r="W251" i="11" s="1"/>
  <c r="AU251" i="11" s="1"/>
  <c r="X251" i="11"/>
  <c r="X121" i="9"/>
  <c r="R71" i="9"/>
  <c r="V71" i="9" s="1"/>
  <c r="W71" i="9" s="1"/>
  <c r="P71" i="9"/>
  <c r="V272" i="11"/>
  <c r="W272" i="11" s="1"/>
  <c r="AU272" i="11" s="1"/>
  <c r="X272" i="11"/>
  <c r="P62" i="9"/>
  <c r="R62" i="9"/>
  <c r="V62" i="9" s="1"/>
  <c r="W62" i="9" s="1"/>
  <c r="R122" i="14"/>
  <c r="V122" i="14" s="1"/>
  <c r="W122" i="14" s="1"/>
  <c r="P122" i="14"/>
  <c r="R47" i="9"/>
  <c r="V47" i="9" s="1"/>
  <c r="W47" i="9" s="1"/>
  <c r="P47" i="9"/>
  <c r="AA29" i="11"/>
  <c r="AD29" i="11"/>
  <c r="R65" i="14"/>
  <c r="V65" i="14" s="1"/>
  <c r="W65" i="14" s="1"/>
  <c r="P65" i="14"/>
  <c r="R97" i="9"/>
  <c r="V97" i="9" s="1"/>
  <c r="W97" i="9" s="1"/>
  <c r="P97" i="9"/>
  <c r="X119" i="11"/>
  <c r="V119" i="11"/>
  <c r="W119" i="11" s="1"/>
  <c r="AU119" i="11" s="1"/>
  <c r="V61" i="11"/>
  <c r="W61" i="11" s="1"/>
  <c r="AU61" i="11" s="1"/>
  <c r="X61" i="11"/>
  <c r="V223" i="11"/>
  <c r="W223" i="11" s="1"/>
  <c r="AU223" i="11" s="1"/>
  <c r="X223" i="11"/>
  <c r="U100" i="9"/>
  <c r="S100" i="9"/>
  <c r="T100" i="9" s="1"/>
  <c r="AA305" i="11"/>
  <c r="Y305" i="11"/>
  <c r="Z305" i="11" s="1"/>
  <c r="U48" i="14"/>
  <c r="X48" i="14"/>
  <c r="U126" i="14"/>
  <c r="S126" i="14"/>
  <c r="T126" i="14" s="1"/>
  <c r="V136" i="11"/>
  <c r="W136" i="11" s="1"/>
  <c r="AU136" i="11" s="1"/>
  <c r="X136" i="11"/>
  <c r="X134" i="11"/>
  <c r="V134" i="11"/>
  <c r="W134" i="11" s="1"/>
  <c r="AU134" i="11" s="1"/>
  <c r="V111" i="11"/>
  <c r="W111" i="11" s="1"/>
  <c r="AU111" i="11" s="1"/>
  <c r="X111" i="11"/>
  <c r="V194" i="11"/>
  <c r="W194" i="11" s="1"/>
  <c r="AU194" i="11" s="1"/>
  <c r="X194" i="11"/>
  <c r="R98" i="9"/>
  <c r="V98" i="9" s="1"/>
  <c r="W98" i="9" s="1"/>
  <c r="P98" i="9"/>
  <c r="U52" i="14"/>
  <c r="X52" i="14"/>
  <c r="AA137" i="11"/>
  <c r="Y137" i="11"/>
  <c r="Z137" i="11" s="1"/>
  <c r="X196" i="11"/>
  <c r="V196" i="11"/>
  <c r="W196" i="11" s="1"/>
  <c r="AU196" i="11" s="1"/>
  <c r="AA338" i="11"/>
  <c r="Y338" i="11"/>
  <c r="Z338" i="11" s="1"/>
  <c r="V64" i="11"/>
  <c r="W64" i="11" s="1"/>
  <c r="AU64" i="11" s="1"/>
  <c r="X64" i="11"/>
  <c r="Y199" i="11"/>
  <c r="Z199" i="11" s="1"/>
  <c r="AA199" i="11"/>
  <c r="P118" i="14"/>
  <c r="R118" i="14"/>
  <c r="V118" i="14" s="1"/>
  <c r="W118" i="14" s="1"/>
  <c r="AA247" i="11"/>
  <c r="Y247" i="11"/>
  <c r="Z247" i="11" s="1"/>
  <c r="V225" i="11"/>
  <c r="W225" i="11" s="1"/>
  <c r="AU225" i="11" s="1"/>
  <c r="X225" i="11"/>
  <c r="P100" i="9"/>
  <c r="R100" i="9"/>
  <c r="V100" i="9" s="1"/>
  <c r="W100" i="9" s="1"/>
  <c r="X105" i="11"/>
  <c r="V105" i="11"/>
  <c r="W105" i="11" s="1"/>
  <c r="AU105" i="11" s="1"/>
  <c r="AA288" i="11"/>
  <c r="Y288" i="11"/>
  <c r="Z288" i="11" s="1"/>
  <c r="AD26" i="11"/>
  <c r="AA26" i="11"/>
  <c r="AA239" i="11"/>
  <c r="Y239" i="11"/>
  <c r="Z239" i="11" s="1"/>
  <c r="R123" i="14"/>
  <c r="V123" i="14" s="1"/>
  <c r="W123" i="14" s="1"/>
  <c r="P123" i="14"/>
  <c r="Y225" i="11"/>
  <c r="Z225" i="11" s="1"/>
  <c r="AA225" i="11"/>
  <c r="Y198" i="11"/>
  <c r="Z198" i="11" s="1"/>
  <c r="AA198" i="11"/>
  <c r="AA315" i="11"/>
  <c r="Y315" i="11"/>
  <c r="Z315" i="11" s="1"/>
  <c r="S122" i="14"/>
  <c r="T122" i="14" s="1"/>
  <c r="U122" i="14"/>
  <c r="AA67" i="11"/>
  <c r="Y67" i="11"/>
  <c r="Z67" i="11" s="1"/>
  <c r="X90" i="11"/>
  <c r="V90" i="11"/>
  <c r="W90" i="11" s="1"/>
  <c r="AU90" i="11" s="1"/>
  <c r="R119" i="9"/>
  <c r="V119" i="9" s="1"/>
  <c r="W119" i="9" s="1"/>
  <c r="P119" i="9"/>
  <c r="AA301" i="11"/>
  <c r="Y301" i="11"/>
  <c r="Z301" i="11" s="1"/>
  <c r="Y296" i="11"/>
  <c r="Z296" i="11" s="1"/>
  <c r="AA296" i="11"/>
  <c r="U136" i="14"/>
  <c r="S136" i="14"/>
  <c r="T136" i="14" s="1"/>
  <c r="AA122" i="11"/>
  <c r="Y122" i="11"/>
  <c r="Z122" i="11" s="1"/>
  <c r="Y336" i="11"/>
  <c r="Z336" i="11" s="1"/>
  <c r="AA336" i="11"/>
  <c r="AA68" i="11"/>
  <c r="Y68" i="11"/>
  <c r="Z68" i="11" s="1"/>
  <c r="U94" i="14"/>
  <c r="X94" i="14"/>
  <c r="V101" i="11"/>
  <c r="W101" i="11" s="1"/>
  <c r="AU101" i="11" s="1"/>
  <c r="X101" i="11"/>
  <c r="X243" i="11"/>
  <c r="V243" i="11"/>
  <c r="W243" i="11" s="1"/>
  <c r="AU243" i="11" s="1"/>
  <c r="P91" i="9"/>
  <c r="R91" i="9"/>
  <c r="V91" i="9" s="1"/>
  <c r="W91" i="9" s="1"/>
  <c r="R93" i="9"/>
  <c r="V93" i="9" s="1"/>
  <c r="W93" i="9" s="1"/>
  <c r="P93" i="9"/>
  <c r="V291" i="11"/>
  <c r="W291" i="11" s="1"/>
  <c r="AU291" i="11" s="1"/>
  <c r="X291" i="11"/>
  <c r="V256" i="11"/>
  <c r="W256" i="11" s="1"/>
  <c r="AU256" i="11" s="1"/>
  <c r="X256" i="11"/>
  <c r="X110" i="11"/>
  <c r="V110" i="11"/>
  <c r="W110" i="11" s="1"/>
  <c r="AU110" i="11" s="1"/>
  <c r="AA270" i="11"/>
  <c r="Y270" i="11"/>
  <c r="Z270" i="11" s="1"/>
  <c r="X299" i="11"/>
  <c r="V299" i="11"/>
  <c r="W299" i="11" s="1"/>
  <c r="AU299" i="11" s="1"/>
  <c r="AA109" i="11"/>
  <c r="Y109" i="11"/>
  <c r="Z109" i="11" s="1"/>
  <c r="R61" i="9"/>
  <c r="V61" i="9" s="1"/>
  <c r="W61" i="9" s="1"/>
  <c r="P61" i="9"/>
  <c r="V242" i="11"/>
  <c r="W242" i="11" s="1"/>
  <c r="AU242" i="11" s="1"/>
  <c r="X242" i="11"/>
  <c r="AD28" i="11"/>
  <c r="AA28" i="11"/>
  <c r="Y286" i="11"/>
  <c r="Z286" i="11" s="1"/>
  <c r="AA286" i="11"/>
  <c r="X80" i="14"/>
  <c r="U80" i="14"/>
  <c r="Y329" i="11"/>
  <c r="Z329" i="11" s="1"/>
  <c r="AA329" i="11"/>
  <c r="U39" i="14"/>
  <c r="X39" i="14"/>
  <c r="Y240" i="11"/>
  <c r="Z240" i="11" s="1"/>
  <c r="AA240" i="11"/>
  <c r="X314" i="11"/>
  <c r="V314" i="11"/>
  <c r="W314" i="11" s="1"/>
  <c r="AU314" i="11" s="1"/>
  <c r="V80" i="11"/>
  <c r="W80" i="11" s="1"/>
  <c r="AU80" i="11" s="1"/>
  <c r="X80" i="11"/>
  <c r="Y81" i="11"/>
  <c r="Z81" i="11" s="1"/>
  <c r="AA81" i="11"/>
  <c r="V297" i="11"/>
  <c r="W297" i="11" s="1"/>
  <c r="AU297" i="11" s="1"/>
  <c r="X297" i="11"/>
  <c r="Y142" i="11"/>
  <c r="Z142" i="11" s="1"/>
  <c r="AA142" i="11"/>
  <c r="Y266" i="11"/>
  <c r="Z266" i="11" s="1"/>
  <c r="AA266" i="11"/>
  <c r="AA90" i="11"/>
  <c r="Y90" i="11"/>
  <c r="Z90" i="11" s="1"/>
  <c r="V102" i="11"/>
  <c r="W102" i="11" s="1"/>
  <c r="AU102" i="11" s="1"/>
  <c r="X102" i="11"/>
  <c r="X193" i="11"/>
  <c r="V193" i="11"/>
  <c r="W193" i="11" s="1"/>
  <c r="AU193" i="11" s="1"/>
  <c r="Y268" i="11"/>
  <c r="Z268" i="11" s="1"/>
  <c r="AA268" i="11"/>
  <c r="V320" i="11"/>
  <c r="W320" i="11" s="1"/>
  <c r="AU320" i="11" s="1"/>
  <c r="X320" i="11"/>
  <c r="Y337" i="11"/>
  <c r="Z337" i="11" s="1"/>
  <c r="AA337" i="11"/>
  <c r="Y330" i="11"/>
  <c r="Z330" i="11" s="1"/>
  <c r="AA330" i="11"/>
  <c r="V231" i="11"/>
  <c r="W231" i="11" s="1"/>
  <c r="AU231" i="11" s="1"/>
  <c r="X231" i="11"/>
  <c r="Y321" i="11"/>
  <c r="Z321" i="11" s="1"/>
  <c r="AA321" i="11"/>
  <c r="AA190" i="11"/>
  <c r="Y190" i="11"/>
  <c r="Z190" i="11" s="1"/>
  <c r="P83" i="14"/>
  <c r="Q83" i="14" s="1"/>
  <c r="R83" i="14"/>
  <c r="X177" i="11"/>
  <c r="V177" i="11"/>
  <c r="W177" i="11" s="1"/>
  <c r="AU177" i="11" s="1"/>
  <c r="V169" i="11"/>
  <c r="W169" i="11" s="1"/>
  <c r="AU169" i="11" s="1"/>
  <c r="X169" i="11"/>
  <c r="AA100" i="11"/>
  <c r="Y100" i="11"/>
  <c r="Z100" i="11" s="1"/>
  <c r="U42" i="14"/>
  <c r="X42" i="14"/>
  <c r="S111" i="9"/>
  <c r="T111" i="9" s="1"/>
  <c r="U111" i="9"/>
  <c r="P48" i="9"/>
  <c r="R48" i="9"/>
  <c r="V48" i="9" s="1"/>
  <c r="W48" i="9" s="1"/>
  <c r="X165" i="11"/>
  <c r="V165" i="11"/>
  <c r="W165" i="11" s="1"/>
  <c r="AU165" i="11" s="1"/>
  <c r="V191" i="11"/>
  <c r="W191" i="11" s="1"/>
  <c r="AU191" i="11" s="1"/>
  <c r="X191" i="11"/>
  <c r="AA333" i="11"/>
  <c r="Y333" i="11"/>
  <c r="Z333" i="11" s="1"/>
  <c r="AA326" i="11"/>
  <c r="Y326" i="11"/>
  <c r="Z326" i="11" s="1"/>
  <c r="S44" i="9"/>
  <c r="T44" i="9" s="1"/>
  <c r="U44" i="9"/>
  <c r="S39" i="9"/>
  <c r="T39" i="9" s="1"/>
  <c r="U39" i="9"/>
  <c r="S53" i="9"/>
  <c r="T53" i="9" s="1"/>
  <c r="U53" i="9"/>
  <c r="AA161" i="11"/>
  <c r="Y161" i="11"/>
  <c r="Z161" i="11" s="1"/>
  <c r="P110" i="9"/>
  <c r="R110" i="9"/>
  <c r="V110" i="9" s="1"/>
  <c r="W110" i="9" s="1"/>
  <c r="S30" i="9"/>
  <c r="T30" i="9" s="1"/>
  <c r="U30" i="9"/>
  <c r="V202" i="11"/>
  <c r="W202" i="11" s="1"/>
  <c r="AU202" i="11" s="1"/>
  <c r="X202" i="11"/>
  <c r="X124" i="9"/>
  <c r="U127" i="14"/>
  <c r="S127" i="14"/>
  <c r="T127" i="14" s="1"/>
  <c r="V121" i="9"/>
  <c r="W121" i="9" s="1"/>
  <c r="S6" i="1"/>
  <c r="AA6" i="1" s="1"/>
  <c r="U6" i="1"/>
  <c r="P68" i="9"/>
  <c r="R68" i="9"/>
  <c r="V68" i="9" s="1"/>
  <c r="W68" i="9" s="1"/>
  <c r="Z28" i="5"/>
  <c r="AA28" i="5"/>
  <c r="V282" i="11"/>
  <c r="W282" i="11" s="1"/>
  <c r="AU282" i="11" s="1"/>
  <c r="X282" i="11"/>
  <c r="AA245" i="11"/>
  <c r="Y245" i="11"/>
  <c r="Z245" i="11" s="1"/>
  <c r="AA141" i="11"/>
  <c r="Y141" i="11"/>
  <c r="Z141" i="11" s="1"/>
  <c r="V133" i="11"/>
  <c r="W133" i="11" s="1"/>
  <c r="AU133" i="11" s="1"/>
  <c r="X133" i="11"/>
  <c r="S137" i="14"/>
  <c r="T137" i="14" s="1"/>
  <c r="U137" i="14"/>
  <c r="P121" i="14"/>
  <c r="R121" i="14"/>
  <c r="V121" i="14" s="1"/>
  <c r="W121" i="14" s="1"/>
  <c r="X62" i="11"/>
  <c r="V62" i="11"/>
  <c r="W62" i="11" s="1"/>
  <c r="AU62" i="11" s="1"/>
  <c r="V118" i="11"/>
  <c r="W118" i="11" s="1"/>
  <c r="AU118" i="11" s="1"/>
  <c r="X118" i="11"/>
  <c r="Y314" i="11"/>
  <c r="Z314" i="11" s="1"/>
  <c r="AA314" i="11"/>
  <c r="S55" i="9"/>
  <c r="T55" i="9" s="1"/>
  <c r="U55" i="9"/>
  <c r="X180" i="11"/>
  <c r="V180" i="11"/>
  <c r="W180" i="11" s="1"/>
  <c r="AU180" i="11" s="1"/>
  <c r="X293" i="11"/>
  <c r="V293" i="11"/>
  <c r="W293" i="11" s="1"/>
  <c r="AU293" i="11" s="1"/>
  <c r="V208" i="11"/>
  <c r="W208" i="11" s="1"/>
  <c r="AU208" i="11" s="1"/>
  <c r="X208" i="11"/>
  <c r="U113" i="9"/>
  <c r="S113" i="9"/>
  <c r="T113" i="9" s="1"/>
  <c r="X93" i="11"/>
  <c r="V93" i="11"/>
  <c r="W93" i="11" s="1"/>
  <c r="AU93" i="11" s="1"/>
  <c r="U100" i="14"/>
  <c r="X100" i="14"/>
  <c r="P114" i="14"/>
  <c r="Q114" i="14" s="1"/>
  <c r="R114" i="14"/>
  <c r="Y297" i="11"/>
  <c r="Z297" i="11" s="1"/>
  <c r="AA297" i="11"/>
  <c r="U69" i="9"/>
  <c r="S69" i="9"/>
  <c r="T69" i="9" s="1"/>
  <c r="V288" i="11"/>
  <c r="W288" i="11" s="1"/>
  <c r="AU288" i="11" s="1"/>
  <c r="X288" i="11"/>
  <c r="P98" i="14"/>
  <c r="Q98" i="14" s="1"/>
  <c r="R98" i="14"/>
  <c r="Y54" i="11"/>
  <c r="Z54" i="11" s="1"/>
  <c r="AA54" i="11"/>
  <c r="X124" i="11"/>
  <c r="V124" i="11"/>
  <c r="W124" i="11" s="1"/>
  <c r="AU124" i="11" s="1"/>
  <c r="R68" i="14"/>
  <c r="V68" i="14" s="1"/>
  <c r="W68" i="14" s="1"/>
  <c r="P68" i="14"/>
  <c r="U94" i="9"/>
  <c r="S94" i="9"/>
  <c r="T94" i="9" s="1"/>
  <c r="X250" i="11"/>
  <c r="V250" i="11"/>
  <c r="W250" i="11" s="1"/>
  <c r="AU250" i="11" s="1"/>
  <c r="Y85" i="11"/>
  <c r="Z85" i="11" s="1"/>
  <c r="AA85" i="11"/>
  <c r="S62" i="14"/>
  <c r="T62" i="14" s="1"/>
  <c r="U62" i="14"/>
  <c r="U86" i="14"/>
  <c r="X86" i="14"/>
  <c r="X306" i="11"/>
  <c r="V306" i="11"/>
  <c r="W306" i="11" s="1"/>
  <c r="AU306" i="11" s="1"/>
  <c r="R125" i="14"/>
  <c r="V125" i="14" s="1"/>
  <c r="W125" i="14" s="1"/>
  <c r="P125" i="14"/>
  <c r="U32" i="14"/>
  <c r="X32" i="14"/>
  <c r="U85" i="14"/>
  <c r="X85" i="14"/>
  <c r="R138" i="14"/>
  <c r="V138" i="14" s="1"/>
  <c r="W138" i="14" s="1"/>
  <c r="P138" i="14"/>
  <c r="U101" i="14"/>
  <c r="X101" i="14"/>
  <c r="AA76" i="11"/>
  <c r="Y76" i="11"/>
  <c r="Z76" i="11" s="1"/>
  <c r="Y112" i="11"/>
  <c r="Z112" i="11" s="1"/>
  <c r="AA112" i="11"/>
  <c r="U56" i="14"/>
  <c r="X56" i="14"/>
  <c r="U57" i="14"/>
  <c r="X57" i="14"/>
  <c r="U125" i="9"/>
  <c r="S125" i="9"/>
  <c r="T125" i="9" s="1"/>
  <c r="AA129" i="11"/>
  <c r="Y129" i="11"/>
  <c r="Z129" i="11" s="1"/>
  <c r="U107" i="9"/>
  <c r="S107" i="9"/>
  <c r="T107" i="9" s="1"/>
  <c r="U58" i="14"/>
  <c r="X58" i="14"/>
  <c r="X63" i="11"/>
  <c r="V63" i="11"/>
  <c r="W63" i="11" s="1"/>
  <c r="AU63" i="11" s="1"/>
  <c r="X325" i="11"/>
  <c r="V325" i="11"/>
  <c r="W325" i="11" s="1"/>
  <c r="AU325" i="11" s="1"/>
  <c r="P107" i="9"/>
  <c r="R107" i="9"/>
  <c r="V107" i="9" s="1"/>
  <c r="W107" i="9" s="1"/>
  <c r="Y246" i="11"/>
  <c r="Z246" i="11" s="1"/>
  <c r="AA246" i="11"/>
  <c r="V300" i="11"/>
  <c r="W300" i="11" s="1"/>
  <c r="AU300" i="11" s="1"/>
  <c r="X300" i="11"/>
  <c r="Y118" i="11"/>
  <c r="Z118" i="11" s="1"/>
  <c r="AA118" i="11"/>
  <c r="U64" i="9"/>
  <c r="S64" i="9"/>
  <c r="T64" i="9" s="1"/>
  <c r="AA233" i="11"/>
  <c r="Y233" i="11"/>
  <c r="Z233" i="11" s="1"/>
  <c r="U91" i="14"/>
  <c r="X91" i="14"/>
  <c r="S69" i="14"/>
  <c r="T69" i="14" s="1"/>
  <c r="U69" i="14"/>
  <c r="X69" i="14"/>
  <c r="U124" i="9"/>
  <c r="S124" i="9"/>
  <c r="T124" i="9" s="1"/>
  <c r="AA324" i="11"/>
  <c r="Y324" i="11"/>
  <c r="Z324" i="11" s="1"/>
  <c r="AA327" i="11"/>
  <c r="Y327" i="11"/>
  <c r="Z327" i="11" s="1"/>
  <c r="R54" i="9"/>
  <c r="V54" i="9" s="1"/>
  <c r="W54" i="9" s="1"/>
  <c r="P54" i="9"/>
  <c r="X258" i="11"/>
  <c r="V258" i="11"/>
  <c r="W258" i="11" s="1"/>
  <c r="AU258" i="11" s="1"/>
  <c r="Y207" i="11"/>
  <c r="Z207" i="11" s="1"/>
  <c r="AA207" i="11"/>
  <c r="V326" i="11"/>
  <c r="W326" i="11" s="1"/>
  <c r="AU326" i="11" s="1"/>
  <c r="X326" i="11"/>
  <c r="P63" i="9"/>
  <c r="R63" i="9"/>
  <c r="V63" i="9" s="1"/>
  <c r="W63" i="9" s="1"/>
  <c r="AA212" i="11"/>
  <c r="Y212" i="11"/>
  <c r="Z212" i="11" s="1"/>
  <c r="AA172" i="11"/>
  <c r="Y172" i="11"/>
  <c r="Z172" i="11" s="1"/>
  <c r="S97" i="14"/>
  <c r="T97" i="14" s="1"/>
  <c r="U97" i="14"/>
  <c r="X97" i="14"/>
  <c r="U40" i="14"/>
  <c r="X40" i="14"/>
  <c r="U61" i="9"/>
  <c r="S61" i="9"/>
  <c r="T61" i="9" s="1"/>
  <c r="V211" i="11"/>
  <c r="W211" i="11" s="1"/>
  <c r="AU211" i="11" s="1"/>
  <c r="X211" i="11"/>
  <c r="X184" i="11"/>
  <c r="V184" i="11"/>
  <c r="W184" i="11" s="1"/>
  <c r="AU184" i="11" s="1"/>
  <c r="X215" i="11"/>
  <c r="V215" i="11"/>
  <c r="W215" i="11" s="1"/>
  <c r="AU215" i="11" s="1"/>
  <c r="R61" i="14"/>
  <c r="V61" i="14" s="1"/>
  <c r="W61" i="14" s="1"/>
  <c r="P61" i="14"/>
  <c r="Y279" i="11"/>
  <c r="Z279" i="11" s="1"/>
  <c r="AA279" i="11"/>
  <c r="V235" i="11"/>
  <c r="W235" i="11" s="1"/>
  <c r="AU235" i="11" s="1"/>
  <c r="X235" i="11"/>
  <c r="X305" i="11"/>
  <c r="V305" i="11"/>
  <c r="W305" i="11" s="1"/>
  <c r="AU305" i="11" s="1"/>
  <c r="AA202" i="11"/>
  <c r="Y202" i="11"/>
  <c r="Z202" i="11" s="1"/>
  <c r="X227" i="11"/>
  <c r="V227" i="11"/>
  <c r="W227" i="11" s="1"/>
  <c r="AU227" i="11" s="1"/>
  <c r="U68" i="14"/>
  <c r="S68" i="14"/>
  <c r="T68" i="14" s="1"/>
  <c r="X217" i="11"/>
  <c r="V217" i="11"/>
  <c r="W217" i="11" s="1"/>
  <c r="AU217" i="11" s="1"/>
  <c r="V267" i="11"/>
  <c r="W267" i="11" s="1"/>
  <c r="AU267" i="11" s="1"/>
  <c r="X267" i="11"/>
  <c r="U90" i="9"/>
  <c r="S90" i="9"/>
  <c r="T90" i="9" s="1"/>
  <c r="U84" i="9"/>
  <c r="S84" i="9"/>
  <c r="T84" i="9" s="1"/>
  <c r="V122" i="11"/>
  <c r="W122" i="11" s="1"/>
  <c r="AU122" i="11" s="1"/>
  <c r="X122" i="11"/>
  <c r="R126" i="14"/>
  <c r="V126" i="14" s="1"/>
  <c r="W126" i="14" s="1"/>
  <c r="P126" i="14"/>
  <c r="AA312" i="11"/>
  <c r="Y312" i="11"/>
  <c r="Z312" i="11" s="1"/>
  <c r="Y289" i="11"/>
  <c r="Z289" i="11" s="1"/>
  <c r="AA289" i="11"/>
  <c r="AA56" i="11"/>
  <c r="Y56" i="11"/>
  <c r="Z56" i="11" s="1"/>
  <c r="AA201" i="11"/>
  <c r="Y201" i="11"/>
  <c r="Z201" i="11" s="1"/>
  <c r="U30" i="14"/>
  <c r="X30" i="14"/>
  <c r="AA300" i="11"/>
  <c r="Y300" i="11"/>
  <c r="Z300" i="11" s="1"/>
  <c r="S118" i="14"/>
  <c r="T118" i="14" s="1"/>
  <c r="U118" i="14"/>
  <c r="R114" i="9"/>
  <c r="V114" i="9" s="1"/>
  <c r="W114" i="9" s="1"/>
  <c r="P114" i="9"/>
  <c r="X76" i="11"/>
  <c r="V76" i="11"/>
  <c r="W76" i="11" s="1"/>
  <c r="AU76" i="11" s="1"/>
  <c r="V226" i="11"/>
  <c r="W226" i="11" s="1"/>
  <c r="AU226" i="11" s="1"/>
  <c r="X226" i="11"/>
  <c r="U70" i="9"/>
  <c r="S70" i="9"/>
  <c r="T70" i="9" s="1"/>
  <c r="U119" i="9"/>
  <c r="S119" i="9"/>
  <c r="T119" i="9" s="1"/>
  <c r="Y168" i="11"/>
  <c r="Z168" i="11" s="1"/>
  <c r="AA168" i="11"/>
  <c r="R72" i="9"/>
  <c r="V72" i="9" s="1"/>
  <c r="W72" i="9" s="1"/>
  <c r="P72" i="9"/>
  <c r="P78" i="9"/>
  <c r="R78" i="9"/>
  <c r="V78" i="9" s="1"/>
  <c r="W78" i="9" s="1"/>
  <c r="AA95" i="11"/>
  <c r="Y95" i="11"/>
  <c r="Z95" i="11" s="1"/>
  <c r="AA256" i="11"/>
  <c r="Y256" i="11"/>
  <c r="Z256" i="11" s="1"/>
  <c r="AA164" i="11"/>
  <c r="Y164" i="11"/>
  <c r="Z164" i="11" s="1"/>
  <c r="Y94" i="11"/>
  <c r="Z94" i="11" s="1"/>
  <c r="AA94" i="11"/>
  <c r="U38" i="9"/>
  <c r="S38" i="9"/>
  <c r="T38" i="9" s="1"/>
  <c r="V241" i="11"/>
  <c r="W241" i="11" s="1"/>
  <c r="AU241" i="11" s="1"/>
  <c r="X241" i="11"/>
  <c r="AA96" i="11"/>
  <c r="Y96" i="11"/>
  <c r="Z96" i="11" s="1"/>
  <c r="P65" i="9"/>
  <c r="R65" i="9"/>
  <c r="V65" i="9" s="1"/>
  <c r="W65" i="9" s="1"/>
  <c r="Y173" i="11"/>
  <c r="Z173" i="11" s="1"/>
  <c r="AA173" i="11"/>
  <c r="X174" i="11"/>
  <c r="V174" i="11"/>
  <c r="W174" i="11" s="1"/>
  <c r="AU174" i="11" s="1"/>
  <c r="V266" i="11"/>
  <c r="W266" i="11" s="1"/>
  <c r="AU266" i="11" s="1"/>
  <c r="X266" i="11"/>
  <c r="R116" i="9"/>
  <c r="V116" i="9" s="1"/>
  <c r="W116" i="9" s="1"/>
  <c r="P116" i="9"/>
  <c r="AT78" i="11"/>
  <c r="AD78" i="11"/>
  <c r="U55" i="14"/>
  <c r="X55" i="14"/>
  <c r="Y250" i="11"/>
  <c r="Z250" i="11" s="1"/>
  <c r="AA250" i="11"/>
  <c r="P46" i="9"/>
  <c r="R46" i="9"/>
  <c r="V46" i="9" s="1"/>
  <c r="W46" i="9" s="1"/>
  <c r="AA194" i="11"/>
  <c r="Y194" i="11"/>
  <c r="Z194" i="11" s="1"/>
  <c r="X142" i="11"/>
  <c r="V142" i="11"/>
  <c r="W142" i="11" s="1"/>
  <c r="AU142" i="11" s="1"/>
  <c r="X126" i="11"/>
  <c r="V126" i="11"/>
  <c r="W126" i="11" s="1"/>
  <c r="AU126" i="11" s="1"/>
  <c r="U77" i="14"/>
  <c r="X77" i="14"/>
  <c r="V210" i="11"/>
  <c r="W210" i="11" s="1"/>
  <c r="AU210" i="11" s="1"/>
  <c r="X210" i="11"/>
  <c r="X270" i="11"/>
  <c r="V270" i="11"/>
  <c r="W270" i="11" s="1"/>
  <c r="AU270" i="11" s="1"/>
  <c r="U82" i="14"/>
  <c r="X82" i="14"/>
  <c r="V113" i="11"/>
  <c r="W113" i="11" s="1"/>
  <c r="AU113" i="11" s="1"/>
  <c r="X113" i="11"/>
  <c r="X207" i="11"/>
  <c r="V207" i="11"/>
  <c r="W207" i="11" s="1"/>
  <c r="AU207" i="11" s="1"/>
  <c r="AA147" i="11"/>
  <c r="Y147" i="11"/>
  <c r="Z147" i="11" s="1"/>
  <c r="V287" i="11"/>
  <c r="W287" i="11" s="1"/>
  <c r="AU287" i="11" s="1"/>
  <c r="X287" i="11"/>
  <c r="P125" i="9"/>
  <c r="R125" i="9"/>
  <c r="V125" i="9" s="1"/>
  <c r="W125" i="9" s="1"/>
  <c r="X128" i="11"/>
  <c r="V128" i="11"/>
  <c r="W128" i="11" s="1"/>
  <c r="AU128" i="11" s="1"/>
  <c r="U118" i="9"/>
  <c r="S118" i="9"/>
  <c r="T118" i="9" s="1"/>
  <c r="AA27" i="11"/>
  <c r="AD27" i="11"/>
  <c r="Y287" i="11"/>
  <c r="Z287" i="11" s="1"/>
  <c r="AA287" i="11"/>
  <c r="V115" i="11"/>
  <c r="W115" i="11" s="1"/>
  <c r="AU115" i="11" s="1"/>
  <c r="X115" i="11"/>
  <c r="U35" i="9"/>
  <c r="S35" i="9"/>
  <c r="T35" i="9" s="1"/>
  <c r="R38" i="9"/>
  <c r="V38" i="9" s="1"/>
  <c r="W38" i="9" s="1"/>
  <c r="P38" i="9"/>
  <c r="U27" i="14"/>
  <c r="X27" i="14"/>
  <c r="P81" i="9"/>
  <c r="R81" i="9"/>
  <c r="V81" i="9" s="1"/>
  <c r="W81" i="9" s="1"/>
  <c r="R50" i="9"/>
  <c r="V50" i="9" s="1"/>
  <c r="W50" i="9" s="1"/>
  <c r="P50" i="9"/>
  <c r="Y50" i="11"/>
  <c r="Z50" i="11" s="1"/>
  <c r="AA50" i="11"/>
  <c r="U112" i="14"/>
  <c r="X112" i="14"/>
  <c r="AA317" i="11"/>
  <c r="Y317" i="11"/>
  <c r="Z317" i="11" s="1"/>
  <c r="AA319" i="11"/>
  <c r="Y319" i="11"/>
  <c r="Z319" i="11" s="1"/>
  <c r="Y236" i="11"/>
  <c r="Z236" i="11" s="1"/>
  <c r="AA236" i="11"/>
  <c r="Y298" i="11"/>
  <c r="Z298" i="11" s="1"/>
  <c r="AA298" i="11"/>
  <c r="P96" i="14"/>
  <c r="R96" i="14"/>
  <c r="S124" i="14"/>
  <c r="T124" i="14" s="1"/>
  <c r="U124" i="14"/>
  <c r="P32" i="9"/>
  <c r="R32" i="9"/>
  <c r="V32" i="9" s="1"/>
  <c r="W32" i="9" s="1"/>
  <c r="AA174" i="11"/>
  <c r="Y174" i="11"/>
  <c r="Z174" i="11" s="1"/>
  <c r="V127" i="11"/>
  <c r="W127" i="11" s="1"/>
  <c r="AU127" i="11" s="1"/>
  <c r="X127" i="11"/>
  <c r="Y181" i="11"/>
  <c r="Z181" i="11" s="1"/>
  <c r="AA181" i="11"/>
  <c r="Y193" i="11"/>
  <c r="Z193" i="11" s="1"/>
  <c r="AA193" i="11"/>
  <c r="AA292" i="11"/>
  <c r="Y292" i="11"/>
  <c r="Z292" i="11" s="1"/>
  <c r="U109" i="14"/>
  <c r="X109" i="14"/>
  <c r="X311" i="11"/>
  <c r="V311" i="11"/>
  <c r="W311" i="11" s="1"/>
  <c r="AU311" i="11" s="1"/>
  <c r="P106" i="9"/>
  <c r="R106" i="9"/>
  <c r="V106" i="9" s="1"/>
  <c r="W106" i="9" s="1"/>
  <c r="Y110" i="11"/>
  <c r="Z110" i="11" s="1"/>
  <c r="AA110" i="11"/>
  <c r="R40" i="9"/>
  <c r="V40" i="9" s="1"/>
  <c r="W40" i="9" s="1"/>
  <c r="P40" i="9"/>
  <c r="AA307" i="11"/>
  <c r="Y307" i="11"/>
  <c r="Z307" i="11" s="1"/>
  <c r="V336" i="11"/>
  <c r="W336" i="11" s="1"/>
  <c r="AU336" i="11" s="1"/>
  <c r="X336" i="11"/>
  <c r="V260" i="11"/>
  <c r="W260" i="11" s="1"/>
  <c r="AU260" i="11" s="1"/>
  <c r="X260" i="11"/>
  <c r="X114" i="11"/>
  <c r="V114" i="11"/>
  <c r="W114" i="11" s="1"/>
  <c r="AU114" i="11" s="1"/>
  <c r="Y285" i="11"/>
  <c r="Z285" i="11" s="1"/>
  <c r="AA285" i="11"/>
  <c r="AA139" i="11"/>
  <c r="Y139" i="11"/>
  <c r="Z139" i="11" s="1"/>
  <c r="U76" i="9"/>
  <c r="S76" i="9"/>
  <c r="T76" i="9" s="1"/>
  <c r="Y102" i="11"/>
  <c r="Z102" i="11" s="1"/>
  <c r="AA102" i="11"/>
  <c r="R75" i="9"/>
  <c r="V75" i="9" s="1"/>
  <c r="W75" i="9" s="1"/>
  <c r="P75" i="9"/>
  <c r="X209" i="11"/>
  <c r="V209" i="11"/>
  <c r="W209" i="11" s="1"/>
  <c r="AU209" i="11" s="1"/>
  <c r="Y101" i="11"/>
  <c r="Z101" i="11" s="1"/>
  <c r="AA101" i="11"/>
  <c r="V307" i="11"/>
  <c r="W307" i="11" s="1"/>
  <c r="AU307" i="11" s="1"/>
  <c r="X307" i="11"/>
  <c r="R36" i="9"/>
  <c r="V36" i="9" s="1"/>
  <c r="W36" i="9" s="1"/>
  <c r="P36" i="9"/>
  <c r="V203" i="11"/>
  <c r="W203" i="11" s="1"/>
  <c r="AU203" i="11" s="1"/>
  <c r="X203" i="11"/>
  <c r="V310" i="11"/>
  <c r="W310" i="11" s="1"/>
  <c r="AU310" i="11" s="1"/>
  <c r="X310" i="11"/>
  <c r="X252" i="11"/>
  <c r="V252" i="11"/>
  <c r="W252" i="11" s="1"/>
  <c r="AU252" i="11" s="1"/>
  <c r="AA189" i="11"/>
  <c r="Y189" i="11"/>
  <c r="Z189" i="11" s="1"/>
  <c r="Y55" i="11"/>
  <c r="Z55" i="11" s="1"/>
  <c r="AA55" i="11"/>
  <c r="AA280" i="11"/>
  <c r="Y280" i="11"/>
  <c r="Z280" i="11" s="1"/>
  <c r="V192" i="11"/>
  <c r="W192" i="11" s="1"/>
  <c r="AU192" i="11" s="1"/>
  <c r="X192" i="11"/>
  <c r="R119" i="14"/>
  <c r="V119" i="14" s="1"/>
  <c r="W119" i="14" s="1"/>
  <c r="P119" i="14"/>
  <c r="R28" i="9"/>
  <c r="V28" i="9" s="1"/>
  <c r="W28" i="9" s="1"/>
  <c r="P28" i="9"/>
  <c r="Y160" i="11"/>
  <c r="Z160" i="11" s="1"/>
  <c r="AA160" i="11"/>
  <c r="V98" i="11"/>
  <c r="W98" i="11" s="1"/>
  <c r="AU98" i="11" s="1"/>
  <c r="X98" i="11"/>
  <c r="AA253" i="11"/>
  <c r="Y253" i="11"/>
  <c r="Z253" i="11" s="1"/>
  <c r="AA92" i="11"/>
  <c r="Y92" i="11"/>
  <c r="Z92" i="11" s="1"/>
  <c r="X100" i="11"/>
  <c r="V100" i="11"/>
  <c r="W100" i="11" s="1"/>
  <c r="AU100" i="11" s="1"/>
  <c r="R42" i="9"/>
  <c r="V42" i="9" s="1"/>
  <c r="W42" i="9" s="1"/>
  <c r="P42" i="9"/>
  <c r="X69" i="11"/>
  <c r="V69" i="11"/>
  <c r="W69" i="11" s="1"/>
  <c r="AU69" i="11" s="1"/>
  <c r="X285" i="11"/>
  <c r="V285" i="11"/>
  <c r="W285" i="11" s="1"/>
  <c r="AU285" i="11" s="1"/>
  <c r="X104" i="11"/>
  <c r="V104" i="11"/>
  <c r="W104" i="11" s="1"/>
  <c r="AU104" i="11" s="1"/>
  <c r="S117" i="14"/>
  <c r="T117" i="14" s="1"/>
  <c r="U117" i="14"/>
  <c r="P120" i="9"/>
  <c r="R120" i="9"/>
  <c r="V120" i="9" s="1"/>
  <c r="W120" i="9" s="1"/>
  <c r="S92" i="14"/>
  <c r="T92" i="14" s="1"/>
  <c r="U92" i="14"/>
  <c r="X92" i="14"/>
  <c r="AA179" i="11"/>
  <c r="AD179" i="11"/>
  <c r="AA273" i="11"/>
  <c r="Y273" i="11"/>
  <c r="Z273" i="11" s="1"/>
  <c r="V273" i="11"/>
  <c r="W273" i="11" s="1"/>
  <c r="AU273" i="11" s="1"/>
  <c r="X273" i="11"/>
  <c r="U88" i="14"/>
  <c r="X88" i="14"/>
  <c r="AA320" i="11"/>
  <c r="Y320" i="11"/>
  <c r="Z320" i="11" s="1"/>
  <c r="AA178" i="11"/>
  <c r="Y178" i="11"/>
  <c r="Z178" i="11" s="1"/>
  <c r="X319" i="11"/>
  <c r="V319" i="11"/>
  <c r="W319" i="11" s="1"/>
  <c r="AU319" i="11" s="1"/>
  <c r="Y309" i="11"/>
  <c r="Z309" i="11" s="1"/>
  <c r="AA309" i="11"/>
  <c r="V121" i="11"/>
  <c r="W121" i="11" s="1"/>
  <c r="AU121" i="11" s="1"/>
  <c r="X121" i="11"/>
  <c r="P43" i="9"/>
  <c r="R43" i="9"/>
  <c r="V43" i="9" s="1"/>
  <c r="W43" i="9" s="1"/>
  <c r="U29" i="14"/>
  <c r="X29" i="14"/>
  <c r="U123" i="14"/>
  <c r="S123" i="14"/>
  <c r="T123" i="14" s="1"/>
  <c r="U36" i="14"/>
  <c r="X36" i="14"/>
  <c r="P70" i="14"/>
  <c r="R70" i="14"/>
  <c r="V70" i="14" s="1"/>
  <c r="W70" i="14" s="1"/>
  <c r="U72" i="14"/>
  <c r="X72" i="14"/>
  <c r="Y263" i="11"/>
  <c r="Z263" i="11" s="1"/>
  <c r="AB263" i="11"/>
  <c r="AC263" i="11" s="1"/>
  <c r="Y63" i="11"/>
  <c r="Z63" i="11" s="1"/>
  <c r="AA63" i="11"/>
  <c r="Y52" i="11"/>
  <c r="Z52" i="11" s="1"/>
  <c r="AA52" i="11"/>
  <c r="P73" i="9"/>
  <c r="R73" i="9"/>
  <c r="V73" i="9" s="1"/>
  <c r="W73" i="9" s="1"/>
  <c r="Y216" i="11"/>
  <c r="Z216" i="11" s="1"/>
  <c r="AA216" i="11"/>
  <c r="U46" i="9"/>
  <c r="S46" i="9"/>
  <c r="T46" i="9" s="1"/>
  <c r="P117" i="9"/>
  <c r="R117" i="9"/>
  <c r="V117" i="9" s="1"/>
  <c r="W117" i="9" s="1"/>
  <c r="AA211" i="11"/>
  <c r="Y211" i="11"/>
  <c r="Z211" i="11" s="1"/>
  <c r="AA272" i="11"/>
  <c r="Y272" i="11"/>
  <c r="Z272" i="11" s="1"/>
  <c r="U81" i="9"/>
  <c r="S81" i="9"/>
  <c r="T81" i="9" s="1"/>
  <c r="U45" i="9"/>
  <c r="S45" i="9"/>
  <c r="T45" i="9" s="1"/>
  <c r="U42" i="9"/>
  <c r="S42" i="9"/>
  <c r="T42" i="9" s="1"/>
  <c r="AA34" i="5"/>
  <c r="Z34" i="5"/>
  <c r="Y83" i="11"/>
  <c r="Z83" i="11" s="1"/>
  <c r="AA83" i="11"/>
  <c r="AV135" i="11"/>
  <c r="AB135" i="11"/>
  <c r="AC135" i="11" s="1"/>
  <c r="F135" i="12"/>
  <c r="G135" i="12" s="1"/>
  <c r="AV148" i="11"/>
  <c r="P7" i="9"/>
  <c r="Q7" i="9" s="1"/>
  <c r="R7" i="9"/>
  <c r="P7" i="14"/>
  <c r="R7" i="14"/>
  <c r="AV6" i="11"/>
  <c r="AA37" i="11"/>
  <c r="AD37" i="11"/>
  <c r="Z74" i="10"/>
  <c r="AC74" i="10"/>
  <c r="O39" i="16"/>
  <c r="M39" i="16"/>
  <c r="AA152" i="11"/>
  <c r="AD152" i="11"/>
  <c r="AA156" i="11"/>
  <c r="AD156" i="11"/>
  <c r="R17" i="14"/>
  <c r="P17" i="14"/>
  <c r="S7" i="9"/>
  <c r="T7" i="9" s="1"/>
  <c r="U132" i="14"/>
  <c r="S132" i="14"/>
  <c r="T132" i="14" s="1"/>
  <c r="V18" i="11"/>
  <c r="W18" i="11" s="1"/>
  <c r="AU18" i="11" s="1"/>
  <c r="X18" i="11"/>
  <c r="Y16" i="11"/>
  <c r="Z16" i="11" s="1"/>
  <c r="AA16" i="11"/>
  <c r="U20" i="14"/>
  <c r="S20" i="14"/>
  <c r="T20" i="14" s="1"/>
  <c r="AA13" i="11"/>
  <c r="AD13" i="11"/>
  <c r="X30" i="10"/>
  <c r="Y30" i="10" s="1"/>
  <c r="Z30" i="10"/>
  <c r="U13" i="9"/>
  <c r="S13" i="9"/>
  <c r="T13" i="9" s="1"/>
  <c r="O45" i="16"/>
  <c r="M45" i="16"/>
  <c r="Y5" i="1"/>
  <c r="V5" i="1"/>
  <c r="P27" i="9"/>
  <c r="R27" i="9"/>
  <c r="V27" i="9" s="1"/>
  <c r="W27" i="9" s="1"/>
  <c r="S26" i="9"/>
  <c r="T26" i="9" s="1"/>
  <c r="U26" i="9"/>
  <c r="V17" i="11"/>
  <c r="W17" i="11" s="1"/>
  <c r="AU17" i="11" s="1"/>
  <c r="X17" i="11"/>
  <c r="Z150" i="10"/>
  <c r="AC150" i="10"/>
  <c r="Z10" i="10"/>
  <c r="AC10" i="10"/>
  <c r="S90" i="5"/>
  <c r="Q90" i="5"/>
  <c r="R90" i="5" s="1"/>
  <c r="Z5" i="10"/>
  <c r="AC5" i="10"/>
  <c r="AA148" i="11"/>
  <c r="AD148" i="11"/>
  <c r="AA36" i="11"/>
  <c r="AD36" i="11"/>
  <c r="R21" i="14"/>
  <c r="P21" i="14"/>
  <c r="S135" i="14"/>
  <c r="T135" i="14" s="1"/>
  <c r="U135" i="14"/>
  <c r="R26" i="14"/>
  <c r="P26" i="14"/>
  <c r="AA149" i="11"/>
  <c r="AD149" i="11"/>
  <c r="AA21" i="11"/>
  <c r="Y21" i="11"/>
  <c r="Z21" i="11" s="1"/>
  <c r="P14" i="9"/>
  <c r="R14" i="9"/>
  <c r="V14" i="9" s="1"/>
  <c r="W14" i="9" s="1"/>
  <c r="R11" i="14"/>
  <c r="P11" i="14"/>
  <c r="S16" i="14"/>
  <c r="T16" i="14" s="1"/>
  <c r="U16" i="14"/>
  <c r="Z151" i="10"/>
  <c r="AC151" i="10"/>
  <c r="S14" i="14"/>
  <c r="T14" i="14" s="1"/>
  <c r="U14" i="14"/>
  <c r="U10" i="9"/>
  <c r="S10" i="9"/>
  <c r="T10" i="9" s="1"/>
  <c r="U58" i="9"/>
  <c r="S58" i="9"/>
  <c r="T58" i="9" s="1"/>
  <c r="R12" i="14"/>
  <c r="P12" i="14"/>
  <c r="X23" i="11"/>
  <c r="V23" i="11"/>
  <c r="W23" i="11" s="1"/>
  <c r="AU23" i="11" s="1"/>
  <c r="P18" i="14"/>
  <c r="R18" i="14"/>
  <c r="Y47" i="11"/>
  <c r="Z47" i="11" s="1"/>
  <c r="AA47" i="11"/>
  <c r="S134" i="14"/>
  <c r="T134" i="14" s="1"/>
  <c r="U134" i="14"/>
  <c r="P58" i="9"/>
  <c r="R58" i="9"/>
  <c r="V58" i="9" s="1"/>
  <c r="W58" i="9" s="1"/>
  <c r="Z146" i="10"/>
  <c r="AC146" i="10"/>
  <c r="Q87" i="5"/>
  <c r="R87" i="5" s="1"/>
  <c r="S87" i="5"/>
  <c r="AA35" i="11"/>
  <c r="AD35" i="11"/>
  <c r="AD150" i="11"/>
  <c r="AA150" i="11"/>
  <c r="P92" i="5"/>
  <c r="N92" i="5"/>
  <c r="O92" i="5" s="1"/>
  <c r="U29" i="10"/>
  <c r="V29" i="10" s="1"/>
  <c r="AT29" i="10" s="1"/>
  <c r="W29" i="10"/>
  <c r="AU29" i="10" s="1"/>
  <c r="O46" i="16"/>
  <c r="M46" i="16"/>
  <c r="R24" i="14"/>
  <c r="P24" i="14"/>
  <c r="AC15" i="10"/>
  <c r="Z15" i="10"/>
  <c r="R57" i="9"/>
  <c r="V57" i="9" s="1"/>
  <c r="W57" i="9" s="1"/>
  <c r="P57" i="9"/>
  <c r="S22" i="9"/>
  <c r="T22" i="9" s="1"/>
  <c r="U22" i="9"/>
  <c r="P90" i="5"/>
  <c r="N90" i="5"/>
  <c r="O90" i="5" s="1"/>
  <c r="N49" i="5"/>
  <c r="O49" i="5" s="1"/>
  <c r="P49" i="5"/>
  <c r="U12" i="14"/>
  <c r="S12" i="14"/>
  <c r="T12" i="14" s="1"/>
  <c r="U142" i="14"/>
  <c r="S142" i="14"/>
  <c r="T142" i="14" s="1"/>
  <c r="N88" i="5"/>
  <c r="O88" i="5" s="1"/>
  <c r="P88" i="5"/>
  <c r="AA7" i="11"/>
  <c r="AD7" i="11"/>
  <c r="U140" i="14"/>
  <c r="S140" i="14"/>
  <c r="T140" i="14" s="1"/>
  <c r="T65" i="1"/>
  <c r="AN65" i="1" s="1"/>
  <c r="AM65" i="1"/>
  <c r="AA65" i="1"/>
  <c r="Y118" i="1"/>
  <c r="Z118" i="1" s="1"/>
  <c r="V118" i="1"/>
  <c r="W118" i="1" s="1"/>
  <c r="AM58" i="1"/>
  <c r="T58" i="1"/>
  <c r="AN58" i="1" s="1"/>
  <c r="AA58" i="1"/>
  <c r="Y147" i="1"/>
  <c r="Z147" i="1" s="1"/>
  <c r="V147" i="1"/>
  <c r="W147" i="1" s="1"/>
  <c r="V181" i="1"/>
  <c r="W181" i="1" s="1"/>
  <c r="Y181" i="1"/>
  <c r="Z181" i="1" s="1"/>
  <c r="T85" i="1"/>
  <c r="AN85" i="1" s="1"/>
  <c r="AM85" i="1"/>
  <c r="AA85" i="1"/>
  <c r="Y115" i="1"/>
  <c r="Z115" i="1" s="1"/>
  <c r="V115" i="1"/>
  <c r="W115" i="1" s="1"/>
  <c r="W91" i="1"/>
  <c r="Z91" i="1"/>
  <c r="AM155" i="1"/>
  <c r="AA155" i="1"/>
  <c r="T155" i="1"/>
  <c r="AN155" i="1" s="1"/>
  <c r="V75" i="1"/>
  <c r="W75" i="1" s="1"/>
  <c r="Y75" i="1"/>
  <c r="Z75" i="1" s="1"/>
  <c r="Y97" i="1"/>
  <c r="Z97" i="1" s="1"/>
  <c r="V97" i="1"/>
  <c r="W97" i="1" s="1"/>
  <c r="AA47" i="1"/>
  <c r="X47" i="1"/>
  <c r="AA188" i="1"/>
  <c r="AM188" i="1"/>
  <c r="T188" i="1"/>
  <c r="AN188" i="1" s="1"/>
  <c r="O19" i="16"/>
  <c r="M19" i="16"/>
  <c r="P38" i="16"/>
  <c r="R38" i="16"/>
  <c r="AA80" i="1"/>
  <c r="AM80" i="1"/>
  <c r="T80" i="1"/>
  <c r="AN80" i="1" s="1"/>
  <c r="AM140" i="1"/>
  <c r="T140" i="1"/>
  <c r="AN140" i="1" s="1"/>
  <c r="AA140" i="1"/>
  <c r="AM184" i="1"/>
  <c r="AA184" i="1"/>
  <c r="T184" i="1"/>
  <c r="AN184" i="1" s="1"/>
  <c r="AM79" i="1"/>
  <c r="AA79" i="1"/>
  <c r="T79" i="1"/>
  <c r="AN79" i="1" s="1"/>
  <c r="Y53" i="1"/>
  <c r="Z53" i="1" s="1"/>
  <c r="V53" i="1"/>
  <c r="W53" i="1" s="1"/>
  <c r="AM139" i="1"/>
  <c r="AA139" i="1"/>
  <c r="T139" i="1"/>
  <c r="AN139" i="1" s="1"/>
  <c r="P9" i="16"/>
  <c r="R9" i="16"/>
  <c r="AM55" i="1"/>
  <c r="AA55" i="1"/>
  <c r="T55" i="1"/>
  <c r="AN55" i="1" s="1"/>
  <c r="O66" i="16"/>
  <c r="M66" i="16"/>
  <c r="V65" i="1"/>
  <c r="W65" i="1" s="1"/>
  <c r="Y65" i="1"/>
  <c r="Z65" i="1" s="1"/>
  <c r="AA157" i="1"/>
  <c r="AM157" i="1"/>
  <c r="T157" i="1"/>
  <c r="AN157" i="1" s="1"/>
  <c r="V50" i="1"/>
  <c r="W50" i="1" s="1"/>
  <c r="Y50" i="1"/>
  <c r="Z50" i="1" s="1"/>
  <c r="AM179" i="1"/>
  <c r="AA179" i="1"/>
  <c r="T179" i="1"/>
  <c r="AN179" i="1" s="1"/>
  <c r="X123" i="1"/>
  <c r="V123" i="1"/>
  <c r="W123" i="1" s="1"/>
  <c r="M53" i="16"/>
  <c r="O53" i="16"/>
  <c r="AM8" i="1"/>
  <c r="T8" i="1"/>
  <c r="AN8" i="1" s="1"/>
  <c r="AA8" i="1"/>
  <c r="X136" i="1"/>
  <c r="AA136" i="1"/>
  <c r="T169" i="1"/>
  <c r="AN169" i="1" s="1"/>
  <c r="AM169" i="1"/>
  <c r="AA169" i="1"/>
  <c r="T181" i="1"/>
  <c r="AN181" i="1" s="1"/>
  <c r="AM181" i="1"/>
  <c r="AA181" i="1"/>
  <c r="T196" i="1"/>
  <c r="AN196" i="1" s="1"/>
  <c r="AA196" i="1"/>
  <c r="AM196" i="1"/>
  <c r="T88" i="1"/>
  <c r="AN88" i="1" s="1"/>
  <c r="AA88" i="1"/>
  <c r="AM88" i="1"/>
  <c r="Z14" i="10"/>
  <c r="AC14" i="10"/>
  <c r="M52" i="16"/>
  <c r="O52" i="16"/>
  <c r="Y10" i="1"/>
  <c r="Z10" i="1" s="1"/>
  <c r="V10" i="1"/>
  <c r="W10" i="1" s="1"/>
  <c r="X11" i="1"/>
  <c r="AA11" i="1"/>
  <c r="AM166" i="1"/>
  <c r="T166" i="1"/>
  <c r="AN166" i="1" s="1"/>
  <c r="AA166" i="1"/>
  <c r="Y135" i="1"/>
  <c r="Z135" i="1" s="1"/>
  <c r="V135" i="1"/>
  <c r="W135" i="1" s="1"/>
  <c r="AA185" i="1"/>
  <c r="X185" i="1"/>
  <c r="AA146" i="1"/>
  <c r="X146" i="1"/>
  <c r="M26" i="16"/>
  <c r="O26" i="16"/>
  <c r="S162" i="1"/>
  <c r="U162" i="1"/>
  <c r="S123" i="1"/>
  <c r="U123" i="1"/>
  <c r="R41" i="16"/>
  <c r="P41" i="16"/>
  <c r="V175" i="1"/>
  <c r="W175" i="1" s="1"/>
  <c r="Y175" i="1"/>
  <c r="Z175" i="1" s="1"/>
  <c r="V184" i="1"/>
  <c r="W184" i="1" s="1"/>
  <c r="Y184" i="1"/>
  <c r="Z184" i="1" s="1"/>
  <c r="Z146" i="1"/>
  <c r="W146" i="1"/>
  <c r="Y41" i="1"/>
  <c r="Z41" i="1" s="1"/>
  <c r="V41" i="1"/>
  <c r="W41" i="1" s="1"/>
  <c r="V36" i="1"/>
  <c r="W36" i="1" s="1"/>
  <c r="Y36" i="1"/>
  <c r="Z36" i="1" s="1"/>
  <c r="R28" i="16"/>
  <c r="P28" i="16"/>
  <c r="O41" i="16"/>
  <c r="M41" i="16"/>
  <c r="V72" i="1"/>
  <c r="W72" i="1" s="1"/>
  <c r="Y72" i="1"/>
  <c r="Z72" i="1" s="1"/>
  <c r="Y25" i="1"/>
  <c r="Z25" i="1" s="1"/>
  <c r="V25" i="1"/>
  <c r="W25" i="1" s="1"/>
  <c r="Y88" i="1"/>
  <c r="Z88" i="1" s="1"/>
  <c r="V88" i="1"/>
  <c r="W88" i="1" s="1"/>
  <c r="V33" i="1"/>
  <c r="W33" i="1" s="1"/>
  <c r="Y33" i="1"/>
  <c r="Z33" i="1" s="1"/>
  <c r="AM27" i="1"/>
  <c r="AA27" i="1"/>
  <c r="T27" i="1"/>
  <c r="AN27" i="1" s="1"/>
  <c r="AA25" i="1"/>
  <c r="AM25" i="1"/>
  <c r="T25" i="1"/>
  <c r="AN25" i="1" s="1"/>
  <c r="V35" i="1"/>
  <c r="W35" i="1" s="1"/>
  <c r="Y35" i="1"/>
  <c r="Z35" i="1" s="1"/>
  <c r="T20" i="1"/>
  <c r="AN20" i="1" s="1"/>
  <c r="AA20" i="1"/>
  <c r="AM20" i="1"/>
  <c r="P59" i="16"/>
  <c r="R59" i="16"/>
  <c r="U8" i="9"/>
  <c r="X8" i="9"/>
  <c r="V173" i="1"/>
  <c r="W173" i="1" s="1"/>
  <c r="Y173" i="1"/>
  <c r="Z173" i="1" s="1"/>
  <c r="AM40" i="1"/>
  <c r="T40" i="1"/>
  <c r="AN40" i="1" s="1"/>
  <c r="AA40" i="1"/>
  <c r="AM160" i="1"/>
  <c r="T160" i="1"/>
  <c r="AN160" i="1" s="1"/>
  <c r="AA160" i="1"/>
  <c r="AA37" i="1"/>
  <c r="AM37" i="1"/>
  <c r="T37" i="1"/>
  <c r="AN37" i="1" s="1"/>
  <c r="X62" i="1"/>
  <c r="AA62" i="1"/>
  <c r="V128" i="1"/>
  <c r="W128" i="1" s="1"/>
  <c r="Y128" i="1"/>
  <c r="Z128" i="1" s="1"/>
  <c r="V100" i="1"/>
  <c r="W100" i="1" s="1"/>
  <c r="Y100" i="1"/>
  <c r="Z100" i="1" s="1"/>
  <c r="AM48" i="1"/>
  <c r="T48" i="1"/>
  <c r="AN48" i="1" s="1"/>
  <c r="AA48" i="1"/>
  <c r="AA186" i="1"/>
  <c r="T186" i="1"/>
  <c r="AN186" i="1" s="1"/>
  <c r="AM186" i="1"/>
  <c r="T175" i="1"/>
  <c r="AN175" i="1" s="1"/>
  <c r="AA175" i="1"/>
  <c r="AM175" i="1"/>
  <c r="AA96" i="1"/>
  <c r="X96" i="1"/>
  <c r="Z11" i="1"/>
  <c r="W11" i="1"/>
  <c r="W167" i="1"/>
  <c r="Z167" i="1"/>
  <c r="O10" i="16"/>
  <c r="M10" i="16"/>
  <c r="O36" i="16"/>
  <c r="M36" i="16"/>
  <c r="M63" i="16"/>
  <c r="O63" i="16"/>
  <c r="V42" i="1"/>
  <c r="W42" i="1" s="1"/>
  <c r="X42" i="1"/>
  <c r="S84" i="1"/>
  <c r="U84" i="1"/>
  <c r="T173" i="1"/>
  <c r="AN173" i="1" s="1"/>
  <c r="AM173" i="1"/>
  <c r="AA173" i="1"/>
  <c r="T152" i="1"/>
  <c r="AN152" i="1" s="1"/>
  <c r="AM152" i="1"/>
  <c r="AA152" i="1"/>
  <c r="V194" i="1"/>
  <c r="W194" i="1" s="1"/>
  <c r="Y194" i="1"/>
  <c r="Z194" i="1" s="1"/>
  <c r="Z127" i="1"/>
  <c r="W127" i="1"/>
  <c r="AM89" i="1"/>
  <c r="AA89" i="1"/>
  <c r="T89" i="1"/>
  <c r="AN89" i="1" s="1"/>
  <c r="R34" i="16"/>
  <c r="P34" i="16"/>
  <c r="V121" i="1"/>
  <c r="W121" i="1" s="1"/>
  <c r="Y121" i="1"/>
  <c r="Z121" i="1" s="1"/>
  <c r="AM177" i="1"/>
  <c r="AA177" i="1"/>
  <c r="T177" i="1"/>
  <c r="AN177" i="1" s="1"/>
  <c r="V76" i="1"/>
  <c r="W76" i="1" s="1"/>
  <c r="Y76" i="1"/>
  <c r="Z76" i="1" s="1"/>
  <c r="V163" i="1"/>
  <c r="W163" i="1" s="1"/>
  <c r="X163" i="1"/>
  <c r="AM144" i="1"/>
  <c r="T144" i="1"/>
  <c r="AN144" i="1" s="1"/>
  <c r="AA144" i="1"/>
  <c r="V179" i="1"/>
  <c r="W179" i="1" s="1"/>
  <c r="Y179" i="1"/>
  <c r="Z179" i="1" s="1"/>
  <c r="Y69" i="1"/>
  <c r="Z69" i="1" s="1"/>
  <c r="V69" i="1"/>
  <c r="W69" i="1" s="1"/>
  <c r="V85" i="1"/>
  <c r="W85" i="1" s="1"/>
  <c r="Y85" i="1"/>
  <c r="Z85" i="1" s="1"/>
  <c r="V95" i="1"/>
  <c r="W95" i="1" s="1"/>
  <c r="Y95" i="1"/>
  <c r="Z95" i="1" s="1"/>
  <c r="T98" i="1"/>
  <c r="AN98" i="1" s="1"/>
  <c r="AA98" i="1"/>
  <c r="AM98" i="1"/>
  <c r="V44" i="1"/>
  <c r="W44" i="1" s="1"/>
  <c r="X44" i="1"/>
  <c r="AA119" i="1"/>
  <c r="AM119" i="1"/>
  <c r="T119" i="1"/>
  <c r="AN119" i="1" s="1"/>
  <c r="V21" i="1"/>
  <c r="W21" i="1" s="1"/>
  <c r="Y21" i="1"/>
  <c r="Z21" i="1" s="1"/>
  <c r="AA129" i="1"/>
  <c r="T129" i="1"/>
  <c r="AN129" i="1" s="1"/>
  <c r="AM129" i="1"/>
  <c r="AM33" i="1"/>
  <c r="T33" i="1"/>
  <c r="AN33" i="1" s="1"/>
  <c r="AA33" i="1"/>
  <c r="W87" i="1"/>
  <c r="Z87" i="1"/>
  <c r="P25" i="16"/>
  <c r="R25" i="16"/>
  <c r="AM153" i="1"/>
  <c r="AA153" i="1"/>
  <c r="T153" i="1"/>
  <c r="AN153" i="1" s="1"/>
  <c r="T30" i="1"/>
  <c r="AN30" i="1" s="1"/>
  <c r="AM30" i="1"/>
  <c r="AA30" i="1"/>
  <c r="AM73" i="1"/>
  <c r="AA73" i="1"/>
  <c r="T73" i="1"/>
  <c r="AN73" i="1" s="1"/>
  <c r="X201" i="1"/>
  <c r="V201" i="1"/>
  <c r="W201" i="1" s="1"/>
  <c r="P11" i="16"/>
  <c r="R11" i="16"/>
  <c r="Y67" i="1"/>
  <c r="Z67" i="1" s="1"/>
  <c r="V67" i="1"/>
  <c r="W67" i="1" s="1"/>
  <c r="X164" i="1"/>
  <c r="V164" i="1"/>
  <c r="W164" i="1" s="1"/>
  <c r="AA7" i="1"/>
  <c r="X7" i="1"/>
  <c r="AA23" i="1"/>
  <c r="AM23" i="1"/>
  <c r="T23" i="1"/>
  <c r="AN23" i="1" s="1"/>
  <c r="W131" i="1"/>
  <c r="Z131" i="1"/>
  <c r="T54" i="1"/>
  <c r="AN54" i="1" s="1"/>
  <c r="AM54" i="1"/>
  <c r="AA54" i="1"/>
  <c r="M11" i="16"/>
  <c r="O11" i="16"/>
  <c r="Y55" i="1"/>
  <c r="Z55" i="1" s="1"/>
  <c r="V55" i="1"/>
  <c r="W55" i="1" s="1"/>
  <c r="V29" i="1"/>
  <c r="W29" i="1" s="1"/>
  <c r="Y29" i="1"/>
  <c r="Z29" i="1" s="1"/>
  <c r="AA12" i="1"/>
  <c r="T12" i="1"/>
  <c r="AN12" i="1" s="1"/>
  <c r="AM12" i="1"/>
  <c r="V78" i="1"/>
  <c r="W78" i="1" s="1"/>
  <c r="Y78" i="1"/>
  <c r="Z78" i="1" s="1"/>
  <c r="M69" i="16"/>
  <c r="O69" i="16"/>
  <c r="AC20" i="10"/>
  <c r="Z20" i="10"/>
  <c r="U55" i="10"/>
  <c r="V55" i="10" s="1"/>
  <c r="AT55" i="10" s="1"/>
  <c r="W55" i="10"/>
  <c r="X128" i="10"/>
  <c r="Y128" i="10" s="1"/>
  <c r="Z128" i="10"/>
  <c r="W296" i="10"/>
  <c r="U296" i="10"/>
  <c r="V296" i="10" s="1"/>
  <c r="AT296" i="10" s="1"/>
  <c r="Z252" i="10"/>
  <c r="X252" i="10"/>
  <c r="Y252" i="10" s="1"/>
  <c r="U79" i="10"/>
  <c r="V79" i="10" s="1"/>
  <c r="AT79" i="10" s="1"/>
  <c r="W79" i="10"/>
  <c r="X308" i="10"/>
  <c r="Y308" i="10" s="1"/>
  <c r="Z308" i="10"/>
  <c r="Z263" i="10"/>
  <c r="X263" i="10"/>
  <c r="Y263" i="10" s="1"/>
  <c r="Z139" i="10"/>
  <c r="X139" i="10"/>
  <c r="Y139" i="10" s="1"/>
  <c r="P76" i="5"/>
  <c r="N76" i="5"/>
  <c r="O76" i="5" s="1"/>
  <c r="Z31" i="10"/>
  <c r="X31" i="10"/>
  <c r="Y31" i="10" s="1"/>
  <c r="Z236" i="10"/>
  <c r="AC236" i="10"/>
  <c r="X61" i="10"/>
  <c r="Y61" i="10" s="1"/>
  <c r="Z61" i="10"/>
  <c r="X40" i="10"/>
  <c r="Y40" i="10" s="1"/>
  <c r="Z40" i="10"/>
  <c r="W139" i="10"/>
  <c r="U139" i="10"/>
  <c r="V139" i="10" s="1"/>
  <c r="AT139" i="10" s="1"/>
  <c r="W56" i="10"/>
  <c r="U56" i="10"/>
  <c r="V56" i="10" s="1"/>
  <c r="AT56" i="10" s="1"/>
  <c r="W120" i="10"/>
  <c r="U120" i="10"/>
  <c r="V120" i="10" s="1"/>
  <c r="AT120" i="10" s="1"/>
  <c r="U244" i="10"/>
  <c r="V244" i="10" s="1"/>
  <c r="AT244" i="10" s="1"/>
  <c r="W244" i="10"/>
  <c r="AC220" i="10"/>
  <c r="Z220" i="10"/>
  <c r="W297" i="10"/>
  <c r="U297" i="10"/>
  <c r="V297" i="10" s="1"/>
  <c r="AT297" i="10" s="1"/>
  <c r="Z70" i="10"/>
  <c r="X70" i="10"/>
  <c r="Y70" i="10" s="1"/>
  <c r="X100" i="10"/>
  <c r="Y100" i="10" s="1"/>
  <c r="Z100" i="10"/>
  <c r="X270" i="10"/>
  <c r="Y270" i="10" s="1"/>
  <c r="Z270" i="10"/>
  <c r="Z78" i="10"/>
  <c r="X78" i="10"/>
  <c r="Y78" i="10" s="1"/>
  <c r="Z102" i="10"/>
  <c r="X102" i="10"/>
  <c r="Y102" i="10" s="1"/>
  <c r="X138" i="10"/>
  <c r="Y138" i="10" s="1"/>
  <c r="Z138" i="10"/>
  <c r="Z242" i="10"/>
  <c r="X242" i="10"/>
  <c r="Y242" i="10" s="1"/>
  <c r="U165" i="10"/>
  <c r="V165" i="10" s="1"/>
  <c r="AT165" i="10" s="1"/>
  <c r="W165" i="10"/>
  <c r="X115" i="10"/>
  <c r="Y115" i="10" s="1"/>
  <c r="Z115" i="10"/>
  <c r="W91" i="10"/>
  <c r="U91" i="10"/>
  <c r="V91" i="10" s="1"/>
  <c r="AT91" i="10" s="1"/>
  <c r="U159" i="10"/>
  <c r="V159" i="10" s="1"/>
  <c r="AT159" i="10" s="1"/>
  <c r="W159" i="10"/>
  <c r="W167" i="10"/>
  <c r="U167" i="10"/>
  <c r="V167" i="10" s="1"/>
  <c r="AT167" i="10" s="1"/>
  <c r="X255" i="10"/>
  <c r="Y255" i="10" s="1"/>
  <c r="Z255" i="10"/>
  <c r="W160" i="10"/>
  <c r="U160" i="10"/>
  <c r="V160" i="10" s="1"/>
  <c r="AT160" i="10" s="1"/>
  <c r="Z134" i="10"/>
  <c r="X134" i="10"/>
  <c r="Y134" i="10" s="1"/>
  <c r="Z202" i="10"/>
  <c r="AC202" i="10"/>
  <c r="S84" i="5"/>
  <c r="Q84" i="5"/>
  <c r="R84" i="5" s="1"/>
  <c r="Z291" i="10"/>
  <c r="X291" i="10"/>
  <c r="Y291" i="10" s="1"/>
  <c r="U271" i="10"/>
  <c r="V271" i="10" s="1"/>
  <c r="AT271" i="10" s="1"/>
  <c r="W271" i="10"/>
  <c r="S83" i="5"/>
  <c r="Q83" i="5"/>
  <c r="R83" i="5" s="1"/>
  <c r="AC17" i="10"/>
  <c r="Z17" i="10"/>
  <c r="AC191" i="10"/>
  <c r="Z191" i="10"/>
  <c r="W57" i="10"/>
  <c r="U57" i="10"/>
  <c r="V57" i="10" s="1"/>
  <c r="AT57" i="10" s="1"/>
  <c r="Q86" i="5"/>
  <c r="R86" i="5" s="1"/>
  <c r="S86" i="5"/>
  <c r="X36" i="10"/>
  <c r="Y36" i="10" s="1"/>
  <c r="Z36" i="10"/>
  <c r="AC239" i="10"/>
  <c r="Z239" i="10"/>
  <c r="U294" i="10"/>
  <c r="V294" i="10" s="1"/>
  <c r="AT294" i="10" s="1"/>
  <c r="W294" i="10"/>
  <c r="X41" i="10"/>
  <c r="Y41" i="10" s="1"/>
  <c r="Z41" i="10"/>
  <c r="X42" i="10"/>
  <c r="Y42" i="10" s="1"/>
  <c r="Z42" i="10"/>
  <c r="X135" i="10"/>
  <c r="Y135" i="10" s="1"/>
  <c r="Z135" i="10"/>
  <c r="W274" i="10"/>
  <c r="U274" i="10"/>
  <c r="V274" i="10" s="1"/>
  <c r="AT274" i="10" s="1"/>
  <c r="W64" i="10"/>
  <c r="U64" i="10"/>
  <c r="V64" i="10" s="1"/>
  <c r="AT64" i="10" s="1"/>
  <c r="U96" i="10"/>
  <c r="V96" i="10" s="1"/>
  <c r="AT96" i="10" s="1"/>
  <c r="W96" i="10"/>
  <c r="U52" i="10"/>
  <c r="V52" i="10" s="1"/>
  <c r="AT52" i="10" s="1"/>
  <c r="W52" i="10"/>
  <c r="Z304" i="10"/>
  <c r="X304" i="10"/>
  <c r="Y304" i="10" s="1"/>
  <c r="AC216" i="10"/>
  <c r="Z216" i="10"/>
  <c r="X99" i="10"/>
  <c r="Y99" i="10" s="1"/>
  <c r="Z99" i="10"/>
  <c r="Z82" i="10"/>
  <c r="X82" i="10"/>
  <c r="Y82" i="10" s="1"/>
  <c r="X307" i="10"/>
  <c r="Y307" i="10" s="1"/>
  <c r="Z307" i="10"/>
  <c r="U47" i="10"/>
  <c r="V47" i="10" s="1"/>
  <c r="AT47" i="10" s="1"/>
  <c r="W47" i="10"/>
  <c r="W60" i="10"/>
  <c r="U60" i="10"/>
  <c r="V60" i="10" s="1"/>
  <c r="AT60" i="10" s="1"/>
  <c r="Z229" i="10"/>
  <c r="AC229" i="10"/>
  <c r="W63" i="10"/>
  <c r="U63" i="10"/>
  <c r="V63" i="10" s="1"/>
  <c r="AT63" i="10" s="1"/>
  <c r="W69" i="10"/>
  <c r="U69" i="10"/>
  <c r="V69" i="10" s="1"/>
  <c r="AT69" i="10" s="1"/>
  <c r="Z85" i="10"/>
  <c r="X85" i="10"/>
  <c r="Y85" i="10" s="1"/>
  <c r="W115" i="10"/>
  <c r="U115" i="10"/>
  <c r="V115" i="10" s="1"/>
  <c r="AT115" i="10" s="1"/>
  <c r="U58" i="10"/>
  <c r="V58" i="10" s="1"/>
  <c r="AT58" i="10" s="1"/>
  <c r="W58" i="10"/>
  <c r="W113" i="10"/>
  <c r="U113" i="10"/>
  <c r="V113" i="10" s="1"/>
  <c r="AT113" i="10" s="1"/>
  <c r="X117" i="10"/>
  <c r="Y117" i="10" s="1"/>
  <c r="Z117" i="10"/>
  <c r="AC215" i="10"/>
  <c r="Z215" i="10"/>
  <c r="W243" i="10"/>
  <c r="U243" i="10"/>
  <c r="V243" i="10" s="1"/>
  <c r="AT243" i="10" s="1"/>
  <c r="X123" i="10"/>
  <c r="Y123" i="10" s="1"/>
  <c r="Z123" i="10"/>
  <c r="X58" i="10"/>
  <c r="Y58" i="10" s="1"/>
  <c r="Z58" i="10"/>
  <c r="AC238" i="10"/>
  <c r="Z238" i="10"/>
  <c r="W307" i="10"/>
  <c r="U307" i="10"/>
  <c r="V307" i="10" s="1"/>
  <c r="AT307" i="10" s="1"/>
  <c r="X37" i="10"/>
  <c r="Y37" i="10" s="1"/>
  <c r="Z37" i="10"/>
  <c r="X301" i="10"/>
  <c r="Y301" i="10" s="1"/>
  <c r="Z301" i="10"/>
  <c r="U280" i="10"/>
  <c r="V280" i="10" s="1"/>
  <c r="AT280" i="10" s="1"/>
  <c r="W280" i="10"/>
  <c r="U265" i="10"/>
  <c r="V265" i="10" s="1"/>
  <c r="AT265" i="10" s="1"/>
  <c r="W265" i="10"/>
  <c r="AC228" i="10"/>
  <c r="Z228" i="10"/>
  <c r="W287" i="10"/>
  <c r="U287" i="10"/>
  <c r="V287" i="10" s="1"/>
  <c r="AT287" i="10" s="1"/>
  <c r="Z227" i="10"/>
  <c r="AC227" i="10"/>
  <c r="X71" i="10"/>
  <c r="Y71" i="10" s="1"/>
  <c r="Z71" i="10"/>
  <c r="W65" i="10"/>
  <c r="U65" i="10"/>
  <c r="V65" i="10" s="1"/>
  <c r="AT65" i="10" s="1"/>
  <c r="AC197" i="10"/>
  <c r="Z197" i="10"/>
  <c r="W38" i="10"/>
  <c r="U38" i="10"/>
  <c r="V38" i="10" s="1"/>
  <c r="AT38" i="10" s="1"/>
  <c r="S70" i="5"/>
  <c r="Q70" i="5"/>
  <c r="R70" i="5" s="1"/>
  <c r="Z208" i="10"/>
  <c r="AC208" i="10"/>
  <c r="X88" i="10"/>
  <c r="Y88" i="10" s="1"/>
  <c r="Z88" i="10"/>
  <c r="Z53" i="10"/>
  <c r="X53" i="10"/>
  <c r="Y53" i="10" s="1"/>
  <c r="U137" i="10"/>
  <c r="V137" i="10" s="1"/>
  <c r="AT137" i="10" s="1"/>
  <c r="W137" i="10"/>
  <c r="AC23" i="10"/>
  <c r="Z23" i="10"/>
  <c r="Z299" i="10"/>
  <c r="X299" i="10"/>
  <c r="Y299" i="10" s="1"/>
  <c r="X130" i="10"/>
  <c r="Y130" i="10" s="1"/>
  <c r="Z130" i="10"/>
  <c r="U262" i="10"/>
  <c r="V262" i="10" s="1"/>
  <c r="AT262" i="10" s="1"/>
  <c r="W262" i="10"/>
  <c r="Q85" i="5"/>
  <c r="R85" i="5" s="1"/>
  <c r="S85" i="5"/>
  <c r="P42" i="5"/>
  <c r="N42" i="5"/>
  <c r="O42" i="5" s="1"/>
  <c r="W104" i="10"/>
  <c r="U104" i="10"/>
  <c r="V104" i="10" s="1"/>
  <c r="AT104" i="10" s="1"/>
  <c r="Z72" i="10"/>
  <c r="X72" i="10"/>
  <c r="Y72" i="10" s="1"/>
  <c r="AC217" i="10"/>
  <c r="Z217" i="10"/>
  <c r="Z205" i="10"/>
  <c r="AC205" i="10"/>
  <c r="W273" i="10"/>
  <c r="U273" i="10"/>
  <c r="V273" i="10" s="1"/>
  <c r="AT273" i="10" s="1"/>
  <c r="Z34" i="10"/>
  <c r="X34" i="10"/>
  <c r="Y34" i="10" s="1"/>
  <c r="X125" i="10"/>
  <c r="Y125" i="10" s="1"/>
  <c r="Z125" i="10"/>
  <c r="X159" i="10"/>
  <c r="Y159" i="10" s="1"/>
  <c r="Z159" i="10"/>
  <c r="X136" i="10"/>
  <c r="Y136" i="10" s="1"/>
  <c r="Z136" i="10"/>
  <c r="S74" i="5"/>
  <c r="Q74" i="5"/>
  <c r="R74" i="5" s="1"/>
  <c r="W86" i="10"/>
  <c r="U86" i="10"/>
  <c r="V86" i="10" s="1"/>
  <c r="AT86" i="10" s="1"/>
  <c r="X33" i="10"/>
  <c r="Y33" i="10" s="1"/>
  <c r="Z33" i="10"/>
  <c r="W299" i="10"/>
  <c r="U299" i="10"/>
  <c r="V299" i="10" s="1"/>
  <c r="AT299" i="10" s="1"/>
  <c r="S78" i="5"/>
  <c r="Q78" i="5"/>
  <c r="R78" i="5" s="1"/>
  <c r="W118" i="10"/>
  <c r="U118" i="10"/>
  <c r="V118" i="10" s="1"/>
  <c r="AT118" i="10" s="1"/>
  <c r="W134" i="10"/>
  <c r="U134" i="10"/>
  <c r="V134" i="10" s="1"/>
  <c r="AT134" i="10" s="1"/>
  <c r="W110" i="10"/>
  <c r="U110" i="10"/>
  <c r="V110" i="10" s="1"/>
  <c r="AT110" i="10" s="1"/>
  <c r="W129" i="10"/>
  <c r="U129" i="10"/>
  <c r="V129" i="10" s="1"/>
  <c r="AT129" i="10" s="1"/>
  <c r="Z56" i="10"/>
  <c r="X56" i="10"/>
  <c r="Y56" i="10" s="1"/>
  <c r="Z43" i="10"/>
  <c r="X43" i="10"/>
  <c r="Y43" i="10" s="1"/>
  <c r="AA17" i="11"/>
  <c r="Y17" i="11"/>
  <c r="Z17" i="11" s="1"/>
  <c r="AA157" i="11"/>
  <c r="AD157" i="11"/>
  <c r="P20" i="14"/>
  <c r="R20" i="14"/>
  <c r="O48" i="16"/>
  <c r="M48" i="16"/>
  <c r="S14" i="9"/>
  <c r="T14" i="9" s="1"/>
  <c r="U14" i="9"/>
  <c r="S25" i="9"/>
  <c r="T25" i="9" s="1"/>
  <c r="U25" i="9"/>
  <c r="O47" i="16"/>
  <c r="M47" i="16"/>
  <c r="V22" i="11"/>
  <c r="W22" i="11" s="1"/>
  <c r="AU22" i="11" s="1"/>
  <c r="X22" i="11"/>
  <c r="Q91" i="5"/>
  <c r="R91" i="5" s="1"/>
  <c r="S91" i="5"/>
  <c r="V15" i="11"/>
  <c r="W15" i="11" s="1"/>
  <c r="AU15" i="11" s="1"/>
  <c r="X15" i="11"/>
  <c r="T5" i="1"/>
  <c r="AA5" i="1"/>
  <c r="AM5" i="1"/>
  <c r="U8" i="14"/>
  <c r="S8" i="14"/>
  <c r="T8" i="14" s="1"/>
  <c r="X5" i="14"/>
  <c r="U5" i="14"/>
  <c r="Y18" i="11"/>
  <c r="Z18" i="11" s="1"/>
  <c r="AA18" i="11"/>
  <c r="AA44" i="11"/>
  <c r="AD44" i="11"/>
  <c r="M71" i="16"/>
  <c r="O71" i="16"/>
  <c r="AA151" i="11"/>
  <c r="AD151" i="11"/>
  <c r="X46" i="11"/>
  <c r="V46" i="11"/>
  <c r="W46" i="11" s="1"/>
  <c r="AU46" i="11" s="1"/>
  <c r="AA71" i="11"/>
  <c r="Y71" i="11"/>
  <c r="Z71" i="11" s="1"/>
  <c r="R25" i="9"/>
  <c r="V25" i="9" s="1"/>
  <c r="W25" i="9" s="1"/>
  <c r="P25" i="9"/>
  <c r="Y32" i="11"/>
  <c r="Z32" i="11" s="1"/>
  <c r="AA32" i="11"/>
  <c r="Q50" i="5"/>
  <c r="R50" i="5" s="1"/>
  <c r="S50" i="5"/>
  <c r="Z147" i="10"/>
  <c r="AC147" i="10"/>
  <c r="Q92" i="5"/>
  <c r="R92" i="5" s="1"/>
  <c r="S92" i="5"/>
  <c r="O49" i="16"/>
  <c r="M49" i="16"/>
  <c r="AD40" i="11"/>
  <c r="AA40" i="11"/>
  <c r="X71" i="11"/>
  <c r="V71" i="11"/>
  <c r="W71" i="11" s="1"/>
  <c r="AU71" i="11" s="1"/>
  <c r="Q93" i="5"/>
  <c r="R93" i="5" s="1"/>
  <c r="S93" i="5"/>
  <c r="AA34" i="11"/>
  <c r="AD34" i="11"/>
  <c r="S57" i="9"/>
  <c r="T57" i="9" s="1"/>
  <c r="U57" i="9"/>
  <c r="U20" i="9"/>
  <c r="S20" i="9"/>
  <c r="T20" i="9" s="1"/>
  <c r="S18" i="9"/>
  <c r="T18" i="9" s="1"/>
  <c r="U18" i="9"/>
  <c r="Z144" i="10"/>
  <c r="AC144" i="10"/>
  <c r="AC152" i="10"/>
  <c r="Z152" i="10"/>
  <c r="S131" i="14"/>
  <c r="T131" i="14" s="1"/>
  <c r="U131" i="14"/>
  <c r="P9" i="14"/>
  <c r="R9" i="14"/>
  <c r="AC9" i="10"/>
  <c r="Z9" i="10"/>
  <c r="Z8" i="10"/>
  <c r="AC8" i="10"/>
  <c r="N89" i="5"/>
  <c r="O89" i="5" s="1"/>
  <c r="P89" i="5"/>
  <c r="S19" i="14"/>
  <c r="T19" i="14" s="1"/>
  <c r="U19" i="14"/>
  <c r="M51" i="16"/>
  <c r="O51" i="16"/>
  <c r="AA49" i="11"/>
  <c r="Y49" i="11"/>
  <c r="Z49" i="11" s="1"/>
  <c r="S9" i="14"/>
  <c r="T9" i="14" s="1"/>
  <c r="U9" i="14"/>
  <c r="U76" i="10"/>
  <c r="V76" i="10" s="1"/>
  <c r="AT76" i="10" s="1"/>
  <c r="W76" i="10"/>
  <c r="S7" i="14"/>
  <c r="T7" i="14" s="1"/>
  <c r="P26" i="9"/>
  <c r="R26" i="9"/>
  <c r="V26" i="9" s="1"/>
  <c r="W26" i="9" s="1"/>
  <c r="U19" i="9"/>
  <c r="S19" i="9"/>
  <c r="T19" i="9" s="1"/>
  <c r="V20" i="11"/>
  <c r="W20" i="11" s="1"/>
  <c r="AU20" i="11" s="1"/>
  <c r="X20" i="11"/>
  <c r="P16" i="14"/>
  <c r="R16" i="14"/>
  <c r="R11" i="9"/>
  <c r="V11" i="9" s="1"/>
  <c r="W11" i="9" s="1"/>
  <c r="P11" i="9"/>
  <c r="S88" i="5"/>
  <c r="Q88" i="5"/>
  <c r="R88" i="5" s="1"/>
  <c r="O42" i="16"/>
  <c r="M42" i="16"/>
  <c r="U310" i="10"/>
  <c r="V310" i="10" s="1"/>
  <c r="AT310" i="10" s="1"/>
  <c r="W310" i="10"/>
  <c r="Q89" i="5"/>
  <c r="R89" i="5" s="1"/>
  <c r="S89" i="5"/>
  <c r="U56" i="9"/>
  <c r="S56" i="9"/>
  <c r="T56" i="9" s="1"/>
  <c r="X49" i="11"/>
  <c r="V49" i="11"/>
  <c r="W49" i="11" s="1"/>
  <c r="AU49" i="11" s="1"/>
  <c r="S133" i="14"/>
  <c r="T133" i="14" s="1"/>
  <c r="U133" i="14"/>
  <c r="AA14" i="11"/>
  <c r="AD14" i="11"/>
  <c r="M40" i="16"/>
  <c r="O40" i="16"/>
  <c r="U17" i="14"/>
  <c r="S17" i="14"/>
  <c r="T17" i="14" s="1"/>
  <c r="V196" i="1"/>
  <c r="W196" i="1" s="1"/>
  <c r="Y196" i="1"/>
  <c r="Z196" i="1" s="1"/>
  <c r="V64" i="1"/>
  <c r="W64" i="1" s="1"/>
  <c r="Y64" i="1"/>
  <c r="Z64" i="1" s="1"/>
  <c r="T86" i="1"/>
  <c r="AN86" i="1" s="1"/>
  <c r="AA86" i="1"/>
  <c r="AM86" i="1"/>
  <c r="Y177" i="1"/>
  <c r="Z177" i="1" s="1"/>
  <c r="V177" i="1"/>
  <c r="W177" i="1" s="1"/>
  <c r="T114" i="1"/>
  <c r="AN114" i="1" s="1"/>
  <c r="AM114" i="1"/>
  <c r="AA114" i="1"/>
  <c r="V125" i="1"/>
  <c r="W125" i="1" s="1"/>
  <c r="Y125" i="1"/>
  <c r="Z125" i="1" s="1"/>
  <c r="AA28" i="1"/>
  <c r="X28" i="1"/>
  <c r="M61" i="16"/>
  <c r="O61" i="16"/>
  <c r="X21" i="11"/>
  <c r="V21" i="11"/>
  <c r="W21" i="11" s="1"/>
  <c r="AU21" i="11" s="1"/>
  <c r="W26" i="1"/>
  <c r="Z26" i="1"/>
  <c r="V133" i="1"/>
  <c r="W133" i="1" s="1"/>
  <c r="Y133" i="1"/>
  <c r="Z133" i="1" s="1"/>
  <c r="AA128" i="1"/>
  <c r="T128" i="1"/>
  <c r="AN128" i="1" s="1"/>
  <c r="AM128" i="1"/>
  <c r="AM121" i="1"/>
  <c r="T121" i="1"/>
  <c r="AN121" i="1" s="1"/>
  <c r="AA121" i="1"/>
  <c r="X22" i="1"/>
  <c r="AA22" i="1"/>
  <c r="P37" i="16"/>
  <c r="R37" i="16"/>
  <c r="V82" i="1"/>
  <c r="W82" i="1" s="1"/>
  <c r="X82" i="1"/>
  <c r="R48" i="16"/>
  <c r="P48" i="16"/>
  <c r="U15" i="14"/>
  <c r="S15" i="14"/>
  <c r="T15" i="14" s="1"/>
  <c r="AM21" i="1"/>
  <c r="AA21" i="1"/>
  <c r="T21" i="1"/>
  <c r="AN21" i="1" s="1"/>
  <c r="T149" i="1"/>
  <c r="AN149" i="1" s="1"/>
  <c r="AA149" i="1"/>
  <c r="AM149" i="1"/>
  <c r="AM147" i="1"/>
  <c r="T147" i="1"/>
  <c r="AN147" i="1" s="1"/>
  <c r="AA147" i="1"/>
  <c r="AA191" i="1"/>
  <c r="AM191" i="1"/>
  <c r="T191" i="1"/>
  <c r="AN191" i="1" s="1"/>
  <c r="W142" i="1"/>
  <c r="Z142" i="1"/>
  <c r="O55" i="16"/>
  <c r="M55" i="16"/>
  <c r="O59" i="16"/>
  <c r="M59" i="16"/>
  <c r="V191" i="1"/>
  <c r="W191" i="1" s="1"/>
  <c r="Y191" i="1"/>
  <c r="Z191" i="1" s="1"/>
  <c r="T101" i="1"/>
  <c r="AN101" i="1" s="1"/>
  <c r="AM101" i="1"/>
  <c r="AA101" i="1"/>
  <c r="W176" i="1"/>
  <c r="Z176" i="1"/>
  <c r="AA56" i="1"/>
  <c r="X56" i="1"/>
  <c r="V105" i="1"/>
  <c r="W105" i="1" s="1"/>
  <c r="Y105" i="1"/>
  <c r="Z105" i="1" s="1"/>
  <c r="M56" i="16"/>
  <c r="O56" i="16"/>
  <c r="V17" i="1"/>
  <c r="W17" i="1" s="1"/>
  <c r="Y17" i="1"/>
  <c r="Z17" i="1" s="1"/>
  <c r="V134" i="1"/>
  <c r="W134" i="1" s="1"/>
  <c r="Y134" i="1"/>
  <c r="Z134" i="1" s="1"/>
  <c r="Y59" i="1"/>
  <c r="Z59" i="1" s="1"/>
  <c r="V59" i="1"/>
  <c r="W59" i="1" s="1"/>
  <c r="AM192" i="1"/>
  <c r="AA192" i="1"/>
  <c r="T192" i="1"/>
  <c r="AN192" i="1" s="1"/>
  <c r="S199" i="1"/>
  <c r="U199" i="1"/>
  <c r="M44" i="16"/>
  <c r="O44" i="16"/>
  <c r="AA150" i="1"/>
  <c r="AM150" i="1"/>
  <c r="T150" i="1"/>
  <c r="AN150" i="1" s="1"/>
  <c r="AM100" i="1"/>
  <c r="AA100" i="1"/>
  <c r="T100" i="1"/>
  <c r="AN100" i="1" s="1"/>
  <c r="AM95" i="1"/>
  <c r="AA95" i="1"/>
  <c r="T95" i="1"/>
  <c r="AN95" i="1" s="1"/>
  <c r="AA148" i="1"/>
  <c r="X148" i="1"/>
  <c r="V77" i="1"/>
  <c r="W77" i="1" s="1"/>
  <c r="Y77" i="1"/>
  <c r="Z77" i="1" s="1"/>
  <c r="P57" i="16"/>
  <c r="R57" i="16"/>
  <c r="X84" i="1"/>
  <c r="V84" i="1"/>
  <c r="W84" i="1" s="1"/>
  <c r="AO7" i="1"/>
  <c r="W148" i="1"/>
  <c r="Z148" i="1"/>
  <c r="AM111" i="1"/>
  <c r="AA111" i="1"/>
  <c r="T111" i="1"/>
  <c r="AN111" i="1" s="1"/>
  <c r="X91" i="1"/>
  <c r="AA91" i="1"/>
  <c r="AA189" i="1"/>
  <c r="T189" i="1"/>
  <c r="AN189" i="1" s="1"/>
  <c r="AM189" i="1"/>
  <c r="P33" i="16"/>
  <c r="R33" i="16"/>
  <c r="AA70" i="1"/>
  <c r="T70" i="1"/>
  <c r="AN70" i="1" s="1"/>
  <c r="AM70" i="1"/>
  <c r="V107" i="1"/>
  <c r="W107" i="1" s="1"/>
  <c r="Y107" i="1"/>
  <c r="Z107" i="1" s="1"/>
  <c r="Y40" i="1"/>
  <c r="Z40" i="1" s="1"/>
  <c r="V40" i="1"/>
  <c r="W40" i="1" s="1"/>
  <c r="Y70" i="1"/>
  <c r="Z70" i="1" s="1"/>
  <c r="V70" i="1"/>
  <c r="W70" i="1" s="1"/>
  <c r="V195" i="1"/>
  <c r="W195" i="1" s="1"/>
  <c r="Y195" i="1"/>
  <c r="Z195" i="1" s="1"/>
  <c r="P17" i="16"/>
  <c r="R17" i="16"/>
  <c r="R64" i="16"/>
  <c r="P64" i="16"/>
  <c r="S43" i="1"/>
  <c r="U43" i="1"/>
  <c r="V58" i="1"/>
  <c r="W58" i="1" s="1"/>
  <c r="Y58" i="1"/>
  <c r="Z58" i="1" s="1"/>
  <c r="AA118" i="1"/>
  <c r="T118" i="1"/>
  <c r="AN118" i="1" s="1"/>
  <c r="AM118" i="1"/>
  <c r="AA106" i="1"/>
  <c r="X106" i="1"/>
  <c r="V48" i="1"/>
  <c r="W48" i="1" s="1"/>
  <c r="Y48" i="1"/>
  <c r="Z48" i="1" s="1"/>
  <c r="T31" i="1"/>
  <c r="AN31" i="1" s="1"/>
  <c r="AM31" i="1"/>
  <c r="AA31" i="1"/>
  <c r="V71" i="1"/>
  <c r="W71" i="1" s="1"/>
  <c r="Y71" i="1"/>
  <c r="Z71" i="1" s="1"/>
  <c r="V86" i="1"/>
  <c r="W86" i="1" s="1"/>
  <c r="Y86" i="1"/>
  <c r="Z86" i="1" s="1"/>
  <c r="AA137" i="1"/>
  <c r="AM137" i="1"/>
  <c r="T137" i="1"/>
  <c r="AN137" i="1" s="1"/>
  <c r="O20" i="16"/>
  <c r="M20" i="16"/>
  <c r="M28" i="16"/>
  <c r="O28" i="16"/>
  <c r="AA22" i="11"/>
  <c r="Y22" i="11"/>
  <c r="Z22" i="11" s="1"/>
  <c r="V19" i="1"/>
  <c r="W19" i="1" s="1"/>
  <c r="Y19" i="1"/>
  <c r="Z19" i="1" s="1"/>
  <c r="AA193" i="1"/>
  <c r="AM193" i="1"/>
  <c r="T193" i="1"/>
  <c r="AN193" i="1" s="1"/>
  <c r="AA81" i="1"/>
  <c r="T81" i="1"/>
  <c r="AN81" i="1" s="1"/>
  <c r="AM81" i="1"/>
  <c r="Y166" i="1"/>
  <c r="Z166" i="1" s="1"/>
  <c r="V166" i="1"/>
  <c r="W166" i="1" s="1"/>
  <c r="AM161" i="1"/>
  <c r="AA161" i="1"/>
  <c r="T161" i="1"/>
  <c r="AN161" i="1" s="1"/>
  <c r="V79" i="1"/>
  <c r="W79" i="1" s="1"/>
  <c r="Y79" i="1"/>
  <c r="Z79" i="1" s="1"/>
  <c r="T172" i="1"/>
  <c r="AN172" i="1" s="1"/>
  <c r="AM172" i="1"/>
  <c r="AA172" i="1"/>
  <c r="AM46" i="1"/>
  <c r="T46" i="1"/>
  <c r="AN46" i="1" s="1"/>
  <c r="AA46" i="1"/>
  <c r="O18" i="16"/>
  <c r="M18" i="16"/>
  <c r="R26" i="16"/>
  <c r="P26" i="16"/>
  <c r="O25" i="16"/>
  <c r="M25" i="16"/>
  <c r="AA19" i="1"/>
  <c r="AM19" i="1"/>
  <c r="T19" i="1"/>
  <c r="AN19" i="1" s="1"/>
  <c r="AM13" i="1"/>
  <c r="AA13" i="1"/>
  <c r="T13" i="1"/>
  <c r="AN13" i="1" s="1"/>
  <c r="V73" i="1"/>
  <c r="W73" i="1" s="1"/>
  <c r="Y73" i="1"/>
  <c r="Z73" i="1" s="1"/>
  <c r="W106" i="1"/>
  <c r="Z106" i="1"/>
  <c r="V63" i="1"/>
  <c r="W63" i="1" s="1"/>
  <c r="Y63" i="1"/>
  <c r="Z63" i="1" s="1"/>
  <c r="U201" i="1"/>
  <c r="S201" i="1"/>
  <c r="V188" i="1"/>
  <c r="W188" i="1" s="1"/>
  <c r="Y188" i="1"/>
  <c r="Z188" i="1" s="1"/>
  <c r="O64" i="16"/>
  <c r="M64" i="16"/>
  <c r="V162" i="1"/>
  <c r="W162" i="1" s="1"/>
  <c r="X162" i="1"/>
  <c r="AM71" i="1"/>
  <c r="T71" i="1"/>
  <c r="AN71" i="1" s="1"/>
  <c r="AA71" i="1"/>
  <c r="X26" i="1"/>
  <c r="AA26" i="1"/>
  <c r="V46" i="1"/>
  <c r="W46" i="1" s="1"/>
  <c r="Y46" i="1"/>
  <c r="Z46" i="1" s="1"/>
  <c r="AM158" i="1"/>
  <c r="T158" i="1"/>
  <c r="AN158" i="1" s="1"/>
  <c r="AA158" i="1"/>
  <c r="X68" i="1"/>
  <c r="AA68" i="1"/>
  <c r="Y161" i="1"/>
  <c r="Z161" i="1" s="1"/>
  <c r="V161" i="1"/>
  <c r="W161" i="1" s="1"/>
  <c r="X102" i="1"/>
  <c r="AA102" i="1"/>
  <c r="R40" i="16"/>
  <c r="P40" i="16"/>
  <c r="V119" i="1"/>
  <c r="W119" i="1" s="1"/>
  <c r="Y119" i="1"/>
  <c r="Z119" i="1" s="1"/>
  <c r="AM64" i="1"/>
  <c r="T64" i="1"/>
  <c r="AN64" i="1" s="1"/>
  <c r="AA64" i="1"/>
  <c r="AM63" i="1"/>
  <c r="T63" i="1"/>
  <c r="AN63" i="1" s="1"/>
  <c r="AA63" i="1"/>
  <c r="Y126" i="1"/>
  <c r="Z126" i="1" s="1"/>
  <c r="V126" i="1"/>
  <c r="W126" i="1" s="1"/>
  <c r="V153" i="1"/>
  <c r="W153" i="1" s="1"/>
  <c r="Y153" i="1"/>
  <c r="Z153" i="1" s="1"/>
  <c r="Y81" i="1"/>
  <c r="Z81" i="1" s="1"/>
  <c r="V81" i="1"/>
  <c r="W81" i="1" s="1"/>
  <c r="Z108" i="1"/>
  <c r="W108" i="1"/>
  <c r="V150" i="1"/>
  <c r="W150" i="1" s="1"/>
  <c r="Y150" i="1"/>
  <c r="Z150" i="1" s="1"/>
  <c r="AM151" i="1"/>
  <c r="AA151" i="1"/>
  <c r="T151" i="1"/>
  <c r="AN151" i="1" s="1"/>
  <c r="W51" i="1"/>
  <c r="Z51" i="1"/>
  <c r="AA141" i="1"/>
  <c r="T141" i="1"/>
  <c r="AN141" i="1" s="1"/>
  <c r="AM141" i="1"/>
  <c r="Y168" i="1"/>
  <c r="Z168" i="1" s="1"/>
  <c r="V168" i="1"/>
  <c r="W168" i="1" s="1"/>
  <c r="R19" i="16"/>
  <c r="P19" i="16"/>
  <c r="P63" i="16"/>
  <c r="R63" i="16"/>
  <c r="P10" i="16"/>
  <c r="R10" i="16"/>
  <c r="V174" i="1"/>
  <c r="W174" i="1" s="1"/>
  <c r="Y174" i="1"/>
  <c r="Z174" i="1" s="1"/>
  <c r="T178" i="1"/>
  <c r="AN178" i="1" s="1"/>
  <c r="AA178" i="1"/>
  <c r="AM178" i="1"/>
  <c r="O27" i="16"/>
  <c r="M27" i="16"/>
  <c r="AA74" i="1"/>
  <c r="T74" i="1"/>
  <c r="AN74" i="1" s="1"/>
  <c r="AM74" i="1"/>
  <c r="W22" i="1"/>
  <c r="Z22" i="1"/>
  <c r="AA78" i="1"/>
  <c r="AM78" i="1"/>
  <c r="T78" i="1"/>
  <c r="AN78" i="1" s="1"/>
  <c r="T24" i="1"/>
  <c r="AN24" i="1" s="1"/>
  <c r="AA24" i="1"/>
  <c r="AM24" i="1"/>
  <c r="U161" i="10"/>
  <c r="V161" i="10" s="1"/>
  <c r="AT161" i="10" s="1"/>
  <c r="W161" i="10"/>
  <c r="U275" i="10"/>
  <c r="V275" i="10" s="1"/>
  <c r="AT275" i="10" s="1"/>
  <c r="W275" i="10"/>
  <c r="X166" i="10"/>
  <c r="Y166" i="10" s="1"/>
  <c r="Z166" i="10"/>
  <c r="U53" i="10"/>
  <c r="V53" i="10" s="1"/>
  <c r="AT53" i="10" s="1"/>
  <c r="W53" i="10"/>
  <c r="X54" i="10"/>
  <c r="Y54" i="10" s="1"/>
  <c r="Z54" i="10"/>
  <c r="U251" i="10"/>
  <c r="V251" i="10" s="1"/>
  <c r="AT251" i="10" s="1"/>
  <c r="W251" i="10"/>
  <c r="X84" i="10"/>
  <c r="Y84" i="10" s="1"/>
  <c r="Z84" i="10"/>
  <c r="U133" i="10"/>
  <c r="V133" i="10" s="1"/>
  <c r="AT133" i="10" s="1"/>
  <c r="W133" i="10"/>
  <c r="AC214" i="10"/>
  <c r="Z214" i="10"/>
  <c r="Z21" i="10"/>
  <c r="AC21" i="10"/>
  <c r="X50" i="10"/>
  <c r="Y50" i="10" s="1"/>
  <c r="Z50" i="10"/>
  <c r="W276" i="10"/>
  <c r="U276" i="10"/>
  <c r="V276" i="10" s="1"/>
  <c r="AT276" i="10" s="1"/>
  <c r="Z168" i="10"/>
  <c r="AC168" i="10"/>
  <c r="W61" i="10"/>
  <c r="U61" i="10"/>
  <c r="V61" i="10" s="1"/>
  <c r="AT61" i="10" s="1"/>
  <c r="U303" i="10"/>
  <c r="V303" i="10" s="1"/>
  <c r="AT303" i="10" s="1"/>
  <c r="W303" i="10"/>
  <c r="U289" i="10"/>
  <c r="V289" i="10" s="1"/>
  <c r="AT289" i="10" s="1"/>
  <c r="W289" i="10"/>
  <c r="Z287" i="10"/>
  <c r="X287" i="10"/>
  <c r="Y287" i="10" s="1"/>
  <c r="U131" i="10"/>
  <c r="V131" i="10" s="1"/>
  <c r="AT131" i="10" s="1"/>
  <c r="W131" i="10"/>
  <c r="Z290" i="10"/>
  <c r="X290" i="10"/>
  <c r="Y290" i="10" s="1"/>
  <c r="Z298" i="10"/>
  <c r="X298" i="10"/>
  <c r="Y298" i="10" s="1"/>
  <c r="W75" i="10"/>
  <c r="U75" i="10"/>
  <c r="V75" i="10" s="1"/>
  <c r="AT75" i="10" s="1"/>
  <c r="AC25" i="10"/>
  <c r="Z25" i="10"/>
  <c r="U107" i="10"/>
  <c r="V107" i="10" s="1"/>
  <c r="AT107" i="10" s="1"/>
  <c r="W107" i="10"/>
  <c r="U293" i="10"/>
  <c r="V293" i="10" s="1"/>
  <c r="AT293" i="10" s="1"/>
  <c r="W293" i="10"/>
  <c r="X281" i="10"/>
  <c r="Y281" i="10" s="1"/>
  <c r="Z281" i="10"/>
  <c r="X103" i="10"/>
  <c r="Y103" i="10" s="1"/>
  <c r="Z103" i="10"/>
  <c r="X260" i="10"/>
  <c r="Y260" i="10" s="1"/>
  <c r="Z260" i="10"/>
  <c r="U40" i="10"/>
  <c r="V40" i="10" s="1"/>
  <c r="AT40" i="10" s="1"/>
  <c r="W40" i="10"/>
  <c r="W95" i="10"/>
  <c r="U95" i="10"/>
  <c r="V95" i="10" s="1"/>
  <c r="AT95" i="10" s="1"/>
  <c r="U93" i="10"/>
  <c r="V93" i="10" s="1"/>
  <c r="AT93" i="10" s="1"/>
  <c r="W93" i="10"/>
  <c r="Q81" i="5"/>
  <c r="R81" i="5" s="1"/>
  <c r="S81" i="5"/>
  <c r="S68" i="5"/>
  <c r="Q68" i="5"/>
  <c r="R68" i="5" s="1"/>
  <c r="Z277" i="10"/>
  <c r="X277" i="10"/>
  <c r="Y277" i="10" s="1"/>
  <c r="Z171" i="10"/>
  <c r="AC171" i="10"/>
  <c r="W36" i="10"/>
  <c r="U36" i="10"/>
  <c r="V36" i="10" s="1"/>
  <c r="AT36" i="10" s="1"/>
  <c r="U250" i="10"/>
  <c r="V250" i="10" s="1"/>
  <c r="AT250" i="10" s="1"/>
  <c r="W250" i="10"/>
  <c r="W50" i="10"/>
  <c r="U50" i="10"/>
  <c r="V50" i="10" s="1"/>
  <c r="AT50" i="10" s="1"/>
  <c r="U157" i="10"/>
  <c r="V157" i="10" s="1"/>
  <c r="AT157" i="10" s="1"/>
  <c r="W157" i="10"/>
  <c r="X262" i="10"/>
  <c r="Y262" i="10" s="1"/>
  <c r="Z262" i="10"/>
  <c r="U263" i="10"/>
  <c r="V263" i="10" s="1"/>
  <c r="AT263" i="10" s="1"/>
  <c r="W263" i="10"/>
  <c r="W267" i="10"/>
  <c r="U267" i="10"/>
  <c r="V267" i="10" s="1"/>
  <c r="AT267" i="10" s="1"/>
  <c r="Z18" i="10"/>
  <c r="AC18" i="10"/>
  <c r="U37" i="10"/>
  <c r="V37" i="10" s="1"/>
  <c r="AT37" i="10" s="1"/>
  <c r="W37" i="10"/>
  <c r="Z225" i="10"/>
  <c r="AC225" i="10"/>
  <c r="Z309" i="10"/>
  <c r="X309" i="10"/>
  <c r="Y309" i="10" s="1"/>
  <c r="X111" i="10"/>
  <c r="Y111" i="10" s="1"/>
  <c r="Z111" i="10"/>
  <c r="W135" i="10"/>
  <c r="U135" i="10"/>
  <c r="V135" i="10" s="1"/>
  <c r="AT135" i="10" s="1"/>
  <c r="W101" i="10"/>
  <c r="U101" i="10"/>
  <c r="V101" i="10" s="1"/>
  <c r="AT101" i="10" s="1"/>
  <c r="Z195" i="10"/>
  <c r="AC195" i="10"/>
  <c r="U51" i="10"/>
  <c r="V51" i="10" s="1"/>
  <c r="AT51" i="10" s="1"/>
  <c r="W51" i="10"/>
  <c r="U142" i="10"/>
  <c r="V142" i="10" s="1"/>
  <c r="AT142" i="10" s="1"/>
  <c r="W142" i="10"/>
  <c r="X47" i="10"/>
  <c r="Y47" i="10" s="1"/>
  <c r="Z47" i="10"/>
  <c r="Z19" i="10"/>
  <c r="AC19" i="10"/>
  <c r="Z24" i="10"/>
  <c r="AC24" i="10"/>
  <c r="W68" i="10"/>
  <c r="U68" i="10"/>
  <c r="V68" i="10" s="1"/>
  <c r="AT68" i="10" s="1"/>
  <c r="AC179" i="10"/>
  <c r="Z179" i="10"/>
  <c r="X158" i="10"/>
  <c r="Y158" i="10" s="1"/>
  <c r="Z158" i="10"/>
  <c r="N84" i="5"/>
  <c r="O84" i="5" s="1"/>
  <c r="P84" i="5"/>
  <c r="U286" i="10"/>
  <c r="V286" i="10" s="1"/>
  <c r="AT286" i="10" s="1"/>
  <c r="W286" i="10"/>
  <c r="Z90" i="10"/>
  <c r="X90" i="10"/>
  <c r="Y90" i="10" s="1"/>
  <c r="Q73" i="5"/>
  <c r="R73" i="5" s="1"/>
  <c r="S73" i="5"/>
  <c r="X246" i="10"/>
  <c r="Y246" i="10" s="1"/>
  <c r="Z246" i="10"/>
  <c r="U41" i="10"/>
  <c r="V41" i="10" s="1"/>
  <c r="AT41" i="10" s="1"/>
  <c r="W41" i="10"/>
  <c r="Z213" i="10"/>
  <c r="AC213" i="10"/>
  <c r="AC218" i="10"/>
  <c r="Z218" i="10"/>
  <c r="X122" i="10"/>
  <c r="Y122" i="10" s="1"/>
  <c r="Z122" i="10"/>
  <c r="W116" i="10"/>
  <c r="U116" i="10"/>
  <c r="V116" i="10" s="1"/>
  <c r="AT116" i="10" s="1"/>
  <c r="Z132" i="10"/>
  <c r="X132" i="10"/>
  <c r="Y132" i="10" s="1"/>
  <c r="Z194" i="10"/>
  <c r="AC194" i="10"/>
  <c r="Z300" i="10"/>
  <c r="X300" i="10"/>
  <c r="Y300" i="10" s="1"/>
  <c r="Z140" i="10"/>
  <c r="X140" i="10"/>
  <c r="Y140" i="10" s="1"/>
  <c r="Z97" i="10"/>
  <c r="X97" i="10"/>
  <c r="Y97" i="10" s="1"/>
  <c r="U278" i="10"/>
  <c r="V278" i="10" s="1"/>
  <c r="AT278" i="10" s="1"/>
  <c r="W278" i="10"/>
  <c r="AC210" i="10"/>
  <c r="Z210" i="10"/>
  <c r="U282" i="10"/>
  <c r="V282" i="10" s="1"/>
  <c r="AT282" i="10" s="1"/>
  <c r="W282" i="10"/>
  <c r="Z119" i="10"/>
  <c r="X119" i="10"/>
  <c r="Y119" i="10" s="1"/>
  <c r="W83" i="10"/>
  <c r="U83" i="10"/>
  <c r="V83" i="10" s="1"/>
  <c r="AT83" i="10" s="1"/>
  <c r="AC206" i="10"/>
  <c r="Z206" i="10"/>
  <c r="W87" i="10"/>
  <c r="U87" i="10"/>
  <c r="V87" i="10" s="1"/>
  <c r="AT87" i="10" s="1"/>
  <c r="W249" i="10"/>
  <c r="U249" i="10"/>
  <c r="V249" i="10" s="1"/>
  <c r="AT249" i="10" s="1"/>
  <c r="Q67" i="5"/>
  <c r="R67" i="5" s="1"/>
  <c r="S67" i="5"/>
  <c r="U97" i="10"/>
  <c r="V97" i="10" s="1"/>
  <c r="AT97" i="10" s="1"/>
  <c r="W97" i="10"/>
  <c r="Z80" i="10"/>
  <c r="X80" i="10"/>
  <c r="Y80" i="10" s="1"/>
  <c r="Z46" i="10"/>
  <c r="X46" i="10"/>
  <c r="Y46" i="10" s="1"/>
  <c r="U300" i="10"/>
  <c r="V300" i="10" s="1"/>
  <c r="AT300" i="10" s="1"/>
  <c r="W300" i="10"/>
  <c r="U111" i="10"/>
  <c r="V111" i="10" s="1"/>
  <c r="AT111" i="10" s="1"/>
  <c r="W111" i="10"/>
  <c r="U164" i="10"/>
  <c r="V164" i="10" s="1"/>
  <c r="AT164" i="10" s="1"/>
  <c r="W164" i="10"/>
  <c r="Q72" i="5"/>
  <c r="R72" i="5" s="1"/>
  <c r="S72" i="5"/>
  <c r="Z193" i="10"/>
  <c r="AC193" i="10"/>
  <c r="Z268" i="10"/>
  <c r="X268" i="10"/>
  <c r="Y268" i="10" s="1"/>
  <c r="X66" i="10"/>
  <c r="Y66" i="10" s="1"/>
  <c r="Z66" i="10"/>
  <c r="Q41" i="5"/>
  <c r="R41" i="5" s="1"/>
  <c r="S41" i="5"/>
  <c r="Z51" i="10"/>
  <c r="X51" i="10"/>
  <c r="Y51" i="10" s="1"/>
  <c r="W90" i="10"/>
  <c r="U90" i="10"/>
  <c r="V90" i="10" s="1"/>
  <c r="AT90" i="10" s="1"/>
  <c r="Z181" i="10"/>
  <c r="AC181" i="10"/>
  <c r="U132" i="10"/>
  <c r="V132" i="10" s="1"/>
  <c r="AT132" i="10" s="1"/>
  <c r="W132" i="10"/>
  <c r="X129" i="10"/>
  <c r="Y129" i="10" s="1"/>
  <c r="Z129" i="10"/>
  <c r="U123" i="10"/>
  <c r="V123" i="10" s="1"/>
  <c r="AT123" i="10" s="1"/>
  <c r="W123" i="10"/>
  <c r="Z75" i="10"/>
  <c r="X75" i="10"/>
  <c r="Y75" i="10" s="1"/>
  <c r="U254" i="10"/>
  <c r="V254" i="10" s="1"/>
  <c r="AT254" i="10" s="1"/>
  <c r="W254" i="10"/>
  <c r="Z141" i="10"/>
  <c r="X141" i="10"/>
  <c r="Y141" i="10" s="1"/>
  <c r="U268" i="10"/>
  <c r="V268" i="10" s="1"/>
  <c r="AT268" i="10" s="1"/>
  <c r="W268" i="10"/>
  <c r="P77" i="5"/>
  <c r="N77" i="5"/>
  <c r="O77" i="5" s="1"/>
  <c r="P78" i="5"/>
  <c r="N78" i="5"/>
  <c r="O78" i="5" s="1"/>
  <c r="Z64" i="10"/>
  <c r="X64" i="10"/>
  <c r="Y64" i="10" s="1"/>
  <c r="X156" i="10"/>
  <c r="Y156" i="10" s="1"/>
  <c r="Z156" i="10"/>
  <c r="U306" i="10"/>
  <c r="V306" i="10" s="1"/>
  <c r="AT306" i="10" s="1"/>
  <c r="W306" i="10"/>
  <c r="AC223" i="10"/>
  <c r="Z223" i="10"/>
  <c r="U84" i="10"/>
  <c r="V84" i="10" s="1"/>
  <c r="AT84" i="10" s="1"/>
  <c r="W84" i="10"/>
  <c r="Z52" i="10"/>
  <c r="X52" i="10"/>
  <c r="Y52" i="10" s="1"/>
  <c r="U240" i="10"/>
  <c r="V240" i="10" s="1"/>
  <c r="AT240" i="10" s="1"/>
  <c r="W240" i="10"/>
  <c r="N69" i="5"/>
  <c r="O69" i="5" s="1"/>
  <c r="P69" i="5"/>
  <c r="X69" i="10"/>
  <c r="Y69" i="10" s="1"/>
  <c r="Z69" i="10"/>
  <c r="U259" i="10"/>
  <c r="V259" i="10" s="1"/>
  <c r="AT259" i="10" s="1"/>
  <c r="W259" i="10"/>
  <c r="W288" i="10"/>
  <c r="U288" i="10"/>
  <c r="V288" i="10" s="1"/>
  <c r="AT288" i="10" s="1"/>
  <c r="U261" i="10"/>
  <c r="V261" i="10" s="1"/>
  <c r="AT261" i="10" s="1"/>
  <c r="W261" i="10"/>
  <c r="X137" i="10"/>
  <c r="Y137" i="10" s="1"/>
  <c r="Z137" i="10"/>
  <c r="X142" i="10"/>
  <c r="Y142" i="10" s="1"/>
  <c r="Z142" i="10"/>
  <c r="P73" i="5"/>
  <c r="N73" i="5"/>
  <c r="O73" i="5" s="1"/>
  <c r="X253" i="10"/>
  <c r="Y253" i="10" s="1"/>
  <c r="Z253" i="10"/>
  <c r="U305" i="10"/>
  <c r="V305" i="10" s="1"/>
  <c r="AT305" i="10" s="1"/>
  <c r="W305" i="10"/>
  <c r="W260" i="10"/>
  <c r="U260" i="10"/>
  <c r="V260" i="10" s="1"/>
  <c r="AT260" i="10" s="1"/>
  <c r="Z106" i="10"/>
  <c r="X106" i="10"/>
  <c r="Y106" i="10" s="1"/>
  <c r="Z28" i="10"/>
  <c r="AC28" i="10"/>
  <c r="P82" i="5"/>
  <c r="N82" i="5"/>
  <c r="O82" i="5" s="1"/>
  <c r="Z207" i="10"/>
  <c r="AC207" i="10"/>
  <c r="X248" i="10"/>
  <c r="Y248" i="10" s="1"/>
  <c r="Z248" i="10"/>
  <c r="Z185" i="10"/>
  <c r="AC185" i="10"/>
  <c r="Z176" i="10"/>
  <c r="AC176" i="10"/>
  <c r="S65" i="5"/>
  <c r="Q65" i="5"/>
  <c r="R65" i="5" s="1"/>
  <c r="W124" i="10"/>
  <c r="U124" i="10"/>
  <c r="V124" i="10" s="1"/>
  <c r="AT124" i="10" s="1"/>
  <c r="Z131" i="10"/>
  <c r="X131" i="10"/>
  <c r="Y131" i="10" s="1"/>
  <c r="AC199" i="10"/>
  <c r="Z199" i="10"/>
  <c r="X294" i="10"/>
  <c r="Y294" i="10" s="1"/>
  <c r="Z294" i="10"/>
  <c r="AC211" i="10"/>
  <c r="Z211" i="10"/>
  <c r="Z45" i="10"/>
  <c r="X45" i="10"/>
  <c r="Y45" i="10" s="1"/>
  <c r="Z282" i="10"/>
  <c r="X282" i="10"/>
  <c r="Y282" i="10" s="1"/>
  <c r="X55" i="10"/>
  <c r="Y55" i="10" s="1"/>
  <c r="Z55" i="10"/>
  <c r="U48" i="10"/>
  <c r="V48" i="10" s="1"/>
  <c r="AT48" i="10" s="1"/>
  <c r="W48" i="10"/>
  <c r="U43" i="10"/>
  <c r="V43" i="10" s="1"/>
  <c r="AT43" i="10" s="1"/>
  <c r="W43" i="10"/>
  <c r="AC145" i="10"/>
  <c r="Z145" i="10"/>
  <c r="X310" i="10"/>
  <c r="Y310" i="10" s="1"/>
  <c r="Z310" i="10"/>
  <c r="Z7" i="10"/>
  <c r="AC7" i="10"/>
  <c r="S23" i="14"/>
  <c r="T23" i="14" s="1"/>
  <c r="U23" i="14"/>
  <c r="S49" i="5"/>
  <c r="Q49" i="5"/>
  <c r="R49" i="5" s="1"/>
  <c r="AD9" i="11"/>
  <c r="AA9" i="11"/>
  <c r="X51" i="11"/>
  <c r="V51" i="11"/>
  <c r="W51" i="11" s="1"/>
  <c r="AU51" i="11" s="1"/>
  <c r="S24" i="14"/>
  <c r="T24" i="14" s="1"/>
  <c r="U24" i="14"/>
  <c r="Z12" i="10"/>
  <c r="AC12" i="10"/>
  <c r="R10" i="9"/>
  <c r="V10" i="9" s="1"/>
  <c r="W10" i="9" s="1"/>
  <c r="P10" i="9"/>
  <c r="R71" i="16"/>
  <c r="P71" i="16"/>
  <c r="AA12" i="11"/>
  <c r="AD12" i="11"/>
  <c r="AA8" i="11"/>
  <c r="AD8" i="11"/>
  <c r="U18" i="14"/>
  <c r="S18" i="14"/>
  <c r="T18" i="14" s="1"/>
  <c r="P18" i="9"/>
  <c r="R18" i="9"/>
  <c r="V18" i="9" s="1"/>
  <c r="W18" i="9" s="1"/>
  <c r="X47" i="11"/>
  <c r="V47" i="11"/>
  <c r="W47" i="11" s="1"/>
  <c r="AU47" i="11" s="1"/>
  <c r="R49" i="16"/>
  <c r="P49" i="16"/>
  <c r="X313" i="11"/>
  <c r="V313" i="11"/>
  <c r="W313" i="11" s="1"/>
  <c r="AU313" i="11" s="1"/>
  <c r="P13" i="14"/>
  <c r="R13" i="14"/>
  <c r="P22" i="9"/>
  <c r="R22" i="9"/>
  <c r="V22" i="9" s="1"/>
  <c r="W22" i="9" s="1"/>
  <c r="AC143" i="10"/>
  <c r="Z143" i="10"/>
  <c r="AD39" i="11"/>
  <c r="AA39" i="11"/>
  <c r="R20" i="9"/>
  <c r="V20" i="9" s="1"/>
  <c r="W20" i="9" s="1"/>
  <c r="P20" i="9"/>
  <c r="AD6" i="11"/>
  <c r="AA6" i="11"/>
  <c r="Z16" i="10"/>
  <c r="AC16" i="10"/>
  <c r="AU5" i="10"/>
  <c r="S129" i="14"/>
  <c r="T129" i="14" s="1"/>
  <c r="U129" i="14"/>
  <c r="AA313" i="11"/>
  <c r="Y313" i="11"/>
  <c r="Z313" i="11" s="1"/>
  <c r="N91" i="5"/>
  <c r="O91" i="5" s="1"/>
  <c r="P91" i="5"/>
  <c r="R52" i="16"/>
  <c r="P52" i="16"/>
  <c r="P15" i="9"/>
  <c r="R15" i="9"/>
  <c r="V15" i="9" s="1"/>
  <c r="W15" i="9" s="1"/>
  <c r="AC6" i="10"/>
  <c r="Z6" i="10"/>
  <c r="U26" i="14"/>
  <c r="S26" i="14"/>
  <c r="T26" i="14" s="1"/>
  <c r="Z76" i="10"/>
  <c r="X76" i="10"/>
  <c r="Y76" i="10" s="1"/>
  <c r="S22" i="14"/>
  <c r="T22" i="14" s="1"/>
  <c r="U22" i="14"/>
  <c r="AA20" i="11"/>
  <c r="Y20" i="11"/>
  <c r="Z20" i="11" s="1"/>
  <c r="W30" i="10"/>
  <c r="U30" i="10"/>
  <c r="V30" i="10" s="1"/>
  <c r="AT30" i="10" s="1"/>
  <c r="P24" i="9"/>
  <c r="R24" i="9"/>
  <c r="V24" i="9" s="1"/>
  <c r="W24" i="9" s="1"/>
  <c r="AD159" i="11"/>
  <c r="AA159" i="11"/>
  <c r="R60" i="9"/>
  <c r="V60" i="9" s="1"/>
  <c r="W60" i="9" s="1"/>
  <c r="P60" i="9"/>
  <c r="U5" i="9"/>
  <c r="X5" i="9"/>
  <c r="S23" i="9"/>
  <c r="T23" i="9" s="1"/>
  <c r="U23" i="9"/>
  <c r="AD10" i="11"/>
  <c r="AA10" i="11"/>
  <c r="AC154" i="10"/>
  <c r="Z154" i="10"/>
  <c r="V141" i="1"/>
  <c r="W141" i="1" s="1"/>
  <c r="Y141" i="1"/>
  <c r="Z141" i="1" s="1"/>
  <c r="V111" i="1"/>
  <c r="W111" i="1" s="1"/>
  <c r="Y111" i="1"/>
  <c r="Z111" i="1" s="1"/>
  <c r="Y160" i="1"/>
  <c r="Z160" i="1" s="1"/>
  <c r="V160" i="1"/>
  <c r="W160" i="1" s="1"/>
  <c r="AA38" i="1"/>
  <c r="AM38" i="1"/>
  <c r="T38" i="1"/>
  <c r="AN38" i="1" s="1"/>
  <c r="O54" i="16"/>
  <c r="M54" i="16"/>
  <c r="U6" i="14"/>
  <c r="X6" i="14"/>
  <c r="V9" i="1"/>
  <c r="W9" i="1" s="1"/>
  <c r="Y9" i="1"/>
  <c r="Z9" i="1" s="1"/>
  <c r="AM145" i="1"/>
  <c r="T145" i="1"/>
  <c r="AN145" i="1" s="1"/>
  <c r="AA145" i="1"/>
  <c r="AA126" i="1"/>
  <c r="T126" i="1"/>
  <c r="AN126" i="1" s="1"/>
  <c r="AM126" i="1"/>
  <c r="T195" i="1"/>
  <c r="AN195" i="1" s="1"/>
  <c r="AM195" i="1"/>
  <c r="AA195" i="1"/>
  <c r="AA17" i="1"/>
  <c r="T17" i="1"/>
  <c r="AN17" i="1" s="1"/>
  <c r="AM17" i="1"/>
  <c r="W62" i="1"/>
  <c r="Z62" i="1"/>
  <c r="V14" i="1"/>
  <c r="W14" i="1" s="1"/>
  <c r="Y14" i="1"/>
  <c r="Z14" i="1" s="1"/>
  <c r="T197" i="1"/>
  <c r="AN197" i="1" s="1"/>
  <c r="AA197" i="1"/>
  <c r="AM197" i="1"/>
  <c r="T10" i="1"/>
  <c r="AN10" i="1" s="1"/>
  <c r="AM10" i="1"/>
  <c r="AA10" i="1"/>
  <c r="T67" i="1"/>
  <c r="AN67" i="1" s="1"/>
  <c r="AM67" i="1"/>
  <c r="AA67" i="1"/>
  <c r="Z171" i="1"/>
  <c r="W171" i="1"/>
  <c r="R12" i="16"/>
  <c r="P12" i="16"/>
  <c r="O12" i="16"/>
  <c r="M12" i="16"/>
  <c r="O70" i="16"/>
  <c r="M70" i="16"/>
  <c r="S82" i="1"/>
  <c r="U82" i="1"/>
  <c r="R46" i="16"/>
  <c r="P46" i="16"/>
  <c r="W56" i="1"/>
  <c r="Z56" i="1"/>
  <c r="T116" i="1"/>
  <c r="AN116" i="1" s="1"/>
  <c r="AM116" i="1"/>
  <c r="AA116" i="1"/>
  <c r="AM53" i="1"/>
  <c r="T53" i="1"/>
  <c r="AN53" i="1" s="1"/>
  <c r="AA53" i="1"/>
  <c r="V32" i="1"/>
  <c r="W32" i="1" s="1"/>
  <c r="Y32" i="1"/>
  <c r="Z32" i="1" s="1"/>
  <c r="AM36" i="1"/>
  <c r="T36" i="1"/>
  <c r="AN36" i="1" s="1"/>
  <c r="AA36" i="1"/>
  <c r="P61" i="16"/>
  <c r="R61" i="16"/>
  <c r="X43" i="1"/>
  <c r="V43" i="1"/>
  <c r="W43" i="1" s="1"/>
  <c r="AA138" i="1"/>
  <c r="T138" i="1"/>
  <c r="AN138" i="1" s="1"/>
  <c r="AM138" i="1"/>
  <c r="X131" i="1"/>
  <c r="AA131" i="1"/>
  <c r="AM134" i="1"/>
  <c r="AA134" i="1"/>
  <c r="T134" i="1"/>
  <c r="AN134" i="1" s="1"/>
  <c r="T32" i="1"/>
  <c r="AN32" i="1" s="1"/>
  <c r="AA32" i="1"/>
  <c r="AM32" i="1"/>
  <c r="AA127" i="1"/>
  <c r="X127" i="1"/>
  <c r="X142" i="1"/>
  <c r="AA142" i="1"/>
  <c r="P58" i="16"/>
  <c r="R58" i="16"/>
  <c r="T109" i="1"/>
  <c r="AN109" i="1" s="1"/>
  <c r="AM109" i="1"/>
  <c r="AA109" i="1"/>
  <c r="AM135" i="1"/>
  <c r="AA135" i="1"/>
  <c r="T135" i="1"/>
  <c r="AN135" i="1" s="1"/>
  <c r="Y49" i="1"/>
  <c r="Z49" i="1" s="1"/>
  <c r="V49" i="1"/>
  <c r="W49" i="1" s="1"/>
  <c r="Y30" i="1"/>
  <c r="Z30" i="1" s="1"/>
  <c r="V30" i="1"/>
  <c r="W30" i="1" s="1"/>
  <c r="AM97" i="1"/>
  <c r="T97" i="1"/>
  <c r="AN97" i="1" s="1"/>
  <c r="AA97" i="1"/>
  <c r="V104" i="1"/>
  <c r="W104" i="1" s="1"/>
  <c r="Y104" i="1"/>
  <c r="Z104" i="1" s="1"/>
  <c r="Y132" i="1"/>
  <c r="Z132" i="1" s="1"/>
  <c r="V132" i="1"/>
  <c r="W132" i="1" s="1"/>
  <c r="X122" i="1"/>
  <c r="V122" i="1"/>
  <c r="W122" i="1" s="1"/>
  <c r="V6" i="1"/>
  <c r="W6" i="1" s="1"/>
  <c r="T190" i="1"/>
  <c r="AN190" i="1" s="1"/>
  <c r="AA190" i="1"/>
  <c r="AM190" i="1"/>
  <c r="AA57" i="1"/>
  <c r="T57" i="1"/>
  <c r="AN57" i="1" s="1"/>
  <c r="AM57" i="1"/>
  <c r="T168" i="1"/>
  <c r="AN168" i="1" s="1"/>
  <c r="AA168" i="1"/>
  <c r="AM168" i="1"/>
  <c r="V158" i="1"/>
  <c r="W158" i="1" s="1"/>
  <c r="Y158" i="1"/>
  <c r="Z158" i="1" s="1"/>
  <c r="V103" i="1"/>
  <c r="W103" i="1" s="1"/>
  <c r="Y103" i="1"/>
  <c r="Z103" i="1" s="1"/>
  <c r="V109" i="1"/>
  <c r="W109" i="1" s="1"/>
  <c r="Y109" i="1"/>
  <c r="Z109" i="1" s="1"/>
  <c r="V192" i="1"/>
  <c r="W192" i="1" s="1"/>
  <c r="Y192" i="1"/>
  <c r="Z192" i="1" s="1"/>
  <c r="O34" i="16"/>
  <c r="M34" i="16"/>
  <c r="R66" i="16"/>
  <c r="P66" i="16"/>
  <c r="Y18" i="1"/>
  <c r="Z18" i="1" s="1"/>
  <c r="V18" i="1"/>
  <c r="W18" i="1" s="1"/>
  <c r="Y189" i="1"/>
  <c r="Z189" i="1" s="1"/>
  <c r="V189" i="1"/>
  <c r="W189" i="1" s="1"/>
  <c r="AA183" i="1"/>
  <c r="T183" i="1"/>
  <c r="AN183" i="1" s="1"/>
  <c r="AM183" i="1"/>
  <c r="V45" i="1"/>
  <c r="W45" i="1" s="1"/>
  <c r="Y45" i="1"/>
  <c r="Z45" i="1" s="1"/>
  <c r="T187" i="1"/>
  <c r="AN187" i="1" s="1"/>
  <c r="AM187" i="1"/>
  <c r="AA187" i="1"/>
  <c r="X108" i="1"/>
  <c r="AA108" i="1"/>
  <c r="V112" i="1"/>
  <c r="W112" i="1" s="1"/>
  <c r="Y112" i="1"/>
  <c r="Z112" i="1" s="1"/>
  <c r="T76" i="1"/>
  <c r="AN76" i="1" s="1"/>
  <c r="AA76" i="1"/>
  <c r="AM76" i="1"/>
  <c r="P70" i="16"/>
  <c r="R70" i="16"/>
  <c r="R27" i="16"/>
  <c r="P27" i="16"/>
  <c r="P87" i="5"/>
  <c r="N87" i="5"/>
  <c r="O87" i="5" s="1"/>
  <c r="V110" i="1"/>
  <c r="W110" i="1" s="1"/>
  <c r="Y110" i="1"/>
  <c r="Z110" i="1" s="1"/>
  <c r="Y89" i="1"/>
  <c r="Z89" i="1" s="1"/>
  <c r="V89" i="1"/>
  <c r="W89" i="1" s="1"/>
  <c r="V139" i="1"/>
  <c r="W139" i="1" s="1"/>
  <c r="Y139" i="1"/>
  <c r="Z139" i="1" s="1"/>
  <c r="O65" i="16"/>
  <c r="M65" i="16"/>
  <c r="AD153" i="11"/>
  <c r="AA153" i="11"/>
  <c r="Z136" i="1"/>
  <c r="W136" i="1"/>
  <c r="AM29" i="1"/>
  <c r="T29" i="1"/>
  <c r="AN29" i="1" s="1"/>
  <c r="AA29" i="1"/>
  <c r="V74" i="1"/>
  <c r="W74" i="1" s="1"/>
  <c r="Y74" i="1"/>
  <c r="Z74" i="1" s="1"/>
  <c r="Y187" i="1"/>
  <c r="Z187" i="1" s="1"/>
  <c r="V187" i="1"/>
  <c r="W187" i="1" s="1"/>
  <c r="Y57" i="1"/>
  <c r="Z57" i="1" s="1"/>
  <c r="V57" i="1"/>
  <c r="W57" i="1" s="1"/>
  <c r="T120" i="1"/>
  <c r="AN120" i="1" s="1"/>
  <c r="AM120" i="1"/>
  <c r="AA120" i="1"/>
  <c r="R69" i="16"/>
  <c r="P69" i="16"/>
  <c r="M35" i="16"/>
  <c r="O35" i="16"/>
  <c r="M50" i="16"/>
  <c r="O50" i="16"/>
  <c r="T110" i="1"/>
  <c r="AN110" i="1" s="1"/>
  <c r="AA110" i="1"/>
  <c r="AM110" i="1"/>
  <c r="X167" i="1"/>
  <c r="AA167" i="1"/>
  <c r="T103" i="1"/>
  <c r="AN103" i="1" s="1"/>
  <c r="AM103" i="1"/>
  <c r="AA103" i="1"/>
  <c r="V200" i="1"/>
  <c r="W200" i="1" s="1"/>
  <c r="X200" i="1"/>
  <c r="Y149" i="1"/>
  <c r="Z149" i="1" s="1"/>
  <c r="V149" i="1"/>
  <c r="W149" i="1" s="1"/>
  <c r="S163" i="1"/>
  <c r="U163" i="1"/>
  <c r="T69" i="1"/>
  <c r="AN69" i="1" s="1"/>
  <c r="AA69" i="1"/>
  <c r="AM69" i="1"/>
  <c r="Z96" i="1"/>
  <c r="W96" i="1"/>
  <c r="V154" i="1"/>
  <c r="W154" i="1" s="1"/>
  <c r="Y154" i="1"/>
  <c r="Z154" i="1" s="1"/>
  <c r="Y151" i="1"/>
  <c r="Z151" i="1" s="1"/>
  <c r="V151" i="1"/>
  <c r="W151" i="1" s="1"/>
  <c r="V138" i="1"/>
  <c r="W138" i="1" s="1"/>
  <c r="Y138" i="1"/>
  <c r="Z138" i="1" s="1"/>
  <c r="AA99" i="1"/>
  <c r="AM99" i="1"/>
  <c r="T99" i="1"/>
  <c r="AN99" i="1" s="1"/>
  <c r="M33" i="16"/>
  <c r="O33" i="16"/>
  <c r="R42" i="16"/>
  <c r="P42" i="16"/>
  <c r="V144" i="1"/>
  <c r="W144" i="1" s="1"/>
  <c r="Y144" i="1"/>
  <c r="Z144" i="1" s="1"/>
  <c r="AM18" i="1"/>
  <c r="T18" i="1"/>
  <c r="AN18" i="1" s="1"/>
  <c r="AA18" i="1"/>
  <c r="V94" i="1"/>
  <c r="W94" i="1" s="1"/>
  <c r="Y94" i="1"/>
  <c r="Z94" i="1" s="1"/>
  <c r="V199" i="1"/>
  <c r="W199" i="1" s="1"/>
  <c r="X199" i="1"/>
  <c r="X87" i="1"/>
  <c r="AA87" i="1"/>
  <c r="AA75" i="1"/>
  <c r="T75" i="1"/>
  <c r="AN75" i="1" s="1"/>
  <c r="AM75" i="1"/>
  <c r="U16" i="9"/>
  <c r="S16" i="9"/>
  <c r="T16" i="9" s="1"/>
  <c r="AA52" i="1"/>
  <c r="AM52" i="1"/>
  <c r="T52" i="1"/>
  <c r="AN52" i="1" s="1"/>
  <c r="V101" i="1"/>
  <c r="W101" i="1" s="1"/>
  <c r="Y101" i="1"/>
  <c r="Z101" i="1" s="1"/>
  <c r="Y116" i="1"/>
  <c r="Z116" i="1" s="1"/>
  <c r="V116" i="1"/>
  <c r="W116" i="1" s="1"/>
  <c r="Z16" i="1"/>
  <c r="W16" i="1"/>
  <c r="V23" i="1"/>
  <c r="W23" i="1" s="1"/>
  <c r="Y23" i="1"/>
  <c r="Z23" i="1" s="1"/>
  <c r="V170" i="1"/>
  <c r="W170" i="1" s="1"/>
  <c r="Y170" i="1"/>
  <c r="Z170" i="1" s="1"/>
  <c r="T14" i="1"/>
  <c r="AN14" i="1" s="1"/>
  <c r="AA14" i="1"/>
  <c r="AM14" i="1"/>
  <c r="P20" i="16"/>
  <c r="R20" i="16"/>
  <c r="M67" i="16"/>
  <c r="O67" i="16"/>
  <c r="T117" i="1"/>
  <c r="AN117" i="1" s="1"/>
  <c r="AA117" i="1"/>
  <c r="AM117" i="1"/>
  <c r="X66" i="1"/>
  <c r="AA66" i="1"/>
  <c r="V190" i="1"/>
  <c r="W190" i="1" s="1"/>
  <c r="Y190" i="1"/>
  <c r="Z190" i="1" s="1"/>
  <c r="X51" i="1"/>
  <c r="AA51" i="1"/>
  <c r="V113" i="1"/>
  <c r="W113" i="1" s="1"/>
  <c r="Y113" i="1"/>
  <c r="Z113" i="1" s="1"/>
  <c r="M60" i="16"/>
  <c r="O60" i="16"/>
  <c r="T72" i="1"/>
  <c r="AN72" i="1" s="1"/>
  <c r="AM72" i="1"/>
  <c r="AA72" i="1"/>
  <c r="V117" i="1"/>
  <c r="W117" i="1" s="1"/>
  <c r="Y117" i="1"/>
  <c r="Z117" i="1" s="1"/>
  <c r="V20" i="1"/>
  <c r="W20" i="1" s="1"/>
  <c r="Y20" i="1"/>
  <c r="Z20" i="1" s="1"/>
  <c r="V98" i="1"/>
  <c r="W98" i="1" s="1"/>
  <c r="Y98" i="1"/>
  <c r="Z98" i="1" s="1"/>
  <c r="V99" i="1"/>
  <c r="W99" i="1" s="1"/>
  <c r="Y99" i="1"/>
  <c r="Z99" i="1" s="1"/>
  <c r="M9" i="16"/>
  <c r="O9" i="16"/>
  <c r="R67" i="16"/>
  <c r="P67" i="16"/>
  <c r="U164" i="1"/>
  <c r="S164" i="1"/>
  <c r="X167" i="10"/>
  <c r="Y167" i="10" s="1"/>
  <c r="Z167" i="10"/>
  <c r="W46" i="10"/>
  <c r="U46" i="10"/>
  <c r="V46" i="10" s="1"/>
  <c r="AT46" i="10" s="1"/>
  <c r="W302" i="10"/>
  <c r="U302" i="10"/>
  <c r="V302" i="10" s="1"/>
  <c r="AT302" i="10" s="1"/>
  <c r="Z293" i="10"/>
  <c r="X293" i="10"/>
  <c r="Y293" i="10" s="1"/>
  <c r="Z93" i="10"/>
  <c r="X93" i="10"/>
  <c r="Y93" i="10" s="1"/>
  <c r="X251" i="10"/>
  <c r="Y251" i="10" s="1"/>
  <c r="Z251" i="10"/>
  <c r="Z297" i="10"/>
  <c r="X297" i="10"/>
  <c r="Y297" i="10" s="1"/>
  <c r="X98" i="10"/>
  <c r="Y98" i="10" s="1"/>
  <c r="Z98" i="10"/>
  <c r="Z174" i="10"/>
  <c r="AC174" i="10"/>
  <c r="W264" i="10"/>
  <c r="U264" i="10"/>
  <c r="V264" i="10" s="1"/>
  <c r="AT264" i="10" s="1"/>
  <c r="X280" i="10"/>
  <c r="Y280" i="10" s="1"/>
  <c r="Z280" i="10"/>
  <c r="U163" i="10"/>
  <c r="V163" i="10" s="1"/>
  <c r="AT163" i="10" s="1"/>
  <c r="W163" i="10"/>
  <c r="W291" i="10"/>
  <c r="U291" i="10"/>
  <c r="V291" i="10" s="1"/>
  <c r="AT291" i="10" s="1"/>
  <c r="U78" i="10"/>
  <c r="V78" i="10" s="1"/>
  <c r="AT78" i="10" s="1"/>
  <c r="W78" i="10"/>
  <c r="W92" i="10"/>
  <c r="U92" i="10"/>
  <c r="V92" i="10" s="1"/>
  <c r="AT92" i="10" s="1"/>
  <c r="P58" i="5"/>
  <c r="N58" i="5"/>
  <c r="O58" i="5" s="1"/>
  <c r="U32" i="10"/>
  <c r="V32" i="10" s="1"/>
  <c r="AT32" i="10" s="1"/>
  <c r="W32" i="10"/>
  <c r="Z107" i="10"/>
  <c r="X107" i="10"/>
  <c r="Y107" i="10" s="1"/>
  <c r="W42" i="10"/>
  <c r="U42" i="10"/>
  <c r="V42" i="10" s="1"/>
  <c r="AT42" i="10" s="1"/>
  <c r="W81" i="10"/>
  <c r="U81" i="10"/>
  <c r="V81" i="10" s="1"/>
  <c r="AT81" i="10" s="1"/>
  <c r="Z126" i="10"/>
  <c r="X126" i="10"/>
  <c r="Y126" i="10" s="1"/>
  <c r="Z187" i="10"/>
  <c r="AC187" i="10"/>
  <c r="X243" i="10"/>
  <c r="Y243" i="10" s="1"/>
  <c r="Z243" i="10"/>
  <c r="U31" i="10"/>
  <c r="V31" i="10" s="1"/>
  <c r="AT31" i="10" s="1"/>
  <c r="W31" i="10"/>
  <c r="X241" i="10"/>
  <c r="Y241" i="10" s="1"/>
  <c r="Z241" i="10"/>
  <c r="AC170" i="10"/>
  <c r="Z170" i="10"/>
  <c r="X273" i="10"/>
  <c r="Y273" i="10" s="1"/>
  <c r="Z273" i="10"/>
  <c r="Z186" i="10"/>
  <c r="AC186" i="10"/>
  <c r="X86" i="10"/>
  <c r="Y86" i="10" s="1"/>
  <c r="Z86" i="10"/>
  <c r="U269" i="10"/>
  <c r="V269" i="10" s="1"/>
  <c r="AT269" i="10" s="1"/>
  <c r="W269" i="10"/>
  <c r="X292" i="10"/>
  <c r="Y292" i="10" s="1"/>
  <c r="Z292" i="10"/>
  <c r="U285" i="10"/>
  <c r="V285" i="10" s="1"/>
  <c r="AT285" i="10" s="1"/>
  <c r="W285" i="10"/>
  <c r="X160" i="10"/>
  <c r="Y160" i="10" s="1"/>
  <c r="Z160" i="10"/>
  <c r="Z190" i="10"/>
  <c r="AC190" i="10"/>
  <c r="X296" i="10"/>
  <c r="Y296" i="10" s="1"/>
  <c r="Z296" i="10"/>
  <c r="X245" i="10"/>
  <c r="Y245" i="10" s="1"/>
  <c r="Z245" i="10"/>
  <c r="Z232" i="10"/>
  <c r="AC232" i="10"/>
  <c r="W59" i="10"/>
  <c r="U59" i="10"/>
  <c r="V59" i="10" s="1"/>
  <c r="AT59" i="10" s="1"/>
  <c r="X65" i="10"/>
  <c r="Y65" i="10" s="1"/>
  <c r="Z65" i="10"/>
  <c r="U136" i="10"/>
  <c r="V136" i="10" s="1"/>
  <c r="AT136" i="10" s="1"/>
  <c r="W136" i="10"/>
  <c r="Z204" i="10"/>
  <c r="AC204" i="10"/>
  <c r="Z124" i="10"/>
  <c r="X124" i="10"/>
  <c r="Y124" i="10" s="1"/>
  <c r="Z265" i="10"/>
  <c r="X265" i="10"/>
  <c r="Y265" i="10" s="1"/>
  <c r="Z63" i="10"/>
  <c r="X63" i="10"/>
  <c r="Y63" i="10" s="1"/>
  <c r="Z235" i="10"/>
  <c r="AC235" i="10"/>
  <c r="W247" i="10"/>
  <c r="U247" i="10"/>
  <c r="V247" i="10" s="1"/>
  <c r="AT247" i="10" s="1"/>
  <c r="S80" i="5"/>
  <c r="Q80" i="5"/>
  <c r="R80" i="5" s="1"/>
  <c r="U309" i="10"/>
  <c r="V309" i="10" s="1"/>
  <c r="AT309" i="10" s="1"/>
  <c r="W309" i="10"/>
  <c r="X104" i="10"/>
  <c r="Y104" i="10" s="1"/>
  <c r="Z104" i="10"/>
  <c r="Z172" i="10"/>
  <c r="AC172" i="10"/>
  <c r="W138" i="10"/>
  <c r="U138" i="10"/>
  <c r="V138" i="10" s="1"/>
  <c r="AT138" i="10" s="1"/>
  <c r="U109" i="10"/>
  <c r="V109" i="10" s="1"/>
  <c r="AT109" i="10" s="1"/>
  <c r="W109" i="10"/>
  <c r="U246" i="10"/>
  <c r="V246" i="10" s="1"/>
  <c r="AT246" i="10" s="1"/>
  <c r="W246" i="10"/>
  <c r="U141" i="10"/>
  <c r="V141" i="10" s="1"/>
  <c r="AT141" i="10" s="1"/>
  <c r="W141" i="10"/>
  <c r="U257" i="10"/>
  <c r="V257" i="10" s="1"/>
  <c r="AT257" i="10" s="1"/>
  <c r="W257" i="10"/>
  <c r="Z177" i="10"/>
  <c r="AC177" i="10"/>
  <c r="Z77" i="10"/>
  <c r="X77" i="10"/>
  <c r="Y77" i="10" s="1"/>
  <c r="Z283" i="10"/>
  <c r="X283" i="10"/>
  <c r="Y283" i="10" s="1"/>
  <c r="U281" i="10"/>
  <c r="V281" i="10" s="1"/>
  <c r="AT281" i="10" s="1"/>
  <c r="W281" i="10"/>
  <c r="Z120" i="10"/>
  <c r="X120" i="10"/>
  <c r="Y120" i="10" s="1"/>
  <c r="X81" i="10"/>
  <c r="Y81" i="10" s="1"/>
  <c r="Z81" i="10"/>
  <c r="Z91" i="10"/>
  <c r="X91" i="10"/>
  <c r="Y91" i="10" s="1"/>
  <c r="W102" i="10"/>
  <c r="U102" i="10"/>
  <c r="V102" i="10" s="1"/>
  <c r="AT102" i="10" s="1"/>
  <c r="Z182" i="10"/>
  <c r="AC182" i="10"/>
  <c r="X244" i="10"/>
  <c r="Y244" i="10" s="1"/>
  <c r="Z244" i="10"/>
  <c r="S82" i="5"/>
  <c r="Q82" i="5"/>
  <c r="R82" i="5" s="1"/>
  <c r="X289" i="10"/>
  <c r="Y289" i="10" s="1"/>
  <c r="Z289" i="10"/>
  <c r="Z212" i="10"/>
  <c r="AC212" i="10"/>
  <c r="Z198" i="10"/>
  <c r="AC198" i="10"/>
  <c r="U266" i="10"/>
  <c r="V266" i="10" s="1"/>
  <c r="AT266" i="10" s="1"/>
  <c r="W266" i="10"/>
  <c r="Z226" i="10"/>
  <c r="AC226" i="10"/>
  <c r="Q66" i="5"/>
  <c r="R66" i="5" s="1"/>
  <c r="S66" i="5"/>
  <c r="Z203" i="10"/>
  <c r="AC203" i="10"/>
  <c r="AC224" i="10"/>
  <c r="Z224" i="10"/>
  <c r="W89" i="10"/>
  <c r="U89" i="10"/>
  <c r="V89" i="10" s="1"/>
  <c r="AT89" i="10" s="1"/>
  <c r="Z164" i="10"/>
  <c r="X164" i="10"/>
  <c r="Y164" i="10" s="1"/>
  <c r="U126" i="10"/>
  <c r="V126" i="10" s="1"/>
  <c r="AT126" i="10" s="1"/>
  <c r="W126" i="10"/>
  <c r="Z284" i="10"/>
  <c r="X284" i="10"/>
  <c r="Y284" i="10" s="1"/>
  <c r="AC209" i="10"/>
  <c r="Z209" i="10"/>
  <c r="Z60" i="10"/>
  <c r="X60" i="10"/>
  <c r="Y60" i="10" s="1"/>
  <c r="N66" i="5"/>
  <c r="O66" i="5" s="1"/>
  <c r="P66" i="5"/>
  <c r="U304" i="10"/>
  <c r="V304" i="10" s="1"/>
  <c r="AT304" i="10" s="1"/>
  <c r="W304" i="10"/>
  <c r="X118" i="10"/>
  <c r="Y118" i="10" s="1"/>
  <c r="Z118" i="10"/>
  <c r="N67" i="5"/>
  <c r="O67" i="5" s="1"/>
  <c r="P67" i="5"/>
  <c r="U33" i="10"/>
  <c r="V33" i="10" s="1"/>
  <c r="AT33" i="10" s="1"/>
  <c r="W33" i="10"/>
  <c r="Z35" i="10"/>
  <c r="X35" i="10"/>
  <c r="Y35" i="10" s="1"/>
  <c r="P85" i="5"/>
  <c r="N85" i="5"/>
  <c r="O85" i="5" s="1"/>
  <c r="X269" i="10"/>
  <c r="Y269" i="10" s="1"/>
  <c r="Z269" i="10"/>
  <c r="W106" i="10"/>
  <c r="U106" i="10"/>
  <c r="V106" i="10" s="1"/>
  <c r="AT106" i="10" s="1"/>
  <c r="P75" i="5"/>
  <c r="N75" i="5"/>
  <c r="O75" i="5" s="1"/>
  <c r="S42" i="5"/>
  <c r="Q42" i="5"/>
  <c r="R42" i="5" s="1"/>
  <c r="S77" i="5"/>
  <c r="Q77" i="5"/>
  <c r="R77" i="5" s="1"/>
  <c r="W70" i="10"/>
  <c r="U70" i="10"/>
  <c r="V70" i="10" s="1"/>
  <c r="AT70" i="10" s="1"/>
  <c r="P81" i="5"/>
  <c r="N81" i="5"/>
  <c r="O81" i="5" s="1"/>
  <c r="U272" i="10"/>
  <c r="V272" i="10" s="1"/>
  <c r="AT272" i="10" s="1"/>
  <c r="W272" i="10"/>
  <c r="U99" i="10"/>
  <c r="V99" i="10" s="1"/>
  <c r="AT99" i="10" s="1"/>
  <c r="W99" i="10"/>
  <c r="AC184" i="10"/>
  <c r="Z184" i="10"/>
  <c r="Z92" i="10"/>
  <c r="X92" i="10"/>
  <c r="Y92" i="10" s="1"/>
  <c r="W122" i="10"/>
  <c r="U122" i="10"/>
  <c r="V122" i="10" s="1"/>
  <c r="AT122" i="10" s="1"/>
  <c r="Q71" i="5"/>
  <c r="R71" i="5" s="1"/>
  <c r="S71" i="5"/>
  <c r="U72" i="10"/>
  <c r="V72" i="10" s="1"/>
  <c r="AT72" i="10" s="1"/>
  <c r="W72" i="10"/>
  <c r="W77" i="10"/>
  <c r="U77" i="10"/>
  <c r="V77" i="10" s="1"/>
  <c r="AT77" i="10" s="1"/>
  <c r="X83" i="10"/>
  <c r="Y83" i="10" s="1"/>
  <c r="Z83" i="10"/>
  <c r="W130" i="10"/>
  <c r="U130" i="10"/>
  <c r="V130" i="10" s="1"/>
  <c r="AT130" i="10" s="1"/>
  <c r="U125" i="10"/>
  <c r="V125" i="10" s="1"/>
  <c r="AT125" i="10" s="1"/>
  <c r="W125" i="10"/>
  <c r="N83" i="5"/>
  <c r="O83" i="5" s="1"/>
  <c r="P83" i="5"/>
  <c r="Z113" i="10"/>
  <c r="X113" i="10"/>
  <c r="Y113" i="10" s="1"/>
  <c r="Z278" i="10"/>
  <c r="X278" i="10"/>
  <c r="Y278" i="10" s="1"/>
  <c r="AC175" i="10"/>
  <c r="Z175" i="10"/>
  <c r="X133" i="10"/>
  <c r="Y133" i="10" s="1"/>
  <c r="Z133" i="10"/>
  <c r="W54" i="10"/>
  <c r="U54" i="10"/>
  <c r="V54" i="10" s="1"/>
  <c r="AT54" i="10" s="1"/>
  <c r="Z188" i="10"/>
  <c r="AC188" i="10"/>
  <c r="W298" i="10"/>
  <c r="U298" i="10"/>
  <c r="V298" i="10" s="1"/>
  <c r="AT298" i="10" s="1"/>
  <c r="X105" i="10"/>
  <c r="Y105" i="10" s="1"/>
  <c r="Z105" i="10"/>
  <c r="U155" i="10"/>
  <c r="V155" i="10" s="1"/>
  <c r="W155" i="10"/>
  <c r="U283" i="10"/>
  <c r="V283" i="10" s="1"/>
  <c r="AT283" i="10" s="1"/>
  <c r="W283" i="10"/>
  <c r="Z112" i="10"/>
  <c r="X112" i="10"/>
  <c r="Y112" i="10" s="1"/>
  <c r="U284" i="10"/>
  <c r="V284" i="10" s="1"/>
  <c r="AT284" i="10" s="1"/>
  <c r="W284" i="10"/>
  <c r="W121" i="10"/>
  <c r="U121" i="10"/>
  <c r="V121" i="10" s="1"/>
  <c r="AT121" i="10" s="1"/>
  <c r="X165" i="10"/>
  <c r="Y165" i="10" s="1"/>
  <c r="Z165" i="10"/>
  <c r="W39" i="10"/>
  <c r="U39" i="10"/>
  <c r="V39" i="10" s="1"/>
  <c r="AT39" i="10" s="1"/>
  <c r="U158" i="10"/>
  <c r="V158" i="10" s="1"/>
  <c r="AT158" i="10" s="1"/>
  <c r="W158" i="10"/>
  <c r="X73" i="10"/>
  <c r="Y73" i="10" s="1"/>
  <c r="Z73" i="10"/>
  <c r="W103" i="10"/>
  <c r="U103" i="10"/>
  <c r="V103" i="10" s="1"/>
  <c r="AT103" i="10" s="1"/>
  <c r="U256" i="10"/>
  <c r="V256" i="10" s="1"/>
  <c r="AT256" i="10" s="1"/>
  <c r="W256" i="10"/>
  <c r="AC196" i="10"/>
  <c r="Z196" i="10"/>
  <c r="X57" i="10"/>
  <c r="Y57" i="10" s="1"/>
  <c r="Z57" i="10"/>
  <c r="Z62" i="10"/>
  <c r="X62" i="10"/>
  <c r="Y62" i="10" s="1"/>
  <c r="Q58" i="5"/>
  <c r="R58" i="5" s="1"/>
  <c r="S58" i="5"/>
  <c r="X109" i="10"/>
  <c r="Y109" i="10" s="1"/>
  <c r="Z109" i="10"/>
  <c r="X272" i="10"/>
  <c r="Y272" i="10" s="1"/>
  <c r="Z272" i="10"/>
  <c r="Z110" i="10"/>
  <c r="X110" i="10"/>
  <c r="Y110" i="10" s="1"/>
  <c r="Z157" i="10"/>
  <c r="X157" i="10"/>
  <c r="Y157" i="10" s="1"/>
  <c r="W114" i="10"/>
  <c r="U114" i="10"/>
  <c r="V114" i="10" s="1"/>
  <c r="AT114" i="10" s="1"/>
  <c r="W156" i="10"/>
  <c r="U156" i="10"/>
  <c r="V156" i="10" s="1"/>
  <c r="AT156" i="10" s="1"/>
  <c r="U292" i="10"/>
  <c r="V292" i="10" s="1"/>
  <c r="AT292" i="10" s="1"/>
  <c r="W292" i="10"/>
  <c r="W44" i="10"/>
  <c r="U44" i="10"/>
  <c r="V44" i="10" s="1"/>
  <c r="AT44" i="10" s="1"/>
  <c r="X48" i="10"/>
  <c r="Y48" i="10" s="1"/>
  <c r="Z48" i="10"/>
  <c r="AD42" i="11"/>
  <c r="AA42" i="11"/>
  <c r="R23" i="14"/>
  <c r="P23" i="14"/>
  <c r="P13" i="9"/>
  <c r="R13" i="9"/>
  <c r="V13" i="9" s="1"/>
  <c r="W13" i="9" s="1"/>
  <c r="U24" i="9"/>
  <c r="S24" i="9"/>
  <c r="T24" i="9" s="1"/>
  <c r="R19" i="9"/>
  <c r="V19" i="9" s="1"/>
  <c r="W19" i="9" s="1"/>
  <c r="P19" i="9"/>
  <c r="AA41" i="11"/>
  <c r="AD41" i="11"/>
  <c r="X32" i="11"/>
  <c r="V32" i="11"/>
  <c r="W32" i="11" s="1"/>
  <c r="AU32" i="11" s="1"/>
  <c r="AA15" i="11"/>
  <c r="Y15" i="11"/>
  <c r="Z15" i="11" s="1"/>
  <c r="AD38" i="11"/>
  <c r="AA38" i="11"/>
  <c r="R39" i="16"/>
  <c r="P39" i="16"/>
  <c r="AA11" i="11"/>
  <c r="AD11" i="11"/>
  <c r="AA154" i="11"/>
  <c r="AD154" i="11"/>
  <c r="X19" i="11"/>
  <c r="V19" i="11"/>
  <c r="W19" i="11" s="1"/>
  <c r="AU19" i="11" s="1"/>
  <c r="N50" i="5"/>
  <c r="O50" i="5" s="1"/>
  <c r="P50" i="5"/>
  <c r="R16" i="9"/>
  <c r="V16" i="9" s="1"/>
  <c r="W16" i="9" s="1"/>
  <c r="P16" i="9"/>
  <c r="S143" i="14"/>
  <c r="T143" i="14" s="1"/>
  <c r="U143" i="14"/>
  <c r="U21" i="9"/>
  <c r="S21" i="9"/>
  <c r="T21" i="9" s="1"/>
  <c r="O43" i="16"/>
  <c r="M43" i="16"/>
  <c r="Y51" i="11"/>
  <c r="Z51" i="11" s="1"/>
  <c r="AA51" i="11"/>
  <c r="AA43" i="11"/>
  <c r="AD43" i="11"/>
  <c r="P10" i="14"/>
  <c r="R10" i="14"/>
  <c r="S11" i="9"/>
  <c r="T11" i="9" s="1"/>
  <c r="U11" i="9"/>
  <c r="U15" i="9"/>
  <c r="S15" i="9"/>
  <c r="T15" i="9" s="1"/>
  <c r="R14" i="14"/>
  <c r="P14" i="14"/>
  <c r="P21" i="9"/>
  <c r="R21" i="9"/>
  <c r="V21" i="9" s="1"/>
  <c r="W21" i="9" s="1"/>
  <c r="P15" i="14"/>
  <c r="R15" i="14"/>
  <c r="R50" i="16"/>
  <c r="P50" i="16"/>
  <c r="Z148" i="10"/>
  <c r="AC148" i="10"/>
  <c r="S59" i="9"/>
  <c r="T59" i="9" s="1"/>
  <c r="U59" i="9"/>
  <c r="AA23" i="11"/>
  <c r="Y23" i="11"/>
  <c r="Z23" i="11" s="1"/>
  <c r="AC11" i="10"/>
  <c r="Z11" i="10"/>
  <c r="S27" i="9"/>
  <c r="T27" i="9" s="1"/>
  <c r="U27" i="9"/>
  <c r="S21" i="14"/>
  <c r="T21" i="14" s="1"/>
  <c r="U21" i="14"/>
  <c r="S60" i="9"/>
  <c r="T60" i="9" s="1"/>
  <c r="U60" i="9"/>
  <c r="AA33" i="11"/>
  <c r="AD33" i="11"/>
  <c r="AC149" i="10"/>
  <c r="Z149" i="10"/>
  <c r="R12" i="9"/>
  <c r="V12" i="9" s="1"/>
  <c r="W12" i="9" s="1"/>
  <c r="P12" i="9"/>
  <c r="R45" i="16"/>
  <c r="P45" i="16"/>
  <c r="U10" i="14"/>
  <c r="S10" i="14"/>
  <c r="T10" i="14" s="1"/>
  <c r="Z153" i="10"/>
  <c r="AC153" i="10"/>
  <c r="U6" i="9"/>
  <c r="X6" i="9"/>
  <c r="R53" i="16"/>
  <c r="P53" i="16"/>
  <c r="P19" i="14"/>
  <c r="R19" i="14"/>
  <c r="U12" i="9"/>
  <c r="S12" i="9"/>
  <c r="T12" i="9" s="1"/>
  <c r="P56" i="9"/>
  <c r="R56" i="9"/>
  <c r="V56" i="9" s="1"/>
  <c r="W56" i="9" s="1"/>
  <c r="P59" i="9"/>
  <c r="R59" i="9"/>
  <c r="V59" i="9" s="1"/>
  <c r="W59" i="9" s="1"/>
  <c r="AD158" i="11"/>
  <c r="AA158" i="11"/>
  <c r="AA19" i="11"/>
  <c r="Y19" i="11"/>
  <c r="Z19" i="11" s="1"/>
  <c r="S17" i="9"/>
  <c r="T17" i="9" s="1"/>
  <c r="U17" i="9"/>
  <c r="S11" i="14"/>
  <c r="T11" i="14" s="1"/>
  <c r="U11" i="14"/>
  <c r="AD155" i="11"/>
  <c r="AA155" i="11"/>
  <c r="R22" i="14"/>
  <c r="P22" i="14"/>
  <c r="P17" i="9"/>
  <c r="R17" i="9"/>
  <c r="V17" i="9" s="1"/>
  <c r="W17" i="9" s="1"/>
  <c r="R23" i="9"/>
  <c r="V23" i="9" s="1"/>
  <c r="W23" i="9" s="1"/>
  <c r="P23" i="9"/>
  <c r="R8" i="14"/>
  <c r="P8" i="14"/>
  <c r="N93" i="5"/>
  <c r="O93" i="5" s="1"/>
  <c r="P93" i="5"/>
  <c r="S9" i="9"/>
  <c r="T9" i="9" s="1"/>
  <c r="U9" i="9"/>
  <c r="X9" i="9"/>
  <c r="U130" i="14"/>
  <c r="S130" i="14"/>
  <c r="T130" i="14" s="1"/>
  <c r="X16" i="11"/>
  <c r="V16" i="11"/>
  <c r="W16" i="11" s="1"/>
  <c r="AU16" i="11" s="1"/>
  <c r="S13" i="14"/>
  <c r="T13" i="14" s="1"/>
  <c r="U13" i="14"/>
  <c r="AA154" i="1"/>
  <c r="T154" i="1"/>
  <c r="AN154" i="1" s="1"/>
  <c r="AM154" i="1"/>
  <c r="Z182" i="1"/>
  <c r="W182" i="1"/>
  <c r="Y145" i="1"/>
  <c r="Z145" i="1" s="1"/>
  <c r="V145" i="1"/>
  <c r="W145" i="1" s="1"/>
  <c r="AA77" i="1"/>
  <c r="AM77" i="1"/>
  <c r="T77" i="1"/>
  <c r="AN77" i="1" s="1"/>
  <c r="AM94" i="1"/>
  <c r="AA94" i="1"/>
  <c r="T94" i="1"/>
  <c r="AN94" i="1" s="1"/>
  <c r="P65" i="16"/>
  <c r="R65" i="16"/>
  <c r="AA46" i="11"/>
  <c r="Y46" i="11"/>
  <c r="Z46" i="11" s="1"/>
  <c r="V152" i="1"/>
  <c r="W152" i="1" s="1"/>
  <c r="Y152" i="1"/>
  <c r="Z152" i="1" s="1"/>
  <c r="V159" i="1"/>
  <c r="W159" i="1" s="1"/>
  <c r="Y159" i="1"/>
  <c r="Z159" i="1" s="1"/>
  <c r="X182" i="1"/>
  <c r="AA182" i="1"/>
  <c r="T61" i="1"/>
  <c r="AN61" i="1" s="1"/>
  <c r="AM61" i="1"/>
  <c r="AA61" i="1"/>
  <c r="P62" i="16"/>
  <c r="R62" i="16"/>
  <c r="O58" i="16"/>
  <c r="M58" i="16"/>
  <c r="V83" i="1"/>
  <c r="W83" i="1" s="1"/>
  <c r="X83" i="1"/>
  <c r="AC13" i="10"/>
  <c r="Z13" i="10"/>
  <c r="AM125" i="1"/>
  <c r="AA125" i="1"/>
  <c r="T125" i="1"/>
  <c r="AN125" i="1" s="1"/>
  <c r="AA39" i="1"/>
  <c r="T39" i="1"/>
  <c r="AN39" i="1" s="1"/>
  <c r="AM39" i="1"/>
  <c r="T143" i="1"/>
  <c r="AN143" i="1" s="1"/>
  <c r="AM143" i="1"/>
  <c r="AA143" i="1"/>
  <c r="AA171" i="1"/>
  <c r="X171" i="1"/>
  <c r="T50" i="1"/>
  <c r="AN50" i="1" s="1"/>
  <c r="AA50" i="1"/>
  <c r="AM50" i="1"/>
  <c r="AM170" i="1"/>
  <c r="T170" i="1"/>
  <c r="AN170" i="1" s="1"/>
  <c r="AA170" i="1"/>
  <c r="T156" i="1"/>
  <c r="AN156" i="1" s="1"/>
  <c r="AA156" i="1"/>
  <c r="AM156" i="1"/>
  <c r="M68" i="16"/>
  <c r="O68" i="16"/>
  <c r="M37" i="16"/>
  <c r="O37" i="16"/>
  <c r="V52" i="1"/>
  <c r="W52" i="1" s="1"/>
  <c r="Y52" i="1"/>
  <c r="Z52" i="1" s="1"/>
  <c r="W68" i="1"/>
  <c r="Z68" i="1"/>
  <c r="AA198" i="1"/>
  <c r="AM198" i="1"/>
  <c r="T198" i="1"/>
  <c r="AN198" i="1" s="1"/>
  <c r="V172" i="1"/>
  <c r="W172" i="1" s="1"/>
  <c r="Y172" i="1"/>
  <c r="Z172" i="1" s="1"/>
  <c r="V193" i="1"/>
  <c r="W193" i="1" s="1"/>
  <c r="Y193" i="1"/>
  <c r="Z193" i="1" s="1"/>
  <c r="T113" i="1"/>
  <c r="AN113" i="1" s="1"/>
  <c r="AA113" i="1"/>
  <c r="AM113" i="1"/>
  <c r="P68" i="16"/>
  <c r="R68" i="16"/>
  <c r="R60" i="16"/>
  <c r="P60" i="16"/>
  <c r="S42" i="1"/>
  <c r="U42" i="1"/>
  <c r="V155" i="1"/>
  <c r="W155" i="1" s="1"/>
  <c r="Y155" i="1"/>
  <c r="Z155" i="1" s="1"/>
  <c r="V39" i="1"/>
  <c r="W39" i="1" s="1"/>
  <c r="Y39" i="1"/>
  <c r="Z39" i="1" s="1"/>
  <c r="Y143" i="1"/>
  <c r="Z143" i="1" s="1"/>
  <c r="V143" i="1"/>
  <c r="W143" i="1" s="1"/>
  <c r="R55" i="16"/>
  <c r="P55" i="16"/>
  <c r="U83" i="1"/>
  <c r="S83" i="1"/>
  <c r="V124" i="1"/>
  <c r="W124" i="1" s="1"/>
  <c r="X124" i="1"/>
  <c r="U122" i="1"/>
  <c r="S122" i="1"/>
  <c r="V12" i="1"/>
  <c r="W12" i="1" s="1"/>
  <c r="Y12" i="1"/>
  <c r="Z12" i="1" s="1"/>
  <c r="V92" i="1"/>
  <c r="W92" i="1" s="1"/>
  <c r="Y92" i="1"/>
  <c r="Z92" i="1" s="1"/>
  <c r="Y114" i="1"/>
  <c r="Z114" i="1" s="1"/>
  <c r="V114" i="1"/>
  <c r="W114" i="1" s="1"/>
  <c r="Y198" i="1"/>
  <c r="Z198" i="1" s="1"/>
  <c r="V198" i="1"/>
  <c r="W198" i="1" s="1"/>
  <c r="V15" i="1"/>
  <c r="W15" i="1" s="1"/>
  <c r="Y15" i="1"/>
  <c r="Z15" i="1" s="1"/>
  <c r="P56" i="16"/>
  <c r="R56" i="16"/>
  <c r="Y129" i="1"/>
  <c r="Z129" i="1" s="1"/>
  <c r="V129" i="1"/>
  <c r="W129" i="1" s="1"/>
  <c r="V34" i="1"/>
  <c r="W34" i="1" s="1"/>
  <c r="Y34" i="1"/>
  <c r="Z34" i="1" s="1"/>
  <c r="Y54" i="1"/>
  <c r="Z54" i="1" s="1"/>
  <c r="V54" i="1"/>
  <c r="W54" i="1" s="1"/>
  <c r="T59" i="1"/>
  <c r="AN59" i="1" s="1"/>
  <c r="AM59" i="1"/>
  <c r="AA59" i="1"/>
  <c r="P54" i="16"/>
  <c r="R54" i="16"/>
  <c r="S44" i="1"/>
  <c r="U44" i="1"/>
  <c r="T93" i="1"/>
  <c r="AN93" i="1" s="1"/>
  <c r="AM93" i="1"/>
  <c r="AA93" i="1"/>
  <c r="W47" i="1"/>
  <c r="Z47" i="1"/>
  <c r="V180" i="1"/>
  <c r="W180" i="1" s="1"/>
  <c r="Y180" i="1"/>
  <c r="Z180" i="1" s="1"/>
  <c r="V90" i="1"/>
  <c r="W90" i="1" s="1"/>
  <c r="Y90" i="1"/>
  <c r="Z90" i="1" s="1"/>
  <c r="AM159" i="1"/>
  <c r="AA159" i="1"/>
  <c r="T159" i="1"/>
  <c r="AN159" i="1" s="1"/>
  <c r="AM34" i="1"/>
  <c r="T34" i="1"/>
  <c r="AN34" i="1" s="1"/>
  <c r="AA34" i="1"/>
  <c r="AM9" i="1"/>
  <c r="AA9" i="1"/>
  <c r="T9" i="1"/>
  <c r="AN9" i="1" s="1"/>
  <c r="W28" i="1"/>
  <c r="Z28" i="1"/>
  <c r="T130" i="1"/>
  <c r="AN130" i="1" s="1"/>
  <c r="AM130" i="1"/>
  <c r="AA130" i="1"/>
  <c r="T104" i="1"/>
  <c r="AN104" i="1" s="1"/>
  <c r="AM104" i="1"/>
  <c r="AA104" i="1"/>
  <c r="V157" i="1"/>
  <c r="W157" i="1" s="1"/>
  <c r="Y157" i="1"/>
  <c r="Z157" i="1" s="1"/>
  <c r="R35" i="16"/>
  <c r="P35" i="16"/>
  <c r="Y8" i="1"/>
  <c r="Z8" i="1" s="1"/>
  <c r="V8" i="1"/>
  <c r="W8" i="1" s="1"/>
  <c r="Y197" i="1"/>
  <c r="Z197" i="1" s="1"/>
  <c r="V197" i="1"/>
  <c r="W197" i="1" s="1"/>
  <c r="V60" i="1"/>
  <c r="W60" i="1" s="1"/>
  <c r="Y60" i="1"/>
  <c r="Z60" i="1" s="1"/>
  <c r="AM45" i="1"/>
  <c r="AA45" i="1"/>
  <c r="T45" i="1"/>
  <c r="AN45" i="1" s="1"/>
  <c r="Y24" i="1"/>
  <c r="Z24" i="1" s="1"/>
  <c r="V24" i="1"/>
  <c r="W24" i="1" s="1"/>
  <c r="AA132" i="1"/>
  <c r="T132" i="1"/>
  <c r="AN132" i="1" s="1"/>
  <c r="AM132" i="1"/>
  <c r="AA105" i="1"/>
  <c r="AM105" i="1"/>
  <c r="T105" i="1"/>
  <c r="AN105" i="1" s="1"/>
  <c r="V140" i="1"/>
  <c r="W140" i="1" s="1"/>
  <c r="Y140" i="1"/>
  <c r="Z140" i="1" s="1"/>
  <c r="AM35" i="1"/>
  <c r="T35" i="1"/>
  <c r="AN35" i="1" s="1"/>
  <c r="AA35" i="1"/>
  <c r="S124" i="1"/>
  <c r="U124" i="1"/>
  <c r="R47" i="16"/>
  <c r="P47" i="16"/>
  <c r="T180" i="1"/>
  <c r="AN180" i="1" s="1"/>
  <c r="AM180" i="1"/>
  <c r="AA180" i="1"/>
  <c r="Y137" i="1"/>
  <c r="Z137" i="1" s="1"/>
  <c r="V137" i="1"/>
  <c r="W137" i="1" s="1"/>
  <c r="AA174" i="1"/>
  <c r="T174" i="1"/>
  <c r="AN174" i="1" s="1"/>
  <c r="AM174" i="1"/>
  <c r="V93" i="1"/>
  <c r="W93" i="1" s="1"/>
  <c r="Y93" i="1"/>
  <c r="Z93" i="1" s="1"/>
  <c r="V13" i="1"/>
  <c r="W13" i="1" s="1"/>
  <c r="Y13" i="1"/>
  <c r="Z13" i="1" s="1"/>
  <c r="V183" i="1"/>
  <c r="W183" i="1" s="1"/>
  <c r="Y183" i="1"/>
  <c r="Z183" i="1" s="1"/>
  <c r="V27" i="1"/>
  <c r="W27" i="1" s="1"/>
  <c r="Y27" i="1"/>
  <c r="Z27" i="1" s="1"/>
  <c r="V156" i="1"/>
  <c r="W156" i="1" s="1"/>
  <c r="Y156" i="1"/>
  <c r="Z156" i="1" s="1"/>
  <c r="R18" i="16"/>
  <c r="P18" i="16"/>
  <c r="T107" i="1"/>
  <c r="AN107" i="1" s="1"/>
  <c r="AA107" i="1"/>
  <c r="AM107" i="1"/>
  <c r="V38" i="1"/>
  <c r="W38" i="1" s="1"/>
  <c r="Y38" i="1"/>
  <c r="Z38" i="1" s="1"/>
  <c r="U200" i="1"/>
  <c r="S200" i="1"/>
  <c r="W66" i="1"/>
  <c r="Z66" i="1"/>
  <c r="W102" i="1"/>
  <c r="Z102" i="1"/>
  <c r="AA176" i="1"/>
  <c r="X176" i="1"/>
  <c r="O62" i="16"/>
  <c r="M62" i="16"/>
  <c r="V80" i="1"/>
  <c r="W80" i="1" s="1"/>
  <c r="Y80" i="1"/>
  <c r="Z80" i="1" s="1"/>
  <c r="V130" i="1"/>
  <c r="W130" i="1" s="1"/>
  <c r="Y130" i="1"/>
  <c r="Z130" i="1" s="1"/>
  <c r="T60" i="1"/>
  <c r="AN60" i="1" s="1"/>
  <c r="AA60" i="1"/>
  <c r="AM60" i="1"/>
  <c r="Z185" i="1"/>
  <c r="W185" i="1"/>
  <c r="M57" i="16"/>
  <c r="O57" i="16"/>
  <c r="P44" i="16"/>
  <c r="R44" i="16"/>
  <c r="P51" i="16"/>
  <c r="R51" i="16"/>
  <c r="W7" i="1"/>
  <c r="Z7" i="1"/>
  <c r="AM133" i="1"/>
  <c r="AA133" i="1"/>
  <c r="T133" i="1"/>
  <c r="AN133" i="1" s="1"/>
  <c r="V186" i="1"/>
  <c r="W186" i="1" s="1"/>
  <c r="Y186" i="1"/>
  <c r="Z186" i="1" s="1"/>
  <c r="Y120" i="1"/>
  <c r="Z120" i="1" s="1"/>
  <c r="V120" i="1"/>
  <c r="W120" i="1" s="1"/>
  <c r="AA90" i="1"/>
  <c r="AM90" i="1"/>
  <c r="T90" i="1"/>
  <c r="AN90" i="1" s="1"/>
  <c r="R36" i="16"/>
  <c r="P36" i="16"/>
  <c r="X16" i="1"/>
  <c r="AA16" i="1"/>
  <c r="T15" i="1"/>
  <c r="AN15" i="1" s="1"/>
  <c r="AM15" i="1"/>
  <c r="AA15" i="1"/>
  <c r="T92" i="1"/>
  <c r="AN92" i="1" s="1"/>
  <c r="AA92" i="1"/>
  <c r="AM92" i="1"/>
  <c r="Y61" i="1"/>
  <c r="Z61" i="1" s="1"/>
  <c r="V61" i="1"/>
  <c r="W61" i="1" s="1"/>
  <c r="R43" i="16"/>
  <c r="P43" i="16"/>
  <c r="T115" i="1"/>
  <c r="AN115" i="1" s="1"/>
  <c r="AA115" i="1"/>
  <c r="AM115" i="1"/>
  <c r="V178" i="1"/>
  <c r="W178" i="1" s="1"/>
  <c r="Y178" i="1"/>
  <c r="Z178" i="1" s="1"/>
  <c r="Y37" i="1"/>
  <c r="Z37" i="1" s="1"/>
  <c r="V37" i="1"/>
  <c r="W37" i="1" s="1"/>
  <c r="V169" i="1"/>
  <c r="W169" i="1" s="1"/>
  <c r="Y169" i="1"/>
  <c r="Z169" i="1" s="1"/>
  <c r="AA49" i="1"/>
  <c r="T49" i="1"/>
  <c r="AN49" i="1" s="1"/>
  <c r="AM49" i="1"/>
  <c r="Y31" i="1"/>
  <c r="Z31" i="1" s="1"/>
  <c r="V31" i="1"/>
  <c r="W31" i="1" s="1"/>
  <c r="AA41" i="1"/>
  <c r="AM41" i="1"/>
  <c r="T41" i="1"/>
  <c r="AN41" i="1" s="1"/>
  <c r="AM112" i="1"/>
  <c r="T112" i="1"/>
  <c r="AN112" i="1" s="1"/>
  <c r="AA112" i="1"/>
  <c r="AM194" i="1"/>
  <c r="T194" i="1"/>
  <c r="AN194" i="1" s="1"/>
  <c r="AA194" i="1"/>
  <c r="O17" i="16"/>
  <c r="M17" i="16"/>
  <c r="M38" i="16"/>
  <c r="O38" i="16"/>
  <c r="Z189" i="10"/>
  <c r="AC189" i="10"/>
  <c r="U100" i="10"/>
  <c r="V100" i="10" s="1"/>
  <c r="AT100" i="10" s="1"/>
  <c r="W100" i="10"/>
  <c r="W71" i="10"/>
  <c r="U71" i="10"/>
  <c r="V71" i="10" s="1"/>
  <c r="AT71" i="10" s="1"/>
  <c r="U88" i="10"/>
  <c r="V88" i="10" s="1"/>
  <c r="AT88" i="10" s="1"/>
  <c r="W88" i="10"/>
  <c r="Z183" i="10"/>
  <c r="AC183" i="10"/>
  <c r="U241" i="10"/>
  <c r="V241" i="10" s="1"/>
  <c r="AT241" i="10" s="1"/>
  <c r="W241" i="10"/>
  <c r="W128" i="10"/>
  <c r="U128" i="10"/>
  <c r="V128" i="10" s="1"/>
  <c r="AT128" i="10" s="1"/>
  <c r="P72" i="5"/>
  <c r="N72" i="5"/>
  <c r="O72" i="5" s="1"/>
  <c r="Z95" i="10"/>
  <c r="X95" i="10"/>
  <c r="Y95" i="10" s="1"/>
  <c r="U245" i="10"/>
  <c r="V245" i="10" s="1"/>
  <c r="AT245" i="10" s="1"/>
  <c r="W245" i="10"/>
  <c r="Z219" i="10"/>
  <c r="AC219" i="10"/>
  <c r="Z27" i="10"/>
  <c r="AC27" i="10"/>
  <c r="W66" i="10"/>
  <c r="U66" i="10"/>
  <c r="V66" i="10" s="1"/>
  <c r="AT66" i="10" s="1"/>
  <c r="U248" i="10"/>
  <c r="V248" i="10" s="1"/>
  <c r="AT248" i="10" s="1"/>
  <c r="W248" i="10"/>
  <c r="X162" i="10"/>
  <c r="Y162" i="10" s="1"/>
  <c r="Z162" i="10"/>
  <c r="Z258" i="10"/>
  <c r="X258" i="10"/>
  <c r="Y258" i="10" s="1"/>
  <c r="Z173" i="10"/>
  <c r="AC173" i="10"/>
  <c r="U277" i="10"/>
  <c r="V277" i="10" s="1"/>
  <c r="AT277" i="10" s="1"/>
  <c r="W277" i="10"/>
  <c r="Z230" i="10"/>
  <c r="AC230" i="10"/>
  <c r="U279" i="10"/>
  <c r="V279" i="10" s="1"/>
  <c r="AT279" i="10" s="1"/>
  <c r="W279" i="10"/>
  <c r="AC237" i="10"/>
  <c r="Z237" i="10"/>
  <c r="Z257" i="10"/>
  <c r="X257" i="10"/>
  <c r="Y257" i="10" s="1"/>
  <c r="Z234" i="10"/>
  <c r="AC234" i="10"/>
  <c r="Z305" i="10"/>
  <c r="X305" i="10"/>
  <c r="Y305" i="10" s="1"/>
  <c r="S57" i="5"/>
  <c r="Q57" i="5"/>
  <c r="R57" i="5" s="1"/>
  <c r="Z274" i="10"/>
  <c r="X274" i="10"/>
  <c r="Y274" i="10" s="1"/>
  <c r="Z271" i="10"/>
  <c r="X271" i="10"/>
  <c r="Y271" i="10" s="1"/>
  <c r="P79" i="5"/>
  <c r="N79" i="5"/>
  <c r="O79" i="5" s="1"/>
  <c r="N71" i="5"/>
  <c r="O71" i="5" s="1"/>
  <c r="P71" i="5"/>
  <c r="X67" i="10"/>
  <c r="Y67" i="10" s="1"/>
  <c r="Z67" i="10"/>
  <c r="U258" i="10"/>
  <c r="V258" i="10" s="1"/>
  <c r="AT258" i="10" s="1"/>
  <c r="W258" i="10"/>
  <c r="P57" i="5"/>
  <c r="N57" i="5"/>
  <c r="O57" i="5" s="1"/>
  <c r="Z127" i="10"/>
  <c r="X127" i="10"/>
  <c r="Y127" i="10" s="1"/>
  <c r="P68" i="5"/>
  <c r="N68" i="5"/>
  <c r="O68" i="5" s="1"/>
  <c r="U242" i="10"/>
  <c r="V242" i="10" s="1"/>
  <c r="AT242" i="10" s="1"/>
  <c r="W242" i="10"/>
  <c r="Q79" i="5"/>
  <c r="R79" i="5" s="1"/>
  <c r="S79" i="5"/>
  <c r="N74" i="5"/>
  <c r="O74" i="5" s="1"/>
  <c r="P74" i="5"/>
  <c r="Z279" i="10"/>
  <c r="X279" i="10"/>
  <c r="Y279" i="10" s="1"/>
  <c r="Z264" i="10"/>
  <c r="X264" i="10"/>
  <c r="Y264" i="10" s="1"/>
  <c r="X96" i="10"/>
  <c r="Y96" i="10" s="1"/>
  <c r="Z96" i="10"/>
  <c r="Z89" i="10"/>
  <c r="X89" i="10"/>
  <c r="Y89" i="10" s="1"/>
  <c r="Z68" i="10"/>
  <c r="X68" i="10"/>
  <c r="Y68" i="10" s="1"/>
  <c r="U35" i="10"/>
  <c r="V35" i="10" s="1"/>
  <c r="AT35" i="10" s="1"/>
  <c r="W35" i="10"/>
  <c r="AC26" i="10"/>
  <c r="Z26" i="10"/>
  <c r="U34" i="10"/>
  <c r="V34" i="10" s="1"/>
  <c r="AT34" i="10" s="1"/>
  <c r="W34" i="10"/>
  <c r="AC22" i="10"/>
  <c r="Z22" i="10"/>
  <c r="N70" i="5"/>
  <c r="O70" i="5" s="1"/>
  <c r="P70" i="5"/>
  <c r="Z295" i="10"/>
  <c r="X295" i="10"/>
  <c r="Y295" i="10" s="1"/>
  <c r="Z169" i="10"/>
  <c r="AC169" i="10"/>
  <c r="W290" i="10"/>
  <c r="U290" i="10"/>
  <c r="V290" i="10" s="1"/>
  <c r="AT290" i="10" s="1"/>
  <c r="U252" i="10"/>
  <c r="V252" i="10" s="1"/>
  <c r="AT252" i="10" s="1"/>
  <c r="W252" i="10"/>
  <c r="Z247" i="10"/>
  <c r="X247" i="10"/>
  <c r="Y247" i="10" s="1"/>
  <c r="P65" i="5"/>
  <c r="N65" i="5"/>
  <c r="O65" i="5" s="1"/>
  <c r="X261" i="10"/>
  <c r="Y261" i="10" s="1"/>
  <c r="Z261" i="10"/>
  <c r="U295" i="10"/>
  <c r="V295" i="10" s="1"/>
  <c r="AT295" i="10" s="1"/>
  <c r="W295" i="10"/>
  <c r="U67" i="10"/>
  <c r="V67" i="10" s="1"/>
  <c r="AT67" i="10" s="1"/>
  <c r="W67" i="10"/>
  <c r="W270" i="10"/>
  <c r="U270" i="10"/>
  <c r="V270" i="10" s="1"/>
  <c r="AT270" i="10" s="1"/>
  <c r="Z178" i="10"/>
  <c r="AC178" i="10"/>
  <c r="Z275" i="10"/>
  <c r="X275" i="10"/>
  <c r="Y275" i="10" s="1"/>
  <c r="Q75" i="5"/>
  <c r="R75" i="5" s="1"/>
  <c r="S75" i="5"/>
  <c r="X116" i="10"/>
  <c r="Y116" i="10" s="1"/>
  <c r="Z116" i="10"/>
  <c r="X249" i="10"/>
  <c r="Y249" i="10" s="1"/>
  <c r="Z249" i="10"/>
  <c r="Z32" i="10"/>
  <c r="X32" i="10"/>
  <c r="Y32" i="10" s="1"/>
  <c r="S69" i="5"/>
  <c r="Q69" i="5"/>
  <c r="R69" i="5" s="1"/>
  <c r="U162" i="10"/>
  <c r="V162" i="10" s="1"/>
  <c r="AT162" i="10" s="1"/>
  <c r="W162" i="10"/>
  <c r="N80" i="5"/>
  <c r="O80" i="5" s="1"/>
  <c r="P80" i="5"/>
  <c r="U112" i="10"/>
  <c r="V112" i="10" s="1"/>
  <c r="AT112" i="10" s="1"/>
  <c r="W112" i="10"/>
  <c r="Z256" i="10"/>
  <c r="X256" i="10"/>
  <c r="Y256" i="10" s="1"/>
  <c r="P86" i="5"/>
  <c r="N86" i="5"/>
  <c r="O86" i="5" s="1"/>
  <c r="Z108" i="10"/>
  <c r="X108" i="10"/>
  <c r="Y108" i="10" s="1"/>
  <c r="Z200" i="10"/>
  <c r="AC200" i="10"/>
  <c r="X59" i="10"/>
  <c r="Y59" i="10" s="1"/>
  <c r="Z59" i="10"/>
  <c r="Z288" i="10"/>
  <c r="X288" i="10"/>
  <c r="Y288" i="10" s="1"/>
  <c r="X303" i="10"/>
  <c r="Y303" i="10" s="1"/>
  <c r="Z303" i="10"/>
  <c r="X285" i="10"/>
  <c r="Y285" i="10" s="1"/>
  <c r="Z285" i="10"/>
  <c r="X163" i="10"/>
  <c r="Y163" i="10" s="1"/>
  <c r="Z163" i="10"/>
  <c r="U108" i="10"/>
  <c r="V108" i="10" s="1"/>
  <c r="AT108" i="10" s="1"/>
  <c r="W108" i="10"/>
  <c r="U80" i="10"/>
  <c r="V80" i="10" s="1"/>
  <c r="AT80" i="10" s="1"/>
  <c r="W80" i="10"/>
  <c r="Z276" i="10"/>
  <c r="X276" i="10"/>
  <c r="Y276" i="10" s="1"/>
  <c r="Z201" i="10"/>
  <c r="AC201" i="10"/>
  <c r="X101" i="10"/>
  <c r="Y101" i="10" s="1"/>
  <c r="Z101" i="10"/>
  <c r="AC180" i="10"/>
  <c r="Z180" i="10"/>
  <c r="Z192" i="10"/>
  <c r="AC192" i="10"/>
  <c r="U62" i="10"/>
  <c r="V62" i="10" s="1"/>
  <c r="AT62" i="10" s="1"/>
  <c r="W62" i="10"/>
  <c r="Z155" i="10"/>
  <c r="X155" i="10"/>
  <c r="Y155" i="10" s="1"/>
  <c r="W117" i="10"/>
  <c r="U117" i="10"/>
  <c r="V117" i="10" s="1"/>
  <c r="AT117" i="10" s="1"/>
  <c r="U253" i="10"/>
  <c r="V253" i="10" s="1"/>
  <c r="AT253" i="10" s="1"/>
  <c r="W253" i="10"/>
  <c r="X286" i="10"/>
  <c r="Y286" i="10" s="1"/>
  <c r="Z286" i="10"/>
  <c r="U73" i="10"/>
  <c r="V73" i="10" s="1"/>
  <c r="AT73" i="10" s="1"/>
  <c r="W73" i="10"/>
  <c r="Z87" i="10"/>
  <c r="X87" i="10"/>
  <c r="Y87" i="10" s="1"/>
  <c r="U308" i="10"/>
  <c r="V308" i="10" s="1"/>
  <c r="AT308" i="10" s="1"/>
  <c r="W308" i="10"/>
  <c r="X114" i="10"/>
  <c r="Y114" i="10" s="1"/>
  <c r="Z114" i="10"/>
  <c r="Z222" i="10"/>
  <c r="AC222" i="10"/>
  <c r="Z39" i="10"/>
  <c r="X39" i="10"/>
  <c r="Y39" i="10" s="1"/>
  <c r="U94" i="10"/>
  <c r="V94" i="10" s="1"/>
  <c r="AT94" i="10" s="1"/>
  <c r="W94" i="10"/>
  <c r="U105" i="10"/>
  <c r="V105" i="10" s="1"/>
  <c r="AT105" i="10" s="1"/>
  <c r="W105" i="10"/>
  <c r="Q76" i="5"/>
  <c r="R76" i="5" s="1"/>
  <c r="S76" i="5"/>
  <c r="X161" i="10"/>
  <c r="Y161" i="10" s="1"/>
  <c r="Z161" i="10"/>
  <c r="Z94" i="10"/>
  <c r="X94" i="10"/>
  <c r="Y94" i="10" s="1"/>
  <c r="P41" i="5"/>
  <c r="N41" i="5"/>
  <c r="O41" i="5" s="1"/>
  <c r="Z121" i="10"/>
  <c r="X121" i="10"/>
  <c r="Y121" i="10" s="1"/>
  <c r="X306" i="10"/>
  <c r="Y306" i="10" s="1"/>
  <c r="Z306" i="10"/>
  <c r="AC221" i="10"/>
  <c r="Z221" i="10"/>
  <c r="Z259" i="10"/>
  <c r="X259" i="10"/>
  <c r="Y259" i="10" s="1"/>
  <c r="U85" i="10"/>
  <c r="V85" i="10" s="1"/>
  <c r="AT85" i="10" s="1"/>
  <c r="W85" i="10"/>
  <c r="X38" i="10"/>
  <c r="Y38" i="10" s="1"/>
  <c r="Z38" i="10"/>
  <c r="X250" i="10"/>
  <c r="Y250" i="10" s="1"/>
  <c r="Z250" i="10"/>
  <c r="Z231" i="10"/>
  <c r="AC231" i="10"/>
  <c r="AC233" i="10"/>
  <c r="Z233" i="10"/>
  <c r="X266" i="10"/>
  <c r="Y266" i="10" s="1"/>
  <c r="Z266" i="10"/>
  <c r="W301" i="10"/>
  <c r="U301" i="10"/>
  <c r="V301" i="10" s="1"/>
  <c r="AT301" i="10" s="1"/>
  <c r="U255" i="10"/>
  <c r="V255" i="10" s="1"/>
  <c r="AT255" i="10" s="1"/>
  <c r="W255" i="10"/>
  <c r="Z267" i="10"/>
  <c r="X267" i="10"/>
  <c r="Y267" i="10" s="1"/>
  <c r="W98" i="10"/>
  <c r="U98" i="10"/>
  <c r="V98" i="10" s="1"/>
  <c r="AT98" i="10" s="1"/>
  <c r="U82" i="10"/>
  <c r="V82" i="10" s="1"/>
  <c r="AT82" i="10" s="1"/>
  <c r="W82" i="10"/>
  <c r="W119" i="10"/>
  <c r="U119" i="10"/>
  <c r="V119" i="10" s="1"/>
  <c r="AT119" i="10" s="1"/>
  <c r="Z79" i="10"/>
  <c r="X79" i="10"/>
  <c r="Y79" i="10" s="1"/>
  <c r="Z254" i="10"/>
  <c r="X254" i="10"/>
  <c r="Y254" i="10" s="1"/>
  <c r="U127" i="10"/>
  <c r="V127" i="10" s="1"/>
  <c r="AT127" i="10" s="1"/>
  <c r="W127" i="10"/>
  <c r="X44" i="10"/>
  <c r="Y44" i="10" s="1"/>
  <c r="Z44" i="10"/>
  <c r="U140" i="10"/>
  <c r="V140" i="10" s="1"/>
  <c r="AT140" i="10" s="1"/>
  <c r="W140" i="10"/>
  <c r="X302" i="10"/>
  <c r="Y302" i="10" s="1"/>
  <c r="Z302" i="10"/>
  <c r="U166" i="10"/>
  <c r="V166" i="10" s="1"/>
  <c r="AT166" i="10" s="1"/>
  <c r="W166" i="10"/>
  <c r="W45" i="10"/>
  <c r="U45" i="10"/>
  <c r="V45" i="10" s="1"/>
  <c r="AT45" i="10" s="1"/>
  <c r="Z49" i="10"/>
  <c r="X49" i="10"/>
  <c r="Y49" i="10" s="1"/>
  <c r="W49" i="10"/>
  <c r="U49" i="10"/>
  <c r="V49" i="10" s="1"/>
  <c r="AT49" i="10" s="1"/>
  <c r="T657" i="1" l="1"/>
  <c r="AN657" i="1" s="1"/>
  <c r="AA657" i="1"/>
  <c r="AM657" i="1"/>
  <c r="AO686" i="1"/>
  <c r="Y686" i="1"/>
  <c r="Z686" i="1" s="1"/>
  <c r="AM693" i="1"/>
  <c r="T693" i="1"/>
  <c r="AN693" i="1" s="1"/>
  <c r="AA693" i="1"/>
  <c r="AM697" i="1"/>
  <c r="T697" i="1"/>
  <c r="AN697" i="1" s="1"/>
  <c r="AA697" i="1"/>
  <c r="Y695" i="1"/>
  <c r="Z695" i="1" s="1"/>
  <c r="AO695" i="1"/>
  <c r="T682" i="1"/>
  <c r="AN682" i="1" s="1"/>
  <c r="AM682" i="1"/>
  <c r="AA682" i="1"/>
  <c r="Y661" i="1"/>
  <c r="Z661" i="1" s="1"/>
  <c r="AO661" i="1"/>
  <c r="AO691" i="1"/>
  <c r="Y691" i="1"/>
  <c r="Z691" i="1" s="1"/>
  <c r="AO659" i="1"/>
  <c r="Y659" i="1"/>
  <c r="Z659" i="1" s="1"/>
  <c r="AA676" i="1"/>
  <c r="AM676" i="1"/>
  <c r="T676" i="1"/>
  <c r="AN676" i="1" s="1"/>
  <c r="AM704" i="1"/>
  <c r="T704" i="1"/>
  <c r="AN704" i="1" s="1"/>
  <c r="AA704" i="1"/>
  <c r="AA678" i="1"/>
  <c r="AM678" i="1"/>
  <c r="T678" i="1"/>
  <c r="AN678" i="1" s="1"/>
  <c r="T702" i="1"/>
  <c r="AN702" i="1" s="1"/>
  <c r="AM702" i="1"/>
  <c r="AA702" i="1"/>
  <c r="AM698" i="1"/>
  <c r="T698" i="1"/>
  <c r="AN698" i="1" s="1"/>
  <c r="AA698" i="1"/>
  <c r="T703" i="1"/>
  <c r="AN703" i="1" s="1"/>
  <c r="AA703" i="1"/>
  <c r="AM703" i="1"/>
  <c r="AA662" i="1"/>
  <c r="AM662" i="1"/>
  <c r="T662" i="1"/>
  <c r="AN662" i="1" s="1"/>
  <c r="Y675" i="1"/>
  <c r="Z675" i="1" s="1"/>
  <c r="AO675" i="1"/>
  <c r="AO679" i="1"/>
  <c r="Y679" i="1"/>
  <c r="Z679" i="1" s="1"/>
  <c r="Y668" i="1"/>
  <c r="Z668" i="1" s="1"/>
  <c r="AO668" i="1"/>
  <c r="AO696" i="1"/>
  <c r="Y696" i="1"/>
  <c r="Z696" i="1" s="1"/>
  <c r="AA677" i="1"/>
  <c r="T677" i="1"/>
  <c r="AN677" i="1" s="1"/>
  <c r="AM677" i="1"/>
  <c r="AA660" i="1"/>
  <c r="AM660" i="1"/>
  <c r="T660" i="1"/>
  <c r="AN660" i="1" s="1"/>
  <c r="AO694" i="1"/>
  <c r="Y694" i="1"/>
  <c r="Z694" i="1" s="1"/>
  <c r="AO699" i="1"/>
  <c r="Y699" i="1"/>
  <c r="Z699" i="1" s="1"/>
  <c r="AA684" i="1"/>
  <c r="AM684" i="1"/>
  <c r="T684" i="1"/>
  <c r="AN684" i="1" s="1"/>
  <c r="T681" i="1"/>
  <c r="AN681" i="1" s="1"/>
  <c r="AA681" i="1"/>
  <c r="AM681" i="1"/>
  <c r="Y685" i="1"/>
  <c r="Z685" i="1" s="1"/>
  <c r="AO685" i="1"/>
  <c r="AA652" i="1"/>
  <c r="T652" i="1"/>
  <c r="AN652" i="1" s="1"/>
  <c r="AM652" i="1"/>
  <c r="T653" i="1"/>
  <c r="AN653" i="1" s="1"/>
  <c r="AM653" i="1"/>
  <c r="AA653" i="1"/>
  <c r="AM670" i="1"/>
  <c r="T670" i="1"/>
  <c r="AN670" i="1" s="1"/>
  <c r="AA670" i="1"/>
  <c r="AM683" i="1"/>
  <c r="T683" i="1"/>
  <c r="AN683" i="1" s="1"/>
  <c r="AA683" i="1"/>
  <c r="Y658" i="1"/>
  <c r="Z658" i="1" s="1"/>
  <c r="AO658" i="1"/>
  <c r="AO664" i="1"/>
  <c r="Y664" i="1"/>
  <c r="Z664" i="1" s="1"/>
  <c r="AA688" i="1"/>
  <c r="AM688" i="1"/>
  <c r="T688" i="1"/>
  <c r="AN688" i="1" s="1"/>
  <c r="AM666" i="1"/>
  <c r="T666" i="1"/>
  <c r="AN666" i="1" s="1"/>
  <c r="AA666" i="1"/>
  <c r="AA656" i="1"/>
  <c r="AM656" i="1"/>
  <c r="T656" i="1"/>
  <c r="AN656" i="1" s="1"/>
  <c r="Y689" i="1"/>
  <c r="Z689" i="1" s="1"/>
  <c r="AO689" i="1"/>
  <c r="Y669" i="1"/>
  <c r="Z669" i="1" s="1"/>
  <c r="AO669" i="1"/>
  <c r="T701" i="1"/>
  <c r="AN701" i="1" s="1"/>
  <c r="AA701" i="1"/>
  <c r="AM701" i="1"/>
  <c r="AA665" i="1"/>
  <c r="AM665" i="1"/>
  <c r="T665" i="1"/>
  <c r="AN665" i="1" s="1"/>
  <c r="AO651" i="1"/>
  <c r="Y651" i="1"/>
  <c r="Z651" i="1" s="1"/>
  <c r="Y690" i="1"/>
  <c r="Z690" i="1" s="1"/>
  <c r="AO690" i="1"/>
  <c r="AO667" i="1"/>
  <c r="Y667" i="1"/>
  <c r="Z667" i="1" s="1"/>
  <c r="AO700" i="1"/>
  <c r="Y700" i="1"/>
  <c r="Z700" i="1" s="1"/>
  <c r="Y672" i="1"/>
  <c r="Z672" i="1" s="1"/>
  <c r="AO672" i="1"/>
  <c r="AM674" i="1"/>
  <c r="AA674" i="1"/>
  <c r="T674" i="1"/>
  <c r="AN674" i="1" s="1"/>
  <c r="Y687" i="1"/>
  <c r="Z687" i="1" s="1"/>
  <c r="AO687" i="1"/>
  <c r="AM671" i="1"/>
  <c r="T671" i="1"/>
  <c r="AN671" i="1" s="1"/>
  <c r="AA671" i="1"/>
  <c r="AO655" i="1"/>
  <c r="Y655" i="1"/>
  <c r="Z655" i="1" s="1"/>
  <c r="T654" i="1"/>
  <c r="AN654" i="1" s="1"/>
  <c r="AM654" i="1"/>
  <c r="AA654" i="1"/>
  <c r="AO663" i="1"/>
  <c r="Y663" i="1"/>
  <c r="Z663" i="1" s="1"/>
  <c r="T673" i="1"/>
  <c r="AN673" i="1" s="1"/>
  <c r="AM673" i="1"/>
  <c r="AA673" i="1"/>
  <c r="Y680" i="1"/>
  <c r="Z680" i="1" s="1"/>
  <c r="AO680" i="1"/>
  <c r="AO692" i="1"/>
  <c r="Y692" i="1"/>
  <c r="Z692" i="1" s="1"/>
  <c r="T685" i="1"/>
  <c r="AN685" i="1" s="1"/>
  <c r="AM685" i="1"/>
  <c r="AA685" i="1"/>
  <c r="AO652" i="1"/>
  <c r="Y652" i="1"/>
  <c r="Z652" i="1" s="1"/>
  <c r="Y653" i="1"/>
  <c r="Z653" i="1" s="1"/>
  <c r="AO653" i="1"/>
  <c r="AO670" i="1"/>
  <c r="Y670" i="1"/>
  <c r="Z670" i="1" s="1"/>
  <c r="Y683" i="1"/>
  <c r="Z683" i="1" s="1"/>
  <c r="AO683" i="1"/>
  <c r="AA658" i="1"/>
  <c r="T658" i="1"/>
  <c r="AN658" i="1" s="1"/>
  <c r="AM658" i="1"/>
  <c r="T664" i="1"/>
  <c r="AN664" i="1" s="1"/>
  <c r="AA664" i="1"/>
  <c r="AM664" i="1"/>
  <c r="AO688" i="1"/>
  <c r="Y688" i="1"/>
  <c r="Z688" i="1" s="1"/>
  <c r="Y666" i="1"/>
  <c r="Z666" i="1" s="1"/>
  <c r="AO666" i="1"/>
  <c r="AO656" i="1"/>
  <c r="Y656" i="1"/>
  <c r="Z656" i="1" s="1"/>
  <c r="AM689" i="1"/>
  <c r="T689" i="1"/>
  <c r="AN689" i="1" s="1"/>
  <c r="AA689" i="1"/>
  <c r="AA669" i="1"/>
  <c r="AM669" i="1"/>
  <c r="T669" i="1"/>
  <c r="AN669" i="1" s="1"/>
  <c r="AO701" i="1"/>
  <c r="Y701" i="1"/>
  <c r="Z701" i="1" s="1"/>
  <c r="Y665" i="1"/>
  <c r="Z665" i="1" s="1"/>
  <c r="AO665" i="1"/>
  <c r="AA651" i="1"/>
  <c r="T651" i="1"/>
  <c r="AN651" i="1" s="1"/>
  <c r="AM651" i="1"/>
  <c r="AM690" i="1"/>
  <c r="T690" i="1"/>
  <c r="AN690" i="1" s="1"/>
  <c r="AA690" i="1"/>
  <c r="AA667" i="1"/>
  <c r="AM667" i="1"/>
  <c r="T667" i="1"/>
  <c r="AN667" i="1" s="1"/>
  <c r="AM700" i="1"/>
  <c r="T700" i="1"/>
  <c r="AN700" i="1" s="1"/>
  <c r="AA700" i="1"/>
  <c r="AM672" i="1"/>
  <c r="T672" i="1"/>
  <c r="AN672" i="1" s="1"/>
  <c r="AA672" i="1"/>
  <c r="AO674" i="1"/>
  <c r="Y674" i="1"/>
  <c r="Z674" i="1" s="1"/>
  <c r="AM687" i="1"/>
  <c r="T687" i="1"/>
  <c r="AN687" i="1" s="1"/>
  <c r="AA687" i="1"/>
  <c r="AO671" i="1"/>
  <c r="Y671" i="1"/>
  <c r="Z671" i="1" s="1"/>
  <c r="AM655" i="1"/>
  <c r="AA655" i="1"/>
  <c r="T655" i="1"/>
  <c r="AN655" i="1" s="1"/>
  <c r="Y654" i="1"/>
  <c r="Z654" i="1" s="1"/>
  <c r="AO654" i="1"/>
  <c r="AA663" i="1"/>
  <c r="T663" i="1"/>
  <c r="AN663" i="1" s="1"/>
  <c r="AM663" i="1"/>
  <c r="Y673" i="1"/>
  <c r="Z673" i="1" s="1"/>
  <c r="AO673" i="1"/>
  <c r="T680" i="1"/>
  <c r="AN680" i="1" s="1"/>
  <c r="AM680" i="1"/>
  <c r="AA680" i="1"/>
  <c r="T692" i="1"/>
  <c r="AN692" i="1" s="1"/>
  <c r="AA692" i="1"/>
  <c r="AM692" i="1"/>
  <c r="Y657" i="1"/>
  <c r="Z657" i="1" s="1"/>
  <c r="AO657" i="1"/>
  <c r="T686" i="1"/>
  <c r="AN686" i="1" s="1"/>
  <c r="AA686" i="1"/>
  <c r="AM686" i="1"/>
  <c r="AO693" i="1"/>
  <c r="Y693" i="1"/>
  <c r="Z693" i="1" s="1"/>
  <c r="Y697" i="1"/>
  <c r="Z697" i="1" s="1"/>
  <c r="AO697" i="1"/>
  <c r="AA695" i="1"/>
  <c r="T695" i="1"/>
  <c r="AN695" i="1" s="1"/>
  <c r="AM695" i="1"/>
  <c r="Y682" i="1"/>
  <c r="Z682" i="1" s="1"/>
  <c r="AO682" i="1"/>
  <c r="AM661" i="1"/>
  <c r="T661" i="1"/>
  <c r="AN661" i="1" s="1"/>
  <c r="AA661" i="1"/>
  <c r="AA691" i="1"/>
  <c r="T691" i="1"/>
  <c r="AN691" i="1" s="1"/>
  <c r="AM691" i="1"/>
  <c r="AA659" i="1"/>
  <c r="AM659" i="1"/>
  <c r="T659" i="1"/>
  <c r="AN659" i="1" s="1"/>
  <c r="Y676" i="1"/>
  <c r="Z676" i="1" s="1"/>
  <c r="AO676" i="1"/>
  <c r="AO704" i="1"/>
  <c r="Y704" i="1"/>
  <c r="Z704" i="1" s="1"/>
  <c r="Y678" i="1"/>
  <c r="Z678" i="1" s="1"/>
  <c r="AO678" i="1"/>
  <c r="Y702" i="1"/>
  <c r="Z702" i="1" s="1"/>
  <c r="AO702" i="1"/>
  <c r="AO698" i="1"/>
  <c r="Y698" i="1"/>
  <c r="Z698" i="1" s="1"/>
  <c r="AO703" i="1"/>
  <c r="Y703" i="1"/>
  <c r="Z703" i="1" s="1"/>
  <c r="Y662" i="1"/>
  <c r="Z662" i="1" s="1"/>
  <c r="AO662" i="1"/>
  <c r="T675" i="1"/>
  <c r="AN675" i="1" s="1"/>
  <c r="AA675" i="1"/>
  <c r="AM675" i="1"/>
  <c r="AM679" i="1"/>
  <c r="T679" i="1"/>
  <c r="AN679" i="1" s="1"/>
  <c r="AA679" i="1"/>
  <c r="AA668" i="1"/>
  <c r="AM668" i="1"/>
  <c r="T668" i="1"/>
  <c r="AN668" i="1" s="1"/>
  <c r="AM696" i="1"/>
  <c r="T696" i="1"/>
  <c r="AN696" i="1" s="1"/>
  <c r="AA696" i="1"/>
  <c r="Y677" i="1"/>
  <c r="Z677" i="1" s="1"/>
  <c r="AO677" i="1"/>
  <c r="AO660" i="1"/>
  <c r="Y660" i="1"/>
  <c r="Z660" i="1" s="1"/>
  <c r="AM694" i="1"/>
  <c r="T694" i="1"/>
  <c r="AN694" i="1" s="1"/>
  <c r="AA694" i="1"/>
  <c r="AM699" i="1"/>
  <c r="T699" i="1"/>
  <c r="AN699" i="1" s="1"/>
  <c r="AA699" i="1"/>
  <c r="AO684" i="1"/>
  <c r="Y684" i="1"/>
  <c r="Z684" i="1" s="1"/>
  <c r="Y681" i="1"/>
  <c r="Z681" i="1" s="1"/>
  <c r="AO681" i="1"/>
  <c r="W149" i="11"/>
  <c r="AU149" i="11" s="1"/>
  <c r="W151" i="11"/>
  <c r="AU151" i="11" s="1"/>
  <c r="W154" i="11"/>
  <c r="AU154" i="11" s="1"/>
  <c r="W159" i="11"/>
  <c r="AU159" i="11" s="1"/>
  <c r="W152" i="11"/>
  <c r="AU152" i="11" s="1"/>
  <c r="V19" i="14"/>
  <c r="W19" i="14" s="1"/>
  <c r="W264" i="11"/>
  <c r="AU264" i="11" s="1"/>
  <c r="X59" i="9"/>
  <c r="Q59" i="9"/>
  <c r="X15" i="14"/>
  <c r="Q15" i="14"/>
  <c r="X60" i="9"/>
  <c r="Q60" i="9"/>
  <c r="X22" i="9"/>
  <c r="Q22" i="9"/>
  <c r="X18" i="14"/>
  <c r="Q18" i="14"/>
  <c r="X7" i="14"/>
  <c r="Q7" i="14"/>
  <c r="X73" i="9"/>
  <c r="Q73" i="9"/>
  <c r="X119" i="14"/>
  <c r="Q119" i="14"/>
  <c r="X36" i="9"/>
  <c r="Q36" i="9"/>
  <c r="X75" i="9"/>
  <c r="Q75" i="9"/>
  <c r="X50" i="9"/>
  <c r="Q50" i="9"/>
  <c r="X116" i="9"/>
  <c r="Q116" i="9"/>
  <c r="X138" i="14"/>
  <c r="Q138" i="14"/>
  <c r="X68" i="14"/>
  <c r="Q68" i="14"/>
  <c r="X61" i="9"/>
  <c r="Q61" i="9"/>
  <c r="X119" i="9"/>
  <c r="Q119" i="9"/>
  <c r="X98" i="9"/>
  <c r="Q98" i="9"/>
  <c r="X97" i="9"/>
  <c r="Q97" i="9"/>
  <c r="X122" i="14"/>
  <c r="Q122" i="14"/>
  <c r="X127" i="14"/>
  <c r="Q127" i="14"/>
  <c r="X74" i="9"/>
  <c r="Q74" i="9"/>
  <c r="X39" i="9"/>
  <c r="Q39" i="9"/>
  <c r="X51" i="9"/>
  <c r="Q51" i="9"/>
  <c r="X88" i="9"/>
  <c r="Q88" i="9"/>
  <c r="X136" i="14"/>
  <c r="Q136" i="14"/>
  <c r="X30" i="9"/>
  <c r="Q30" i="9"/>
  <c r="X66" i="9"/>
  <c r="Q66" i="9"/>
  <c r="X117" i="14"/>
  <c r="Q117" i="14"/>
  <c r="X96" i="9"/>
  <c r="Q96" i="9"/>
  <c r="X82" i="9"/>
  <c r="Q82" i="9"/>
  <c r="X109" i="9"/>
  <c r="Q109" i="9"/>
  <c r="X41" i="9"/>
  <c r="Q41" i="9"/>
  <c r="X31" i="9"/>
  <c r="Q31" i="9"/>
  <c r="X99" i="9"/>
  <c r="Q99" i="9"/>
  <c r="X112" i="9"/>
  <c r="Q112" i="9"/>
  <c r="X101" i="9"/>
  <c r="Q101" i="9"/>
  <c r="X33" i="9"/>
  <c r="Q33" i="9"/>
  <c r="X8" i="14"/>
  <c r="Q8" i="14"/>
  <c r="X12" i="9"/>
  <c r="Q12" i="9"/>
  <c r="X16" i="9"/>
  <c r="Q16" i="9"/>
  <c r="X19" i="9"/>
  <c r="Q19" i="9"/>
  <c r="X24" i="9"/>
  <c r="Q24" i="9"/>
  <c r="X20" i="9"/>
  <c r="Q20" i="9"/>
  <c r="X16" i="14"/>
  <c r="Q16" i="14"/>
  <c r="X25" i="9"/>
  <c r="Q25" i="9"/>
  <c r="X20" i="14"/>
  <c r="Q20" i="14"/>
  <c r="X57" i="9"/>
  <c r="Q57" i="9"/>
  <c r="X24" i="14"/>
  <c r="Q24" i="14"/>
  <c r="X120" i="9"/>
  <c r="Q120" i="9"/>
  <c r="X125" i="9"/>
  <c r="Q125" i="9"/>
  <c r="X46" i="9"/>
  <c r="Q46" i="9"/>
  <c r="X65" i="9"/>
  <c r="Q65" i="9"/>
  <c r="X78" i="9"/>
  <c r="Q78" i="9"/>
  <c r="X54" i="9"/>
  <c r="Q54" i="9"/>
  <c r="X107" i="9"/>
  <c r="Q107" i="9"/>
  <c r="X121" i="14"/>
  <c r="Q121" i="14"/>
  <c r="X48" i="9"/>
  <c r="Q48" i="9"/>
  <c r="X91" i="9"/>
  <c r="Q91" i="9"/>
  <c r="X100" i="9"/>
  <c r="Q100" i="9"/>
  <c r="X53" i="14"/>
  <c r="Q53" i="14"/>
  <c r="X55" i="9"/>
  <c r="Q55" i="9"/>
  <c r="X62" i="14"/>
  <c r="Q62" i="14"/>
  <c r="X102" i="9"/>
  <c r="Q102" i="9"/>
  <c r="X86" i="9"/>
  <c r="Q86" i="9"/>
  <c r="X52" i="9"/>
  <c r="Q52" i="9"/>
  <c r="X64" i="9"/>
  <c r="Q64" i="9"/>
  <c r="X128" i="14"/>
  <c r="Q128" i="14"/>
  <c r="X92" i="9"/>
  <c r="Q92" i="9"/>
  <c r="X124" i="14"/>
  <c r="Q124" i="14"/>
  <c r="X122" i="9"/>
  <c r="Q122" i="9"/>
  <c r="X89" i="9"/>
  <c r="Q89" i="9"/>
  <c r="X84" i="9"/>
  <c r="Q84" i="9"/>
  <c r="X137" i="14"/>
  <c r="Q137" i="14"/>
  <c r="X94" i="9"/>
  <c r="Q94" i="9"/>
  <c r="X139" i="14"/>
  <c r="Q139" i="14"/>
  <c r="X64" i="14"/>
  <c r="Q64" i="14"/>
  <c r="X120" i="14"/>
  <c r="Q120" i="14"/>
  <c r="X66" i="14"/>
  <c r="Q66" i="14"/>
  <c r="X77" i="9"/>
  <c r="Q77" i="9"/>
  <c r="X63" i="14"/>
  <c r="Q63" i="14"/>
  <c r="AT179" i="11"/>
  <c r="W179" i="11"/>
  <c r="AU179" i="11" s="1"/>
  <c r="X17" i="9"/>
  <c r="Q17" i="9"/>
  <c r="X56" i="9"/>
  <c r="Q56" i="9"/>
  <c r="X19" i="14"/>
  <c r="Q19" i="14"/>
  <c r="X21" i="9"/>
  <c r="Q21" i="9"/>
  <c r="X10" i="14"/>
  <c r="Q10" i="14"/>
  <c r="X13" i="9"/>
  <c r="Q13" i="9"/>
  <c r="X13" i="14"/>
  <c r="Q13" i="14"/>
  <c r="X18" i="9"/>
  <c r="Q18" i="9"/>
  <c r="X11" i="9"/>
  <c r="Q11" i="9"/>
  <c r="X9" i="14"/>
  <c r="Q9" i="14"/>
  <c r="X58" i="9"/>
  <c r="Q58" i="9"/>
  <c r="X14" i="9"/>
  <c r="Q14" i="9"/>
  <c r="X27" i="9"/>
  <c r="Q27" i="9"/>
  <c r="X17" i="14"/>
  <c r="Q17" i="14"/>
  <c r="X117" i="9"/>
  <c r="Q117" i="9"/>
  <c r="X70" i="14"/>
  <c r="Q70" i="14"/>
  <c r="X43" i="9"/>
  <c r="Q43" i="9"/>
  <c r="X42" i="9"/>
  <c r="Q42" i="9"/>
  <c r="X28" i="9"/>
  <c r="Q28" i="9"/>
  <c r="X40" i="9"/>
  <c r="Q40" i="9"/>
  <c r="X38" i="9"/>
  <c r="Q38" i="9"/>
  <c r="X72" i="9"/>
  <c r="Q72" i="9"/>
  <c r="X114" i="9"/>
  <c r="Q114" i="9"/>
  <c r="X126" i="14"/>
  <c r="Q126" i="14"/>
  <c r="X61" i="14"/>
  <c r="Q61" i="14"/>
  <c r="X63" i="9"/>
  <c r="Q63" i="9"/>
  <c r="X125" i="14"/>
  <c r="Q125" i="14"/>
  <c r="X93" i="9"/>
  <c r="Q93" i="9"/>
  <c r="X123" i="14"/>
  <c r="Q123" i="14"/>
  <c r="X65" i="14"/>
  <c r="Q65" i="14"/>
  <c r="X47" i="9"/>
  <c r="Q47" i="9"/>
  <c r="X71" i="9"/>
  <c r="Q71" i="9"/>
  <c r="X115" i="9"/>
  <c r="Q115" i="9"/>
  <c r="X54" i="14"/>
  <c r="Q54" i="14"/>
  <c r="X105" i="9"/>
  <c r="Q105" i="9"/>
  <c r="X95" i="9"/>
  <c r="Q95" i="9"/>
  <c r="X123" i="9"/>
  <c r="Q123" i="9"/>
  <c r="X118" i="9"/>
  <c r="Q118" i="9"/>
  <c r="X80" i="9"/>
  <c r="Q80" i="9"/>
  <c r="X113" i="9"/>
  <c r="Q113" i="9"/>
  <c r="X108" i="9"/>
  <c r="Q108" i="9"/>
  <c r="X67" i="14"/>
  <c r="Q67" i="14"/>
  <c r="X111" i="9"/>
  <c r="Q111" i="9"/>
  <c r="X104" i="9"/>
  <c r="Q104" i="9"/>
  <c r="X70" i="9"/>
  <c r="Q70" i="9"/>
  <c r="X108" i="14"/>
  <c r="Q108" i="14"/>
  <c r="X23" i="9"/>
  <c r="Q23" i="9"/>
  <c r="X22" i="14"/>
  <c r="Q22" i="14"/>
  <c r="X14" i="14"/>
  <c r="Q14" i="14"/>
  <c r="X23" i="14"/>
  <c r="Q23" i="14"/>
  <c r="X15" i="9"/>
  <c r="Q15" i="9"/>
  <c r="X10" i="9"/>
  <c r="Q10" i="9"/>
  <c r="X26" i="9"/>
  <c r="Q26" i="9"/>
  <c r="X12" i="14"/>
  <c r="Q12" i="14"/>
  <c r="X11" i="14"/>
  <c r="Q11" i="14"/>
  <c r="X26" i="14"/>
  <c r="Q26" i="14"/>
  <c r="X21" i="14"/>
  <c r="Q21" i="14"/>
  <c r="X106" i="9"/>
  <c r="Q106" i="9"/>
  <c r="X32" i="9"/>
  <c r="Q32" i="9"/>
  <c r="X96" i="14"/>
  <c r="Q96" i="14"/>
  <c r="X81" i="9"/>
  <c r="Q81" i="9"/>
  <c r="X68" i="9"/>
  <c r="Q68" i="9"/>
  <c r="X110" i="9"/>
  <c r="Q110" i="9"/>
  <c r="X118" i="14"/>
  <c r="Q118" i="14"/>
  <c r="X62" i="9"/>
  <c r="Q62" i="9"/>
  <c r="X90" i="9"/>
  <c r="Q90" i="9"/>
  <c r="X87" i="9"/>
  <c r="Q87" i="9"/>
  <c r="X141" i="14"/>
  <c r="Q141" i="14"/>
  <c r="X34" i="9"/>
  <c r="Q34" i="9"/>
  <c r="X85" i="9"/>
  <c r="Q85" i="9"/>
  <c r="X69" i="9"/>
  <c r="Q69" i="9"/>
  <c r="X35" i="9"/>
  <c r="Q35" i="9"/>
  <c r="X49" i="9"/>
  <c r="Q49" i="9"/>
  <c r="X76" i="9"/>
  <c r="Q76" i="9"/>
  <c r="X79" i="9"/>
  <c r="Q79" i="9"/>
  <c r="X29" i="9"/>
  <c r="Q29" i="9"/>
  <c r="X103" i="9"/>
  <c r="Q103" i="9"/>
  <c r="X53" i="9"/>
  <c r="Q53" i="9"/>
  <c r="X44" i="9"/>
  <c r="Q44" i="9"/>
  <c r="X67" i="9"/>
  <c r="Q67" i="9"/>
  <c r="X37" i="9"/>
  <c r="Q37" i="9"/>
  <c r="X83" i="9"/>
  <c r="Q83" i="9"/>
  <c r="X45" i="9"/>
  <c r="Q45" i="9"/>
  <c r="W157" i="11"/>
  <c r="AU157" i="11" s="1"/>
  <c r="W153" i="11"/>
  <c r="AU153" i="11" s="1"/>
  <c r="W150" i="11"/>
  <c r="AU150" i="11" s="1"/>
  <c r="W158" i="11"/>
  <c r="AU158" i="11" s="1"/>
  <c r="AU160" i="11"/>
  <c r="BF143" i="12"/>
  <c r="BD143" i="12" s="1"/>
  <c r="BF142" i="12"/>
  <c r="BF144" i="12"/>
  <c r="BD144" i="12" s="1"/>
  <c r="BB165" i="12"/>
  <c r="BH143" i="12"/>
  <c r="BE143" i="12" s="1"/>
  <c r="BJ143" i="12" s="1"/>
  <c r="BB171" i="12"/>
  <c r="BD171" i="12" s="1"/>
  <c r="BF151" i="12"/>
  <c r="BD151" i="12" s="1"/>
  <c r="BB177" i="12"/>
  <c r="BB173" i="12"/>
  <c r="BC173" i="12" s="1"/>
  <c r="BB167" i="12"/>
  <c r="BC167" i="12" s="1"/>
  <c r="BB163" i="12"/>
  <c r="BC163" i="12" s="1"/>
  <c r="BB175" i="12"/>
  <c r="BB176" i="12"/>
  <c r="BD176" i="12" s="1"/>
  <c r="BB172" i="12"/>
  <c r="BE172" i="12" s="1" a="1"/>
  <c r="BE172" i="12" s="1"/>
  <c r="BF152" i="12"/>
  <c r="BD152" i="12" s="1"/>
  <c r="BF149" i="12"/>
  <c r="BD149" i="12" s="1"/>
  <c r="BH151" i="12"/>
  <c r="BE151" i="12" s="1"/>
  <c r="BI151" i="12" s="1"/>
  <c r="BH142" i="12"/>
  <c r="BB170" i="12"/>
  <c r="BD170" i="12" s="1"/>
  <c r="BB178" i="12"/>
  <c r="BC178" i="12" s="1"/>
  <c r="BF153" i="12"/>
  <c r="BD153" i="12" s="1"/>
  <c r="BB161" i="12"/>
  <c r="BD161" i="12" s="1"/>
  <c r="BB164" i="12"/>
  <c r="BD164" i="12" s="1"/>
  <c r="BB160" i="12"/>
  <c r="BD160" i="12" s="1"/>
  <c r="BF145" i="12"/>
  <c r="BD145" i="12" s="1"/>
  <c r="BF150" i="12"/>
  <c r="BD150" i="12" s="1"/>
  <c r="BB166" i="12"/>
  <c r="BD166" i="12" s="1"/>
  <c r="BH146" i="12"/>
  <c r="BE146" i="12" s="1"/>
  <c r="BH150" i="12"/>
  <c r="BE150" i="12" s="1"/>
  <c r="BG150" i="12" s="1"/>
  <c r="BH145" i="12"/>
  <c r="BE145" i="12" s="1"/>
  <c r="BG145" i="12" s="1"/>
  <c r="BH144" i="12"/>
  <c r="BE144" i="12" s="1"/>
  <c r="BJ144" i="12" s="1"/>
  <c r="BB174" i="12"/>
  <c r="BE174" i="12" s="1" a="1"/>
  <c r="BE174" i="12" s="1"/>
  <c r="BH149" i="12"/>
  <c r="BE149" i="12" s="1"/>
  <c r="BG149" i="12" s="1"/>
  <c r="BF148" i="12"/>
  <c r="BD148" i="12" s="1"/>
  <c r="BF146" i="12"/>
  <c r="BD146" i="12" s="1"/>
  <c r="BB168" i="12"/>
  <c r="BE168" i="12" s="1" a="1"/>
  <c r="BE168" i="12" s="1"/>
  <c r="BH148" i="12"/>
  <c r="BE148" i="12" s="1"/>
  <c r="BG148" i="12" s="1"/>
  <c r="BF147" i="12"/>
  <c r="BD147" i="12" s="1"/>
  <c r="BB162" i="12"/>
  <c r="BC162" i="12" s="1"/>
  <c r="BB169" i="12"/>
  <c r="BD169" i="12" s="1"/>
  <c r="BB159" i="12"/>
  <c r="BD159" i="12" s="1"/>
  <c r="BH152" i="12"/>
  <c r="BE152" i="12" s="1"/>
  <c r="BG152" i="12" s="1"/>
  <c r="BH147" i="12"/>
  <c r="BE147" i="12" s="1"/>
  <c r="BG147" i="12" s="1"/>
  <c r="AT155" i="10"/>
  <c r="BA125" i="12"/>
  <c r="BC125" i="12" s="1"/>
  <c r="BH100" i="12"/>
  <c r="BE100" i="12" s="1"/>
  <c r="BG100" i="12" s="1"/>
  <c r="BA133" i="12"/>
  <c r="BC133" i="12" s="1"/>
  <c r="BH102" i="12"/>
  <c r="BE102" i="12" s="1"/>
  <c r="BF99" i="12"/>
  <c r="BD99" i="12" s="1"/>
  <c r="BF107" i="12"/>
  <c r="BD107" i="12" s="1"/>
  <c r="BA122" i="12"/>
  <c r="BB122" i="12" s="1"/>
  <c r="BF104" i="12"/>
  <c r="BD104" i="12" s="1"/>
  <c r="BA126" i="12"/>
  <c r="BB126" i="12" s="1"/>
  <c r="BF106" i="12"/>
  <c r="BD106" i="12" s="1"/>
  <c r="BA132" i="12"/>
  <c r="BB132" i="12" s="1"/>
  <c r="BH108" i="12"/>
  <c r="BE108" i="12" s="1"/>
  <c r="BA117" i="12"/>
  <c r="BB117" i="12" s="1"/>
  <c r="BH104" i="12"/>
  <c r="BE104" i="12" s="1"/>
  <c r="BI104" i="12" s="1"/>
  <c r="BA118" i="12"/>
  <c r="BC118" i="12" s="1"/>
  <c r="BF102" i="12"/>
  <c r="BD102" i="12" s="1"/>
  <c r="BA127" i="12"/>
  <c r="BC127" i="12" s="1"/>
  <c r="BH103" i="12"/>
  <c r="BE103" i="12" s="1"/>
  <c r="BG103" i="12" s="1"/>
  <c r="BA130" i="12"/>
  <c r="BB130" i="12" s="1"/>
  <c r="BH105" i="12"/>
  <c r="BE105" i="12" s="1"/>
  <c r="BI105" i="12" s="1"/>
  <c r="BA124" i="12"/>
  <c r="BC124" i="12" s="1"/>
  <c r="BA121" i="12"/>
  <c r="BB121" i="12" s="1"/>
  <c r="BF101" i="12"/>
  <c r="BD101" i="12" s="1"/>
  <c r="BH98" i="12"/>
  <c r="BA134" i="12"/>
  <c r="BC134" i="12" s="1"/>
  <c r="BH109" i="12"/>
  <c r="BE109" i="12" s="1"/>
  <c r="BG109" i="12" s="1"/>
  <c r="BF100" i="12"/>
  <c r="BD100" i="12" s="1"/>
  <c r="BA119" i="12"/>
  <c r="BC119" i="12" s="1"/>
  <c r="BF108" i="12"/>
  <c r="BD108" i="12" s="1"/>
  <c r="BJ108" i="12" s="1"/>
  <c r="BA123" i="12"/>
  <c r="BC123" i="12" s="1"/>
  <c r="BH107" i="12"/>
  <c r="BE107" i="12" s="1"/>
  <c r="BI107" i="12" s="1"/>
  <c r="BA131" i="12"/>
  <c r="BB131" i="12" s="1"/>
  <c r="BH106" i="12"/>
  <c r="BE106" i="12" s="1"/>
  <c r="BI106" i="12" s="1"/>
  <c r="BH99" i="12"/>
  <c r="BE99" i="12" s="1"/>
  <c r="BI99" i="12" s="1"/>
  <c r="BA129" i="12"/>
  <c r="BC129" i="12" s="1"/>
  <c r="BF109" i="12"/>
  <c r="BD109" i="12" s="1"/>
  <c r="BA120" i="12"/>
  <c r="BB120" i="12" s="1"/>
  <c r="BF103" i="12"/>
  <c r="BD103" i="12" s="1"/>
  <c r="BJ103" i="12" s="1"/>
  <c r="BH101" i="12"/>
  <c r="BE101" i="12" s="1"/>
  <c r="BF105" i="12"/>
  <c r="BD105" i="12" s="1"/>
  <c r="BJ105" i="12" s="1"/>
  <c r="BF98" i="12"/>
  <c r="BD98" i="12" s="1"/>
  <c r="BA128" i="12"/>
  <c r="BC128" i="12" s="1"/>
  <c r="BC166" i="12"/>
  <c r="BE142" i="12"/>
  <c r="BJ102" i="12"/>
  <c r="BI102" i="12"/>
  <c r="BG102" i="12"/>
  <c r="BI144" i="12"/>
  <c r="BE160" i="12" a="1"/>
  <c r="BE160" i="12" s="1"/>
  <c r="BC160" i="12"/>
  <c r="BC117" i="12"/>
  <c r="BE178" i="12" a="1"/>
  <c r="BE178" i="12" s="1"/>
  <c r="BD178" i="12"/>
  <c r="BC126" i="12"/>
  <c r="BC177" i="12"/>
  <c r="BD177" i="12"/>
  <c r="BE177" i="12" a="1"/>
  <c r="BE177" i="12" s="1"/>
  <c r="BC175" i="12"/>
  <c r="BD175" i="12"/>
  <c r="BE175" i="12" a="1"/>
  <c r="BE175" i="12" s="1"/>
  <c r="BD174" i="12"/>
  <c r="BG146" i="12"/>
  <c r="BI146" i="12"/>
  <c r="BG105" i="12"/>
  <c r="BB127" i="12"/>
  <c r="BI108" i="12"/>
  <c r="BG108" i="12"/>
  <c r="BD172" i="12"/>
  <c r="BD165" i="12"/>
  <c r="BC165" i="12"/>
  <c r="BE165" i="12" a="1"/>
  <c r="BE165" i="12" s="1"/>
  <c r="BC131" i="12"/>
  <c r="BC168" i="12"/>
  <c r="BB119" i="12"/>
  <c r="BE98" i="12"/>
  <c r="N143" i="12"/>
  <c r="AM6" i="1"/>
  <c r="T6" i="1"/>
  <c r="AN6" i="1" s="1"/>
  <c r="Y6" i="1"/>
  <c r="Z6" i="1" s="1"/>
  <c r="AJ145" i="12"/>
  <c r="AH145" i="12" s="1"/>
  <c r="AV69" i="11"/>
  <c r="AB69" i="11"/>
  <c r="AC69" i="11" s="1"/>
  <c r="AV311" i="11"/>
  <c r="AB311" i="11"/>
  <c r="AC311" i="11" s="1"/>
  <c r="AV270" i="11"/>
  <c r="AB270" i="11"/>
  <c r="AC270" i="11" s="1"/>
  <c r="AB142" i="11"/>
  <c r="AC142" i="11" s="1"/>
  <c r="AV142" i="11"/>
  <c r="P109" i="12"/>
  <c r="M109" i="12" s="1"/>
  <c r="AV267" i="11"/>
  <c r="AB267" i="11"/>
  <c r="AC267" i="11" s="1"/>
  <c r="AT124" i="11"/>
  <c r="AD124" i="11"/>
  <c r="AT93" i="11"/>
  <c r="AD93" i="11"/>
  <c r="AD180" i="11"/>
  <c r="AT180" i="11"/>
  <c r="AT62" i="11"/>
  <c r="AD62" i="11"/>
  <c r="AC28" i="5"/>
  <c r="AB28" i="5"/>
  <c r="AT202" i="11"/>
  <c r="AD202" i="11"/>
  <c r="AV177" i="11"/>
  <c r="AB177" i="11"/>
  <c r="AC177" i="11" s="1"/>
  <c r="AT231" i="11"/>
  <c r="AD231" i="11"/>
  <c r="AT80" i="11"/>
  <c r="AD80" i="11"/>
  <c r="AT242" i="11"/>
  <c r="AD242" i="11"/>
  <c r="AV90" i="11"/>
  <c r="AB90" i="11"/>
  <c r="AC90" i="11" s="1"/>
  <c r="AT225" i="11"/>
  <c r="AD225" i="11"/>
  <c r="AT64" i="11"/>
  <c r="AD64" i="11"/>
  <c r="AV134" i="11"/>
  <c r="AB134" i="11"/>
  <c r="AC134" i="11" s="1"/>
  <c r="AV119" i="11"/>
  <c r="AB119" i="11"/>
  <c r="AC119" i="11" s="1"/>
  <c r="AT230" i="11"/>
  <c r="AD230" i="11"/>
  <c r="AV274" i="11"/>
  <c r="AB274" i="11"/>
  <c r="AC274" i="11" s="1"/>
  <c r="AV189" i="11"/>
  <c r="AB189" i="11"/>
  <c r="AC189" i="11" s="1"/>
  <c r="AV116" i="11"/>
  <c r="AB116" i="11"/>
  <c r="AC116" i="11" s="1"/>
  <c r="AT284" i="11"/>
  <c r="AD284" i="11"/>
  <c r="AT205" i="11"/>
  <c r="AD205" i="11"/>
  <c r="AV316" i="11"/>
  <c r="AB316" i="11"/>
  <c r="AC316" i="11" s="1"/>
  <c r="AV322" i="11"/>
  <c r="AB322" i="11"/>
  <c r="AC322" i="11" s="1"/>
  <c r="AV67" i="11"/>
  <c r="AB67" i="11"/>
  <c r="AC67" i="11" s="1"/>
  <c r="AD175" i="11"/>
  <c r="AT175" i="11"/>
  <c r="AT321" i="11"/>
  <c r="AD321" i="11"/>
  <c r="AT185" i="11"/>
  <c r="AD185" i="11"/>
  <c r="AT214" i="11"/>
  <c r="AD214" i="11"/>
  <c r="AT234" i="11"/>
  <c r="AD234" i="11"/>
  <c r="AT79" i="11"/>
  <c r="AD79" i="11"/>
  <c r="AT302" i="11"/>
  <c r="AD302" i="11"/>
  <c r="AD331" i="11"/>
  <c r="AT331" i="11"/>
  <c r="AD162" i="11"/>
  <c r="AT162" i="11"/>
  <c r="AT275" i="11"/>
  <c r="AD275" i="11"/>
  <c r="AB255" i="11"/>
  <c r="AC255" i="11" s="1"/>
  <c r="AV255" i="11"/>
  <c r="AT197" i="11"/>
  <c r="AD197" i="11"/>
  <c r="AV109" i="11"/>
  <c r="AB109" i="11"/>
  <c r="AC109" i="11" s="1"/>
  <c r="AT238" i="11"/>
  <c r="AD238" i="11"/>
  <c r="AT123" i="11"/>
  <c r="AD123" i="11"/>
  <c r="AV147" i="11"/>
  <c r="AB147" i="11"/>
  <c r="AC147" i="11" s="1"/>
  <c r="AT204" i="11"/>
  <c r="AD204" i="11"/>
  <c r="AF159" i="12"/>
  <c r="AL148" i="12"/>
  <c r="AI148" i="12" s="1"/>
  <c r="AF171" i="12"/>
  <c r="AJ148" i="12"/>
  <c r="AH148" i="12" s="1"/>
  <c r="AF176" i="12"/>
  <c r="AV168" i="11"/>
  <c r="AB168" i="11"/>
  <c r="AC168" i="11" s="1"/>
  <c r="AT84" i="11"/>
  <c r="AD84" i="11"/>
  <c r="AT106" i="11"/>
  <c r="AD106" i="11"/>
  <c r="AT280" i="11"/>
  <c r="AD280" i="11"/>
  <c r="AT144" i="11"/>
  <c r="AD144" i="11"/>
  <c r="AV253" i="11"/>
  <c r="AB253" i="11"/>
  <c r="AC253" i="11" s="1"/>
  <c r="AB262" i="11"/>
  <c r="AC262" i="11" s="1"/>
  <c r="AV262" i="11"/>
  <c r="AT68" i="11"/>
  <c r="AD68" i="11"/>
  <c r="AV254" i="11"/>
  <c r="AB254" i="11"/>
  <c r="AC254" i="11" s="1"/>
  <c r="AD120" i="11"/>
  <c r="AT120" i="11"/>
  <c r="AT232" i="11"/>
  <c r="AD232" i="11"/>
  <c r="AB77" i="11"/>
  <c r="AC77" i="11" s="1"/>
  <c r="AV77" i="11"/>
  <c r="AT298" i="11"/>
  <c r="AD298" i="11"/>
  <c r="AT66" i="11"/>
  <c r="AD66" i="11"/>
  <c r="AD333" i="11"/>
  <c r="AT333" i="11"/>
  <c r="AT107" i="11"/>
  <c r="AD107" i="11"/>
  <c r="AV138" i="11"/>
  <c r="AB138" i="11"/>
  <c r="AC138" i="11" s="1"/>
  <c r="AV97" i="11"/>
  <c r="AB97" i="11"/>
  <c r="AC97" i="11" s="1"/>
  <c r="AV98" i="11"/>
  <c r="AB98" i="11"/>
  <c r="AC98" i="11" s="1"/>
  <c r="AV192" i="11"/>
  <c r="AB192" i="11"/>
  <c r="AC192" i="11" s="1"/>
  <c r="AT252" i="11"/>
  <c r="AD252" i="11"/>
  <c r="AV307" i="11"/>
  <c r="AB307" i="11"/>
  <c r="AC307" i="11" s="1"/>
  <c r="AT114" i="11"/>
  <c r="AD114" i="11"/>
  <c r="AV127" i="11"/>
  <c r="AB127" i="11"/>
  <c r="AC127" i="11" s="1"/>
  <c r="V96" i="14"/>
  <c r="W96" i="14" s="1"/>
  <c r="AV115" i="11"/>
  <c r="AB115" i="11"/>
  <c r="AC115" i="11" s="1"/>
  <c r="AT128" i="11"/>
  <c r="AD128" i="11"/>
  <c r="AT207" i="11"/>
  <c r="AD207" i="11"/>
  <c r="AV210" i="11"/>
  <c r="AB210" i="11"/>
  <c r="AC210" i="11" s="1"/>
  <c r="I134" i="12"/>
  <c r="J134" i="12" s="1"/>
  <c r="AT267" i="11"/>
  <c r="AD267" i="11"/>
  <c r="AD258" i="11"/>
  <c r="AT258" i="11"/>
  <c r="AV124" i="11"/>
  <c r="AB124" i="11"/>
  <c r="AC124" i="11" s="1"/>
  <c r="AV93" i="11"/>
  <c r="AB93" i="11"/>
  <c r="AC93" i="11" s="1"/>
  <c r="AV180" i="11"/>
  <c r="AB180" i="11"/>
  <c r="AC180" i="11" s="1"/>
  <c r="AV62" i="11"/>
  <c r="AB62" i="11"/>
  <c r="AC62" i="11" s="1"/>
  <c r="AV191" i="11"/>
  <c r="AB191" i="11"/>
  <c r="AC191" i="11" s="1"/>
  <c r="AT193" i="11"/>
  <c r="AD193" i="11"/>
  <c r="AT314" i="11"/>
  <c r="AD314" i="11"/>
  <c r="AT110" i="11"/>
  <c r="AD110" i="11"/>
  <c r="AV136" i="11"/>
  <c r="AB136" i="11"/>
  <c r="AC136" i="11" s="1"/>
  <c r="AT50" i="11"/>
  <c r="AD50" i="11"/>
  <c r="AT274" i="11"/>
  <c r="AD274" i="11"/>
  <c r="AT189" i="11"/>
  <c r="AD189" i="11"/>
  <c r="AT116" i="11"/>
  <c r="AD116" i="11"/>
  <c r="AV284" i="11"/>
  <c r="AB284" i="11"/>
  <c r="AC284" i="11" s="1"/>
  <c r="AV205" i="11"/>
  <c r="AB205" i="11"/>
  <c r="AC205" i="11" s="1"/>
  <c r="AT316" i="11"/>
  <c r="AD316" i="11"/>
  <c r="AT322" i="11"/>
  <c r="AD322" i="11"/>
  <c r="AT67" i="11"/>
  <c r="AD67" i="11"/>
  <c r="AV175" i="11"/>
  <c r="AB175" i="11"/>
  <c r="AC175" i="11" s="1"/>
  <c r="AV321" i="11"/>
  <c r="AB321" i="11"/>
  <c r="AC321" i="11" s="1"/>
  <c r="AV185" i="11"/>
  <c r="AB185" i="11"/>
  <c r="AC185" i="11" s="1"/>
  <c r="AV214" i="11"/>
  <c r="AB214" i="11"/>
  <c r="AC214" i="11" s="1"/>
  <c r="AV234" i="11"/>
  <c r="AB234" i="11"/>
  <c r="AC234" i="11" s="1"/>
  <c r="AV79" i="11"/>
  <c r="AB79" i="11"/>
  <c r="AC79" i="11" s="1"/>
  <c r="AB30" i="5"/>
  <c r="AC30" i="5"/>
  <c r="AV302" i="11"/>
  <c r="AB302" i="11"/>
  <c r="AC302" i="11" s="1"/>
  <c r="AV331" i="11"/>
  <c r="AB331" i="11"/>
  <c r="AC331" i="11" s="1"/>
  <c r="AB162" i="11"/>
  <c r="AC162" i="11" s="1"/>
  <c r="AV162" i="11"/>
  <c r="AV275" i="11"/>
  <c r="AB275" i="11"/>
  <c r="AC275" i="11" s="1"/>
  <c r="AT255" i="11"/>
  <c r="AD255" i="11"/>
  <c r="AV197" i="11"/>
  <c r="AB197" i="11"/>
  <c r="AC197" i="11" s="1"/>
  <c r="AT109" i="11"/>
  <c r="AD109" i="11"/>
  <c r="AV238" i="11"/>
  <c r="AB238" i="11"/>
  <c r="AC238" i="11" s="1"/>
  <c r="AB123" i="11"/>
  <c r="AC123" i="11" s="1"/>
  <c r="AV123" i="11"/>
  <c r="AT147" i="11"/>
  <c r="AD147" i="11"/>
  <c r="AC26" i="5"/>
  <c r="AB26" i="5"/>
  <c r="AV233" i="11"/>
  <c r="AB233" i="11"/>
  <c r="AC233" i="11" s="1"/>
  <c r="AJ152" i="12"/>
  <c r="AH152" i="12" s="1"/>
  <c r="AL144" i="12"/>
  <c r="AI144" i="12" s="1"/>
  <c r="AL150" i="12"/>
  <c r="AI150" i="12" s="1"/>
  <c r="AJ142" i="12"/>
  <c r="AJ144" i="12"/>
  <c r="AH144" i="12" s="1"/>
  <c r="AD246" i="11"/>
  <c r="AT246" i="11"/>
  <c r="AT318" i="11"/>
  <c r="AD318" i="11"/>
  <c r="AT125" i="11"/>
  <c r="AD125" i="11"/>
  <c r="AD328" i="11"/>
  <c r="AT328" i="11"/>
  <c r="AT94" i="11"/>
  <c r="AD94" i="11"/>
  <c r="AT96" i="11"/>
  <c r="AD96" i="11"/>
  <c r="AD337" i="11"/>
  <c r="AT337" i="11"/>
  <c r="AV295" i="11"/>
  <c r="AB295" i="11"/>
  <c r="AC295" i="11" s="1"/>
  <c r="AT146" i="11"/>
  <c r="AD146" i="11"/>
  <c r="AT228" i="11"/>
  <c r="AD228" i="11"/>
  <c r="AT182" i="11"/>
  <c r="AD182" i="11"/>
  <c r="AV198" i="11"/>
  <c r="AB198" i="11"/>
  <c r="AC198" i="11" s="1"/>
  <c r="AT77" i="11"/>
  <c r="AD77" i="11"/>
  <c r="AV298" i="11"/>
  <c r="AB298" i="11"/>
  <c r="AC298" i="11" s="1"/>
  <c r="AV66" i="11"/>
  <c r="AB66" i="11"/>
  <c r="AC66" i="11" s="1"/>
  <c r="AT98" i="11"/>
  <c r="AD98" i="11"/>
  <c r="AT115" i="11"/>
  <c r="AD115" i="11"/>
  <c r="AV128" i="11"/>
  <c r="AB128" i="11"/>
  <c r="AC128" i="11" s="1"/>
  <c r="AV207" i="11"/>
  <c r="AB207" i="11"/>
  <c r="AC207" i="11" s="1"/>
  <c r="AL145" i="12"/>
  <c r="AI145" i="12" s="1"/>
  <c r="AL143" i="12"/>
  <c r="AI143" i="12" s="1"/>
  <c r="AF162" i="12"/>
  <c r="AV236" i="11"/>
  <c r="AB236" i="11"/>
  <c r="AC236" i="11" s="1"/>
  <c r="AB246" i="11"/>
  <c r="AC246" i="11" s="1"/>
  <c r="AV246" i="11"/>
  <c r="AV318" i="11"/>
  <c r="AB318" i="11"/>
  <c r="AC318" i="11" s="1"/>
  <c r="AV125" i="11"/>
  <c r="AB125" i="11"/>
  <c r="AC125" i="11" s="1"/>
  <c r="AB328" i="11"/>
  <c r="AC328" i="11" s="1"/>
  <c r="AV328" i="11"/>
  <c r="AB27" i="5"/>
  <c r="AC27" i="5"/>
  <c r="AV94" i="11"/>
  <c r="AB94" i="11"/>
  <c r="AC94" i="11" s="1"/>
  <c r="AV96" i="11"/>
  <c r="AB96" i="11"/>
  <c r="AC96" i="11" s="1"/>
  <c r="AV337" i="11"/>
  <c r="AB337" i="11"/>
  <c r="AC337" i="11" s="1"/>
  <c r="AT295" i="11"/>
  <c r="AD295" i="11"/>
  <c r="AV146" i="11"/>
  <c r="AB146" i="11"/>
  <c r="AC146" i="11" s="1"/>
  <c r="AV228" i="11"/>
  <c r="AB228" i="11"/>
  <c r="AC228" i="11" s="1"/>
  <c r="AV182" i="11"/>
  <c r="AB182" i="11"/>
  <c r="AC182" i="11" s="1"/>
  <c r="AT198" i="11"/>
  <c r="AD198" i="11"/>
  <c r="AE134" i="12"/>
  <c r="AE123" i="12"/>
  <c r="AE131" i="12"/>
  <c r="AL99" i="12"/>
  <c r="AI99" i="12" s="1"/>
  <c r="AJ99" i="12"/>
  <c r="AH99" i="12" s="1"/>
  <c r="AL100" i="12"/>
  <c r="AI100" i="12" s="1"/>
  <c r="AL107" i="12"/>
  <c r="AI107" i="12" s="1"/>
  <c r="AE132" i="12"/>
  <c r="AE133" i="12"/>
  <c r="AE130" i="12"/>
  <c r="AL103" i="12"/>
  <c r="AI103" i="12" s="1"/>
  <c r="AL102" i="12"/>
  <c r="AI102" i="12" s="1"/>
  <c r="AL106" i="12"/>
  <c r="AI106" i="12" s="1"/>
  <c r="AE118" i="12"/>
  <c r="AE124" i="12"/>
  <c r="AJ107" i="12"/>
  <c r="AH107" i="12" s="1"/>
  <c r="AL104" i="12"/>
  <c r="AI104" i="12" s="1"/>
  <c r="AJ104" i="12"/>
  <c r="AH104" i="12" s="1"/>
  <c r="AE128" i="12"/>
  <c r="AE117" i="12"/>
  <c r="AE119" i="12"/>
  <c r="AJ105" i="12"/>
  <c r="AH105" i="12" s="1"/>
  <c r="AL98" i="12"/>
  <c r="AL101" i="12"/>
  <c r="AI101" i="12" s="1"/>
  <c r="AE122" i="12"/>
  <c r="AE121" i="12"/>
  <c r="AJ100" i="12"/>
  <c r="AH100" i="12" s="1"/>
  <c r="AL105" i="12"/>
  <c r="AI105" i="12" s="1"/>
  <c r="AJ106" i="12"/>
  <c r="AH106" i="12" s="1"/>
  <c r="AN106" i="12" s="1"/>
  <c r="AJ101" i="12"/>
  <c r="AH101" i="12" s="1"/>
  <c r="AE129" i="12"/>
  <c r="AE127" i="12"/>
  <c r="AJ98" i="12"/>
  <c r="AL108" i="12"/>
  <c r="AI108" i="12" s="1"/>
  <c r="AJ103" i="12"/>
  <c r="AH103" i="12" s="1"/>
  <c r="AE120" i="12"/>
  <c r="AE125" i="12"/>
  <c r="AE126" i="12"/>
  <c r="AJ109" i="12"/>
  <c r="AH109" i="12" s="1"/>
  <c r="AJ102" i="12"/>
  <c r="AH102" i="12" s="1"/>
  <c r="AL109" i="12"/>
  <c r="AI109" i="12" s="1"/>
  <c r="AJ108" i="12"/>
  <c r="AH108" i="12" s="1"/>
  <c r="AT121" i="11"/>
  <c r="AD121" i="11"/>
  <c r="AT104" i="11"/>
  <c r="AD104" i="11"/>
  <c r="AT100" i="11"/>
  <c r="AD100" i="11"/>
  <c r="AV310" i="11"/>
  <c r="AB310" i="11"/>
  <c r="AC310" i="11" s="1"/>
  <c r="AV260" i="11"/>
  <c r="AB260" i="11"/>
  <c r="AC260" i="11" s="1"/>
  <c r="AV113" i="11"/>
  <c r="AB113" i="11"/>
  <c r="AC113" i="11" s="1"/>
  <c r="AT122" i="11"/>
  <c r="AD122" i="11"/>
  <c r="AB217" i="11"/>
  <c r="AC217" i="11" s="1"/>
  <c r="AV217" i="11"/>
  <c r="AV305" i="11"/>
  <c r="AB305" i="11"/>
  <c r="AC305" i="11" s="1"/>
  <c r="AV215" i="11"/>
  <c r="AB215" i="11"/>
  <c r="AC215" i="11" s="1"/>
  <c r="AV306" i="11"/>
  <c r="AB306" i="11"/>
  <c r="AC306" i="11" s="1"/>
  <c r="AV250" i="11"/>
  <c r="AB250" i="11"/>
  <c r="AC250" i="11" s="1"/>
  <c r="AT165" i="11"/>
  <c r="AD165" i="11"/>
  <c r="AV102" i="11"/>
  <c r="AB102" i="11"/>
  <c r="AC102" i="11" s="1"/>
  <c r="AV297" i="11"/>
  <c r="AB297" i="11"/>
  <c r="AC297" i="11" s="1"/>
  <c r="AV256" i="11"/>
  <c r="AB256" i="11"/>
  <c r="AC256" i="11" s="1"/>
  <c r="AD243" i="11"/>
  <c r="AT243" i="11"/>
  <c r="AT105" i="11"/>
  <c r="AD105" i="11"/>
  <c r="AT196" i="11"/>
  <c r="AD196" i="11"/>
  <c r="AV194" i="11"/>
  <c r="AB194" i="11"/>
  <c r="AC194" i="11" s="1"/>
  <c r="AV223" i="11"/>
  <c r="AB223" i="11"/>
  <c r="AC223" i="11" s="1"/>
  <c r="AD251" i="11"/>
  <c r="AT251" i="11"/>
  <c r="AV52" i="11"/>
  <c r="AB52" i="11"/>
  <c r="AC52" i="11" s="1"/>
  <c r="AT220" i="11"/>
  <c r="AD220" i="11"/>
  <c r="AT103" i="11"/>
  <c r="AD103" i="11"/>
  <c r="AT290" i="11"/>
  <c r="AD290" i="11"/>
  <c r="AV323" i="11"/>
  <c r="AB323" i="11"/>
  <c r="AC323" i="11" s="1"/>
  <c r="AT279" i="11"/>
  <c r="AD279" i="11"/>
  <c r="AD269" i="11"/>
  <c r="AT269" i="11"/>
  <c r="AT281" i="11"/>
  <c r="AD281" i="11"/>
  <c r="AT195" i="11"/>
  <c r="AD195" i="11"/>
  <c r="AT335" i="11"/>
  <c r="AD335" i="11"/>
  <c r="AT229" i="11"/>
  <c r="AD229" i="11"/>
  <c r="AV181" i="11"/>
  <c r="AB181" i="11"/>
  <c r="AC181" i="11" s="1"/>
  <c r="AT199" i="11"/>
  <c r="AD199" i="11"/>
  <c r="AV289" i="11"/>
  <c r="AB289" i="11"/>
  <c r="AC289" i="11" s="1"/>
  <c r="AT139" i="11"/>
  <c r="AD139" i="11"/>
  <c r="AT294" i="11"/>
  <c r="AD294" i="11"/>
  <c r="AT86" i="11"/>
  <c r="AD86" i="11"/>
  <c r="AT190" i="11"/>
  <c r="AD190" i="11"/>
  <c r="AT304" i="11"/>
  <c r="AD304" i="11"/>
  <c r="AV91" i="11"/>
  <c r="AB91" i="11"/>
  <c r="AC91" i="11" s="1"/>
  <c r="AD74" i="11"/>
  <c r="AT74" i="11"/>
  <c r="AV324" i="11"/>
  <c r="AB324" i="11"/>
  <c r="AC324" i="11" s="1"/>
  <c r="AV334" i="11"/>
  <c r="AB334" i="11"/>
  <c r="AC334" i="11" s="1"/>
  <c r="AV212" i="11"/>
  <c r="AB212" i="11"/>
  <c r="AC212" i="11" s="1"/>
  <c r="AT219" i="11"/>
  <c r="AD219" i="11"/>
  <c r="AD248" i="11"/>
  <c r="AT248" i="11"/>
  <c r="AT308" i="11"/>
  <c r="AD308" i="11"/>
  <c r="AT303" i="11"/>
  <c r="AD303" i="11"/>
  <c r="AL146" i="12"/>
  <c r="AI146" i="12" s="1"/>
  <c r="AJ153" i="12"/>
  <c r="AH153" i="12" s="1"/>
  <c r="AF169" i="12"/>
  <c r="AF160" i="12"/>
  <c r="AF164" i="12"/>
  <c r="AL147" i="12"/>
  <c r="AI147" i="12" s="1"/>
  <c r="AT236" i="11"/>
  <c r="AD236" i="11"/>
  <c r="AT141" i="11"/>
  <c r="AD141" i="11"/>
  <c r="AV183" i="11"/>
  <c r="AB183" i="11"/>
  <c r="AC183" i="11" s="1"/>
  <c r="AT129" i="11"/>
  <c r="AD129" i="11"/>
  <c r="AV332" i="11"/>
  <c r="AB332" i="11"/>
  <c r="AC332" i="11" s="1"/>
  <c r="AT48" i="11"/>
  <c r="AD48" i="11"/>
  <c r="AV277" i="11"/>
  <c r="AB277" i="11"/>
  <c r="AC277" i="11" s="1"/>
  <c r="AB265" i="11"/>
  <c r="AC265" i="11" s="1"/>
  <c r="AV265" i="11"/>
  <c r="AT112" i="11"/>
  <c r="AD112" i="11"/>
  <c r="AD216" i="11"/>
  <c r="AT216" i="11"/>
  <c r="AV56" i="11"/>
  <c r="AB56" i="11"/>
  <c r="AC56" i="11" s="1"/>
  <c r="AT327" i="11"/>
  <c r="AD327" i="11"/>
  <c r="AV173" i="11"/>
  <c r="AB173" i="11"/>
  <c r="AC173" i="11" s="1"/>
  <c r="AB329" i="11"/>
  <c r="AC329" i="11" s="1"/>
  <c r="AV329" i="11"/>
  <c r="AT317" i="11"/>
  <c r="AD317" i="11"/>
  <c r="AV201" i="11"/>
  <c r="AB201" i="11"/>
  <c r="AC201" i="11" s="1"/>
  <c r="AT206" i="11"/>
  <c r="AD206" i="11"/>
  <c r="AD244" i="11"/>
  <c r="AT244" i="11"/>
  <c r="AT127" i="11"/>
  <c r="AD127" i="11"/>
  <c r="AT217" i="11"/>
  <c r="AD217" i="11"/>
  <c r="AD215" i="11"/>
  <c r="AT215" i="11"/>
  <c r="AD250" i="11"/>
  <c r="AT250" i="11"/>
  <c r="AT191" i="11"/>
  <c r="AD191" i="11"/>
  <c r="V83" i="14"/>
  <c r="W83" i="14" s="1"/>
  <c r="X83" i="14"/>
  <c r="AV193" i="11"/>
  <c r="AB193" i="11"/>
  <c r="AC193" i="11" s="1"/>
  <c r="AV314" i="11"/>
  <c r="AB314" i="11"/>
  <c r="AC314" i="11" s="1"/>
  <c r="AB251" i="11"/>
  <c r="AC251" i="11" s="1"/>
  <c r="AV251" i="11"/>
  <c r="AV103" i="11"/>
  <c r="AB103" i="11"/>
  <c r="AC103" i="11" s="1"/>
  <c r="AV290" i="11"/>
  <c r="AB290" i="11"/>
  <c r="AC290" i="11" s="1"/>
  <c r="AV279" i="11"/>
  <c r="AB279" i="11"/>
  <c r="AC279" i="11" s="1"/>
  <c r="AV281" i="11"/>
  <c r="AB281" i="11"/>
  <c r="AC281" i="11" s="1"/>
  <c r="AB335" i="11"/>
  <c r="AC335" i="11" s="1"/>
  <c r="AV335" i="11"/>
  <c r="AV229" i="11"/>
  <c r="AB229" i="11"/>
  <c r="AC229" i="11" s="1"/>
  <c r="AT181" i="11"/>
  <c r="AD181" i="11"/>
  <c r="AT91" i="11"/>
  <c r="AD91" i="11"/>
  <c r="AT324" i="11"/>
  <c r="AD324" i="11"/>
  <c r="AB219" i="11"/>
  <c r="AC219" i="11" s="1"/>
  <c r="AV219" i="11"/>
  <c r="AV308" i="11"/>
  <c r="AB308" i="11"/>
  <c r="AC308" i="11" s="1"/>
  <c r="AB34" i="5"/>
  <c r="AC34" i="5"/>
  <c r="AV104" i="11"/>
  <c r="AB104" i="11"/>
  <c r="AC104" i="11" s="1"/>
  <c r="AV100" i="11"/>
  <c r="AB100" i="11"/>
  <c r="AC100" i="11" s="1"/>
  <c r="AT310" i="11"/>
  <c r="AD310" i="11"/>
  <c r="AT260" i="11"/>
  <c r="AD260" i="11"/>
  <c r="AT113" i="11"/>
  <c r="AD113" i="11"/>
  <c r="AV226" i="11"/>
  <c r="AB226" i="11"/>
  <c r="AC226" i="11" s="1"/>
  <c r="AV235" i="11"/>
  <c r="AB235" i="11"/>
  <c r="AC235" i="11" s="1"/>
  <c r="AT184" i="11"/>
  <c r="AD184" i="11"/>
  <c r="AT325" i="11"/>
  <c r="AD325" i="11"/>
  <c r="AV208" i="11"/>
  <c r="AB208" i="11"/>
  <c r="AC208" i="11" s="1"/>
  <c r="AV282" i="11"/>
  <c r="AB282" i="11"/>
  <c r="AC282" i="11" s="1"/>
  <c r="AO6" i="1"/>
  <c r="AV165" i="11"/>
  <c r="AB165" i="11"/>
  <c r="AC165" i="11" s="1"/>
  <c r="AT102" i="11"/>
  <c r="AD102" i="11"/>
  <c r="AD297" i="11"/>
  <c r="AT297" i="11"/>
  <c r="AT256" i="11"/>
  <c r="AD256" i="11"/>
  <c r="AB243" i="11"/>
  <c r="AC243" i="11" s="1"/>
  <c r="AV243" i="11"/>
  <c r="AV105" i="11"/>
  <c r="AB105" i="11"/>
  <c r="AC105" i="11" s="1"/>
  <c r="AV196" i="11"/>
  <c r="AB196" i="11"/>
  <c r="AC196" i="11" s="1"/>
  <c r="AT194" i="11"/>
  <c r="AD194" i="11"/>
  <c r="AT223" i="11"/>
  <c r="AD223" i="11"/>
  <c r="AT52" i="11"/>
  <c r="AD52" i="11"/>
  <c r="AV220" i="11"/>
  <c r="AB220" i="11"/>
  <c r="AC220" i="11" s="1"/>
  <c r="AV224" i="11"/>
  <c r="AB224" i="11"/>
  <c r="AC224" i="11" s="1"/>
  <c r="AV108" i="11"/>
  <c r="AB108" i="11"/>
  <c r="AC108" i="11" s="1"/>
  <c r="AV130" i="11"/>
  <c r="AB130" i="11"/>
  <c r="AC130" i="11" s="1"/>
  <c r="AV200" i="11"/>
  <c r="AB200" i="11"/>
  <c r="AC200" i="11" s="1"/>
  <c r="AT178" i="11"/>
  <c r="AD178" i="11"/>
  <c r="AT172" i="11"/>
  <c r="AD172" i="11"/>
  <c r="AV59" i="11"/>
  <c r="AB59" i="11"/>
  <c r="AC59" i="11" s="1"/>
  <c r="AV95" i="11"/>
  <c r="AB95" i="11"/>
  <c r="AC95" i="11" s="1"/>
  <c r="AD143" i="11"/>
  <c r="AT143" i="11"/>
  <c r="AV140" i="11"/>
  <c r="AB140" i="11"/>
  <c r="AC140" i="11" s="1"/>
  <c r="AV170" i="11"/>
  <c r="AB170" i="11"/>
  <c r="AC170" i="11" s="1"/>
  <c r="AV240" i="11"/>
  <c r="AB240" i="11"/>
  <c r="AC240" i="11" s="1"/>
  <c r="AT83" i="11"/>
  <c r="AD83" i="11"/>
  <c r="AD312" i="11"/>
  <c r="AT312" i="11"/>
  <c r="AD257" i="11"/>
  <c r="AT257" i="11"/>
  <c r="AV276" i="11"/>
  <c r="AB276" i="11"/>
  <c r="AC276" i="11" s="1"/>
  <c r="AV137" i="11"/>
  <c r="AB137" i="11"/>
  <c r="AC137" i="11" s="1"/>
  <c r="AB171" i="11"/>
  <c r="AC171" i="11" s="1"/>
  <c r="AV171" i="11"/>
  <c r="AT117" i="11"/>
  <c r="AD117" i="11"/>
  <c r="AT53" i="11"/>
  <c r="AD53" i="11"/>
  <c r="AT222" i="11"/>
  <c r="AD222" i="11"/>
  <c r="AV303" i="11"/>
  <c r="AB303" i="11"/>
  <c r="AC303" i="11" s="1"/>
  <c r="AF163" i="12"/>
  <c r="AF177" i="12"/>
  <c r="AL152" i="12"/>
  <c r="AI152" i="12" s="1"/>
  <c r="AF167" i="12"/>
  <c r="AF174" i="12"/>
  <c r="AF166" i="12"/>
  <c r="AB141" i="11"/>
  <c r="AC141" i="11" s="1"/>
  <c r="AV141" i="11"/>
  <c r="AT183" i="11"/>
  <c r="AD183" i="11"/>
  <c r="AV129" i="11"/>
  <c r="AB129" i="11"/>
  <c r="AC129" i="11" s="1"/>
  <c r="AD332" i="11"/>
  <c r="AT332" i="11"/>
  <c r="AV48" i="11"/>
  <c r="AB48" i="11"/>
  <c r="AC48" i="11" s="1"/>
  <c r="AT277" i="11"/>
  <c r="AD277" i="11"/>
  <c r="AD265" i="11"/>
  <c r="AT265" i="11"/>
  <c r="AV112" i="11"/>
  <c r="AB112" i="11"/>
  <c r="AC112" i="11" s="1"/>
  <c r="AB216" i="11"/>
  <c r="AC216" i="11" s="1"/>
  <c r="AV216" i="11"/>
  <c r="AT56" i="11"/>
  <c r="AD56" i="11"/>
  <c r="AB327" i="11"/>
  <c r="AC327" i="11" s="1"/>
  <c r="AV327" i="11"/>
  <c r="AD173" i="11"/>
  <c r="AT173" i="11"/>
  <c r="AD329" i="11"/>
  <c r="AT329" i="11"/>
  <c r="AV317" i="11"/>
  <c r="AB317" i="11"/>
  <c r="AC317" i="11" s="1"/>
  <c r="AT201" i="11"/>
  <c r="AD201" i="11"/>
  <c r="AD245" i="11"/>
  <c r="AT245" i="11"/>
  <c r="AT164" i="11"/>
  <c r="AD164" i="11"/>
  <c r="AV206" i="11"/>
  <c r="AB206" i="11"/>
  <c r="AC206" i="11" s="1"/>
  <c r="AB244" i="11"/>
  <c r="AC244" i="11" s="1"/>
  <c r="AV244" i="11"/>
  <c r="AT192" i="11"/>
  <c r="AD192" i="11"/>
  <c r="AT307" i="11"/>
  <c r="AD307" i="11"/>
  <c r="AT210" i="11"/>
  <c r="AD210" i="11"/>
  <c r="AF178" i="12"/>
  <c r="V7" i="9"/>
  <c r="W7" i="9" s="1"/>
  <c r="N77" i="16" s="1"/>
  <c r="AF234" i="12"/>
  <c r="AD231" i="12"/>
  <c r="AG231" i="12"/>
  <c r="AF221" i="12"/>
  <c r="AE221" i="12"/>
  <c r="AG222" i="12"/>
  <c r="AH225" i="12"/>
  <c r="AC222" i="12"/>
  <c r="AH227" i="12"/>
  <c r="AC228" i="12"/>
  <c r="AF229" i="12"/>
  <c r="AC227" i="12"/>
  <c r="AD215" i="12"/>
  <c r="AC215" i="12"/>
  <c r="AD217" i="12"/>
  <c r="AD218" i="12"/>
  <c r="AB217" i="12"/>
  <c r="AD216" i="12"/>
  <c r="AE218" i="12"/>
  <c r="AE214" i="12"/>
  <c r="AH228" i="12"/>
  <c r="AF232" i="12"/>
  <c r="AG224" i="12"/>
  <c r="AE228" i="12"/>
  <c r="AB233" i="12"/>
  <c r="AF235" i="12"/>
  <c r="AH226" i="12"/>
  <c r="AC236" i="12"/>
  <c r="AE224" i="12"/>
  <c r="AE222" i="12"/>
  <c r="AB225" i="12"/>
  <c r="AG235" i="12"/>
  <c r="AC221" i="12"/>
  <c r="AD229" i="12"/>
  <c r="AF227" i="12"/>
  <c r="AD227" i="12"/>
  <c r="AG229" i="12"/>
  <c r="AH216" i="12"/>
  <c r="AF219" i="12"/>
  <c r="AB15" i="12"/>
  <c r="AD219" i="12"/>
  <c r="AD232" i="12"/>
  <c r="AH217" i="12"/>
  <c r="AB16" i="12"/>
  <c r="AD214" i="12"/>
  <c r="AH236" i="12"/>
  <c r="AH224" i="12"/>
  <c r="AG230" i="12"/>
  <c r="AC220" i="12"/>
  <c r="AF226" i="12"/>
  <c r="AD235" i="12"/>
  <c r="AB232" i="12"/>
  <c r="AB216" i="12"/>
  <c r="AB221" i="12"/>
  <c r="AE234" i="12"/>
  <c r="AG234" i="12"/>
  <c r="AD221" i="12"/>
  <c r="AC225" i="12"/>
  <c r="AF223" i="12"/>
  <c r="AD236" i="12"/>
  <c r="AE236" i="12"/>
  <c r="AB234" i="12"/>
  <c r="AD228" i="12"/>
  <c r="AB228" i="12"/>
  <c r="AH229" i="12"/>
  <c r="AG228" i="12"/>
  <c r="AF217" i="12"/>
  <c r="AF220" i="12"/>
  <c r="AE219" i="12"/>
  <c r="AD220" i="12"/>
  <c r="AC219" i="12"/>
  <c r="AC216" i="12"/>
  <c r="AE215" i="12"/>
  <c r="AC214" i="12"/>
  <c r="AF224" i="12"/>
  <c r="AD234" i="12"/>
  <c r="AF222" i="12"/>
  <c r="AB224" i="12"/>
  <c r="AC230" i="12"/>
  <c r="AE220" i="12"/>
  <c r="AF214" i="12"/>
  <c r="AD222" i="12"/>
  <c r="AH231" i="12"/>
  <c r="AE227" i="12"/>
  <c r="AB25" i="12"/>
  <c r="AG226" i="12"/>
  <c r="AD225" i="12"/>
  <c r="AE225" i="12"/>
  <c r="AC231" i="12"/>
  <c r="AB236" i="12"/>
  <c r="AG225" i="12"/>
  <c r="AB235" i="12"/>
  <c r="AH223" i="12"/>
  <c r="AG223" i="12"/>
  <c r="AC226" i="12"/>
  <c r="AH234" i="12"/>
  <c r="AF230" i="12"/>
  <c r="AE229" i="12"/>
  <c r="AH230" i="12"/>
  <c r="AH219" i="12"/>
  <c r="AG220" i="12"/>
  <c r="AC233" i="12"/>
  <c r="AG232" i="12"/>
  <c r="AG218" i="12"/>
  <c r="AH233" i="12"/>
  <c r="AB219" i="12"/>
  <c r="AF233" i="12"/>
  <c r="AB214" i="12"/>
  <c r="AE226" i="12"/>
  <c r="AB227" i="12"/>
  <c r="AF218" i="12"/>
  <c r="AF225" i="12"/>
  <c r="AE223" i="12"/>
  <c r="AC224" i="12"/>
  <c r="AF231" i="12"/>
  <c r="AE231" i="12"/>
  <c r="AB223" i="12"/>
  <c r="AG236" i="12"/>
  <c r="AC234" i="12"/>
  <c r="AB231" i="12"/>
  <c r="AG227" i="12"/>
  <c r="AB229" i="12"/>
  <c r="AF228" i="12"/>
  <c r="AE233" i="12"/>
  <c r="AD233" i="12"/>
  <c r="AB215" i="12"/>
  <c r="AH215" i="12"/>
  <c r="AG215" i="12"/>
  <c r="AB21" i="12"/>
  <c r="AB17" i="12" s="1"/>
  <c r="AE232" i="12"/>
  <c r="AG216" i="12"/>
  <c r="AH214" i="12"/>
  <c r="AD230" i="12"/>
  <c r="AH232" i="12"/>
  <c r="AH220" i="12"/>
  <c r="AF236" i="12"/>
  <c r="AC223" i="12"/>
  <c r="AH218" i="12"/>
  <c r="AG214" i="12"/>
  <c r="AB222" i="12"/>
  <c r="AH235" i="12"/>
  <c r="AD226" i="12"/>
  <c r="AB226" i="12"/>
  <c r="AC235" i="12"/>
  <c r="AH221" i="12"/>
  <c r="AD224" i="12"/>
  <c r="AE235" i="12"/>
  <c r="AH222" i="12"/>
  <c r="AC229" i="12"/>
  <c r="AB230" i="12"/>
  <c r="AE230" i="12"/>
  <c r="AC218" i="12"/>
  <c r="AB218" i="12"/>
  <c r="AF216" i="12"/>
  <c r="AC217" i="12"/>
  <c r="AE216" i="12"/>
  <c r="AF215" i="12"/>
  <c r="AG233" i="12"/>
  <c r="AE217" i="12"/>
  <c r="AD223" i="12"/>
  <c r="AG219" i="12"/>
  <c r="AG217" i="12"/>
  <c r="AG221" i="12"/>
  <c r="AC232" i="12"/>
  <c r="AB220" i="12"/>
  <c r="AT285" i="11"/>
  <c r="AD285" i="11"/>
  <c r="AV203" i="11"/>
  <c r="AB203" i="11"/>
  <c r="AC203" i="11" s="1"/>
  <c r="AT209" i="11"/>
  <c r="AD209" i="11"/>
  <c r="AV336" i="11"/>
  <c r="AB336" i="11"/>
  <c r="AC336" i="11" s="1"/>
  <c r="AV287" i="11"/>
  <c r="AB287" i="11"/>
  <c r="AC287" i="11" s="1"/>
  <c r="AT126" i="11"/>
  <c r="AD126" i="11"/>
  <c r="AB266" i="11"/>
  <c r="AC266" i="11" s="1"/>
  <c r="AV266" i="11"/>
  <c r="AT226" i="11"/>
  <c r="AD226" i="11"/>
  <c r="AT235" i="11"/>
  <c r="AD235" i="11"/>
  <c r="AV184" i="11"/>
  <c r="AB184" i="11"/>
  <c r="AC184" i="11" s="1"/>
  <c r="AB326" i="11"/>
  <c r="AC326" i="11" s="1"/>
  <c r="AV326" i="11"/>
  <c r="AV325" i="11"/>
  <c r="AB325" i="11"/>
  <c r="AC325" i="11" s="1"/>
  <c r="X98" i="14"/>
  <c r="V98" i="14"/>
  <c r="W98" i="14" s="1"/>
  <c r="V114" i="14"/>
  <c r="W114" i="14" s="1"/>
  <c r="X114" i="14"/>
  <c r="AT208" i="11"/>
  <c r="AD208" i="11"/>
  <c r="AT282" i="11"/>
  <c r="AD282" i="11"/>
  <c r="AV169" i="11"/>
  <c r="AB169" i="11"/>
  <c r="AC169" i="11" s="1"/>
  <c r="AV320" i="11"/>
  <c r="AB320" i="11"/>
  <c r="AC320" i="11" s="1"/>
  <c r="AD299" i="11"/>
  <c r="AT299" i="11"/>
  <c r="AV291" i="11"/>
  <c r="AB291" i="11"/>
  <c r="AC291" i="11" s="1"/>
  <c r="AV101" i="11"/>
  <c r="AB101" i="11"/>
  <c r="AC101" i="11" s="1"/>
  <c r="AV111" i="11"/>
  <c r="AB111" i="11"/>
  <c r="AC111" i="11" s="1"/>
  <c r="AV61" i="11"/>
  <c r="AB61" i="11"/>
  <c r="AC61" i="11" s="1"/>
  <c r="AV272" i="11"/>
  <c r="AB272" i="11"/>
  <c r="AC272" i="11" s="1"/>
  <c r="AV221" i="11"/>
  <c r="AB221" i="11"/>
  <c r="AC221" i="11" s="1"/>
  <c r="AT224" i="11"/>
  <c r="AD224" i="11"/>
  <c r="AT108" i="11"/>
  <c r="AD108" i="11"/>
  <c r="AD130" i="11"/>
  <c r="AT130" i="11"/>
  <c r="AT200" i="11"/>
  <c r="AD200" i="11"/>
  <c r="AV178" i="11"/>
  <c r="AB178" i="11"/>
  <c r="AC178" i="11" s="1"/>
  <c r="AV172" i="11"/>
  <c r="AB172" i="11"/>
  <c r="AC172" i="11" s="1"/>
  <c r="AT59" i="11"/>
  <c r="AD59" i="11"/>
  <c r="AT95" i="11"/>
  <c r="AD95" i="11"/>
  <c r="AV143" i="11"/>
  <c r="AB143" i="11"/>
  <c r="AC143" i="11" s="1"/>
  <c r="AD140" i="11"/>
  <c r="AT140" i="11"/>
  <c r="AT170" i="11"/>
  <c r="AD170" i="11"/>
  <c r="AT240" i="11"/>
  <c r="AD240" i="11"/>
  <c r="AV83" i="11"/>
  <c r="AB83" i="11"/>
  <c r="AC83" i="11" s="1"/>
  <c r="AT81" i="11"/>
  <c r="AD81" i="11"/>
  <c r="AB312" i="11"/>
  <c r="AC312" i="11" s="1"/>
  <c r="AV312" i="11"/>
  <c r="AB257" i="11"/>
  <c r="AC257" i="11" s="1"/>
  <c r="AV257" i="11"/>
  <c r="AT276" i="11"/>
  <c r="AD276" i="11"/>
  <c r="AD137" i="11"/>
  <c r="AT137" i="11"/>
  <c r="AT171" i="11"/>
  <c r="AD171" i="11"/>
  <c r="AV117" i="11"/>
  <c r="AB117" i="11"/>
  <c r="AC117" i="11" s="1"/>
  <c r="AV53" i="11"/>
  <c r="AB53" i="11"/>
  <c r="AC53" i="11" s="1"/>
  <c r="AV222" i="11"/>
  <c r="AB222" i="11"/>
  <c r="AC222" i="11" s="1"/>
  <c r="AJ151" i="12"/>
  <c r="AH151" i="12" s="1"/>
  <c r="AJ149" i="12"/>
  <c r="AH149" i="12" s="1"/>
  <c r="AL149" i="12"/>
  <c r="AI149" i="12" s="1"/>
  <c r="AF165" i="12"/>
  <c r="AF161" i="12"/>
  <c r="AF173" i="12"/>
  <c r="AV131" i="11"/>
  <c r="AB131" i="11"/>
  <c r="AC131" i="11" s="1"/>
  <c r="AV54" i="11"/>
  <c r="AB54" i="11"/>
  <c r="AC54" i="11" s="1"/>
  <c r="AT99" i="11"/>
  <c r="AD99" i="11"/>
  <c r="AV247" i="11"/>
  <c r="AB247" i="11"/>
  <c r="AC247" i="11" s="1"/>
  <c r="AV60" i="11"/>
  <c r="AB60" i="11"/>
  <c r="AC60" i="11" s="1"/>
  <c r="AV58" i="11"/>
  <c r="AB58" i="11"/>
  <c r="AC58" i="11" s="1"/>
  <c r="AT88" i="11"/>
  <c r="AD88" i="11"/>
  <c r="AD259" i="11"/>
  <c r="AT259" i="11"/>
  <c r="AV73" i="11"/>
  <c r="AB73" i="11"/>
  <c r="AC73" i="11" s="1"/>
  <c r="AV301" i="11"/>
  <c r="AB301" i="11"/>
  <c r="AC301" i="11" s="1"/>
  <c r="AV160" i="11"/>
  <c r="AB160" i="11"/>
  <c r="AC160" i="11" s="1"/>
  <c r="AB245" i="11"/>
  <c r="AC245" i="11" s="1"/>
  <c r="AV245" i="11"/>
  <c r="AV164" i="11"/>
  <c r="AB164" i="11"/>
  <c r="AC164" i="11" s="1"/>
  <c r="AV85" i="11"/>
  <c r="AB85" i="11"/>
  <c r="AC85" i="11" s="1"/>
  <c r="AV286" i="11"/>
  <c r="AB286" i="11"/>
  <c r="AC286" i="11" s="1"/>
  <c r="AT239" i="11"/>
  <c r="AD239" i="11"/>
  <c r="AV278" i="11"/>
  <c r="AB278" i="11"/>
  <c r="AC278" i="11" s="1"/>
  <c r="AJ147" i="12"/>
  <c r="AH147" i="12" s="1"/>
  <c r="AN147" i="12" s="1"/>
  <c r="AT319" i="11"/>
  <c r="AD319" i="11"/>
  <c r="AV273" i="11"/>
  <c r="AB273" i="11"/>
  <c r="AC273" i="11" s="1"/>
  <c r="AV285" i="11"/>
  <c r="AB285" i="11"/>
  <c r="AC285" i="11" s="1"/>
  <c r="AT203" i="11"/>
  <c r="AD203" i="11"/>
  <c r="AV209" i="11"/>
  <c r="AB209" i="11"/>
  <c r="AC209" i="11" s="1"/>
  <c r="AD336" i="11"/>
  <c r="AT336" i="11"/>
  <c r="AT287" i="11"/>
  <c r="AD287" i="11"/>
  <c r="AB126" i="11"/>
  <c r="AC126" i="11" s="1"/>
  <c r="AV126" i="11"/>
  <c r="AD266" i="11"/>
  <c r="AT266" i="11"/>
  <c r="AT174" i="11"/>
  <c r="AD174" i="11"/>
  <c r="AV241" i="11"/>
  <c r="AB241" i="11"/>
  <c r="AC241" i="11" s="1"/>
  <c r="AT76" i="11"/>
  <c r="AD76" i="11"/>
  <c r="AT227" i="11"/>
  <c r="AD227" i="11"/>
  <c r="AV211" i="11"/>
  <c r="AB211" i="11"/>
  <c r="AC211" i="11" s="1"/>
  <c r="AT326" i="11"/>
  <c r="AD326" i="11"/>
  <c r="AV300" i="11"/>
  <c r="AB300" i="11"/>
  <c r="AC300" i="11" s="1"/>
  <c r="AT63" i="11"/>
  <c r="AD63" i="11"/>
  <c r="AV288" i="11"/>
  <c r="AB288" i="11"/>
  <c r="AC288" i="11" s="1"/>
  <c r="AT293" i="11"/>
  <c r="AD293" i="11"/>
  <c r="AV118" i="11"/>
  <c r="AB118" i="11"/>
  <c r="AC118" i="11" s="1"/>
  <c r="AV133" i="11"/>
  <c r="AB133" i="11"/>
  <c r="AC133" i="11" s="1"/>
  <c r="AT169" i="11"/>
  <c r="AD169" i="11"/>
  <c r="AT320" i="11"/>
  <c r="AD320" i="11"/>
  <c r="AV299" i="11"/>
  <c r="AB299" i="11"/>
  <c r="AC299" i="11" s="1"/>
  <c r="AT291" i="11"/>
  <c r="AD291" i="11"/>
  <c r="AT101" i="11"/>
  <c r="AD101" i="11"/>
  <c r="AT111" i="11"/>
  <c r="AD111" i="11"/>
  <c r="AT61" i="11"/>
  <c r="AD61" i="11"/>
  <c r="AT272" i="11"/>
  <c r="AD272" i="11"/>
  <c r="AT221" i="11"/>
  <c r="AD221" i="11"/>
  <c r="AT187" i="11"/>
  <c r="AD187" i="11"/>
  <c r="AV166" i="11"/>
  <c r="AB166" i="11"/>
  <c r="AC166" i="11" s="1"/>
  <c r="AB296" i="11"/>
  <c r="AC296" i="11" s="1"/>
  <c r="AV296" i="11"/>
  <c r="AB161" i="11"/>
  <c r="AC161" i="11" s="1"/>
  <c r="AV161" i="11"/>
  <c r="AB57" i="11"/>
  <c r="AC57" i="11" s="1"/>
  <c r="AV57" i="11"/>
  <c r="AV186" i="11"/>
  <c r="AB186" i="11"/>
  <c r="AC186" i="11" s="1"/>
  <c r="AT309" i="11"/>
  <c r="AD309" i="11"/>
  <c r="AV89" i="11"/>
  <c r="AB89" i="11"/>
  <c r="AC89" i="11" s="1"/>
  <c r="AT55" i="11"/>
  <c r="AD55" i="11"/>
  <c r="AT87" i="11"/>
  <c r="AD87" i="11"/>
  <c r="AV92" i="11"/>
  <c r="AB92" i="11"/>
  <c r="AC92" i="11" s="1"/>
  <c r="AB249" i="11"/>
  <c r="AC249" i="11" s="1"/>
  <c r="AV249" i="11"/>
  <c r="AD261" i="11"/>
  <c r="AT261" i="11"/>
  <c r="AT82" i="11"/>
  <c r="AD82" i="11"/>
  <c r="AV292" i="11"/>
  <c r="AB292" i="11"/>
  <c r="AC292" i="11" s="1"/>
  <c r="AV132" i="11"/>
  <c r="AB132" i="11"/>
  <c r="AC132" i="11" s="1"/>
  <c r="AT75" i="11"/>
  <c r="AD75" i="11"/>
  <c r="AV81" i="11"/>
  <c r="AB81" i="11"/>
  <c r="AC81" i="11" s="1"/>
  <c r="AV145" i="11"/>
  <c r="AB145" i="11"/>
  <c r="AC145" i="11" s="1"/>
  <c r="AD176" i="11"/>
  <c r="AT176" i="11"/>
  <c r="AB283" i="11"/>
  <c r="AC283" i="11" s="1"/>
  <c r="AV283" i="11"/>
  <c r="AT188" i="11"/>
  <c r="AD188" i="11"/>
  <c r="AT65" i="11"/>
  <c r="AD65" i="11"/>
  <c r="AV213" i="11"/>
  <c r="AB213" i="11"/>
  <c r="AC213" i="11" s="1"/>
  <c r="AV167" i="11"/>
  <c r="AB167" i="11"/>
  <c r="AC167" i="11" s="1"/>
  <c r="AV72" i="11"/>
  <c r="AB72" i="11"/>
  <c r="AC72" i="11" s="1"/>
  <c r="AV268" i="11"/>
  <c r="AB268" i="11"/>
  <c r="AC268" i="11" s="1"/>
  <c r="AV315" i="11"/>
  <c r="AB315" i="11"/>
  <c r="AC315" i="11" s="1"/>
  <c r="AT70" i="11"/>
  <c r="AD70" i="11"/>
  <c r="AV271" i="11"/>
  <c r="AB271" i="11"/>
  <c r="AC271" i="11" s="1"/>
  <c r="AL142" i="12"/>
  <c r="AF172" i="12"/>
  <c r="AJ150" i="12"/>
  <c r="AH150" i="12" s="1"/>
  <c r="AJ146" i="12"/>
  <c r="AH146" i="12" s="1"/>
  <c r="AJ143" i="12"/>
  <c r="AH143" i="12" s="1"/>
  <c r="AT131" i="11"/>
  <c r="AD131" i="11"/>
  <c r="AT54" i="11"/>
  <c r="AD54" i="11"/>
  <c r="AV99" i="11"/>
  <c r="AB99" i="11"/>
  <c r="AC99" i="11" s="1"/>
  <c r="AD247" i="11"/>
  <c r="AT247" i="11"/>
  <c r="AT60" i="11"/>
  <c r="AD60" i="11"/>
  <c r="AT58" i="11"/>
  <c r="AD58" i="11"/>
  <c r="AD25" i="11"/>
  <c r="AT25" i="11"/>
  <c r="AB25" i="11"/>
  <c r="AC25" i="11" s="1"/>
  <c r="AV88" i="11"/>
  <c r="AB88" i="11"/>
  <c r="AC88" i="11" s="1"/>
  <c r="AV259" i="11"/>
  <c r="AB259" i="11"/>
  <c r="AC259" i="11" s="1"/>
  <c r="AT73" i="11"/>
  <c r="AD73" i="11"/>
  <c r="AT301" i="11"/>
  <c r="AD301" i="11"/>
  <c r="AT160" i="11"/>
  <c r="AD160" i="11"/>
  <c r="AD218" i="11"/>
  <c r="AT218" i="11"/>
  <c r="AT85" i="11"/>
  <c r="AD85" i="11"/>
  <c r="AT286" i="11"/>
  <c r="AD286" i="11"/>
  <c r="AV239" i="11"/>
  <c r="AB239" i="11"/>
  <c r="AC239" i="11" s="1"/>
  <c r="AT278" i="11"/>
  <c r="AD278" i="11"/>
  <c r="AV121" i="11"/>
  <c r="AB121" i="11"/>
  <c r="AC121" i="11" s="1"/>
  <c r="AV252" i="11"/>
  <c r="AB252" i="11"/>
  <c r="AC252" i="11" s="1"/>
  <c r="AV114" i="11"/>
  <c r="AB114" i="11"/>
  <c r="AC114" i="11" s="1"/>
  <c r="AV122" i="11"/>
  <c r="AB122" i="11"/>
  <c r="AC122" i="11" s="1"/>
  <c r="AT305" i="11"/>
  <c r="AD305" i="11"/>
  <c r="AV258" i="11"/>
  <c r="AB258" i="11"/>
  <c r="AC258" i="11" s="1"/>
  <c r="AT306" i="11"/>
  <c r="AD306" i="11"/>
  <c r="AV110" i="11"/>
  <c r="AB110" i="11"/>
  <c r="AC110" i="11" s="1"/>
  <c r="AT136" i="11"/>
  <c r="AD136" i="11"/>
  <c r="AV50" i="11"/>
  <c r="AB50" i="11"/>
  <c r="AC50" i="11" s="1"/>
  <c r="AT323" i="11"/>
  <c r="AD323" i="11"/>
  <c r="AB269" i="11"/>
  <c r="AC269" i="11" s="1"/>
  <c r="AV269" i="11"/>
  <c r="AV195" i="11"/>
  <c r="AB195" i="11"/>
  <c r="AC195" i="11" s="1"/>
  <c r="AV199" i="11"/>
  <c r="AB199" i="11"/>
  <c r="AC199" i="11" s="1"/>
  <c r="AT289" i="11"/>
  <c r="AD289" i="11"/>
  <c r="AV139" i="11"/>
  <c r="AB139" i="11"/>
  <c r="AC139" i="11" s="1"/>
  <c r="AV294" i="11"/>
  <c r="AB294" i="11"/>
  <c r="AC294" i="11" s="1"/>
  <c r="AV86" i="11"/>
  <c r="AB86" i="11"/>
  <c r="AC86" i="11" s="1"/>
  <c r="AV190" i="11"/>
  <c r="AB190" i="11"/>
  <c r="AC190" i="11" s="1"/>
  <c r="AV304" i="11"/>
  <c r="AB304" i="11"/>
  <c r="AC304" i="11" s="1"/>
  <c r="AB74" i="11"/>
  <c r="AC74" i="11" s="1"/>
  <c r="AV74" i="11"/>
  <c r="AD334" i="11"/>
  <c r="AT334" i="11"/>
  <c r="AT212" i="11"/>
  <c r="AD212" i="11"/>
  <c r="AV248" i="11"/>
  <c r="AB248" i="11"/>
  <c r="AC248" i="11" s="1"/>
  <c r="AT233" i="11"/>
  <c r="AD233" i="11"/>
  <c r="N153" i="12"/>
  <c r="AV319" i="11"/>
  <c r="AB319" i="11"/>
  <c r="AC319" i="11" s="1"/>
  <c r="AT273" i="11"/>
  <c r="AD273" i="11"/>
  <c r="AT69" i="11"/>
  <c r="AD69" i="11"/>
  <c r="AD311" i="11"/>
  <c r="AT311" i="11"/>
  <c r="AT270" i="11"/>
  <c r="AD270" i="11"/>
  <c r="AD142" i="11"/>
  <c r="AT142" i="11"/>
  <c r="N109" i="12"/>
  <c r="L109" i="12" s="1"/>
  <c r="AV174" i="11"/>
  <c r="AB174" i="11"/>
  <c r="AC174" i="11" s="1"/>
  <c r="AT241" i="11"/>
  <c r="AD241" i="11"/>
  <c r="AV76" i="11"/>
  <c r="AB76" i="11"/>
  <c r="AC76" i="11" s="1"/>
  <c r="AV227" i="11"/>
  <c r="AB227" i="11"/>
  <c r="AC227" i="11" s="1"/>
  <c r="AT211" i="11"/>
  <c r="AD211" i="11"/>
  <c r="AT300" i="11"/>
  <c r="AD300" i="11"/>
  <c r="AV63" i="11"/>
  <c r="AB63" i="11"/>
  <c r="AC63" i="11" s="1"/>
  <c r="AT288" i="11"/>
  <c r="AD288" i="11"/>
  <c r="AV293" i="11"/>
  <c r="AB293" i="11"/>
  <c r="AC293" i="11" s="1"/>
  <c r="AT118" i="11"/>
  <c r="AD118" i="11"/>
  <c r="AT133" i="11"/>
  <c r="AD133" i="11"/>
  <c r="AV202" i="11"/>
  <c r="AB202" i="11"/>
  <c r="AC202" i="11" s="1"/>
  <c r="AT177" i="11"/>
  <c r="AD177" i="11"/>
  <c r="AV231" i="11"/>
  <c r="AB231" i="11"/>
  <c r="AC231" i="11" s="1"/>
  <c r="AV80" i="11"/>
  <c r="AB80" i="11"/>
  <c r="AC80" i="11" s="1"/>
  <c r="AV242" i="11"/>
  <c r="AB242" i="11"/>
  <c r="AC242" i="11" s="1"/>
  <c r="AT90" i="11"/>
  <c r="AD90" i="11"/>
  <c r="AV225" i="11"/>
  <c r="AB225" i="11"/>
  <c r="AC225" i="11" s="1"/>
  <c r="AV64" i="11"/>
  <c r="AB64" i="11"/>
  <c r="AC64" i="11" s="1"/>
  <c r="AT134" i="11"/>
  <c r="AD134" i="11"/>
  <c r="AT119" i="11"/>
  <c r="AD119" i="11"/>
  <c r="AV230" i="11"/>
  <c r="AB230" i="11"/>
  <c r="AC230" i="11" s="1"/>
  <c r="AV187" i="11"/>
  <c r="AB187" i="11"/>
  <c r="AC187" i="11" s="1"/>
  <c r="AT166" i="11"/>
  <c r="AD166" i="11"/>
  <c r="AT296" i="11"/>
  <c r="AD296" i="11"/>
  <c r="AD161" i="11"/>
  <c r="AT161" i="11"/>
  <c r="AT57" i="11"/>
  <c r="AD57" i="11"/>
  <c r="AT186" i="11"/>
  <c r="AD186" i="11"/>
  <c r="AV309" i="11"/>
  <c r="AB309" i="11"/>
  <c r="AC309" i="11" s="1"/>
  <c r="AT89" i="11"/>
  <c r="AD89" i="11"/>
  <c r="AV55" i="11"/>
  <c r="AB55" i="11"/>
  <c r="AC55" i="11" s="1"/>
  <c r="AV87" i="11"/>
  <c r="AB87" i="11"/>
  <c r="AC87" i="11" s="1"/>
  <c r="AT92" i="11"/>
  <c r="AD92" i="11"/>
  <c r="AT249" i="11"/>
  <c r="AD249" i="11"/>
  <c r="AB261" i="11"/>
  <c r="AC261" i="11" s="1"/>
  <c r="AV261" i="11"/>
  <c r="AV82" i="11"/>
  <c r="AB82" i="11"/>
  <c r="AC82" i="11" s="1"/>
  <c r="AT292" i="11"/>
  <c r="AD292" i="11"/>
  <c r="AT132" i="11"/>
  <c r="AD132" i="11"/>
  <c r="AV75" i="11"/>
  <c r="AB75" i="11"/>
  <c r="AC75" i="11" s="1"/>
  <c r="AT145" i="11"/>
  <c r="AD145" i="11"/>
  <c r="AB176" i="11"/>
  <c r="AC176" i="11" s="1"/>
  <c r="AV176" i="11"/>
  <c r="AT283" i="11"/>
  <c r="AD283" i="11"/>
  <c r="AV188" i="11"/>
  <c r="AB188" i="11"/>
  <c r="AC188" i="11" s="1"/>
  <c r="AV65" i="11"/>
  <c r="AB65" i="11"/>
  <c r="AC65" i="11" s="1"/>
  <c r="AT213" i="11"/>
  <c r="AD213" i="11"/>
  <c r="AT167" i="11"/>
  <c r="AD167" i="11"/>
  <c r="AT72" i="11"/>
  <c r="AD72" i="11"/>
  <c r="AT268" i="11"/>
  <c r="AD268" i="11"/>
  <c r="AT315" i="11"/>
  <c r="AD315" i="11"/>
  <c r="AV70" i="11"/>
  <c r="AB70" i="11"/>
  <c r="AC70" i="11" s="1"/>
  <c r="AT271" i="11"/>
  <c r="AD271" i="11"/>
  <c r="AV204" i="11"/>
  <c r="AB204" i="11"/>
  <c r="AC204" i="11" s="1"/>
  <c r="AF175" i="12"/>
  <c r="AF170" i="12"/>
  <c r="AL151" i="12"/>
  <c r="AI151" i="12" s="1"/>
  <c r="AF168" i="12"/>
  <c r="AT168" i="11"/>
  <c r="AD168" i="11"/>
  <c r="AV84" i="11"/>
  <c r="AB84" i="11"/>
  <c r="AC84" i="11" s="1"/>
  <c r="AV106" i="11"/>
  <c r="AB106" i="11"/>
  <c r="AC106" i="11" s="1"/>
  <c r="AV280" i="11"/>
  <c r="AB280" i="11"/>
  <c r="AC280" i="11" s="1"/>
  <c r="AV144" i="11"/>
  <c r="AB144" i="11"/>
  <c r="AC144" i="11" s="1"/>
  <c r="AD253" i="11"/>
  <c r="AT253" i="11"/>
  <c r="AT262" i="11"/>
  <c r="AD262" i="11"/>
  <c r="AV68" i="11"/>
  <c r="AB68" i="11"/>
  <c r="AC68" i="11" s="1"/>
  <c r="AT254" i="11"/>
  <c r="AD254" i="11"/>
  <c r="AV120" i="11"/>
  <c r="AB120" i="11"/>
  <c r="AC120" i="11" s="1"/>
  <c r="AV232" i="11"/>
  <c r="AB232" i="11"/>
  <c r="AC232" i="11" s="1"/>
  <c r="AB29" i="5"/>
  <c r="AC29" i="5"/>
  <c r="AB218" i="11"/>
  <c r="AC218" i="11" s="1"/>
  <c r="AV218" i="11"/>
  <c r="AV333" i="11"/>
  <c r="AB333" i="11"/>
  <c r="AC333" i="11" s="1"/>
  <c r="AV107" i="11"/>
  <c r="AB107" i="11"/>
  <c r="AC107" i="11" s="1"/>
  <c r="AT138" i="11"/>
  <c r="AD138" i="11"/>
  <c r="V108" i="14"/>
  <c r="W108" i="14" s="1"/>
  <c r="AT97" i="11"/>
  <c r="AD97" i="11"/>
  <c r="N149" i="12"/>
  <c r="N144" i="12"/>
  <c r="L144" i="12" s="1"/>
  <c r="N148" i="12"/>
  <c r="N142" i="12"/>
  <c r="J178" i="12"/>
  <c r="L178" i="12" s="1"/>
  <c r="N146" i="12"/>
  <c r="N145" i="12"/>
  <c r="L145" i="12" s="1"/>
  <c r="N150" i="12"/>
  <c r="L150" i="12" s="1"/>
  <c r="N147" i="12"/>
  <c r="N151" i="12"/>
  <c r="L151" i="12" s="1"/>
  <c r="N152" i="12"/>
  <c r="L152" i="12" s="1"/>
  <c r="X7" i="9"/>
  <c r="Q248" i="13" s="1"/>
  <c r="V22" i="14"/>
  <c r="W22" i="14" s="1"/>
  <c r="V23" i="14"/>
  <c r="W23" i="14" s="1"/>
  <c r="V7" i="14"/>
  <c r="W7" i="14" s="1"/>
  <c r="V24" i="14"/>
  <c r="W24" i="14" s="1"/>
  <c r="V26" i="14"/>
  <c r="W26" i="14" s="1"/>
  <c r="V21" i="14"/>
  <c r="W21" i="14" s="1"/>
  <c r="V17" i="14"/>
  <c r="W17" i="14" s="1"/>
  <c r="V20" i="14"/>
  <c r="W20" i="14" s="1"/>
  <c r="V18" i="14"/>
  <c r="W18" i="14" s="1"/>
  <c r="V14" i="14"/>
  <c r="W14" i="14" s="1"/>
  <c r="V12" i="14"/>
  <c r="W12" i="14" s="1"/>
  <c r="V11" i="14"/>
  <c r="W11" i="14" s="1"/>
  <c r="V10" i="14"/>
  <c r="W10" i="14" s="1"/>
  <c r="V16" i="14"/>
  <c r="W16" i="14" s="1"/>
  <c r="V9" i="14"/>
  <c r="W9" i="14" s="1"/>
  <c r="V15" i="14"/>
  <c r="W15" i="14" s="1"/>
  <c r="V13" i="14"/>
  <c r="W13" i="14" s="1"/>
  <c r="P34" i="5"/>
  <c r="L34" i="5" s="1"/>
  <c r="S34" i="5" s="1"/>
  <c r="N34" i="5"/>
  <c r="R241" i="13"/>
  <c r="P128" i="19"/>
  <c r="V183" i="19"/>
  <c r="L180" i="19"/>
  <c r="T176" i="19"/>
  <c r="J173" i="19"/>
  <c r="R169" i="19"/>
  <c r="H166" i="19"/>
  <c r="Q181" i="19"/>
  <c r="Y177" i="19"/>
  <c r="O174" i="19"/>
  <c r="W170" i="19"/>
  <c r="M167" i="19"/>
  <c r="P181" i="19"/>
  <c r="N174" i="19"/>
  <c r="L167" i="19"/>
  <c r="P179" i="19"/>
  <c r="N172" i="19"/>
  <c r="L165" i="19"/>
  <c r="M170" i="19"/>
  <c r="M174" i="19"/>
  <c r="U48" i="19"/>
  <c r="K45" i="19"/>
  <c r="Q170" i="19"/>
  <c r="R48" i="19"/>
  <c r="I49" i="19"/>
  <c r="M176" i="19"/>
  <c r="U47" i="19"/>
  <c r="J45" i="19"/>
  <c r="I180" i="19"/>
  <c r="Y176" i="19"/>
  <c r="U46" i="19"/>
  <c r="S169" i="19"/>
  <c r="X45" i="19"/>
  <c r="I178" i="19"/>
  <c r="X46" i="19"/>
  <c r="R181" i="19"/>
  <c r="L176" i="19"/>
  <c r="X170" i="19"/>
  <c r="R165" i="19"/>
  <c r="M179" i="19"/>
  <c r="I173" i="19"/>
  <c r="U167" i="19"/>
  <c r="V178" i="19"/>
  <c r="J168" i="19"/>
  <c r="H175" i="19"/>
  <c r="U182" i="19"/>
  <c r="S179" i="19"/>
  <c r="M48" i="19"/>
  <c r="U168" i="19"/>
  <c r="P48" i="19"/>
  <c r="J47" i="19"/>
  <c r="R183" i="19"/>
  <c r="H180" i="19"/>
  <c r="P176" i="19"/>
  <c r="X172" i="19"/>
  <c r="N169" i="19"/>
  <c r="V165" i="19"/>
  <c r="M181" i="19"/>
  <c r="U177" i="19"/>
  <c r="K174" i="19"/>
  <c r="S170" i="19"/>
  <c r="I167" i="19"/>
  <c r="H181" i="19"/>
  <c r="X173" i="19"/>
  <c r="V166" i="19"/>
  <c r="H179" i="19"/>
  <c r="X171" i="19"/>
  <c r="S183" i="19"/>
  <c r="M166" i="19"/>
  <c r="S173" i="19"/>
  <c r="U172" i="19"/>
  <c r="Q47" i="19"/>
  <c r="N175" i="19"/>
  <c r="U183" i="19"/>
  <c r="Y173" i="19"/>
  <c r="R180" i="19"/>
  <c r="N180" i="19"/>
  <c r="S175" i="19"/>
  <c r="O47" i="19"/>
  <c r="T49" i="19"/>
  <c r="R49" i="19"/>
  <c r="N181" i="19"/>
  <c r="V177" i="19"/>
  <c r="L174" i="19"/>
  <c r="T170" i="19"/>
  <c r="J167" i="19"/>
  <c r="S182" i="19"/>
  <c r="I179" i="19"/>
  <c r="Q175" i="19"/>
  <c r="Y171" i="19"/>
  <c r="O168" i="19"/>
  <c r="T183" i="19"/>
  <c r="R176" i="19"/>
  <c r="P169" i="19"/>
  <c r="T181" i="19"/>
  <c r="R174" i="19"/>
  <c r="P167" i="19"/>
  <c r="U174" i="19"/>
  <c r="U178" i="19"/>
  <c r="W49" i="19"/>
  <c r="M46" i="19"/>
  <c r="Y174" i="19"/>
  <c r="Q166" i="19"/>
  <c r="M45" i="19"/>
  <c r="V45" i="19"/>
  <c r="L49" i="19"/>
  <c r="M49" i="19"/>
  <c r="X49" i="19"/>
  <c r="R45" i="19"/>
  <c r="O175" i="19"/>
  <c r="Y45" i="19"/>
  <c r="X182" i="19"/>
  <c r="N179" i="19"/>
  <c r="V175" i="19"/>
  <c r="L172" i="19"/>
  <c r="T168" i="19"/>
  <c r="J165" i="19"/>
  <c r="S180" i="19"/>
  <c r="I177" i="19"/>
  <c r="Q173" i="19"/>
  <c r="Y169" i="19"/>
  <c r="O166" i="19"/>
  <c r="T179" i="19"/>
  <c r="R172" i="19"/>
  <c r="P165" i="19"/>
  <c r="T177" i="19"/>
  <c r="R170" i="19"/>
  <c r="Y180" i="19"/>
  <c r="U166" i="19"/>
  <c r="U170" i="19"/>
  <c r="W47" i="19"/>
  <c r="K181" i="19"/>
  <c r="Y166" i="19"/>
  <c r="N47" i="19"/>
  <c r="X47" i="19"/>
  <c r="S181" i="19"/>
  <c r="R46" i="19"/>
  <c r="L47" i="19"/>
  <c r="Y172" i="19"/>
  <c r="W169" i="19"/>
  <c r="W45" i="19"/>
  <c r="I166" i="19"/>
  <c r="V48" i="19"/>
  <c r="V49" i="19"/>
  <c r="H46" i="19"/>
  <c r="V179" i="19"/>
  <c r="P174" i="19"/>
  <c r="J169" i="19"/>
  <c r="W182" i="19"/>
  <c r="Q177" i="19"/>
  <c r="K172" i="19"/>
  <c r="Y165" i="19"/>
  <c r="H177" i="19"/>
  <c r="X183" i="19"/>
  <c r="L173" i="19"/>
  <c r="K179" i="19"/>
  <c r="Q172" i="19"/>
  <c r="Q46" i="19"/>
  <c r="K165" i="19"/>
  <c r="J46" i="19"/>
  <c r="U45" i="19"/>
  <c r="T182" i="19"/>
  <c r="J179" i="19"/>
  <c r="R175" i="19"/>
  <c r="H172" i="19"/>
  <c r="P168" i="19"/>
  <c r="Y183" i="19"/>
  <c r="O180" i="19"/>
  <c r="W176" i="19"/>
  <c r="M173" i="19"/>
  <c r="U169" i="19"/>
  <c r="K166" i="19"/>
  <c r="L179" i="19"/>
  <c r="J172" i="19"/>
  <c r="H165" i="19"/>
  <c r="L177" i="19"/>
  <c r="J170" i="19"/>
  <c r="Q176" i="19"/>
  <c r="S47" i="19"/>
  <c r="L48" i="19"/>
  <c r="S48" i="19"/>
  <c r="P182" i="19"/>
  <c r="T172" i="19"/>
  <c r="I181" i="19"/>
  <c r="M171" i="19"/>
  <c r="L175" i="19"/>
  <c r="V176" i="19"/>
  <c r="Q168" i="19"/>
  <c r="S45" i="19"/>
  <c r="M47" i="19"/>
  <c r="Z49" i="19"/>
  <c r="P180" i="19"/>
  <c r="X176" i="19"/>
  <c r="N173" i="19"/>
  <c r="V169" i="19"/>
  <c r="L166" i="19"/>
  <c r="U181" i="19"/>
  <c r="K178" i="19"/>
  <c r="S174" i="19"/>
  <c r="I171" i="19"/>
  <c r="Q167" i="19"/>
  <c r="X181" i="19"/>
  <c r="V174" i="19"/>
  <c r="T167" i="19"/>
  <c r="X179" i="19"/>
  <c r="V172" i="19"/>
  <c r="T165" i="19"/>
  <c r="K171" i="19"/>
  <c r="K175" i="19"/>
  <c r="Y48" i="19"/>
  <c r="O45" i="19"/>
  <c r="O171" i="19"/>
  <c r="W48" i="19"/>
  <c r="N49" i="19"/>
  <c r="W179" i="19"/>
  <c r="H48" i="19"/>
  <c r="W171" i="19"/>
  <c r="Q182" i="19"/>
  <c r="O183" i="19"/>
  <c r="H182" i="19"/>
  <c r="P178" i="19"/>
  <c r="X174" i="19"/>
  <c r="N171" i="19"/>
  <c r="V167" i="19"/>
  <c r="M183" i="19"/>
  <c r="U179" i="19"/>
  <c r="K176" i="19"/>
  <c r="S172" i="19"/>
  <c r="I169" i="19"/>
  <c r="Q165" i="19"/>
  <c r="X177" i="19"/>
  <c r="V170" i="19"/>
  <c r="H183" i="19"/>
  <c r="X175" i="19"/>
  <c r="V168" i="19"/>
  <c r="O177" i="19"/>
  <c r="O181" i="19"/>
  <c r="K167" i="19"/>
  <c r="Y46" i="19"/>
  <c r="S177" i="19"/>
  <c r="K177" i="19"/>
  <c r="K46" i="19"/>
  <c r="T46" i="19"/>
  <c r="O167" i="19"/>
  <c r="N45" i="19"/>
  <c r="V47" i="19"/>
  <c r="O169" i="19"/>
  <c r="O49" i="19"/>
  <c r="M180" i="19"/>
  <c r="P49" i="19"/>
  <c r="O46" i="19"/>
  <c r="P47" i="19"/>
  <c r="S46" i="19"/>
  <c r="X178" i="19"/>
  <c r="R173" i="19"/>
  <c r="L168" i="19"/>
  <c r="Y181" i="19"/>
  <c r="U175" i="19"/>
  <c r="O170" i="19"/>
  <c r="I165" i="19"/>
  <c r="P173" i="19"/>
  <c r="J182" i="19"/>
  <c r="T169" i="19"/>
  <c r="I172" i="19"/>
  <c r="Y168" i="19"/>
  <c r="Y182" i="19"/>
  <c r="Y47" i="19"/>
  <c r="K169" i="19"/>
  <c r="P45" i="19"/>
  <c r="V181" i="19"/>
  <c r="L178" i="19"/>
  <c r="T174" i="19"/>
  <c r="J171" i="19"/>
  <c r="R167" i="19"/>
  <c r="I183" i="19"/>
  <c r="Q179" i="19"/>
  <c r="Y175" i="19"/>
  <c r="O172" i="19"/>
  <c r="W168" i="19"/>
  <c r="M165" i="19"/>
  <c r="P177" i="19"/>
  <c r="N170" i="19"/>
  <c r="R182" i="19"/>
  <c r="P175" i="19"/>
  <c r="N168" i="19"/>
  <c r="W165" i="19"/>
  <c r="W183" i="19"/>
  <c r="Y49" i="19"/>
  <c r="I45" i="19"/>
  <c r="T180" i="19"/>
  <c r="H170" i="19"/>
  <c r="O178" i="19"/>
  <c r="S168" i="19"/>
  <c r="T171" i="19"/>
  <c r="P171" i="19"/>
  <c r="I176" i="19"/>
  <c r="W175" i="19"/>
  <c r="Q174" i="19"/>
  <c r="J183" i="19"/>
  <c r="R179" i="19"/>
  <c r="H176" i="19"/>
  <c r="P172" i="19"/>
  <c r="X168" i="19"/>
  <c r="N165" i="19"/>
  <c r="W180" i="19"/>
  <c r="M177" i="19"/>
  <c r="U173" i="19"/>
  <c r="K170" i="19"/>
  <c r="S166" i="19"/>
  <c r="J180" i="19"/>
  <c r="H173" i="19"/>
  <c r="X165" i="19"/>
  <c r="J178" i="19"/>
  <c r="H171" i="19"/>
  <c r="W181" i="19"/>
  <c r="S167" i="19"/>
  <c r="S171" i="19"/>
  <c r="I48" i="19"/>
  <c r="I182" i="19"/>
  <c r="W167" i="19"/>
  <c r="T47" i="19"/>
  <c r="K48" i="19"/>
  <c r="S165" i="19"/>
  <c r="W46" i="19"/>
  <c r="O48" i="19"/>
  <c r="M172" i="19"/>
  <c r="Q49" i="19"/>
  <c r="I174" i="19"/>
  <c r="H45" i="19"/>
  <c r="X48" i="19"/>
  <c r="T48" i="19"/>
  <c r="Q48" i="19"/>
  <c r="I47" i="19"/>
  <c r="L46" i="19"/>
  <c r="J177" i="19"/>
  <c r="P166" i="19"/>
  <c r="W174" i="19"/>
  <c r="N182" i="19"/>
  <c r="R178" i="19"/>
  <c r="K183" i="19"/>
  <c r="O179" i="19"/>
  <c r="N48" i="19"/>
  <c r="X180" i="19"/>
  <c r="V173" i="19"/>
  <c r="T166" i="19"/>
  <c r="S178" i="19"/>
  <c r="Q171" i="19"/>
  <c r="V182" i="19"/>
  <c r="R168" i="19"/>
  <c r="T173" i="19"/>
  <c r="O173" i="19"/>
  <c r="R47" i="19"/>
  <c r="H178" i="19"/>
  <c r="S176" i="19"/>
  <c r="N166" i="19"/>
  <c r="O165" i="19"/>
  <c r="Y178" i="19"/>
  <c r="T178" i="19"/>
  <c r="R171" i="19"/>
  <c r="Q183" i="19"/>
  <c r="Y179" i="19"/>
  <c r="W172" i="19"/>
  <c r="U165" i="19"/>
  <c r="L171" i="19"/>
  <c r="N176" i="19"/>
  <c r="M178" i="19"/>
  <c r="I168" i="19"/>
  <c r="Q178" i="19"/>
  <c r="P46" i="19"/>
  <c r="Y170" i="19"/>
  <c r="H49" i="19"/>
  <c r="J181" i="19"/>
  <c r="R177" i="19"/>
  <c r="H174" i="19"/>
  <c r="P170" i="19"/>
  <c r="X166" i="19"/>
  <c r="O182" i="19"/>
  <c r="W178" i="19"/>
  <c r="M175" i="19"/>
  <c r="U171" i="19"/>
  <c r="K168" i="19"/>
  <c r="L183" i="19"/>
  <c r="J176" i="19"/>
  <c r="H169" i="19"/>
  <c r="L181" i="19"/>
  <c r="J174" i="19"/>
  <c r="H167" i="19"/>
  <c r="W173" i="19"/>
  <c r="W177" i="19"/>
  <c r="S49" i="19"/>
  <c r="I46" i="19"/>
  <c r="U49" i="19"/>
  <c r="Q45" i="19"/>
  <c r="J48" i="19"/>
  <c r="Q180" i="19"/>
  <c r="U176" i="19"/>
  <c r="L45" i="19"/>
  <c r="N183" i="19"/>
  <c r="V171" i="19"/>
  <c r="K180" i="19"/>
  <c r="Q169" i="19"/>
  <c r="X169" i="19"/>
  <c r="X167" i="19"/>
  <c r="K49" i="19"/>
  <c r="V46" i="19"/>
  <c r="N46" i="19"/>
  <c r="N177" i="19"/>
  <c r="L170" i="19"/>
  <c r="K182" i="19"/>
  <c r="I175" i="19"/>
  <c r="Y167" i="19"/>
  <c r="T175" i="19"/>
  <c r="V180" i="19"/>
  <c r="R166" i="19"/>
  <c r="K173" i="19"/>
  <c r="M168" i="19"/>
  <c r="N167" i="19"/>
  <c r="W166" i="19"/>
  <c r="J166" i="19"/>
  <c r="I170" i="19"/>
  <c r="L182" i="19"/>
  <c r="J175" i="19"/>
  <c r="H168" i="19"/>
  <c r="O176" i="19"/>
  <c r="M169" i="19"/>
  <c r="N178" i="19"/>
  <c r="P183" i="19"/>
  <c r="L169" i="19"/>
  <c r="M182" i="19"/>
  <c r="K47" i="19"/>
  <c r="U180" i="19"/>
  <c r="H47" i="19"/>
  <c r="T45" i="19"/>
  <c r="J49" i="19"/>
  <c r="H232" i="19"/>
  <c r="H242" i="19"/>
  <c r="I237" i="19"/>
  <c r="M237" i="19"/>
  <c r="P233" i="19"/>
  <c r="R242" i="19"/>
  <c r="R241" i="19"/>
  <c r="R236" i="19"/>
  <c r="I233" i="19"/>
  <c r="J242" i="19"/>
  <c r="K233" i="19"/>
  <c r="M240" i="19"/>
  <c r="Q240" i="19"/>
  <c r="M236" i="19"/>
  <c r="O234" i="19"/>
  <c r="L237" i="19"/>
  <c r="Y236" i="19"/>
  <c r="X240" i="19"/>
  <c r="I239" i="19"/>
  <c r="Q233" i="19"/>
  <c r="K239" i="19"/>
  <c r="Y232" i="19"/>
  <c r="W235" i="19"/>
  <c r="U239" i="19"/>
  <c r="L233" i="19"/>
  <c r="J239" i="19"/>
  <c r="Y242" i="19"/>
  <c r="Q232" i="19"/>
  <c r="M232" i="19"/>
  <c r="R240" i="19"/>
  <c r="T238" i="19"/>
  <c r="V232" i="19"/>
  <c r="V239" i="19"/>
  <c r="T241" i="19"/>
  <c r="L238" i="19"/>
  <c r="U236" i="19"/>
  <c r="P236" i="19"/>
  <c r="P239" i="19"/>
  <c r="P238" i="19"/>
  <c r="W233" i="19"/>
  <c r="O235" i="19"/>
  <c r="Y237" i="19"/>
  <c r="H239" i="19"/>
  <c r="H238" i="19"/>
  <c r="Y240" i="19"/>
  <c r="S238" i="19"/>
  <c r="R238" i="19"/>
  <c r="J241" i="19"/>
  <c r="Q242" i="19"/>
  <c r="I235" i="19"/>
  <c r="X232" i="19"/>
  <c r="J234" i="19"/>
  <c r="T236" i="19"/>
  <c r="S237" i="19"/>
  <c r="P232" i="19"/>
  <c r="O241" i="19"/>
  <c r="I234" i="19"/>
  <c r="K241" i="19"/>
  <c r="O233" i="19"/>
  <c r="R232" i="19"/>
  <c r="O232" i="19"/>
  <c r="W242" i="19"/>
  <c r="N242" i="19"/>
  <c r="P240" i="19"/>
  <c r="X233" i="19"/>
  <c r="U234" i="19"/>
  <c r="Y241" i="19"/>
  <c r="X241" i="19"/>
  <c r="N235" i="19"/>
  <c r="N239" i="19"/>
  <c r="I241" i="19"/>
  <c r="H234" i="19"/>
  <c r="L234" i="19"/>
  <c r="K238" i="19"/>
  <c r="M242" i="19"/>
  <c r="K236" i="19"/>
  <c r="L241" i="19"/>
  <c r="S233" i="19"/>
  <c r="O236" i="19"/>
  <c r="U233" i="19"/>
  <c r="N240" i="19"/>
  <c r="W238" i="19"/>
  <c r="U237" i="19"/>
  <c r="N236" i="19"/>
  <c r="X242" i="19"/>
  <c r="T242" i="19"/>
  <c r="J232" i="19"/>
  <c r="Q237" i="19"/>
  <c r="M239" i="19"/>
  <c r="J233" i="19"/>
  <c r="L242" i="19"/>
  <c r="X239" i="19"/>
  <c r="V237" i="19"/>
  <c r="V241" i="19"/>
  <c r="S242" i="19"/>
  <c r="U241" i="19"/>
  <c r="M238" i="19"/>
  <c r="T233" i="19"/>
  <c r="M234" i="19"/>
  <c r="N237" i="19"/>
  <c r="W239" i="19"/>
  <c r="O237" i="19"/>
  <c r="Y239" i="19"/>
  <c r="U240" i="19"/>
  <c r="R233" i="19"/>
  <c r="S232" i="19"/>
  <c r="Y238" i="19"/>
  <c r="K240" i="19"/>
  <c r="T239" i="19"/>
  <c r="R235" i="19"/>
  <c r="W240" i="19"/>
  <c r="L236" i="19"/>
  <c r="I236" i="19"/>
  <c r="H237" i="19"/>
  <c r="J235" i="19"/>
  <c r="S236" i="19"/>
  <c r="J240" i="19"/>
  <c r="R234" i="19"/>
  <c r="T234" i="19"/>
  <c r="K237" i="19"/>
  <c r="O240" i="19"/>
  <c r="Q241" i="19"/>
  <c r="V240" i="19"/>
  <c r="J238" i="19"/>
  <c r="O239" i="19"/>
  <c r="K242" i="19"/>
  <c r="S240" i="19"/>
  <c r="M235" i="19"/>
  <c r="I240" i="19"/>
  <c r="W236" i="19"/>
  <c r="N234" i="19"/>
  <c r="O242" i="19"/>
  <c r="W232" i="19"/>
  <c r="M241" i="19"/>
  <c r="O238" i="19"/>
  <c r="L232" i="19"/>
  <c r="V233" i="19"/>
  <c r="I232" i="19"/>
  <c r="Q239" i="19"/>
  <c r="S241" i="19"/>
  <c r="H240" i="19"/>
  <c r="P237" i="19"/>
  <c r="Q236" i="19"/>
  <c r="H236" i="19"/>
  <c r="Q235" i="19"/>
  <c r="U235" i="19"/>
  <c r="V238" i="19"/>
  <c r="X236" i="19"/>
  <c r="Y235" i="19"/>
  <c r="K234" i="19"/>
  <c r="W234" i="19"/>
  <c r="N238" i="19"/>
  <c r="V242" i="19"/>
  <c r="V235" i="19"/>
  <c r="Y233" i="19"/>
  <c r="P241" i="19"/>
  <c r="X238" i="19"/>
  <c r="H241" i="19"/>
  <c r="T240" i="19"/>
  <c r="I238" i="19"/>
  <c r="K235" i="19"/>
  <c r="Y234" i="19"/>
  <c r="T237" i="19"/>
  <c r="L240" i="19"/>
  <c r="Q234" i="19"/>
  <c r="R239" i="19"/>
  <c r="V236" i="19"/>
  <c r="S235" i="19"/>
  <c r="S234" i="19"/>
  <c r="K232" i="19"/>
  <c r="X235" i="19"/>
  <c r="X234" i="19"/>
  <c r="N232" i="19"/>
  <c r="J237" i="19"/>
  <c r="W241" i="19"/>
  <c r="P235" i="19"/>
  <c r="P234" i="19"/>
  <c r="Q238" i="19"/>
  <c r="U232" i="19"/>
  <c r="H235" i="19"/>
  <c r="R237" i="19"/>
  <c r="H233" i="19"/>
  <c r="S239" i="19"/>
  <c r="L235" i="19"/>
  <c r="N233" i="19"/>
  <c r="N241" i="19"/>
  <c r="I242" i="19"/>
  <c r="U238" i="19"/>
  <c r="V234" i="19"/>
  <c r="T235" i="19"/>
  <c r="J236" i="19"/>
  <c r="W237" i="19"/>
  <c r="X237" i="19"/>
  <c r="L239" i="19"/>
  <c r="U242" i="19"/>
  <c r="T232" i="19"/>
  <c r="N248" i="19"/>
  <c r="J248" i="19"/>
  <c r="V248" i="19"/>
  <c r="S248" i="19"/>
  <c r="O248" i="19"/>
  <c r="P248" i="19"/>
  <c r="L248" i="19"/>
  <c r="X248" i="19"/>
  <c r="K248" i="19"/>
  <c r="Q248" i="19"/>
  <c r="I248" i="19"/>
  <c r="H248" i="19"/>
  <c r="T248" i="19"/>
  <c r="U248" i="19"/>
  <c r="M248" i="19"/>
  <c r="W248" i="19"/>
  <c r="Y248" i="19"/>
  <c r="R248" i="19"/>
  <c r="M233" i="19"/>
  <c r="P242" i="19"/>
  <c r="N21" i="19"/>
  <c r="J116" i="19"/>
  <c r="V19" i="19"/>
  <c r="M124" i="19"/>
  <c r="R117" i="19"/>
  <c r="N23" i="19"/>
  <c r="Y122" i="19"/>
  <c r="R118" i="19"/>
  <c r="M128" i="19"/>
  <c r="V23" i="19"/>
  <c r="W123" i="19"/>
  <c r="Y25" i="19"/>
  <c r="M25" i="19"/>
  <c r="M23" i="19"/>
  <c r="S22" i="19"/>
  <c r="V123" i="19"/>
  <c r="S120" i="19"/>
  <c r="W128" i="19"/>
  <c r="P134" i="19"/>
  <c r="J130" i="19"/>
  <c r="K137" i="19"/>
  <c r="O129" i="19"/>
  <c r="J124" i="19"/>
  <c r="V120" i="19"/>
  <c r="J135" i="19"/>
  <c r="V130" i="19"/>
  <c r="Q138" i="19"/>
  <c r="U134" i="19"/>
  <c r="P121" i="19"/>
  <c r="R123" i="19"/>
  <c r="J133" i="19"/>
  <c r="Q137" i="19"/>
  <c r="U132" i="19"/>
  <c r="Y136" i="19"/>
  <c r="L124" i="19"/>
  <c r="X120" i="19"/>
  <c r="Y120" i="19"/>
  <c r="J20" i="19"/>
  <c r="M26" i="19"/>
  <c r="R23" i="19"/>
  <c r="L118" i="19"/>
  <c r="X20" i="19"/>
  <c r="N18" i="19"/>
  <c r="X18" i="19"/>
  <c r="I18" i="19"/>
  <c r="W23" i="19"/>
  <c r="I20" i="19"/>
  <c r="L21" i="19"/>
  <c r="H122" i="19"/>
  <c r="N121" i="19"/>
  <c r="J128" i="19"/>
  <c r="M121" i="19"/>
  <c r="Y117" i="19"/>
  <c r="Y27" i="19"/>
  <c r="J137" i="19"/>
  <c r="V132" i="19"/>
  <c r="I131" i="19"/>
  <c r="S135" i="19"/>
  <c r="I118" i="19"/>
  <c r="K126" i="19"/>
  <c r="V137" i="19"/>
  <c r="P133" i="19"/>
  <c r="O132" i="19"/>
  <c r="W17" i="19"/>
  <c r="Q127" i="19"/>
  <c r="W120" i="19"/>
  <c r="X138" i="19"/>
  <c r="H135" i="19"/>
  <c r="U133" i="19"/>
  <c r="S19" i="19"/>
  <c r="K122" i="19"/>
  <c r="U117" i="19"/>
  <c r="W138" i="19"/>
  <c r="V134" i="19"/>
  <c r="I135" i="19"/>
  <c r="N24" i="19"/>
  <c r="O118" i="19"/>
  <c r="Y20" i="19"/>
  <c r="K17" i="19"/>
  <c r="V118" i="19"/>
  <c r="L28" i="19"/>
  <c r="M122" i="19"/>
  <c r="H18" i="19"/>
  <c r="V117" i="19"/>
  <c r="M20" i="19"/>
  <c r="R22" i="19"/>
  <c r="H28" i="19"/>
  <c r="O123" i="19"/>
  <c r="W118" i="19"/>
  <c r="K118" i="19"/>
  <c r="K124" i="19"/>
  <c r="K24" i="19"/>
  <c r="V24" i="19"/>
  <c r="L128" i="19"/>
  <c r="J129" i="19"/>
  <c r="M131" i="19"/>
  <c r="I136" i="19"/>
  <c r="K123" i="19"/>
  <c r="M24" i="19"/>
  <c r="Q115" i="19"/>
  <c r="V129" i="19"/>
  <c r="S132" i="19"/>
  <c r="I126" i="19"/>
  <c r="I26" i="19"/>
  <c r="T22" i="19"/>
  <c r="K26" i="19"/>
  <c r="N131" i="19"/>
  <c r="Y133" i="19"/>
  <c r="K129" i="19"/>
  <c r="P24" i="19"/>
  <c r="P22" i="19"/>
  <c r="H128" i="19"/>
  <c r="J131" i="19"/>
  <c r="N20" i="19"/>
  <c r="I128" i="19"/>
  <c r="X23" i="19"/>
  <c r="X28" i="19"/>
  <c r="R28" i="19"/>
  <c r="T23" i="19"/>
  <c r="K125" i="19"/>
  <c r="Y124" i="19"/>
  <c r="R18" i="19"/>
  <c r="L117" i="19"/>
  <c r="L23" i="19"/>
  <c r="T123" i="19"/>
  <c r="H123" i="19"/>
  <c r="H121" i="19"/>
  <c r="U27" i="19"/>
  <c r="L26" i="19"/>
  <c r="T17" i="19"/>
  <c r="M125" i="19"/>
  <c r="J138" i="19"/>
  <c r="Q129" i="19"/>
  <c r="P119" i="19"/>
  <c r="M19" i="19"/>
  <c r="U126" i="19"/>
  <c r="I127" i="19"/>
  <c r="V138" i="19"/>
  <c r="W130" i="19"/>
  <c r="M134" i="19"/>
  <c r="U115" i="19"/>
  <c r="Q27" i="19"/>
  <c r="J123" i="19"/>
  <c r="V136" i="19"/>
  <c r="M137" i="19"/>
  <c r="U26" i="19"/>
  <c r="K28" i="19"/>
  <c r="W24" i="19"/>
  <c r="V133" i="19"/>
  <c r="S138" i="19"/>
  <c r="M130" i="19"/>
  <c r="T128" i="19"/>
  <c r="N128" i="19"/>
  <c r="Q133" i="19"/>
  <c r="P26" i="19"/>
  <c r="L123" i="19"/>
  <c r="N125" i="19"/>
  <c r="P129" i="19"/>
  <c r="W137" i="19"/>
  <c r="Y123" i="19"/>
  <c r="P123" i="19"/>
  <c r="H133" i="19"/>
  <c r="I134" i="19"/>
  <c r="Y21" i="19"/>
  <c r="O124" i="19"/>
  <c r="K135" i="19"/>
  <c r="Q22" i="19"/>
  <c r="P23" i="19"/>
  <c r="L20" i="19"/>
  <c r="M120" i="19"/>
  <c r="V27" i="19"/>
  <c r="X22" i="19"/>
  <c r="M18" i="19"/>
  <c r="Q28" i="19"/>
  <c r="W125" i="19"/>
  <c r="S117" i="19"/>
  <c r="W115" i="19"/>
  <c r="S126" i="19"/>
  <c r="I17" i="19"/>
  <c r="X24" i="19"/>
  <c r="J121" i="19"/>
  <c r="T125" i="19"/>
  <c r="X130" i="19"/>
  <c r="W134" i="19"/>
  <c r="I130" i="19"/>
  <c r="J19" i="19"/>
  <c r="V22" i="19"/>
  <c r="L126" i="19"/>
  <c r="R131" i="19"/>
  <c r="K136" i="19"/>
  <c r="O131" i="19"/>
  <c r="X126" i="19"/>
  <c r="W117" i="19"/>
  <c r="R129" i="19"/>
  <c r="O130" i="19"/>
  <c r="Q132" i="19"/>
  <c r="Q17" i="19"/>
  <c r="H120" i="19"/>
  <c r="U22" i="19"/>
  <c r="W19" i="19"/>
  <c r="O23" i="19"/>
  <c r="S127" i="19"/>
  <c r="T18" i="19"/>
  <c r="I28" i="19"/>
  <c r="X25" i="19"/>
  <c r="Q20" i="19"/>
  <c r="J23" i="19"/>
  <c r="W25" i="19"/>
  <c r="H22" i="19"/>
  <c r="N119" i="19"/>
  <c r="R24" i="19"/>
  <c r="X121" i="19"/>
  <c r="U127" i="19"/>
  <c r="S119" i="19"/>
  <c r="R133" i="19"/>
  <c r="L129" i="19"/>
  <c r="O135" i="19"/>
  <c r="P116" i="19"/>
  <c r="T127" i="19"/>
  <c r="N124" i="19"/>
  <c r="L134" i="19"/>
  <c r="X129" i="19"/>
  <c r="U136" i="19"/>
  <c r="R119" i="19"/>
  <c r="H125" i="19"/>
  <c r="T121" i="19"/>
  <c r="V135" i="19"/>
  <c r="P131" i="19"/>
  <c r="I138" i="19"/>
  <c r="Y132" i="19"/>
  <c r="N122" i="19"/>
  <c r="M127" i="19"/>
  <c r="R135" i="19"/>
  <c r="L131" i="19"/>
  <c r="O116" i="19"/>
  <c r="M138" i="19"/>
  <c r="S128" i="19"/>
  <c r="Y121" i="19"/>
  <c r="O133" i="19"/>
  <c r="L24" i="19"/>
  <c r="W27" i="19"/>
  <c r="U128" i="19"/>
  <c r="K25" i="19"/>
  <c r="L18" i="19"/>
  <c r="V20" i="19"/>
  <c r="N27" i="19"/>
  <c r="T27" i="19"/>
  <c r="Q128" i="19"/>
  <c r="Q18" i="19"/>
  <c r="J120" i="19"/>
  <c r="K128" i="19"/>
  <c r="X122" i="19"/>
  <c r="O128" i="19"/>
  <c r="Q21" i="19"/>
  <c r="M17" i="19"/>
  <c r="P120" i="19"/>
  <c r="P135" i="19"/>
  <c r="O136" i="19"/>
  <c r="J26" i="19"/>
  <c r="S26" i="19"/>
  <c r="L122" i="19"/>
  <c r="J136" i="19"/>
  <c r="U137" i="19"/>
  <c r="M27" i="19"/>
  <c r="Y23" i="19"/>
  <c r="P127" i="19"/>
  <c r="T137" i="19"/>
  <c r="I116" i="19"/>
  <c r="H115" i="19"/>
  <c r="S24" i="19"/>
  <c r="M21" i="19"/>
  <c r="L121" i="19"/>
  <c r="P137" i="19"/>
  <c r="T119" i="19"/>
  <c r="J22" i="19"/>
  <c r="O27" i="19"/>
  <c r="Q124" i="19"/>
  <c r="K27" i="19"/>
  <c r="P28" i="19"/>
  <c r="N28" i="19"/>
  <c r="J117" i="19"/>
  <c r="J18" i="19"/>
  <c r="P117" i="19"/>
  <c r="L119" i="19"/>
  <c r="H26" i="19"/>
  <c r="Q24" i="19"/>
  <c r="P126" i="19"/>
  <c r="O119" i="19"/>
  <c r="I25" i="19"/>
  <c r="W20" i="19"/>
  <c r="V125" i="19"/>
  <c r="R134" i="19"/>
  <c r="S134" i="19"/>
  <c r="I24" i="19"/>
  <c r="M119" i="19"/>
  <c r="I115" i="19"/>
  <c r="T126" i="19"/>
  <c r="L135" i="19"/>
  <c r="Y135" i="19"/>
  <c r="Y24" i="19"/>
  <c r="I125" i="19"/>
  <c r="K119" i="19"/>
  <c r="R137" i="19"/>
  <c r="L133" i="19"/>
  <c r="K130" i="19"/>
  <c r="I132" i="19"/>
  <c r="W119" i="19"/>
  <c r="O115" i="19"/>
  <c r="R136" i="19"/>
  <c r="U129" i="19"/>
  <c r="K22" i="19"/>
  <c r="X132" i="19"/>
  <c r="W136" i="19"/>
  <c r="K131" i="19"/>
  <c r="T115" i="19"/>
  <c r="N137" i="19"/>
  <c r="U131" i="19"/>
  <c r="N19" i="19"/>
  <c r="V126" i="19"/>
  <c r="X128" i="19"/>
  <c r="Y138" i="19"/>
  <c r="N116" i="19"/>
  <c r="K117" i="19"/>
  <c r="H127" i="19"/>
  <c r="O25" i="19"/>
  <c r="P20" i="19"/>
  <c r="O17" i="19"/>
  <c r="W127" i="19"/>
  <c r="M22" i="19"/>
  <c r="U122" i="19"/>
  <c r="M28" i="19"/>
  <c r="T118" i="19"/>
  <c r="J21" i="19"/>
  <c r="N117" i="19"/>
  <c r="P21" i="19"/>
  <c r="L127" i="19"/>
  <c r="R126" i="19"/>
  <c r="R124" i="19"/>
  <c r="I117" i="19"/>
  <c r="J24" i="19"/>
  <c r="W122" i="19"/>
  <c r="L137" i="19"/>
  <c r="Q116" i="19"/>
  <c r="X115" i="19"/>
  <c r="W22" i="19"/>
  <c r="Q19" i="19"/>
  <c r="S124" i="19"/>
  <c r="X137" i="19"/>
  <c r="I129" i="19"/>
  <c r="H119" i="19"/>
  <c r="K20" i="19"/>
  <c r="Y115" i="19"/>
  <c r="R127" i="19"/>
  <c r="X135" i="19"/>
  <c r="Q135" i="19"/>
  <c r="T24" i="19"/>
  <c r="Q117" i="19"/>
  <c r="O28" i="19"/>
  <c r="H124" i="19"/>
  <c r="P17" i="19"/>
  <c r="Y28" i="19"/>
  <c r="S27" i="19"/>
  <c r="N25" i="19"/>
  <c r="K23" i="19"/>
  <c r="L27" i="19"/>
  <c r="T117" i="19"/>
  <c r="W121" i="19"/>
  <c r="X27" i="19"/>
  <c r="J28" i="19"/>
  <c r="S23" i="19"/>
  <c r="W28" i="19"/>
  <c r="W26" i="19"/>
  <c r="N17" i="19"/>
  <c r="N127" i="19"/>
  <c r="T124" i="19"/>
  <c r="Y19" i="19"/>
  <c r="H130" i="19"/>
  <c r="I133" i="19"/>
  <c r="Q126" i="19"/>
  <c r="H24" i="19"/>
  <c r="O19" i="19"/>
  <c r="Q23" i="19"/>
  <c r="T130" i="19"/>
  <c r="O134" i="19"/>
  <c r="S129" i="19"/>
  <c r="N22" i="19"/>
  <c r="L115" i="19"/>
  <c r="J127" i="19"/>
  <c r="L132" i="19"/>
  <c r="U135" i="19"/>
  <c r="Y130" i="19"/>
  <c r="P19" i="19"/>
  <c r="V127" i="19"/>
  <c r="P124" i="19"/>
  <c r="H132" i="19"/>
  <c r="I137" i="19"/>
  <c r="M132" i="19"/>
  <c r="W129" i="19"/>
  <c r="J125" i="19"/>
  <c r="L19" i="19"/>
  <c r="P27" i="19"/>
  <c r="M126" i="19"/>
  <c r="I122" i="19"/>
  <c r="T20" i="19"/>
  <c r="S125" i="19"/>
  <c r="K127" i="19"/>
  <c r="K121" i="19"/>
  <c r="U28" i="19"/>
  <c r="Q122" i="19"/>
  <c r="H23" i="19"/>
  <c r="R125" i="19"/>
  <c r="X124" i="19"/>
  <c r="V119" i="19"/>
  <c r="P125" i="19"/>
  <c r="I123" i="19"/>
  <c r="M117" i="19"/>
  <c r="L136" i="19"/>
  <c r="X131" i="19"/>
  <c r="M129" i="19"/>
  <c r="T116" i="19"/>
  <c r="M123" i="19"/>
  <c r="M118" i="19"/>
  <c r="X136" i="19"/>
  <c r="R132" i="19"/>
  <c r="S130" i="19"/>
  <c r="W133" i="19"/>
  <c r="Y118" i="19"/>
  <c r="Y127" i="19"/>
  <c r="P138" i="19"/>
  <c r="J134" i="19"/>
  <c r="Y131" i="19"/>
  <c r="R17" i="19"/>
  <c r="K115" i="19"/>
  <c r="S122" i="19"/>
  <c r="L138" i="19"/>
  <c r="S17" i="19"/>
  <c r="J25" i="19"/>
  <c r="X117" i="19"/>
  <c r="V18" i="19"/>
  <c r="R27" i="19"/>
  <c r="K21" i="19"/>
  <c r="I120" i="19"/>
  <c r="J118" i="19"/>
  <c r="S121" i="19"/>
  <c r="Y18" i="19"/>
  <c r="H20" i="19"/>
  <c r="O22" i="19"/>
  <c r="U21" i="19"/>
  <c r="U19" i="19"/>
  <c r="I19" i="19"/>
  <c r="L120" i="19"/>
  <c r="S115" i="19"/>
  <c r="U121" i="19"/>
  <c r="N135" i="19"/>
  <c r="H131" i="19"/>
  <c r="K116" i="19"/>
  <c r="Q136" i="19"/>
  <c r="R120" i="19"/>
  <c r="U123" i="19"/>
  <c r="H136" i="19"/>
  <c r="T131" i="19"/>
  <c r="W116" i="19"/>
  <c r="L116" i="19"/>
  <c r="N123" i="19"/>
  <c r="V128" i="19"/>
  <c r="H134" i="19"/>
  <c r="T129" i="19"/>
  <c r="Q134" i="19"/>
  <c r="R115" i="19"/>
  <c r="T120" i="19"/>
  <c r="J126" i="19"/>
  <c r="J132" i="19"/>
  <c r="Q130" i="19"/>
  <c r="Q25" i="19"/>
  <c r="O117" i="19"/>
  <c r="T135" i="19"/>
  <c r="S137" i="19"/>
  <c r="V26" i="19"/>
  <c r="U25" i="19"/>
  <c r="L130" i="19"/>
  <c r="M133" i="19"/>
  <c r="X116" i="19"/>
  <c r="P136" i="19"/>
  <c r="U116" i="19"/>
  <c r="L17" i="19"/>
  <c r="R121" i="19"/>
  <c r="K19" i="19"/>
  <c r="N118" i="19"/>
  <c r="V21" i="19"/>
  <c r="P25" i="19"/>
  <c r="U18" i="19"/>
  <c r="H27" i="19"/>
  <c r="Y128" i="19"/>
  <c r="O121" i="19"/>
  <c r="U124" i="19"/>
  <c r="O125" i="19"/>
  <c r="Q26" i="19"/>
  <c r="T19" i="19"/>
  <c r="X17" i="19"/>
  <c r="Y125" i="19"/>
  <c r="S28" i="19"/>
  <c r="O24" i="19"/>
  <c r="H138" i="19"/>
  <c r="T133" i="19"/>
  <c r="W132" i="19"/>
  <c r="H19" i="19"/>
  <c r="U125" i="19"/>
  <c r="Q119" i="19"/>
  <c r="T138" i="19"/>
  <c r="N134" i="19"/>
  <c r="K134" i="19"/>
  <c r="X19" i="19"/>
  <c r="O120" i="19"/>
  <c r="Q125" i="19"/>
  <c r="T136" i="19"/>
  <c r="N132" i="19"/>
  <c r="S116" i="19"/>
  <c r="O137" i="19"/>
  <c r="W126" i="19"/>
  <c r="K120" i="19"/>
  <c r="U20" i="19"/>
  <c r="T28" i="19"/>
  <c r="J17" i="19"/>
  <c r="S21" i="19"/>
  <c r="U120" i="19"/>
  <c r="L25" i="19"/>
  <c r="P18" i="19"/>
  <c r="H118" i="19"/>
  <c r="H25" i="19"/>
  <c r="H21" i="19"/>
  <c r="Q120" i="19"/>
  <c r="J27" i="19"/>
  <c r="O122" i="19"/>
  <c r="I121" i="19"/>
  <c r="Q118" i="19"/>
  <c r="S20" i="19"/>
  <c r="Y17" i="19"/>
  <c r="Y26" i="19"/>
  <c r="X123" i="19"/>
  <c r="N136" i="19"/>
  <c r="K138" i="19"/>
  <c r="O26" i="19"/>
  <c r="I23" i="19"/>
  <c r="V124" i="19"/>
  <c r="H137" i="19"/>
  <c r="M116" i="19"/>
  <c r="P115" i="19"/>
  <c r="U23" i="19"/>
  <c r="O20" i="19"/>
  <c r="N120" i="19"/>
  <c r="R138" i="19"/>
  <c r="Y116" i="19"/>
  <c r="V116" i="19"/>
  <c r="I21" i="19"/>
  <c r="U17" i="19"/>
  <c r="U118" i="19"/>
  <c r="N138" i="19"/>
  <c r="Y129" i="19"/>
  <c r="U130" i="19"/>
  <c r="O18" i="19"/>
  <c r="V115" i="19"/>
  <c r="R116" i="19"/>
  <c r="V17" i="19"/>
  <c r="X21" i="19"/>
  <c r="R21" i="19"/>
  <c r="T21" i="19"/>
  <c r="O21" i="19"/>
  <c r="V28" i="19"/>
  <c r="W21" i="19"/>
  <c r="P118" i="19"/>
  <c r="V25" i="19"/>
  <c r="S123" i="19"/>
  <c r="W18" i="19"/>
  <c r="K18" i="19"/>
  <c r="M115" i="19"/>
  <c r="Y22" i="19"/>
  <c r="X26" i="19"/>
  <c r="V122" i="19"/>
  <c r="O126" i="19"/>
  <c r="T132" i="19"/>
  <c r="O138" i="19"/>
  <c r="S133" i="19"/>
  <c r="U138" i="19"/>
  <c r="P122" i="19"/>
  <c r="X127" i="19"/>
  <c r="N133" i="19"/>
  <c r="H129" i="19"/>
  <c r="Y134" i="19"/>
  <c r="H116" i="19"/>
  <c r="R128" i="19"/>
  <c r="L125" i="19"/>
  <c r="X134" i="19"/>
  <c r="R130" i="19"/>
  <c r="M136" i="19"/>
  <c r="J119" i="19"/>
  <c r="X125" i="19"/>
  <c r="R122" i="19"/>
  <c r="T134" i="19"/>
  <c r="R26" i="19"/>
  <c r="H17" i="19"/>
  <c r="R19" i="19"/>
  <c r="R25" i="19"/>
  <c r="O127" i="19"/>
  <c r="I124" i="19"/>
  <c r="R20" i="19"/>
  <c r="X118" i="19"/>
  <c r="H117" i="19"/>
  <c r="S25" i="19"/>
  <c r="T25" i="19"/>
  <c r="W124" i="19"/>
  <c r="Q123" i="19"/>
  <c r="U119" i="19"/>
  <c r="T26" i="19"/>
  <c r="I22" i="19"/>
  <c r="N126" i="19"/>
  <c r="J122" i="19"/>
  <c r="V131" i="19"/>
  <c r="S136" i="19"/>
  <c r="W131" i="19"/>
  <c r="L22" i="19"/>
  <c r="H126" i="19"/>
  <c r="T122" i="19"/>
  <c r="P132" i="19"/>
  <c r="Y137" i="19"/>
  <c r="K133" i="19"/>
  <c r="S131" i="19"/>
  <c r="N26" i="19"/>
  <c r="I119" i="19"/>
  <c r="P130" i="19"/>
  <c r="K132" i="19"/>
  <c r="Y119" i="19"/>
  <c r="U24" i="19"/>
  <c r="I27" i="19"/>
  <c r="M135" i="19"/>
  <c r="Q121" i="19"/>
  <c r="V121" i="19"/>
  <c r="N130" i="19"/>
  <c r="Y126" i="19"/>
  <c r="X119" i="19"/>
  <c r="X133" i="19"/>
  <c r="W135" i="19"/>
  <c r="N115" i="19"/>
  <c r="S118" i="19"/>
  <c r="N129" i="19"/>
  <c r="Q131" i="19"/>
  <c r="J115" i="19"/>
  <c r="S18" i="19"/>
  <c r="X214" i="19"/>
  <c r="N211" i="19"/>
  <c r="Q211" i="19"/>
  <c r="X207" i="19"/>
  <c r="N204" i="19"/>
  <c r="V200" i="19"/>
  <c r="P211" i="19"/>
  <c r="W207" i="19"/>
  <c r="M204" i="19"/>
  <c r="L210" i="19"/>
  <c r="J203" i="19"/>
  <c r="Y198" i="19"/>
  <c r="X210" i="19"/>
  <c r="V203" i="19"/>
  <c r="M199" i="19"/>
  <c r="U195" i="19"/>
  <c r="K212" i="19"/>
  <c r="V199" i="19"/>
  <c r="L194" i="19"/>
  <c r="N190" i="19"/>
  <c r="V186" i="19"/>
  <c r="K208" i="19"/>
  <c r="X197" i="19"/>
  <c r="Y192" i="19"/>
  <c r="O189" i="19"/>
  <c r="W185" i="19"/>
  <c r="N197" i="19"/>
  <c r="J189" i="19"/>
  <c r="U202" i="19"/>
  <c r="R191" i="19"/>
  <c r="O210" i="19"/>
  <c r="O186" i="19"/>
  <c r="S188" i="19"/>
  <c r="I191" i="19"/>
  <c r="Q209" i="19"/>
  <c r="T214" i="19"/>
  <c r="Y215" i="19"/>
  <c r="L211" i="19"/>
  <c r="T207" i="19"/>
  <c r="J204" i="19"/>
  <c r="X215" i="19"/>
  <c r="K211" i="19"/>
  <c r="S207" i="19"/>
  <c r="I204" i="19"/>
  <c r="V209" i="19"/>
  <c r="W202" i="19"/>
  <c r="U198" i="19"/>
  <c r="P210" i="19"/>
  <c r="N203" i="19"/>
  <c r="I199" i="19"/>
  <c r="Q195" i="19"/>
  <c r="I211" i="19"/>
  <c r="N199" i="19"/>
  <c r="X193" i="19"/>
  <c r="J190" i="19"/>
  <c r="R186" i="19"/>
  <c r="M207" i="19"/>
  <c r="P197" i="19"/>
  <c r="U192" i="19"/>
  <c r="K189" i="19"/>
  <c r="S185" i="19"/>
  <c r="U196" i="19"/>
  <c r="T188" i="19"/>
  <c r="R201" i="19"/>
  <c r="J191" i="19"/>
  <c r="W206" i="19"/>
  <c r="Q185" i="19"/>
  <c r="U187" i="19"/>
  <c r="K190" i="19"/>
  <c r="R198" i="19"/>
  <c r="P214" i="19"/>
  <c r="T215" i="19"/>
  <c r="H211" i="19"/>
  <c r="P207" i="19"/>
  <c r="X203" i="19"/>
  <c r="S215" i="19"/>
  <c r="Y210" i="19"/>
  <c r="O207" i="19"/>
  <c r="W203" i="19"/>
  <c r="N209" i="19"/>
  <c r="Q202" i="19"/>
  <c r="Q198" i="19"/>
  <c r="H210" i="19"/>
  <c r="Y202" i="19"/>
  <c r="W198" i="19"/>
  <c r="M195" i="19"/>
  <c r="K210" i="19"/>
  <c r="X198" i="19"/>
  <c r="S193" i="19"/>
  <c r="X189" i="19"/>
  <c r="N186" i="19"/>
  <c r="O206" i="19"/>
  <c r="J197" i="19"/>
  <c r="Q192" i="19"/>
  <c r="Y188" i="19"/>
  <c r="O185" i="19"/>
  <c r="J196" i="19"/>
  <c r="L188" i="19"/>
  <c r="P200" i="19"/>
  <c r="T190" i="19"/>
  <c r="M203" i="19"/>
  <c r="Q212" i="19"/>
  <c r="W186" i="19"/>
  <c r="M189" i="19"/>
  <c r="O193" i="19"/>
  <c r="N213" i="19"/>
  <c r="K214" i="19"/>
  <c r="X209" i="19"/>
  <c r="N206" i="19"/>
  <c r="V202" i="19"/>
  <c r="J214" i="19"/>
  <c r="W209" i="19"/>
  <c r="M206" i="19"/>
  <c r="L215" i="19"/>
  <c r="J207" i="19"/>
  <c r="I201" i="19"/>
  <c r="O197" i="19"/>
  <c r="V207" i="19"/>
  <c r="Q201" i="19"/>
  <c r="U197" i="19"/>
  <c r="K194" i="19"/>
  <c r="U205" i="19"/>
  <c r="X196" i="19"/>
  <c r="N192" i="19"/>
  <c r="V188" i="19"/>
  <c r="L185" i="19"/>
  <c r="M202" i="19"/>
  <c r="S195" i="19"/>
  <c r="O191" i="19"/>
  <c r="W187" i="19"/>
  <c r="W208" i="19"/>
  <c r="K193" i="19"/>
  <c r="H186" i="19"/>
  <c r="P196" i="19"/>
  <c r="P188" i="19"/>
  <c r="X194" i="19"/>
  <c r="J198" i="19"/>
  <c r="K204" i="19"/>
  <c r="Y205" i="19"/>
  <c r="N200" i="19"/>
  <c r="H214" i="19"/>
  <c r="I215" i="19"/>
  <c r="R210" i="19"/>
  <c r="H207" i="19"/>
  <c r="P203" i="19"/>
  <c r="H215" i="19"/>
  <c r="Q210" i="19"/>
  <c r="Y206" i="19"/>
  <c r="O203" i="19"/>
  <c r="P208" i="19"/>
  <c r="Y201" i="19"/>
  <c r="I198" i="19"/>
  <c r="J209" i="19"/>
  <c r="O202" i="19"/>
  <c r="O198" i="19"/>
  <c r="W194" i="19"/>
  <c r="O208" i="19"/>
  <c r="H198" i="19"/>
  <c r="H193" i="19"/>
  <c r="P189" i="19"/>
  <c r="X185" i="19"/>
  <c r="S204" i="19"/>
  <c r="Q196" i="19"/>
  <c r="I192" i="19"/>
  <c r="Q188" i="19"/>
  <c r="K215" i="19"/>
  <c r="Y194" i="19"/>
  <c r="N187" i="19"/>
  <c r="T198" i="19"/>
  <c r="V189" i="19"/>
  <c r="H199" i="19"/>
  <c r="I205" i="19"/>
  <c r="I185" i="19"/>
  <c r="Q187" i="19"/>
  <c r="K186" i="19"/>
  <c r="V213" i="19"/>
  <c r="V214" i="19"/>
  <c r="N210" i="19"/>
  <c r="V206" i="19"/>
  <c r="L203" i="19"/>
  <c r="U214" i="19"/>
  <c r="M210" i="19"/>
  <c r="U206" i="19"/>
  <c r="K203" i="19"/>
  <c r="H208" i="19"/>
  <c r="S201" i="19"/>
  <c r="W197" i="19"/>
  <c r="T208" i="19"/>
  <c r="I202" i="19"/>
  <c r="K198" i="19"/>
  <c r="S194" i="19"/>
  <c r="Q207" i="19"/>
  <c r="R197" i="19"/>
  <c r="V192" i="19"/>
  <c r="L189" i="19"/>
  <c r="T185" i="19"/>
  <c r="U203" i="19"/>
  <c r="L196" i="19"/>
  <c r="W191" i="19"/>
  <c r="M188" i="19"/>
  <c r="V212" i="19"/>
  <c r="N194" i="19"/>
  <c r="X186" i="19"/>
  <c r="V197" i="19"/>
  <c r="N189" i="19"/>
  <c r="L197" i="19"/>
  <c r="H202" i="19"/>
  <c r="M211" i="19"/>
  <c r="S186" i="19"/>
  <c r="R194" i="19"/>
  <c r="R213" i="19"/>
  <c r="Q214" i="19"/>
  <c r="J210" i="19"/>
  <c r="R206" i="19"/>
  <c r="H203" i="19"/>
  <c r="O214" i="19"/>
  <c r="I210" i="19"/>
  <c r="Q206" i="19"/>
  <c r="W215" i="19"/>
  <c r="R207" i="19"/>
  <c r="N201" i="19"/>
  <c r="S197" i="19"/>
  <c r="L208" i="19"/>
  <c r="V201" i="19"/>
  <c r="Y197" i="19"/>
  <c r="O194" i="19"/>
  <c r="S206" i="19"/>
  <c r="K197" i="19"/>
  <c r="R192" i="19"/>
  <c r="H189" i="19"/>
  <c r="P185" i="19"/>
  <c r="X202" i="19"/>
  <c r="X195" i="19"/>
  <c r="S191" i="19"/>
  <c r="I188" i="19"/>
  <c r="S210" i="19"/>
  <c r="V193" i="19"/>
  <c r="P186" i="19"/>
  <c r="H197" i="19"/>
  <c r="X188" i="19"/>
  <c r="I196" i="19"/>
  <c r="X199" i="19"/>
  <c r="U207" i="19"/>
  <c r="U185" i="19"/>
  <c r="T213" i="19"/>
  <c r="P212" i="19"/>
  <c r="H213" i="19"/>
  <c r="H209" i="19"/>
  <c r="P205" i="19"/>
  <c r="X201" i="19"/>
  <c r="Y212" i="19"/>
  <c r="Y208" i="19"/>
  <c r="O205" i="19"/>
  <c r="W212" i="19"/>
  <c r="N205" i="19"/>
  <c r="I200" i="19"/>
  <c r="U213" i="19"/>
  <c r="H206" i="19"/>
  <c r="O200" i="19"/>
  <c r="W196" i="19"/>
  <c r="M193" i="19"/>
  <c r="P202" i="19"/>
  <c r="T195" i="19"/>
  <c r="P191" i="19"/>
  <c r="X187" i="19"/>
  <c r="I213" i="19"/>
  <c r="J200" i="19"/>
  <c r="P194" i="19"/>
  <c r="Q190" i="19"/>
  <c r="Y186" i="19"/>
  <c r="K202" i="19"/>
  <c r="N191" i="19"/>
  <c r="S211" i="19"/>
  <c r="I194" i="19"/>
  <c r="T186" i="19"/>
  <c r="W190" i="19"/>
  <c r="J193" i="19"/>
  <c r="N196" i="19"/>
  <c r="M185" i="19"/>
  <c r="J213" i="19"/>
  <c r="X213" i="19"/>
  <c r="T209" i="19"/>
  <c r="J206" i="19"/>
  <c r="R202" i="19"/>
  <c r="W213" i="19"/>
  <c r="S209" i="19"/>
  <c r="I206" i="19"/>
  <c r="S214" i="19"/>
  <c r="T206" i="19"/>
  <c r="U200" i="19"/>
  <c r="Q215" i="19"/>
  <c r="N207" i="19"/>
  <c r="K201" i="19"/>
  <c r="Q197" i="19"/>
  <c r="Y193" i="19"/>
  <c r="W204" i="19"/>
  <c r="R196" i="19"/>
  <c r="J192" i="19"/>
  <c r="R188" i="19"/>
  <c r="H185" i="19"/>
  <c r="U201" i="19"/>
  <c r="N195" i="19"/>
  <c r="K191" i="19"/>
  <c r="S187" i="19"/>
  <c r="I207" i="19"/>
  <c r="T192" i="19"/>
  <c r="R185" i="19"/>
  <c r="W195" i="19"/>
  <c r="H188" i="19"/>
  <c r="T193" i="19"/>
  <c r="T196" i="19"/>
  <c r="O201" i="19"/>
  <c r="Y196" i="19"/>
  <c r="S190" i="19"/>
  <c r="X212" i="19"/>
  <c r="S213" i="19"/>
  <c r="P209" i="19"/>
  <c r="X205" i="19"/>
  <c r="N202" i="19"/>
  <c r="Q213" i="19"/>
  <c r="O209" i="19"/>
  <c r="W205" i="19"/>
  <c r="I214" i="19"/>
  <c r="L206" i="19"/>
  <c r="Q200" i="19"/>
  <c r="Y214" i="19"/>
  <c r="X206" i="19"/>
  <c r="X200" i="19"/>
  <c r="M197" i="19"/>
  <c r="U193" i="19"/>
  <c r="Y203" i="19"/>
  <c r="M196" i="19"/>
  <c r="X191" i="19"/>
  <c r="N188" i="19"/>
  <c r="P215" i="19"/>
  <c r="J201" i="19"/>
  <c r="H195" i="19"/>
  <c r="Y190" i="19"/>
  <c r="O187" i="19"/>
  <c r="M205" i="19"/>
  <c r="L192" i="19"/>
  <c r="J185" i="19"/>
  <c r="L195" i="19"/>
  <c r="R187" i="19"/>
  <c r="S192" i="19"/>
  <c r="P195" i="19"/>
  <c r="P199" i="19"/>
  <c r="O192" i="19"/>
  <c r="I187" i="19"/>
  <c r="T212" i="19"/>
  <c r="M213" i="19"/>
  <c r="L209" i="19"/>
  <c r="T205" i="19"/>
  <c r="J202" i="19"/>
  <c r="L213" i="19"/>
  <c r="K209" i="19"/>
  <c r="S205" i="19"/>
  <c r="P213" i="19"/>
  <c r="V205" i="19"/>
  <c r="M200" i="19"/>
  <c r="N214" i="19"/>
  <c r="P206" i="19"/>
  <c r="S200" i="19"/>
  <c r="I197" i="19"/>
  <c r="Q193" i="19"/>
  <c r="I203" i="19"/>
  <c r="H196" i="19"/>
  <c r="T191" i="19"/>
  <c r="J188" i="19"/>
  <c r="M214" i="19"/>
  <c r="R200" i="19"/>
  <c r="U194" i="19"/>
  <c r="U190" i="19"/>
  <c r="K187" i="19"/>
  <c r="Q203" i="19"/>
  <c r="V191" i="19"/>
  <c r="Y213" i="19"/>
  <c r="T194" i="19"/>
  <c r="J187" i="19"/>
  <c r="U191" i="19"/>
  <c r="M194" i="19"/>
  <c r="T197" i="19"/>
  <c r="W188" i="19"/>
  <c r="J215" i="19"/>
  <c r="R211" i="19"/>
  <c r="W211" i="19"/>
  <c r="J208" i="19"/>
  <c r="R204" i="19"/>
  <c r="H201" i="19"/>
  <c r="U211" i="19"/>
  <c r="I208" i="19"/>
  <c r="Q204" i="19"/>
  <c r="T210" i="19"/>
  <c r="R203" i="19"/>
  <c r="K199" i="19"/>
  <c r="O211" i="19"/>
  <c r="L204" i="19"/>
  <c r="Q199" i="19"/>
  <c r="Y195" i="19"/>
  <c r="O213" i="19"/>
  <c r="L200" i="19"/>
  <c r="Q194" i="19"/>
  <c r="R190" i="19"/>
  <c r="H187" i="19"/>
  <c r="I209" i="19"/>
  <c r="N198" i="19"/>
  <c r="L193" i="19"/>
  <c r="S189" i="19"/>
  <c r="I186" i="19"/>
  <c r="L198" i="19"/>
  <c r="R189" i="19"/>
  <c r="O204" i="19"/>
  <c r="H192" i="19"/>
  <c r="W214" i="19"/>
  <c r="M187" i="19"/>
  <c r="Q189" i="19"/>
  <c r="Y191" i="19"/>
  <c r="Y187" i="19"/>
  <c r="V215" i="19"/>
  <c r="L212" i="19"/>
  <c r="U212" i="19"/>
  <c r="V208" i="19"/>
  <c r="L205" i="19"/>
  <c r="T201" i="19"/>
  <c r="S212" i="19"/>
  <c r="U208" i="19"/>
  <c r="K205" i="19"/>
  <c r="M212" i="19"/>
  <c r="X204" i="19"/>
  <c r="W199" i="19"/>
  <c r="K213" i="19"/>
  <c r="R205" i="19"/>
  <c r="K200" i="19"/>
  <c r="S196" i="19"/>
  <c r="I193" i="19"/>
  <c r="W201" i="19"/>
  <c r="O195" i="19"/>
  <c r="L191" i="19"/>
  <c r="T187" i="19"/>
  <c r="X211" i="19"/>
  <c r="T199" i="19"/>
  <c r="J194" i="19"/>
  <c r="M190" i="19"/>
  <c r="U186" i="19"/>
  <c r="Y200" i="19"/>
  <c r="X190" i="19"/>
  <c r="U209" i="19"/>
  <c r="P193" i="19"/>
  <c r="L186" i="19"/>
  <c r="Y189" i="19"/>
  <c r="K192" i="19"/>
  <c r="K195" i="19"/>
  <c r="S202" i="19"/>
  <c r="R215" i="19"/>
  <c r="H212" i="19"/>
  <c r="O212" i="19"/>
  <c r="R208" i="19"/>
  <c r="H205" i="19"/>
  <c r="P201" i="19"/>
  <c r="N212" i="19"/>
  <c r="Q208" i="19"/>
  <c r="Y204" i="19"/>
  <c r="T211" i="19"/>
  <c r="P204" i="19"/>
  <c r="S199" i="19"/>
  <c r="R212" i="19"/>
  <c r="J205" i="19"/>
  <c r="Y199" i="19"/>
  <c r="O196" i="19"/>
  <c r="U215" i="19"/>
  <c r="M201" i="19"/>
  <c r="J195" i="19"/>
  <c r="H191" i="19"/>
  <c r="P187" i="19"/>
  <c r="W210" i="19"/>
  <c r="L199" i="19"/>
  <c r="W193" i="19"/>
  <c r="I190" i="19"/>
  <c r="Q186" i="19"/>
  <c r="H200" i="19"/>
  <c r="P190" i="19"/>
  <c r="Y207" i="19"/>
  <c r="X192" i="19"/>
  <c r="V185" i="19"/>
  <c r="I189" i="19"/>
  <c r="M191" i="19"/>
  <c r="H194" i="19"/>
  <c r="V195" i="19"/>
  <c r="N215" i="19"/>
  <c r="V211" i="19"/>
  <c r="J212" i="19"/>
  <c r="N208" i="19"/>
  <c r="V204" i="19"/>
  <c r="L201" i="19"/>
  <c r="I212" i="19"/>
  <c r="M208" i="19"/>
  <c r="U204" i="19"/>
  <c r="J211" i="19"/>
  <c r="H204" i="19"/>
  <c r="O199" i="19"/>
  <c r="Y211" i="19"/>
  <c r="T204" i="19"/>
  <c r="U199" i="19"/>
  <c r="K196" i="19"/>
  <c r="R214" i="19"/>
  <c r="T200" i="19"/>
  <c r="V194" i="19"/>
  <c r="V190" i="19"/>
  <c r="L187" i="19"/>
  <c r="Y209" i="19"/>
  <c r="V198" i="19"/>
  <c r="R193" i="19"/>
  <c r="W189" i="19"/>
  <c r="M186" i="19"/>
  <c r="J199" i="19"/>
  <c r="H190" i="19"/>
  <c r="K206" i="19"/>
  <c r="P192" i="19"/>
  <c r="N185" i="19"/>
  <c r="K188" i="19"/>
  <c r="O190" i="19"/>
  <c r="W192" i="19"/>
  <c r="Q191" i="19"/>
  <c r="L214" i="19"/>
  <c r="O215" i="19"/>
  <c r="V210" i="19"/>
  <c r="L207" i="19"/>
  <c r="T203" i="19"/>
  <c r="M215" i="19"/>
  <c r="U210" i="19"/>
  <c r="K207" i="19"/>
  <c r="S203" i="19"/>
  <c r="X208" i="19"/>
  <c r="L202" i="19"/>
  <c r="M198" i="19"/>
  <c r="R209" i="19"/>
  <c r="T202" i="19"/>
  <c r="S198" i="19"/>
  <c r="I195" i="19"/>
  <c r="M209" i="19"/>
  <c r="P198" i="19"/>
  <c r="N193" i="19"/>
  <c r="T189" i="19"/>
  <c r="J186" i="19"/>
  <c r="Q205" i="19"/>
  <c r="V196" i="19"/>
  <c r="M192" i="19"/>
  <c r="U188" i="19"/>
  <c r="K185" i="19"/>
  <c r="R195" i="19"/>
  <c r="V187" i="19"/>
  <c r="R199" i="19"/>
  <c r="L190" i="19"/>
  <c r="W200" i="19"/>
  <c r="S208" i="19"/>
  <c r="Y185" i="19"/>
  <c r="O188" i="19"/>
  <c r="U189" i="19"/>
  <c r="W5" i="1"/>
  <c r="J172" i="12"/>
  <c r="K172" i="12" s="1"/>
  <c r="L31" i="19"/>
  <c r="I30" i="19"/>
  <c r="J40" i="19"/>
  <c r="M153" i="19"/>
  <c r="X160" i="19"/>
  <c r="K150" i="19"/>
  <c r="O158" i="19"/>
  <c r="I37" i="19"/>
  <c r="R150" i="19"/>
  <c r="Y40" i="19"/>
  <c r="P145" i="19"/>
  <c r="V38" i="19"/>
  <c r="T146" i="19"/>
  <c r="M41" i="19"/>
  <c r="P157" i="19"/>
  <c r="M144" i="19"/>
  <c r="I154" i="19"/>
  <c r="T32" i="19"/>
  <c r="K161" i="19"/>
  <c r="X42" i="19"/>
  <c r="W153" i="19"/>
  <c r="J163" i="19"/>
  <c r="M162" i="19"/>
  <c r="V148" i="19"/>
  <c r="R38" i="19"/>
  <c r="T143" i="19"/>
  <c r="P36" i="19"/>
  <c r="X144" i="19"/>
  <c r="I36" i="19"/>
  <c r="O144" i="19"/>
  <c r="P154" i="19"/>
  <c r="U43" i="19"/>
  <c r="H159" i="19"/>
  <c r="N154" i="19"/>
  <c r="L152" i="19"/>
  <c r="U148" i="19"/>
  <c r="W43" i="19"/>
  <c r="U152" i="19"/>
  <c r="M42" i="19"/>
  <c r="X150" i="19"/>
  <c r="J159" i="19"/>
  <c r="M142" i="19"/>
  <c r="S156" i="19"/>
  <c r="M35" i="19"/>
  <c r="T30" i="19"/>
  <c r="P34" i="19"/>
  <c r="R140" i="19"/>
  <c r="J31" i="19"/>
  <c r="T142" i="19"/>
  <c r="X31" i="19"/>
  <c r="W144" i="19"/>
  <c r="I161" i="19"/>
  <c r="U39" i="19"/>
  <c r="V156" i="19"/>
  <c r="K145" i="19"/>
  <c r="J43" i="19"/>
  <c r="Q148" i="19"/>
  <c r="N157" i="19"/>
  <c r="U150" i="19"/>
  <c r="T163" i="19"/>
  <c r="Q33" i="19"/>
  <c r="O163" i="19"/>
  <c r="L36" i="19"/>
  <c r="X141" i="19"/>
  <c r="I34" i="19"/>
  <c r="J143" i="19"/>
  <c r="K155" i="19"/>
  <c r="M159" i="19"/>
  <c r="Y37" i="19"/>
  <c r="H155" i="19"/>
  <c r="U144" i="19"/>
  <c r="W150" i="19"/>
  <c r="H40" i="19"/>
  <c r="U147" i="19"/>
  <c r="S39" i="19"/>
  <c r="V151" i="19"/>
  <c r="W39" i="19"/>
  <c r="J155" i="19"/>
  <c r="R160" i="19"/>
  <c r="M31" i="19"/>
  <c r="S161" i="19"/>
  <c r="V36" i="19"/>
  <c r="O159" i="19"/>
  <c r="W149" i="19"/>
  <c r="X140" i="19"/>
  <c r="L39" i="19"/>
  <c r="Y38" i="19"/>
  <c r="H41" i="19"/>
  <c r="Q150" i="19"/>
  <c r="N153" i="19"/>
  <c r="S155" i="19"/>
  <c r="P160" i="19"/>
  <c r="I144" i="19"/>
  <c r="I157" i="19"/>
  <c r="S36" i="19"/>
  <c r="X151" i="19"/>
  <c r="H142" i="19"/>
  <c r="U30" i="19"/>
  <c r="M143" i="19"/>
  <c r="Y163" i="19"/>
  <c r="Q43" i="19"/>
  <c r="T159" i="19"/>
  <c r="Q142" i="19"/>
  <c r="J151" i="19"/>
  <c r="X30" i="19"/>
  <c r="W155" i="19"/>
  <c r="T158" i="19"/>
  <c r="J153" i="19"/>
  <c r="M155" i="19"/>
  <c r="W34" i="19"/>
  <c r="J150" i="19"/>
  <c r="R41" i="19"/>
  <c r="N142" i="19"/>
  <c r="P33" i="19"/>
  <c r="P144" i="19"/>
  <c r="M34" i="19"/>
  <c r="I141" i="19"/>
  <c r="Y159" i="19"/>
  <c r="O40" i="19"/>
  <c r="R156" i="19"/>
  <c r="U140" i="19"/>
  <c r="K148" i="19"/>
  <c r="I42" i="19"/>
  <c r="Y150" i="19"/>
  <c r="T41" i="19"/>
  <c r="T152" i="19"/>
  <c r="M36" i="19"/>
  <c r="U40" i="19"/>
  <c r="W151" i="19"/>
  <c r="R42" i="19"/>
  <c r="Y154" i="19"/>
  <c r="X162" i="19"/>
  <c r="N151" i="19"/>
  <c r="Y155" i="19"/>
  <c r="Q35" i="19"/>
  <c r="T151" i="19"/>
  <c r="P42" i="19"/>
  <c r="T145" i="19"/>
  <c r="I143" i="19"/>
  <c r="W162" i="19"/>
  <c r="Q41" i="19"/>
  <c r="R158" i="19"/>
  <c r="H154" i="19"/>
  <c r="K157" i="19"/>
  <c r="P152" i="19"/>
  <c r="I160" i="19"/>
  <c r="H30" i="19"/>
  <c r="H163" i="19"/>
  <c r="U33" i="19"/>
  <c r="X149" i="19"/>
  <c r="I40" i="19"/>
  <c r="X143" i="19"/>
  <c r="X37" i="19"/>
  <c r="N143" i="19"/>
  <c r="S31" i="19"/>
  <c r="Q145" i="19"/>
  <c r="T154" i="19"/>
  <c r="U159" i="19"/>
  <c r="M39" i="19"/>
  <c r="R154" i="19"/>
  <c r="O153" i="19"/>
  <c r="O151" i="19"/>
  <c r="Q149" i="19"/>
  <c r="L40" i="19"/>
  <c r="O152" i="19"/>
  <c r="J161" i="19"/>
  <c r="K143" i="19"/>
  <c r="X41" i="19"/>
  <c r="S33" i="19"/>
  <c r="R144" i="19"/>
  <c r="S37" i="19"/>
  <c r="V145" i="19"/>
  <c r="L37" i="19"/>
  <c r="O149" i="19"/>
  <c r="X158" i="19"/>
  <c r="X159" i="19"/>
  <c r="Q31" i="19"/>
  <c r="T147" i="19"/>
  <c r="X35" i="19"/>
  <c r="L162" i="19"/>
  <c r="Q152" i="19"/>
  <c r="W158" i="19"/>
  <c r="O38" i="19"/>
  <c r="T153" i="19"/>
  <c r="O161" i="19"/>
  <c r="X145" i="19"/>
  <c r="L38" i="19"/>
  <c r="M148" i="19"/>
  <c r="H39" i="19"/>
  <c r="M163" i="19"/>
  <c r="W42" i="19"/>
  <c r="J158" i="19"/>
  <c r="S159" i="19"/>
  <c r="Y158" i="19"/>
  <c r="R33" i="19"/>
  <c r="L154" i="19"/>
  <c r="W161" i="19"/>
  <c r="Y30" i="19"/>
  <c r="S140" i="19"/>
  <c r="Y156" i="19"/>
  <c r="U155" i="19"/>
  <c r="O34" i="19"/>
  <c r="P151" i="19"/>
  <c r="J42" i="19"/>
  <c r="N146" i="19"/>
  <c r="L35" i="19"/>
  <c r="H144" i="19"/>
  <c r="X34" i="19"/>
  <c r="I147" i="19"/>
  <c r="M32" i="19"/>
  <c r="W31" i="19"/>
  <c r="X155" i="19"/>
  <c r="S141" i="19"/>
  <c r="H152" i="19"/>
  <c r="W157" i="19"/>
  <c r="S153" i="19"/>
  <c r="S145" i="19"/>
  <c r="Y152" i="19"/>
  <c r="R161" i="19"/>
  <c r="Y148" i="19"/>
  <c r="M157" i="19"/>
  <c r="H141" i="19"/>
  <c r="X32" i="19"/>
  <c r="L142" i="19"/>
  <c r="Q32" i="19"/>
  <c r="M145" i="19"/>
  <c r="N155" i="19"/>
  <c r="I41" i="19"/>
  <c r="N156" i="19"/>
  <c r="Y146" i="19"/>
  <c r="V153" i="19"/>
  <c r="K31" i="19"/>
  <c r="P38" i="19"/>
  <c r="S150" i="19"/>
  <c r="V159" i="19"/>
  <c r="O141" i="19"/>
  <c r="Q155" i="19"/>
  <c r="Y35" i="19"/>
  <c r="R148" i="19"/>
  <c r="J37" i="19"/>
  <c r="P143" i="19"/>
  <c r="J36" i="19"/>
  <c r="N30" i="19"/>
  <c r="H140" i="19"/>
  <c r="Q34" i="19"/>
  <c r="K142" i="19"/>
  <c r="Y161" i="19"/>
  <c r="S40" i="19"/>
  <c r="J154" i="19"/>
  <c r="Q147" i="19"/>
  <c r="S149" i="19"/>
  <c r="R43" i="19"/>
  <c r="M151" i="19"/>
  <c r="L42" i="19"/>
  <c r="K156" i="19"/>
  <c r="U35" i="19"/>
  <c r="H151" i="19"/>
  <c r="U42" i="19"/>
  <c r="V146" i="19"/>
  <c r="O39" i="19"/>
  <c r="N145" i="19"/>
  <c r="P35" i="19"/>
  <c r="S147" i="19"/>
  <c r="R157" i="19"/>
  <c r="S143" i="19"/>
  <c r="Y142" i="19"/>
  <c r="Y153" i="19"/>
  <c r="P43" i="19"/>
  <c r="Y160" i="19"/>
  <c r="R163" i="19"/>
  <c r="M141" i="19"/>
  <c r="Q157" i="19"/>
  <c r="K36" i="19"/>
  <c r="L153" i="19"/>
  <c r="T38" i="19"/>
  <c r="R143" i="19"/>
  <c r="J33" i="19"/>
  <c r="U145" i="19"/>
  <c r="V155" i="19"/>
  <c r="T157" i="19"/>
  <c r="M149" i="19"/>
  <c r="O154" i="19"/>
  <c r="Y32" i="19"/>
  <c r="Q158" i="19"/>
  <c r="V149" i="19"/>
  <c r="Q40" i="19"/>
  <c r="Q151" i="19"/>
  <c r="N161" i="19"/>
  <c r="V147" i="19"/>
  <c r="Y157" i="19"/>
  <c r="Y33" i="19"/>
  <c r="L149" i="19"/>
  <c r="N40" i="19"/>
  <c r="H145" i="19"/>
  <c r="H37" i="19"/>
  <c r="T43" i="19"/>
  <c r="V150" i="19"/>
  <c r="L41" i="19"/>
  <c r="V144" i="19"/>
  <c r="J39" i="19"/>
  <c r="H148" i="19"/>
  <c r="R37" i="19"/>
  <c r="O146" i="19"/>
  <c r="R155" i="19"/>
  <c r="U142" i="19"/>
  <c r="X161" i="19"/>
  <c r="U31" i="19"/>
  <c r="K43" i="19"/>
  <c r="Q156" i="19"/>
  <c r="N163" i="19"/>
  <c r="K140" i="19"/>
  <c r="I159" i="19"/>
  <c r="Q39" i="19"/>
  <c r="J152" i="19"/>
  <c r="W41" i="19"/>
  <c r="H147" i="19"/>
  <c r="X40" i="19"/>
  <c r="X33" i="19"/>
  <c r="S144" i="19"/>
  <c r="Q163" i="19"/>
  <c r="Y43" i="19"/>
  <c r="J160" i="19"/>
  <c r="K163" i="19"/>
  <c r="X152" i="19"/>
  <c r="P31" i="19"/>
  <c r="S157" i="19"/>
  <c r="J30" i="19"/>
  <c r="U162" i="19"/>
  <c r="K151" i="19"/>
  <c r="L160" i="19"/>
  <c r="Q160" i="19"/>
  <c r="W156" i="19"/>
  <c r="O36" i="19"/>
  <c r="R152" i="19"/>
  <c r="X38" i="19"/>
  <c r="H143" i="19"/>
  <c r="U36" i="19"/>
  <c r="H146" i="19"/>
  <c r="K35" i="19"/>
  <c r="S30" i="19"/>
  <c r="Q162" i="19"/>
  <c r="U34" i="19"/>
  <c r="T141" i="19"/>
  <c r="V33" i="19"/>
  <c r="V143" i="19"/>
  <c r="T35" i="19"/>
  <c r="Q141" i="19"/>
  <c r="K162" i="19"/>
  <c r="U41" i="19"/>
  <c r="R30" i="19"/>
  <c r="J147" i="19"/>
  <c r="W37" i="19"/>
  <c r="H150" i="19"/>
  <c r="N159" i="19"/>
  <c r="Y151" i="19"/>
  <c r="L161" i="19"/>
  <c r="Y31" i="19"/>
  <c r="J148" i="19"/>
  <c r="T37" i="19"/>
  <c r="J142" i="19"/>
  <c r="M158" i="19"/>
  <c r="V163" i="19"/>
  <c r="U158" i="19"/>
  <c r="O160" i="19"/>
  <c r="Y39" i="19"/>
  <c r="J156" i="19"/>
  <c r="S43" i="19"/>
  <c r="R146" i="19"/>
  <c r="P41" i="19"/>
  <c r="O150" i="19"/>
  <c r="X39" i="19"/>
  <c r="T33" i="19"/>
  <c r="K146" i="19"/>
  <c r="L156" i="19"/>
  <c r="W141" i="19"/>
  <c r="V160" i="19"/>
  <c r="O32" i="19"/>
  <c r="O155" i="19"/>
  <c r="N32" i="19"/>
  <c r="W163" i="19"/>
  <c r="O31" i="19"/>
  <c r="R39" i="19"/>
  <c r="T160" i="19"/>
  <c r="Y144" i="19"/>
  <c r="O156" i="19"/>
  <c r="W36" i="19"/>
  <c r="H153" i="19"/>
  <c r="H43" i="19"/>
  <c r="N144" i="19"/>
  <c r="N37" i="19"/>
  <c r="P146" i="19"/>
  <c r="Y36" i="19"/>
  <c r="Y147" i="19"/>
  <c r="O143" i="19"/>
  <c r="S152" i="19"/>
  <c r="Q146" i="19"/>
  <c r="U156" i="19"/>
  <c r="U154" i="19"/>
  <c r="L140" i="19"/>
  <c r="H162" i="19"/>
  <c r="U146" i="19"/>
  <c r="S158" i="19"/>
  <c r="K38" i="19"/>
  <c r="M30" i="19"/>
  <c r="M44" i="19" s="1"/>
  <c r="R142" i="19"/>
  <c r="Y34" i="19"/>
  <c r="T144" i="19"/>
  <c r="R34" i="19"/>
  <c r="Y145" i="19"/>
  <c r="I163" i="19"/>
  <c r="S42" i="19"/>
  <c r="V158" i="19"/>
  <c r="I156" i="19"/>
  <c r="W154" i="19"/>
  <c r="P148" i="19"/>
  <c r="N42" i="19"/>
  <c r="I150" i="19"/>
  <c r="H42" i="19"/>
  <c r="K154" i="19"/>
  <c r="P162" i="19"/>
  <c r="M154" i="19"/>
  <c r="P163" i="19"/>
  <c r="I35" i="19"/>
  <c r="L151" i="19"/>
  <c r="T40" i="19"/>
  <c r="S146" i="19"/>
  <c r="T156" i="19"/>
  <c r="I140" i="19"/>
  <c r="J162" i="19"/>
  <c r="W32" i="19"/>
  <c r="H149" i="19"/>
  <c r="J34" i="19"/>
  <c r="I162" i="19"/>
  <c r="H32" i="19"/>
  <c r="P142" i="19"/>
  <c r="V34" i="19"/>
  <c r="N152" i="19"/>
  <c r="N43" i="19"/>
  <c r="M147" i="19"/>
  <c r="K41" i="19"/>
  <c r="X148" i="19"/>
  <c r="V40" i="19"/>
  <c r="L148" i="19"/>
  <c r="H158" i="19"/>
  <c r="R149" i="19"/>
  <c r="R162" i="19"/>
  <c r="K153" i="19"/>
  <c r="V31" i="19"/>
  <c r="I155" i="19"/>
  <c r="P30" i="19"/>
  <c r="T140" i="19"/>
  <c r="N33" i="19"/>
  <c r="U153" i="19"/>
  <c r="K158" i="19"/>
  <c r="S38" i="19"/>
  <c r="V154" i="19"/>
  <c r="W143" i="19"/>
  <c r="K39" i="19"/>
  <c r="J144" i="19"/>
  <c r="W35" i="19"/>
  <c r="L146" i="19"/>
  <c r="T36" i="19"/>
  <c r="W148" i="19"/>
  <c r="X154" i="19"/>
  <c r="M43" i="19"/>
  <c r="N160" i="19"/>
  <c r="I31" i="19"/>
  <c r="O35" i="19"/>
  <c r="O43" i="19"/>
  <c r="H161" i="19"/>
  <c r="W30" i="19"/>
  <c r="X147" i="19"/>
  <c r="O37" i="19"/>
  <c r="V142" i="19"/>
  <c r="Q30" i="19"/>
  <c r="P140" i="19"/>
  <c r="S41" i="19"/>
  <c r="Q143" i="19"/>
  <c r="L34" i="19"/>
  <c r="J146" i="19"/>
  <c r="T39" i="19"/>
  <c r="S148" i="19"/>
  <c r="N39" i="19"/>
  <c r="M150" i="19"/>
  <c r="X156" i="19"/>
  <c r="Q144" i="19"/>
  <c r="N162" i="19"/>
  <c r="I33" i="19"/>
  <c r="N148" i="19"/>
  <c r="S154" i="19"/>
  <c r="I142" i="19"/>
  <c r="K159" i="19"/>
  <c r="J32" i="19"/>
  <c r="U141" i="19"/>
  <c r="Q161" i="19"/>
  <c r="Q37" i="19"/>
  <c r="V152" i="19"/>
  <c r="M140" i="19"/>
  <c r="I149" i="19"/>
  <c r="V41" i="19"/>
  <c r="R35" i="19"/>
  <c r="J145" i="19"/>
  <c r="H34" i="19"/>
  <c r="N147" i="19"/>
  <c r="P156" i="19"/>
  <c r="M146" i="19"/>
  <c r="L159" i="19"/>
  <c r="W152" i="19"/>
  <c r="W159" i="19"/>
  <c r="H35" i="19"/>
  <c r="U32" i="19"/>
  <c r="R31" i="19"/>
  <c r="M161" i="19"/>
  <c r="W40" i="19"/>
  <c r="H157" i="19"/>
  <c r="I146" i="19"/>
  <c r="M152" i="19"/>
  <c r="I32" i="19"/>
  <c r="R151" i="19"/>
  <c r="J41" i="19"/>
  <c r="Q154" i="19"/>
  <c r="V161" i="19"/>
  <c r="L147" i="19"/>
  <c r="Q36" i="19"/>
  <c r="L141" i="19"/>
  <c r="N34" i="19"/>
  <c r="L144" i="19"/>
  <c r="V32" i="19"/>
  <c r="W142" i="19"/>
  <c r="U161" i="19"/>
  <c r="K42" i="19"/>
  <c r="N158" i="19"/>
  <c r="I148" i="19"/>
  <c r="M40" i="19"/>
  <c r="K149" i="19"/>
  <c r="U38" i="19"/>
  <c r="I152" i="19"/>
  <c r="H160" i="19"/>
  <c r="W145" i="19"/>
  <c r="V162" i="19"/>
  <c r="S32" i="19"/>
  <c r="T149" i="19"/>
  <c r="V39" i="19"/>
  <c r="V37" i="19"/>
  <c r="M160" i="19"/>
  <c r="L30" i="19"/>
  <c r="J141" i="19"/>
  <c r="P40" i="19"/>
  <c r="O142" i="19"/>
  <c r="Q159" i="19"/>
  <c r="I39" i="19"/>
  <c r="L155" i="19"/>
  <c r="T148" i="19"/>
  <c r="Y149" i="19"/>
  <c r="N38" i="19"/>
  <c r="R145" i="19"/>
  <c r="V35" i="19"/>
  <c r="W146" i="19"/>
  <c r="V157" i="19"/>
  <c r="O148" i="19"/>
  <c r="L163" i="19"/>
  <c r="O30" i="19"/>
  <c r="I158" i="19"/>
  <c r="S35" i="19"/>
  <c r="P141" i="19"/>
  <c r="Q42" i="19"/>
  <c r="U157" i="19"/>
  <c r="M37" i="19"/>
  <c r="P153" i="19"/>
  <c r="R147" i="19"/>
  <c r="T42" i="19"/>
  <c r="X146" i="19"/>
  <c r="N36" i="19"/>
  <c r="U149" i="19"/>
  <c r="L158" i="19"/>
  <c r="X157" i="19"/>
  <c r="P150" i="19"/>
  <c r="Q153" i="19"/>
  <c r="L33" i="19"/>
  <c r="Y162" i="19"/>
  <c r="H31" i="19"/>
  <c r="O157" i="19"/>
  <c r="T162" i="19"/>
  <c r="O140" i="19"/>
  <c r="K160" i="19"/>
  <c r="W38" i="19"/>
  <c r="K34" i="19"/>
  <c r="N150" i="19"/>
  <c r="P39" i="19"/>
  <c r="L145" i="19"/>
  <c r="Q38" i="19"/>
  <c r="O147" i="19"/>
  <c r="O33" i="19"/>
  <c r="I145" i="19"/>
  <c r="H156" i="19"/>
  <c r="Y140" i="19"/>
  <c r="H36" i="19"/>
  <c r="H33" i="19"/>
  <c r="V30" i="19"/>
  <c r="R141" i="19"/>
  <c r="I38" i="19"/>
  <c r="U143" i="19"/>
  <c r="S162" i="19"/>
  <c r="I43" i="19"/>
  <c r="T155" i="19"/>
  <c r="K141" i="19"/>
  <c r="U151" i="19"/>
  <c r="I151" i="19"/>
  <c r="J157" i="19"/>
  <c r="O145" i="19"/>
  <c r="T161" i="19"/>
  <c r="M33" i="19"/>
  <c r="P149" i="19"/>
  <c r="M38" i="19"/>
  <c r="V140" i="19"/>
  <c r="R32" i="19"/>
  <c r="X142" i="19"/>
  <c r="L32" i="19"/>
  <c r="K144" i="19"/>
  <c r="U37" i="19"/>
  <c r="X153" i="19"/>
  <c r="N149" i="19"/>
  <c r="L43" i="19"/>
  <c r="K152" i="19"/>
  <c r="J38" i="19"/>
  <c r="J149" i="19"/>
  <c r="R159" i="19"/>
  <c r="Q140" i="19"/>
  <c r="P37" i="19"/>
  <c r="P159" i="19"/>
  <c r="K30" i="19"/>
  <c r="U160" i="19"/>
  <c r="N35" i="19"/>
  <c r="N140" i="19"/>
  <c r="K33" i="19"/>
  <c r="S163" i="19"/>
  <c r="P32" i="19"/>
  <c r="Y141" i="19"/>
  <c r="W160" i="19"/>
  <c r="V42" i="19"/>
  <c r="R36" i="19"/>
  <c r="X36" i="19"/>
  <c r="S142" i="19"/>
  <c r="O162" i="19"/>
  <c r="Y41" i="19"/>
  <c r="L157" i="19"/>
  <c r="S151" i="19"/>
  <c r="L150" i="19"/>
  <c r="Y42" i="19"/>
  <c r="I153" i="19"/>
  <c r="V43" i="19"/>
  <c r="P161" i="19"/>
  <c r="K32" i="19"/>
  <c r="P147" i="19"/>
  <c r="H38" i="19"/>
  <c r="L143" i="19"/>
  <c r="T34" i="19"/>
  <c r="V141" i="19"/>
  <c r="Y143" i="19"/>
  <c r="U163" i="19"/>
  <c r="O42" i="19"/>
  <c r="X43" i="19"/>
  <c r="W147" i="19"/>
  <c r="R40" i="19"/>
  <c r="T150" i="19"/>
  <c r="O41" i="19"/>
  <c r="R153" i="19"/>
  <c r="P158" i="19"/>
  <c r="K147" i="19"/>
  <c r="X163" i="19"/>
  <c r="S34" i="19"/>
  <c r="J35" i="19"/>
  <c r="M156" i="19"/>
  <c r="W33" i="19"/>
  <c r="J140" i="19"/>
  <c r="T31" i="19"/>
  <c r="N141" i="19"/>
  <c r="N31" i="19"/>
  <c r="W140" i="19"/>
  <c r="S160" i="19"/>
  <c r="K40" i="19"/>
  <c r="P155" i="19"/>
  <c r="N41" i="19"/>
  <c r="K37" i="19"/>
  <c r="AC166" i="10"/>
  <c r="AS166" i="10"/>
  <c r="AC140" i="10"/>
  <c r="AS140" i="10"/>
  <c r="AS127" i="10"/>
  <c r="AC127" i="10"/>
  <c r="AC82" i="10"/>
  <c r="AS82" i="10"/>
  <c r="AA301" i="10"/>
  <c r="AB301" i="10" s="1"/>
  <c r="AU301" i="10"/>
  <c r="AC85" i="10"/>
  <c r="AS85" i="10"/>
  <c r="AC94" i="10"/>
  <c r="AS94" i="10"/>
  <c r="AC308" i="10"/>
  <c r="AS308" i="10"/>
  <c r="AC73" i="10"/>
  <c r="AS73" i="10"/>
  <c r="AC253" i="10"/>
  <c r="AS253" i="10"/>
  <c r="AS108" i="10"/>
  <c r="AC108" i="10"/>
  <c r="AS112" i="10"/>
  <c r="AC112" i="10"/>
  <c r="AC162" i="10"/>
  <c r="AS162" i="10"/>
  <c r="AA270" i="10"/>
  <c r="AB270" i="10" s="1"/>
  <c r="AU270" i="10"/>
  <c r="AC295" i="10"/>
  <c r="AS295" i="10"/>
  <c r="AS252" i="10"/>
  <c r="AC252" i="10"/>
  <c r="AS34" i="10"/>
  <c r="AC34" i="10"/>
  <c r="AS35" i="10"/>
  <c r="AC35" i="10"/>
  <c r="AS242" i="10"/>
  <c r="AC242" i="10"/>
  <c r="AS258" i="10"/>
  <c r="AC258" i="10"/>
  <c r="AU66" i="10"/>
  <c r="AA66" i="10"/>
  <c r="AB66" i="10" s="1"/>
  <c r="AA128" i="10"/>
  <c r="AB128" i="10" s="1"/>
  <c r="AU128" i="10"/>
  <c r="AA71" i="10"/>
  <c r="AB71" i="10" s="1"/>
  <c r="AU71" i="10"/>
  <c r="AO200" i="1"/>
  <c r="Y200" i="1"/>
  <c r="Z200" i="1" s="1"/>
  <c r="Y44" i="1"/>
  <c r="Z44" i="1" s="1"/>
  <c r="AO44" i="1"/>
  <c r="T42" i="1"/>
  <c r="AN42" i="1" s="1"/>
  <c r="AA42" i="1"/>
  <c r="AM42" i="1"/>
  <c r="G11" i="8"/>
  <c r="G235" i="12"/>
  <c r="K233" i="12"/>
  <c r="J231" i="12"/>
  <c r="L230" i="12"/>
  <c r="G223" i="12"/>
  <c r="K231" i="12"/>
  <c r="L218" i="12"/>
  <c r="L220" i="12"/>
  <c r="H218" i="12"/>
  <c r="L221" i="12"/>
  <c r="F215" i="12"/>
  <c r="G232" i="12"/>
  <c r="J232" i="12"/>
  <c r="I225" i="12"/>
  <c r="F234" i="12"/>
  <c r="G220" i="12"/>
  <c r="I216" i="12"/>
  <c r="H230" i="12"/>
  <c r="H222" i="12"/>
  <c r="I234" i="12"/>
  <c r="L214" i="12"/>
  <c r="K234" i="12"/>
  <c r="J219" i="12"/>
  <c r="J220" i="12"/>
  <c r="K224" i="12"/>
  <c r="K222" i="12"/>
  <c r="I228" i="12"/>
  <c r="L215" i="12"/>
  <c r="J218" i="12"/>
  <c r="H226" i="12"/>
  <c r="F223" i="12"/>
  <c r="K220" i="12"/>
  <c r="G214" i="12"/>
  <c r="J221" i="12"/>
  <c r="H223" i="12"/>
  <c r="L216" i="12"/>
  <c r="K236" i="12"/>
  <c r="H231" i="12"/>
  <c r="J214" i="12"/>
  <c r="H235" i="12"/>
  <c r="I236" i="12"/>
  <c r="Y234" i="13"/>
  <c r="K233" i="13"/>
  <c r="H235" i="13"/>
  <c r="Y235" i="13"/>
  <c r="W236" i="13"/>
  <c r="H234" i="13"/>
  <c r="J238" i="13"/>
  <c r="L232" i="13"/>
  <c r="N237" i="13"/>
  <c r="H240" i="13"/>
  <c r="J240" i="13"/>
  <c r="R238" i="13"/>
  <c r="P237" i="13"/>
  <c r="T239" i="13"/>
  <c r="W239" i="13"/>
  <c r="X233" i="13"/>
  <c r="I239" i="13"/>
  <c r="Q238" i="13"/>
  <c r="T232" i="13"/>
  <c r="S238" i="13"/>
  <c r="X241" i="13"/>
  <c r="K237" i="13"/>
  <c r="J234" i="13"/>
  <c r="V239" i="13"/>
  <c r="J237" i="13"/>
  <c r="U235" i="13"/>
  <c r="U239" i="13"/>
  <c r="J233" i="13"/>
  <c r="K236" i="13"/>
  <c r="I235" i="13"/>
  <c r="O240" i="13"/>
  <c r="N239" i="13"/>
  <c r="J236" i="13"/>
  <c r="I238" i="13"/>
  <c r="S235" i="13"/>
  <c r="R232" i="13"/>
  <c r="S233" i="13"/>
  <c r="W232" i="13"/>
  <c r="H237" i="13"/>
  <c r="L238" i="13"/>
  <c r="P241" i="13"/>
  <c r="S241" i="13"/>
  <c r="M242" i="13"/>
  <c r="K241" i="13"/>
  <c r="M241" i="13"/>
  <c r="R240" i="13"/>
  <c r="Y241" i="13"/>
  <c r="U240" i="13"/>
  <c r="K242" i="13"/>
  <c r="AD19" i="11"/>
  <c r="AT19" i="11"/>
  <c r="AC44" i="10"/>
  <c r="AS44" i="10"/>
  <c r="AC156" i="10"/>
  <c r="AS156" i="10"/>
  <c r="AA256" i="10"/>
  <c r="AB256" i="10" s="1"/>
  <c r="AU256" i="10"/>
  <c r="AS39" i="10"/>
  <c r="AC39" i="10"/>
  <c r="AC121" i="10"/>
  <c r="AS121" i="10"/>
  <c r="AU155" i="10"/>
  <c r="AA155" i="10"/>
  <c r="AB155" i="10" s="1"/>
  <c r="AS298" i="10"/>
  <c r="AC298" i="10"/>
  <c r="AC54" i="10"/>
  <c r="AS54" i="10"/>
  <c r="AU125" i="10"/>
  <c r="AA125" i="10"/>
  <c r="AB125" i="10" s="1"/>
  <c r="AA72" i="10"/>
  <c r="AB72" i="10" s="1"/>
  <c r="AU72" i="10"/>
  <c r="AC122" i="10"/>
  <c r="AS122" i="10"/>
  <c r="AU272" i="10"/>
  <c r="AA272" i="10"/>
  <c r="AB272" i="10" s="1"/>
  <c r="AC70" i="10"/>
  <c r="AS70" i="10"/>
  <c r="AS106" i="10"/>
  <c r="AC106" i="10"/>
  <c r="AU33" i="10"/>
  <c r="AA33" i="10"/>
  <c r="AB33" i="10" s="1"/>
  <c r="AU126" i="10"/>
  <c r="AA126" i="10"/>
  <c r="AB126" i="10" s="1"/>
  <c r="AC89" i="10"/>
  <c r="AS89" i="10"/>
  <c r="AS102" i="10"/>
  <c r="AC102" i="10"/>
  <c r="AU281" i="10"/>
  <c r="AA281" i="10"/>
  <c r="AB281" i="10" s="1"/>
  <c r="AA257" i="10"/>
  <c r="AB257" i="10" s="1"/>
  <c r="AU257" i="10"/>
  <c r="AU246" i="10"/>
  <c r="AA246" i="10"/>
  <c r="AB246" i="10" s="1"/>
  <c r="AS138" i="10"/>
  <c r="AC138" i="10"/>
  <c r="AC42" i="10"/>
  <c r="AS42" i="10"/>
  <c r="AU32" i="10"/>
  <c r="AA32" i="10"/>
  <c r="AB32" i="10" s="1"/>
  <c r="AS92" i="10"/>
  <c r="AC92" i="10"/>
  <c r="AC291" i="10"/>
  <c r="AS291" i="10"/>
  <c r="AS302" i="10"/>
  <c r="AC302" i="10"/>
  <c r="T82" i="1"/>
  <c r="AN82" i="1" s="1"/>
  <c r="AA82" i="1"/>
  <c r="AM82" i="1"/>
  <c r="V214" i="13"/>
  <c r="V208" i="13"/>
  <c r="H207" i="13"/>
  <c r="I214" i="13"/>
  <c r="J210" i="13"/>
  <c r="L208" i="13"/>
  <c r="M205" i="13"/>
  <c r="N208" i="13"/>
  <c r="P204" i="13"/>
  <c r="Q211" i="13"/>
  <c r="R212" i="13"/>
  <c r="T204" i="13"/>
  <c r="U209" i="13"/>
  <c r="V213" i="13"/>
  <c r="X212" i="13"/>
  <c r="Y204" i="13"/>
  <c r="H208" i="13"/>
  <c r="H211" i="13"/>
  <c r="J206" i="13"/>
  <c r="K209" i="13"/>
  <c r="L206" i="13"/>
  <c r="N211" i="13"/>
  <c r="O210" i="13"/>
  <c r="P206" i="13"/>
  <c r="R205" i="13"/>
  <c r="S210" i="13"/>
  <c r="T208" i="13"/>
  <c r="V212" i="13"/>
  <c r="W206" i="13"/>
  <c r="X211" i="13"/>
  <c r="I208" i="13"/>
  <c r="J215" i="13"/>
  <c r="K212" i="13"/>
  <c r="M204" i="13"/>
  <c r="N205" i="13"/>
  <c r="O207" i="13"/>
  <c r="Q208" i="13"/>
  <c r="Y209" i="13"/>
  <c r="W212" i="13"/>
  <c r="T215" i="13"/>
  <c r="Q205" i="13"/>
  <c r="L209" i="13"/>
  <c r="Y210" i="13"/>
  <c r="W204" i="13"/>
  <c r="T214" i="13"/>
  <c r="Q207" i="13"/>
  <c r="K204" i="13"/>
  <c r="V206" i="13"/>
  <c r="R215" i="13"/>
  <c r="N212" i="13"/>
  <c r="W211" i="13"/>
  <c r="T209" i="13"/>
  <c r="P205" i="13"/>
  <c r="K211" i="13"/>
  <c r="X210" i="13"/>
  <c r="U207" i="13"/>
  <c r="H215" i="13"/>
  <c r="H214" i="13"/>
  <c r="I211" i="13"/>
  <c r="K213" i="13"/>
  <c r="L211" i="13"/>
  <c r="M213" i="13"/>
  <c r="O215" i="13"/>
  <c r="P211" i="13"/>
  <c r="Q204" i="13"/>
  <c r="S208" i="13"/>
  <c r="T213" i="13"/>
  <c r="U212" i="13"/>
  <c r="W205" i="13"/>
  <c r="X205" i="13"/>
  <c r="Y215" i="13"/>
  <c r="I210" i="13"/>
  <c r="I204" i="13"/>
  <c r="J208" i="13"/>
  <c r="K210" i="13"/>
  <c r="M215" i="13"/>
  <c r="N207" i="13"/>
  <c r="O205" i="13"/>
  <c r="Q215" i="13"/>
  <c r="R208" i="13"/>
  <c r="S213" i="13"/>
  <c r="U215" i="13"/>
  <c r="V205" i="13"/>
  <c r="W213" i="13"/>
  <c r="Y207" i="13"/>
  <c r="I207" i="13"/>
  <c r="J212" i="13"/>
  <c r="L207" i="13"/>
  <c r="M211" i="13"/>
  <c r="N209" i="13"/>
  <c r="P214" i="13"/>
  <c r="Q210" i="13"/>
  <c r="Y205" i="13"/>
  <c r="V209" i="13"/>
  <c r="S212" i="13"/>
  <c r="P212" i="13"/>
  <c r="J209" i="13"/>
  <c r="Y208" i="13"/>
  <c r="V215" i="13"/>
  <c r="S209" i="13"/>
  <c r="O208" i="13"/>
  <c r="J207" i="13"/>
  <c r="T211" i="13"/>
  <c r="R209" i="13"/>
  <c r="L214" i="13"/>
  <c r="Y213" i="13"/>
  <c r="V210" i="13"/>
  <c r="S206" i="13"/>
  <c r="O211" i="13"/>
  <c r="I206" i="13"/>
  <c r="Y211" i="13"/>
  <c r="H204" i="13"/>
  <c r="H210" i="13"/>
  <c r="J211" i="13"/>
  <c r="K215" i="13"/>
  <c r="L210" i="13"/>
  <c r="N214" i="13"/>
  <c r="O204" i="13"/>
  <c r="P208" i="13"/>
  <c r="R213" i="13"/>
  <c r="S214" i="13"/>
  <c r="T206" i="13"/>
  <c r="V211" i="13"/>
  <c r="W214" i="13"/>
  <c r="X208" i="13"/>
  <c r="H213" i="13"/>
  <c r="H212" i="13"/>
  <c r="I215" i="13"/>
  <c r="J213" i="13"/>
  <c r="L213" i="13"/>
  <c r="M207" i="13"/>
  <c r="N213" i="13"/>
  <c r="P215" i="13"/>
  <c r="Q213" i="13"/>
  <c r="R207" i="13"/>
  <c r="T205" i="13"/>
  <c r="U213" i="13"/>
  <c r="V207" i="13"/>
  <c r="X206" i="13"/>
  <c r="Y206" i="13"/>
  <c r="I213" i="13"/>
  <c r="K206" i="13"/>
  <c r="L215" i="13"/>
  <c r="M212" i="13"/>
  <c r="O212" i="13"/>
  <c r="P207" i="13"/>
  <c r="Q209" i="13"/>
  <c r="X207" i="13"/>
  <c r="U210" i="13"/>
  <c r="S204" i="13"/>
  <c r="N204" i="13"/>
  <c r="I205" i="13"/>
  <c r="X215" i="13"/>
  <c r="U208" i="13"/>
  <c r="S205" i="13"/>
  <c r="N206" i="13"/>
  <c r="T212" i="13"/>
  <c r="P213" i="13"/>
  <c r="K207" i="13"/>
  <c r="X213" i="13"/>
  <c r="U205" i="13"/>
  <c r="R206" i="13"/>
  <c r="M206" i="13"/>
  <c r="W208" i="13"/>
  <c r="H206" i="13"/>
  <c r="I209" i="13"/>
  <c r="J205" i="13"/>
  <c r="K208" i="13"/>
  <c r="M214" i="13"/>
  <c r="N210" i="13"/>
  <c r="O213" i="13"/>
  <c r="Q206" i="13"/>
  <c r="R210" i="13"/>
  <c r="S215" i="13"/>
  <c r="U214" i="13"/>
  <c r="V204" i="13"/>
  <c r="W209" i="13"/>
  <c r="Y214" i="13"/>
  <c r="H209" i="13"/>
  <c r="H205" i="13"/>
  <c r="I212" i="13"/>
  <c r="K205" i="13"/>
  <c r="L205" i="13"/>
  <c r="M210" i="13"/>
  <c r="O214" i="13"/>
  <c r="P210" i="13"/>
  <c r="Q212" i="13"/>
  <c r="S207" i="13"/>
  <c r="T207" i="13"/>
  <c r="U206" i="13"/>
  <c r="W210" i="13"/>
  <c r="X204" i="13"/>
  <c r="Y212" i="13"/>
  <c r="J204" i="13"/>
  <c r="K214" i="13"/>
  <c r="L212" i="13"/>
  <c r="N215" i="13"/>
  <c r="O209" i="13"/>
  <c r="P209" i="13"/>
  <c r="R204" i="13"/>
  <c r="W215" i="13"/>
  <c r="U211" i="13"/>
  <c r="R214" i="13"/>
  <c r="M209" i="13"/>
  <c r="W207" i="13"/>
  <c r="U204" i="13"/>
  <c r="R211" i="13"/>
  <c r="M208" i="13"/>
  <c r="X214" i="13"/>
  <c r="S211" i="13"/>
  <c r="O206" i="13"/>
  <c r="J214" i="13"/>
  <c r="X209" i="13"/>
  <c r="T210" i="13"/>
  <c r="Q214" i="13"/>
  <c r="L204" i="13"/>
  <c r="I202" i="13"/>
  <c r="I187" i="13"/>
  <c r="L187" i="13"/>
  <c r="O186" i="13"/>
  <c r="Q189" i="13"/>
  <c r="S188" i="13"/>
  <c r="U203" i="13"/>
  <c r="W190" i="13"/>
  <c r="Y188" i="13"/>
  <c r="J187" i="13"/>
  <c r="H187" i="13"/>
  <c r="M187" i="13"/>
  <c r="O187" i="13"/>
  <c r="Q188" i="13"/>
  <c r="S203" i="13"/>
  <c r="U188" i="13"/>
  <c r="X188" i="13"/>
  <c r="J202" i="13"/>
  <c r="I188" i="13"/>
  <c r="L185" i="13"/>
  <c r="M202" i="13"/>
  <c r="O203" i="13"/>
  <c r="Q185" i="13"/>
  <c r="T185" i="13"/>
  <c r="V190" i="13"/>
  <c r="X203" i="13"/>
  <c r="K203" i="13"/>
  <c r="P186" i="13"/>
  <c r="W202" i="13"/>
  <c r="K190" i="13"/>
  <c r="R203" i="13"/>
  <c r="H203" i="13"/>
  <c r="Q187" i="13"/>
  <c r="X187" i="13"/>
  <c r="L203" i="13"/>
  <c r="J203" i="13"/>
  <c r="W188" i="13"/>
  <c r="P194" i="13"/>
  <c r="L197" i="13"/>
  <c r="N200" i="13"/>
  <c r="P196" i="13"/>
  <c r="R191" i="13"/>
  <c r="Y193" i="13"/>
  <c r="R198" i="13"/>
  <c r="P195" i="13"/>
  <c r="T191" i="13"/>
  <c r="I191" i="13"/>
  <c r="W201" i="13"/>
  <c r="J198" i="13"/>
  <c r="Q196" i="13"/>
  <c r="O192" i="13"/>
  <c r="H200" i="13"/>
  <c r="L194" i="13"/>
  <c r="U197" i="13"/>
  <c r="J192" i="13"/>
  <c r="S200" i="13"/>
  <c r="I196" i="13"/>
  <c r="W195" i="13"/>
  <c r="O191" i="13"/>
  <c r="O193" i="13"/>
  <c r="O196" i="13"/>
  <c r="H198" i="13"/>
  <c r="X191" i="13"/>
  <c r="U191" i="13"/>
  <c r="H196" i="13"/>
  <c r="H201" i="13"/>
  <c r="T199" i="13"/>
  <c r="N197" i="13"/>
  <c r="L198" i="13"/>
  <c r="Y198" i="13"/>
  <c r="Q201" i="13"/>
  <c r="R197" i="13"/>
  <c r="W191" i="13"/>
  <c r="U194" i="13"/>
  <c r="S191" i="13"/>
  <c r="O194" i="13"/>
  <c r="M192" i="13"/>
  <c r="X197" i="13"/>
  <c r="Q197" i="13"/>
  <c r="L195" i="13"/>
  <c r="Q192" i="13"/>
  <c r="W193" i="13"/>
  <c r="M194" i="13"/>
  <c r="L192" i="13"/>
  <c r="K199" i="13"/>
  <c r="T192" i="13"/>
  <c r="K185" i="13"/>
  <c r="H185" i="13"/>
  <c r="M203" i="13"/>
  <c r="O202" i="13"/>
  <c r="R187" i="13"/>
  <c r="S185" i="13"/>
  <c r="V189" i="13"/>
  <c r="W186" i="13"/>
  <c r="Y187" i="13"/>
  <c r="H188" i="13"/>
  <c r="J188" i="13"/>
  <c r="M185" i="13"/>
  <c r="P185" i="13"/>
  <c r="R189" i="13"/>
  <c r="T188" i="13"/>
  <c r="U186" i="13"/>
  <c r="X186" i="13"/>
  <c r="H202" i="13"/>
  <c r="K188" i="13"/>
  <c r="L186" i="13"/>
  <c r="N185" i="13"/>
  <c r="P202" i="13"/>
  <c r="Q186" i="13"/>
  <c r="T202" i="13"/>
  <c r="V202" i="13"/>
  <c r="Y190" i="13"/>
  <c r="I186" i="13"/>
  <c r="R188" i="13"/>
  <c r="Y185" i="13"/>
  <c r="M190" i="13"/>
  <c r="T203" i="13"/>
  <c r="L188" i="13"/>
  <c r="S202" i="13"/>
  <c r="P189" i="13"/>
  <c r="Y197" i="13"/>
  <c r="H191" i="13"/>
  <c r="U192" i="13"/>
  <c r="V200" i="13"/>
  <c r="H195" i="13"/>
  <c r="Y200" i="13"/>
  <c r="N196" i="13"/>
  <c r="T193" i="13"/>
  <c r="Y192" i="13"/>
  <c r="J194" i="13"/>
  <c r="N195" i="13"/>
  <c r="J197" i="13"/>
  <c r="T198" i="13"/>
  <c r="K191" i="13"/>
  <c r="L191" i="13"/>
  <c r="O201" i="13"/>
  <c r="L196" i="13"/>
  <c r="K192" i="13"/>
  <c r="T194" i="13"/>
  <c r="N198" i="13"/>
  <c r="N194" i="13"/>
  <c r="J196" i="13"/>
  <c r="T200" i="13"/>
  <c r="S194" i="13"/>
  <c r="J193" i="13"/>
  <c r="W200" i="13"/>
  <c r="W198" i="13"/>
  <c r="K197" i="13"/>
  <c r="H192" i="13"/>
  <c r="K196" i="13"/>
  <c r="O195" i="13"/>
  <c r="I199" i="13"/>
  <c r="Q195" i="13"/>
  <c r="V192" i="13"/>
  <c r="M196" i="13"/>
  <c r="J191" i="13"/>
  <c r="K195" i="13"/>
  <c r="X201" i="13"/>
  <c r="N201" i="13"/>
  <c r="Q198" i="13"/>
  <c r="Y191" i="13"/>
  <c r="V196" i="13"/>
  <c r="V193" i="13"/>
  <c r="I195" i="13"/>
  <c r="I197" i="13"/>
  <c r="R195" i="13"/>
  <c r="H199" i="13"/>
  <c r="V201" i="13"/>
  <c r="O200" i="13"/>
  <c r="H186" i="13"/>
  <c r="K202" i="13"/>
  <c r="N203" i="13"/>
  <c r="P188" i="13"/>
  <c r="R185" i="13"/>
  <c r="T189" i="13"/>
  <c r="V187" i="13"/>
  <c r="X185" i="13"/>
  <c r="J190" i="13"/>
  <c r="J186" i="13"/>
  <c r="L202" i="13"/>
  <c r="N190" i="13"/>
  <c r="P203" i="13"/>
  <c r="R186" i="13"/>
  <c r="T187" i="13"/>
  <c r="V203" i="13"/>
  <c r="X189" i="13"/>
  <c r="K187" i="13"/>
  <c r="I189" i="13"/>
  <c r="M188" i="13"/>
  <c r="N189" i="13"/>
  <c r="P190" i="13"/>
  <c r="R202" i="13"/>
  <c r="U185" i="13"/>
  <c r="W189" i="13"/>
  <c r="Y189" i="13"/>
  <c r="M189" i="13"/>
  <c r="T190" i="13"/>
  <c r="J185" i="13"/>
  <c r="O188" i="13"/>
  <c r="V185" i="13"/>
  <c r="N186" i="13"/>
  <c r="U187" i="13"/>
  <c r="Y186" i="13"/>
  <c r="K189" i="13"/>
  <c r="U190" i="13"/>
  <c r="U195" i="13"/>
  <c r="S197" i="13"/>
  <c r="O198" i="13"/>
  <c r="X195" i="13"/>
  <c r="V191" i="13"/>
  <c r="T197" i="13"/>
  <c r="U201" i="13"/>
  <c r="Q194" i="13"/>
  <c r="W197" i="13"/>
  <c r="R192" i="13"/>
  <c r="M199" i="13"/>
  <c r="K194" i="13"/>
  <c r="X196" i="13"/>
  <c r="M193" i="13"/>
  <c r="M201" i="13"/>
  <c r="P191" i="13"/>
  <c r="S192" i="13"/>
  <c r="S198" i="13"/>
  <c r="K201" i="13"/>
  <c r="L200" i="13"/>
  <c r="X198" i="13"/>
  <c r="U196" i="13"/>
  <c r="P193" i="13"/>
  <c r="Q193" i="13"/>
  <c r="Y194" i="13"/>
  <c r="Q199" i="13"/>
  <c r="Q200" i="13"/>
  <c r="R193" i="13"/>
  <c r="N191" i="13"/>
  <c r="M200" i="13"/>
  <c r="M191" i="13"/>
  <c r="W196" i="13"/>
  <c r="Y195" i="13"/>
  <c r="P192" i="13"/>
  <c r="N193" i="13"/>
  <c r="V194" i="13"/>
  <c r="K193" i="13"/>
  <c r="Y196" i="13"/>
  <c r="T196" i="13"/>
  <c r="R199" i="13"/>
  <c r="U193" i="13"/>
  <c r="Y201" i="13"/>
  <c r="I192" i="13"/>
  <c r="H194" i="13"/>
  <c r="P198" i="13"/>
  <c r="U200" i="13"/>
  <c r="L201" i="13"/>
  <c r="J200" i="13"/>
  <c r="M195" i="13"/>
  <c r="L199" i="13"/>
  <c r="H190" i="13"/>
  <c r="I185" i="13"/>
  <c r="L190" i="13"/>
  <c r="N188" i="13"/>
  <c r="P187" i="13"/>
  <c r="S190" i="13"/>
  <c r="U202" i="13"/>
  <c r="W187" i="13"/>
  <c r="X190" i="13"/>
  <c r="H189" i="13"/>
  <c r="J189" i="13"/>
  <c r="L189" i="13"/>
  <c r="O189" i="13"/>
  <c r="Q190" i="13"/>
  <c r="S187" i="13"/>
  <c r="T186" i="13"/>
  <c r="W185" i="13"/>
  <c r="Y202" i="13"/>
  <c r="K186" i="13"/>
  <c r="I190" i="13"/>
  <c r="M186" i="13"/>
  <c r="O190" i="13"/>
  <c r="Q202" i="13"/>
  <c r="S189" i="13"/>
  <c r="U189" i="13"/>
  <c r="W203" i="13"/>
  <c r="Y203" i="13"/>
  <c r="N202" i="13"/>
  <c r="V186" i="13"/>
  <c r="I203" i="13"/>
  <c r="Q203" i="13"/>
  <c r="X202" i="13"/>
  <c r="O185" i="13"/>
  <c r="V188" i="13"/>
  <c r="S186" i="13"/>
  <c r="R190" i="13"/>
  <c r="N187" i="13"/>
  <c r="O199" i="13"/>
  <c r="K198" i="13"/>
  <c r="S201" i="13"/>
  <c r="W194" i="13"/>
  <c r="S196" i="13"/>
  <c r="K200" i="13"/>
  <c r="N192" i="13"/>
  <c r="I200" i="13"/>
  <c r="X193" i="13"/>
  <c r="V198" i="13"/>
  <c r="S199" i="13"/>
  <c r="S195" i="13"/>
  <c r="X194" i="13"/>
  <c r="V197" i="13"/>
  <c r="Q191" i="13"/>
  <c r="H197" i="13"/>
  <c r="V199" i="13"/>
  <c r="S193" i="13"/>
  <c r="X200" i="13"/>
  <c r="I198" i="13"/>
  <c r="W199" i="13"/>
  <c r="I193" i="13"/>
  <c r="J199" i="13"/>
  <c r="L193" i="13"/>
  <c r="T195" i="13"/>
  <c r="P200" i="13"/>
  <c r="R201" i="13"/>
  <c r="T201" i="13"/>
  <c r="R200" i="13"/>
  <c r="X192" i="13"/>
  <c r="M198" i="13"/>
  <c r="P199" i="13"/>
  <c r="W192" i="13"/>
  <c r="I194" i="13"/>
  <c r="P197" i="13"/>
  <c r="I201" i="13"/>
  <c r="R196" i="13"/>
  <c r="V195" i="13"/>
  <c r="J201" i="13"/>
  <c r="H193" i="13"/>
  <c r="Y199" i="13"/>
  <c r="X199" i="13"/>
  <c r="U198" i="13"/>
  <c r="M197" i="13"/>
  <c r="O197" i="13"/>
  <c r="J195" i="13"/>
  <c r="R194" i="13"/>
  <c r="P201" i="13"/>
  <c r="U199" i="13"/>
  <c r="N199" i="13"/>
  <c r="AU30" i="10"/>
  <c r="AA30" i="10"/>
  <c r="AB30" i="10" s="1"/>
  <c r="P30" i="5"/>
  <c r="L30" i="5" s="1"/>
  <c r="E10" i="8"/>
  <c r="I126" i="12"/>
  <c r="J126" i="12" s="1"/>
  <c r="N99" i="12"/>
  <c r="L99" i="12" s="1"/>
  <c r="I130" i="12"/>
  <c r="J130" i="12" s="1"/>
  <c r="P98" i="12"/>
  <c r="I131" i="12"/>
  <c r="J131" i="12" s="1"/>
  <c r="P106" i="12"/>
  <c r="M106" i="12" s="1"/>
  <c r="I122" i="12"/>
  <c r="J122" i="12" s="1"/>
  <c r="I132" i="12"/>
  <c r="J132" i="12" s="1"/>
  <c r="N101" i="12"/>
  <c r="L101" i="12" s="1"/>
  <c r="N107" i="12"/>
  <c r="L107" i="12" s="1"/>
  <c r="P101" i="12"/>
  <c r="M101" i="12" s="1"/>
  <c r="AB313" i="11"/>
  <c r="AC313" i="11" s="1"/>
  <c r="AV313" i="11"/>
  <c r="AV47" i="11"/>
  <c r="AB47" i="11"/>
  <c r="AC47" i="11" s="1"/>
  <c r="H163" i="13"/>
  <c r="I162" i="13"/>
  <c r="K140" i="13"/>
  <c r="L140" i="13"/>
  <c r="M140" i="13"/>
  <c r="O140" i="13"/>
  <c r="P163" i="13"/>
  <c r="Q162" i="13"/>
  <c r="S163" i="13"/>
  <c r="T140" i="13"/>
  <c r="U140" i="13"/>
  <c r="W163" i="13"/>
  <c r="X163" i="13"/>
  <c r="Y162" i="13"/>
  <c r="I158" i="13"/>
  <c r="K147" i="13"/>
  <c r="M40" i="13"/>
  <c r="O161" i="13"/>
  <c r="P30" i="13"/>
  <c r="R148" i="13"/>
  <c r="T34" i="13"/>
  <c r="V34" i="13"/>
  <c r="H154" i="13"/>
  <c r="I37" i="13"/>
  <c r="K41" i="13"/>
  <c r="M148" i="13"/>
  <c r="O157" i="13"/>
  <c r="P42" i="13"/>
  <c r="H144" i="13"/>
  <c r="J151" i="13"/>
  <c r="L148" i="13"/>
  <c r="J40" i="13"/>
  <c r="O38" i="13"/>
  <c r="R157" i="13"/>
  <c r="U33" i="13"/>
  <c r="W150" i="13"/>
  <c r="Y159" i="13"/>
  <c r="N35" i="13"/>
  <c r="R145" i="13"/>
  <c r="T147" i="13"/>
  <c r="V148" i="13"/>
  <c r="Y156" i="13"/>
  <c r="K31" i="13"/>
  <c r="P156" i="13"/>
  <c r="S149" i="13"/>
  <c r="U32" i="13"/>
  <c r="W39" i="13"/>
  <c r="Y31" i="13"/>
  <c r="V153" i="13"/>
  <c r="R153" i="13"/>
  <c r="O148" i="13"/>
  <c r="Q42" i="13"/>
  <c r="N160" i="13"/>
  <c r="H43" i="13"/>
  <c r="J159" i="13"/>
  <c r="L146" i="13"/>
  <c r="M157" i="13"/>
  <c r="O151" i="13"/>
  <c r="Q43" i="13"/>
  <c r="S42" i="13"/>
  <c r="U43" i="13"/>
  <c r="W145" i="13"/>
  <c r="H151" i="13"/>
  <c r="I141" i="13"/>
  <c r="K35" i="13"/>
  <c r="M150" i="13"/>
  <c r="O31" i="13"/>
  <c r="Q155" i="13"/>
  <c r="H41" i="13"/>
  <c r="J33" i="13"/>
  <c r="L151" i="13"/>
  <c r="L160" i="13"/>
  <c r="P43" i="13"/>
  <c r="S150" i="13"/>
  <c r="V35" i="13"/>
  <c r="Y30" i="13"/>
  <c r="Y44" i="13" s="1"/>
  <c r="I157" i="13"/>
  <c r="N33" i="13"/>
  <c r="R144" i="13"/>
  <c r="T160" i="13"/>
  <c r="W158" i="13"/>
  <c r="X148" i="13"/>
  <c r="L34" i="13"/>
  <c r="P145" i="13"/>
  <c r="S34" i="13"/>
  <c r="U154" i="13"/>
  <c r="X142" i="13"/>
  <c r="I34" i="13"/>
  <c r="X160" i="13"/>
  <c r="U35" i="13"/>
  <c r="H150" i="13"/>
  <c r="W40" i="13"/>
  <c r="H142" i="13"/>
  <c r="I40" i="13"/>
  <c r="K32" i="13"/>
  <c r="M34" i="13"/>
  <c r="O43" i="13"/>
  <c r="Q144" i="13"/>
  <c r="S159" i="13"/>
  <c r="U149" i="13"/>
  <c r="V38" i="13"/>
  <c r="Y147" i="13"/>
  <c r="I43" i="13"/>
  <c r="K154" i="13"/>
  <c r="M41" i="13"/>
  <c r="N31" i="13"/>
  <c r="P159" i="13"/>
  <c r="H160" i="13"/>
  <c r="I31" i="13"/>
  <c r="K40" i="13"/>
  <c r="H146" i="13"/>
  <c r="N145" i="13"/>
  <c r="Q157" i="13"/>
  <c r="T158" i="13"/>
  <c r="W37" i="13"/>
  <c r="X157" i="13"/>
  <c r="M158" i="13"/>
  <c r="P151" i="13"/>
  <c r="T151" i="13"/>
  <c r="V41" i="13"/>
  <c r="X149" i="13"/>
  <c r="L145" i="13"/>
  <c r="Q145" i="13"/>
  <c r="T150" i="13"/>
  <c r="V159" i="13"/>
  <c r="X30" i="13"/>
  <c r="P41" i="13"/>
  <c r="X159" i="13"/>
  <c r="T152" i="13"/>
  <c r="R32" i="13"/>
  <c r="R149" i="13"/>
  <c r="I155" i="13"/>
  <c r="J30" i="13"/>
  <c r="L31" i="13"/>
  <c r="N38" i="13"/>
  <c r="P36" i="13"/>
  <c r="R152" i="13"/>
  <c r="S43" i="13"/>
  <c r="U156" i="13"/>
  <c r="W38" i="13"/>
  <c r="H37" i="13"/>
  <c r="J38" i="13"/>
  <c r="K159" i="13"/>
  <c r="M30" i="13"/>
  <c r="O36" i="13"/>
  <c r="Q149" i="13"/>
  <c r="H31" i="13"/>
  <c r="J43" i="13"/>
  <c r="L154" i="13"/>
  <c r="J142" i="13"/>
  <c r="O35" i="13"/>
  <c r="R31" i="13"/>
  <c r="U152" i="13"/>
  <c r="W142" i="13"/>
  <c r="X161" i="13"/>
  <c r="M141" i="13"/>
  <c r="Q30" i="13"/>
  <c r="S31" i="13"/>
  <c r="V160" i="13"/>
  <c r="X144" i="13"/>
  <c r="I142" i="13"/>
  <c r="O145" i="13"/>
  <c r="R30" i="13"/>
  <c r="T157" i="13"/>
  <c r="W141" i="13"/>
  <c r="X43" i="13"/>
  <c r="S154" i="13"/>
  <c r="R43" i="13"/>
  <c r="N42" i="13"/>
  <c r="P34" i="13"/>
  <c r="K149" i="13"/>
  <c r="H140" i="13"/>
  <c r="J163" i="13"/>
  <c r="K163" i="13"/>
  <c r="L162" i="13"/>
  <c r="N163" i="13"/>
  <c r="O162" i="13"/>
  <c r="P140" i="13"/>
  <c r="R162" i="13"/>
  <c r="S140" i="13"/>
  <c r="T163" i="13"/>
  <c r="V163" i="13"/>
  <c r="W140" i="13"/>
  <c r="X162" i="13"/>
  <c r="H40" i="13"/>
  <c r="J161" i="13"/>
  <c r="K142" i="13"/>
  <c r="M154" i="13"/>
  <c r="O155" i="13"/>
  <c r="Q158" i="13"/>
  <c r="S146" i="13"/>
  <c r="T146" i="13"/>
  <c r="W34" i="13"/>
  <c r="H145" i="13"/>
  <c r="J158" i="13"/>
  <c r="L144" i="13"/>
  <c r="M142" i="13"/>
  <c r="O159" i="13"/>
  <c r="Q161" i="13"/>
  <c r="H143" i="13"/>
  <c r="K151" i="13"/>
  <c r="L152" i="13"/>
  <c r="L153" i="13"/>
  <c r="P150" i="13"/>
  <c r="S153" i="13"/>
  <c r="U153" i="13"/>
  <c r="Y161" i="13"/>
  <c r="J37" i="13"/>
  <c r="O146" i="13"/>
  <c r="R150" i="13"/>
  <c r="U159" i="13"/>
  <c r="W161" i="13"/>
  <c r="X31" i="13"/>
  <c r="M145" i="13"/>
  <c r="Q156" i="13"/>
  <c r="S35" i="13"/>
  <c r="V157" i="13"/>
  <c r="X39" i="13"/>
  <c r="N142" i="13"/>
  <c r="Y153" i="13"/>
  <c r="U144" i="13"/>
  <c r="U161" i="13"/>
  <c r="T149" i="13"/>
  <c r="S145" i="13"/>
  <c r="H42" i="13"/>
  <c r="J39" i="13"/>
  <c r="L30" i="13"/>
  <c r="N156" i="13"/>
  <c r="P147" i="13"/>
  <c r="Q159" i="13"/>
  <c r="S158" i="13"/>
  <c r="U151" i="13"/>
  <c r="W154" i="13"/>
  <c r="H30" i="13"/>
  <c r="J31" i="13"/>
  <c r="L43" i="13"/>
  <c r="M39" i="13"/>
  <c r="P160" i="13"/>
  <c r="Q35" i="13"/>
  <c r="I146" i="13"/>
  <c r="K158" i="13"/>
  <c r="M143" i="13"/>
  <c r="N152" i="13"/>
  <c r="Q150" i="13"/>
  <c r="T153" i="13"/>
  <c r="V158" i="13"/>
  <c r="X143" i="13"/>
  <c r="J141" i="13"/>
  <c r="O153" i="13"/>
  <c r="R143" i="13"/>
  <c r="U34" i="13"/>
  <c r="W146" i="13"/>
  <c r="Y151" i="13"/>
  <c r="M152" i="13"/>
  <c r="Q147" i="13"/>
  <c r="T37" i="13"/>
  <c r="V152" i="13"/>
  <c r="X158" i="13"/>
  <c r="O149" i="13"/>
  <c r="K157" i="13"/>
  <c r="X145" i="13"/>
  <c r="N146" i="13"/>
  <c r="Y35" i="13"/>
  <c r="H157" i="13"/>
  <c r="J41" i="13"/>
  <c r="L39" i="13"/>
  <c r="N158" i="13"/>
  <c r="P158" i="13"/>
  <c r="Q142" i="13"/>
  <c r="S156" i="13"/>
  <c r="U160" i="13"/>
  <c r="W159" i="13"/>
  <c r="H156" i="13"/>
  <c r="J148" i="13"/>
  <c r="K150" i="13"/>
  <c r="M160" i="13"/>
  <c r="O33" i="13"/>
  <c r="Q37" i="13"/>
  <c r="H152" i="13"/>
  <c r="J145" i="13"/>
  <c r="L142" i="13"/>
  <c r="I159" i="13"/>
  <c r="O152" i="13"/>
  <c r="R142" i="13"/>
  <c r="T30" i="13"/>
  <c r="W149" i="13"/>
  <c r="X33" i="13"/>
  <c r="N149" i="13"/>
  <c r="Q40" i="13"/>
  <c r="T144" i="13"/>
  <c r="W160" i="13"/>
  <c r="Y42" i="13"/>
  <c r="M37" i="13"/>
  <c r="R159" i="13"/>
  <c r="T40" i="13"/>
  <c r="W153" i="13"/>
  <c r="X32" i="13"/>
  <c r="S33" i="13"/>
  <c r="S142" i="13"/>
  <c r="W157" i="13"/>
  <c r="U38" i="13"/>
  <c r="W155" i="13"/>
  <c r="I39" i="13"/>
  <c r="K39" i="13"/>
  <c r="M159" i="13"/>
  <c r="N34" i="13"/>
  <c r="P142" i="13"/>
  <c r="R42" i="13"/>
  <c r="T35" i="13"/>
  <c r="V154" i="13"/>
  <c r="W33" i="13"/>
  <c r="H33" i="13"/>
  <c r="J152" i="13"/>
  <c r="L36" i="13"/>
  <c r="N159" i="13"/>
  <c r="O42" i="13"/>
  <c r="Q148" i="13"/>
  <c r="I152" i="13"/>
  <c r="J36" i="13"/>
  <c r="L42" i="13"/>
  <c r="L143" i="13"/>
  <c r="P32" i="13"/>
  <c r="S39" i="13"/>
  <c r="U40" i="13"/>
  <c r="X150" i="13"/>
  <c r="H149" i="13"/>
  <c r="N147" i="13"/>
  <c r="Q34" i="13"/>
  <c r="T36" i="13"/>
  <c r="V142" i="13"/>
  <c r="Y38" i="13"/>
  <c r="K37" i="13"/>
  <c r="O142" i="13"/>
  <c r="S161" i="13"/>
  <c r="U141" i="13"/>
  <c r="W42" i="13"/>
  <c r="Y40" i="13"/>
  <c r="V150" i="13"/>
  <c r="T42" i="13"/>
  <c r="T143" i="13"/>
  <c r="S148" i="13"/>
  <c r="S40" i="13"/>
  <c r="I163" i="13"/>
  <c r="J140" i="13"/>
  <c r="K162" i="13"/>
  <c r="M163" i="13"/>
  <c r="N140" i="13"/>
  <c r="O163" i="13"/>
  <c r="Q140" i="13"/>
  <c r="R140" i="13"/>
  <c r="S162" i="13"/>
  <c r="U162" i="13"/>
  <c r="V140" i="13"/>
  <c r="W162" i="13"/>
  <c r="Y163" i="13"/>
  <c r="H36" i="13"/>
  <c r="J42" i="13"/>
  <c r="L32" i="13"/>
  <c r="N143" i="13"/>
  <c r="O30" i="13"/>
  <c r="Q154" i="13"/>
  <c r="S155" i="13"/>
  <c r="U37" i="13"/>
  <c r="W148" i="13"/>
  <c r="H39" i="13"/>
  <c r="J32" i="13"/>
  <c r="L35" i="13"/>
  <c r="N161" i="13"/>
  <c r="P153" i="13"/>
  <c r="Q36" i="13"/>
  <c r="I150" i="13"/>
  <c r="K145" i="13"/>
  <c r="M42" i="13"/>
  <c r="M153" i="13"/>
  <c r="Q32" i="13"/>
  <c r="T159" i="13"/>
  <c r="V36" i="13"/>
  <c r="X34" i="13"/>
  <c r="L41" i="13"/>
  <c r="P157" i="13"/>
  <c r="S152" i="13"/>
  <c r="U41" i="13"/>
  <c r="X35" i="13"/>
  <c r="H155" i="13"/>
  <c r="N144" i="13"/>
  <c r="Q33" i="13"/>
  <c r="T41" i="13"/>
  <c r="V30" i="13"/>
  <c r="X151" i="13"/>
  <c r="Q151" i="13"/>
  <c r="J149" i="13"/>
  <c r="W147" i="13"/>
  <c r="X42" i="13"/>
  <c r="V43" i="13"/>
  <c r="Y32" i="13"/>
  <c r="I145" i="13"/>
  <c r="K43" i="13"/>
  <c r="L157" i="13"/>
  <c r="N32" i="13"/>
  <c r="P141" i="13"/>
  <c r="R36" i="13"/>
  <c r="T142" i="13"/>
  <c r="V32" i="13"/>
  <c r="X38" i="13"/>
  <c r="I153" i="13"/>
  <c r="J157" i="13"/>
  <c r="L159" i="13"/>
  <c r="N153" i="13"/>
  <c r="P149" i="13"/>
  <c r="H148" i="13"/>
  <c r="I156" i="13"/>
  <c r="L141" i="13"/>
  <c r="I42" i="13"/>
  <c r="N30" i="13"/>
  <c r="N44" i="13" s="1"/>
  <c r="R39" i="13"/>
  <c r="T33" i="13"/>
  <c r="W36" i="13"/>
  <c r="X154" i="13"/>
  <c r="L158" i="13"/>
  <c r="P37" i="13"/>
  <c r="S38" i="13"/>
  <c r="U148" i="13"/>
  <c r="Y146" i="13"/>
  <c r="H153" i="13"/>
  <c r="N155" i="13"/>
  <c r="R154" i="13"/>
  <c r="T145" i="13"/>
  <c r="V39" i="13"/>
  <c r="Y36" i="13"/>
  <c r="T161" i="13"/>
  <c r="P35" i="13"/>
  <c r="P39" i="13"/>
  <c r="R37" i="13"/>
  <c r="Q41" i="13"/>
  <c r="I154" i="13"/>
  <c r="J150" i="13"/>
  <c r="M156" i="13"/>
  <c r="N36" i="13"/>
  <c r="P146" i="13"/>
  <c r="R41" i="13"/>
  <c r="T154" i="13"/>
  <c r="U146" i="13"/>
  <c r="W144" i="13"/>
  <c r="H141" i="13"/>
  <c r="J143" i="13"/>
  <c r="L38" i="13"/>
  <c r="N150" i="13"/>
  <c r="O158" i="13"/>
  <c r="Q141" i="13"/>
  <c r="I143" i="13"/>
  <c r="J146" i="13"/>
  <c r="L33" i="13"/>
  <c r="K153" i="13"/>
  <c r="P144" i="13"/>
  <c r="S41" i="13"/>
  <c r="U158" i="13"/>
  <c r="X152" i="13"/>
  <c r="I148" i="13"/>
  <c r="O41" i="13"/>
  <c r="R34" i="13"/>
  <c r="U143" i="13"/>
  <c r="W32" i="13"/>
  <c r="I144" i="13"/>
  <c r="N157" i="13"/>
  <c r="R161" i="13"/>
  <c r="U39" i="13"/>
  <c r="W152" i="13"/>
  <c r="Y158" i="13"/>
  <c r="U142" i="13"/>
  <c r="V33" i="13"/>
  <c r="J147" i="13"/>
  <c r="W43" i="13"/>
  <c r="H161" i="13"/>
  <c r="J160" i="13"/>
  <c r="K144" i="13"/>
  <c r="M161" i="13"/>
  <c r="O39" i="13"/>
  <c r="Q39" i="13"/>
  <c r="R155" i="13"/>
  <c r="T39" i="13"/>
  <c r="V141" i="13"/>
  <c r="Y154" i="13"/>
  <c r="I160" i="13"/>
  <c r="K148" i="13"/>
  <c r="L150" i="13"/>
  <c r="N37" i="13"/>
  <c r="P40" i="13"/>
  <c r="R158" i="13"/>
  <c r="I147" i="13"/>
  <c r="K161" i="13"/>
  <c r="M155" i="13"/>
  <c r="M146" i="13"/>
  <c r="Q31" i="13"/>
  <c r="S157" i="13"/>
  <c r="V31" i="13"/>
  <c r="Y150" i="13"/>
  <c r="I149" i="13"/>
  <c r="O34" i="13"/>
  <c r="R35" i="13"/>
  <c r="U42" i="13"/>
  <c r="W35" i="13"/>
  <c r="X153" i="13"/>
  <c r="M149" i="13"/>
  <c r="P143" i="13"/>
  <c r="S151" i="13"/>
  <c r="V155" i="13"/>
  <c r="Y143" i="13"/>
  <c r="M35" i="13"/>
  <c r="Y37" i="13"/>
  <c r="V146" i="13"/>
  <c r="X147" i="13"/>
  <c r="U157" i="13"/>
  <c r="Y144" i="13"/>
  <c r="H162" i="13"/>
  <c r="I140" i="13"/>
  <c r="J162" i="13"/>
  <c r="L163" i="13"/>
  <c r="M162" i="13"/>
  <c r="N162" i="13"/>
  <c r="P162" i="13"/>
  <c r="Q163" i="13"/>
  <c r="R163" i="13"/>
  <c r="T162" i="13"/>
  <c r="U163" i="13"/>
  <c r="V162" i="13"/>
  <c r="X140" i="13"/>
  <c r="Y140" i="13"/>
  <c r="I33" i="13"/>
  <c r="K146" i="13"/>
  <c r="L149" i="13"/>
  <c r="N151" i="13"/>
  <c r="P161" i="13"/>
  <c r="R146" i="13"/>
  <c r="S160" i="13"/>
  <c r="V144" i="13"/>
  <c r="Y34" i="13"/>
  <c r="I35" i="13"/>
  <c r="K36" i="13"/>
  <c r="L155" i="13"/>
  <c r="N40" i="13"/>
  <c r="P33" i="13"/>
  <c r="R141" i="13"/>
  <c r="I32" i="13"/>
  <c r="K160" i="13"/>
  <c r="H34" i="13"/>
  <c r="N141" i="13"/>
  <c r="R33" i="13"/>
  <c r="T43" i="13"/>
  <c r="W156" i="13"/>
  <c r="X141" i="13"/>
  <c r="M43" i="13"/>
  <c r="Q160" i="13"/>
  <c r="S37" i="13"/>
  <c r="V37" i="13"/>
  <c r="Y160" i="13"/>
  <c r="J35" i="13"/>
  <c r="O37" i="13"/>
  <c r="R40" i="13"/>
  <c r="U145" i="13"/>
  <c r="W151" i="13"/>
  <c r="X41" i="13"/>
  <c r="T32" i="13"/>
  <c r="O32" i="13"/>
  <c r="X156" i="13"/>
  <c r="M36" i="13"/>
  <c r="X155" i="13"/>
  <c r="H159" i="13"/>
  <c r="I38" i="13"/>
  <c r="K143" i="13"/>
  <c r="M147" i="13"/>
  <c r="O150" i="13"/>
  <c r="P38" i="13"/>
  <c r="R38" i="13"/>
  <c r="T31" i="13"/>
  <c r="V143" i="13"/>
  <c r="X146" i="13"/>
  <c r="I151" i="13"/>
  <c r="K152" i="13"/>
  <c r="M31" i="13"/>
  <c r="N41" i="13"/>
  <c r="Q153" i="13"/>
  <c r="H38" i="13"/>
  <c r="J155" i="13"/>
  <c r="L40" i="13"/>
  <c r="K34" i="13"/>
  <c r="O141" i="13"/>
  <c r="S141" i="13"/>
  <c r="U147" i="13"/>
  <c r="W143" i="13"/>
  <c r="Y33" i="13"/>
  <c r="M144" i="13"/>
  <c r="Q146" i="13"/>
  <c r="T148" i="13"/>
  <c r="V149" i="13"/>
  <c r="X36" i="13"/>
  <c r="J34" i="13"/>
  <c r="O143" i="13"/>
  <c r="R156" i="13"/>
  <c r="U36" i="13"/>
  <c r="W31" i="13"/>
  <c r="Y148" i="13"/>
  <c r="W41" i="13"/>
  <c r="S147" i="13"/>
  <c r="V42" i="13"/>
  <c r="T155" i="13"/>
  <c r="U31" i="13"/>
  <c r="I30" i="13"/>
  <c r="K33" i="13"/>
  <c r="M151" i="13"/>
  <c r="O144" i="13"/>
  <c r="Q143" i="13"/>
  <c r="R160" i="13"/>
  <c r="T156" i="13"/>
  <c r="V145" i="13"/>
  <c r="Y149" i="13"/>
  <c r="I41" i="13"/>
  <c r="J153" i="13"/>
  <c r="L156" i="13"/>
  <c r="N39" i="13"/>
  <c r="P31" i="13"/>
  <c r="R147" i="13"/>
  <c r="I161" i="13"/>
  <c r="K156" i="13"/>
  <c r="M38" i="13"/>
  <c r="M32" i="13"/>
  <c r="P155" i="13"/>
  <c r="S32" i="13"/>
  <c r="V161" i="13"/>
  <c r="Y152" i="13"/>
  <c r="K30" i="13"/>
  <c r="O160" i="13"/>
  <c r="S143" i="13"/>
  <c r="V147" i="13"/>
  <c r="Y43" i="13"/>
  <c r="J144" i="13"/>
  <c r="O156" i="13"/>
  <c r="S144" i="13"/>
  <c r="U155" i="13"/>
  <c r="Y142" i="13"/>
  <c r="K155" i="13"/>
  <c r="Y41" i="13"/>
  <c r="L147" i="13"/>
  <c r="O40" i="13"/>
  <c r="Y155" i="13"/>
  <c r="H158" i="13"/>
  <c r="J154" i="13"/>
  <c r="L37" i="13"/>
  <c r="N154" i="13"/>
  <c r="O154" i="13"/>
  <c r="Q38" i="13"/>
  <c r="S36" i="13"/>
  <c r="U30" i="13"/>
  <c r="V40" i="13"/>
  <c r="Y39" i="13"/>
  <c r="I36" i="13"/>
  <c r="K141" i="13"/>
  <c r="M33" i="13"/>
  <c r="O147" i="13"/>
  <c r="P148" i="13"/>
  <c r="H147" i="13"/>
  <c r="J156" i="13"/>
  <c r="K42" i="13"/>
  <c r="H35" i="13"/>
  <c r="N43" i="13"/>
  <c r="R151" i="13"/>
  <c r="T141" i="13"/>
  <c r="V156" i="13"/>
  <c r="Y157" i="13"/>
  <c r="K38" i="13"/>
  <c r="P154" i="13"/>
  <c r="S30" i="13"/>
  <c r="U150" i="13"/>
  <c r="W30" i="13"/>
  <c r="Y141" i="13"/>
  <c r="N148" i="13"/>
  <c r="Q152" i="13"/>
  <c r="T38" i="13"/>
  <c r="V151" i="13"/>
  <c r="X40" i="13"/>
  <c r="P152" i="13"/>
  <c r="H32" i="13"/>
  <c r="X37" i="13"/>
  <c r="L161" i="13"/>
  <c r="Y145" i="13"/>
  <c r="F10" i="8"/>
  <c r="J159" i="12"/>
  <c r="P143" i="12"/>
  <c r="M143" i="12" s="1"/>
  <c r="J167" i="12"/>
  <c r="P145" i="12"/>
  <c r="M145" i="12" s="1"/>
  <c r="J169" i="12"/>
  <c r="P146" i="12"/>
  <c r="M146" i="12" s="1"/>
  <c r="J177" i="12"/>
  <c r="AA43" i="10"/>
  <c r="AB43" i="10" s="1"/>
  <c r="AU43" i="10"/>
  <c r="AS260" i="10"/>
  <c r="AC260" i="10"/>
  <c r="AU261" i="10"/>
  <c r="AA261" i="10"/>
  <c r="AB261" i="10" s="1"/>
  <c r="AA259" i="10"/>
  <c r="AB259" i="10" s="1"/>
  <c r="AU259" i="10"/>
  <c r="AA268" i="10"/>
  <c r="AB268" i="10" s="1"/>
  <c r="AU268" i="10"/>
  <c r="AU254" i="10"/>
  <c r="AA254" i="10"/>
  <c r="AB254" i="10" s="1"/>
  <c r="AU123" i="10"/>
  <c r="AA123" i="10"/>
  <c r="AB123" i="10" s="1"/>
  <c r="AA132" i="10"/>
  <c r="AB132" i="10" s="1"/>
  <c r="AU132" i="10"/>
  <c r="AC90" i="10"/>
  <c r="AS90" i="10"/>
  <c r="AA111" i="10"/>
  <c r="AB111" i="10" s="1"/>
  <c r="AU111" i="10"/>
  <c r="AA97" i="10"/>
  <c r="AB97" i="10" s="1"/>
  <c r="AU97" i="10"/>
  <c r="AC249" i="10"/>
  <c r="AS249" i="10"/>
  <c r="AU51" i="10"/>
  <c r="AA51" i="10"/>
  <c r="AB51" i="10" s="1"/>
  <c r="AC101" i="10"/>
  <c r="AS101" i="10"/>
  <c r="AA263" i="10"/>
  <c r="AB263" i="10" s="1"/>
  <c r="AU263" i="10"/>
  <c r="AU157" i="10"/>
  <c r="AA157" i="10"/>
  <c r="AB157" i="10" s="1"/>
  <c r="AU250" i="10"/>
  <c r="AA250" i="10"/>
  <c r="AB250" i="10" s="1"/>
  <c r="AU93" i="10"/>
  <c r="AA93" i="10"/>
  <c r="AB93" i="10" s="1"/>
  <c r="AA40" i="10"/>
  <c r="AB40" i="10" s="1"/>
  <c r="AU40" i="10"/>
  <c r="AU293" i="10"/>
  <c r="AA293" i="10"/>
  <c r="AB293" i="10" s="1"/>
  <c r="AU131" i="10"/>
  <c r="AA131" i="10"/>
  <c r="AB131" i="10" s="1"/>
  <c r="AU289" i="10"/>
  <c r="AA289" i="10"/>
  <c r="AB289" i="10" s="1"/>
  <c r="AS61" i="10"/>
  <c r="AC61" i="10"/>
  <c r="AS276" i="10"/>
  <c r="AC276" i="10"/>
  <c r="AA133" i="10"/>
  <c r="AB133" i="10" s="1"/>
  <c r="AU133" i="10"/>
  <c r="AA251" i="10"/>
  <c r="AB251" i="10" s="1"/>
  <c r="AU251" i="10"/>
  <c r="AA53" i="10"/>
  <c r="AB53" i="10" s="1"/>
  <c r="AU53" i="10"/>
  <c r="AU275" i="10"/>
  <c r="AA275" i="10"/>
  <c r="AB275" i="10" s="1"/>
  <c r="AA201" i="1"/>
  <c r="AM201" i="1"/>
  <c r="T201" i="1"/>
  <c r="AN201" i="1" s="1"/>
  <c r="Y43" i="1"/>
  <c r="Z43" i="1" s="1"/>
  <c r="AO43" i="1"/>
  <c r="AA199" i="1"/>
  <c r="AM199" i="1"/>
  <c r="T199" i="1"/>
  <c r="AN199" i="1" s="1"/>
  <c r="AS310" i="10"/>
  <c r="AC310" i="10"/>
  <c r="AD20" i="11"/>
  <c r="AT20" i="11"/>
  <c r="AS76" i="10"/>
  <c r="AC76" i="10"/>
  <c r="AB71" i="11"/>
  <c r="AC71" i="11" s="1"/>
  <c r="AV71" i="11"/>
  <c r="AT46" i="11"/>
  <c r="AD46" i="11"/>
  <c r="H169" i="13"/>
  <c r="I171" i="13"/>
  <c r="J171" i="13"/>
  <c r="K171" i="13"/>
  <c r="L49" i="13"/>
  <c r="L167" i="13"/>
  <c r="M173" i="13"/>
  <c r="N174" i="13"/>
  <c r="O170" i="13"/>
  <c r="O169" i="13"/>
  <c r="P173" i="13"/>
  <c r="Q171" i="13"/>
  <c r="R180" i="13"/>
  <c r="S173" i="13"/>
  <c r="Z49" i="13"/>
  <c r="H166" i="13"/>
  <c r="I176" i="13"/>
  <c r="J166" i="13"/>
  <c r="K173" i="13"/>
  <c r="L171" i="13"/>
  <c r="L175" i="13"/>
  <c r="N165" i="13"/>
  <c r="N175" i="13"/>
  <c r="O172" i="13"/>
  <c r="O176" i="13"/>
  <c r="P180" i="13"/>
  <c r="Q168" i="13"/>
  <c r="R168" i="13"/>
  <c r="S168" i="13"/>
  <c r="S166" i="13"/>
  <c r="T170" i="13"/>
  <c r="U180" i="13"/>
  <c r="V178" i="13"/>
  <c r="W176" i="13"/>
  <c r="W174" i="13"/>
  <c r="X173" i="13"/>
  <c r="Y170" i="13"/>
  <c r="H165" i="13"/>
  <c r="I49" i="13"/>
  <c r="I172" i="13"/>
  <c r="J170" i="13"/>
  <c r="K174" i="13"/>
  <c r="L177" i="13"/>
  <c r="J178" i="13"/>
  <c r="L179" i="13"/>
  <c r="N176" i="13"/>
  <c r="O166" i="13"/>
  <c r="Q172" i="13"/>
  <c r="R181" i="13"/>
  <c r="T169" i="13"/>
  <c r="U177" i="13"/>
  <c r="V182" i="13"/>
  <c r="W181" i="13"/>
  <c r="X181" i="13"/>
  <c r="Y183" i="13"/>
  <c r="K182" i="13"/>
  <c r="M168" i="13"/>
  <c r="N178" i="13"/>
  <c r="P167" i="13"/>
  <c r="Q180" i="13"/>
  <c r="S183" i="13"/>
  <c r="T174" i="13"/>
  <c r="U183" i="13"/>
  <c r="V167" i="13"/>
  <c r="W179" i="13"/>
  <c r="X179" i="13"/>
  <c r="Y172" i="13"/>
  <c r="I169" i="13"/>
  <c r="L173" i="13"/>
  <c r="N169" i="13"/>
  <c r="P179" i="13"/>
  <c r="Q182" i="13"/>
  <c r="S172" i="13"/>
  <c r="T180" i="13"/>
  <c r="U178" i="13"/>
  <c r="V179" i="13"/>
  <c r="W165" i="13"/>
  <c r="X170" i="13"/>
  <c r="Y180" i="13"/>
  <c r="W169" i="13"/>
  <c r="S176" i="13"/>
  <c r="Y181" i="13"/>
  <c r="T49" i="13"/>
  <c r="L165" i="13"/>
  <c r="T165" i="13"/>
  <c r="O182" i="13"/>
  <c r="W182" i="13"/>
  <c r="S181" i="13"/>
  <c r="M172" i="13"/>
  <c r="Q48" i="13"/>
  <c r="X47" i="13"/>
  <c r="L47" i="13"/>
  <c r="O47" i="13"/>
  <c r="N47" i="13"/>
  <c r="V47" i="13"/>
  <c r="U47" i="13"/>
  <c r="M47" i="13"/>
  <c r="T48" i="13"/>
  <c r="S48" i="13"/>
  <c r="V45" i="13"/>
  <c r="W46" i="13"/>
  <c r="I45" i="13"/>
  <c r="K46" i="13"/>
  <c r="N46" i="13"/>
  <c r="K45" i="13"/>
  <c r="J46" i="13"/>
  <c r="J45" i="13"/>
  <c r="W170" i="13"/>
  <c r="H168" i="13"/>
  <c r="H172" i="13"/>
  <c r="I175" i="13"/>
  <c r="J182" i="13"/>
  <c r="K170" i="13"/>
  <c r="L166" i="13"/>
  <c r="L176" i="13"/>
  <c r="M170" i="13"/>
  <c r="N182" i="13"/>
  <c r="O178" i="13"/>
  <c r="P165" i="13"/>
  <c r="P169" i="13"/>
  <c r="Q170" i="13"/>
  <c r="R172" i="13"/>
  <c r="S167" i="13"/>
  <c r="H183" i="13"/>
  <c r="I167" i="13"/>
  <c r="I165" i="13"/>
  <c r="J176" i="13"/>
  <c r="K166" i="13"/>
  <c r="L181" i="13"/>
  <c r="M49" i="13"/>
  <c r="M176" i="13"/>
  <c r="N173" i="13"/>
  <c r="O49" i="13"/>
  <c r="O175" i="13"/>
  <c r="P49" i="13"/>
  <c r="Q173" i="13"/>
  <c r="R178" i="13"/>
  <c r="S177" i="13"/>
  <c r="T178" i="13"/>
  <c r="T172" i="13"/>
  <c r="U176" i="13"/>
  <c r="V183" i="13"/>
  <c r="W171" i="13"/>
  <c r="X176" i="13"/>
  <c r="Y49" i="13"/>
  <c r="Y171" i="13"/>
  <c r="H182" i="13"/>
  <c r="I168" i="13"/>
  <c r="J49" i="13"/>
  <c r="J177" i="13"/>
  <c r="K167" i="13"/>
  <c r="L182" i="13"/>
  <c r="J183" i="13"/>
  <c r="M167" i="13"/>
  <c r="N181" i="13"/>
  <c r="P178" i="13"/>
  <c r="Q179" i="13"/>
  <c r="S174" i="13"/>
  <c r="T171" i="13"/>
  <c r="U182" i="13"/>
  <c r="V168" i="13"/>
  <c r="X183" i="13"/>
  <c r="Y165" i="13"/>
  <c r="H174" i="13"/>
  <c r="K178" i="13"/>
  <c r="M171" i="13"/>
  <c r="O171" i="13"/>
  <c r="P183" i="13"/>
  <c r="R173" i="13"/>
  <c r="S169" i="13"/>
  <c r="T167" i="13"/>
  <c r="U171" i="13"/>
  <c r="V176" i="13"/>
  <c r="W180" i="13"/>
  <c r="X168" i="13"/>
  <c r="Y175" i="13"/>
  <c r="J179" i="13"/>
  <c r="M165" i="13"/>
  <c r="O183" i="13"/>
  <c r="P172" i="13"/>
  <c r="R174" i="13"/>
  <c r="S180" i="13"/>
  <c r="T183" i="13"/>
  <c r="U174" i="13"/>
  <c r="V172" i="13"/>
  <c r="W166" i="13"/>
  <c r="X177" i="13"/>
  <c r="Y177" i="13"/>
  <c r="V171" i="13"/>
  <c r="N170" i="13"/>
  <c r="X165" i="13"/>
  <c r="R171" i="13"/>
  <c r="I180" i="13"/>
  <c r="X169" i="13"/>
  <c r="S182" i="13"/>
  <c r="M177" i="13"/>
  <c r="V173" i="13"/>
  <c r="Q166" i="13"/>
  <c r="K165" i="13"/>
  <c r="Y48" i="13"/>
  <c r="X48" i="13"/>
  <c r="R47" i="13"/>
  <c r="W48" i="13"/>
  <c r="V48" i="13"/>
  <c r="P47" i="13"/>
  <c r="K47" i="13"/>
  <c r="N48" i="13"/>
  <c r="I48" i="13"/>
  <c r="H45" i="13"/>
  <c r="P45" i="13"/>
  <c r="O45" i="13"/>
  <c r="Q45" i="13"/>
  <c r="S45" i="13"/>
  <c r="U46" i="13"/>
  <c r="O46" i="13"/>
  <c r="M45" i="13"/>
  <c r="X46" i="13"/>
  <c r="O177" i="13"/>
  <c r="H176" i="13"/>
  <c r="H167" i="13"/>
  <c r="I182" i="13"/>
  <c r="J169" i="13"/>
  <c r="K175" i="13"/>
  <c r="L170" i="13"/>
  <c r="M169" i="13"/>
  <c r="M181" i="13"/>
  <c r="N179" i="13"/>
  <c r="O167" i="13"/>
  <c r="P174" i="13"/>
  <c r="Q181" i="13"/>
  <c r="Q178" i="13"/>
  <c r="R175" i="13"/>
  <c r="S175" i="13"/>
  <c r="H178" i="13"/>
  <c r="I174" i="13"/>
  <c r="J175" i="13"/>
  <c r="J167" i="13"/>
  <c r="K168" i="13"/>
  <c r="L183" i="13"/>
  <c r="M182" i="13"/>
  <c r="M183" i="13"/>
  <c r="N172" i="13"/>
  <c r="P170" i="13"/>
  <c r="P166" i="13"/>
  <c r="Q49" i="13"/>
  <c r="Q167" i="13"/>
  <c r="R182" i="13"/>
  <c r="S178" i="13"/>
  <c r="T179" i="13"/>
  <c r="U49" i="13"/>
  <c r="U166" i="13"/>
  <c r="V169" i="13"/>
  <c r="W178" i="13"/>
  <c r="X171" i="13"/>
  <c r="Y167" i="13"/>
  <c r="Y166" i="13"/>
  <c r="H170" i="13"/>
  <c r="I173" i="13"/>
  <c r="J168" i="13"/>
  <c r="J174" i="13"/>
  <c r="K179" i="13"/>
  <c r="H173" i="13"/>
  <c r="K181" i="13"/>
  <c r="M180" i="13"/>
  <c r="O179" i="13"/>
  <c r="P176" i="13"/>
  <c r="R49" i="13"/>
  <c r="S49" i="13"/>
  <c r="U173" i="13"/>
  <c r="V165" i="13"/>
  <c r="W183" i="13"/>
  <c r="X180" i="13"/>
  <c r="Y169" i="13"/>
  <c r="I178" i="13"/>
  <c r="L174" i="13"/>
  <c r="M174" i="13"/>
  <c r="O173" i="13"/>
  <c r="Q177" i="13"/>
  <c r="R177" i="13"/>
  <c r="S179" i="13"/>
  <c r="T166" i="13"/>
  <c r="U179" i="13"/>
  <c r="V170" i="13"/>
  <c r="W172" i="13"/>
  <c r="X174" i="13"/>
  <c r="H177" i="13"/>
  <c r="K49" i="13"/>
  <c r="M179" i="13"/>
  <c r="O168" i="13"/>
  <c r="Q169" i="13"/>
  <c r="R170" i="13"/>
  <c r="S165" i="13"/>
  <c r="T168" i="13"/>
  <c r="V49" i="13"/>
  <c r="W49" i="13"/>
  <c r="X167" i="13"/>
  <c r="Y179" i="13"/>
  <c r="Y176" i="13"/>
  <c r="U167" i="13"/>
  <c r="J165" i="13"/>
  <c r="V181" i="13"/>
  <c r="Q183" i="13"/>
  <c r="W167" i="13"/>
  <c r="R179" i="13"/>
  <c r="L172" i="13"/>
  <c r="Y174" i="13"/>
  <c r="U169" i="13"/>
  <c r="P177" i="13"/>
  <c r="Y47" i="13"/>
  <c r="O48" i="13"/>
  <c r="U48" i="13"/>
  <c r="P48" i="13"/>
  <c r="J47" i="13"/>
  <c r="R48" i="13"/>
  <c r="S47" i="13"/>
  <c r="H48" i="13"/>
  <c r="L46" i="13"/>
  <c r="N45" i="13"/>
  <c r="S46" i="13"/>
  <c r="U45" i="13"/>
  <c r="V46" i="13"/>
  <c r="Y46" i="13"/>
  <c r="L45" i="13"/>
  <c r="T46" i="13"/>
  <c r="T45" i="13"/>
  <c r="W45" i="13"/>
  <c r="R45" i="13"/>
  <c r="H171" i="13"/>
  <c r="I170" i="13"/>
  <c r="I179" i="13"/>
  <c r="J181" i="13"/>
  <c r="K177" i="13"/>
  <c r="L180" i="13"/>
  <c r="M166" i="13"/>
  <c r="N168" i="13"/>
  <c r="N171" i="13"/>
  <c r="P181" i="13"/>
  <c r="P168" i="13"/>
  <c r="R166" i="13"/>
  <c r="R169" i="13"/>
  <c r="R167" i="13"/>
  <c r="H49" i="13"/>
  <c r="H181" i="13"/>
  <c r="I177" i="13"/>
  <c r="J180" i="13"/>
  <c r="K169" i="13"/>
  <c r="K172" i="13"/>
  <c r="L169" i="13"/>
  <c r="M178" i="13"/>
  <c r="N166" i="13"/>
  <c r="N167" i="13"/>
  <c r="O181" i="13"/>
  <c r="P182" i="13"/>
  <c r="Q175" i="13"/>
  <c r="Q174" i="13"/>
  <c r="R165" i="13"/>
  <c r="S171" i="13"/>
  <c r="T175" i="13"/>
  <c r="U165" i="13"/>
  <c r="U181" i="13"/>
  <c r="V175" i="13"/>
  <c r="W175" i="13"/>
  <c r="X178" i="13"/>
  <c r="Y178" i="13"/>
  <c r="H179" i="13"/>
  <c r="H180" i="13"/>
  <c r="I166" i="13"/>
  <c r="J173" i="13"/>
  <c r="K183" i="13"/>
  <c r="K176" i="13"/>
  <c r="I183" i="13"/>
  <c r="L168" i="13"/>
  <c r="M175" i="13"/>
  <c r="O165" i="13"/>
  <c r="P171" i="13"/>
  <c r="R176" i="13"/>
  <c r="T182" i="13"/>
  <c r="U175" i="13"/>
  <c r="V180" i="13"/>
  <c r="W177" i="13"/>
  <c r="X166" i="13"/>
  <c r="Y173" i="13"/>
  <c r="J172" i="13"/>
  <c r="L178" i="13"/>
  <c r="N180" i="13"/>
  <c r="O180" i="13"/>
  <c r="Q165" i="13"/>
  <c r="R183" i="13"/>
  <c r="T177" i="13"/>
  <c r="U168" i="13"/>
  <c r="V166" i="13"/>
  <c r="W168" i="13"/>
  <c r="X172" i="13"/>
  <c r="Y168" i="13"/>
  <c r="H175" i="13"/>
  <c r="K180" i="13"/>
  <c r="N183" i="13"/>
  <c r="O174" i="13"/>
  <c r="Q176" i="13"/>
  <c r="S170" i="13"/>
  <c r="T173" i="13"/>
  <c r="U170" i="13"/>
  <c r="V177" i="13"/>
  <c r="W173" i="13"/>
  <c r="X49" i="13"/>
  <c r="Y182" i="13"/>
  <c r="X175" i="13"/>
  <c r="T181" i="13"/>
  <c r="U172" i="13"/>
  <c r="N177" i="13"/>
  <c r="V174" i="13"/>
  <c r="P175" i="13"/>
  <c r="I181" i="13"/>
  <c r="X182" i="13"/>
  <c r="T176" i="13"/>
  <c r="N49" i="13"/>
  <c r="Q47" i="13"/>
  <c r="W47" i="13"/>
  <c r="K48" i="13"/>
  <c r="T47" i="13"/>
  <c r="J48" i="13"/>
  <c r="M48" i="13"/>
  <c r="L48" i="13"/>
  <c r="I47" i="13"/>
  <c r="H47" i="13"/>
  <c r="Q46" i="13"/>
  <c r="P46" i="13"/>
  <c r="X45" i="13"/>
  <c r="Y45" i="13"/>
  <c r="I46" i="13"/>
  <c r="H46" i="13"/>
  <c r="R46" i="13"/>
  <c r="M46" i="13"/>
  <c r="AB15" i="11"/>
  <c r="AC15" i="11" s="1"/>
  <c r="AV15" i="11"/>
  <c r="AB22" i="11"/>
  <c r="AC22" i="11" s="1"/>
  <c r="AV22" i="11"/>
  <c r="AC129" i="10"/>
  <c r="AS129" i="10"/>
  <c r="AS134" i="10"/>
  <c r="AC134" i="10"/>
  <c r="AA262" i="10"/>
  <c r="AB262" i="10" s="1"/>
  <c r="AU262" i="10"/>
  <c r="AA137" i="10"/>
  <c r="AB137" i="10" s="1"/>
  <c r="AU137" i="10"/>
  <c r="AS287" i="10"/>
  <c r="AC287" i="10"/>
  <c r="AA265" i="10"/>
  <c r="AB265" i="10" s="1"/>
  <c r="AU265" i="10"/>
  <c r="AC307" i="10"/>
  <c r="AS307" i="10"/>
  <c r="AS243" i="10"/>
  <c r="AC243" i="10"/>
  <c r="AA58" i="10"/>
  <c r="AB58" i="10" s="1"/>
  <c r="AU58" i="10"/>
  <c r="AS63" i="10"/>
  <c r="AC63" i="10"/>
  <c r="AS60" i="10"/>
  <c r="AC60" i="10"/>
  <c r="AU96" i="10"/>
  <c r="AA96" i="10"/>
  <c r="AB96" i="10" s="1"/>
  <c r="AC274" i="10"/>
  <c r="AS274" i="10"/>
  <c r="AU294" i="10"/>
  <c r="AA294" i="10"/>
  <c r="AB294" i="10" s="1"/>
  <c r="AS57" i="10"/>
  <c r="AC57" i="10"/>
  <c r="AA271" i="10"/>
  <c r="AB271" i="10" s="1"/>
  <c r="AU271" i="10"/>
  <c r="AA159" i="10"/>
  <c r="AB159" i="10" s="1"/>
  <c r="AU159" i="10"/>
  <c r="AC120" i="10"/>
  <c r="AS120" i="10"/>
  <c r="AS139" i="10"/>
  <c r="AC139" i="10"/>
  <c r="AA84" i="1"/>
  <c r="AM84" i="1"/>
  <c r="T84" i="1"/>
  <c r="AN84" i="1" s="1"/>
  <c r="Y162" i="1"/>
  <c r="Z162" i="1" s="1"/>
  <c r="AO162" i="1"/>
  <c r="AT23" i="11"/>
  <c r="AD23" i="11"/>
  <c r="AC49" i="10"/>
  <c r="AS49" i="10"/>
  <c r="AC45" i="10"/>
  <c r="AS45" i="10"/>
  <c r="AS119" i="10"/>
  <c r="AC119" i="10"/>
  <c r="AC98" i="10"/>
  <c r="AS98" i="10"/>
  <c r="AU255" i="10"/>
  <c r="AA255" i="10"/>
  <c r="AB255" i="10" s="1"/>
  <c r="AU105" i="10"/>
  <c r="AA105" i="10"/>
  <c r="AB105" i="10" s="1"/>
  <c r="AS117" i="10"/>
  <c r="AC117" i="10"/>
  <c r="AA62" i="10"/>
  <c r="AB62" i="10" s="1"/>
  <c r="AU62" i="10"/>
  <c r="AA80" i="10"/>
  <c r="AB80" i="10" s="1"/>
  <c r="AU80" i="10"/>
  <c r="AA67" i="10"/>
  <c r="AB67" i="10" s="1"/>
  <c r="AU67" i="10"/>
  <c r="AC290" i="10"/>
  <c r="AS290" i="10"/>
  <c r="AA279" i="10"/>
  <c r="AB279" i="10" s="1"/>
  <c r="AU279" i="10"/>
  <c r="AU277" i="10"/>
  <c r="AA277" i="10"/>
  <c r="AB277" i="10" s="1"/>
  <c r="AU248" i="10"/>
  <c r="AA248" i="10"/>
  <c r="AB248" i="10" s="1"/>
  <c r="AU245" i="10"/>
  <c r="AA245" i="10"/>
  <c r="AB245" i="10" s="1"/>
  <c r="AU241" i="10"/>
  <c r="AA241" i="10"/>
  <c r="AB241" i="10" s="1"/>
  <c r="AA88" i="10"/>
  <c r="AB88" i="10" s="1"/>
  <c r="AU88" i="10"/>
  <c r="AU100" i="10"/>
  <c r="AA100" i="10"/>
  <c r="AB100" i="10" s="1"/>
  <c r="T44" i="1"/>
  <c r="AN44" i="1" s="1"/>
  <c r="AA44" i="1"/>
  <c r="AM44" i="1"/>
  <c r="AA122" i="1"/>
  <c r="AM122" i="1"/>
  <c r="T122" i="1"/>
  <c r="AN122" i="1" s="1"/>
  <c r="AM83" i="1"/>
  <c r="T83" i="1"/>
  <c r="AN83" i="1" s="1"/>
  <c r="AA83" i="1"/>
  <c r="AD16" i="11"/>
  <c r="AT16" i="11"/>
  <c r="V8" i="14"/>
  <c r="W8" i="14" s="1"/>
  <c r="G12" i="8"/>
  <c r="J217" i="12"/>
  <c r="L223" i="12"/>
  <c r="I223" i="12"/>
  <c r="I217" i="12"/>
  <c r="K226" i="12"/>
  <c r="J235" i="12"/>
  <c r="G226" i="12"/>
  <c r="G234" i="12"/>
  <c r="G217" i="12"/>
  <c r="K227" i="12"/>
  <c r="H220" i="12"/>
  <c r="F229" i="12"/>
  <c r="G218" i="12"/>
  <c r="L227" i="12"/>
  <c r="L219" i="12"/>
  <c r="J233" i="12"/>
  <c r="J222" i="12"/>
  <c r="I220" i="12"/>
  <c r="G224" i="12"/>
  <c r="F231" i="12"/>
  <c r="F228" i="12"/>
  <c r="K218" i="12"/>
  <c r="L231" i="12"/>
  <c r="H225" i="12"/>
  <c r="F220" i="12"/>
  <c r="K215" i="12"/>
  <c r="J226" i="12"/>
  <c r="F217" i="12"/>
  <c r="F221" i="12"/>
  <c r="H215" i="12"/>
  <c r="I235" i="12"/>
  <c r="F233" i="12"/>
  <c r="J216" i="12"/>
  <c r="I226" i="12"/>
  <c r="F218" i="12"/>
  <c r="L232" i="12"/>
  <c r="K219" i="12"/>
  <c r="F226" i="12"/>
  <c r="J228" i="12"/>
  <c r="H217" i="12"/>
  <c r="F25" i="12"/>
  <c r="X239" i="13"/>
  <c r="U232" i="13"/>
  <c r="U236" i="13"/>
  <c r="W234" i="13"/>
  <c r="H232" i="13"/>
  <c r="X234" i="13"/>
  <c r="M238" i="13"/>
  <c r="M239" i="13"/>
  <c r="K238" i="13"/>
  <c r="Q234" i="13"/>
  <c r="W242" i="13"/>
  <c r="P240" i="13"/>
  <c r="Y242" i="13"/>
  <c r="R237" i="13"/>
  <c r="T236" i="13"/>
  <c r="I236" i="13"/>
  <c r="Y233" i="13"/>
  <c r="S234" i="13"/>
  <c r="V236" i="13"/>
  <c r="V238" i="13"/>
  <c r="Q236" i="13"/>
  <c r="U238" i="13"/>
  <c r="R242" i="13"/>
  <c r="Q237" i="13"/>
  <c r="S236" i="13"/>
  <c r="V235" i="13"/>
  <c r="X232" i="13"/>
  <c r="N234" i="13"/>
  <c r="V232" i="13"/>
  <c r="O233" i="13"/>
  <c r="M232" i="13"/>
  <c r="L235" i="13"/>
  <c r="L241" i="13"/>
  <c r="I240" i="13"/>
  <c r="W238" i="13"/>
  <c r="U237" i="13"/>
  <c r="P239" i="13"/>
  <c r="K239" i="13"/>
  <c r="T237" i="13"/>
  <c r="U233" i="13"/>
  <c r="O232" i="13"/>
  <c r="Y239" i="13"/>
  <c r="T238" i="13"/>
  <c r="V241" i="13"/>
  <c r="O241" i="13"/>
  <c r="N242" i="13"/>
  <c r="X240" i="13"/>
  <c r="O242" i="13"/>
  <c r="X242" i="13"/>
  <c r="AB19" i="11"/>
  <c r="AC19" i="11" s="1"/>
  <c r="AV19" i="11"/>
  <c r="AU44" i="10"/>
  <c r="AA44" i="10"/>
  <c r="AB44" i="10" s="1"/>
  <c r="AA156" i="10"/>
  <c r="AB156" i="10" s="1"/>
  <c r="AU156" i="10"/>
  <c r="AC256" i="10"/>
  <c r="AS256" i="10"/>
  <c r="AU39" i="10"/>
  <c r="AA39" i="10"/>
  <c r="AB39" i="10" s="1"/>
  <c r="AU121" i="10"/>
  <c r="AA121" i="10"/>
  <c r="AB121" i="10" s="1"/>
  <c r="AS155" i="10"/>
  <c r="AC155" i="10"/>
  <c r="AU298" i="10"/>
  <c r="AA298" i="10"/>
  <c r="AB298" i="10" s="1"/>
  <c r="AA54" i="10"/>
  <c r="AB54" i="10" s="1"/>
  <c r="AU54" i="10"/>
  <c r="AS125" i="10"/>
  <c r="AC125" i="10"/>
  <c r="AC72" i="10"/>
  <c r="AS72" i="10"/>
  <c r="AA122" i="10"/>
  <c r="AB122" i="10" s="1"/>
  <c r="AU122" i="10"/>
  <c r="AS272" i="10"/>
  <c r="AC272" i="10"/>
  <c r="AA70" i="10"/>
  <c r="AB70" i="10" s="1"/>
  <c r="AU70" i="10"/>
  <c r="AU106" i="10"/>
  <c r="AA106" i="10"/>
  <c r="AB106" i="10" s="1"/>
  <c r="AC33" i="10"/>
  <c r="AS33" i="10"/>
  <c r="AC126" i="10"/>
  <c r="AS126" i="10"/>
  <c r="AA89" i="10"/>
  <c r="AB89" i="10" s="1"/>
  <c r="AU89" i="10"/>
  <c r="AU102" i="10"/>
  <c r="AA102" i="10"/>
  <c r="AB102" i="10" s="1"/>
  <c r="AS281" i="10"/>
  <c r="AC281" i="10"/>
  <c r="AC257" i="10"/>
  <c r="AS257" i="10"/>
  <c r="AS246" i="10"/>
  <c r="AC246" i="10"/>
  <c r="AA138" i="10"/>
  <c r="AB138" i="10" s="1"/>
  <c r="AU138" i="10"/>
  <c r="AU42" i="10"/>
  <c r="AA42" i="10"/>
  <c r="AB42" i="10" s="1"/>
  <c r="AS32" i="10"/>
  <c r="AC32" i="10"/>
  <c r="AA92" i="10"/>
  <c r="AB92" i="10" s="1"/>
  <c r="AU92" i="10"/>
  <c r="AA291" i="10"/>
  <c r="AB291" i="10" s="1"/>
  <c r="AU291" i="10"/>
  <c r="AU302" i="10"/>
  <c r="AA302" i="10"/>
  <c r="AB302" i="10" s="1"/>
  <c r="Y163" i="1"/>
  <c r="Z163" i="1" s="1"/>
  <c r="AO163" i="1"/>
  <c r="P26" i="5"/>
  <c r="L26" i="5" s="1"/>
  <c r="E14" i="8"/>
  <c r="E13" i="8"/>
  <c r="I118" i="12"/>
  <c r="J118" i="12" s="1"/>
  <c r="I128" i="12"/>
  <c r="J128" i="12" s="1"/>
  <c r="N108" i="12"/>
  <c r="L108" i="12" s="1"/>
  <c r="I117" i="12"/>
  <c r="J117" i="12" s="1"/>
  <c r="N100" i="12"/>
  <c r="L100" i="12" s="1"/>
  <c r="N106" i="12"/>
  <c r="L106" i="12" s="1"/>
  <c r="I119" i="12"/>
  <c r="J119" i="12" s="1"/>
  <c r="N105" i="12"/>
  <c r="L105" i="12" s="1"/>
  <c r="I120" i="12"/>
  <c r="J120" i="12" s="1"/>
  <c r="P107" i="12"/>
  <c r="M107" i="12" s="1"/>
  <c r="F11" i="8"/>
  <c r="F12" i="8"/>
  <c r="J168" i="12"/>
  <c r="J171" i="12"/>
  <c r="L143" i="12"/>
  <c r="L147" i="12"/>
  <c r="J164" i="12"/>
  <c r="J170" i="12"/>
  <c r="L146" i="12"/>
  <c r="P149" i="12"/>
  <c r="M149" i="12" s="1"/>
  <c r="AC43" i="10"/>
  <c r="AS43" i="10"/>
  <c r="AU260" i="10"/>
  <c r="AA260" i="10"/>
  <c r="AB260" i="10" s="1"/>
  <c r="AC261" i="10"/>
  <c r="AS261" i="10"/>
  <c r="AS259" i="10"/>
  <c r="AC259" i="10"/>
  <c r="AS268" i="10"/>
  <c r="AC268" i="10"/>
  <c r="AC254" i="10"/>
  <c r="AS254" i="10"/>
  <c r="AC123" i="10"/>
  <c r="AS123" i="10"/>
  <c r="AS132" i="10"/>
  <c r="AC132" i="10"/>
  <c r="AU90" i="10"/>
  <c r="AA90" i="10"/>
  <c r="AB90" i="10" s="1"/>
  <c r="AS111" i="10"/>
  <c r="AC111" i="10"/>
  <c r="AS97" i="10"/>
  <c r="AC97" i="10"/>
  <c r="AU249" i="10"/>
  <c r="AA249" i="10"/>
  <c r="AB249" i="10" s="1"/>
  <c r="AC51" i="10"/>
  <c r="AS51" i="10"/>
  <c r="AU101" i="10"/>
  <c r="AA101" i="10"/>
  <c r="AB101" i="10" s="1"/>
  <c r="AS263" i="10"/>
  <c r="AC263" i="10"/>
  <c r="AS157" i="10"/>
  <c r="AC157" i="10"/>
  <c r="AC250" i="10"/>
  <c r="AS250" i="10"/>
  <c r="AS93" i="10"/>
  <c r="AC93" i="10"/>
  <c r="AS40" i="10"/>
  <c r="AC40" i="10"/>
  <c r="AC293" i="10"/>
  <c r="AS293" i="10"/>
  <c r="AS131" i="10"/>
  <c r="AC131" i="10"/>
  <c r="AS289" i="10"/>
  <c r="AC289" i="10"/>
  <c r="AU61" i="10"/>
  <c r="AA61" i="10"/>
  <c r="AB61" i="10" s="1"/>
  <c r="AA276" i="10"/>
  <c r="AB276" i="10" s="1"/>
  <c r="AU276" i="10"/>
  <c r="AC133" i="10"/>
  <c r="AS133" i="10"/>
  <c r="AS251" i="10"/>
  <c r="AC251" i="10"/>
  <c r="AC53" i="10"/>
  <c r="AS53" i="10"/>
  <c r="AS275" i="10"/>
  <c r="AC275" i="10"/>
  <c r="AO201" i="1"/>
  <c r="Y201" i="1"/>
  <c r="Z201" i="1" s="1"/>
  <c r="T43" i="1"/>
  <c r="AN43" i="1" s="1"/>
  <c r="AM43" i="1"/>
  <c r="AA43" i="1"/>
  <c r="AD21" i="11"/>
  <c r="AT21" i="11"/>
  <c r="AD49" i="11"/>
  <c r="AT49" i="11"/>
  <c r="AB46" i="11"/>
  <c r="AC46" i="11" s="1"/>
  <c r="AV46" i="11"/>
  <c r="AD15" i="11"/>
  <c r="AT15" i="11"/>
  <c r="F9" i="8"/>
  <c r="AT22" i="11"/>
  <c r="AD22" i="11"/>
  <c r="AA129" i="10"/>
  <c r="AB129" i="10" s="1"/>
  <c r="AU129" i="10"/>
  <c r="AU134" i="10"/>
  <c r="AA134" i="10"/>
  <c r="AB134" i="10" s="1"/>
  <c r="AS262" i="10"/>
  <c r="AC262" i="10"/>
  <c r="AS137" i="10"/>
  <c r="AC137" i="10"/>
  <c r="AU287" i="10"/>
  <c r="AA287" i="10"/>
  <c r="AB287" i="10" s="1"/>
  <c r="AS265" i="10"/>
  <c r="AC265" i="10"/>
  <c r="AU307" i="10"/>
  <c r="AA307" i="10"/>
  <c r="AB307" i="10" s="1"/>
  <c r="AU243" i="10"/>
  <c r="AA243" i="10"/>
  <c r="AB243" i="10" s="1"/>
  <c r="AS58" i="10"/>
  <c r="AC58" i="10"/>
  <c r="AA63" i="10"/>
  <c r="AB63" i="10" s="1"/>
  <c r="AU63" i="10"/>
  <c r="AU60" i="10"/>
  <c r="AA60" i="10"/>
  <c r="AB60" i="10" s="1"/>
  <c r="AS96" i="10"/>
  <c r="AC96" i="10"/>
  <c r="AU274" i="10"/>
  <c r="AA274" i="10"/>
  <c r="AB274" i="10" s="1"/>
  <c r="AC294" i="10"/>
  <c r="AS294" i="10"/>
  <c r="AU57" i="10"/>
  <c r="AA57" i="10"/>
  <c r="AB57" i="10" s="1"/>
  <c r="AC271" i="10"/>
  <c r="AS271" i="10"/>
  <c r="AS159" i="10"/>
  <c r="AC159" i="10"/>
  <c r="AU120" i="10"/>
  <c r="AA120" i="10"/>
  <c r="AB120" i="10" s="1"/>
  <c r="AU139" i="10"/>
  <c r="AA139" i="10"/>
  <c r="AB139" i="10" s="1"/>
  <c r="AA162" i="1"/>
  <c r="AM162" i="1"/>
  <c r="T162" i="1"/>
  <c r="AN162" i="1" s="1"/>
  <c r="AS29" i="10"/>
  <c r="AC29" i="10"/>
  <c r="AA29" i="10"/>
  <c r="AB29" i="10" s="1"/>
  <c r="N28" i="5"/>
  <c r="N30" i="5"/>
  <c r="N26" i="5"/>
  <c r="N25" i="5"/>
  <c r="O25" i="5" s="1"/>
  <c r="N27" i="5"/>
  <c r="N29" i="5"/>
  <c r="E9" i="8"/>
  <c r="AV23" i="11"/>
  <c r="AB23" i="11"/>
  <c r="AC23" i="11" s="1"/>
  <c r="Z5" i="1"/>
  <c r="AA49" i="10"/>
  <c r="AB49" i="10" s="1"/>
  <c r="AU49" i="10"/>
  <c r="AU45" i="10"/>
  <c r="AA45" i="10"/>
  <c r="AB45" i="10" s="1"/>
  <c r="AA119" i="10"/>
  <c r="AB119" i="10" s="1"/>
  <c r="AU119" i="10"/>
  <c r="AA98" i="10"/>
  <c r="AB98" i="10" s="1"/>
  <c r="AU98" i="10"/>
  <c r="AC255" i="10"/>
  <c r="AS255" i="10"/>
  <c r="AS105" i="10"/>
  <c r="AC105" i="10"/>
  <c r="AU117" i="10"/>
  <c r="AA117" i="10"/>
  <c r="AB117" i="10" s="1"/>
  <c r="AC62" i="10"/>
  <c r="AS62" i="10"/>
  <c r="AS80" i="10"/>
  <c r="AC80" i="10"/>
  <c r="AC67" i="10"/>
  <c r="AS67" i="10"/>
  <c r="AA290" i="10"/>
  <c r="AB290" i="10" s="1"/>
  <c r="AU290" i="10"/>
  <c r="AC279" i="10"/>
  <c r="AS279" i="10"/>
  <c r="AS277" i="10"/>
  <c r="AC277" i="10"/>
  <c r="AC248" i="10"/>
  <c r="AS248" i="10"/>
  <c r="AC245" i="10"/>
  <c r="AS245" i="10"/>
  <c r="AC241" i="10"/>
  <c r="AS241" i="10"/>
  <c r="AS88" i="10"/>
  <c r="AC88" i="10"/>
  <c r="AC100" i="10"/>
  <c r="AS100" i="10"/>
  <c r="Y124" i="1"/>
  <c r="Z124" i="1" s="1"/>
  <c r="AO124" i="1"/>
  <c r="Y122" i="1"/>
  <c r="Z122" i="1" s="1"/>
  <c r="AO122" i="1"/>
  <c r="AO83" i="1"/>
  <c r="Y83" i="1"/>
  <c r="Z83" i="1" s="1"/>
  <c r="AV16" i="11"/>
  <c r="AB16" i="11"/>
  <c r="AC16" i="11" s="1"/>
  <c r="G13" i="8"/>
  <c r="K225" i="12"/>
  <c r="K217" i="12"/>
  <c r="H233" i="12"/>
  <c r="G233" i="12"/>
  <c r="I233" i="12"/>
  <c r="F227" i="12"/>
  <c r="I232" i="12"/>
  <c r="H227" i="12"/>
  <c r="G221" i="12"/>
  <c r="G231" i="12"/>
  <c r="F15" i="12"/>
  <c r="L225" i="12"/>
  <c r="I218" i="12"/>
  <c r="I219" i="12"/>
  <c r="J227" i="12"/>
  <c r="I222" i="12"/>
  <c r="H232" i="12"/>
  <c r="I224" i="12"/>
  <c r="J234" i="12"/>
  <c r="G215" i="12"/>
  <c r="G227" i="12"/>
  <c r="H236" i="12"/>
  <c r="F224" i="12"/>
  <c r="H228" i="12"/>
  <c r="J223" i="12"/>
  <c r="L234" i="12"/>
  <c r="H221" i="12"/>
  <c r="H219" i="12"/>
  <c r="I230" i="12"/>
  <c r="F225" i="12"/>
  <c r="F219" i="12"/>
  <c r="H229" i="12"/>
  <c r="L228" i="12"/>
  <c r="I221" i="12"/>
  <c r="H234" i="12"/>
  <c r="F216" i="12"/>
  <c r="F235" i="12"/>
  <c r="K235" i="12"/>
  <c r="I215" i="12"/>
  <c r="H224" i="12"/>
  <c r="I229" i="12"/>
  <c r="F21" i="12"/>
  <c r="F17" i="12" s="1"/>
  <c r="M235" i="13"/>
  <c r="K234" i="13"/>
  <c r="R239" i="13"/>
  <c r="Q239" i="13"/>
  <c r="R234" i="13"/>
  <c r="L233" i="13"/>
  <c r="T235" i="13"/>
  <c r="L236" i="13"/>
  <c r="J235" i="13"/>
  <c r="S240" i="13"/>
  <c r="W240" i="13"/>
  <c r="P236" i="13"/>
  <c r="R235" i="13"/>
  <c r="N233" i="13"/>
  <c r="K235" i="13"/>
  <c r="M233" i="13"/>
  <c r="T233" i="13"/>
  <c r="W237" i="13"/>
  <c r="K232" i="13"/>
  <c r="H241" i="13"/>
  <c r="J241" i="13"/>
  <c r="H242" i="13"/>
  <c r="L242" i="13"/>
  <c r="J239" i="13"/>
  <c r="O236" i="13"/>
  <c r="Q235" i="13"/>
  <c r="R236" i="13"/>
  <c r="I232" i="13"/>
  <c r="N232" i="13"/>
  <c r="H233" i="13"/>
  <c r="M237" i="13"/>
  <c r="M234" i="13"/>
  <c r="N241" i="13"/>
  <c r="T240" i="13"/>
  <c r="U241" i="13"/>
  <c r="U242" i="13"/>
  <c r="L240" i="13"/>
  <c r="S242" i="13"/>
  <c r="Q232" i="13"/>
  <c r="O235" i="13"/>
  <c r="P234" i="13"/>
  <c r="Q233" i="13"/>
  <c r="Y238" i="13"/>
  <c r="R233" i="13"/>
  <c r="I233" i="13"/>
  <c r="S232" i="13"/>
  <c r="N238" i="13"/>
  <c r="K240" i="13"/>
  <c r="Y240" i="13"/>
  <c r="J242" i="13"/>
  <c r="W241" i="13"/>
  <c r="I241" i="13"/>
  <c r="AT32" i="11"/>
  <c r="AD32" i="11"/>
  <c r="AA292" i="10"/>
  <c r="AB292" i="10" s="1"/>
  <c r="AU292" i="10"/>
  <c r="AS114" i="10"/>
  <c r="AC114" i="10"/>
  <c r="AS103" i="10"/>
  <c r="AC103" i="10"/>
  <c r="AU158" i="10"/>
  <c r="AA158" i="10"/>
  <c r="AB158" i="10" s="1"/>
  <c r="AU284" i="10"/>
  <c r="AA284" i="10"/>
  <c r="AB284" i="10" s="1"/>
  <c r="AA283" i="10"/>
  <c r="AB283" i="10" s="1"/>
  <c r="AU283" i="10"/>
  <c r="AS130" i="10"/>
  <c r="AC130" i="10"/>
  <c r="AC77" i="10"/>
  <c r="AS77" i="10"/>
  <c r="AU99" i="10"/>
  <c r="AA99" i="10"/>
  <c r="AB99" i="10" s="1"/>
  <c r="AA304" i="10"/>
  <c r="AB304" i="10" s="1"/>
  <c r="AU304" i="10"/>
  <c r="AU266" i="10"/>
  <c r="AA266" i="10"/>
  <c r="AB266" i="10" s="1"/>
  <c r="AA141" i="10"/>
  <c r="AB141" i="10" s="1"/>
  <c r="AU141" i="10"/>
  <c r="AU109" i="10"/>
  <c r="AA109" i="10"/>
  <c r="AB109" i="10" s="1"/>
  <c r="AU309" i="10"/>
  <c r="AA309" i="10"/>
  <c r="AB309" i="10" s="1"/>
  <c r="AC247" i="10"/>
  <c r="AS247" i="10"/>
  <c r="AA136" i="10"/>
  <c r="AB136" i="10" s="1"/>
  <c r="AU136" i="10"/>
  <c r="AS59" i="10"/>
  <c r="AC59" i="10"/>
  <c r="AA285" i="10"/>
  <c r="AB285" i="10" s="1"/>
  <c r="AU285" i="10"/>
  <c r="AA269" i="10"/>
  <c r="AB269" i="10" s="1"/>
  <c r="AU269" i="10"/>
  <c r="AU31" i="10"/>
  <c r="AA31" i="10"/>
  <c r="AB31" i="10" s="1"/>
  <c r="AC81" i="10"/>
  <c r="AS81" i="10"/>
  <c r="AU78" i="10"/>
  <c r="AA78" i="10"/>
  <c r="AB78" i="10" s="1"/>
  <c r="AA163" i="10"/>
  <c r="AB163" i="10" s="1"/>
  <c r="AU163" i="10"/>
  <c r="AS264" i="10"/>
  <c r="AC264" i="10"/>
  <c r="AC46" i="10"/>
  <c r="AS46" i="10"/>
  <c r="T164" i="1"/>
  <c r="AN164" i="1" s="1"/>
  <c r="AA164" i="1"/>
  <c r="AM164" i="1"/>
  <c r="AA163" i="1"/>
  <c r="AM163" i="1"/>
  <c r="T163" i="1"/>
  <c r="AN163" i="1" s="1"/>
  <c r="P27" i="5"/>
  <c r="L27" i="5" s="1"/>
  <c r="P28" i="5"/>
  <c r="L28" i="5" s="1"/>
  <c r="E11" i="8"/>
  <c r="N103" i="12"/>
  <c r="L103" i="12" s="1"/>
  <c r="I127" i="12"/>
  <c r="J127" i="12" s="1"/>
  <c r="P102" i="12"/>
  <c r="M102" i="12" s="1"/>
  <c r="P108" i="12"/>
  <c r="M108" i="12" s="1"/>
  <c r="P104" i="12"/>
  <c r="M104" i="12" s="1"/>
  <c r="I133" i="12"/>
  <c r="J133" i="12" s="1"/>
  <c r="P100" i="12"/>
  <c r="M100" i="12" s="1"/>
  <c r="P103" i="12"/>
  <c r="M103" i="12" s="1"/>
  <c r="I121" i="12"/>
  <c r="J121" i="12" s="1"/>
  <c r="F13" i="8"/>
  <c r="P144" i="12"/>
  <c r="M144" i="12" s="1"/>
  <c r="J166" i="12"/>
  <c r="P152" i="12"/>
  <c r="M152" i="12" s="1"/>
  <c r="P151" i="12"/>
  <c r="M151" i="12" s="1"/>
  <c r="P150" i="12"/>
  <c r="M150" i="12" s="1"/>
  <c r="J165" i="12"/>
  <c r="P142" i="12"/>
  <c r="J163" i="12"/>
  <c r="J176" i="12"/>
  <c r="AT51" i="11"/>
  <c r="AD51" i="11"/>
  <c r="AU48" i="10"/>
  <c r="AA48" i="10"/>
  <c r="AB48" i="10" s="1"/>
  <c r="AS124" i="10"/>
  <c r="AC124" i="10"/>
  <c r="AU305" i="10"/>
  <c r="AA305" i="10"/>
  <c r="AB305" i="10" s="1"/>
  <c r="AS288" i="10"/>
  <c r="AC288" i="10"/>
  <c r="AA240" i="10"/>
  <c r="AB240" i="10" s="1"/>
  <c r="AU240" i="10"/>
  <c r="AU84" i="10"/>
  <c r="AA84" i="10"/>
  <c r="AB84" i="10" s="1"/>
  <c r="AA306" i="10"/>
  <c r="AB306" i="10" s="1"/>
  <c r="AU306" i="10"/>
  <c r="AA164" i="10"/>
  <c r="AB164" i="10" s="1"/>
  <c r="AU164" i="10"/>
  <c r="AA300" i="10"/>
  <c r="AB300" i="10" s="1"/>
  <c r="AU300" i="10"/>
  <c r="AS87" i="10"/>
  <c r="AC87" i="10"/>
  <c r="AC83" i="10"/>
  <c r="AS83" i="10"/>
  <c r="AA282" i="10"/>
  <c r="AB282" i="10" s="1"/>
  <c r="AU282" i="10"/>
  <c r="AU278" i="10"/>
  <c r="AA278" i="10"/>
  <c r="AB278" i="10" s="1"/>
  <c r="AC116" i="10"/>
  <c r="AS116" i="10"/>
  <c r="AU41" i="10"/>
  <c r="AA41" i="10"/>
  <c r="AB41" i="10" s="1"/>
  <c r="AU286" i="10"/>
  <c r="AA286" i="10"/>
  <c r="AB286" i="10" s="1"/>
  <c r="AS68" i="10"/>
  <c r="AC68" i="10"/>
  <c r="AA142" i="10"/>
  <c r="AB142" i="10" s="1"/>
  <c r="AU142" i="10"/>
  <c r="AC135" i="10"/>
  <c r="AS135" i="10"/>
  <c r="AA37" i="10"/>
  <c r="AB37" i="10" s="1"/>
  <c r="AU37" i="10"/>
  <c r="AS267" i="10"/>
  <c r="AC267" i="10"/>
  <c r="AC50" i="10"/>
  <c r="AS50" i="10"/>
  <c r="AC36" i="10"/>
  <c r="AS36" i="10"/>
  <c r="AS95" i="10"/>
  <c r="AC95" i="10"/>
  <c r="AU107" i="10"/>
  <c r="AA107" i="10"/>
  <c r="AB107" i="10" s="1"/>
  <c r="AC75" i="10"/>
  <c r="AS75" i="10"/>
  <c r="AU303" i="10"/>
  <c r="AA303" i="10"/>
  <c r="AB303" i="10" s="1"/>
  <c r="AA161" i="10"/>
  <c r="AB161" i="10" s="1"/>
  <c r="AU161" i="10"/>
  <c r="AV21" i="11"/>
  <c r="AB21" i="11"/>
  <c r="AC21" i="11" s="1"/>
  <c r="AV49" i="11"/>
  <c r="AB49" i="11"/>
  <c r="AC49" i="11" s="1"/>
  <c r="AS110" i="10"/>
  <c r="AC110" i="10"/>
  <c r="AS118" i="10"/>
  <c r="AC118" i="10"/>
  <c r="AS299" i="10"/>
  <c r="AC299" i="10"/>
  <c r="AC86" i="10"/>
  <c r="AS86" i="10"/>
  <c r="AC273" i="10"/>
  <c r="AS273" i="10"/>
  <c r="AC104" i="10"/>
  <c r="AS104" i="10"/>
  <c r="AC38" i="10"/>
  <c r="AS38" i="10"/>
  <c r="AS65" i="10"/>
  <c r="AC65" i="10"/>
  <c r="AU280" i="10"/>
  <c r="AA280" i="10"/>
  <c r="AB280" i="10" s="1"/>
  <c r="AS113" i="10"/>
  <c r="AC113" i="10"/>
  <c r="AC115" i="10"/>
  <c r="AS115" i="10"/>
  <c r="AS69" i="10"/>
  <c r="AC69" i="10"/>
  <c r="AU47" i="10"/>
  <c r="AA47" i="10"/>
  <c r="AB47" i="10" s="1"/>
  <c r="AA52" i="10"/>
  <c r="AB52" i="10" s="1"/>
  <c r="AU52" i="10"/>
  <c r="AS64" i="10"/>
  <c r="AC64" i="10"/>
  <c r="AC160" i="10"/>
  <c r="AS160" i="10"/>
  <c r="AC167" i="10"/>
  <c r="AS167" i="10"/>
  <c r="AC91" i="10"/>
  <c r="AS91" i="10"/>
  <c r="AU165" i="10"/>
  <c r="AA165" i="10"/>
  <c r="AB165" i="10" s="1"/>
  <c r="AC297" i="10"/>
  <c r="AS297" i="10"/>
  <c r="AU244" i="10"/>
  <c r="AA244" i="10"/>
  <c r="AB244" i="10" s="1"/>
  <c r="AC56" i="10"/>
  <c r="AS56" i="10"/>
  <c r="AU79" i="10"/>
  <c r="AA79" i="10"/>
  <c r="AB79" i="10" s="1"/>
  <c r="AS296" i="10"/>
  <c r="AC296" i="10"/>
  <c r="AA55" i="10"/>
  <c r="AB55" i="10" s="1"/>
  <c r="AU55" i="10"/>
  <c r="Y123" i="1"/>
  <c r="Z123" i="1" s="1"/>
  <c r="AO123" i="1"/>
  <c r="AB17" i="11"/>
  <c r="AC17" i="11" s="1"/>
  <c r="AV17" i="11"/>
  <c r="AB18" i="11"/>
  <c r="AC18" i="11" s="1"/>
  <c r="AV18" i="11"/>
  <c r="M77" i="16"/>
  <c r="AU166" i="10"/>
  <c r="AA166" i="10"/>
  <c r="AB166" i="10" s="1"/>
  <c r="AA140" i="10"/>
  <c r="AB140" i="10" s="1"/>
  <c r="AU140" i="10"/>
  <c r="AU127" i="10"/>
  <c r="AA127" i="10"/>
  <c r="AB127" i="10" s="1"/>
  <c r="AU82" i="10"/>
  <c r="AA82" i="10"/>
  <c r="AB82" i="10" s="1"/>
  <c r="AC301" i="10"/>
  <c r="AS301" i="10"/>
  <c r="AU85" i="10"/>
  <c r="AA85" i="10"/>
  <c r="AB85" i="10" s="1"/>
  <c r="AU94" i="10"/>
  <c r="AA94" i="10"/>
  <c r="AB94" i="10" s="1"/>
  <c r="AU308" i="10"/>
  <c r="AA308" i="10"/>
  <c r="AB308" i="10" s="1"/>
  <c r="AA73" i="10"/>
  <c r="AB73" i="10" s="1"/>
  <c r="AU73" i="10"/>
  <c r="AU253" i="10"/>
  <c r="AA253" i="10"/>
  <c r="AB253" i="10" s="1"/>
  <c r="AU108" i="10"/>
  <c r="AA108" i="10"/>
  <c r="AB108" i="10" s="1"/>
  <c r="AU112" i="10"/>
  <c r="AA112" i="10"/>
  <c r="AB112" i="10" s="1"/>
  <c r="AA162" i="10"/>
  <c r="AB162" i="10" s="1"/>
  <c r="AU162" i="10"/>
  <c r="AC270" i="10"/>
  <c r="AS270" i="10"/>
  <c r="AA295" i="10"/>
  <c r="AB295" i="10" s="1"/>
  <c r="AU295" i="10"/>
  <c r="AU252" i="10"/>
  <c r="AA252" i="10"/>
  <c r="AB252" i="10" s="1"/>
  <c r="AA34" i="10"/>
  <c r="AB34" i="10" s="1"/>
  <c r="AU34" i="10"/>
  <c r="AA35" i="10"/>
  <c r="AB35" i="10" s="1"/>
  <c r="AU35" i="10"/>
  <c r="AA242" i="10"/>
  <c r="AB242" i="10" s="1"/>
  <c r="AU242" i="10"/>
  <c r="AU258" i="10"/>
  <c r="AA258" i="10"/>
  <c r="AB258" i="10" s="1"/>
  <c r="AC66" i="10"/>
  <c r="AS66" i="10"/>
  <c r="AS128" i="10"/>
  <c r="AC128" i="10"/>
  <c r="AC71" i="10"/>
  <c r="AS71" i="10"/>
  <c r="T200" i="1"/>
  <c r="AN200" i="1" s="1"/>
  <c r="AA200" i="1"/>
  <c r="AM200" i="1"/>
  <c r="AM124" i="1"/>
  <c r="T124" i="1"/>
  <c r="AN124" i="1" s="1"/>
  <c r="AA124" i="1"/>
  <c r="Y42" i="1"/>
  <c r="Z42" i="1" s="1"/>
  <c r="AO42" i="1"/>
  <c r="G14" i="8"/>
  <c r="K228" i="12"/>
  <c r="F222" i="12"/>
  <c r="L236" i="12"/>
  <c r="G222" i="12"/>
  <c r="K214" i="12"/>
  <c r="I227" i="12"/>
  <c r="L229" i="12"/>
  <c r="H214" i="12"/>
  <c r="K232" i="12"/>
  <c r="K223" i="12"/>
  <c r="J225" i="12"/>
  <c r="I214" i="12"/>
  <c r="F230" i="12"/>
  <c r="J224" i="12"/>
  <c r="F232" i="12"/>
  <c r="G236" i="12"/>
  <c r="G229" i="12"/>
  <c r="G219" i="12"/>
  <c r="J215" i="12"/>
  <c r="L217" i="12"/>
  <c r="F16" i="12"/>
  <c r="G225" i="12"/>
  <c r="K216" i="12"/>
  <c r="L224" i="12"/>
  <c r="F214" i="12"/>
  <c r="K221" i="12"/>
  <c r="G216" i="12"/>
  <c r="L235" i="12"/>
  <c r="L233" i="12"/>
  <c r="L226" i="12"/>
  <c r="J229" i="12"/>
  <c r="I231" i="12"/>
  <c r="G228" i="12"/>
  <c r="F236" i="12"/>
  <c r="L222" i="12"/>
  <c r="K229" i="12"/>
  <c r="H216" i="12"/>
  <c r="G230" i="12"/>
  <c r="K230" i="12"/>
  <c r="J230" i="12"/>
  <c r="J236" i="12"/>
  <c r="W235" i="13"/>
  <c r="P233" i="13"/>
  <c r="O234" i="13"/>
  <c r="I234" i="13"/>
  <c r="T234" i="13"/>
  <c r="I237" i="13"/>
  <c r="U234" i="13"/>
  <c r="X235" i="13"/>
  <c r="M236" i="13"/>
  <c r="T242" i="13"/>
  <c r="X238" i="13"/>
  <c r="V237" i="13"/>
  <c r="H239" i="13"/>
  <c r="V233" i="13"/>
  <c r="H238" i="13"/>
  <c r="P235" i="13"/>
  <c r="H236" i="13"/>
  <c r="O239" i="13"/>
  <c r="X237" i="13"/>
  <c r="P242" i="13"/>
  <c r="M240" i="13"/>
  <c r="N235" i="13"/>
  <c r="L234" i="13"/>
  <c r="L239" i="13"/>
  <c r="J232" i="13"/>
  <c r="Y237" i="13"/>
  <c r="V234" i="13"/>
  <c r="P232" i="13"/>
  <c r="S239" i="13"/>
  <c r="Y236" i="13"/>
  <c r="T241" i="13"/>
  <c r="L237" i="13"/>
  <c r="N236" i="13"/>
  <c r="S237" i="13"/>
  <c r="W233" i="13"/>
  <c r="X236" i="13"/>
  <c r="O237" i="13"/>
  <c r="P238" i="13"/>
  <c r="Y232" i="13"/>
  <c r="O238" i="13"/>
  <c r="Q240" i="13"/>
  <c r="Q241" i="13"/>
  <c r="V240" i="13"/>
  <c r="V242" i="13"/>
  <c r="I242" i="13"/>
  <c r="N240" i="13"/>
  <c r="Q242" i="13"/>
  <c r="AV32" i="11"/>
  <c r="AB32" i="11"/>
  <c r="AC32" i="11" s="1"/>
  <c r="AS292" i="10"/>
  <c r="AC292" i="10"/>
  <c r="AA114" i="10"/>
  <c r="AB114" i="10" s="1"/>
  <c r="AU114" i="10"/>
  <c r="AU103" i="10"/>
  <c r="AA103" i="10"/>
  <c r="AB103" i="10" s="1"/>
  <c r="AC158" i="10"/>
  <c r="AS158" i="10"/>
  <c r="AS284" i="10"/>
  <c r="AC284" i="10"/>
  <c r="AS283" i="10"/>
  <c r="AC283" i="10"/>
  <c r="AA130" i="10"/>
  <c r="AB130" i="10" s="1"/>
  <c r="AU130" i="10"/>
  <c r="AU77" i="10"/>
  <c r="AA77" i="10"/>
  <c r="AB77" i="10" s="1"/>
  <c r="AS99" i="10"/>
  <c r="AC99" i="10"/>
  <c r="AS304" i="10"/>
  <c r="AC304" i="10"/>
  <c r="AC266" i="10"/>
  <c r="AS266" i="10"/>
  <c r="AC141" i="10"/>
  <c r="AS141" i="10"/>
  <c r="AS109" i="10"/>
  <c r="AC109" i="10"/>
  <c r="AS309" i="10"/>
  <c r="AC309" i="10"/>
  <c r="AU247" i="10"/>
  <c r="AA247" i="10"/>
  <c r="AB247" i="10" s="1"/>
  <c r="AS136" i="10"/>
  <c r="AC136" i="10"/>
  <c r="AU59" i="10"/>
  <c r="AA59" i="10"/>
  <c r="AB59" i="10" s="1"/>
  <c r="AS285" i="10"/>
  <c r="AC285" i="10"/>
  <c r="AS269" i="10"/>
  <c r="AC269" i="10"/>
  <c r="AC31" i="10"/>
  <c r="AS31" i="10"/>
  <c r="AU81" i="10"/>
  <c r="AA81" i="10"/>
  <c r="AB81" i="10" s="1"/>
  <c r="AS78" i="10"/>
  <c r="AC78" i="10"/>
  <c r="AS163" i="10"/>
  <c r="AC163" i="10"/>
  <c r="AU264" i="10"/>
  <c r="AA264" i="10"/>
  <c r="AB264" i="10" s="1"/>
  <c r="AU46" i="10"/>
  <c r="AA46" i="10"/>
  <c r="AB46" i="10" s="1"/>
  <c r="AO164" i="1"/>
  <c r="Y164" i="1"/>
  <c r="Z164" i="1" s="1"/>
  <c r="Y82" i="1"/>
  <c r="Z82" i="1" s="1"/>
  <c r="AO82" i="1"/>
  <c r="V248" i="13"/>
  <c r="R248" i="13"/>
  <c r="O248" i="13"/>
  <c r="H248" i="13"/>
  <c r="AS30" i="10"/>
  <c r="AC30" i="10"/>
  <c r="P25" i="5"/>
  <c r="P29" i="5"/>
  <c r="L29" i="5" s="1"/>
  <c r="E12" i="8"/>
  <c r="I123" i="12"/>
  <c r="J123" i="12" s="1"/>
  <c r="N98" i="12"/>
  <c r="P105" i="12"/>
  <c r="M105" i="12" s="1"/>
  <c r="P99" i="12"/>
  <c r="M99" i="12" s="1"/>
  <c r="I129" i="12"/>
  <c r="J129" i="12" s="1"/>
  <c r="N104" i="12"/>
  <c r="L104" i="12" s="1"/>
  <c r="I125" i="12"/>
  <c r="J125" i="12" s="1"/>
  <c r="N102" i="12"/>
  <c r="L102" i="12" s="1"/>
  <c r="I124" i="12"/>
  <c r="J124" i="12" s="1"/>
  <c r="AT313" i="11"/>
  <c r="AD313" i="11"/>
  <c r="AT47" i="11"/>
  <c r="AD47" i="11"/>
  <c r="F14" i="8"/>
  <c r="J161" i="12"/>
  <c r="J174" i="12"/>
  <c r="J173" i="12"/>
  <c r="J162" i="12"/>
  <c r="P148" i="12"/>
  <c r="M148" i="12" s="1"/>
  <c r="J160" i="12"/>
  <c r="J175" i="12"/>
  <c r="L149" i="12"/>
  <c r="L148" i="12"/>
  <c r="P147" i="12"/>
  <c r="M147" i="12" s="1"/>
  <c r="AB51" i="11"/>
  <c r="AC51" i="11" s="1"/>
  <c r="AV51" i="11"/>
  <c r="AS48" i="10"/>
  <c r="AC48" i="10"/>
  <c r="AA124" i="10"/>
  <c r="AB124" i="10" s="1"/>
  <c r="AU124" i="10"/>
  <c r="AS305" i="10"/>
  <c r="AC305" i="10"/>
  <c r="AA288" i="10"/>
  <c r="AB288" i="10" s="1"/>
  <c r="AU288" i="10"/>
  <c r="AC240" i="10"/>
  <c r="AS240" i="10"/>
  <c r="AC84" i="10"/>
  <c r="AS84" i="10"/>
  <c r="AC306" i="10"/>
  <c r="AS306" i="10"/>
  <c r="AS164" i="10"/>
  <c r="AC164" i="10"/>
  <c r="AC300" i="10"/>
  <c r="AS300" i="10"/>
  <c r="AU87" i="10"/>
  <c r="AA87" i="10"/>
  <c r="AB87" i="10" s="1"/>
  <c r="AA83" i="10"/>
  <c r="AB83" i="10" s="1"/>
  <c r="AU83" i="10"/>
  <c r="AC282" i="10"/>
  <c r="AS282" i="10"/>
  <c r="AS278" i="10"/>
  <c r="AC278" i="10"/>
  <c r="AU116" i="10"/>
  <c r="AA116" i="10"/>
  <c r="AB116" i="10" s="1"/>
  <c r="AC41" i="10"/>
  <c r="AS41" i="10"/>
  <c r="AC286" i="10"/>
  <c r="AS286" i="10"/>
  <c r="AA68" i="10"/>
  <c r="AB68" i="10" s="1"/>
  <c r="AU68" i="10"/>
  <c r="AC142" i="10"/>
  <c r="AS142" i="10"/>
  <c r="AU135" i="10"/>
  <c r="AA135" i="10"/>
  <c r="AB135" i="10" s="1"/>
  <c r="AS37" i="10"/>
  <c r="AC37" i="10"/>
  <c r="AA267" i="10"/>
  <c r="AB267" i="10" s="1"/>
  <c r="AU267" i="10"/>
  <c r="AA50" i="10"/>
  <c r="AB50" i="10" s="1"/>
  <c r="AU50" i="10"/>
  <c r="AA36" i="10"/>
  <c r="AB36" i="10" s="1"/>
  <c r="AU36" i="10"/>
  <c r="AA95" i="10"/>
  <c r="AB95" i="10" s="1"/>
  <c r="AU95" i="10"/>
  <c r="AS107" i="10"/>
  <c r="AC107" i="10"/>
  <c r="AU75" i="10"/>
  <c r="AA75" i="10"/>
  <c r="AB75" i="10" s="1"/>
  <c r="AS303" i="10"/>
  <c r="AC303" i="10"/>
  <c r="AS161" i="10"/>
  <c r="AC161" i="10"/>
  <c r="AO199" i="1"/>
  <c r="Y199" i="1"/>
  <c r="Z199" i="1" s="1"/>
  <c r="AU310" i="10"/>
  <c r="AA310" i="10"/>
  <c r="AB310" i="10" s="1"/>
  <c r="AV20" i="11"/>
  <c r="AB20" i="11"/>
  <c r="AC20" i="11" s="1"/>
  <c r="AU76" i="10"/>
  <c r="AA76" i="10"/>
  <c r="AB76" i="10" s="1"/>
  <c r="AT71" i="11"/>
  <c r="AD71" i="11"/>
  <c r="AN5" i="1"/>
  <c r="AU110" i="10"/>
  <c r="AA110" i="10"/>
  <c r="AB110" i="10" s="1"/>
  <c r="AA118" i="10"/>
  <c r="AB118" i="10" s="1"/>
  <c r="AU118" i="10"/>
  <c r="AA299" i="10"/>
  <c r="AB299" i="10" s="1"/>
  <c r="AU299" i="10"/>
  <c r="AU86" i="10"/>
  <c r="AA86" i="10"/>
  <c r="AB86" i="10" s="1"/>
  <c r="AA273" i="10"/>
  <c r="AB273" i="10" s="1"/>
  <c r="AU273" i="10"/>
  <c r="AA104" i="10"/>
  <c r="AB104" i="10" s="1"/>
  <c r="AU104" i="10"/>
  <c r="AA38" i="10"/>
  <c r="AB38" i="10" s="1"/>
  <c r="AU38" i="10"/>
  <c r="AA65" i="10"/>
  <c r="AB65" i="10" s="1"/>
  <c r="AU65" i="10"/>
  <c r="AC280" i="10"/>
  <c r="AS280" i="10"/>
  <c r="AU113" i="10"/>
  <c r="AA113" i="10"/>
  <c r="AB113" i="10" s="1"/>
  <c r="AA115" i="10"/>
  <c r="AB115" i="10" s="1"/>
  <c r="AU115" i="10"/>
  <c r="AU69" i="10"/>
  <c r="AA69" i="10"/>
  <c r="AB69" i="10" s="1"/>
  <c r="AC47" i="10"/>
  <c r="AS47" i="10"/>
  <c r="AS52" i="10"/>
  <c r="AC52" i="10"/>
  <c r="AA64" i="10"/>
  <c r="AB64" i="10" s="1"/>
  <c r="AU64" i="10"/>
  <c r="AU160" i="10"/>
  <c r="AA160" i="10"/>
  <c r="AB160" i="10" s="1"/>
  <c r="AU167" i="10"/>
  <c r="AA167" i="10"/>
  <c r="AB167" i="10" s="1"/>
  <c r="AU91" i="10"/>
  <c r="AA91" i="10"/>
  <c r="AB91" i="10" s="1"/>
  <c r="AC165" i="10"/>
  <c r="AS165" i="10"/>
  <c r="AU297" i="10"/>
  <c r="AA297" i="10"/>
  <c r="AB297" i="10" s="1"/>
  <c r="AC244" i="10"/>
  <c r="AS244" i="10"/>
  <c r="AA56" i="10"/>
  <c r="AB56" i="10" s="1"/>
  <c r="AU56" i="10"/>
  <c r="AC79" i="10"/>
  <c r="AS79" i="10"/>
  <c r="AA296" i="10"/>
  <c r="AB296" i="10" s="1"/>
  <c r="AU296" i="10"/>
  <c r="AC55" i="10"/>
  <c r="AS55" i="10"/>
  <c r="AO84" i="1"/>
  <c r="Y84" i="1"/>
  <c r="Z84" i="1" s="1"/>
  <c r="T123" i="1"/>
  <c r="AN123" i="1" s="1"/>
  <c r="AA123" i="1"/>
  <c r="AM123" i="1"/>
  <c r="I134" i="13"/>
  <c r="I116" i="13"/>
  <c r="I133" i="13"/>
  <c r="J129" i="13"/>
  <c r="J136" i="13"/>
  <c r="J134" i="13"/>
  <c r="K131" i="13"/>
  <c r="H133" i="13"/>
  <c r="K130" i="13"/>
  <c r="K129" i="13"/>
  <c r="K133" i="13"/>
  <c r="L134" i="13"/>
  <c r="L138" i="13"/>
  <c r="L116" i="13"/>
  <c r="M116" i="13"/>
  <c r="M138" i="13"/>
  <c r="M132" i="13"/>
  <c r="N132" i="13"/>
  <c r="N134" i="13"/>
  <c r="N130" i="13"/>
  <c r="O137" i="13"/>
  <c r="O132" i="13"/>
  <c r="O134" i="13"/>
  <c r="P138" i="13"/>
  <c r="P131" i="13"/>
  <c r="P116" i="13"/>
  <c r="Q115" i="13"/>
  <c r="Q133" i="13"/>
  <c r="Q135" i="13"/>
  <c r="R135" i="13"/>
  <c r="R131" i="13"/>
  <c r="R115" i="13"/>
  <c r="S115" i="13"/>
  <c r="S130" i="13"/>
  <c r="S129" i="13"/>
  <c r="T115" i="13"/>
  <c r="T136" i="13"/>
  <c r="T116" i="13"/>
  <c r="U134" i="13"/>
  <c r="U129" i="13"/>
  <c r="U132" i="13"/>
  <c r="V130" i="13"/>
  <c r="V132" i="13"/>
  <c r="V138" i="13"/>
  <c r="W115" i="13"/>
  <c r="W136" i="13"/>
  <c r="W138" i="13"/>
  <c r="X115" i="13"/>
  <c r="X130" i="13"/>
  <c r="X116" i="13"/>
  <c r="Y130" i="13"/>
  <c r="Y115" i="13"/>
  <c r="Y136" i="13"/>
  <c r="I28" i="13"/>
  <c r="K17" i="13"/>
  <c r="M118" i="13"/>
  <c r="P24" i="13"/>
  <c r="J21" i="13"/>
  <c r="L126" i="13"/>
  <c r="O22" i="13"/>
  <c r="H122" i="13"/>
  <c r="K122" i="13"/>
  <c r="N123" i="13"/>
  <c r="I20" i="13"/>
  <c r="J26" i="13"/>
  <c r="M23" i="13"/>
  <c r="P18" i="13"/>
  <c r="H125" i="13"/>
  <c r="K117" i="13"/>
  <c r="N18" i="13"/>
  <c r="Q128" i="13"/>
  <c r="H25" i="13"/>
  <c r="L25" i="13"/>
  <c r="O26" i="13"/>
  <c r="R125" i="13"/>
  <c r="U124" i="13"/>
  <c r="W22" i="13"/>
  <c r="Y125" i="13"/>
  <c r="T23" i="13"/>
  <c r="W23" i="13"/>
  <c r="S18" i="13"/>
  <c r="I115" i="13"/>
  <c r="I137" i="13"/>
  <c r="I136" i="13"/>
  <c r="J115" i="13"/>
  <c r="J131" i="13"/>
  <c r="J135" i="13"/>
  <c r="H129" i="13"/>
  <c r="K134" i="13"/>
  <c r="H136" i="13"/>
  <c r="K116" i="13"/>
  <c r="H137" i="13"/>
  <c r="K135" i="13"/>
  <c r="L129" i="13"/>
  <c r="L136" i="13"/>
  <c r="L130" i="13"/>
  <c r="M133" i="13"/>
  <c r="M134" i="13"/>
  <c r="M130" i="13"/>
  <c r="N135" i="13"/>
  <c r="N133" i="13"/>
  <c r="N115" i="13"/>
  <c r="O131" i="13"/>
  <c r="O136" i="13"/>
  <c r="O135" i="13"/>
  <c r="P129" i="13"/>
  <c r="P135" i="13"/>
  <c r="P136" i="13"/>
  <c r="Q132" i="13"/>
  <c r="Q130" i="13"/>
  <c r="Q129" i="13"/>
  <c r="R137" i="13"/>
  <c r="R133" i="13"/>
  <c r="R132" i="13"/>
  <c r="S136" i="13"/>
  <c r="S138" i="13"/>
  <c r="S131" i="13"/>
  <c r="T137" i="13"/>
  <c r="T129" i="13"/>
  <c r="T134" i="13"/>
  <c r="U137" i="13"/>
  <c r="U130" i="13"/>
  <c r="U116" i="13"/>
  <c r="V135" i="13"/>
  <c r="V136" i="13"/>
  <c r="V134" i="13"/>
  <c r="W131" i="13"/>
  <c r="W134" i="13"/>
  <c r="W130" i="13"/>
  <c r="X133" i="13"/>
  <c r="X135" i="13"/>
  <c r="X137" i="13"/>
  <c r="Y135" i="13"/>
  <c r="Y131" i="13"/>
  <c r="Y134" i="13"/>
  <c r="H118" i="13"/>
  <c r="I123" i="13"/>
  <c r="K26" i="13"/>
  <c r="N127" i="13"/>
  <c r="I120" i="13"/>
  <c r="H24" i="13"/>
  <c r="M121" i="13"/>
  <c r="P120" i="13"/>
  <c r="J27" i="13"/>
  <c r="L27" i="13"/>
  <c r="N28" i="13"/>
  <c r="I26" i="13"/>
  <c r="K18" i="13"/>
  <c r="N26" i="13"/>
  <c r="P22" i="13"/>
  <c r="H127" i="13"/>
  <c r="L125" i="13"/>
  <c r="O23" i="13"/>
  <c r="Q22" i="13"/>
  <c r="J121" i="13"/>
  <c r="M125" i="13"/>
  <c r="O122" i="13"/>
  <c r="S26" i="13"/>
  <c r="U20" i="13"/>
  <c r="Y119" i="13"/>
  <c r="R124" i="13"/>
  <c r="T21" i="13"/>
  <c r="X121" i="13"/>
  <c r="T123" i="13"/>
  <c r="V17" i="13"/>
  <c r="Y127" i="13"/>
  <c r="S123" i="13"/>
  <c r="V18" i="13"/>
  <c r="Y23" i="13"/>
  <c r="I23" i="13"/>
  <c r="J126" i="13"/>
  <c r="M22" i="13"/>
  <c r="O120" i="13"/>
  <c r="H124" i="13"/>
  <c r="L119" i="13"/>
  <c r="N25" i="13"/>
  <c r="O21" i="13"/>
  <c r="H20" i="13"/>
  <c r="L24" i="13"/>
  <c r="O124" i="13"/>
  <c r="I24" i="13"/>
  <c r="L20" i="13"/>
  <c r="P127" i="13"/>
  <c r="U127" i="13"/>
  <c r="X123" i="13"/>
  <c r="R22" i="13"/>
  <c r="V22" i="13"/>
  <c r="S119" i="13"/>
  <c r="W24" i="13"/>
  <c r="R120" i="13"/>
  <c r="U25" i="13"/>
  <c r="X128" i="13"/>
  <c r="Y26" i="13"/>
  <c r="H26" i="13"/>
  <c r="P17" i="13"/>
  <c r="H126" i="13"/>
  <c r="M21" i="13"/>
  <c r="P118" i="13"/>
  <c r="H121" i="13"/>
  <c r="N23" i="13"/>
  <c r="R17" i="13"/>
  <c r="U118" i="13"/>
  <c r="X27" i="13"/>
  <c r="S121" i="13"/>
  <c r="W127" i="13"/>
  <c r="T24" i="13"/>
  <c r="Y126" i="13"/>
  <c r="S27" i="13"/>
  <c r="V121" i="13"/>
  <c r="X119" i="13"/>
  <c r="T20" i="13"/>
  <c r="U128" i="13"/>
  <c r="R21" i="13"/>
  <c r="W28" i="13"/>
  <c r="M18" i="13"/>
  <c r="P27" i="13"/>
  <c r="L127" i="13"/>
  <c r="Q122" i="13"/>
  <c r="M123" i="13"/>
  <c r="S22" i="13"/>
  <c r="Y123" i="13"/>
  <c r="U28" i="13"/>
  <c r="T122" i="13"/>
  <c r="R128" i="13"/>
  <c r="J24" i="13"/>
  <c r="L124" i="13"/>
  <c r="Q19" i="13"/>
  <c r="K121" i="13"/>
  <c r="N118" i="13"/>
  <c r="I130" i="13"/>
  <c r="I131" i="13"/>
  <c r="I138" i="13"/>
  <c r="J133" i="13"/>
  <c r="J130" i="13"/>
  <c r="J137" i="13"/>
  <c r="H138" i="13"/>
  <c r="K138" i="13"/>
  <c r="H135" i="13"/>
  <c r="H134" i="13"/>
  <c r="H132" i="13"/>
  <c r="K132" i="13"/>
  <c r="L132" i="13"/>
  <c r="L137" i="13"/>
  <c r="L131" i="13"/>
  <c r="M137" i="13"/>
  <c r="M135" i="13"/>
  <c r="M136" i="13"/>
  <c r="N116" i="13"/>
  <c r="N136" i="13"/>
  <c r="N137" i="13"/>
  <c r="O116" i="13"/>
  <c r="O129" i="13"/>
  <c r="O138" i="13"/>
  <c r="P133" i="13"/>
  <c r="P137" i="13"/>
  <c r="P115" i="13"/>
  <c r="Q136" i="13"/>
  <c r="Q134" i="13"/>
  <c r="Q131" i="13"/>
  <c r="R130" i="13"/>
  <c r="R116" i="13"/>
  <c r="R134" i="13"/>
  <c r="S133" i="13"/>
  <c r="S116" i="13"/>
  <c r="S137" i="13"/>
  <c r="T132" i="13"/>
  <c r="T138" i="13"/>
  <c r="T131" i="13"/>
  <c r="U136" i="13"/>
  <c r="U115" i="13"/>
  <c r="U131" i="13"/>
  <c r="V137" i="13"/>
  <c r="V131" i="13"/>
  <c r="V133" i="13"/>
  <c r="W135" i="13"/>
  <c r="W116" i="13"/>
  <c r="W132" i="13"/>
  <c r="X136" i="13"/>
  <c r="X134" i="13"/>
  <c r="X138" i="13"/>
  <c r="Y132" i="13"/>
  <c r="Y129" i="13"/>
  <c r="Y116" i="13"/>
  <c r="Y18" i="13"/>
  <c r="H21" i="13"/>
  <c r="L22" i="13"/>
  <c r="N119" i="13"/>
  <c r="I118" i="13"/>
  <c r="K118" i="13"/>
  <c r="N124" i="13"/>
  <c r="X18" i="13"/>
  <c r="J124" i="13"/>
  <c r="M124" i="13"/>
  <c r="O127" i="13"/>
  <c r="J25" i="13"/>
  <c r="L121" i="13"/>
  <c r="N126" i="13"/>
  <c r="Q23" i="13"/>
  <c r="J23" i="13"/>
  <c r="M28" i="13"/>
  <c r="O119" i="13"/>
  <c r="R20" i="13"/>
  <c r="J125" i="13"/>
  <c r="M120" i="13"/>
  <c r="P128" i="13"/>
  <c r="T22" i="13"/>
  <c r="V117" i="13"/>
  <c r="X124" i="13"/>
  <c r="R19" i="13"/>
  <c r="U119" i="13"/>
  <c r="Q121" i="13"/>
  <c r="T120" i="13"/>
  <c r="W25" i="13"/>
  <c r="Q20" i="13"/>
  <c r="T118" i="13"/>
  <c r="V127" i="13"/>
  <c r="X28" i="13"/>
  <c r="I17" i="13"/>
  <c r="K28" i="13"/>
  <c r="M127" i="13"/>
  <c r="P28" i="13"/>
  <c r="H28" i="13"/>
  <c r="L123" i="13"/>
  <c r="I121" i="13"/>
  <c r="P26" i="13"/>
  <c r="J127" i="13"/>
  <c r="M128" i="13"/>
  <c r="P123" i="13"/>
  <c r="J20" i="13"/>
  <c r="M117" i="13"/>
  <c r="R118" i="13"/>
  <c r="U19" i="13"/>
  <c r="Y17" i="13"/>
  <c r="S17" i="13"/>
  <c r="W26" i="13"/>
  <c r="T17" i="13"/>
  <c r="Y121" i="13"/>
  <c r="S20" i="13"/>
  <c r="V28" i="13"/>
  <c r="Y24" i="13"/>
  <c r="H17" i="13"/>
  <c r="K128" i="13"/>
  <c r="Q27" i="13"/>
  <c r="K120" i="13"/>
  <c r="N21" i="13"/>
  <c r="Q117" i="13"/>
  <c r="J28" i="13"/>
  <c r="N22" i="13"/>
  <c r="S28" i="13"/>
  <c r="V26" i="13"/>
  <c r="Y117" i="13"/>
  <c r="T125" i="13"/>
  <c r="R122" i="13"/>
  <c r="U126" i="13"/>
  <c r="X127" i="13"/>
  <c r="T124" i="13"/>
  <c r="W122" i="13"/>
  <c r="Y28" i="13"/>
  <c r="W117" i="13"/>
  <c r="U21" i="13"/>
  <c r="S23" i="13"/>
  <c r="X125" i="13"/>
  <c r="H117" i="13"/>
  <c r="I19" i="13"/>
  <c r="M19" i="13"/>
  <c r="I27" i="13"/>
  <c r="N125" i="13"/>
  <c r="T119" i="13"/>
  <c r="Y25" i="13"/>
  <c r="W19" i="13"/>
  <c r="V19" i="13"/>
  <c r="S127" i="13"/>
  <c r="M24" i="13"/>
  <c r="N121" i="13"/>
  <c r="I119" i="13"/>
  <c r="K124" i="13"/>
  <c r="O25" i="13"/>
  <c r="I124" i="13"/>
  <c r="L21" i="13"/>
  <c r="O17" i="13"/>
  <c r="T25" i="13"/>
  <c r="H115" i="13"/>
  <c r="I132" i="13"/>
  <c r="I129" i="13"/>
  <c r="I135" i="13"/>
  <c r="J132" i="13"/>
  <c r="J138" i="13"/>
  <c r="J116" i="13"/>
  <c r="H130" i="13"/>
  <c r="K137" i="13"/>
  <c r="K115" i="13"/>
  <c r="K136" i="13"/>
  <c r="H131" i="13"/>
  <c r="H116" i="13"/>
  <c r="L115" i="13"/>
  <c r="L133" i="13"/>
  <c r="L135" i="13"/>
  <c r="M131" i="13"/>
  <c r="M115" i="13"/>
  <c r="M129" i="13"/>
  <c r="N138" i="13"/>
  <c r="N129" i="13"/>
  <c r="N131" i="13"/>
  <c r="O115" i="13"/>
  <c r="O133" i="13"/>
  <c r="O130" i="13"/>
  <c r="P132" i="13"/>
  <c r="P130" i="13"/>
  <c r="P134" i="13"/>
  <c r="Q137" i="13"/>
  <c r="Q138" i="13"/>
  <c r="Q116" i="13"/>
  <c r="R136" i="13"/>
  <c r="R138" i="13"/>
  <c r="R129" i="13"/>
  <c r="S132" i="13"/>
  <c r="S135" i="13"/>
  <c r="S134" i="13"/>
  <c r="T135" i="13"/>
  <c r="T133" i="13"/>
  <c r="T130" i="13"/>
  <c r="U135" i="13"/>
  <c r="U133" i="13"/>
  <c r="U138" i="13"/>
  <c r="V116" i="13"/>
  <c r="V115" i="13"/>
  <c r="V129" i="13"/>
  <c r="W137" i="13"/>
  <c r="W129" i="13"/>
  <c r="W133" i="13"/>
  <c r="X132" i="13"/>
  <c r="X129" i="13"/>
  <c r="X131" i="13"/>
  <c r="Y133" i="13"/>
  <c r="Y137" i="13"/>
  <c r="Y138" i="13"/>
  <c r="Y124" i="13"/>
  <c r="H19" i="13"/>
  <c r="M119" i="13"/>
  <c r="O28" i="13"/>
  <c r="J123" i="13"/>
  <c r="K24" i="13"/>
  <c r="N19" i="13"/>
  <c r="I18" i="13"/>
  <c r="K27" i="13"/>
  <c r="M26" i="13"/>
  <c r="P19" i="13"/>
  <c r="H128" i="13"/>
  <c r="L117" i="13"/>
  <c r="O27" i="13"/>
  <c r="I125" i="13"/>
  <c r="K125" i="13"/>
  <c r="M122" i="13"/>
  <c r="P21" i="13"/>
  <c r="I128" i="13"/>
  <c r="K126" i="13"/>
  <c r="N24" i="13"/>
  <c r="Q120" i="13"/>
  <c r="T126" i="13"/>
  <c r="W17" i="13"/>
  <c r="Y19" i="13"/>
  <c r="S124" i="13"/>
  <c r="V24" i="13"/>
  <c r="R121" i="13"/>
  <c r="U17" i="13"/>
  <c r="Y122" i="13"/>
  <c r="R23" i="13"/>
  <c r="T27" i="13"/>
  <c r="W126" i="13"/>
  <c r="X21" i="13"/>
  <c r="J17" i="13"/>
  <c r="L23" i="13"/>
  <c r="N20" i="13"/>
  <c r="I22" i="13"/>
  <c r="J128" i="13"/>
  <c r="J19" i="13"/>
  <c r="K25" i="13"/>
  <c r="P124" i="13"/>
  <c r="J22" i="13"/>
  <c r="N117" i="13"/>
  <c r="Q25" i="13"/>
  <c r="J119" i="13"/>
  <c r="N120" i="13"/>
  <c r="S19" i="13"/>
  <c r="V128" i="13"/>
  <c r="X117" i="13"/>
  <c r="T19" i="13"/>
  <c r="Q17" i="13"/>
  <c r="U125" i="13"/>
  <c r="X120" i="13"/>
  <c r="T28" i="13"/>
  <c r="W120" i="13"/>
  <c r="W118" i="13"/>
  <c r="L17" i="13"/>
  <c r="M20" i="13"/>
  <c r="I21" i="13"/>
  <c r="U120" i="13"/>
  <c r="L128" i="13"/>
  <c r="L18" i="13"/>
  <c r="O18" i="13"/>
  <c r="T128" i="13"/>
  <c r="R26" i="13"/>
  <c r="Y118" i="13"/>
  <c r="J118" i="13"/>
  <c r="P125" i="13"/>
  <c r="L122" i="13"/>
  <c r="U123" i="13"/>
  <c r="S128" i="13"/>
  <c r="S126" i="13"/>
  <c r="R123" i="13"/>
  <c r="Y128" i="13"/>
  <c r="S21" i="13"/>
  <c r="V25" i="13"/>
  <c r="O125" i="13"/>
  <c r="P126" i="13"/>
  <c r="Q24" i="13"/>
  <c r="T18" i="13"/>
  <c r="X122" i="13"/>
  <c r="H18" i="13"/>
  <c r="H22" i="13"/>
  <c r="P121" i="13"/>
  <c r="K119" i="13"/>
  <c r="Q119" i="13"/>
  <c r="V123" i="13"/>
  <c r="X22" i="13"/>
  <c r="T117" i="13"/>
  <c r="U23" i="13"/>
  <c r="P122" i="13"/>
  <c r="L120" i="13"/>
  <c r="L28" i="13"/>
  <c r="W124" i="13"/>
  <c r="R27" i="13"/>
  <c r="S120" i="13"/>
  <c r="X23" i="13"/>
  <c r="V119" i="13"/>
  <c r="W20" i="13"/>
  <c r="N17" i="13"/>
  <c r="M126" i="13"/>
  <c r="Q125" i="13"/>
  <c r="W121" i="13"/>
  <c r="V124" i="13"/>
  <c r="X20" i="13"/>
  <c r="K123" i="13"/>
  <c r="I122" i="13"/>
  <c r="O128" i="13"/>
  <c r="W27" i="13"/>
  <c r="U26" i="13"/>
  <c r="V21" i="13"/>
  <c r="U22" i="13"/>
  <c r="R25" i="13"/>
  <c r="W119" i="13"/>
  <c r="Y21" i="13"/>
  <c r="H23" i="13"/>
  <c r="H27" i="13"/>
  <c r="V125" i="13"/>
  <c r="Y20" i="13"/>
  <c r="T127" i="13"/>
  <c r="O123" i="13"/>
  <c r="L26" i="13"/>
  <c r="Q126" i="13"/>
  <c r="M27" i="13"/>
  <c r="R24" i="13"/>
  <c r="V20" i="13"/>
  <c r="S25" i="13"/>
  <c r="V23" i="13"/>
  <c r="W125" i="13"/>
  <c r="N122" i="13"/>
  <c r="O121" i="13"/>
  <c r="O19" i="13"/>
  <c r="P119" i="13"/>
  <c r="U18" i="13"/>
  <c r="U24" i="13"/>
  <c r="X26" i="13"/>
  <c r="X17" i="13"/>
  <c r="I126" i="13"/>
  <c r="I25" i="13"/>
  <c r="K127" i="13"/>
  <c r="Q127" i="13"/>
  <c r="Q21" i="13"/>
  <c r="O20" i="13"/>
  <c r="L118" i="13"/>
  <c r="J18" i="13"/>
  <c r="Q118" i="13"/>
  <c r="X118" i="13"/>
  <c r="W18" i="13"/>
  <c r="W21" i="13"/>
  <c r="V122" i="13"/>
  <c r="S24" i="13"/>
  <c r="Y22" i="13"/>
  <c r="I117" i="13"/>
  <c r="K20" i="13"/>
  <c r="K19" i="13"/>
  <c r="W123" i="13"/>
  <c r="S122" i="13"/>
  <c r="I127" i="13"/>
  <c r="P25" i="13"/>
  <c r="M17" i="13"/>
  <c r="H123" i="13"/>
  <c r="N128" i="13"/>
  <c r="S117" i="13"/>
  <c r="W128" i="13"/>
  <c r="V126" i="13"/>
  <c r="Q26" i="13"/>
  <c r="X24" i="13"/>
  <c r="Q28" i="13"/>
  <c r="Q123" i="13"/>
  <c r="R28" i="13"/>
  <c r="S118" i="13"/>
  <c r="X25" i="13"/>
  <c r="V120" i="13"/>
  <c r="S125" i="13"/>
  <c r="H120" i="13"/>
  <c r="K21" i="13"/>
  <c r="K22" i="13"/>
  <c r="O118" i="13"/>
  <c r="U121" i="13"/>
  <c r="U117" i="13"/>
  <c r="O126" i="13"/>
  <c r="O117" i="13"/>
  <c r="L19" i="13"/>
  <c r="T26" i="13"/>
  <c r="Q124" i="13"/>
  <c r="R117" i="13"/>
  <c r="R119" i="13"/>
  <c r="Y120" i="13"/>
  <c r="R18" i="13"/>
  <c r="T121" i="13"/>
  <c r="M25" i="13"/>
  <c r="N27" i="13"/>
  <c r="P117" i="13"/>
  <c r="R126" i="13"/>
  <c r="V118" i="13"/>
  <c r="P23" i="13"/>
  <c r="J120" i="13"/>
  <c r="P20" i="13"/>
  <c r="H119" i="13"/>
  <c r="O24" i="13"/>
  <c r="U27" i="13"/>
  <c r="Y27" i="13"/>
  <c r="X19" i="13"/>
  <c r="R127" i="13"/>
  <c r="K23" i="13"/>
  <c r="J117" i="13"/>
  <c r="J122" i="13"/>
  <c r="U122" i="13"/>
  <c r="V27" i="13"/>
  <c r="Q18" i="13"/>
  <c r="X126" i="13"/>
  <c r="N16" i="13"/>
  <c r="N29" i="13" s="1"/>
  <c r="AD17" i="11"/>
  <c r="AT17" i="11"/>
  <c r="AT18" i="11"/>
  <c r="AD18" i="11"/>
  <c r="G115" i="12"/>
  <c r="H136" i="12"/>
  <c r="K134" i="12" s="1"/>
  <c r="G116" i="12"/>
  <c r="AX216" i="12" l="1"/>
  <c r="AX221" i="12"/>
  <c r="AX222" i="12"/>
  <c r="AY215" i="12"/>
  <c r="BA214" i="12"/>
  <c r="BD224" i="12"/>
  <c r="BB217" i="12"/>
  <c r="AZ224" i="12"/>
  <c r="BC222" i="12"/>
  <c r="AY224" i="12"/>
  <c r="BD223" i="12"/>
  <c r="BB233" i="12"/>
  <c r="AX227" i="12"/>
  <c r="AY229" i="12"/>
  <c r="AX16" i="12"/>
  <c r="BD221" i="12"/>
  <c r="BC225" i="12"/>
  <c r="BA216" i="12"/>
  <c r="AZ216" i="12"/>
  <c r="AY216" i="12"/>
  <c r="BB220" i="12"/>
  <c r="BB229" i="12"/>
  <c r="BD234" i="12"/>
  <c r="AY235" i="12"/>
  <c r="BD226" i="12"/>
  <c r="BA218" i="12"/>
  <c r="AX235" i="12"/>
  <c r="AZ226" i="12"/>
  <c r="BB227" i="12"/>
  <c r="BC214" i="12"/>
  <c r="AY232" i="12"/>
  <c r="BA230" i="12"/>
  <c r="BC223" i="12"/>
  <c r="BA222" i="12"/>
  <c r="BC233" i="12"/>
  <c r="AX226" i="12"/>
  <c r="BA219" i="12"/>
  <c r="BB223" i="12"/>
  <c r="BA227" i="12"/>
  <c r="BC231" i="12"/>
  <c r="BA229" i="12"/>
  <c r="BA215" i="12"/>
  <c r="AY234" i="12"/>
  <c r="BB214" i="12"/>
  <c r="BC232" i="12"/>
  <c r="AY230" i="12"/>
  <c r="BA235" i="12"/>
  <c r="BC217" i="12"/>
  <c r="BB230" i="12"/>
  <c r="AY236" i="12"/>
  <c r="BD222" i="12"/>
  <c r="AX223" i="12"/>
  <c r="BC221" i="12"/>
  <c r="AY231" i="12"/>
  <c r="BC229" i="12"/>
  <c r="AX219" i="12"/>
  <c r="AX224" i="12"/>
  <c r="BB235" i="12"/>
  <c r="AY218" i="12"/>
  <c r="BB222" i="12"/>
  <c r="AZ220" i="12"/>
  <c r="BD219" i="12"/>
  <c r="BA225" i="12"/>
  <c r="AY233" i="12"/>
  <c r="AX230" i="12"/>
  <c r="AZ230" i="12"/>
  <c r="BC235" i="12"/>
  <c r="BB231" i="12"/>
  <c r="BB224" i="12"/>
  <c r="BB215" i="12"/>
  <c r="BD214" i="12"/>
  <c r="BA232" i="12"/>
  <c r="BC220" i="12"/>
  <c r="AZ228" i="12"/>
  <c r="BB226" i="12"/>
  <c r="AZ234" i="12"/>
  <c r="BA228" i="12"/>
  <c r="BC218" i="12"/>
  <c r="AX25" i="12"/>
  <c r="AZ221" i="12"/>
  <c r="AZ235" i="12"/>
  <c r="AZ231" i="12"/>
  <c r="BC215" i="12"/>
  <c r="AX225" i="12"/>
  <c r="AX234" i="12"/>
  <c r="AX214" i="12"/>
  <c r="AY220" i="12"/>
  <c r="AY221" i="12"/>
  <c r="AZ233" i="12"/>
  <c r="AZ219" i="12"/>
  <c r="BD220" i="12"/>
  <c r="BD236" i="12"/>
  <c r="AY222" i="12"/>
  <c r="AZ217" i="12"/>
  <c r="AY219" i="12"/>
  <c r="AX215" i="12"/>
  <c r="BB232" i="12"/>
  <c r="BD233" i="12"/>
  <c r="AZ223" i="12"/>
  <c r="AY227" i="12"/>
  <c r="BA224" i="12"/>
  <c r="BD225" i="12"/>
  <c r="AX233" i="12"/>
  <c r="AX220" i="12"/>
  <c r="BC224" i="12"/>
  <c r="BA231" i="12"/>
  <c r="AX218" i="12"/>
  <c r="BC227" i="12"/>
  <c r="BC216" i="12"/>
  <c r="AZ236" i="12"/>
  <c r="AY225" i="12"/>
  <c r="BC219" i="12"/>
  <c r="BD215" i="12"/>
  <c r="AY217" i="12"/>
  <c r="BD231" i="12"/>
  <c r="BB234" i="12"/>
  <c r="AX15" i="12"/>
  <c r="BA236" i="12"/>
  <c r="BA234" i="12"/>
  <c r="BD218" i="12"/>
  <c r="BA233" i="12"/>
  <c r="BD216" i="12"/>
  <c r="AX229" i="12"/>
  <c r="BA217" i="12"/>
  <c r="AX217" i="12"/>
  <c r="AZ229" i="12"/>
  <c r="BD217" i="12"/>
  <c r="AY214" i="12"/>
  <c r="BB236" i="12"/>
  <c r="BD229" i="12"/>
  <c r="AZ218" i="12"/>
  <c r="BC226" i="12"/>
  <c r="BA226" i="12"/>
  <c r="BD227" i="12"/>
  <c r="AZ222" i="12"/>
  <c r="BB218" i="12"/>
  <c r="BC230" i="12"/>
  <c r="BD230" i="12"/>
  <c r="BC236" i="12"/>
  <c r="BB225" i="12"/>
  <c r="BA223" i="12"/>
  <c r="AX236" i="12"/>
  <c r="AY228" i="12"/>
  <c r="AZ232" i="12"/>
  <c r="BC228" i="12"/>
  <c r="BB221" i="12"/>
  <c r="BD228" i="12"/>
  <c r="AX232" i="12"/>
  <c r="AX21" i="12"/>
  <c r="AX17" i="12" s="1"/>
  <c r="BD232" i="12"/>
  <c r="AY223" i="12"/>
  <c r="BB219" i="12"/>
  <c r="AX228" i="12"/>
  <c r="AZ215" i="12"/>
  <c r="BA221" i="12"/>
  <c r="BB216" i="12"/>
  <c r="AZ227" i="12"/>
  <c r="AY226" i="12"/>
  <c r="BD235" i="12"/>
  <c r="AZ214" i="12"/>
  <c r="AX231" i="12"/>
  <c r="BA220" i="12"/>
  <c r="BB228" i="12"/>
  <c r="BC234" i="12"/>
  <c r="AZ225" i="12"/>
  <c r="BI100" i="12"/>
  <c r="BG104" i="12"/>
  <c r="BJ104" i="12"/>
  <c r="BI103" i="12"/>
  <c r="BI143" i="12"/>
  <c r="N75" i="16"/>
  <c r="BE169" i="12" a="1"/>
  <c r="BE169" i="12" s="1"/>
  <c r="BD168" i="12"/>
  <c r="BC169" i="12"/>
  <c r="BD167" i="12"/>
  <c r="BE161" i="12" a="1"/>
  <c r="BE161" i="12" s="1"/>
  <c r="BC174" i="12"/>
  <c r="BC171" i="12"/>
  <c r="BC161" i="12"/>
  <c r="BJ146" i="12"/>
  <c r="BJ145" i="12"/>
  <c r="BJ152" i="12"/>
  <c r="BE162" i="12" a="1"/>
  <c r="BE162" i="12" s="1"/>
  <c r="BC159" i="12"/>
  <c r="BE173" i="12" a="1"/>
  <c r="BE173" i="12" s="1"/>
  <c r="BE170" i="12" a="1"/>
  <c r="BE170" i="12" s="1"/>
  <c r="BD163" i="12"/>
  <c r="BC170" i="12"/>
  <c r="BC164" i="12"/>
  <c r="BE164" i="12" a="1"/>
  <c r="BE164" i="12" s="1"/>
  <c r="BI149" i="12"/>
  <c r="BI148" i="12"/>
  <c r="BG143" i="12"/>
  <c r="BG151" i="12"/>
  <c r="BE176" i="12" a="1"/>
  <c r="BE176" i="12" s="1"/>
  <c r="BI150" i="12"/>
  <c r="BJ151" i="12"/>
  <c r="BE159" i="12" a="1"/>
  <c r="BE159" i="12" s="1"/>
  <c r="BD173" i="12"/>
  <c r="BC176" i="12"/>
  <c r="BJ149" i="12"/>
  <c r="BJ150" i="12"/>
  <c r="BH153" i="12"/>
  <c r="BE153" i="12" s="1"/>
  <c r="BG153" i="12" s="1"/>
  <c r="BF154" i="12"/>
  <c r="BJ148" i="12"/>
  <c r="BJ147" i="12"/>
  <c r="BD162" i="12"/>
  <c r="BI152" i="12"/>
  <c r="BE163" i="12" a="1"/>
  <c r="BE163" i="12" s="1"/>
  <c r="BD142" i="12"/>
  <c r="BJ142" i="12" s="1"/>
  <c r="BE167" i="12" a="1"/>
  <c r="BE167" i="12" s="1"/>
  <c r="BC172" i="12"/>
  <c r="BE171" i="12" a="1"/>
  <c r="BE171" i="12" s="1"/>
  <c r="BG144" i="12"/>
  <c r="BE166" i="12" a="1"/>
  <c r="BE166" i="12" s="1"/>
  <c r="BI145" i="12"/>
  <c r="BI147" i="12"/>
  <c r="L16" i="13"/>
  <c r="L29" i="13" s="1"/>
  <c r="BB123" i="12"/>
  <c r="BB134" i="12"/>
  <c r="BB124" i="12"/>
  <c r="BC120" i="12"/>
  <c r="BF110" i="12"/>
  <c r="BD110" i="12" s="1"/>
  <c r="BB118" i="12"/>
  <c r="BB133" i="12"/>
  <c r="BC122" i="12"/>
  <c r="BG106" i="12"/>
  <c r="AN107" i="12"/>
  <c r="BJ107" i="12"/>
  <c r="BB129" i="12"/>
  <c r="BB125" i="12"/>
  <c r="BC130" i="12"/>
  <c r="BJ99" i="12"/>
  <c r="BJ109" i="12"/>
  <c r="BC132" i="12"/>
  <c r="BC121" i="12"/>
  <c r="BG107" i="12"/>
  <c r="BG99" i="12"/>
  <c r="BJ100" i="12"/>
  <c r="AN101" i="12"/>
  <c r="BI109" i="12"/>
  <c r="BH110" i="12"/>
  <c r="BE110" i="12" s="1"/>
  <c r="BI110" i="12" s="1"/>
  <c r="N74" i="16"/>
  <c r="BB128" i="12"/>
  <c r="O34" i="5"/>
  <c r="O26" i="5"/>
  <c r="O30" i="5"/>
  <c r="O28" i="5"/>
  <c r="BJ106" i="12"/>
  <c r="O27" i="5"/>
  <c r="O29" i="5"/>
  <c r="BL9" i="12"/>
  <c r="BD154" i="12"/>
  <c r="BI153" i="12"/>
  <c r="BJ98" i="12"/>
  <c r="BI98" i="12"/>
  <c r="BG98" i="12"/>
  <c r="BI101" i="12"/>
  <c r="BJ101" i="12"/>
  <c r="BG101" i="12"/>
  <c r="BI142" i="12"/>
  <c r="BG142" i="12"/>
  <c r="R16" i="13"/>
  <c r="R29" i="13" s="1"/>
  <c r="H16" i="13"/>
  <c r="W16" i="13"/>
  <c r="W29" i="13" s="1"/>
  <c r="N139" i="19"/>
  <c r="K178" i="12"/>
  <c r="P16" i="13"/>
  <c r="P29" i="13" s="1"/>
  <c r="AH237" i="12"/>
  <c r="AB237" i="12"/>
  <c r="AE237" i="12"/>
  <c r="AM152" i="12"/>
  <c r="AN152" i="12"/>
  <c r="AK152" i="12"/>
  <c r="AG164" i="12"/>
  <c r="AI164" i="12" a="1"/>
  <c r="AI164" i="12" s="1"/>
  <c r="AH164" i="12"/>
  <c r="AF126" i="12"/>
  <c r="AG126" i="12"/>
  <c r="AN105" i="12"/>
  <c r="AF118" i="12"/>
  <c r="AG118" i="12"/>
  <c r="AK100" i="12"/>
  <c r="AN100" i="12"/>
  <c r="AM100" i="12"/>
  <c r="O109" i="12"/>
  <c r="Q109" i="12"/>
  <c r="R109" i="12"/>
  <c r="I16" i="13"/>
  <c r="I29" i="13" s="1"/>
  <c r="W44" i="19"/>
  <c r="AG172" i="12"/>
  <c r="AI172" i="12" a="1"/>
  <c r="AI172" i="12" s="1"/>
  <c r="AH172" i="12"/>
  <c r="AG237" i="12"/>
  <c r="AH177" i="12"/>
  <c r="AI177" i="12" a="1"/>
  <c r="AI177" i="12" s="1"/>
  <c r="AG177" i="12"/>
  <c r="AH160" i="12"/>
  <c r="AG160" i="12"/>
  <c r="AI160" i="12" a="1"/>
  <c r="AI160" i="12" s="1"/>
  <c r="AF125" i="12"/>
  <c r="AG125" i="12"/>
  <c r="AF119" i="12"/>
  <c r="AG119" i="12"/>
  <c r="AK106" i="12"/>
  <c r="AM106" i="12"/>
  <c r="AH142" i="12"/>
  <c r="AJ154" i="12"/>
  <c r="AH171" i="12"/>
  <c r="AI171" i="12" a="1"/>
  <c r="AI171" i="12" s="1"/>
  <c r="AG171" i="12"/>
  <c r="AI142" i="12"/>
  <c r="AL153" i="12"/>
  <c r="AC237" i="12"/>
  <c r="AG178" i="12"/>
  <c r="AI178" i="12" a="1"/>
  <c r="AI178" i="12" s="1"/>
  <c r="AH178" i="12"/>
  <c r="AG163" i="12"/>
  <c r="AH163" i="12"/>
  <c r="AI163" i="12" a="1"/>
  <c r="AI163" i="12" s="1"/>
  <c r="AI169" i="12" a="1"/>
  <c r="AI169" i="12" s="1"/>
  <c r="AH169" i="12"/>
  <c r="AG169" i="12"/>
  <c r="AF120" i="12"/>
  <c r="AG120" i="12"/>
  <c r="AK105" i="12"/>
  <c r="AM105" i="12"/>
  <c r="AF117" i="12"/>
  <c r="AG117" i="12"/>
  <c r="AK102" i="12"/>
  <c r="AN102" i="12"/>
  <c r="AM102" i="12"/>
  <c r="AK99" i="12"/>
  <c r="AN99" i="12"/>
  <c r="AM99" i="12"/>
  <c r="AG162" i="12"/>
  <c r="AH162" i="12"/>
  <c r="AI162" i="12" a="1"/>
  <c r="AI162" i="12" s="1"/>
  <c r="AN150" i="12"/>
  <c r="AK150" i="12"/>
  <c r="AM150" i="12"/>
  <c r="AM148" i="12"/>
  <c r="AN148" i="12"/>
  <c r="AK148" i="12"/>
  <c r="AI168" i="12" a="1"/>
  <c r="AI168" i="12" s="1"/>
  <c r="AG168" i="12"/>
  <c r="AH168" i="12"/>
  <c r="AI173" i="12" a="1"/>
  <c r="AI173" i="12" s="1"/>
  <c r="AH173" i="12"/>
  <c r="AG173" i="12"/>
  <c r="AF237" i="12"/>
  <c r="AF128" i="12"/>
  <c r="AG128" i="12"/>
  <c r="AK103" i="12"/>
  <c r="AN103" i="12"/>
  <c r="AM103" i="12"/>
  <c r="AF131" i="12"/>
  <c r="AG131" i="12"/>
  <c r="AK143" i="12"/>
  <c r="AN143" i="12"/>
  <c r="AM143" i="12"/>
  <c r="AN144" i="12"/>
  <c r="AM144" i="12"/>
  <c r="AK144" i="12"/>
  <c r="AG159" i="12"/>
  <c r="AI159" i="12" a="1"/>
  <c r="AI159" i="12" s="1"/>
  <c r="AH159" i="12"/>
  <c r="X16" i="13"/>
  <c r="X29" i="13" s="1"/>
  <c r="M178" i="12" a="1"/>
  <c r="M178" i="12" s="1"/>
  <c r="AK151" i="12"/>
  <c r="AM151" i="12"/>
  <c r="AN151" i="12"/>
  <c r="AI161" i="12" a="1"/>
  <c r="AI161" i="12" s="1"/>
  <c r="AH161" i="12"/>
  <c r="AG161" i="12"/>
  <c r="AM146" i="12"/>
  <c r="AK146" i="12"/>
  <c r="AN146" i="12"/>
  <c r="AK108" i="12"/>
  <c r="AN108" i="12"/>
  <c r="AM108" i="12"/>
  <c r="AF121" i="12"/>
  <c r="AG121" i="12"/>
  <c r="AF130" i="12"/>
  <c r="AG130" i="12"/>
  <c r="AF123" i="12"/>
  <c r="AG123" i="12"/>
  <c r="AK145" i="12"/>
  <c r="AN145" i="12"/>
  <c r="AM145" i="12"/>
  <c r="AI170" i="12" a="1"/>
  <c r="AI170" i="12" s="1"/>
  <c r="AH170" i="12"/>
  <c r="AG170" i="12"/>
  <c r="AI165" i="12" a="1"/>
  <c r="AI165" i="12" s="1"/>
  <c r="AH165" i="12"/>
  <c r="AG165" i="12"/>
  <c r="AI166" i="12" a="1"/>
  <c r="AI166" i="12" s="1"/>
  <c r="AG166" i="12"/>
  <c r="AH166" i="12"/>
  <c r="AM109" i="12"/>
  <c r="AK109" i="12"/>
  <c r="AN109" i="12"/>
  <c r="AJ110" i="12"/>
  <c r="AH110" i="12" s="1"/>
  <c r="AH98" i="12"/>
  <c r="AF122" i="12"/>
  <c r="AG122" i="12"/>
  <c r="AM104" i="12"/>
  <c r="AK104" i="12"/>
  <c r="AN104" i="12"/>
  <c r="AF133" i="12"/>
  <c r="AG133" i="12"/>
  <c r="AF134" i="12"/>
  <c r="AG134" i="12"/>
  <c r="K16" i="13"/>
  <c r="K29" i="13" s="1"/>
  <c r="AH175" i="12"/>
  <c r="AI175" i="12" a="1"/>
  <c r="AI175" i="12" s="1"/>
  <c r="AG175" i="12"/>
  <c r="AK149" i="12"/>
  <c r="AN149" i="12"/>
  <c r="AM149" i="12"/>
  <c r="AG174" i="12"/>
  <c r="AH174" i="12"/>
  <c r="AI174" i="12" a="1"/>
  <c r="AI174" i="12" s="1"/>
  <c r="AF127" i="12"/>
  <c r="AG127" i="12"/>
  <c r="AM101" i="12"/>
  <c r="AK101" i="12"/>
  <c r="AF132" i="12"/>
  <c r="AG132" i="12"/>
  <c r="AD237" i="12"/>
  <c r="AI167" i="12" a="1"/>
  <c r="AI167" i="12" s="1"/>
  <c r="AH167" i="12"/>
  <c r="AG167" i="12"/>
  <c r="AK147" i="12"/>
  <c r="AM147" i="12"/>
  <c r="AF129" i="12"/>
  <c r="AG129" i="12"/>
  <c r="AL110" i="12"/>
  <c r="AI110" i="12" s="1"/>
  <c r="AI98" i="12"/>
  <c r="AF124" i="12"/>
  <c r="AG124" i="12"/>
  <c r="AM107" i="12"/>
  <c r="AK107" i="12"/>
  <c r="AG176" i="12"/>
  <c r="AI176" i="12" a="1"/>
  <c r="AI176" i="12" s="1"/>
  <c r="AH176" i="12"/>
  <c r="Q139" i="13"/>
  <c r="J139" i="13"/>
  <c r="L25" i="5"/>
  <c r="F10" i="12"/>
  <c r="P153" i="12"/>
  <c r="M153" i="12" s="1"/>
  <c r="L153" i="12"/>
  <c r="N110" i="12"/>
  <c r="L110" i="12" s="1"/>
  <c r="P110" i="12"/>
  <c r="M110" i="12" s="1"/>
  <c r="P14" i="12"/>
  <c r="T139" i="13"/>
  <c r="I139" i="13"/>
  <c r="Y139" i="13"/>
  <c r="S139" i="13"/>
  <c r="M139" i="13"/>
  <c r="P139" i="13"/>
  <c r="R139" i="13"/>
  <c r="N139" i="13"/>
  <c r="X139" i="13"/>
  <c r="O139" i="13"/>
  <c r="V139" i="13"/>
  <c r="L139" i="13"/>
  <c r="W139" i="13"/>
  <c r="K139" i="13"/>
  <c r="H139" i="13"/>
  <c r="Z139" i="13" s="1"/>
  <c r="U139" i="13"/>
  <c r="Z235" i="19"/>
  <c r="X248" i="13"/>
  <c r="J248" i="13"/>
  <c r="I248" i="13"/>
  <c r="T248" i="13"/>
  <c r="O77" i="16"/>
  <c r="L248" i="13"/>
  <c r="S248" i="13"/>
  <c r="W248" i="13"/>
  <c r="U248" i="13"/>
  <c r="P248" i="13"/>
  <c r="K248" i="13"/>
  <c r="N248" i="13"/>
  <c r="Y248" i="13"/>
  <c r="M248" i="13"/>
  <c r="Z242" i="19"/>
  <c r="Z239" i="19"/>
  <c r="Q34" i="5"/>
  <c r="R34" i="5" s="1"/>
  <c r="M184" i="13"/>
  <c r="Z47" i="19"/>
  <c r="Z234" i="19"/>
  <c r="Z241" i="19"/>
  <c r="Z238" i="19"/>
  <c r="R249" i="13"/>
  <c r="Z236" i="19"/>
  <c r="Z232" i="19"/>
  <c r="Z237" i="19"/>
  <c r="Z233" i="19"/>
  <c r="Z240" i="19"/>
  <c r="K249" i="19"/>
  <c r="Y216" i="13"/>
  <c r="T44" i="19"/>
  <c r="L44" i="19"/>
  <c r="Y16" i="13"/>
  <c r="Y29" i="13" s="1"/>
  <c r="S16" i="13"/>
  <c r="S29" i="13" s="1"/>
  <c r="T16" i="13"/>
  <c r="T29" i="13" s="1"/>
  <c r="M16" i="13"/>
  <c r="M29" i="13" s="1"/>
  <c r="J16" i="13"/>
  <c r="J29" i="13" s="1"/>
  <c r="V16" i="13"/>
  <c r="V29" i="13" s="1"/>
  <c r="O16" i="13"/>
  <c r="O29" i="13" s="1"/>
  <c r="U16" i="13"/>
  <c r="U29" i="13" s="1"/>
  <c r="Q16" i="13"/>
  <c r="Q29" i="13" s="1"/>
  <c r="Q216" i="13"/>
  <c r="P216" i="19"/>
  <c r="Z205" i="19"/>
  <c r="W249" i="19"/>
  <c r="Z168" i="19"/>
  <c r="J184" i="13"/>
  <c r="W184" i="13"/>
  <c r="V184" i="13"/>
  <c r="M216" i="13"/>
  <c r="O216" i="13"/>
  <c r="L216" i="13"/>
  <c r="P16" i="19"/>
  <c r="P29" i="19" s="1"/>
  <c r="S249" i="13"/>
  <c r="I249" i="19"/>
  <c r="R245" i="19"/>
  <c r="L245" i="19"/>
  <c r="H245" i="19"/>
  <c r="T245" i="19"/>
  <c r="K245" i="19"/>
  <c r="X245" i="19"/>
  <c r="W245" i="19"/>
  <c r="Y245" i="19"/>
  <c r="Q245" i="19"/>
  <c r="S245" i="19"/>
  <c r="J245" i="19"/>
  <c r="P245" i="19"/>
  <c r="U245" i="19"/>
  <c r="O245" i="19"/>
  <c r="M245" i="19"/>
  <c r="I245" i="19"/>
  <c r="N245" i="19"/>
  <c r="V245" i="19"/>
  <c r="K16" i="19"/>
  <c r="K29" i="19" s="1"/>
  <c r="L16" i="19"/>
  <c r="L29" i="19" s="1"/>
  <c r="H16" i="19"/>
  <c r="H29" i="19" s="1"/>
  <c r="Z191" i="19"/>
  <c r="H216" i="19"/>
  <c r="Z192" i="19"/>
  <c r="Z201" i="19"/>
  <c r="L216" i="19"/>
  <c r="Z195" i="19"/>
  <c r="Z188" i="19"/>
  <c r="Z208" i="19"/>
  <c r="Z214" i="19"/>
  <c r="Z186" i="19"/>
  <c r="O216" i="19"/>
  <c r="Z211" i="19"/>
  <c r="J216" i="19"/>
  <c r="H139" i="19"/>
  <c r="W139" i="19"/>
  <c r="R139" i="19"/>
  <c r="O139" i="19"/>
  <c r="N16" i="19"/>
  <c r="N29" i="19" s="1"/>
  <c r="Z248" i="19"/>
  <c r="T249" i="19"/>
  <c r="L249" i="19"/>
  <c r="R249" i="19"/>
  <c r="V249" i="19"/>
  <c r="Q249" i="19"/>
  <c r="Z174" i="19"/>
  <c r="W184" i="19"/>
  <c r="M184" i="19"/>
  <c r="Z171" i="19"/>
  <c r="P184" i="19"/>
  <c r="O184" i="19"/>
  <c r="V184" i="19"/>
  <c r="J184" i="19"/>
  <c r="Z179" i="19"/>
  <c r="Z193" i="13"/>
  <c r="W216" i="13"/>
  <c r="I216" i="13"/>
  <c r="N216" i="13"/>
  <c r="J216" i="13"/>
  <c r="K216" i="13"/>
  <c r="T216" i="13"/>
  <c r="Z188" i="13"/>
  <c r="R216" i="13"/>
  <c r="U216" i="13"/>
  <c r="X216" i="13"/>
  <c r="Z205" i="13"/>
  <c r="J16" i="19"/>
  <c r="J29" i="19" s="1"/>
  <c r="S16" i="19"/>
  <c r="S29" i="19" s="1"/>
  <c r="Q16" i="19"/>
  <c r="Q29" i="19" s="1"/>
  <c r="Z190" i="19"/>
  <c r="Z200" i="19"/>
  <c r="Z187" i="19"/>
  <c r="V216" i="19"/>
  <c r="Z185" i="19"/>
  <c r="N216" i="19"/>
  <c r="Z209" i="19"/>
  <c r="I216" i="19"/>
  <c r="Z207" i="19"/>
  <c r="Y216" i="19"/>
  <c r="Y139" i="19"/>
  <c r="S139" i="19"/>
  <c r="X139" i="19"/>
  <c r="J139" i="19"/>
  <c r="M16" i="19"/>
  <c r="M29" i="19" s="1"/>
  <c r="U249" i="19"/>
  <c r="J249" i="19"/>
  <c r="P249" i="19"/>
  <c r="X249" i="19"/>
  <c r="Z178" i="19"/>
  <c r="Z45" i="19"/>
  <c r="Z176" i="19"/>
  <c r="Z183" i="19"/>
  <c r="H184" i="19"/>
  <c r="Z172" i="19"/>
  <c r="Q184" i="19"/>
  <c r="Z177" i="19"/>
  <c r="Z46" i="19"/>
  <c r="Z180" i="19"/>
  <c r="Z175" i="19"/>
  <c r="N184" i="19"/>
  <c r="Y249" i="13"/>
  <c r="Z47" i="13"/>
  <c r="U184" i="13"/>
  <c r="T184" i="13"/>
  <c r="X184" i="13"/>
  <c r="N184" i="13"/>
  <c r="Z179" i="13"/>
  <c r="L184" i="13"/>
  <c r="Y184" i="13"/>
  <c r="O184" i="13"/>
  <c r="P184" i="13"/>
  <c r="R184" i="13"/>
  <c r="Q184" i="13"/>
  <c r="S184" i="13"/>
  <c r="I184" i="13"/>
  <c r="P216" i="13"/>
  <c r="V216" i="13"/>
  <c r="S216" i="13"/>
  <c r="R16" i="19"/>
  <c r="R29" i="19" s="1"/>
  <c r="W16" i="19"/>
  <c r="W29" i="19" s="1"/>
  <c r="V16" i="19"/>
  <c r="V29" i="19" s="1"/>
  <c r="M216" i="19"/>
  <c r="Z204" i="19"/>
  <c r="Z194" i="19"/>
  <c r="X216" i="19"/>
  <c r="Z212" i="19"/>
  <c r="Z196" i="19"/>
  <c r="K216" i="19"/>
  <c r="Z213" i="19"/>
  <c r="Z197" i="19"/>
  <c r="Z203" i="19"/>
  <c r="Z202" i="19"/>
  <c r="W216" i="19"/>
  <c r="Z199" i="19"/>
  <c r="Z193" i="19"/>
  <c r="Z210" i="19"/>
  <c r="U216" i="19"/>
  <c r="I139" i="19"/>
  <c r="P139" i="19"/>
  <c r="U16" i="19"/>
  <c r="U29" i="19" s="1"/>
  <c r="S249" i="19"/>
  <c r="Y249" i="19"/>
  <c r="Z169" i="19"/>
  <c r="I184" i="19"/>
  <c r="S184" i="19"/>
  <c r="Z182" i="19"/>
  <c r="Z48" i="19"/>
  <c r="R184" i="19"/>
  <c r="T16" i="19"/>
  <c r="T29" i="19" s="1"/>
  <c r="K184" i="13"/>
  <c r="O16" i="19"/>
  <c r="O29" i="19" s="1"/>
  <c r="I16" i="19"/>
  <c r="I29" i="19" s="1"/>
  <c r="Y16" i="19"/>
  <c r="Y29" i="19" s="1"/>
  <c r="T216" i="19"/>
  <c r="Z206" i="19"/>
  <c r="S216" i="19"/>
  <c r="Z189" i="19"/>
  <c r="Z198" i="19"/>
  <c r="Z215" i="19"/>
  <c r="Q216" i="19"/>
  <c r="R216" i="19"/>
  <c r="T139" i="19"/>
  <c r="M139" i="19"/>
  <c r="U139" i="19"/>
  <c r="L139" i="19"/>
  <c r="Q139" i="19"/>
  <c r="K139" i="19"/>
  <c r="V139" i="19"/>
  <c r="X16" i="19"/>
  <c r="X29" i="19" s="1"/>
  <c r="N249" i="19"/>
  <c r="O249" i="19"/>
  <c r="M249" i="19"/>
  <c r="H249" i="19"/>
  <c r="Z167" i="19"/>
  <c r="Z173" i="19"/>
  <c r="Z170" i="19"/>
  <c r="T184" i="19"/>
  <c r="Z165" i="19"/>
  <c r="K184" i="19"/>
  <c r="Y184" i="19"/>
  <c r="L184" i="19"/>
  <c r="U184" i="19"/>
  <c r="Z181" i="19"/>
  <c r="X184" i="19"/>
  <c r="Z166" i="19"/>
  <c r="P44" i="13"/>
  <c r="O44" i="13"/>
  <c r="M172" i="12" a="1"/>
  <c r="M172" i="12" s="1"/>
  <c r="L172" i="12"/>
  <c r="H44" i="19"/>
  <c r="T44" i="13"/>
  <c r="X44" i="13"/>
  <c r="K44" i="13"/>
  <c r="H44" i="13"/>
  <c r="Q44" i="19"/>
  <c r="J44" i="13"/>
  <c r="R164" i="13"/>
  <c r="S44" i="19"/>
  <c r="U164" i="13"/>
  <c r="N164" i="13"/>
  <c r="W164" i="13"/>
  <c r="W44" i="13"/>
  <c r="T164" i="13"/>
  <c r="P164" i="13"/>
  <c r="X164" i="13"/>
  <c r="Q164" i="13"/>
  <c r="Q44" i="13"/>
  <c r="V44" i="19"/>
  <c r="I44" i="19"/>
  <c r="U44" i="19"/>
  <c r="S44" i="13"/>
  <c r="V164" i="13"/>
  <c r="I44" i="13"/>
  <c r="S164" i="13"/>
  <c r="M44" i="13"/>
  <c r="Z159" i="13"/>
  <c r="V44" i="13"/>
  <c r="L44" i="13"/>
  <c r="R44" i="13"/>
  <c r="X44" i="19"/>
  <c r="O44" i="19"/>
  <c r="P44" i="19"/>
  <c r="J44" i="19"/>
  <c r="N44" i="19"/>
  <c r="Z35" i="13"/>
  <c r="R44" i="19"/>
  <c r="Y44" i="19"/>
  <c r="Z38" i="19"/>
  <c r="K44" i="19"/>
  <c r="O164" i="13"/>
  <c r="K164" i="13"/>
  <c r="J164" i="13"/>
  <c r="Y164" i="13"/>
  <c r="L164" i="13"/>
  <c r="M164" i="13"/>
  <c r="I164" i="13"/>
  <c r="Z36" i="19"/>
  <c r="Z31" i="19"/>
  <c r="Z160" i="19"/>
  <c r="Z35" i="19"/>
  <c r="S164" i="19"/>
  <c r="Z161" i="19"/>
  <c r="Z149" i="19"/>
  <c r="Z162" i="19"/>
  <c r="Z43" i="19"/>
  <c r="Z148" i="19"/>
  <c r="Z144" i="19"/>
  <c r="L164" i="19"/>
  <c r="Z142" i="19"/>
  <c r="I164" i="19"/>
  <c r="Q164" i="19"/>
  <c r="Z32" i="19"/>
  <c r="K164" i="19"/>
  <c r="Z153" i="19"/>
  <c r="Z143" i="19"/>
  <c r="Z147" i="19"/>
  <c r="Z141" i="19"/>
  <c r="Z152" i="19"/>
  <c r="T164" i="19"/>
  <c r="H164" i="19"/>
  <c r="Z154" i="19"/>
  <c r="Y164" i="19"/>
  <c r="P164" i="19"/>
  <c r="V246" i="19"/>
  <c r="S246" i="19"/>
  <c r="P246" i="19"/>
  <c r="Q246" i="19"/>
  <c r="N246" i="19"/>
  <c r="W246" i="19"/>
  <c r="I246" i="19"/>
  <c r="L246" i="19"/>
  <c r="J246" i="19"/>
  <c r="H246" i="19"/>
  <c r="M246" i="19"/>
  <c r="O246" i="19"/>
  <c r="U246" i="19"/>
  <c r="Y246" i="19"/>
  <c r="R246" i="19"/>
  <c r="K246" i="19"/>
  <c r="T246" i="19"/>
  <c r="X246" i="19"/>
  <c r="Z156" i="19"/>
  <c r="Z42" i="19"/>
  <c r="W164" i="19"/>
  <c r="U164" i="19"/>
  <c r="Z37" i="19"/>
  <c r="Z151" i="19"/>
  <c r="J164" i="19"/>
  <c r="R164" i="19"/>
  <c r="Z163" i="19"/>
  <c r="Z155" i="19"/>
  <c r="N164" i="19"/>
  <c r="Z33" i="19"/>
  <c r="Z157" i="19"/>
  <c r="Z34" i="19"/>
  <c r="X164" i="19"/>
  <c r="V164" i="19"/>
  <c r="Z158" i="19"/>
  <c r="M164" i="19"/>
  <c r="Z150" i="19"/>
  <c r="Z146" i="19"/>
  <c r="Z145" i="19"/>
  <c r="O164" i="19"/>
  <c r="Z140" i="19"/>
  <c r="Z39" i="19"/>
  <c r="Z30" i="19"/>
  <c r="Z41" i="19"/>
  <c r="Z40" i="19"/>
  <c r="Z159" i="19"/>
  <c r="K249" i="13"/>
  <c r="Z28" i="19"/>
  <c r="Z18" i="19"/>
  <c r="Z115" i="19"/>
  <c r="Z25" i="19"/>
  <c r="Z137" i="19"/>
  <c r="Z125" i="19"/>
  <c r="Z17" i="19"/>
  <c r="Z116" i="19"/>
  <c r="Z127" i="19"/>
  <c r="N249" i="13"/>
  <c r="L249" i="13"/>
  <c r="Z26" i="19"/>
  <c r="Z120" i="19"/>
  <c r="Z132" i="19"/>
  <c r="Z22" i="19"/>
  <c r="Z128" i="19"/>
  <c r="Z138" i="19"/>
  <c r="Z117" i="19"/>
  <c r="Z121" i="19"/>
  <c r="Z129" i="19"/>
  <c r="P249" i="13"/>
  <c r="M249" i="13"/>
  <c r="X249" i="13"/>
  <c r="Z20" i="19"/>
  <c r="Z19" i="19"/>
  <c r="Z133" i="19"/>
  <c r="Z134" i="19"/>
  <c r="Z122" i="19"/>
  <c r="Z135" i="19"/>
  <c r="Z136" i="19"/>
  <c r="Z118" i="19"/>
  <c r="Z24" i="19"/>
  <c r="Z123" i="19"/>
  <c r="Z119" i="13"/>
  <c r="Z120" i="13"/>
  <c r="Z22" i="13"/>
  <c r="Z124" i="19"/>
  <c r="Z131" i="19"/>
  <c r="Z126" i="19"/>
  <c r="Z27" i="19"/>
  <c r="Z119" i="19"/>
  <c r="Z21" i="19"/>
  <c r="Z23" i="19"/>
  <c r="Z130" i="19"/>
  <c r="Z128" i="13"/>
  <c r="Z132" i="13"/>
  <c r="Z138" i="13"/>
  <c r="Z126" i="13"/>
  <c r="Z118" i="13"/>
  <c r="Z137" i="13"/>
  <c r="Z129" i="13"/>
  <c r="Z25" i="13"/>
  <c r="Z125" i="13"/>
  <c r="Z133" i="13"/>
  <c r="Q148" i="12"/>
  <c r="R148" i="12"/>
  <c r="O148" i="12"/>
  <c r="L161" i="12"/>
  <c r="M161" i="12" a="1"/>
  <c r="M161" i="12" s="1"/>
  <c r="K161" i="12"/>
  <c r="R246" i="13"/>
  <c r="Y246" i="13"/>
  <c r="H246" i="13"/>
  <c r="P246" i="13"/>
  <c r="W246" i="13"/>
  <c r="Q99" i="12"/>
  <c r="R99" i="12"/>
  <c r="O99" i="12"/>
  <c r="J245" i="13"/>
  <c r="Q245" i="13"/>
  <c r="O74" i="16"/>
  <c r="P245" i="13"/>
  <c r="V245" i="13"/>
  <c r="K176" i="12"/>
  <c r="L176" i="12"/>
  <c r="M176" i="12" a="1"/>
  <c r="M176" i="12" s="1"/>
  <c r="O150" i="12"/>
  <c r="Q150" i="12"/>
  <c r="R150" i="12"/>
  <c r="L142" i="12"/>
  <c r="O104" i="12"/>
  <c r="Q104" i="12"/>
  <c r="R104" i="12"/>
  <c r="S27" i="5"/>
  <c r="Q27" i="5"/>
  <c r="R27" i="5" s="1"/>
  <c r="I249" i="13"/>
  <c r="K170" i="12"/>
  <c r="M170" i="12" a="1"/>
  <c r="M170" i="12" s="1"/>
  <c r="L170" i="12"/>
  <c r="V249" i="13"/>
  <c r="Z171" i="13"/>
  <c r="Z48" i="13"/>
  <c r="Z167" i="13"/>
  <c r="Z174" i="13"/>
  <c r="Z183" i="13"/>
  <c r="Z166" i="13"/>
  <c r="K167" i="12"/>
  <c r="L167" i="12"/>
  <c r="M167" i="12" a="1"/>
  <c r="M167" i="12" s="1"/>
  <c r="H164" i="13"/>
  <c r="Z38" i="13"/>
  <c r="Z162" i="13"/>
  <c r="Z148" i="13"/>
  <c r="Z149" i="13"/>
  <c r="Z30" i="13"/>
  <c r="Z145" i="13"/>
  <c r="Z43" i="13"/>
  <c r="R101" i="12"/>
  <c r="Q101" i="12"/>
  <c r="O101" i="12"/>
  <c r="S30" i="5"/>
  <c r="Q30" i="5"/>
  <c r="R30" i="5" s="1"/>
  <c r="Z199" i="13"/>
  <c r="Z187" i="13"/>
  <c r="Z209" i="13"/>
  <c r="Z212" i="13"/>
  <c r="Z207" i="13"/>
  <c r="Z235" i="13"/>
  <c r="J237" i="12"/>
  <c r="Z18" i="13"/>
  <c r="Z117" i="13"/>
  <c r="Z134" i="13"/>
  <c r="Z121" i="13"/>
  <c r="Z127" i="13"/>
  <c r="L162" i="12"/>
  <c r="K162" i="12"/>
  <c r="M162" i="12" a="1"/>
  <c r="M162" i="12" s="1"/>
  <c r="K246" i="13"/>
  <c r="V246" i="13"/>
  <c r="J246" i="13"/>
  <c r="M246" i="13"/>
  <c r="O105" i="12"/>
  <c r="Q105" i="12"/>
  <c r="R105" i="12"/>
  <c r="Z236" i="13"/>
  <c r="Z239" i="13"/>
  <c r="F237" i="12"/>
  <c r="K237" i="12"/>
  <c r="K245" i="13"/>
  <c r="N245" i="13"/>
  <c r="U245" i="13"/>
  <c r="W245" i="13"/>
  <c r="L163" i="12"/>
  <c r="M163" i="12" a="1"/>
  <c r="M163" i="12" s="1"/>
  <c r="K163" i="12"/>
  <c r="Q151" i="12"/>
  <c r="O151" i="12"/>
  <c r="R151" i="12"/>
  <c r="K166" i="12"/>
  <c r="M166" i="12" a="1"/>
  <c r="M166" i="12" s="1"/>
  <c r="L166" i="12"/>
  <c r="Q103" i="12"/>
  <c r="R103" i="12"/>
  <c r="O103" i="12"/>
  <c r="Q108" i="12"/>
  <c r="O108" i="12"/>
  <c r="R108" i="12"/>
  <c r="Z241" i="13"/>
  <c r="K171" i="12"/>
  <c r="L171" i="12"/>
  <c r="M171" i="12" a="1"/>
  <c r="M171" i="12" s="1"/>
  <c r="Q249" i="13"/>
  <c r="U249" i="13"/>
  <c r="H184" i="13"/>
  <c r="Z46" i="13"/>
  <c r="Z175" i="13"/>
  <c r="Z181" i="13"/>
  <c r="Z176" i="13"/>
  <c r="Z182" i="13"/>
  <c r="M177" i="12" a="1"/>
  <c r="M177" i="12" s="1"/>
  <c r="K177" i="12"/>
  <c r="L177" i="12"/>
  <c r="Q146" i="12"/>
  <c r="O146" i="12"/>
  <c r="R146" i="12"/>
  <c r="O143" i="12"/>
  <c r="Q143" i="12"/>
  <c r="R143" i="12"/>
  <c r="Z32" i="13"/>
  <c r="Z158" i="13"/>
  <c r="Z34" i="13"/>
  <c r="Z161" i="13"/>
  <c r="Z39" i="13"/>
  <c r="Z156" i="13"/>
  <c r="Z42" i="13"/>
  <c r="Z40" i="13"/>
  <c r="Z37" i="13"/>
  <c r="Z142" i="13"/>
  <c r="Z41" i="13"/>
  <c r="Z144" i="13"/>
  <c r="Z163" i="13"/>
  <c r="R106" i="12"/>
  <c r="Q106" i="12"/>
  <c r="O106" i="12"/>
  <c r="H216" i="13"/>
  <c r="Z186" i="13"/>
  <c r="Z191" i="13"/>
  <c r="Z201" i="13"/>
  <c r="Z198" i="13"/>
  <c r="Z213" i="13"/>
  <c r="Z214" i="13"/>
  <c r="Z211" i="13"/>
  <c r="T249" i="13"/>
  <c r="Z240" i="13"/>
  <c r="Z234" i="13"/>
  <c r="Z123" i="13"/>
  <c r="Z27" i="13"/>
  <c r="Z19" i="13"/>
  <c r="Z116" i="13"/>
  <c r="Z115" i="13"/>
  <c r="Z28" i="13"/>
  <c r="Z135" i="13"/>
  <c r="Z26" i="13"/>
  <c r="Z20" i="13"/>
  <c r="Z124" i="13"/>
  <c r="Z136" i="13"/>
  <c r="O153" i="12"/>
  <c r="Q153" i="12"/>
  <c r="L175" i="12"/>
  <c r="M175" i="12" a="1"/>
  <c r="M175" i="12" s="1"/>
  <c r="K175" i="12"/>
  <c r="M173" i="12" a="1"/>
  <c r="M173" i="12" s="1"/>
  <c r="K173" i="12"/>
  <c r="L173" i="12"/>
  <c r="T246" i="13"/>
  <c r="O75" i="16"/>
  <c r="O246" i="13"/>
  <c r="I246" i="13"/>
  <c r="N246" i="13"/>
  <c r="L98" i="12"/>
  <c r="N111" i="12"/>
  <c r="Q29" i="5"/>
  <c r="R29" i="5" s="1"/>
  <c r="S29" i="5"/>
  <c r="J249" i="13"/>
  <c r="I237" i="12"/>
  <c r="H237" i="12"/>
  <c r="H245" i="13"/>
  <c r="O245" i="13"/>
  <c r="R245" i="13"/>
  <c r="I245" i="13"/>
  <c r="T245" i="13"/>
  <c r="M142" i="12"/>
  <c r="P154" i="12"/>
  <c r="Q152" i="12"/>
  <c r="R152" i="12"/>
  <c r="O152" i="12"/>
  <c r="O144" i="12"/>
  <c r="Q144" i="12"/>
  <c r="R144" i="12"/>
  <c r="O100" i="12"/>
  <c r="Q100" i="12"/>
  <c r="R100" i="12"/>
  <c r="Q102" i="12"/>
  <c r="R102" i="12"/>
  <c r="O102" i="12"/>
  <c r="Z233" i="13"/>
  <c r="M74" i="16"/>
  <c r="Q149" i="12"/>
  <c r="R149" i="12"/>
  <c r="O149" i="12"/>
  <c r="K164" i="12"/>
  <c r="L164" i="12"/>
  <c r="M164" i="12" a="1"/>
  <c r="M164" i="12" s="1"/>
  <c r="R107" i="12"/>
  <c r="Q107" i="12"/>
  <c r="O107" i="12"/>
  <c r="O249" i="13"/>
  <c r="H249" i="13"/>
  <c r="Z232" i="13"/>
  <c r="M75" i="16"/>
  <c r="Z180" i="13"/>
  <c r="Z177" i="13"/>
  <c r="Z173" i="13"/>
  <c r="Z178" i="13"/>
  <c r="Z172" i="13"/>
  <c r="Z165" i="13"/>
  <c r="K169" i="12"/>
  <c r="L169" i="12"/>
  <c r="M169" i="12" a="1"/>
  <c r="M169" i="12" s="1"/>
  <c r="L159" i="12"/>
  <c r="K159" i="12"/>
  <c r="M159" i="12" a="1"/>
  <c r="M159" i="12" s="1"/>
  <c r="Z147" i="13"/>
  <c r="U44" i="13"/>
  <c r="Z141" i="13"/>
  <c r="Z153" i="13"/>
  <c r="Z155" i="13"/>
  <c r="Z36" i="13"/>
  <c r="Z33" i="13"/>
  <c r="Z157" i="13"/>
  <c r="Z143" i="13"/>
  <c r="Z140" i="13"/>
  <c r="Z160" i="13"/>
  <c r="Z189" i="13"/>
  <c r="Z194" i="13"/>
  <c r="Z192" i="13"/>
  <c r="Z195" i="13"/>
  <c r="Z196" i="13"/>
  <c r="Z206" i="13"/>
  <c r="Z210" i="13"/>
  <c r="Z215" i="13"/>
  <c r="Z208" i="13"/>
  <c r="Z237" i="13"/>
  <c r="G237" i="12"/>
  <c r="L237" i="12"/>
  <c r="H29" i="13"/>
  <c r="Z23" i="13"/>
  <c r="Z131" i="13"/>
  <c r="Z130" i="13"/>
  <c r="Z17" i="13"/>
  <c r="Z21" i="13"/>
  <c r="Z24" i="13"/>
  <c r="Z122" i="13"/>
  <c r="R147" i="12"/>
  <c r="O147" i="12"/>
  <c r="Q147" i="12"/>
  <c r="K160" i="12"/>
  <c r="L160" i="12"/>
  <c r="M160" i="12" a="1"/>
  <c r="M160" i="12" s="1"/>
  <c r="M174" i="12" a="1"/>
  <c r="M174" i="12" s="1"/>
  <c r="L174" i="12"/>
  <c r="K174" i="12"/>
  <c r="Q246" i="13"/>
  <c r="X246" i="13"/>
  <c r="L246" i="13"/>
  <c r="S246" i="13"/>
  <c r="U246" i="13"/>
  <c r="O110" i="12"/>
  <c r="Q110" i="12"/>
  <c r="S25" i="5"/>
  <c r="Q25" i="5"/>
  <c r="R25" i="5" s="1"/>
  <c r="Z238" i="13"/>
  <c r="M245" i="13"/>
  <c r="X245" i="13"/>
  <c r="L245" i="13"/>
  <c r="S245" i="13"/>
  <c r="Y245" i="13"/>
  <c r="K165" i="12"/>
  <c r="L165" i="12"/>
  <c r="M165" i="12" a="1"/>
  <c r="M165" i="12" s="1"/>
  <c r="Q28" i="5"/>
  <c r="R28" i="5" s="1"/>
  <c r="S28" i="5"/>
  <c r="Z242" i="13"/>
  <c r="K168" i="12"/>
  <c r="L168" i="12"/>
  <c r="M168" i="12" a="1"/>
  <c r="M168" i="12" s="1"/>
  <c r="Q26" i="5"/>
  <c r="R26" i="5" s="1"/>
  <c r="S26" i="5"/>
  <c r="Z170" i="13"/>
  <c r="Z45" i="13"/>
  <c r="Z168" i="13"/>
  <c r="Z169" i="13"/>
  <c r="O145" i="12"/>
  <c r="R145" i="12"/>
  <c r="Q145" i="12"/>
  <c r="Z152" i="13"/>
  <c r="Z31" i="13"/>
  <c r="Z146" i="13"/>
  <c r="Z150" i="13"/>
  <c r="Z151" i="13"/>
  <c r="Z154" i="13"/>
  <c r="M98" i="12"/>
  <c r="P111" i="12"/>
  <c r="Z197" i="13"/>
  <c r="Z190" i="13"/>
  <c r="Z202" i="13"/>
  <c r="Z185" i="13"/>
  <c r="Z200" i="13"/>
  <c r="Z203" i="13"/>
  <c r="Z204" i="13"/>
  <c r="W249" i="13"/>
  <c r="K117" i="12"/>
  <c r="K129" i="12"/>
  <c r="K121" i="12"/>
  <c r="K130" i="12"/>
  <c r="K127" i="12"/>
  <c r="K126" i="12"/>
  <c r="K128" i="12"/>
  <c r="K124" i="12"/>
  <c r="K133" i="12"/>
  <c r="K125" i="12"/>
  <c r="K119" i="12"/>
  <c r="K118" i="12"/>
  <c r="K122" i="12"/>
  <c r="K131" i="12"/>
  <c r="K120" i="12"/>
  <c r="K132" i="12"/>
  <c r="K123" i="12"/>
  <c r="BA237" i="12" l="1"/>
  <c r="AZ237" i="12"/>
  <c r="AY237" i="12"/>
  <c r="BB237" i="12"/>
  <c r="BD237" i="12"/>
  <c r="AX237" i="12"/>
  <c r="BC237" i="12"/>
  <c r="R110" i="12"/>
  <c r="BH154" i="12"/>
  <c r="BJ153" i="12"/>
  <c r="BJ154" i="12" s="1"/>
  <c r="BF111" i="12"/>
  <c r="BD111" i="12" s="1"/>
  <c r="BJ110" i="12"/>
  <c r="BJ111" i="12" s="1"/>
  <c r="BG110" i="12"/>
  <c r="BH111" i="12"/>
  <c r="BG154" i="12"/>
  <c r="BE154" i="12"/>
  <c r="BL12" i="12"/>
  <c r="BI111" i="12"/>
  <c r="BH13" i="12" s="1"/>
  <c r="BI154" i="12"/>
  <c r="BL13" i="12" s="1"/>
  <c r="BG111" i="12"/>
  <c r="AX23" i="12"/>
  <c r="BL11" i="12"/>
  <c r="Z29" i="13"/>
  <c r="Z245" i="19"/>
  <c r="AP9" i="12"/>
  <c r="AH154" i="12"/>
  <c r="AK98" i="12"/>
  <c r="AN98" i="12"/>
  <c r="AM98" i="12"/>
  <c r="AL154" i="12"/>
  <c r="AI153" i="12"/>
  <c r="AL111" i="12"/>
  <c r="AM142" i="12"/>
  <c r="AN142" i="12"/>
  <c r="AK142" i="12"/>
  <c r="AM110" i="12"/>
  <c r="AN110" i="12"/>
  <c r="AK110" i="12"/>
  <c r="AJ111" i="12"/>
  <c r="Z16" i="13"/>
  <c r="AB16" i="13" s="1"/>
  <c r="R153" i="12"/>
  <c r="N154" i="12"/>
  <c r="L154" i="12" s="1"/>
  <c r="Z248" i="13"/>
  <c r="Z184" i="13"/>
  <c r="Z249" i="19"/>
  <c r="Z216" i="13"/>
  <c r="Z139" i="19"/>
  <c r="Z216" i="19"/>
  <c r="Z184" i="19"/>
  <c r="Z44" i="13"/>
  <c r="Z44" i="19"/>
  <c r="Z164" i="13"/>
  <c r="Z164" i="19"/>
  <c r="AB31" i="13"/>
  <c r="Z246" i="19"/>
  <c r="AB31" i="19"/>
  <c r="Z16" i="19"/>
  <c r="AB16" i="19" s="1"/>
  <c r="Z29" i="19"/>
  <c r="Z249" i="13"/>
  <c r="AB116" i="19"/>
  <c r="Q98" i="12"/>
  <c r="Q111" i="12" s="1"/>
  <c r="P13" i="12" s="1"/>
  <c r="R98" i="12"/>
  <c r="R111" i="12" s="1"/>
  <c r="O98" i="12"/>
  <c r="O111" i="12" s="1"/>
  <c r="T12" i="12"/>
  <c r="M154" i="12"/>
  <c r="Z245" i="13"/>
  <c r="P9" i="12"/>
  <c r="L111" i="12"/>
  <c r="I116" i="12"/>
  <c r="P12" i="12"/>
  <c r="M111" i="12"/>
  <c r="O142" i="12"/>
  <c r="O154" i="12" s="1"/>
  <c r="Q142" i="12"/>
  <c r="Q154" i="12" s="1"/>
  <c r="T13" i="12" s="1"/>
  <c r="R142" i="12"/>
  <c r="R154" i="12" s="1"/>
  <c r="AB116" i="13"/>
  <c r="Z246" i="13"/>
  <c r="T9" i="12" l="1"/>
  <c r="BH9" i="12"/>
  <c r="BH12" i="12"/>
  <c r="BE111" i="12"/>
  <c r="BA116" i="12"/>
  <c r="AX22" i="12"/>
  <c r="BH11" i="12"/>
  <c r="BA115" i="12"/>
  <c r="BH10" i="12"/>
  <c r="BB158" i="12"/>
  <c r="BL10" i="12"/>
  <c r="AN111" i="12"/>
  <c r="AM153" i="12"/>
  <c r="AK153" i="12"/>
  <c r="AK154" i="12" s="1"/>
  <c r="AN153" i="12"/>
  <c r="AN154" i="12" s="1"/>
  <c r="AM111" i="12"/>
  <c r="AL13" i="12" s="1"/>
  <c r="AP12" i="12"/>
  <c r="AI154" i="12"/>
  <c r="AH111" i="12"/>
  <c r="AL9" i="12"/>
  <c r="AM154" i="12"/>
  <c r="AP13" i="12" s="1"/>
  <c r="AE116" i="12"/>
  <c r="AL12" i="12"/>
  <c r="AI111" i="12"/>
  <c r="AK111" i="12"/>
  <c r="T10" i="12"/>
  <c r="J158" i="12"/>
  <c r="I115" i="12"/>
  <c r="I135" i="12" s="1"/>
  <c r="P10" i="12"/>
  <c r="F23" i="12"/>
  <c r="T11" i="12"/>
  <c r="J116" i="12"/>
  <c r="K116" i="12"/>
  <c r="P11" i="12"/>
  <c r="F22" i="12"/>
  <c r="BB116" i="12" l="1"/>
  <c r="BC116" i="12"/>
  <c r="BB179" i="12"/>
  <c r="BB180" i="12" s="1"/>
  <c r="BD158" i="12"/>
  <c r="BC158" i="12"/>
  <c r="BE158" i="12" a="1"/>
  <c r="BE158" i="12" s="1"/>
  <c r="BA135" i="12"/>
  <c r="BC115" i="12"/>
  <c r="BB115" i="12"/>
  <c r="AL10" i="12"/>
  <c r="AE115" i="12"/>
  <c r="AG116" i="12"/>
  <c r="AF116" i="12"/>
  <c r="AB23" i="12"/>
  <c r="AP11" i="12"/>
  <c r="AF158" i="12"/>
  <c r="AP10" i="12"/>
  <c r="AL11" i="12"/>
  <c r="AB22" i="12"/>
  <c r="J179" i="12"/>
  <c r="J180" i="12" s="1"/>
  <c r="M158" i="12" a="1"/>
  <c r="M158" i="12" s="1"/>
  <c r="L158" i="12"/>
  <c r="K158" i="12"/>
  <c r="J135" i="12"/>
  <c r="K135" i="12"/>
  <c r="J115" i="12"/>
  <c r="I136" i="12"/>
  <c r="K115" i="12"/>
  <c r="J136" i="12" l="1"/>
  <c r="P16" i="12" s="1"/>
  <c r="K136" i="12"/>
  <c r="AX12" i="12"/>
  <c r="BL15" i="12"/>
  <c r="BC135" i="12"/>
  <c r="BC136" i="12" s="1"/>
  <c r="BB135" i="12"/>
  <c r="BB136" i="12" s="1"/>
  <c r="BH16" i="12" s="1"/>
  <c r="BA136" i="12"/>
  <c r="BE179" i="12" a="1"/>
  <c r="BE179" i="12" s="1"/>
  <c r="BE180" i="12" s="1"/>
  <c r="BL18" i="12" s="1"/>
  <c r="BC179" i="12"/>
  <c r="BC180" i="12" s="1"/>
  <c r="BL16" i="12" s="1"/>
  <c r="BD179" i="12"/>
  <c r="BD180" i="12" s="1"/>
  <c r="AH158" i="12"/>
  <c r="AF179" i="12"/>
  <c r="AG158" i="12"/>
  <c r="AI158" i="12" a="1"/>
  <c r="AI158" i="12" s="1"/>
  <c r="AE135" i="12"/>
  <c r="AE136" i="12" s="1"/>
  <c r="AG115" i="12"/>
  <c r="AF115" i="12"/>
  <c r="F12" i="12"/>
  <c r="T15" i="12"/>
  <c r="K179" i="12"/>
  <c r="K180" i="12" s="1"/>
  <c r="T16" i="12" s="1"/>
  <c r="L179" i="12"/>
  <c r="L180" i="12" s="1"/>
  <c r="M179" i="12" a="1"/>
  <c r="M179" i="12" s="1"/>
  <c r="M180" i="12" s="1"/>
  <c r="T18" i="12" s="1"/>
  <c r="P17" i="12"/>
  <c r="T17" i="12"/>
  <c r="P15" i="12"/>
  <c r="F11" i="12"/>
  <c r="BH17" i="12" l="1"/>
  <c r="BL17" i="12"/>
  <c r="BH15" i="12"/>
  <c r="AX11" i="12"/>
  <c r="AG135" i="12"/>
  <c r="AG136" i="12" s="1"/>
  <c r="AF135" i="12"/>
  <c r="AF136" i="12" s="1"/>
  <c r="AL16" i="12" s="1"/>
  <c r="AF180" i="12"/>
  <c r="AH179" i="12"/>
  <c r="AH180" i="12" s="1"/>
  <c r="AI179" i="12" a="1"/>
  <c r="AI179" i="12" s="1"/>
  <c r="AI180" i="12" s="1"/>
  <c r="AP18" i="12" s="1"/>
  <c r="AG179" i="12"/>
  <c r="AG180" i="12" s="1"/>
  <c r="AP16" i="12" s="1"/>
  <c r="AL15" i="12"/>
  <c r="AB11" i="12"/>
  <c r="AB12" i="12" l="1"/>
  <c r="AP15" i="12"/>
  <c r="AP17" i="12"/>
  <c r="AL17" i="12"/>
  <c r="F19" i="12"/>
  <c r="F217" i="1"/>
  <c r="J217" i="1" s="1"/>
  <c r="O217" i="1" s="1"/>
  <c r="F243" i="1"/>
  <c r="J243" i="1" s="1"/>
  <c r="O243" i="1" s="1"/>
  <c r="J165" i="1"/>
  <c r="F224" i="1" l="1"/>
  <c r="J224" i="1" s="1"/>
  <c r="O224" i="1" s="1"/>
  <c r="U224" i="1" s="1"/>
  <c r="F245" i="1"/>
  <c r="J245" i="1" s="1"/>
  <c r="O245" i="1" s="1"/>
  <c r="X245" i="1" s="1"/>
  <c r="F257" i="1"/>
  <c r="J257" i="1" s="1"/>
  <c r="O257" i="1" s="1"/>
  <c r="X257" i="1" s="1"/>
  <c r="V245" i="1"/>
  <c r="W245" i="1" s="1"/>
  <c r="U245" i="1"/>
  <c r="S245" i="1"/>
  <c r="O165" i="1"/>
  <c r="V224" i="1"/>
  <c r="W224" i="1" s="1"/>
  <c r="X224" i="1"/>
  <c r="S224" i="1"/>
  <c r="V217" i="1"/>
  <c r="W217" i="1" s="1"/>
  <c r="X217" i="1"/>
  <c r="U217" i="1"/>
  <c r="S217" i="1"/>
  <c r="V243" i="1"/>
  <c r="W243" i="1" s="1"/>
  <c r="X243" i="1"/>
  <c r="U243" i="1"/>
  <c r="S243" i="1"/>
  <c r="F219" i="1"/>
  <c r="J219" i="1" s="1"/>
  <c r="F222" i="1"/>
  <c r="J222" i="1" s="1"/>
  <c r="O222" i="1" s="1"/>
  <c r="F241" i="1"/>
  <c r="J241" i="1" s="1"/>
  <c r="O241" i="1" s="1"/>
  <c r="F250" i="1"/>
  <c r="J250" i="1" s="1"/>
  <c r="O250" i="1" s="1"/>
  <c r="F227" i="1"/>
  <c r="J227" i="1" s="1"/>
  <c r="O227" i="1" s="1"/>
  <c r="F267" i="1"/>
  <c r="J267" i="1" s="1"/>
  <c r="O267" i="1" s="1"/>
  <c r="F269" i="1"/>
  <c r="J269" i="1" s="1"/>
  <c r="O269" i="1" s="1"/>
  <c r="F240" i="1"/>
  <c r="J240" i="1" s="1"/>
  <c r="O240" i="1" s="1"/>
  <c r="F220" i="1"/>
  <c r="J220" i="1" s="1"/>
  <c r="O220" i="1" s="1"/>
  <c r="F262" i="1"/>
  <c r="J262" i="1" s="1"/>
  <c r="O262" i="1" s="1"/>
  <c r="F261" i="1"/>
  <c r="J261" i="1" s="1"/>
  <c r="O261" i="1" s="1"/>
  <c r="F232" i="1"/>
  <c r="J232" i="1" s="1"/>
  <c r="O232" i="1" s="1"/>
  <c r="F239" i="1"/>
  <c r="J239" i="1" s="1"/>
  <c r="O239" i="1" s="1"/>
  <c r="F258" i="1"/>
  <c r="J258" i="1" s="1"/>
  <c r="O258" i="1" s="1"/>
  <c r="F231" i="1"/>
  <c r="J231" i="1" s="1"/>
  <c r="O231" i="1" s="1"/>
  <c r="F266" i="1"/>
  <c r="J266" i="1" s="1"/>
  <c r="O266" i="1" s="1"/>
  <c r="F268" i="1"/>
  <c r="J268" i="1" s="1"/>
  <c r="O268" i="1" s="1"/>
  <c r="F256" i="1"/>
  <c r="J256" i="1" s="1"/>
  <c r="O256" i="1" s="1"/>
  <c r="F253" i="1"/>
  <c r="J253" i="1" s="1"/>
  <c r="O253" i="1" s="1"/>
  <c r="F236" i="1"/>
  <c r="J236" i="1" s="1"/>
  <c r="O236" i="1" s="1"/>
  <c r="F255" i="1"/>
  <c r="J255" i="1" s="1"/>
  <c r="O255" i="1" s="1"/>
  <c r="F264" i="1"/>
  <c r="J264" i="1" s="1"/>
  <c r="O264" i="1" s="1"/>
  <c r="F225" i="1"/>
  <c r="J225" i="1" s="1"/>
  <c r="O225" i="1" s="1"/>
  <c r="F252" i="1"/>
  <c r="J252" i="1" s="1"/>
  <c r="O252" i="1" s="1"/>
  <c r="F237" i="1"/>
  <c r="J237" i="1" s="1"/>
  <c r="O237" i="1" s="1"/>
  <c r="F229" i="1"/>
  <c r="J229" i="1" s="1"/>
  <c r="O229" i="1" s="1"/>
  <c r="F263" i="1"/>
  <c r="J263" i="1" s="1"/>
  <c r="O263" i="1" s="1"/>
  <c r="F254" i="1"/>
  <c r="J254" i="1" s="1"/>
  <c r="O254" i="1" s="1"/>
  <c r="F249" i="1"/>
  <c r="J249" i="1" s="1"/>
  <c r="O249" i="1" s="1"/>
  <c r="F234" i="1"/>
  <c r="J234" i="1" s="1"/>
  <c r="O234" i="1" s="1"/>
  <c r="F244" i="1"/>
  <c r="J244" i="1" s="1"/>
  <c r="O244" i="1" s="1"/>
  <c r="F230" i="1"/>
  <c r="J230" i="1" s="1"/>
  <c r="O230" i="1" s="1"/>
  <c r="F228" i="1"/>
  <c r="J228" i="1" s="1"/>
  <c r="O228" i="1" s="1"/>
  <c r="F251" i="1"/>
  <c r="J251" i="1" s="1"/>
  <c r="O251" i="1" s="1"/>
  <c r="F226" i="1"/>
  <c r="J226" i="1" s="1"/>
  <c r="O226" i="1" s="1"/>
  <c r="F221" i="1"/>
  <c r="J221" i="1" s="1"/>
  <c r="O221" i="1" s="1"/>
  <c r="F215" i="1"/>
  <c r="J215" i="1" s="1"/>
  <c r="O215" i="1" s="1"/>
  <c r="F247" i="1"/>
  <c r="J247" i="1" s="1"/>
  <c r="O247" i="1" s="1"/>
  <c r="F271" i="1"/>
  <c r="J271" i="1" s="1"/>
  <c r="O271" i="1" s="1"/>
  <c r="F246" i="1"/>
  <c r="J246" i="1" s="1"/>
  <c r="O246" i="1" s="1"/>
  <c r="F260" i="1"/>
  <c r="J260" i="1" s="1"/>
  <c r="O260" i="1" s="1"/>
  <c r="F238" i="1"/>
  <c r="J238" i="1" s="1"/>
  <c r="O238" i="1" s="1"/>
  <c r="F270" i="1"/>
  <c r="J270" i="1" s="1"/>
  <c r="O270" i="1" s="1"/>
  <c r="F265" i="1"/>
  <c r="J265" i="1" s="1"/>
  <c r="O265" i="1" s="1"/>
  <c r="F213" i="1"/>
  <c r="J213" i="1" s="1"/>
  <c r="O213" i="1" s="1"/>
  <c r="F212" i="1"/>
  <c r="J212" i="1" s="1"/>
  <c r="O212" i="1" s="1"/>
  <c r="F209" i="1"/>
  <c r="J209" i="1" s="1"/>
  <c r="O209" i="1" s="1"/>
  <c r="F210" i="1"/>
  <c r="J210" i="1" s="1"/>
  <c r="O210" i="1" s="1"/>
  <c r="F205" i="1"/>
  <c r="J205" i="1" s="1"/>
  <c r="O205" i="1" s="1"/>
  <c r="F211" i="1"/>
  <c r="J211" i="1" s="1"/>
  <c r="O211" i="1" s="1"/>
  <c r="F214" i="1"/>
  <c r="J214" i="1" s="1"/>
  <c r="O214" i="1" s="1"/>
  <c r="F218" i="1"/>
  <c r="J218" i="1" s="1"/>
  <c r="O218" i="1" s="1"/>
  <c r="F216" i="1"/>
  <c r="J216" i="1" s="1"/>
  <c r="O216" i="1" s="1"/>
  <c r="F202" i="1"/>
  <c r="J202" i="1" s="1"/>
  <c r="F208" i="1"/>
  <c r="J208" i="1" s="1"/>
  <c r="O208" i="1" s="1"/>
  <c r="F206" i="1"/>
  <c r="J206" i="1" s="1"/>
  <c r="O206" i="1" s="1"/>
  <c r="F203" i="1"/>
  <c r="J203" i="1" s="1"/>
  <c r="O203" i="1" s="1"/>
  <c r="F204" i="1"/>
  <c r="J204" i="1" s="1"/>
  <c r="O204" i="1" s="1"/>
  <c r="F207" i="1"/>
  <c r="J207" i="1" s="1"/>
  <c r="O207" i="1" s="1"/>
  <c r="F233" i="1"/>
  <c r="J233" i="1" s="1"/>
  <c r="O233" i="1" s="1"/>
  <c r="F259" i="1"/>
  <c r="J259" i="1" s="1"/>
  <c r="O259" i="1" s="1"/>
  <c r="F272" i="1"/>
  <c r="J272" i="1" s="1"/>
  <c r="O272" i="1" s="1"/>
  <c r="F248" i="1"/>
  <c r="J248" i="1" s="1"/>
  <c r="O248" i="1" s="1"/>
  <c r="F235" i="1"/>
  <c r="J235" i="1" s="1"/>
  <c r="O235" i="1" s="1"/>
  <c r="F242" i="1"/>
  <c r="J242" i="1" s="1"/>
  <c r="O242" i="1" s="1"/>
  <c r="F223" i="1"/>
  <c r="J223" i="1" s="1"/>
  <c r="O223" i="1" s="1"/>
  <c r="U257" i="1" l="1"/>
  <c r="V257" i="1"/>
  <c r="W257" i="1" s="1"/>
  <c r="S257" i="1"/>
  <c r="X242" i="1"/>
  <c r="V242" i="1"/>
  <c r="W242" i="1" s="1"/>
  <c r="S242" i="1"/>
  <c r="U242" i="1"/>
  <c r="X248" i="1"/>
  <c r="V248" i="1"/>
  <c r="W248" i="1" s="1"/>
  <c r="U248" i="1"/>
  <c r="S248" i="1"/>
  <c r="X259" i="1"/>
  <c r="V259" i="1"/>
  <c r="W259" i="1" s="1"/>
  <c r="U259" i="1"/>
  <c r="S259" i="1"/>
  <c r="V207" i="1"/>
  <c r="W207" i="1" s="1"/>
  <c r="X207" i="1"/>
  <c r="U207" i="1"/>
  <c r="S207" i="1"/>
  <c r="X203" i="1"/>
  <c r="V203" i="1"/>
  <c r="W203" i="1" s="1"/>
  <c r="S203" i="1"/>
  <c r="U203" i="1"/>
  <c r="X208" i="1"/>
  <c r="V208" i="1"/>
  <c r="W208" i="1" s="1"/>
  <c r="S208" i="1"/>
  <c r="U208" i="1"/>
  <c r="X216" i="1"/>
  <c r="V216" i="1"/>
  <c r="W216" i="1" s="1"/>
  <c r="U216" i="1"/>
  <c r="S216" i="1"/>
  <c r="V214" i="1"/>
  <c r="W214" i="1" s="1"/>
  <c r="U214" i="1"/>
  <c r="X214" i="1"/>
  <c r="S214" i="1"/>
  <c r="X205" i="1"/>
  <c r="S205" i="1"/>
  <c r="U205" i="1"/>
  <c r="V205" i="1"/>
  <c r="W205" i="1" s="1"/>
  <c r="X209" i="1"/>
  <c r="V209" i="1"/>
  <c r="W209" i="1" s="1"/>
  <c r="U209" i="1"/>
  <c r="S209" i="1"/>
  <c r="X213" i="1"/>
  <c r="V213" i="1"/>
  <c r="W213" i="1" s="1"/>
  <c r="S213" i="1"/>
  <c r="U213" i="1"/>
  <c r="V270" i="1"/>
  <c r="W270" i="1" s="1"/>
  <c r="X270" i="1"/>
  <c r="U270" i="1"/>
  <c r="S270" i="1"/>
  <c r="X260" i="1"/>
  <c r="V260" i="1"/>
  <c r="W260" i="1" s="1"/>
  <c r="U260" i="1"/>
  <c r="S260" i="1"/>
  <c r="X271" i="1"/>
  <c r="V271" i="1"/>
  <c r="W271" i="1" s="1"/>
  <c r="S271" i="1"/>
  <c r="U271" i="1"/>
  <c r="X215" i="1"/>
  <c r="V215" i="1"/>
  <c r="W215" i="1" s="1"/>
  <c r="S215" i="1"/>
  <c r="U215" i="1"/>
  <c r="X226" i="1"/>
  <c r="V226" i="1"/>
  <c r="W226" i="1" s="1"/>
  <c r="U226" i="1"/>
  <c r="S226" i="1"/>
  <c r="X228" i="1"/>
  <c r="V228" i="1"/>
  <c r="W228" i="1" s="1"/>
  <c r="U228" i="1"/>
  <c r="S228" i="1"/>
  <c r="V244" i="1"/>
  <c r="W244" i="1" s="1"/>
  <c r="X244" i="1"/>
  <c r="U244" i="1"/>
  <c r="S244" i="1"/>
  <c r="V249" i="1"/>
  <c r="W249" i="1" s="1"/>
  <c r="X249" i="1"/>
  <c r="S249" i="1"/>
  <c r="U249" i="1"/>
  <c r="X263" i="1"/>
  <c r="V263" i="1"/>
  <c r="W263" i="1" s="1"/>
  <c r="S263" i="1"/>
  <c r="U263" i="1"/>
  <c r="X237" i="1"/>
  <c r="V237" i="1"/>
  <c r="W237" i="1" s="1"/>
  <c r="S237" i="1"/>
  <c r="U237" i="1"/>
  <c r="V225" i="1"/>
  <c r="W225" i="1" s="1"/>
  <c r="X225" i="1"/>
  <c r="S225" i="1"/>
  <c r="U225" i="1"/>
  <c r="X255" i="1"/>
  <c r="V255" i="1"/>
  <c r="W255" i="1" s="1"/>
  <c r="S255" i="1"/>
  <c r="U255" i="1"/>
  <c r="X253" i="1"/>
  <c r="U253" i="1"/>
  <c r="V253" i="1"/>
  <c r="W253" i="1" s="1"/>
  <c r="S253" i="1"/>
  <c r="V268" i="1"/>
  <c r="W268" i="1" s="1"/>
  <c r="X268" i="1"/>
  <c r="U268" i="1"/>
  <c r="S268" i="1"/>
  <c r="X231" i="1"/>
  <c r="S231" i="1"/>
  <c r="U231" i="1"/>
  <c r="V231" i="1"/>
  <c r="W231" i="1" s="1"/>
  <c r="X239" i="1"/>
  <c r="U239" i="1"/>
  <c r="S239" i="1"/>
  <c r="V239" i="1"/>
  <c r="W239" i="1" s="1"/>
  <c r="X261" i="1"/>
  <c r="V261" i="1"/>
  <c r="W261" i="1" s="1"/>
  <c r="U261" i="1"/>
  <c r="S261" i="1"/>
  <c r="X220" i="1"/>
  <c r="U220" i="1"/>
  <c r="V220" i="1"/>
  <c r="W220" i="1" s="1"/>
  <c r="S220" i="1"/>
  <c r="V269" i="1"/>
  <c r="W269" i="1" s="1"/>
  <c r="X269" i="1"/>
  <c r="U269" i="1"/>
  <c r="S269" i="1"/>
  <c r="X227" i="1"/>
  <c r="U227" i="1"/>
  <c r="V227" i="1"/>
  <c r="W227" i="1" s="1"/>
  <c r="S227" i="1"/>
  <c r="V241" i="1"/>
  <c r="W241" i="1" s="1"/>
  <c r="X241" i="1"/>
  <c r="S241" i="1"/>
  <c r="U241" i="1"/>
  <c r="O219" i="1"/>
  <c r="AO243" i="1"/>
  <c r="Y243" i="1"/>
  <c r="Z243" i="1" s="1"/>
  <c r="AO217" i="1"/>
  <c r="Y217" i="1"/>
  <c r="Z217" i="1" s="1"/>
  <c r="Y224" i="1"/>
  <c r="Z224" i="1" s="1"/>
  <c r="AO224" i="1"/>
  <c r="AO257" i="1"/>
  <c r="Y257" i="1"/>
  <c r="Z257" i="1" s="1"/>
  <c r="AA245" i="1"/>
  <c r="AM245" i="1"/>
  <c r="T245" i="1"/>
  <c r="AN245" i="1" s="1"/>
  <c r="X223" i="1"/>
  <c r="V223" i="1"/>
  <c r="W223" i="1" s="1"/>
  <c r="U223" i="1"/>
  <c r="S223" i="1"/>
  <c r="V235" i="1"/>
  <c r="W235" i="1" s="1"/>
  <c r="X235" i="1"/>
  <c r="U235" i="1"/>
  <c r="S235" i="1"/>
  <c r="V272" i="1"/>
  <c r="W272" i="1" s="1"/>
  <c r="X272" i="1"/>
  <c r="U272" i="1"/>
  <c r="S272" i="1"/>
  <c r="X233" i="1"/>
  <c r="V233" i="1"/>
  <c r="W233" i="1" s="1"/>
  <c r="S233" i="1"/>
  <c r="U233" i="1"/>
  <c r="V204" i="1"/>
  <c r="W204" i="1" s="1"/>
  <c r="X204" i="1"/>
  <c r="U204" i="1"/>
  <c r="S204" i="1"/>
  <c r="V206" i="1"/>
  <c r="W206" i="1" s="1"/>
  <c r="X206" i="1"/>
  <c r="S206" i="1"/>
  <c r="U206" i="1"/>
  <c r="O202" i="1"/>
  <c r="X218" i="1"/>
  <c r="V218" i="1"/>
  <c r="W218" i="1" s="1"/>
  <c r="S218" i="1"/>
  <c r="U218" i="1"/>
  <c r="S211" i="1"/>
  <c r="X211" i="1"/>
  <c r="V211" i="1"/>
  <c r="W211" i="1" s="1"/>
  <c r="U211" i="1"/>
  <c r="V210" i="1"/>
  <c r="W210" i="1" s="1"/>
  <c r="X210" i="1"/>
  <c r="S210" i="1"/>
  <c r="U210" i="1"/>
  <c r="X212" i="1"/>
  <c r="V212" i="1"/>
  <c r="W212" i="1" s="1"/>
  <c r="U212" i="1"/>
  <c r="S212" i="1"/>
  <c r="X265" i="1"/>
  <c r="V265" i="1"/>
  <c r="W265" i="1" s="1"/>
  <c r="S265" i="1"/>
  <c r="U265" i="1"/>
  <c r="X238" i="1"/>
  <c r="V238" i="1"/>
  <c r="W238" i="1" s="1"/>
  <c r="S238" i="1"/>
  <c r="U238" i="1"/>
  <c r="X246" i="1"/>
  <c r="V246" i="1"/>
  <c r="W246" i="1" s="1"/>
  <c r="S246" i="1"/>
  <c r="U246" i="1"/>
  <c r="X247" i="1"/>
  <c r="V247" i="1"/>
  <c r="W247" i="1" s="1"/>
  <c r="U247" i="1"/>
  <c r="S247" i="1"/>
  <c r="X221" i="1"/>
  <c r="V221" i="1"/>
  <c r="W221" i="1" s="1"/>
  <c r="S221" i="1"/>
  <c r="U221" i="1"/>
  <c r="X251" i="1"/>
  <c r="V251" i="1"/>
  <c r="W251" i="1" s="1"/>
  <c r="S251" i="1"/>
  <c r="U251" i="1"/>
  <c r="V230" i="1"/>
  <c r="W230" i="1" s="1"/>
  <c r="X230" i="1"/>
  <c r="U230" i="1"/>
  <c r="S230" i="1"/>
  <c r="V234" i="1"/>
  <c r="W234" i="1" s="1"/>
  <c r="X234" i="1"/>
  <c r="S234" i="1"/>
  <c r="U234" i="1"/>
  <c r="X254" i="1"/>
  <c r="V254" i="1"/>
  <c r="W254" i="1" s="1"/>
  <c r="S254" i="1"/>
  <c r="U254" i="1"/>
  <c r="X229" i="1"/>
  <c r="V229" i="1"/>
  <c r="W229" i="1" s="1"/>
  <c r="S229" i="1"/>
  <c r="U229" i="1"/>
  <c r="X252" i="1"/>
  <c r="V252" i="1"/>
  <c r="W252" i="1" s="1"/>
  <c r="S252" i="1"/>
  <c r="U252" i="1"/>
  <c r="X264" i="1"/>
  <c r="V264" i="1"/>
  <c r="W264" i="1" s="1"/>
  <c r="U264" i="1"/>
  <c r="S264" i="1"/>
  <c r="X236" i="1"/>
  <c r="V236" i="1"/>
  <c r="W236" i="1" s="1"/>
  <c r="U236" i="1"/>
  <c r="S236" i="1"/>
  <c r="V256" i="1"/>
  <c r="W256" i="1" s="1"/>
  <c r="X256" i="1"/>
  <c r="U256" i="1"/>
  <c r="S256" i="1"/>
  <c r="X266" i="1"/>
  <c r="U266" i="1"/>
  <c r="S266" i="1"/>
  <c r="V266" i="1"/>
  <c r="W266" i="1" s="1"/>
  <c r="X258" i="1"/>
  <c r="U258" i="1"/>
  <c r="S258" i="1"/>
  <c r="V258" i="1"/>
  <c r="W258" i="1" s="1"/>
  <c r="X232" i="1"/>
  <c r="S232" i="1"/>
  <c r="U232" i="1"/>
  <c r="V232" i="1"/>
  <c r="W232" i="1" s="1"/>
  <c r="X262" i="1"/>
  <c r="V262" i="1"/>
  <c r="W262" i="1" s="1"/>
  <c r="U262" i="1"/>
  <c r="S262" i="1"/>
  <c r="U240" i="1"/>
  <c r="X240" i="1"/>
  <c r="V240" i="1"/>
  <c r="W240" i="1" s="1"/>
  <c r="S240" i="1"/>
  <c r="X267" i="1"/>
  <c r="V267" i="1"/>
  <c r="W267" i="1" s="1"/>
  <c r="U267" i="1"/>
  <c r="S267" i="1"/>
  <c r="X250" i="1"/>
  <c r="V250" i="1"/>
  <c r="W250" i="1" s="1"/>
  <c r="U250" i="1"/>
  <c r="S250" i="1"/>
  <c r="X222" i="1"/>
  <c r="V222" i="1"/>
  <c r="W222" i="1" s="1"/>
  <c r="S222" i="1"/>
  <c r="U222" i="1"/>
  <c r="AA243" i="1"/>
  <c r="AM243" i="1"/>
  <c r="T243" i="1"/>
  <c r="AN243" i="1" s="1"/>
  <c r="AM217" i="1"/>
  <c r="AA217" i="1"/>
  <c r="T217" i="1"/>
  <c r="AN217" i="1" s="1"/>
  <c r="AA224" i="1"/>
  <c r="T224" i="1"/>
  <c r="AN224" i="1" s="1"/>
  <c r="AM224" i="1"/>
  <c r="F62" i="12"/>
  <c r="BE62" i="12"/>
  <c r="P62" i="12"/>
  <c r="L62" i="12"/>
  <c r="AI62" i="12"/>
  <c r="BI62" i="12"/>
  <c r="AD62" i="12"/>
  <c r="M62" i="12"/>
  <c r="BG62" i="12"/>
  <c r="AF62" i="12"/>
  <c r="AZ62" i="12"/>
  <c r="BD62" i="12"/>
  <c r="K62" i="12"/>
  <c r="BH62" i="12"/>
  <c r="AY62" i="12"/>
  <c r="AM62" i="12"/>
  <c r="I62" i="12"/>
  <c r="BB62" i="12"/>
  <c r="C2" i="8"/>
  <c r="AE62" i="12"/>
  <c r="N62" i="12"/>
  <c r="BC62" i="12"/>
  <c r="AC62" i="12"/>
  <c r="AG62" i="12"/>
  <c r="H62" i="12"/>
  <c r="AB62" i="12"/>
  <c r="Q62" i="12"/>
  <c r="BF62" i="12"/>
  <c r="AJ62" i="12"/>
  <c r="G62" i="12"/>
  <c r="BA62" i="12"/>
  <c r="AK62" i="12"/>
  <c r="AH62" i="12"/>
  <c r="O62" i="12"/>
  <c r="J62" i="12"/>
  <c r="AX62" i="12"/>
  <c r="AL62" i="12"/>
  <c r="V165" i="1"/>
  <c r="X165" i="1"/>
  <c r="K16" i="5"/>
  <c r="D16" i="5" s="1"/>
  <c r="K19" i="5"/>
  <c r="D19" i="5" s="1"/>
  <c r="K18" i="5"/>
  <c r="D18" i="5" s="1"/>
  <c r="K17" i="5"/>
  <c r="D17" i="5" s="1"/>
  <c r="K23" i="5"/>
  <c r="D23" i="5" s="1"/>
  <c r="K20" i="5"/>
  <c r="D20" i="5" s="1"/>
  <c r="K22" i="5"/>
  <c r="D22" i="5" s="1"/>
  <c r="K21" i="5"/>
  <c r="U165" i="1"/>
  <c r="K24" i="5"/>
  <c r="S165" i="1"/>
  <c r="K15" i="5"/>
  <c r="AM257" i="1"/>
  <c r="AA257" i="1"/>
  <c r="T257" i="1"/>
  <c r="AN257" i="1" s="1"/>
  <c r="Y245" i="1"/>
  <c r="Z245" i="1" s="1"/>
  <c r="AO245" i="1"/>
  <c r="V24" i="5" l="1"/>
  <c r="AM165" i="1"/>
  <c r="AA165" i="1"/>
  <c r="T165" i="1"/>
  <c r="AA22" i="5"/>
  <c r="Z22" i="5"/>
  <c r="AA18" i="5"/>
  <c r="Z18" i="5"/>
  <c r="AO165" i="1"/>
  <c r="Y165" i="1"/>
  <c r="V22" i="5"/>
  <c r="AA17" i="5"/>
  <c r="Z17" i="5"/>
  <c r="AA20" i="5"/>
  <c r="Z20" i="5"/>
  <c r="Z16" i="5"/>
  <c r="AA16" i="5"/>
  <c r="V23" i="5"/>
  <c r="V18" i="5"/>
  <c r="V16" i="5"/>
  <c r="W165" i="1"/>
  <c r="AM222" i="1"/>
  <c r="AA222" i="1"/>
  <c r="T222" i="1"/>
  <c r="AN222" i="1" s="1"/>
  <c r="AO250" i="1"/>
  <c r="Y250" i="1"/>
  <c r="Z250" i="1" s="1"/>
  <c r="AO267" i="1"/>
  <c r="Y267" i="1"/>
  <c r="Z267" i="1" s="1"/>
  <c r="Y240" i="1"/>
  <c r="Z240" i="1" s="1"/>
  <c r="AO240" i="1"/>
  <c r="AO262" i="1"/>
  <c r="Y262" i="1"/>
  <c r="Z262" i="1" s="1"/>
  <c r="AO232" i="1"/>
  <c r="Y232" i="1"/>
  <c r="Z232" i="1" s="1"/>
  <c r="AA258" i="1"/>
  <c r="AM258" i="1"/>
  <c r="T258" i="1"/>
  <c r="AN258" i="1" s="1"/>
  <c r="AM266" i="1"/>
  <c r="AA266" i="1"/>
  <c r="T266" i="1"/>
  <c r="AN266" i="1" s="1"/>
  <c r="Y256" i="1"/>
  <c r="Z256" i="1" s="1"/>
  <c r="AO256" i="1"/>
  <c r="Y236" i="1"/>
  <c r="Z236" i="1" s="1"/>
  <c r="AO236" i="1"/>
  <c r="Y264" i="1"/>
  <c r="Z264" i="1" s="1"/>
  <c r="AO264" i="1"/>
  <c r="AM252" i="1"/>
  <c r="T252" i="1"/>
  <c r="AN252" i="1" s="1"/>
  <c r="AA252" i="1"/>
  <c r="AA229" i="1"/>
  <c r="T229" i="1"/>
  <c r="AN229" i="1" s="1"/>
  <c r="AM229" i="1"/>
  <c r="AA254" i="1"/>
  <c r="AM254" i="1"/>
  <c r="T254" i="1"/>
  <c r="AN254" i="1" s="1"/>
  <c r="AM234" i="1"/>
  <c r="T234" i="1"/>
  <c r="AN234" i="1" s="1"/>
  <c r="AA234" i="1"/>
  <c r="Y230" i="1"/>
  <c r="Z230" i="1" s="1"/>
  <c r="AO230" i="1"/>
  <c r="AA251" i="1"/>
  <c r="AM251" i="1"/>
  <c r="T251" i="1"/>
  <c r="AN251" i="1" s="1"/>
  <c r="AM221" i="1"/>
  <c r="AA221" i="1"/>
  <c r="T221" i="1"/>
  <c r="AN221" i="1" s="1"/>
  <c r="AO247" i="1"/>
  <c r="Y247" i="1"/>
  <c r="Z247" i="1" s="1"/>
  <c r="AM246" i="1"/>
  <c r="AA246" i="1"/>
  <c r="T246" i="1"/>
  <c r="AN246" i="1" s="1"/>
  <c r="AA238" i="1"/>
  <c r="AM238" i="1"/>
  <c r="T238" i="1"/>
  <c r="AN238" i="1" s="1"/>
  <c r="AA265" i="1"/>
  <c r="AM265" i="1"/>
  <c r="T265" i="1"/>
  <c r="AN265" i="1" s="1"/>
  <c r="AO212" i="1"/>
  <c r="Y212" i="1"/>
  <c r="Z212" i="1" s="1"/>
  <c r="AM210" i="1"/>
  <c r="AA210" i="1"/>
  <c r="T210" i="1"/>
  <c r="AN210" i="1" s="1"/>
  <c r="AA211" i="1"/>
  <c r="AM211" i="1"/>
  <c r="T211" i="1"/>
  <c r="AN211" i="1" s="1"/>
  <c r="AA218" i="1"/>
  <c r="AM218" i="1"/>
  <c r="T218" i="1"/>
  <c r="AN218" i="1" s="1"/>
  <c r="AM206" i="1"/>
  <c r="T206" i="1"/>
  <c r="AN206" i="1" s="1"/>
  <c r="AA206" i="1"/>
  <c r="Y204" i="1"/>
  <c r="Z204" i="1" s="1"/>
  <c r="AO204" i="1"/>
  <c r="AM233" i="1"/>
  <c r="AA233" i="1"/>
  <c r="T233" i="1"/>
  <c r="AN233" i="1" s="1"/>
  <c r="AO272" i="1"/>
  <c r="Y272" i="1"/>
  <c r="Z272" i="1" s="1"/>
  <c r="Y235" i="1"/>
  <c r="Z235" i="1" s="1"/>
  <c r="AO235" i="1"/>
  <c r="AO223" i="1"/>
  <c r="Y223" i="1"/>
  <c r="Z223" i="1" s="1"/>
  <c r="S219" i="1"/>
  <c r="X219" i="1"/>
  <c r="U219" i="1"/>
  <c r="V219" i="1"/>
  <c r="W219" i="1" s="1"/>
  <c r="AO241" i="1"/>
  <c r="Y241" i="1"/>
  <c r="Z241" i="1" s="1"/>
  <c r="AA227" i="1"/>
  <c r="AM227" i="1"/>
  <c r="T227" i="1"/>
  <c r="AN227" i="1" s="1"/>
  <c r="AO227" i="1"/>
  <c r="Y227" i="1"/>
  <c r="Z227" i="1" s="1"/>
  <c r="AM269" i="1"/>
  <c r="AA269" i="1"/>
  <c r="T269" i="1"/>
  <c r="AN269" i="1" s="1"/>
  <c r="AM220" i="1"/>
  <c r="AA220" i="1"/>
  <c r="T220" i="1"/>
  <c r="AN220" i="1" s="1"/>
  <c r="AO220" i="1"/>
  <c r="Y220" i="1"/>
  <c r="Z220" i="1" s="1"/>
  <c r="AA261" i="1"/>
  <c r="AM261" i="1"/>
  <c r="T261" i="1"/>
  <c r="AN261" i="1" s="1"/>
  <c r="AO239" i="1"/>
  <c r="Y239" i="1"/>
  <c r="Z239" i="1" s="1"/>
  <c r="AM231" i="1"/>
  <c r="AA231" i="1"/>
  <c r="T231" i="1"/>
  <c r="AN231" i="1" s="1"/>
  <c r="AM268" i="1"/>
  <c r="AA268" i="1"/>
  <c r="T268" i="1"/>
  <c r="AN268" i="1" s="1"/>
  <c r="AA253" i="1"/>
  <c r="AM253" i="1"/>
  <c r="T253" i="1"/>
  <c r="AN253" i="1" s="1"/>
  <c r="AO253" i="1"/>
  <c r="Y253" i="1"/>
  <c r="Z253" i="1" s="1"/>
  <c r="Y255" i="1"/>
  <c r="Z255" i="1" s="1"/>
  <c r="AO255" i="1"/>
  <c r="AO225" i="1"/>
  <c r="Y225" i="1"/>
  <c r="Z225" i="1" s="1"/>
  <c r="AO237" i="1"/>
  <c r="Y237" i="1"/>
  <c r="Z237" i="1" s="1"/>
  <c r="Y263" i="1"/>
  <c r="Z263" i="1" s="1"/>
  <c r="AO263" i="1"/>
  <c r="AO249" i="1"/>
  <c r="Y249" i="1"/>
  <c r="Z249" i="1" s="1"/>
  <c r="AM244" i="1"/>
  <c r="T244" i="1"/>
  <c r="AN244" i="1" s="1"/>
  <c r="AA244" i="1"/>
  <c r="AM228" i="1"/>
  <c r="AA228" i="1"/>
  <c r="T228" i="1"/>
  <c r="AN228" i="1" s="1"/>
  <c r="AM226" i="1"/>
  <c r="AA226" i="1"/>
  <c r="T226" i="1"/>
  <c r="AN226" i="1" s="1"/>
  <c r="Y215" i="1"/>
  <c r="Z215" i="1" s="1"/>
  <c r="AO215" i="1"/>
  <c r="AO271" i="1"/>
  <c r="Y271" i="1"/>
  <c r="Z271" i="1" s="1"/>
  <c r="AM260" i="1"/>
  <c r="AA260" i="1"/>
  <c r="T260" i="1"/>
  <c r="AN260" i="1" s="1"/>
  <c r="T270" i="1"/>
  <c r="AN270" i="1" s="1"/>
  <c r="AA270" i="1"/>
  <c r="AM270" i="1"/>
  <c r="AO213" i="1"/>
  <c r="Y213" i="1"/>
  <c r="Z213" i="1" s="1"/>
  <c r="AA209" i="1"/>
  <c r="AM209" i="1"/>
  <c r="T209" i="1"/>
  <c r="AN209" i="1" s="1"/>
  <c r="AM205" i="1"/>
  <c r="AA205" i="1"/>
  <c r="T205" i="1"/>
  <c r="AN205" i="1" s="1"/>
  <c r="AA214" i="1"/>
  <c r="T214" i="1"/>
  <c r="AN214" i="1" s="1"/>
  <c r="AM214" i="1"/>
  <c r="AO214" i="1"/>
  <c r="Y214" i="1"/>
  <c r="Z214" i="1" s="1"/>
  <c r="AM216" i="1"/>
  <c r="AA216" i="1"/>
  <c r="T216" i="1"/>
  <c r="AN216" i="1" s="1"/>
  <c r="AO208" i="1"/>
  <c r="Y208" i="1"/>
  <c r="Z208" i="1" s="1"/>
  <c r="Y203" i="1"/>
  <c r="Z203" i="1" s="1"/>
  <c r="AO203" i="1"/>
  <c r="AA207" i="1"/>
  <c r="AM207" i="1"/>
  <c r="T207" i="1"/>
  <c r="AN207" i="1" s="1"/>
  <c r="AA259" i="1"/>
  <c r="AM259" i="1"/>
  <c r="T259" i="1"/>
  <c r="AN259" i="1" s="1"/>
  <c r="AA248" i="1"/>
  <c r="AM248" i="1"/>
  <c r="T248" i="1"/>
  <c r="AN248" i="1" s="1"/>
  <c r="AO242" i="1"/>
  <c r="Y242" i="1"/>
  <c r="Z242" i="1" s="1"/>
  <c r="V15" i="5"/>
  <c r="D15" i="5"/>
  <c r="AA23" i="5"/>
  <c r="Z23" i="5"/>
  <c r="V21" i="5"/>
  <c r="D21" i="5"/>
  <c r="Z19" i="5"/>
  <c r="AA19" i="5"/>
  <c r="D24" i="5"/>
  <c r="V20" i="5"/>
  <c r="V17" i="5"/>
  <c r="V19" i="5"/>
  <c r="AO222" i="1"/>
  <c r="Y222" i="1"/>
  <c r="Z222" i="1" s="1"/>
  <c r="AA250" i="1"/>
  <c r="AM250" i="1"/>
  <c r="T250" i="1"/>
  <c r="AN250" i="1" s="1"/>
  <c r="AM267" i="1"/>
  <c r="AA267" i="1"/>
  <c r="T267" i="1"/>
  <c r="AN267" i="1" s="1"/>
  <c r="AM240" i="1"/>
  <c r="AA240" i="1"/>
  <c r="T240" i="1"/>
  <c r="AN240" i="1" s="1"/>
  <c r="AM262" i="1"/>
  <c r="AA262" i="1"/>
  <c r="T262" i="1"/>
  <c r="AN262" i="1" s="1"/>
  <c r="AM232" i="1"/>
  <c r="AA232" i="1"/>
  <c r="T232" i="1"/>
  <c r="AN232" i="1" s="1"/>
  <c r="Y258" i="1"/>
  <c r="Z258" i="1" s="1"/>
  <c r="AO258" i="1"/>
  <c r="Y266" i="1"/>
  <c r="Z266" i="1" s="1"/>
  <c r="AO266" i="1"/>
  <c r="AM256" i="1"/>
  <c r="T256" i="1"/>
  <c r="AN256" i="1" s="1"/>
  <c r="AA256" i="1"/>
  <c r="AM236" i="1"/>
  <c r="T236" i="1"/>
  <c r="AN236" i="1" s="1"/>
  <c r="AA236" i="1"/>
  <c r="AA264" i="1"/>
  <c r="AM264" i="1"/>
  <c r="T264" i="1"/>
  <c r="AN264" i="1" s="1"/>
  <c r="Y252" i="1"/>
  <c r="Z252" i="1" s="1"/>
  <c r="AO252" i="1"/>
  <c r="AO229" i="1"/>
  <c r="Y229" i="1"/>
  <c r="Z229" i="1" s="1"/>
  <c r="Y254" i="1"/>
  <c r="Z254" i="1" s="1"/>
  <c r="AO254" i="1"/>
  <c r="AO234" i="1"/>
  <c r="Y234" i="1"/>
  <c r="Z234" i="1" s="1"/>
  <c r="AM230" i="1"/>
  <c r="AA230" i="1"/>
  <c r="T230" i="1"/>
  <c r="AN230" i="1" s="1"/>
  <c r="Y251" i="1"/>
  <c r="Z251" i="1" s="1"/>
  <c r="AO251" i="1"/>
  <c r="Y221" i="1"/>
  <c r="Z221" i="1" s="1"/>
  <c r="AO221" i="1"/>
  <c r="AA247" i="1"/>
  <c r="AM247" i="1"/>
  <c r="T247" i="1"/>
  <c r="AN247" i="1" s="1"/>
  <c r="AO246" i="1"/>
  <c r="Y246" i="1"/>
  <c r="Z246" i="1" s="1"/>
  <c r="Y238" i="1"/>
  <c r="Z238" i="1" s="1"/>
  <c r="AO238" i="1"/>
  <c r="AO265" i="1"/>
  <c r="Y265" i="1"/>
  <c r="Z265" i="1" s="1"/>
  <c r="AM212" i="1"/>
  <c r="AA212" i="1"/>
  <c r="T212" i="1"/>
  <c r="AN212" i="1" s="1"/>
  <c r="AO210" i="1"/>
  <c r="Y210" i="1"/>
  <c r="Z210" i="1" s="1"/>
  <c r="AO211" i="1"/>
  <c r="Y211" i="1"/>
  <c r="Z211" i="1" s="1"/>
  <c r="AO218" i="1"/>
  <c r="Y218" i="1"/>
  <c r="Z218" i="1" s="1"/>
  <c r="X202" i="1"/>
  <c r="U202" i="1"/>
  <c r="V202" i="1"/>
  <c r="W202" i="1" s="1"/>
  <c r="S202" i="1"/>
  <c r="AO206" i="1"/>
  <c r="Y206" i="1"/>
  <c r="Z206" i="1" s="1"/>
  <c r="AM204" i="1"/>
  <c r="T204" i="1"/>
  <c r="AN204" i="1" s="1"/>
  <c r="AA204" i="1"/>
  <c r="AO233" i="1"/>
  <c r="Y233" i="1"/>
  <c r="Z233" i="1" s="1"/>
  <c r="AM272" i="1"/>
  <c r="AA272" i="1"/>
  <c r="T272" i="1"/>
  <c r="AN272" i="1" s="1"/>
  <c r="AA235" i="1"/>
  <c r="AM235" i="1"/>
  <c r="T235" i="1"/>
  <c r="AN235" i="1" s="1"/>
  <c r="AM223" i="1"/>
  <c r="AA223" i="1"/>
  <c r="T223" i="1"/>
  <c r="AN223" i="1" s="1"/>
  <c r="AA241" i="1"/>
  <c r="T241" i="1"/>
  <c r="AN241" i="1" s="1"/>
  <c r="AM241" i="1"/>
  <c r="Y269" i="1"/>
  <c r="Z269" i="1" s="1"/>
  <c r="AO269" i="1"/>
  <c r="AO261" i="1"/>
  <c r="Y261" i="1"/>
  <c r="Z261" i="1" s="1"/>
  <c r="AM239" i="1"/>
  <c r="AA239" i="1"/>
  <c r="T239" i="1"/>
  <c r="AN239" i="1" s="1"/>
  <c r="AO231" i="1"/>
  <c r="Y231" i="1"/>
  <c r="Z231" i="1" s="1"/>
  <c r="AO268" i="1"/>
  <c r="Y268" i="1"/>
  <c r="Z268" i="1" s="1"/>
  <c r="AA255" i="1"/>
  <c r="T255" i="1"/>
  <c r="AN255" i="1" s="1"/>
  <c r="AM255" i="1"/>
  <c r="AA225" i="1"/>
  <c r="T225" i="1"/>
  <c r="AN225" i="1" s="1"/>
  <c r="AM225" i="1"/>
  <c r="AM237" i="1"/>
  <c r="AA237" i="1"/>
  <c r="T237" i="1"/>
  <c r="AN237" i="1" s="1"/>
  <c r="AM263" i="1"/>
  <c r="T263" i="1"/>
  <c r="AN263" i="1" s="1"/>
  <c r="AA263" i="1"/>
  <c r="AA249" i="1"/>
  <c r="AM249" i="1"/>
  <c r="T249" i="1"/>
  <c r="AN249" i="1" s="1"/>
  <c r="Y244" i="1"/>
  <c r="Z244" i="1" s="1"/>
  <c r="AO244" i="1"/>
  <c r="AO228" i="1"/>
  <c r="Y228" i="1"/>
  <c r="Z228" i="1" s="1"/>
  <c r="AO226" i="1"/>
  <c r="Y226" i="1"/>
  <c r="Z226" i="1" s="1"/>
  <c r="AA215" i="1"/>
  <c r="AM215" i="1"/>
  <c r="T215" i="1"/>
  <c r="AN215" i="1" s="1"/>
  <c r="AA271" i="1"/>
  <c r="AM271" i="1"/>
  <c r="T271" i="1"/>
  <c r="AN271" i="1" s="1"/>
  <c r="AO260" i="1"/>
  <c r="Y260" i="1"/>
  <c r="Z260" i="1" s="1"/>
  <c r="Y270" i="1"/>
  <c r="Z270" i="1" s="1"/>
  <c r="AO270" i="1"/>
  <c r="AA213" i="1"/>
  <c r="AM213" i="1"/>
  <c r="T213" i="1"/>
  <c r="AN213" i="1" s="1"/>
  <c r="AO209" i="1"/>
  <c r="Y209" i="1"/>
  <c r="Z209" i="1" s="1"/>
  <c r="AO205" i="1"/>
  <c r="Y205" i="1"/>
  <c r="Z205" i="1" s="1"/>
  <c r="Y216" i="1"/>
  <c r="Z216" i="1" s="1"/>
  <c r="AO216" i="1"/>
  <c r="AM208" i="1"/>
  <c r="T208" i="1"/>
  <c r="AN208" i="1" s="1"/>
  <c r="AA208" i="1"/>
  <c r="AM203" i="1"/>
  <c r="AA203" i="1"/>
  <c r="T203" i="1"/>
  <c r="AN203" i="1" s="1"/>
  <c r="AO207" i="1"/>
  <c r="Y207" i="1"/>
  <c r="Z207" i="1" s="1"/>
  <c r="Y259" i="1"/>
  <c r="Z259" i="1" s="1"/>
  <c r="AO259" i="1"/>
  <c r="AO248" i="1"/>
  <c r="Y248" i="1"/>
  <c r="Z248" i="1" s="1"/>
  <c r="AA242" i="1"/>
  <c r="T242" i="1"/>
  <c r="AN242" i="1" s="1"/>
  <c r="AM242" i="1"/>
  <c r="U102" i="13" l="1"/>
  <c r="H113" i="13"/>
  <c r="H101" i="13"/>
  <c r="H88" i="13"/>
  <c r="H108" i="13"/>
  <c r="O111" i="13"/>
  <c r="L102" i="13"/>
  <c r="H110" i="13"/>
  <c r="H106" i="13"/>
  <c r="H111" i="13"/>
  <c r="V103" i="13"/>
  <c r="Q102" i="13"/>
  <c r="AA202" i="1"/>
  <c r="T202" i="1"/>
  <c r="AN202" i="1" s="1"/>
  <c r="AM202" i="1"/>
  <c r="Y202" i="1"/>
  <c r="Z202" i="1" s="1"/>
  <c r="AO202" i="1"/>
  <c r="P93" i="13"/>
  <c r="P112" i="13"/>
  <c r="X109" i="13"/>
  <c r="T109" i="13"/>
  <c r="Q91" i="13"/>
  <c r="L94" i="13"/>
  <c r="I101" i="13"/>
  <c r="K104" i="13"/>
  <c r="L88" i="13"/>
  <c r="P105" i="13"/>
  <c r="K109" i="13"/>
  <c r="T101" i="13"/>
  <c r="J105" i="13"/>
  <c r="L89" i="13"/>
  <c r="I106" i="13"/>
  <c r="T106" i="13"/>
  <c r="M107" i="13"/>
  <c r="Y105" i="13"/>
  <c r="R100" i="13"/>
  <c r="I102" i="13"/>
  <c r="O107" i="13"/>
  <c r="R98" i="13"/>
  <c r="P113" i="13"/>
  <c r="X97" i="13"/>
  <c r="P103" i="13"/>
  <c r="U109" i="13"/>
  <c r="V104" i="13"/>
  <c r="K102" i="13"/>
  <c r="R91" i="13"/>
  <c r="W109" i="13"/>
  <c r="R92" i="13"/>
  <c r="J92" i="13"/>
  <c r="N103" i="13"/>
  <c r="W92" i="13"/>
  <c r="L103" i="13"/>
  <c r="L113" i="13"/>
  <c r="P100" i="13"/>
  <c r="J112" i="13"/>
  <c r="S102" i="13"/>
  <c r="X110" i="13"/>
  <c r="X102" i="13"/>
  <c r="Q92" i="13"/>
  <c r="Q105" i="13"/>
  <c r="Y107" i="13"/>
  <c r="H98" i="13"/>
  <c r="N112" i="13"/>
  <c r="J90" i="13"/>
  <c r="V113" i="13"/>
  <c r="O94" i="13"/>
  <c r="S89" i="13"/>
  <c r="R111" i="13"/>
  <c r="P106" i="13"/>
  <c r="S90" i="13"/>
  <c r="O90" i="13"/>
  <c r="O98" i="13"/>
  <c r="U91" i="13"/>
  <c r="R96" i="13"/>
  <c r="X112" i="13"/>
  <c r="L90" i="13"/>
  <c r="W102" i="13"/>
  <c r="J99" i="13"/>
  <c r="P94" i="13"/>
  <c r="U113" i="13"/>
  <c r="I98" i="13"/>
  <c r="X92" i="13"/>
  <c r="U111" i="13"/>
  <c r="M99" i="13"/>
  <c r="N99" i="13"/>
  <c r="Y93" i="13"/>
  <c r="T96" i="13"/>
  <c r="Q95" i="13"/>
  <c r="Q100" i="13"/>
  <c r="L96" i="13"/>
  <c r="M105" i="13"/>
  <c r="N104" i="13"/>
  <c r="O102" i="13"/>
  <c r="J103" i="13"/>
  <c r="X88" i="13"/>
  <c r="S106" i="13"/>
  <c r="H99" i="13"/>
  <c r="O113" i="13"/>
  <c r="Y100" i="13"/>
  <c r="K97" i="13"/>
  <c r="Y106" i="13"/>
  <c r="T99" i="13"/>
  <c r="R95" i="13"/>
  <c r="I95" i="13"/>
  <c r="S97" i="13"/>
  <c r="N90" i="13"/>
  <c r="Y98" i="13"/>
  <c r="R107" i="13"/>
  <c r="K111" i="13"/>
  <c r="K103" i="13"/>
  <c r="O112" i="13"/>
  <c r="R93" i="13"/>
  <c r="V108" i="13"/>
  <c r="O96" i="13"/>
  <c r="I89" i="13"/>
  <c r="N108" i="13"/>
  <c r="S91" i="13"/>
  <c r="Q96" i="13"/>
  <c r="S95" i="13"/>
  <c r="W103" i="13"/>
  <c r="N113" i="13"/>
  <c r="Y94" i="13"/>
  <c r="U94" i="13"/>
  <c r="N94" i="13"/>
  <c r="J104" i="13"/>
  <c r="W107" i="13"/>
  <c r="U89" i="13"/>
  <c r="L109" i="13"/>
  <c r="X95" i="13"/>
  <c r="I88" i="13"/>
  <c r="P107" i="13"/>
  <c r="I112" i="13"/>
  <c r="Y92" i="13"/>
  <c r="U104" i="13"/>
  <c r="O103" i="13"/>
  <c r="M89" i="13"/>
  <c r="N110" i="13"/>
  <c r="T100" i="13"/>
  <c r="L92" i="13"/>
  <c r="J100" i="13"/>
  <c r="J89" i="13"/>
  <c r="X99" i="13"/>
  <c r="N106" i="13"/>
  <c r="V111" i="13"/>
  <c r="I91" i="13"/>
  <c r="J93" i="13"/>
  <c r="V107" i="13"/>
  <c r="T111" i="13"/>
  <c r="L108" i="13"/>
  <c r="W97" i="13"/>
  <c r="V101" i="13"/>
  <c r="O88" i="13"/>
  <c r="N109" i="13"/>
  <c r="R106" i="13"/>
  <c r="R88" i="13"/>
  <c r="K100" i="13"/>
  <c r="Q101" i="13"/>
  <c r="O106" i="13"/>
  <c r="L111" i="13"/>
  <c r="J109" i="13"/>
  <c r="M90" i="13"/>
  <c r="Q89" i="13"/>
  <c r="K110" i="13"/>
  <c r="K101" i="13"/>
  <c r="S88" i="13"/>
  <c r="P110" i="13"/>
  <c r="Y99" i="13"/>
  <c r="X107" i="13"/>
  <c r="L104" i="13"/>
  <c r="W91" i="13"/>
  <c r="T105" i="13"/>
  <c r="P95" i="13"/>
  <c r="M93" i="13"/>
  <c r="I92" i="13"/>
  <c r="I94" i="13"/>
  <c r="M111" i="13"/>
  <c r="U98" i="13"/>
  <c r="J94" i="13"/>
  <c r="N89" i="13"/>
  <c r="I113" i="13"/>
  <c r="U108" i="13"/>
  <c r="L112" i="13"/>
  <c r="Y108" i="13"/>
  <c r="N91" i="13"/>
  <c r="R90" i="13"/>
  <c r="P92" i="13"/>
  <c r="T89" i="13"/>
  <c r="O99" i="13"/>
  <c r="N102" i="13"/>
  <c r="U90" i="13"/>
  <c r="U95" i="13"/>
  <c r="J96" i="13"/>
  <c r="S99" i="13"/>
  <c r="Y110" i="13"/>
  <c r="Q112" i="13"/>
  <c r="W105" i="13"/>
  <c r="L95" i="13"/>
  <c r="W112" i="13"/>
  <c r="Y95" i="13"/>
  <c r="K112" i="13"/>
  <c r="J106" i="13"/>
  <c r="I96" i="13"/>
  <c r="X89" i="13"/>
  <c r="K92" i="13"/>
  <c r="X98" i="13"/>
  <c r="K108" i="13"/>
  <c r="S94" i="13"/>
  <c r="Y97" i="13"/>
  <c r="W96" i="13"/>
  <c r="J101" i="13"/>
  <c r="R110" i="13"/>
  <c r="M112" i="13"/>
  <c r="R101" i="13"/>
  <c r="O109" i="13"/>
  <c r="K98" i="13"/>
  <c r="O95" i="13"/>
  <c r="V106" i="13"/>
  <c r="X100" i="13"/>
  <c r="Y109" i="13"/>
  <c r="Q94" i="13"/>
  <c r="V93" i="13"/>
  <c r="Y90" i="13"/>
  <c r="T93" i="13"/>
  <c r="L100" i="13"/>
  <c r="P97" i="13"/>
  <c r="M110" i="13"/>
  <c r="W101" i="13"/>
  <c r="Q93" i="13"/>
  <c r="P99" i="13"/>
  <c r="T88" i="13"/>
  <c r="I105" i="13"/>
  <c r="K106" i="13"/>
  <c r="M98" i="13"/>
  <c r="R97" i="13"/>
  <c r="N93" i="13"/>
  <c r="H97" i="13"/>
  <c r="H91" i="13"/>
  <c r="Q104" i="13"/>
  <c r="V89" i="13"/>
  <c r="T112" i="13"/>
  <c r="M109" i="13"/>
  <c r="AA15" i="5"/>
  <c r="Z15" i="5"/>
  <c r="Y219" i="1"/>
  <c r="Z219" i="1" s="1"/>
  <c r="AO219" i="1"/>
  <c r="AA219" i="1"/>
  <c r="AM219" i="1"/>
  <c r="T219" i="1"/>
  <c r="AN219" i="1" s="1"/>
  <c r="H107" i="19"/>
  <c r="H105" i="19"/>
  <c r="H109" i="19"/>
  <c r="Q109" i="19"/>
  <c r="V97" i="19"/>
  <c r="Y91" i="19"/>
  <c r="K106" i="19"/>
  <c r="L112" i="19"/>
  <c r="W91" i="19"/>
  <c r="Y100" i="19"/>
  <c r="T113" i="19"/>
  <c r="R96" i="19"/>
  <c r="N95" i="19"/>
  <c r="X103" i="19"/>
  <c r="Q97" i="19"/>
  <c r="S106" i="19"/>
  <c r="R107" i="19"/>
  <c r="K111" i="19"/>
  <c r="M98" i="19"/>
  <c r="M103" i="19"/>
  <c r="Q96" i="19"/>
  <c r="V94" i="19"/>
  <c r="M96" i="19"/>
  <c r="W97" i="19"/>
  <c r="R111" i="19"/>
  <c r="U89" i="19"/>
  <c r="P112" i="19"/>
  <c r="I91" i="19"/>
  <c r="U95" i="19"/>
  <c r="W104" i="19"/>
  <c r="K93" i="19"/>
  <c r="V100" i="19"/>
  <c r="Y108" i="19"/>
  <c r="M88" i="19"/>
  <c r="O97" i="19"/>
  <c r="R106" i="19"/>
  <c r="T92" i="19"/>
  <c r="V109" i="19"/>
  <c r="K102" i="19"/>
  <c r="J98" i="19"/>
  <c r="O100" i="19"/>
  <c r="O93" i="19"/>
  <c r="K100" i="19"/>
  <c r="U101" i="19"/>
  <c r="L107" i="19"/>
  <c r="P96" i="19"/>
  <c r="L95" i="19"/>
  <c r="Q113" i="19"/>
  <c r="L94" i="19"/>
  <c r="J110" i="19"/>
  <c r="L96" i="19"/>
  <c r="P98" i="19"/>
  <c r="J105" i="19"/>
  <c r="W106" i="19"/>
  <c r="I100" i="19"/>
  <c r="I105" i="19"/>
  <c r="O88" i="19"/>
  <c r="M112" i="19"/>
  <c r="N102" i="19"/>
  <c r="K108" i="19"/>
  <c r="N89" i="19"/>
  <c r="L110" i="19"/>
  <c r="R102" i="19"/>
  <c r="X110" i="19"/>
  <c r="S95" i="19"/>
  <c r="Y105" i="19"/>
  <c r="W89" i="19"/>
  <c r="S88" i="19"/>
  <c r="Q106" i="19"/>
  <c r="T111" i="19"/>
  <c r="S107" i="19"/>
  <c r="Q110" i="19"/>
  <c r="I112" i="19"/>
  <c r="L105" i="19"/>
  <c r="Y103" i="19"/>
  <c r="T101" i="19"/>
  <c r="N91" i="19"/>
  <c r="H98" i="19"/>
  <c r="Y98" i="19"/>
  <c r="I108" i="19"/>
  <c r="P101" i="19"/>
  <c r="V110" i="19"/>
  <c r="J113" i="19"/>
  <c r="O90" i="19"/>
  <c r="Q99" i="19"/>
  <c r="X99" i="19"/>
  <c r="U93" i="19"/>
  <c r="O105" i="19"/>
  <c r="O110" i="19"/>
  <c r="W90" i="19"/>
  <c r="U92" i="19"/>
  <c r="M94" i="19"/>
  <c r="N107" i="19"/>
  <c r="W93" i="19"/>
  <c r="X95" i="19"/>
  <c r="V108" i="19"/>
  <c r="J108" i="19"/>
  <c r="W92" i="19"/>
  <c r="T96" i="19"/>
  <c r="Q88" i="19"/>
  <c r="V95" i="19"/>
  <c r="J91" i="19"/>
  <c r="V104" i="19"/>
  <c r="Y88" i="19"/>
  <c r="N109" i="19"/>
  <c r="N104" i="19"/>
  <c r="V105" i="19"/>
  <c r="Y89" i="19"/>
  <c r="H90" i="19"/>
  <c r="U105" i="19"/>
  <c r="U111" i="19"/>
  <c r="R95" i="19"/>
  <c r="I113" i="19"/>
  <c r="Y96" i="19"/>
  <c r="P102" i="19"/>
  <c r="S113" i="19"/>
  <c r="X98" i="19"/>
  <c r="H110" i="19"/>
  <c r="H88" i="19"/>
  <c r="L90" i="19"/>
  <c r="J102" i="19"/>
  <c r="U103" i="19"/>
  <c r="R101" i="19"/>
  <c r="U100" i="19"/>
  <c r="W109" i="19"/>
  <c r="U91" i="19"/>
  <c r="L89" i="19"/>
  <c r="T109" i="19"/>
  <c r="M92" i="19"/>
  <c r="J106" i="19"/>
  <c r="X102" i="19"/>
  <c r="J99" i="19"/>
  <c r="L109" i="19"/>
  <c r="O98" i="19"/>
  <c r="I110" i="19"/>
  <c r="V91" i="19"/>
  <c r="M108" i="19"/>
  <c r="N88" i="19"/>
  <c r="J95" i="19"/>
  <c r="O111" i="19"/>
  <c r="Y95" i="19"/>
  <c r="Q101" i="19"/>
  <c r="S104" i="19"/>
  <c r="U113" i="19"/>
  <c r="N105" i="19"/>
  <c r="I104" i="19"/>
  <c r="K91" i="19"/>
  <c r="K96" i="19"/>
  <c r="O89" i="19"/>
  <c r="U112" i="19"/>
  <c r="R112" i="19"/>
  <c r="K89" i="19"/>
  <c r="U90" i="19"/>
  <c r="Y113" i="19"/>
  <c r="K107" i="19"/>
  <c r="K112" i="19"/>
  <c r="K105" i="19"/>
  <c r="J93" i="19"/>
  <c r="V107" i="19"/>
  <c r="R91" i="19"/>
  <c r="R94" i="19"/>
  <c r="T103" i="19"/>
  <c r="O91" i="19"/>
  <c r="R110" i="19"/>
  <c r="X90" i="19"/>
  <c r="Y90" i="19"/>
  <c r="S110" i="19"/>
  <c r="K97" i="19"/>
  <c r="M106" i="19"/>
  <c r="W111" i="19"/>
  <c r="K103" i="19"/>
  <c r="T91" i="19"/>
  <c r="N106" i="19"/>
  <c r="Y94" i="19"/>
  <c r="N96" i="19"/>
  <c r="N113" i="19"/>
  <c r="V106" i="19"/>
  <c r="Y110" i="19"/>
  <c r="V113" i="19"/>
  <c r="S101" i="19"/>
  <c r="U88" i="19"/>
  <c r="H99" i="19"/>
  <c r="V111" i="19"/>
  <c r="W94" i="19"/>
  <c r="R88" i="19"/>
  <c r="I101" i="19"/>
  <c r="K110" i="19"/>
  <c r="L106" i="19"/>
  <c r="T88" i="19"/>
  <c r="I107" i="19"/>
  <c r="S93" i="19"/>
  <c r="U102" i="19"/>
  <c r="W98" i="19"/>
  <c r="N103" i="19"/>
  <c r="P97" i="19"/>
  <c r="O99" i="19"/>
  <c r="X93" i="19"/>
  <c r="V88" i="19"/>
  <c r="H97" i="19"/>
  <c r="Q105" i="19"/>
  <c r="S92" i="19"/>
  <c r="R109" i="19"/>
  <c r="N111" i="19"/>
  <c r="T102" i="19"/>
  <c r="W107" i="19"/>
  <c r="O92" i="19"/>
  <c r="K109" i="19"/>
  <c r="X101" i="19"/>
  <c r="P95" i="19"/>
  <c r="L108" i="19"/>
  <c r="X91" i="19"/>
  <c r="P92" i="19"/>
  <c r="W103" i="19"/>
  <c r="S91" i="19"/>
  <c r="P91" i="19"/>
  <c r="P108" i="19"/>
  <c r="J100" i="19"/>
  <c r="X100" i="19"/>
  <c r="P109" i="19"/>
  <c r="S111" i="19"/>
  <c r="J112" i="19"/>
  <c r="L91" i="19"/>
  <c r="W100" i="19"/>
  <c r="Q112" i="19"/>
  <c r="L98" i="19"/>
  <c r="U110" i="19"/>
  <c r="Q98" i="19"/>
  <c r="P103" i="19"/>
  <c r="P88" i="19"/>
  <c r="U108" i="19"/>
  <c r="W95" i="19"/>
  <c r="L113" i="19"/>
  <c r="I94" i="19"/>
  <c r="H102" i="19"/>
  <c r="H112" i="19"/>
  <c r="H101" i="19"/>
  <c r="X88" i="19"/>
  <c r="I88" i="19"/>
  <c r="AB20" i="5"/>
  <c r="AC20" i="5"/>
  <c r="AC17" i="5"/>
  <c r="AB17" i="5"/>
  <c r="L57" i="12"/>
  <c r="J49" i="12"/>
  <c r="J54" i="12"/>
  <c r="F55" i="12"/>
  <c r="Q44" i="12"/>
  <c r="H51" i="12"/>
  <c r="K56" i="12"/>
  <c r="P45" i="12"/>
  <c r="P43" i="12"/>
  <c r="I50" i="12"/>
  <c r="G43" i="12"/>
  <c r="P47" i="12"/>
  <c r="Q46" i="12"/>
  <c r="I47" i="12"/>
  <c r="I53" i="12"/>
  <c r="H56" i="12"/>
  <c r="G44" i="12"/>
  <c r="J51" i="12"/>
  <c r="L47" i="12"/>
  <c r="J57" i="12"/>
  <c r="K48" i="12"/>
  <c r="L43" i="12"/>
  <c r="M52" i="12"/>
  <c r="I52" i="12"/>
  <c r="F51" i="12"/>
  <c r="I48" i="12"/>
  <c r="O57" i="12"/>
  <c r="N51" i="12"/>
  <c r="K50" i="12"/>
  <c r="G46" i="12"/>
  <c r="F47" i="12"/>
  <c r="F53" i="12"/>
  <c r="O48" i="12"/>
  <c r="G56" i="12"/>
  <c r="G45" i="12"/>
  <c r="F49" i="12"/>
  <c r="N47" i="12"/>
  <c r="Q50" i="12"/>
  <c r="P56" i="12"/>
  <c r="H48" i="12"/>
  <c r="L49" i="12"/>
  <c r="K53" i="12"/>
  <c r="G51" i="12"/>
  <c r="F46" i="12"/>
  <c r="G54" i="12"/>
  <c r="F9" i="12"/>
  <c r="L53" i="12"/>
  <c r="H54" i="12"/>
  <c r="K54" i="12"/>
  <c r="H50" i="12"/>
  <c r="F56" i="12"/>
  <c r="F57" i="12"/>
  <c r="P44" i="12"/>
  <c r="Q57" i="12"/>
  <c r="H47" i="12"/>
  <c r="M47" i="12"/>
  <c r="M44" i="12"/>
  <c r="K57" i="12"/>
  <c r="L48" i="12"/>
  <c r="N45" i="12"/>
  <c r="J43" i="12"/>
  <c r="J52" i="12"/>
  <c r="G48" i="12"/>
  <c r="I51" i="12"/>
  <c r="P46" i="12"/>
  <c r="J55" i="12"/>
  <c r="L55" i="12"/>
  <c r="P52" i="12"/>
  <c r="G53" i="12"/>
  <c r="K46" i="12"/>
  <c r="M53" i="12"/>
  <c r="P49" i="12"/>
  <c r="N54" i="12"/>
  <c r="F43" i="12"/>
  <c r="I45" i="12"/>
  <c r="F44" i="12"/>
  <c r="M49" i="12"/>
  <c r="I46" i="12"/>
  <c r="Q43" i="12"/>
  <c r="H55" i="12"/>
  <c r="O55" i="12"/>
  <c r="K45" i="12"/>
  <c r="Q47" i="12"/>
  <c r="N55" i="12"/>
  <c r="N56" i="12"/>
  <c r="L46" i="12"/>
  <c r="J53" i="12"/>
  <c r="N52" i="12"/>
  <c r="K44" i="12"/>
  <c r="K49" i="12"/>
  <c r="H52" i="12"/>
  <c r="P42" i="12"/>
  <c r="K42" i="12"/>
  <c r="I42" i="12"/>
  <c r="J42" i="12"/>
  <c r="G42" i="12"/>
  <c r="L42" i="12"/>
  <c r="C11" i="8"/>
  <c r="C14" i="8"/>
  <c r="P23" i="5"/>
  <c r="L23" i="5" s="1"/>
  <c r="P18" i="5"/>
  <c r="L18" i="5" s="1"/>
  <c r="P16" i="5"/>
  <c r="L16" i="5" s="1"/>
  <c r="P22" i="5"/>
  <c r="L22" i="5" s="1"/>
  <c r="AB18" i="5"/>
  <c r="AC18" i="5"/>
  <c r="AM50" i="12"/>
  <c r="AJ48" i="12"/>
  <c r="AH57" i="12"/>
  <c r="AH46" i="12"/>
  <c r="AJ51" i="12"/>
  <c r="AI48" i="12"/>
  <c r="AG50" i="12"/>
  <c r="AF57" i="12"/>
  <c r="AL44" i="12"/>
  <c r="AJ53" i="12"/>
  <c r="AH50" i="12"/>
  <c r="AH51" i="12"/>
  <c r="AE49" i="12"/>
  <c r="AE47" i="12"/>
  <c r="AD55" i="12"/>
  <c r="AF53" i="12"/>
  <c r="AE43" i="12"/>
  <c r="AF46" i="12"/>
  <c r="AE46" i="12"/>
  <c r="AH43" i="12"/>
  <c r="AD46" i="12"/>
  <c r="AM55" i="12"/>
  <c r="AH49" i="12"/>
  <c r="AI54" i="12"/>
  <c r="AF52" i="12"/>
  <c r="AB52" i="12"/>
  <c r="AI57" i="12"/>
  <c r="AB51" i="12"/>
  <c r="AJ47" i="12"/>
  <c r="AD54" i="12"/>
  <c r="AE51" i="12"/>
  <c r="AF47" i="12"/>
  <c r="AH53" i="12"/>
  <c r="AG44" i="12"/>
  <c r="AI47" i="12"/>
  <c r="AI53" i="12"/>
  <c r="AJ50" i="12"/>
  <c r="AH48" i="12"/>
  <c r="AD56" i="12"/>
  <c r="AJ49" i="12"/>
  <c r="AD44" i="12"/>
  <c r="AL48" i="12"/>
  <c r="AH56" i="12"/>
  <c r="AM46" i="12"/>
  <c r="AI55" i="12"/>
  <c r="AJ46" i="12"/>
  <c r="AE52" i="12"/>
  <c r="AD43" i="12"/>
  <c r="AC56" i="12"/>
  <c r="AM57" i="12"/>
  <c r="AI43" i="12"/>
  <c r="AC51" i="12"/>
  <c r="AH52" i="12"/>
  <c r="AL50" i="12"/>
  <c r="AK50" i="12"/>
  <c r="AD45" i="12"/>
  <c r="AC44" i="12"/>
  <c r="AK43" i="12"/>
  <c r="AK57" i="12"/>
  <c r="AM56" i="12"/>
  <c r="AL47" i="12"/>
  <c r="AL56" i="12"/>
  <c r="AK55" i="12"/>
  <c r="AE53" i="12"/>
  <c r="AL57" i="12"/>
  <c r="AE55" i="12"/>
  <c r="AD53" i="12"/>
  <c r="AG55" i="12"/>
  <c r="AL52" i="12"/>
  <c r="AK52" i="12"/>
  <c r="AB44" i="12"/>
  <c r="AF48" i="12"/>
  <c r="AB55" i="12"/>
  <c r="AL55" i="12"/>
  <c r="AF43" i="12"/>
  <c r="AK53" i="12"/>
  <c r="AG52" i="12"/>
  <c r="AK46" i="12"/>
  <c r="AG54" i="12"/>
  <c r="AD47" i="12"/>
  <c r="AK45" i="12"/>
  <c r="AJ43" i="12"/>
  <c r="AI52" i="12"/>
  <c r="AC49" i="12"/>
  <c r="AC52" i="12"/>
  <c r="AI45" i="12"/>
  <c r="AE56" i="12"/>
  <c r="AG46" i="12"/>
  <c r="AK56" i="12"/>
  <c r="AG53" i="12"/>
  <c r="AI46" i="12"/>
  <c r="AK42" i="12"/>
  <c r="AG42" i="12"/>
  <c r="AC42" i="12"/>
  <c r="AD42" i="12"/>
  <c r="AH42" i="12"/>
  <c r="AL42" i="12"/>
  <c r="AI42" i="12"/>
  <c r="N23" i="5"/>
  <c r="N20" i="5"/>
  <c r="O20" i="5" s="1"/>
  <c r="N22" i="5"/>
  <c r="N19" i="5"/>
  <c r="H109" i="13"/>
  <c r="H102" i="13"/>
  <c r="H112" i="13"/>
  <c r="H104" i="13"/>
  <c r="H107" i="13"/>
  <c r="H105" i="13"/>
  <c r="S96" i="13"/>
  <c r="K113" i="13"/>
  <c r="R103" i="13"/>
  <c r="W111" i="13"/>
  <c r="Q98" i="13"/>
  <c r="N95" i="13"/>
  <c r="H96" i="13"/>
  <c r="O104" i="13"/>
  <c r="R94" i="13"/>
  <c r="U92" i="13"/>
  <c r="U106" i="13"/>
  <c r="S93" i="13"/>
  <c r="M103" i="13"/>
  <c r="X90" i="13"/>
  <c r="O101" i="13"/>
  <c r="K96" i="13"/>
  <c r="R113" i="13"/>
  <c r="J113" i="13"/>
  <c r="V109" i="13"/>
  <c r="Q106" i="13"/>
  <c r="V102" i="13"/>
  <c r="W93" i="13"/>
  <c r="X104" i="13"/>
  <c r="I103" i="13"/>
  <c r="U103" i="13"/>
  <c r="S111" i="13"/>
  <c r="L99" i="13"/>
  <c r="I97" i="13"/>
  <c r="S98" i="13"/>
  <c r="Q99" i="13"/>
  <c r="V88" i="13"/>
  <c r="X94" i="13"/>
  <c r="W110" i="13"/>
  <c r="J88" i="13"/>
  <c r="W113" i="13"/>
  <c r="K90" i="13"/>
  <c r="X105" i="13"/>
  <c r="V95" i="13"/>
  <c r="V99" i="13"/>
  <c r="J91" i="13"/>
  <c r="V91" i="13"/>
  <c r="V110" i="13"/>
  <c r="X111" i="13"/>
  <c r="M106" i="13"/>
  <c r="T102" i="13"/>
  <c r="R112" i="13"/>
  <c r="U101" i="13"/>
  <c r="J110" i="13"/>
  <c r="T92" i="13"/>
  <c r="N98" i="13"/>
  <c r="H92" i="13"/>
  <c r="T98" i="13"/>
  <c r="H103" i="13"/>
  <c r="Q111" i="13"/>
  <c r="N107" i="13"/>
  <c r="Q108" i="13"/>
  <c r="Y113" i="13"/>
  <c r="S100" i="13"/>
  <c r="R104" i="13"/>
  <c r="K91" i="13"/>
  <c r="Q97" i="13"/>
  <c r="L91" i="13"/>
  <c r="X96" i="13"/>
  <c r="X113" i="13"/>
  <c r="T107" i="13"/>
  <c r="I100" i="13"/>
  <c r="L107" i="13"/>
  <c r="Q107" i="13"/>
  <c r="M108" i="13"/>
  <c r="W95" i="13"/>
  <c r="U96" i="13"/>
  <c r="Q103" i="13"/>
  <c r="J108" i="13"/>
  <c r="N88" i="13"/>
  <c r="L101" i="13"/>
  <c r="U112" i="13"/>
  <c r="I107" i="13"/>
  <c r="T97" i="13"/>
  <c r="W88" i="13"/>
  <c r="P88" i="13"/>
  <c r="S92" i="13"/>
  <c r="P90" i="13"/>
  <c r="P111" i="13"/>
  <c r="V98" i="13"/>
  <c r="M102" i="13"/>
  <c r="H94" i="13"/>
  <c r="O97" i="13"/>
  <c r="R102" i="13"/>
  <c r="I110" i="13"/>
  <c r="I108" i="13"/>
  <c r="L93" i="13"/>
  <c r="Q88" i="13"/>
  <c r="M104" i="13"/>
  <c r="X108" i="13"/>
  <c r="X106" i="13"/>
  <c r="V92" i="13"/>
  <c r="L98" i="13"/>
  <c r="H90" i="13"/>
  <c r="P102" i="13"/>
  <c r="I90" i="13"/>
  <c r="L110" i="13"/>
  <c r="Q110" i="13"/>
  <c r="M113" i="13"/>
  <c r="S113" i="13"/>
  <c r="V94" i="13"/>
  <c r="W89" i="13"/>
  <c r="P109" i="13"/>
  <c r="W94" i="13"/>
  <c r="U107" i="13"/>
  <c r="H89" i="13"/>
  <c r="R99" i="13"/>
  <c r="V105" i="13"/>
  <c r="S108" i="13"/>
  <c r="U88" i="13"/>
  <c r="P91" i="13"/>
  <c r="M96" i="13"/>
  <c r="O92" i="13"/>
  <c r="M97" i="13"/>
  <c r="H93" i="13"/>
  <c r="U100" i="13"/>
  <c r="P96" i="13"/>
  <c r="W108" i="13"/>
  <c r="R109" i="13"/>
  <c r="W99" i="13"/>
  <c r="Y103" i="13"/>
  <c r="T90" i="13"/>
  <c r="T103" i="13"/>
  <c r="P108" i="13"/>
  <c r="M101" i="13"/>
  <c r="V112" i="13"/>
  <c r="V100" i="13"/>
  <c r="Y112" i="13"/>
  <c r="S103" i="13"/>
  <c r="L106" i="13"/>
  <c r="I104" i="13"/>
  <c r="Q90" i="13"/>
  <c r="V97" i="13"/>
  <c r="K107" i="13"/>
  <c r="S109" i="13"/>
  <c r="J107" i="13"/>
  <c r="O110" i="13"/>
  <c r="T108" i="13"/>
  <c r="N105" i="13"/>
  <c r="O93" i="13"/>
  <c r="N100" i="13"/>
  <c r="V114" i="13"/>
  <c r="S110" i="13"/>
  <c r="M94" i="13"/>
  <c r="M95" i="13"/>
  <c r="Y91" i="13"/>
  <c r="H100" i="13"/>
  <c r="Q109" i="13"/>
  <c r="W90" i="13"/>
  <c r="S104" i="13"/>
  <c r="Y102" i="13"/>
  <c r="N111" i="13"/>
  <c r="S112" i="13"/>
  <c r="U105" i="13"/>
  <c r="V96" i="13"/>
  <c r="L105" i="13"/>
  <c r="M92" i="13"/>
  <c r="Y111" i="13"/>
  <c r="S101" i="13"/>
  <c r="J97" i="13"/>
  <c r="K95" i="13"/>
  <c r="T91" i="13"/>
  <c r="Y96" i="13"/>
  <c r="X91" i="13"/>
  <c r="S105" i="13"/>
  <c r="P89" i="13"/>
  <c r="K94" i="13"/>
  <c r="N92" i="13"/>
  <c r="N101" i="13"/>
  <c r="W100" i="13"/>
  <c r="J111" i="13"/>
  <c r="J95" i="13"/>
  <c r="X103" i="13"/>
  <c r="M91" i="13"/>
  <c r="Y88" i="13"/>
  <c r="P98" i="13"/>
  <c r="K99" i="13"/>
  <c r="T104" i="13"/>
  <c r="X93" i="13"/>
  <c r="H95" i="13"/>
  <c r="I93" i="13"/>
  <c r="K105" i="13"/>
  <c r="K93" i="13"/>
  <c r="Y101" i="13"/>
  <c r="K88" i="13"/>
  <c r="R105" i="13"/>
  <c r="W104" i="13"/>
  <c r="T95" i="13"/>
  <c r="U99" i="13"/>
  <c r="T110" i="13"/>
  <c r="Q113" i="13"/>
  <c r="J102" i="13"/>
  <c r="R108" i="13"/>
  <c r="N96" i="13"/>
  <c r="T94" i="13"/>
  <c r="U93" i="13"/>
  <c r="I109" i="13"/>
  <c r="N97" i="13"/>
  <c r="U110" i="13"/>
  <c r="S107" i="13"/>
  <c r="O108" i="13"/>
  <c r="M100" i="13"/>
  <c r="R89" i="13"/>
  <c r="W106" i="13"/>
  <c r="V90" i="13"/>
  <c r="Y89" i="13"/>
  <c r="O91" i="13"/>
  <c r="I111" i="13"/>
  <c r="O100" i="13"/>
  <c r="W98" i="13"/>
  <c r="M88" i="13"/>
  <c r="P104" i="13"/>
  <c r="I99" i="13"/>
  <c r="J98" i="13"/>
  <c r="U97" i="13"/>
  <c r="Y104" i="13"/>
  <c r="O89" i="13"/>
  <c r="K114" i="13"/>
  <c r="T113" i="13"/>
  <c r="K89" i="13"/>
  <c r="L97" i="13"/>
  <c r="O105" i="13"/>
  <c r="P101" i="13"/>
  <c r="X101" i="13"/>
  <c r="AA24" i="5"/>
  <c r="Z24" i="5"/>
  <c r="AB19" i="5"/>
  <c r="AC19" i="5"/>
  <c r="AA21" i="5"/>
  <c r="Z21" i="5"/>
  <c r="AB23" i="5"/>
  <c r="AC23" i="5"/>
  <c r="K103" i="5"/>
  <c r="K95" i="5"/>
  <c r="K101" i="5"/>
  <c r="K99" i="5"/>
  <c r="K94" i="5"/>
  <c r="K102" i="5"/>
  <c r="K100" i="5"/>
  <c r="K97" i="5"/>
  <c r="K98" i="5"/>
  <c r="K96" i="5"/>
  <c r="H108" i="19"/>
  <c r="H103" i="19"/>
  <c r="I96" i="19"/>
  <c r="M110" i="19"/>
  <c r="L100" i="19"/>
  <c r="O95" i="19"/>
  <c r="O108" i="19"/>
  <c r="S100" i="19"/>
  <c r="S102" i="19"/>
  <c r="T112" i="19"/>
  <c r="X113" i="19"/>
  <c r="K88" i="19"/>
  <c r="N110" i="19"/>
  <c r="K95" i="19"/>
  <c r="R98" i="19"/>
  <c r="W113" i="19"/>
  <c r="R89" i="19"/>
  <c r="T100" i="19"/>
  <c r="Q90" i="19"/>
  <c r="J97" i="19"/>
  <c r="M105" i="19"/>
  <c r="N97" i="19"/>
  <c r="R108" i="19"/>
  <c r="M111" i="19"/>
  <c r="R90" i="19"/>
  <c r="M89" i="19"/>
  <c r="H95" i="19"/>
  <c r="M91" i="19"/>
  <c r="Y102" i="19"/>
  <c r="R104" i="19"/>
  <c r="K101" i="19"/>
  <c r="I99" i="19"/>
  <c r="R105" i="19"/>
  <c r="X92" i="19"/>
  <c r="M104" i="19"/>
  <c r="O113" i="19"/>
  <c r="O94" i="19"/>
  <c r="N100" i="19"/>
  <c r="J92" i="19"/>
  <c r="I102" i="19"/>
  <c r="L88" i="19"/>
  <c r="T90" i="19"/>
  <c r="H94" i="19"/>
  <c r="M102" i="19"/>
  <c r="J104" i="19"/>
  <c r="J109" i="19"/>
  <c r="J107" i="19"/>
  <c r="J90" i="19"/>
  <c r="P99" i="19"/>
  <c r="I97" i="19"/>
  <c r="L104" i="19"/>
  <c r="W112" i="19"/>
  <c r="K92" i="19"/>
  <c r="M101" i="19"/>
  <c r="S89" i="19"/>
  <c r="W105" i="19"/>
  <c r="P93" i="19"/>
  <c r="T97" i="19"/>
  <c r="J94" i="19"/>
  <c r="M97" i="19"/>
  <c r="Q92" i="19"/>
  <c r="L93" i="19"/>
  <c r="P111" i="19"/>
  <c r="L103" i="19"/>
  <c r="X107" i="19"/>
  <c r="X105" i="19"/>
  <c r="R93" i="19"/>
  <c r="R113" i="19"/>
  <c r="N93" i="19"/>
  <c r="R92" i="19"/>
  <c r="N92" i="19"/>
  <c r="Q93" i="19"/>
  <c r="U109" i="19"/>
  <c r="Q94" i="19"/>
  <c r="J101" i="19"/>
  <c r="V89" i="19"/>
  <c r="R97" i="19"/>
  <c r="L102" i="19"/>
  <c r="O96" i="19"/>
  <c r="V103" i="19"/>
  <c r="I92" i="19"/>
  <c r="S97" i="19"/>
  <c r="S98" i="19"/>
  <c r="O106" i="19"/>
  <c r="X97" i="19"/>
  <c r="U107" i="19"/>
  <c r="Q95" i="19"/>
  <c r="X94" i="19"/>
  <c r="T99" i="19"/>
  <c r="J96" i="19"/>
  <c r="V92" i="19"/>
  <c r="K90" i="19"/>
  <c r="O103" i="19"/>
  <c r="Y104" i="19"/>
  <c r="H91" i="19"/>
  <c r="W96" i="19"/>
  <c r="J88" i="19"/>
  <c r="H92" i="19"/>
  <c r="O102" i="19"/>
  <c r="P110" i="19"/>
  <c r="L111" i="19"/>
  <c r="S112" i="19"/>
  <c r="U99" i="19"/>
  <c r="Y92" i="19"/>
  <c r="Y97" i="19"/>
  <c r="O109" i="19"/>
  <c r="R100" i="19"/>
  <c r="S99" i="19"/>
  <c r="P107" i="19"/>
  <c r="L99" i="19"/>
  <c r="P90" i="19"/>
  <c r="T95" i="19"/>
  <c r="H106" i="19"/>
  <c r="S109" i="19"/>
  <c r="M99" i="19"/>
  <c r="K94" i="19"/>
  <c r="S105" i="19"/>
  <c r="M95" i="19"/>
  <c r="Q111" i="19"/>
  <c r="P94" i="19"/>
  <c r="R99" i="19"/>
  <c r="X96" i="19"/>
  <c r="L101" i="19"/>
  <c r="J103" i="19"/>
  <c r="Y106" i="19"/>
  <c r="Q108" i="19"/>
  <c r="W102" i="19"/>
  <c r="Y111" i="19"/>
  <c r="M100" i="19"/>
  <c r="W88" i="19"/>
  <c r="Q91" i="19"/>
  <c r="M90" i="19"/>
  <c r="H89" i="19"/>
  <c r="X106" i="19"/>
  <c r="I89" i="19"/>
  <c r="M109" i="19"/>
  <c r="N112" i="19"/>
  <c r="Q107" i="19"/>
  <c r="V112" i="19"/>
  <c r="U106" i="19"/>
  <c r="V98" i="19"/>
  <c r="P113" i="19"/>
  <c r="T104" i="19"/>
  <c r="X109" i="19"/>
  <c r="W110" i="19"/>
  <c r="O112" i="19"/>
  <c r="P104" i="19"/>
  <c r="V90" i="19"/>
  <c r="K104" i="19"/>
  <c r="T110" i="19"/>
  <c r="N99" i="19"/>
  <c r="Y112" i="19"/>
  <c r="T107" i="19"/>
  <c r="X111" i="19"/>
  <c r="Q89" i="19"/>
  <c r="Y99" i="19"/>
  <c r="V93" i="19"/>
  <c r="Q104" i="19"/>
  <c r="N94" i="19"/>
  <c r="P105" i="19"/>
  <c r="Y107" i="19"/>
  <c r="I95" i="19"/>
  <c r="P100" i="19"/>
  <c r="M93" i="19"/>
  <c r="H96" i="19"/>
  <c r="Q100" i="19"/>
  <c r="I93" i="19"/>
  <c r="S94" i="19"/>
  <c r="H93" i="19"/>
  <c r="I111" i="19"/>
  <c r="P89" i="19"/>
  <c r="I109" i="19"/>
  <c r="I106" i="19"/>
  <c r="S90" i="19"/>
  <c r="L92" i="19"/>
  <c r="X108" i="19"/>
  <c r="U94" i="19"/>
  <c r="Q102" i="19"/>
  <c r="U96" i="19"/>
  <c r="U98" i="19"/>
  <c r="T105" i="19"/>
  <c r="T98" i="19"/>
  <c r="T106" i="19"/>
  <c r="N98" i="19"/>
  <c r="O104" i="19"/>
  <c r="T108" i="19"/>
  <c r="N101" i="19"/>
  <c r="L97" i="19"/>
  <c r="J89" i="19"/>
  <c r="T93" i="19"/>
  <c r="O101" i="19"/>
  <c r="Y109" i="19"/>
  <c r="R103" i="19"/>
  <c r="R114" i="19" s="1"/>
  <c r="O107" i="19"/>
  <c r="V102" i="19"/>
  <c r="N90" i="19"/>
  <c r="S103" i="19"/>
  <c r="V99" i="19"/>
  <c r="H100" i="19"/>
  <c r="M107" i="19"/>
  <c r="W108" i="19"/>
  <c r="T94" i="19"/>
  <c r="X112" i="19"/>
  <c r="X104" i="19"/>
  <c r="X89" i="19"/>
  <c r="Y101" i="19"/>
  <c r="V96" i="19"/>
  <c r="Y93" i="19"/>
  <c r="I103" i="19"/>
  <c r="S108" i="19"/>
  <c r="V101" i="19"/>
  <c r="V114" i="19" s="1"/>
  <c r="N108" i="19"/>
  <c r="M113" i="19"/>
  <c r="I98" i="19"/>
  <c r="Q103" i="19"/>
  <c r="I90" i="19"/>
  <c r="K99" i="19"/>
  <c r="U104" i="19"/>
  <c r="S96" i="19"/>
  <c r="K98" i="19"/>
  <c r="K113" i="19"/>
  <c r="U97" i="19"/>
  <c r="P106" i="19"/>
  <c r="J111" i="19"/>
  <c r="W101" i="19"/>
  <c r="H104" i="19"/>
  <c r="H113" i="19"/>
  <c r="H111" i="19"/>
  <c r="Z111" i="19" s="1"/>
  <c r="W99" i="19"/>
  <c r="T89" i="19"/>
  <c r="AB16" i="5"/>
  <c r="AC16" i="5"/>
  <c r="F54" i="12"/>
  <c r="I54" i="12"/>
  <c r="M51" i="12"/>
  <c r="G47" i="12"/>
  <c r="F48" i="12"/>
  <c r="Q55" i="12"/>
  <c r="P50" i="12"/>
  <c r="J47" i="12"/>
  <c r="M55" i="12"/>
  <c r="H53" i="12"/>
  <c r="M48" i="12"/>
  <c r="N49" i="12"/>
  <c r="I43" i="12"/>
  <c r="I44" i="12"/>
  <c r="H46" i="12"/>
  <c r="N53" i="12"/>
  <c r="N43" i="12"/>
  <c r="I57" i="12"/>
  <c r="L45" i="12"/>
  <c r="Q54" i="12"/>
  <c r="N50" i="12"/>
  <c r="O44" i="12"/>
  <c r="I55" i="12"/>
  <c r="Q48" i="12"/>
  <c r="N57" i="12"/>
  <c r="L56" i="12"/>
  <c r="H49" i="12"/>
  <c r="M46" i="12"/>
  <c r="N48" i="12"/>
  <c r="G50" i="12"/>
  <c r="M43" i="12"/>
  <c r="J56" i="12"/>
  <c r="G57" i="12"/>
  <c r="G49" i="12"/>
  <c r="L44" i="12"/>
  <c r="K51" i="12"/>
  <c r="F50" i="12"/>
  <c r="P48" i="12"/>
  <c r="I49" i="12"/>
  <c r="Q49" i="12"/>
  <c r="J46" i="12"/>
  <c r="O45" i="12"/>
  <c r="O49" i="12"/>
  <c r="L51" i="12"/>
  <c r="J45" i="12"/>
  <c r="Q52" i="12"/>
  <c r="H44" i="12"/>
  <c r="M45" i="12"/>
  <c r="K55" i="12"/>
  <c r="P53" i="12"/>
  <c r="F52" i="12"/>
  <c r="F45" i="12"/>
  <c r="G52" i="12"/>
  <c r="O47" i="12"/>
  <c r="P57" i="12"/>
  <c r="O54" i="12"/>
  <c r="P54" i="12"/>
  <c r="M57" i="12"/>
  <c r="G55" i="12"/>
  <c r="O52" i="12"/>
  <c r="Q53" i="12"/>
  <c r="L50" i="12"/>
  <c r="O43" i="12"/>
  <c r="L54" i="12"/>
  <c r="O50" i="12"/>
  <c r="J50" i="12"/>
  <c r="O51" i="12"/>
  <c r="K52" i="12"/>
  <c r="M50" i="12"/>
  <c r="O46" i="12"/>
  <c r="J48" i="12"/>
  <c r="M54" i="12"/>
  <c r="P51" i="12"/>
  <c r="H45" i="12"/>
  <c r="O56" i="12"/>
  <c r="O53" i="12"/>
  <c r="Q45" i="12"/>
  <c r="N46" i="12"/>
  <c r="N44" i="12"/>
  <c r="J44" i="12"/>
  <c r="H43" i="12"/>
  <c r="I56" i="12"/>
  <c r="K43" i="12"/>
  <c r="K47" i="12"/>
  <c r="P55" i="12"/>
  <c r="L52" i="12"/>
  <c r="Q56" i="12"/>
  <c r="Q51" i="12"/>
  <c r="H57" i="12"/>
  <c r="M56" i="12"/>
  <c r="P15" i="5"/>
  <c r="M42" i="12"/>
  <c r="O42" i="12"/>
  <c r="F42" i="12"/>
  <c r="Q42" i="12"/>
  <c r="N42" i="12"/>
  <c r="H42" i="12"/>
  <c r="O243" i="19"/>
  <c r="S243" i="19"/>
  <c r="K243" i="19"/>
  <c r="Q243" i="19"/>
  <c r="X243" i="19"/>
  <c r="L243" i="19"/>
  <c r="J243" i="19"/>
  <c r="P243" i="19"/>
  <c r="N243" i="19"/>
  <c r="Y243" i="19"/>
  <c r="Z165" i="1"/>
  <c r="N72" i="16" s="1"/>
  <c r="U243" i="19"/>
  <c r="T243" i="19"/>
  <c r="R243" i="19"/>
  <c r="W243" i="19"/>
  <c r="V243" i="19"/>
  <c r="I243" i="19"/>
  <c r="M243" i="19"/>
  <c r="H243" i="19"/>
  <c r="M72" i="16"/>
  <c r="C12" i="8"/>
  <c r="C4" i="8"/>
  <c r="C13" i="8"/>
  <c r="P21" i="5"/>
  <c r="L21" i="5" s="1"/>
  <c r="P24" i="5"/>
  <c r="L24" i="5" s="1"/>
  <c r="P19" i="5"/>
  <c r="L19" i="5" s="1"/>
  <c r="P17" i="5"/>
  <c r="L17" i="5" s="1"/>
  <c r="P20" i="5"/>
  <c r="L20" i="5" s="1"/>
  <c r="AC22" i="5"/>
  <c r="AB22" i="5"/>
  <c r="AB45" i="12"/>
  <c r="AE48" i="12"/>
  <c r="AB9" i="12"/>
  <c r="AM43" i="12"/>
  <c r="AB47" i="12"/>
  <c r="AB43" i="12"/>
  <c r="AM45" i="12"/>
  <c r="AM47" i="12"/>
  <c r="AC47" i="12"/>
  <c r="AM51" i="12"/>
  <c r="AB46" i="12"/>
  <c r="AF56" i="12"/>
  <c r="AB57" i="12"/>
  <c r="AJ57" i="12"/>
  <c r="AE45" i="12"/>
  <c r="AG45" i="12"/>
  <c r="AK49" i="12"/>
  <c r="AC43" i="12"/>
  <c r="AD51" i="12"/>
  <c r="AC46" i="12"/>
  <c r="AJ55" i="12"/>
  <c r="AI56" i="12"/>
  <c r="AE54" i="12"/>
  <c r="AM54" i="12"/>
  <c r="AF54" i="12"/>
  <c r="AK47" i="12"/>
  <c r="AL49" i="12"/>
  <c r="AF51" i="12"/>
  <c r="AJ44" i="12"/>
  <c r="AD52" i="12"/>
  <c r="AE57" i="12"/>
  <c r="AB48" i="12"/>
  <c r="AK51" i="12"/>
  <c r="AC48" i="12"/>
  <c r="AL54" i="12"/>
  <c r="AC55" i="12"/>
  <c r="AL46" i="12"/>
  <c r="AM48" i="12"/>
  <c r="AI49" i="12"/>
  <c r="AC54" i="12"/>
  <c r="AD48" i="12"/>
  <c r="AD49" i="12"/>
  <c r="AM44" i="12"/>
  <c r="AI44" i="12"/>
  <c r="AH44" i="12"/>
  <c r="AE50" i="12"/>
  <c r="AC50" i="12"/>
  <c r="AG51" i="12"/>
  <c r="AF55" i="12"/>
  <c r="AJ52" i="12"/>
  <c r="AL43" i="12"/>
  <c r="AG49" i="12"/>
  <c r="AB56" i="12"/>
  <c r="AE44" i="12"/>
  <c r="AB49" i="12"/>
  <c r="AB53" i="12"/>
  <c r="AC45" i="12"/>
  <c r="AF49" i="12"/>
  <c r="AH55" i="12"/>
  <c r="AF50" i="12"/>
  <c r="AG47" i="12"/>
  <c r="AH45" i="12"/>
  <c r="AH54" i="12"/>
  <c r="AK48" i="12"/>
  <c r="AK44" i="12"/>
  <c r="AG56" i="12"/>
  <c r="AL51" i="12"/>
  <c r="AF44" i="12"/>
  <c r="AJ54" i="12"/>
  <c r="AI51" i="12"/>
  <c r="AC57" i="12"/>
  <c r="AB54" i="12"/>
  <c r="AC53" i="12"/>
  <c r="AF45" i="12"/>
  <c r="AK54" i="12"/>
  <c r="AL53" i="12"/>
  <c r="AD57" i="12"/>
  <c r="AH47" i="12"/>
  <c r="AG48" i="12"/>
  <c r="AM53" i="12"/>
  <c r="AG43" i="12"/>
  <c r="AB50" i="12"/>
  <c r="AM52" i="12"/>
  <c r="AD50" i="12"/>
  <c r="AJ45" i="12"/>
  <c r="AM49" i="12"/>
  <c r="AJ56" i="12"/>
  <c r="AI50" i="12"/>
  <c r="AL45" i="12"/>
  <c r="AG57" i="12"/>
  <c r="N15" i="5"/>
  <c r="AE42" i="12"/>
  <c r="AF42" i="12"/>
  <c r="AX9" i="12"/>
  <c r="AN165" i="1"/>
  <c r="BA42" i="12"/>
  <c r="BE42" i="12"/>
  <c r="BD42" i="12"/>
  <c r="BF42" i="12"/>
  <c r="AZ42" i="12"/>
  <c r="BG42" i="12"/>
  <c r="BC42" i="12"/>
  <c r="BB42" i="12"/>
  <c r="BH42" i="12"/>
  <c r="BI42" i="12"/>
  <c r="AY42" i="12"/>
  <c r="AX42" i="12"/>
  <c r="AY48" i="12"/>
  <c r="BE46" i="12"/>
  <c r="AZ53" i="12"/>
  <c r="BA56" i="12"/>
  <c r="BA48" i="12"/>
  <c r="BB43" i="12"/>
  <c r="AX46" i="12"/>
  <c r="BG54" i="12"/>
  <c r="BD47" i="12"/>
  <c r="AZ57" i="12"/>
  <c r="AX54" i="12"/>
  <c r="BI57" i="12"/>
  <c r="BA43" i="12"/>
  <c r="AX48" i="12"/>
  <c r="BC53" i="12"/>
  <c r="AZ46" i="12"/>
  <c r="BE54" i="12"/>
  <c r="AZ52" i="12"/>
  <c r="BB48" i="12"/>
  <c r="BB57" i="12"/>
  <c r="BG43" i="12"/>
  <c r="BE50" i="12"/>
  <c r="AZ51" i="12"/>
  <c r="BI44" i="12"/>
  <c r="BF57" i="12"/>
  <c r="BF48" i="12"/>
  <c r="BG53" i="12"/>
  <c r="BH47" i="12"/>
  <c r="BA49" i="12"/>
  <c r="BH57" i="12"/>
  <c r="BI49" i="12"/>
  <c r="BE49" i="12"/>
  <c r="BC49" i="12"/>
  <c r="AX47" i="12"/>
  <c r="BC51" i="12"/>
  <c r="AZ48" i="12"/>
  <c r="BD56" i="12"/>
  <c r="BB53" i="12"/>
  <c r="BI51" i="12"/>
  <c r="BA47" i="12"/>
  <c r="BG45" i="12"/>
  <c r="BG52" i="12"/>
  <c r="BH46" i="12"/>
  <c r="BE43" i="12"/>
  <c r="AX52" i="12"/>
  <c r="AZ44" i="12"/>
  <c r="BE56" i="12"/>
  <c r="BF45" i="12"/>
  <c r="BI53" i="12"/>
  <c r="AY52" i="12"/>
  <c r="AY47" i="12"/>
  <c r="BI47" i="12"/>
  <c r="AZ56" i="12"/>
  <c r="BE48" i="12"/>
  <c r="BI48" i="12"/>
  <c r="AY45" i="12"/>
  <c r="BE52" i="12"/>
  <c r="BC48" i="12"/>
  <c r="BC55" i="12"/>
  <c r="BD49" i="12"/>
  <c r="BA53" i="12"/>
  <c r="BF54" i="12"/>
  <c r="BB56" i="12"/>
  <c r="AY44" i="12"/>
  <c r="BC52" i="12"/>
  <c r="BD46" i="12"/>
  <c r="BE57" i="12"/>
  <c r="BG49" i="12"/>
  <c r="BH43" i="12"/>
  <c r="BI54" i="12"/>
  <c r="BF44" i="12"/>
  <c r="BE53" i="12"/>
  <c r="BG47" i="12"/>
  <c r="BC45" i="12"/>
  <c r="BC56" i="12"/>
  <c r="BD50" i="12"/>
  <c r="BD57" i="12"/>
  <c r="BF55" i="12"/>
  <c r="BE51" i="12"/>
  <c r="BA44" i="12"/>
  <c r="BG46" i="12"/>
  <c r="AY55" i="12"/>
  <c r="AZ49" i="12"/>
  <c r="BE47" i="12"/>
  <c r="BA55" i="12"/>
  <c r="AX56" i="12"/>
  <c r="AX44" i="12"/>
  <c r="BG50" i="12"/>
  <c r="BD43" i="12"/>
  <c r="BH55" i="12"/>
  <c r="BD55" i="12"/>
  <c r="AX43" i="12"/>
  <c r="BA50" i="12"/>
  <c r="BC44" i="12"/>
  <c r="BG56" i="12"/>
  <c r="BD53" i="12"/>
  <c r="BD48" i="12"/>
  <c r="BE55" i="12"/>
  <c r="AX55" i="12"/>
  <c r="BB44" i="12"/>
  <c r="AY51" i="12"/>
  <c r="AZ45" i="12"/>
  <c r="BG51" i="12"/>
  <c r="BH49" i="12"/>
  <c r="BI56" i="12"/>
  <c r="BF53" i="12"/>
  <c r="BF50" i="12"/>
  <c r="BI50" i="12"/>
  <c r="BG48" i="12"/>
  <c r="BD45" i="12"/>
  <c r="BH53" i="12"/>
  <c r="BB49" i="12"/>
  <c r="BI46" i="12"/>
  <c r="AX50" i="12"/>
  <c r="BC57" i="12"/>
  <c r="AZ50" i="12"/>
  <c r="BI55" i="12"/>
  <c r="BF56" i="12"/>
  <c r="BF51" i="12"/>
  <c r="BB45" i="12"/>
  <c r="BC50" i="12"/>
  <c r="AZ43" i="12"/>
  <c r="AZ54" i="12"/>
  <c r="BF46" i="12"/>
  <c r="BH54" i="12"/>
  <c r="AX53" i="12"/>
  <c r="BI45" i="12"/>
  <c r="BC46" i="12"/>
  <c r="BD44" i="12"/>
  <c r="BG57" i="12"/>
  <c r="BH51" i="12"/>
  <c r="BF43" i="12"/>
  <c r="AX57" i="12"/>
  <c r="BC43" i="12"/>
  <c r="BG55" i="12"/>
  <c r="BB54" i="12"/>
  <c r="BF49" i="12"/>
  <c r="AY53" i="12"/>
  <c r="BH45" i="12"/>
  <c r="BH56" i="12"/>
  <c r="BB52" i="12"/>
  <c r="BA52" i="12"/>
  <c r="BI52" i="12"/>
  <c r="BB47" i="12"/>
  <c r="BC54" i="12"/>
  <c r="BD52" i="12"/>
  <c r="BH44" i="12"/>
  <c r="BD54" i="12"/>
  <c r="BB51" i="12"/>
  <c r="BE45" i="12"/>
  <c r="AY46" i="12"/>
  <c r="BI43" i="12"/>
  <c r="AY56" i="12"/>
  <c r="BH48" i="12"/>
  <c r="BA57" i="12"/>
  <c r="BF52" i="12"/>
  <c r="AX49" i="12"/>
  <c r="BC47" i="12"/>
  <c r="BF47" i="12"/>
  <c r="AX45" i="12"/>
  <c r="BG44" i="12"/>
  <c r="AY57" i="12"/>
  <c r="AZ55" i="12"/>
  <c r="BH52" i="12"/>
  <c r="BA46" i="12"/>
  <c r="BE44" i="12"/>
  <c r="AX51" i="12"/>
  <c r="AY54" i="12"/>
  <c r="BH50" i="12"/>
  <c r="BA45" i="12"/>
  <c r="BD51" i="12"/>
  <c r="BA51" i="12"/>
  <c r="BB55" i="12"/>
  <c r="AY43" i="12"/>
  <c r="AY50" i="12"/>
  <c r="AY49" i="12"/>
  <c r="AZ47" i="12"/>
  <c r="BA54" i="12"/>
  <c r="BB50" i="12"/>
  <c r="BB46" i="12"/>
  <c r="AM42" i="12"/>
  <c r="AJ42" i="12"/>
  <c r="K243" i="13"/>
  <c r="I243" i="13"/>
  <c r="N243" i="13"/>
  <c r="O243" i="13"/>
  <c r="X243" i="13"/>
  <c r="T243" i="13"/>
  <c r="L243" i="13"/>
  <c r="U243" i="13"/>
  <c r="V243" i="13"/>
  <c r="H243" i="13"/>
  <c r="W243" i="13"/>
  <c r="S243" i="13"/>
  <c r="Y243" i="13"/>
  <c r="J243" i="13"/>
  <c r="P243" i="13"/>
  <c r="M243" i="13"/>
  <c r="Q243" i="13"/>
  <c r="R243" i="13"/>
  <c r="O72" i="16"/>
  <c r="AB42" i="12"/>
  <c r="C3" i="8"/>
  <c r="N16" i="5"/>
  <c r="O16" i="5" s="1"/>
  <c r="N18" i="5"/>
  <c r="O18" i="5" s="1"/>
  <c r="N21" i="5"/>
  <c r="N17" i="5"/>
  <c r="O17" i="5" s="1"/>
  <c r="N24" i="5"/>
  <c r="L114" i="19" l="1"/>
  <c r="M114" i="13"/>
  <c r="U114" i="19"/>
  <c r="P114" i="13"/>
  <c r="N114" i="13"/>
  <c r="Z104" i="19"/>
  <c r="Z243" i="19"/>
  <c r="O114" i="19"/>
  <c r="Z111" i="13"/>
  <c r="J114" i="13"/>
  <c r="I114" i="13"/>
  <c r="L114" i="13"/>
  <c r="Z113" i="19"/>
  <c r="W114" i="19"/>
  <c r="Y114" i="19"/>
  <c r="X114" i="13"/>
  <c r="X114" i="19"/>
  <c r="Q114" i="19"/>
  <c r="M114" i="19"/>
  <c r="Y114" i="13"/>
  <c r="Z108" i="13"/>
  <c r="R114" i="13"/>
  <c r="Z88" i="13"/>
  <c r="Z113" i="13"/>
  <c r="Q114" i="13"/>
  <c r="S114" i="19"/>
  <c r="N114" i="19"/>
  <c r="K114" i="19"/>
  <c r="T114" i="19"/>
  <c r="J114" i="19"/>
  <c r="W114" i="13"/>
  <c r="S114" i="13"/>
  <c r="Z110" i="13"/>
  <c r="Z101" i="13"/>
  <c r="U114" i="13"/>
  <c r="T114" i="13"/>
  <c r="O114" i="13"/>
  <c r="P114" i="19"/>
  <c r="I114" i="19"/>
  <c r="Z106" i="13"/>
  <c r="Z243" i="13"/>
  <c r="AJ58" i="12"/>
  <c r="AJ66" i="12" s="1"/>
  <c r="AM58" i="12"/>
  <c r="AM65" i="12" s="1"/>
  <c r="AY58" i="12"/>
  <c r="AY66" i="12" s="1"/>
  <c r="BH58" i="12"/>
  <c r="BH65" i="12" s="1"/>
  <c r="BC58" i="12"/>
  <c r="BC65" i="12" s="1"/>
  <c r="AZ58" i="12"/>
  <c r="AZ64" i="12" s="1"/>
  <c r="BD58" i="12"/>
  <c r="BD66" i="12" s="1"/>
  <c r="BA58" i="12"/>
  <c r="BA66" i="12" s="1"/>
  <c r="AF58" i="12"/>
  <c r="AF65" i="12" s="1"/>
  <c r="S20" i="5"/>
  <c r="Q20" i="5"/>
  <c r="R20" i="5" s="1"/>
  <c r="S19" i="5"/>
  <c r="Q19" i="5"/>
  <c r="R19" i="5" s="1"/>
  <c r="S24" i="5"/>
  <c r="Q24" i="5"/>
  <c r="R24" i="5" s="1"/>
  <c r="N58" i="12"/>
  <c r="N66" i="12" s="1"/>
  <c r="F58" i="12"/>
  <c r="F59" i="12" s="1"/>
  <c r="M58" i="12"/>
  <c r="M65" i="12" s="1"/>
  <c r="H114" i="19"/>
  <c r="Z108" i="19"/>
  <c r="V98" i="5"/>
  <c r="P98" i="5"/>
  <c r="S98" i="5"/>
  <c r="Q98" i="5"/>
  <c r="R98" i="5" s="1"/>
  <c r="N98" i="5"/>
  <c r="O98" i="5" s="1"/>
  <c r="Q100" i="5"/>
  <c r="R100" i="5" s="1"/>
  <c r="P100" i="5"/>
  <c r="S100" i="5"/>
  <c r="N100" i="5"/>
  <c r="O100" i="5" s="1"/>
  <c r="V100" i="5"/>
  <c r="V94" i="5"/>
  <c r="S94" i="5"/>
  <c r="Q94" i="5"/>
  <c r="R94" i="5" s="1"/>
  <c r="N94" i="5"/>
  <c r="O94" i="5" s="1"/>
  <c r="P94" i="5"/>
  <c r="Q92" i="12"/>
  <c r="F92" i="12"/>
  <c r="AY92" i="12"/>
  <c r="BE91" i="12"/>
  <c r="AH92" i="12"/>
  <c r="AI92" i="12"/>
  <c r="H91" i="12"/>
  <c r="BD92" i="12"/>
  <c r="BD91" i="12"/>
  <c r="K91" i="12"/>
  <c r="AG92" i="12"/>
  <c r="AX91" i="12"/>
  <c r="AM92" i="12"/>
  <c r="AZ92" i="12"/>
  <c r="P91" i="12"/>
  <c r="Q91" i="12"/>
  <c r="O91" i="12"/>
  <c r="D2" i="8"/>
  <c r="I2" i="8" s="1"/>
  <c r="AL92" i="12"/>
  <c r="BI91" i="12"/>
  <c r="AK92" i="12"/>
  <c r="K92" i="12"/>
  <c r="AX92" i="12"/>
  <c r="BB92" i="12"/>
  <c r="L91" i="12"/>
  <c r="J91" i="12"/>
  <c r="H92" i="12"/>
  <c r="AC92" i="12"/>
  <c r="AG91" i="12"/>
  <c r="BA92" i="12"/>
  <c r="BB91" i="12"/>
  <c r="J92" i="12"/>
  <c r="O92" i="12"/>
  <c r="M92" i="12"/>
  <c r="L92" i="12"/>
  <c r="G91" i="12"/>
  <c r="F91" i="12"/>
  <c r="AE91" i="12"/>
  <c r="AC91" i="12"/>
  <c r="AF91" i="12"/>
  <c r="AI91" i="12"/>
  <c r="BG91" i="12"/>
  <c r="N91" i="12"/>
  <c r="AB92" i="12"/>
  <c r="G92" i="12"/>
  <c r="AD91" i="12"/>
  <c r="AB91" i="12"/>
  <c r="BF92" i="12"/>
  <c r="AF92" i="12"/>
  <c r="BH91" i="12"/>
  <c r="AY91" i="12"/>
  <c r="AE92" i="12"/>
  <c r="AJ91" i="12"/>
  <c r="BE92" i="12"/>
  <c r="BC92" i="12"/>
  <c r="BC91" i="12"/>
  <c r="BI92" i="12"/>
  <c r="M91" i="12"/>
  <c r="N92" i="12"/>
  <c r="AJ92" i="12"/>
  <c r="D8" i="8"/>
  <c r="I8" i="8" s="1"/>
  <c r="AM91" i="12"/>
  <c r="P92" i="12"/>
  <c r="AK91" i="12"/>
  <c r="AH91" i="12"/>
  <c r="BG92" i="12"/>
  <c r="I92" i="12"/>
  <c r="AD92" i="12"/>
  <c r="I91" i="12"/>
  <c r="BH92" i="12"/>
  <c r="BA91" i="12"/>
  <c r="BF91" i="12"/>
  <c r="AZ91" i="12"/>
  <c r="AL91" i="12"/>
  <c r="S101" i="5"/>
  <c r="P101" i="5"/>
  <c r="N101" i="5"/>
  <c r="O101" i="5" s="1"/>
  <c r="V101" i="5"/>
  <c r="Q101" i="5"/>
  <c r="R101" i="5" s="1"/>
  <c r="Q103" i="5"/>
  <c r="R103" i="5" s="1"/>
  <c r="P103" i="5"/>
  <c r="V103" i="5"/>
  <c r="S103" i="5"/>
  <c r="N103" i="5"/>
  <c r="O103" i="5" s="1"/>
  <c r="AC24" i="5"/>
  <c r="O24" i="5" s="1"/>
  <c r="AB24" i="5"/>
  <c r="Z103" i="13"/>
  <c r="Z107" i="13"/>
  <c r="H114" i="13"/>
  <c r="Z102" i="13"/>
  <c r="O19" i="5"/>
  <c r="AL58" i="12"/>
  <c r="AL65" i="12" s="1"/>
  <c r="AD58" i="12"/>
  <c r="AD66" i="12" s="1"/>
  <c r="AC58" i="12"/>
  <c r="AC66" i="12" s="1"/>
  <c r="S16" i="5"/>
  <c r="Q16" i="5"/>
  <c r="R16" i="5" s="1"/>
  <c r="S18" i="5"/>
  <c r="Q18" i="5"/>
  <c r="R18" i="5" s="1"/>
  <c r="L58" i="12"/>
  <c r="L64" i="12" s="1"/>
  <c r="J58" i="12"/>
  <c r="J66" i="12" s="1"/>
  <c r="K58" i="12"/>
  <c r="K59" i="12" s="1"/>
  <c r="Z112" i="19"/>
  <c r="Z110" i="19"/>
  <c r="Z105" i="19"/>
  <c r="AB58" i="12"/>
  <c r="AB59" i="12" s="1"/>
  <c r="AX58" i="12"/>
  <c r="AX59" i="12" s="1"/>
  <c r="BI58" i="12"/>
  <c r="BI66" i="12" s="1"/>
  <c r="BB58" i="12"/>
  <c r="BB65" i="12" s="1"/>
  <c r="BG58" i="12"/>
  <c r="BG66" i="12" s="1"/>
  <c r="BF58" i="12"/>
  <c r="BF65" i="12" s="1"/>
  <c r="BE58" i="12"/>
  <c r="BE66" i="12" s="1"/>
  <c r="AE58" i="12"/>
  <c r="AE66" i="12" s="1"/>
  <c r="S17" i="5"/>
  <c r="Q17" i="5"/>
  <c r="R17" i="5" s="1"/>
  <c r="S21" i="5"/>
  <c r="Q21" i="5"/>
  <c r="R21" i="5" s="1"/>
  <c r="H58" i="12"/>
  <c r="H65" i="12" s="1"/>
  <c r="Q58" i="12"/>
  <c r="Q66" i="12" s="1"/>
  <c r="O58" i="12"/>
  <c r="O64" i="12" s="1"/>
  <c r="L15" i="5"/>
  <c r="Z106" i="19"/>
  <c r="Z103" i="19"/>
  <c r="V96" i="5"/>
  <c r="P96" i="5"/>
  <c r="N96" i="5"/>
  <c r="O96" i="5" s="1"/>
  <c r="Q96" i="5"/>
  <c r="R96" i="5" s="1"/>
  <c r="S96" i="5"/>
  <c r="S97" i="5"/>
  <c r="P97" i="5"/>
  <c r="N97" i="5"/>
  <c r="O97" i="5" s="1"/>
  <c r="V97" i="5"/>
  <c r="Q97" i="5"/>
  <c r="R97" i="5" s="1"/>
  <c r="S102" i="5"/>
  <c r="P102" i="5"/>
  <c r="N102" i="5"/>
  <c r="O102" i="5" s="1"/>
  <c r="Q102" i="5"/>
  <c r="R102" i="5" s="1"/>
  <c r="V102" i="5"/>
  <c r="S99" i="5"/>
  <c r="P99" i="5"/>
  <c r="N99" i="5"/>
  <c r="O99" i="5" s="1"/>
  <c r="V99" i="5"/>
  <c r="Q99" i="5"/>
  <c r="R99" i="5" s="1"/>
  <c r="P95" i="5"/>
  <c r="V95" i="5"/>
  <c r="Q95" i="5"/>
  <c r="R95" i="5" s="1"/>
  <c r="S95" i="5"/>
  <c r="N95" i="5"/>
  <c r="O95" i="5" s="1"/>
  <c r="AB21" i="5"/>
  <c r="AC21" i="5"/>
  <c r="O21" i="5" s="1"/>
  <c r="Z105" i="13"/>
  <c r="Z104" i="13"/>
  <c r="Z112" i="13"/>
  <c r="Z109" i="13"/>
  <c r="O22" i="5"/>
  <c r="O23" i="5"/>
  <c r="AI58" i="12"/>
  <c r="AI64" i="12" s="1"/>
  <c r="AH58" i="12"/>
  <c r="AH66" i="12" s="1"/>
  <c r="AG58" i="12"/>
  <c r="AG65" i="12" s="1"/>
  <c r="AK58" i="12"/>
  <c r="AK65" i="12" s="1"/>
  <c r="Q22" i="5"/>
  <c r="R22" i="5" s="1"/>
  <c r="S22" i="5"/>
  <c r="S23" i="5"/>
  <c r="Q23" i="5"/>
  <c r="R23" i="5" s="1"/>
  <c r="G58" i="12"/>
  <c r="G65" i="12" s="1"/>
  <c r="I58" i="12"/>
  <c r="I59" i="12" s="1"/>
  <c r="P58" i="12"/>
  <c r="P66" i="12" s="1"/>
  <c r="Z101" i="19"/>
  <c r="Z102" i="19"/>
  <c r="Z88" i="19"/>
  <c r="Z109" i="19"/>
  <c r="Z107" i="19"/>
  <c r="AC15" i="5"/>
  <c r="O15" i="5" s="1"/>
  <c r="AB15" i="5"/>
  <c r="Z114" i="13" l="1"/>
  <c r="Z114" i="19"/>
  <c r="V104" i="5"/>
  <c r="AM59" i="12"/>
  <c r="AH64" i="12"/>
  <c r="P134" i="14"/>
  <c r="Q134" i="14" s="1"/>
  <c r="AI66" i="12"/>
  <c r="AI59" i="12"/>
  <c r="AI65" i="12"/>
  <c r="R143" i="14"/>
  <c r="V143" i="14" s="1"/>
  <c r="W143" i="14" s="1"/>
  <c r="M66" i="12"/>
  <c r="BB64" i="12"/>
  <c r="AC64" i="12"/>
  <c r="BD64" i="12"/>
  <c r="AZ59" i="12"/>
  <c r="BC64" i="12"/>
  <c r="BC66" i="12"/>
  <c r="I66" i="12"/>
  <c r="I67" i="12" s="1"/>
  <c r="G59" i="12"/>
  <c r="R134" i="14"/>
  <c r="V134" i="14" s="1"/>
  <c r="W134" i="14" s="1"/>
  <c r="BB59" i="12"/>
  <c r="BB66" i="12"/>
  <c r="AX64" i="12"/>
  <c r="AB66" i="12"/>
  <c r="AB67" i="12" s="1"/>
  <c r="AC65" i="12"/>
  <c r="AD59" i="12"/>
  <c r="AL66" i="12"/>
  <c r="F66" i="12"/>
  <c r="F67" i="12" s="1"/>
  <c r="BD65" i="12"/>
  <c r="BD59" i="12"/>
  <c r="BD67" i="12" s="1"/>
  <c r="AG59" i="12"/>
  <c r="P65" i="12"/>
  <c r="AG66" i="12"/>
  <c r="AG64" i="12"/>
  <c r="AE59" i="12"/>
  <c r="BE64" i="12"/>
  <c r="BF64" i="12"/>
  <c r="AX66" i="12"/>
  <c r="AX67" i="12" s="1"/>
  <c r="AB64" i="12"/>
  <c r="AB65" i="12"/>
  <c r="AL59" i="12"/>
  <c r="F64" i="12"/>
  <c r="F65" i="12"/>
  <c r="AF59" i="12"/>
  <c r="BA64" i="12"/>
  <c r="BC59" i="12"/>
  <c r="BC67" i="12" s="1"/>
  <c r="BH64" i="12"/>
  <c r="P64" i="12"/>
  <c r="G66" i="12"/>
  <c r="G64" i="12"/>
  <c r="AK64" i="12"/>
  <c r="P131" i="14"/>
  <c r="Q131" i="14" s="1"/>
  <c r="Q64" i="12"/>
  <c r="AE65" i="12"/>
  <c r="AE64" i="12"/>
  <c r="BE59" i="12"/>
  <c r="BE65" i="12"/>
  <c r="BF66" i="12"/>
  <c r="BI59" i="12"/>
  <c r="K66" i="12"/>
  <c r="K67" i="12" s="1"/>
  <c r="J64" i="12"/>
  <c r="L59" i="12"/>
  <c r="L66" i="12"/>
  <c r="AD64" i="12"/>
  <c r="AD65" i="12"/>
  <c r="AL64" i="12"/>
  <c r="AL68" i="12" s="1"/>
  <c r="M64" i="12"/>
  <c r="N64" i="12"/>
  <c r="AF64" i="12"/>
  <c r="AF66" i="12"/>
  <c r="BA65" i="12"/>
  <c r="AZ65" i="12"/>
  <c r="BH66" i="12"/>
  <c r="AY59" i="12"/>
  <c r="L65" i="12"/>
  <c r="R131" i="14"/>
  <c r="V131" i="14" s="1"/>
  <c r="W131" i="14" s="1"/>
  <c r="BE78" i="12"/>
  <c r="BH80" i="12"/>
  <c r="BC84" i="12"/>
  <c r="BC80" i="12"/>
  <c r="AX84" i="12"/>
  <c r="BG87" i="12"/>
  <c r="BD87" i="12"/>
  <c r="AX10" i="12"/>
  <c r="BD78" i="12"/>
  <c r="BF87" i="12"/>
  <c r="BI82" i="12"/>
  <c r="AX82" i="12"/>
  <c r="BI80" i="12"/>
  <c r="BC81" i="12"/>
  <c r="BB76" i="12"/>
  <c r="BI83" i="12"/>
  <c r="BI81" i="12"/>
  <c r="BI77" i="12"/>
  <c r="AX87" i="12"/>
  <c r="BD85" i="12"/>
  <c r="AZ81" i="12"/>
  <c r="BG80" i="12"/>
  <c r="BC83" i="12"/>
  <c r="BH77" i="12"/>
  <c r="BH81" i="12"/>
  <c r="BH87" i="12"/>
  <c r="BD84" i="12"/>
  <c r="BC82" i="12"/>
  <c r="BA79" i="12"/>
  <c r="BH76" i="12"/>
  <c r="BE80" i="12"/>
  <c r="BF83" i="12"/>
  <c r="AZ76" i="12"/>
  <c r="BG77" i="12"/>
  <c r="AZ83" i="12"/>
  <c r="AX76" i="12"/>
  <c r="BB83" i="12"/>
  <c r="BE81" i="12"/>
  <c r="BE85" i="12"/>
  <c r="AY79" i="12"/>
  <c r="BC77" i="12"/>
  <c r="BB81" i="12"/>
  <c r="AY83" i="12"/>
  <c r="AZ80" i="12"/>
  <c r="BH78" i="12"/>
  <c r="BB87" i="12"/>
  <c r="AY77" i="12"/>
  <c r="BF79" i="12"/>
  <c r="BF81" i="12"/>
  <c r="BI76" i="12"/>
  <c r="BA84" i="12"/>
  <c r="BI78" i="12"/>
  <c r="BF80" i="12"/>
  <c r="BC87" i="12"/>
  <c r="BI85" i="12"/>
  <c r="AY76" i="12"/>
  <c r="BD81" i="12"/>
  <c r="BB84" i="12"/>
  <c r="BG83" i="12"/>
  <c r="BA80" i="12"/>
  <c r="BB79" i="12"/>
  <c r="BI79" i="12"/>
  <c r="BI87" i="12"/>
  <c r="BD79" i="12"/>
  <c r="BB77" i="12"/>
  <c r="AZ77" i="12"/>
  <c r="BE83" i="12"/>
  <c r="BI84" i="12"/>
  <c r="BG81" i="12"/>
  <c r="AY82" i="12"/>
  <c r="BB85" i="12"/>
  <c r="AX81" i="12"/>
  <c r="BA81" i="12"/>
  <c r="BA85" i="12"/>
  <c r="AX80" i="12"/>
  <c r="AX79" i="12"/>
  <c r="AY87" i="12"/>
  <c r="BA82" i="12"/>
  <c r="BF76" i="12"/>
  <c r="AZ84" i="12"/>
  <c r="BA76" i="12"/>
  <c r="BA83" i="12"/>
  <c r="AY78" i="12"/>
  <c r="BG82" i="12"/>
  <c r="AY85" i="12"/>
  <c r="BH83" i="12"/>
  <c r="BC76" i="12"/>
  <c r="AX78" i="12"/>
  <c r="BF82" i="12"/>
  <c r="BE79" i="12"/>
  <c r="BB80" i="12"/>
  <c r="BC79" i="12"/>
  <c r="AY81" i="12"/>
  <c r="AZ82" i="12"/>
  <c r="AY84" i="12"/>
  <c r="BG78" i="12"/>
  <c r="BE77" i="12"/>
  <c r="BD82" i="12"/>
  <c r="BC85" i="12"/>
  <c r="BH79" i="12"/>
  <c r="BD77" i="12"/>
  <c r="BG76" i="12"/>
  <c r="BF78" i="12"/>
  <c r="BH85" i="12"/>
  <c r="AX83" i="12"/>
  <c r="BF85" i="12"/>
  <c r="AY80" i="12"/>
  <c r="AZ85" i="12"/>
  <c r="BE76" i="12"/>
  <c r="BA87" i="12"/>
  <c r="BF84" i="12"/>
  <c r="BE82" i="12"/>
  <c r="AX85" i="12"/>
  <c r="BC78" i="12"/>
  <c r="AZ78" i="12"/>
  <c r="AX77" i="12"/>
  <c r="BG84" i="12"/>
  <c r="BE84" i="12"/>
  <c r="BD83" i="12"/>
  <c r="BA78" i="12"/>
  <c r="BH82" i="12"/>
  <c r="BB78" i="12"/>
  <c r="BB82" i="12"/>
  <c r="BD80" i="12"/>
  <c r="AZ87" i="12"/>
  <c r="BD76" i="12"/>
  <c r="AZ79" i="12"/>
  <c r="BE87" i="12"/>
  <c r="BA77" i="12"/>
  <c r="BH84" i="12"/>
  <c r="BG79" i="12"/>
  <c r="BG85" i="12"/>
  <c r="BF77" i="12"/>
  <c r="BA75" i="12"/>
  <c r="AX75" i="12"/>
  <c r="BE75" i="12"/>
  <c r="BC75" i="12"/>
  <c r="AZ75" i="12"/>
  <c r="BF75" i="12"/>
  <c r="BD75" i="12"/>
  <c r="AY75" i="12"/>
  <c r="BG75" i="12"/>
  <c r="BH75" i="12"/>
  <c r="BB75" i="12"/>
  <c r="BI75" i="12"/>
  <c r="AK66" i="12"/>
  <c r="AK68" i="12" s="1"/>
  <c r="AG68" i="12"/>
  <c r="X134" i="14"/>
  <c r="AI68" i="12"/>
  <c r="O75" i="12"/>
  <c r="N75" i="12"/>
  <c r="G75" i="12"/>
  <c r="L75" i="12"/>
  <c r="M75" i="12"/>
  <c r="I75" i="12"/>
  <c r="Q85" i="12"/>
  <c r="N85" i="12"/>
  <c r="N78" i="12"/>
  <c r="K85" i="12"/>
  <c r="M85" i="12"/>
  <c r="I78" i="12"/>
  <c r="D13" i="8"/>
  <c r="F85" i="12"/>
  <c r="G87" i="12"/>
  <c r="O76" i="12"/>
  <c r="J85" i="12"/>
  <c r="L87" i="12"/>
  <c r="N79" i="12"/>
  <c r="F76" i="12"/>
  <c r="G80" i="12"/>
  <c r="K80" i="12"/>
  <c r="H76" i="12"/>
  <c r="H79" i="12"/>
  <c r="I83" i="12"/>
  <c r="H83" i="12"/>
  <c r="H84" i="12"/>
  <c r="F78" i="12"/>
  <c r="F84" i="12"/>
  <c r="L83" i="12"/>
  <c r="J79" i="12"/>
  <c r="I84" i="12"/>
  <c r="K81" i="12"/>
  <c r="M76" i="12"/>
  <c r="D12" i="8"/>
  <c r="G81" i="12"/>
  <c r="O82" i="12"/>
  <c r="I77" i="12"/>
  <c r="J76" i="12"/>
  <c r="F83" i="12"/>
  <c r="D10" i="8"/>
  <c r="I10" i="8" s="1"/>
  <c r="P82" i="12"/>
  <c r="J83" i="12"/>
  <c r="P78" i="12"/>
  <c r="L82" i="12"/>
  <c r="J82" i="12"/>
  <c r="G77" i="12"/>
  <c r="I81" i="12"/>
  <c r="K82" i="12"/>
  <c r="L77" i="12"/>
  <c r="O83" i="12"/>
  <c r="Q83" i="12"/>
  <c r="Q80" i="12"/>
  <c r="J78" i="12"/>
  <c r="K76" i="12"/>
  <c r="P81" i="12"/>
  <c r="P87" i="12"/>
  <c r="F80" i="12"/>
  <c r="Q79" i="12"/>
  <c r="G78" i="12"/>
  <c r="Q84" i="12"/>
  <c r="O80" i="12"/>
  <c r="P83" i="12"/>
  <c r="J80" i="12"/>
  <c r="G83" i="12"/>
  <c r="N77" i="12"/>
  <c r="L81" i="12"/>
  <c r="N82" i="12"/>
  <c r="M79" i="12"/>
  <c r="K79" i="12"/>
  <c r="K83" i="12"/>
  <c r="I80" i="12"/>
  <c r="H82" i="12"/>
  <c r="F79" i="12"/>
  <c r="Q87" i="12"/>
  <c r="O59" i="12"/>
  <c r="O65" i="12"/>
  <c r="H64" i="12"/>
  <c r="H59" i="12"/>
  <c r="AJ75" i="12"/>
  <c r="AL75" i="12"/>
  <c r="AG75" i="12"/>
  <c r="AK75" i="12"/>
  <c r="AI75" i="12"/>
  <c r="AM75" i="12"/>
  <c r="D9" i="8"/>
  <c r="I9" i="8" s="1"/>
  <c r="AB78" i="12"/>
  <c r="AK78" i="12"/>
  <c r="AB81" i="12"/>
  <c r="AH76" i="12"/>
  <c r="AI87" i="12"/>
  <c r="AL78" i="12"/>
  <c r="AL82" i="12"/>
  <c r="AG78" i="12"/>
  <c r="AJ85" i="12"/>
  <c r="AD84" i="12"/>
  <c r="AM76" i="12"/>
  <c r="AK83" i="12"/>
  <c r="AG81" i="12"/>
  <c r="AE83" i="12"/>
  <c r="AE87" i="12"/>
  <c r="D3" i="8"/>
  <c r="I3" i="8" s="1"/>
  <c r="AK79" i="12"/>
  <c r="AM82" i="12"/>
  <c r="AG76" i="12"/>
  <c r="AK77" i="12"/>
  <c r="AF76" i="12"/>
  <c r="AJ82" i="12"/>
  <c r="AJ78" i="12"/>
  <c r="AL80" i="12"/>
  <c r="AL83" i="12"/>
  <c r="AD83" i="12"/>
  <c r="AB10" i="12"/>
  <c r="AG77" i="12"/>
  <c r="AD82" i="12"/>
  <c r="AI82" i="12"/>
  <c r="AJ77" i="12"/>
  <c r="AF79" i="12"/>
  <c r="AG85" i="12"/>
  <c r="AE81" i="12"/>
  <c r="AJ87" i="12"/>
  <c r="AK80" i="12"/>
  <c r="AH82" i="12"/>
  <c r="AK85" i="12"/>
  <c r="AK87" i="12"/>
  <c r="AB77" i="12"/>
  <c r="AD79" i="12"/>
  <c r="AL84" i="12"/>
  <c r="AC85" i="12"/>
  <c r="AF82" i="12"/>
  <c r="AH84" i="12"/>
  <c r="AC80" i="12"/>
  <c r="AM87" i="12"/>
  <c r="AG82" i="12"/>
  <c r="AG87" i="12"/>
  <c r="AB82" i="12"/>
  <c r="AB79" i="12"/>
  <c r="AI76" i="12"/>
  <c r="AI79" i="12"/>
  <c r="AE76" i="12"/>
  <c r="AD76" i="12"/>
  <c r="AM85" i="12"/>
  <c r="AB83" i="12"/>
  <c r="AF84" i="12"/>
  <c r="AL87" i="12"/>
  <c r="AF80" i="12"/>
  <c r="AG84" i="12"/>
  <c r="AK76" i="12"/>
  <c r="AL76" i="12"/>
  <c r="AJ79" i="12"/>
  <c r="AB84" i="12"/>
  <c r="AD87" i="12"/>
  <c r="AH79" i="12"/>
  <c r="AE68" i="12"/>
  <c r="P133" i="14"/>
  <c r="BE67" i="12"/>
  <c r="BF68" i="12"/>
  <c r="BG65" i="12"/>
  <c r="BI67" i="12"/>
  <c r="AB68" i="12"/>
  <c r="K65" i="12"/>
  <c r="R130" i="14"/>
  <c r="V130" i="14" s="1"/>
  <c r="W130" i="14" s="1"/>
  <c r="R133" i="14"/>
  <c r="V133" i="14" s="1"/>
  <c r="W133" i="14" s="1"/>
  <c r="AC68" i="12"/>
  <c r="AD68" i="12"/>
  <c r="P132" i="14"/>
  <c r="P140" i="14"/>
  <c r="W19" i="5"/>
  <c r="W13" i="5"/>
  <c r="W62" i="5"/>
  <c r="W72" i="5"/>
  <c r="W33" i="5"/>
  <c r="W34" i="5"/>
  <c r="W103" i="5"/>
  <c r="W52" i="5"/>
  <c r="W93" i="5"/>
  <c r="W67" i="5"/>
  <c r="W92" i="5"/>
  <c r="W28" i="5"/>
  <c r="W102" i="5"/>
  <c r="W90" i="5"/>
  <c r="W80" i="5"/>
  <c r="W56" i="5"/>
  <c r="W66" i="5"/>
  <c r="W27" i="5"/>
  <c r="W47" i="5"/>
  <c r="W7" i="5"/>
  <c r="W48" i="5"/>
  <c r="W49" i="5"/>
  <c r="W100" i="5"/>
  <c r="W46" i="5"/>
  <c r="W84" i="5"/>
  <c r="W61" i="5"/>
  <c r="W82" i="5"/>
  <c r="W11" i="5"/>
  <c r="W75" i="5"/>
  <c r="W44" i="5"/>
  <c r="W8" i="5"/>
  <c r="W39" i="5"/>
  <c r="W95" i="5"/>
  <c r="W76" i="5"/>
  <c r="W5" i="5"/>
  <c r="W86" i="5"/>
  <c r="W64" i="5"/>
  <c r="W63" i="5"/>
  <c r="W37" i="5"/>
  <c r="W98" i="5"/>
  <c r="W12" i="5"/>
  <c r="W59" i="5"/>
  <c r="W74" i="5"/>
  <c r="W29" i="5"/>
  <c r="W40" i="5"/>
  <c r="W73" i="5"/>
  <c r="W18" i="5"/>
  <c r="W24" i="5"/>
  <c r="W23" i="5"/>
  <c r="D5" i="8"/>
  <c r="I5" i="8" s="1"/>
  <c r="W20" i="5"/>
  <c r="W26" i="5"/>
  <c r="W35" i="5"/>
  <c r="W25" i="5"/>
  <c r="W42" i="5"/>
  <c r="W36" i="5"/>
  <c r="W91" i="5"/>
  <c r="W38" i="5"/>
  <c r="W55" i="5"/>
  <c r="W89" i="5"/>
  <c r="W68" i="5"/>
  <c r="W45" i="5"/>
  <c r="W10" i="5"/>
  <c r="W14" i="5"/>
  <c r="W60" i="5"/>
  <c r="W88" i="5"/>
  <c r="W53" i="5"/>
  <c r="W94" i="5"/>
  <c r="W78" i="5"/>
  <c r="W32" i="5"/>
  <c r="W81" i="5"/>
  <c r="W57" i="5"/>
  <c r="W71" i="5"/>
  <c r="W87" i="5"/>
  <c r="W83" i="5"/>
  <c r="W96" i="5"/>
  <c r="W99" i="5"/>
  <c r="W69" i="5"/>
  <c r="W101" i="5"/>
  <c r="W65" i="5"/>
  <c r="W30" i="5"/>
  <c r="W97" i="5"/>
  <c r="W43" i="5"/>
  <c r="W54" i="5"/>
  <c r="W41" i="5"/>
  <c r="W70" i="5"/>
  <c r="W15" i="5"/>
  <c r="W85" i="5"/>
  <c r="W77" i="5"/>
  <c r="W51" i="5"/>
  <c r="W58" i="5"/>
  <c r="W79" i="5"/>
  <c r="W9" i="5"/>
  <c r="W6" i="5"/>
  <c r="W31" i="5"/>
  <c r="W50" i="5"/>
  <c r="W16" i="5"/>
  <c r="W22" i="5"/>
  <c r="W21" i="5"/>
  <c r="W17" i="5"/>
  <c r="M68" i="12"/>
  <c r="F68" i="12"/>
  <c r="R132" i="14"/>
  <c r="V132" i="14" s="1"/>
  <c r="W132" i="14" s="1"/>
  <c r="BA68" i="12"/>
  <c r="BH68" i="12"/>
  <c r="AY67" i="12"/>
  <c r="AM66" i="12"/>
  <c r="AM67" i="12" s="1"/>
  <c r="AJ65" i="12"/>
  <c r="R129" i="14"/>
  <c r="P68" i="12"/>
  <c r="I65" i="12"/>
  <c r="G68" i="12"/>
  <c r="X131" i="14"/>
  <c r="P59" i="12"/>
  <c r="P67" i="12" s="1"/>
  <c r="I64" i="12"/>
  <c r="G67" i="12"/>
  <c r="R142" i="14"/>
  <c r="V142" i="14" s="1"/>
  <c r="W142" i="14" s="1"/>
  <c r="AK59" i="12"/>
  <c r="AK67" i="12" s="1"/>
  <c r="AG67" i="12"/>
  <c r="AH59" i="12"/>
  <c r="AH67" i="12" s="1"/>
  <c r="AH65" i="12"/>
  <c r="AI67" i="12"/>
  <c r="K75" i="12"/>
  <c r="H75" i="12"/>
  <c r="F75" i="12"/>
  <c r="P75" i="12"/>
  <c r="J75" i="12"/>
  <c r="Q75" i="12"/>
  <c r="O77" i="12"/>
  <c r="P80" i="12"/>
  <c r="N81" i="12"/>
  <c r="N76" i="12"/>
  <c r="M82" i="12"/>
  <c r="J81" i="12"/>
  <c r="Q76" i="12"/>
  <c r="M83" i="12"/>
  <c r="N84" i="12"/>
  <c r="G76" i="12"/>
  <c r="N87" i="12"/>
  <c r="H80" i="12"/>
  <c r="P76" i="12"/>
  <c r="H77" i="12"/>
  <c r="D14" i="8"/>
  <c r="O81" i="12"/>
  <c r="L80" i="12"/>
  <c r="H78" i="12"/>
  <c r="I76" i="12"/>
  <c r="S15" i="5"/>
  <c r="Q15" i="5"/>
  <c r="F82" i="12"/>
  <c r="J84" i="12"/>
  <c r="L84" i="12"/>
  <c r="O87" i="12"/>
  <c r="H81" i="12"/>
  <c r="O79" i="12"/>
  <c r="G84" i="12"/>
  <c r="Q77" i="12"/>
  <c r="Q78" i="12"/>
  <c r="Q81" i="12"/>
  <c r="O85" i="12"/>
  <c r="K84" i="12"/>
  <c r="I79" i="12"/>
  <c r="G79" i="12"/>
  <c r="O84" i="12"/>
  <c r="F87" i="12"/>
  <c r="N83" i="12"/>
  <c r="L85" i="12"/>
  <c r="D4" i="8"/>
  <c r="I4" i="8" s="1"/>
  <c r="I82" i="12"/>
  <c r="P79" i="12"/>
  <c r="D11" i="8"/>
  <c r="N80" i="12"/>
  <c r="I87" i="12"/>
  <c r="K78" i="12"/>
  <c r="H85" i="12"/>
  <c r="M80" i="12"/>
  <c r="J77" i="12"/>
  <c r="L79" i="12"/>
  <c r="P84" i="12"/>
  <c r="M81" i="12"/>
  <c r="L76" i="12"/>
  <c r="J87" i="12"/>
  <c r="K77" i="12"/>
  <c r="Q82" i="12"/>
  <c r="I85" i="12"/>
  <c r="P77" i="12"/>
  <c r="M84" i="12"/>
  <c r="P85" i="12"/>
  <c r="L78" i="12"/>
  <c r="F77" i="12"/>
  <c r="G82" i="12"/>
  <c r="M77" i="12"/>
  <c r="O78" i="12"/>
  <c r="F81" i="12"/>
  <c r="H87" i="12"/>
  <c r="G85" i="12"/>
  <c r="M78" i="12"/>
  <c r="K87" i="12"/>
  <c r="M87" i="12"/>
  <c r="O66" i="12"/>
  <c r="Q59" i="12"/>
  <c r="Q67" i="12" s="1"/>
  <c r="Q65" i="12"/>
  <c r="Q68" i="12" s="1"/>
  <c r="H66" i="12"/>
  <c r="R140" i="14"/>
  <c r="V140" i="14" s="1"/>
  <c r="W140" i="14" s="1"/>
  <c r="AC75" i="12"/>
  <c r="AE75" i="12"/>
  <c r="AD75" i="12"/>
  <c r="AB75" i="12"/>
  <c r="AF75" i="12"/>
  <c r="AH75" i="12"/>
  <c r="AL77" i="12"/>
  <c r="AM81" i="12"/>
  <c r="AM84" i="12"/>
  <c r="AI81" i="12"/>
  <c r="AI78" i="12"/>
  <c r="AF77" i="12"/>
  <c r="AD77" i="12"/>
  <c r="AL79" i="12"/>
  <c r="AG80" i="12"/>
  <c r="AB76" i="12"/>
  <c r="AC87" i="12"/>
  <c r="AD78" i="12"/>
  <c r="AD81" i="12"/>
  <c r="AH81" i="12"/>
  <c r="AH80" i="12"/>
  <c r="AK82" i="12"/>
  <c r="AF78" i="12"/>
  <c r="AM79" i="12"/>
  <c r="AL85" i="12"/>
  <c r="AH77" i="12"/>
  <c r="AJ83" i="12"/>
  <c r="AK81" i="12"/>
  <c r="AB87" i="12"/>
  <c r="AE78" i="12"/>
  <c r="AH85" i="12"/>
  <c r="AB80" i="12"/>
  <c r="AE79" i="12"/>
  <c r="AE82" i="12"/>
  <c r="AM78" i="12"/>
  <c r="AF83" i="12"/>
  <c r="AI85" i="12"/>
  <c r="AC79" i="12"/>
  <c r="AC83" i="12"/>
  <c r="AJ81" i="12"/>
  <c r="AE84" i="12"/>
  <c r="AJ80" i="12"/>
  <c r="AJ84" i="12"/>
  <c r="AD80" i="12"/>
  <c r="AF85" i="12"/>
  <c r="AI80" i="12"/>
  <c r="AI83" i="12"/>
  <c r="AE80" i="12"/>
  <c r="AB85" i="12"/>
  <c r="AI84" i="12"/>
  <c r="AC78" i="12"/>
  <c r="AG79" i="12"/>
  <c r="AM83" i="12"/>
  <c r="AC82" i="12"/>
  <c r="AG83" i="12"/>
  <c r="AD85" i="12"/>
  <c r="AH78" i="12"/>
  <c r="AC76" i="12"/>
  <c r="AF81" i="12"/>
  <c r="AH83" i="12"/>
  <c r="AH87" i="12"/>
  <c r="AE77" i="12"/>
  <c r="AC84" i="12"/>
  <c r="AF87" i="12"/>
  <c r="AL81" i="12"/>
  <c r="AE85" i="12"/>
  <c r="AC77" i="12"/>
  <c r="AC81" i="12"/>
  <c r="AJ76" i="12"/>
  <c r="AK84" i="12"/>
  <c r="AM77" i="12"/>
  <c r="AM80" i="12"/>
  <c r="AI77" i="12"/>
  <c r="AE67" i="12"/>
  <c r="BE68" i="12"/>
  <c r="BF59" i="12"/>
  <c r="BF67" i="12" s="1"/>
  <c r="BG64" i="12"/>
  <c r="BG59" i="12"/>
  <c r="BG67" i="12" s="1"/>
  <c r="BB68" i="12"/>
  <c r="BI64" i="12"/>
  <c r="BI65" i="12"/>
  <c r="AX65" i="12"/>
  <c r="P130" i="14"/>
  <c r="AF11" i="12"/>
  <c r="K64" i="12"/>
  <c r="K68" i="12" s="1"/>
  <c r="J59" i="12"/>
  <c r="J67" i="12" s="1"/>
  <c r="J65" i="12"/>
  <c r="J68" i="12" s="1"/>
  <c r="R135" i="14"/>
  <c r="V135" i="14" s="1"/>
  <c r="W135" i="14" s="1"/>
  <c r="P135" i="14"/>
  <c r="AC59" i="12"/>
  <c r="AC67" i="12" s="1"/>
  <c r="AD67" i="12"/>
  <c r="AL67" i="12"/>
  <c r="M59" i="12"/>
  <c r="M67" i="12" s="1"/>
  <c r="J11" i="12"/>
  <c r="N59" i="12"/>
  <c r="N67" i="12" s="1"/>
  <c r="N65" i="12"/>
  <c r="N68" i="12" s="1"/>
  <c r="P143" i="14"/>
  <c r="AF67" i="12"/>
  <c r="BA59" i="12"/>
  <c r="BA67" i="12" s="1"/>
  <c r="BD68" i="12"/>
  <c r="AZ66" i="12"/>
  <c r="AZ68" i="12" s="1"/>
  <c r="BC68" i="12"/>
  <c r="BH59" i="12"/>
  <c r="BH67" i="12" s="1"/>
  <c r="AY64" i="12"/>
  <c r="AY65" i="12"/>
  <c r="AM64" i="12"/>
  <c r="AM68" i="12" s="1"/>
  <c r="AJ59" i="12"/>
  <c r="AJ67" i="12" s="1"/>
  <c r="AJ64" i="12"/>
  <c r="AJ68" i="12" s="1"/>
  <c r="P142" i="14"/>
  <c r="P129" i="14"/>
  <c r="BG68" i="12" l="1"/>
  <c r="AF10" i="12"/>
  <c r="AH10" i="12" s="1"/>
  <c r="BB9" i="12"/>
  <c r="BD9" i="12" s="1"/>
  <c r="AF68" i="12"/>
  <c r="BB67" i="12"/>
  <c r="L68" i="12"/>
  <c r="I68" i="12"/>
  <c r="J10" i="12"/>
  <c r="K10" i="12" s="1"/>
  <c r="O68" i="12"/>
  <c r="L67" i="12"/>
  <c r="BC9" i="12"/>
  <c r="L10" i="12"/>
  <c r="X143" i="14"/>
  <c r="Q143" i="14"/>
  <c r="X130" i="14"/>
  <c r="Q130" i="14"/>
  <c r="AF88" i="12"/>
  <c r="AF89" i="12" s="1"/>
  <c r="AD88" i="12"/>
  <c r="AD89" i="12" s="1"/>
  <c r="AC88" i="12"/>
  <c r="AC89" i="12" s="1"/>
  <c r="O14" i="19"/>
  <c r="S75" i="19"/>
  <c r="Q72" i="19"/>
  <c r="J8" i="19"/>
  <c r="Y13" i="19"/>
  <c r="X70" i="19"/>
  <c r="U13" i="19"/>
  <c r="R5" i="19"/>
  <c r="U11" i="19"/>
  <c r="Q8" i="19"/>
  <c r="N81" i="19"/>
  <c r="O9" i="19"/>
  <c r="Y73" i="19"/>
  <c r="Q71" i="19"/>
  <c r="M71" i="19"/>
  <c r="Y77" i="19"/>
  <c r="Q10" i="19"/>
  <c r="T70" i="19"/>
  <c r="L86" i="19"/>
  <c r="U76" i="19"/>
  <c r="L6" i="19"/>
  <c r="K76" i="19"/>
  <c r="V85" i="19"/>
  <c r="W70" i="19"/>
  <c r="L83" i="19"/>
  <c r="N75" i="19"/>
  <c r="X75" i="19"/>
  <c r="T12" i="19"/>
  <c r="X73" i="19"/>
  <c r="N12" i="19"/>
  <c r="Q86" i="19"/>
  <c r="O6" i="19"/>
  <c r="L75" i="19"/>
  <c r="V11" i="19"/>
  <c r="T69" i="19"/>
  <c r="Y5" i="19"/>
  <c r="P69" i="19"/>
  <c r="T14" i="19"/>
  <c r="S85" i="19"/>
  <c r="X7" i="19"/>
  <c r="K83" i="19"/>
  <c r="Q70" i="19"/>
  <c r="O73" i="19"/>
  <c r="Y69" i="19"/>
  <c r="U70" i="19"/>
  <c r="S12" i="19"/>
  <c r="U12" i="19"/>
  <c r="K70" i="19"/>
  <c r="M73" i="19"/>
  <c r="K12" i="19"/>
  <c r="R11" i="19"/>
  <c r="Y11" i="19"/>
  <c r="Q12" i="19"/>
  <c r="K84" i="19"/>
  <c r="K79" i="19"/>
  <c r="Y78" i="19"/>
  <c r="V14" i="19"/>
  <c r="R71" i="19"/>
  <c r="S11" i="19"/>
  <c r="S84" i="19"/>
  <c r="I74" i="19"/>
  <c r="X11" i="19"/>
  <c r="X84" i="19"/>
  <c r="K73" i="19"/>
  <c r="Y6" i="19"/>
  <c r="U82" i="19"/>
  <c r="P84" i="19"/>
  <c r="H72" i="19"/>
  <c r="L84" i="19"/>
  <c r="O71" i="19"/>
  <c r="L85" i="19"/>
  <c r="T80" i="19"/>
  <c r="P81" i="19"/>
  <c r="S70" i="19"/>
  <c r="J74" i="19"/>
  <c r="O10" i="19"/>
  <c r="J72" i="19"/>
  <c r="K10" i="19"/>
  <c r="U84" i="19"/>
  <c r="R12" i="19"/>
  <c r="P73" i="19"/>
  <c r="U9" i="19"/>
  <c r="I86" i="19"/>
  <c r="O11" i="19"/>
  <c r="W85" i="19"/>
  <c r="J11" i="19"/>
  <c r="S86" i="19"/>
  <c r="L5" i="19"/>
  <c r="W80" i="19"/>
  <c r="V10" i="19"/>
  <c r="I71" i="19"/>
  <c r="J10" i="19"/>
  <c r="K86" i="19"/>
  <c r="L9" i="19"/>
  <c r="T71" i="19"/>
  <c r="Y7" i="19"/>
  <c r="M84" i="19"/>
  <c r="R8" i="19"/>
  <c r="I84" i="19"/>
  <c r="N8" i="19"/>
  <c r="Q83" i="19"/>
  <c r="S80" i="19"/>
  <c r="P78" i="19"/>
  <c r="T5" i="19"/>
  <c r="U68" i="19"/>
  <c r="X13" i="19"/>
  <c r="S14" i="19"/>
  <c r="W82" i="19"/>
  <c r="J5" i="19"/>
  <c r="K14" i="19"/>
  <c r="L8" i="19"/>
  <c r="L82" i="19"/>
  <c r="W9" i="19"/>
  <c r="Y81" i="19"/>
  <c r="K68" i="19"/>
  <c r="M79" i="19"/>
  <c r="O77" i="19"/>
  <c r="L74" i="19"/>
  <c r="L12" i="19"/>
  <c r="W83" i="19"/>
  <c r="X86" i="19"/>
  <c r="Q78" i="19"/>
  <c r="S5" i="19"/>
  <c r="N84" i="19"/>
  <c r="I83" i="19"/>
  <c r="P86" i="19"/>
  <c r="N77" i="19"/>
  <c r="X83" i="19"/>
  <c r="W81" i="19"/>
  <c r="T83" i="19"/>
  <c r="Q76" i="19"/>
  <c r="T81" i="19"/>
  <c r="K71" i="19"/>
  <c r="X77" i="19"/>
  <c r="S10" i="19"/>
  <c r="R70" i="19"/>
  <c r="W6" i="19"/>
  <c r="U86" i="19"/>
  <c r="S6" i="19"/>
  <c r="M82" i="19"/>
  <c r="R6" i="19"/>
  <c r="X69" i="19"/>
  <c r="K6" i="19"/>
  <c r="O84" i="19"/>
  <c r="X5" i="19"/>
  <c r="V83" i="19"/>
  <c r="P5" i="19"/>
  <c r="J81" i="19"/>
  <c r="W75" i="19"/>
  <c r="I76" i="19"/>
  <c r="Q14" i="19"/>
  <c r="W14" i="19"/>
  <c r="R9" i="19"/>
  <c r="W12" i="19"/>
  <c r="Y10" i="19"/>
  <c r="M12" i="19"/>
  <c r="P80" i="19"/>
  <c r="N11" i="19"/>
  <c r="O12" i="19"/>
  <c r="M10" i="19"/>
  <c r="W79" i="19"/>
  <c r="P12" i="19"/>
  <c r="R79" i="19"/>
  <c r="R7" i="19"/>
  <c r="X76" i="19"/>
  <c r="U10" i="19"/>
  <c r="W71" i="19"/>
  <c r="M8" i="19"/>
  <c r="J79" i="19"/>
  <c r="J85" i="19"/>
  <c r="V73" i="19"/>
  <c r="R82" i="19"/>
  <c r="M78" i="19"/>
  <c r="T84" i="19"/>
  <c r="S72" i="19"/>
  <c r="J82" i="19"/>
  <c r="J77" i="19"/>
  <c r="X81" i="19"/>
  <c r="V71" i="19"/>
  <c r="X79" i="19"/>
  <c r="L13" i="19"/>
  <c r="J76" i="19"/>
  <c r="W8" i="19"/>
  <c r="Y86" i="19"/>
  <c r="I5" i="19"/>
  <c r="Y84" i="19"/>
  <c r="X12" i="19"/>
  <c r="Y79" i="19"/>
  <c r="Y82" i="19"/>
  <c r="M86" i="19"/>
  <c r="J6" i="19"/>
  <c r="U81" i="19"/>
  <c r="V81" i="19"/>
  <c r="O81" i="19"/>
  <c r="K81" i="19"/>
  <c r="U78" i="19"/>
  <c r="J71" i="19"/>
  <c r="U73" i="19"/>
  <c r="V6" i="19"/>
  <c r="T8" i="19"/>
  <c r="J12" i="19"/>
  <c r="V7" i="19"/>
  <c r="M6" i="19"/>
  <c r="L10" i="19"/>
  <c r="V13" i="19"/>
  <c r="X82" i="19"/>
  <c r="L7" i="19"/>
  <c r="L80" i="19"/>
  <c r="W72" i="19"/>
  <c r="W68" i="19"/>
  <c r="S79" i="19"/>
  <c r="X72" i="19"/>
  <c r="S74" i="19"/>
  <c r="L68" i="19"/>
  <c r="M74" i="19"/>
  <c r="P9" i="19"/>
  <c r="S71" i="19"/>
  <c r="P10" i="19"/>
  <c r="M13" i="19"/>
  <c r="P74" i="19"/>
  <c r="I81" i="19"/>
  <c r="P8" i="19"/>
  <c r="O78" i="19"/>
  <c r="O13" i="19"/>
  <c r="N7" i="19"/>
  <c r="R83" i="19"/>
  <c r="P75" i="19"/>
  <c r="N82" i="19"/>
  <c r="V76" i="19"/>
  <c r="R76" i="19"/>
  <c r="R74" i="19"/>
  <c r="V70" i="19"/>
  <c r="P6" i="19"/>
  <c r="I13" i="19"/>
  <c r="J13" i="19"/>
  <c r="I11" i="19"/>
  <c r="I78" i="19"/>
  <c r="W5" i="19"/>
  <c r="W86" i="19"/>
  <c r="S13" i="19"/>
  <c r="V80" i="19"/>
  <c r="R73" i="19"/>
  <c r="X85" i="19"/>
  <c r="O68" i="19"/>
  <c r="N80" i="19"/>
  <c r="O72" i="19"/>
  <c r="J80" i="19"/>
  <c r="H68" i="19"/>
  <c r="J78" i="19"/>
  <c r="X10" i="19"/>
  <c r="N74" i="19"/>
  <c r="I7" i="19"/>
  <c r="K85" i="19"/>
  <c r="P13" i="19"/>
  <c r="Y83" i="19"/>
  <c r="R77" i="19"/>
  <c r="L78" i="19"/>
  <c r="Q84" i="19"/>
  <c r="O82" i="19"/>
  <c r="N79" i="19"/>
  <c r="I77" i="19"/>
  <c r="I79" i="19"/>
  <c r="P76" i="19"/>
  <c r="O76" i="19"/>
  <c r="T11" i="19"/>
  <c r="N71" i="19"/>
  <c r="M14" i="19"/>
  <c r="M11" i="19"/>
  <c r="K7" i="19"/>
  <c r="J83" i="19"/>
  <c r="Y8" i="19"/>
  <c r="U75" i="19"/>
  <c r="L14" i="19"/>
  <c r="Q82" i="19"/>
  <c r="T6" i="19"/>
  <c r="J75" i="19"/>
  <c r="T13" i="19"/>
  <c r="W74" i="19"/>
  <c r="U6" i="19"/>
  <c r="K72" i="19"/>
  <c r="V12" i="19"/>
  <c r="O80" i="19"/>
  <c r="R86" i="19"/>
  <c r="S69" i="19"/>
  <c r="R84" i="19"/>
  <c r="S83" i="19"/>
  <c r="L77" i="19"/>
  <c r="X68" i="19"/>
  <c r="J84" i="19"/>
  <c r="P82" i="19"/>
  <c r="R78" i="19"/>
  <c r="N68" i="19"/>
  <c r="N78" i="19"/>
  <c r="R13" i="19"/>
  <c r="N76" i="19"/>
  <c r="I9" i="19"/>
  <c r="R72" i="19"/>
  <c r="M5" i="19"/>
  <c r="W84" i="19"/>
  <c r="X9" i="19"/>
  <c r="S82" i="19"/>
  <c r="T9" i="19"/>
  <c r="V79" i="19"/>
  <c r="K75" i="19"/>
  <c r="Q73" i="19"/>
  <c r="M85" i="19"/>
  <c r="S77" i="19"/>
  <c r="Y76" i="19"/>
  <c r="M72" i="19"/>
  <c r="T76" i="19"/>
  <c r="U71" i="19"/>
  <c r="H74" i="19"/>
  <c r="N6" i="19"/>
  <c r="Y68" i="19"/>
  <c r="S7" i="19"/>
  <c r="O83" i="19"/>
  <c r="U69" i="19"/>
  <c r="U80" i="19"/>
  <c r="N73" i="19"/>
  <c r="J7" i="19"/>
  <c r="K80" i="19"/>
  <c r="R14" i="19"/>
  <c r="U72" i="19"/>
  <c r="W76" i="19"/>
  <c r="P72" i="19"/>
  <c r="L11" i="19"/>
  <c r="V69" i="19"/>
  <c r="U8" i="19"/>
  <c r="U79" i="19"/>
  <c r="V84" i="19"/>
  <c r="O86" i="19"/>
  <c r="V82" i="19"/>
  <c r="Y70" i="19"/>
  <c r="P68" i="19"/>
  <c r="V77" i="19"/>
  <c r="I10" i="19"/>
  <c r="O70" i="19"/>
  <c r="N5" i="19"/>
  <c r="I70" i="19"/>
  <c r="J69" i="19"/>
  <c r="Y80" i="19"/>
  <c r="K5" i="19"/>
  <c r="Y74" i="19"/>
  <c r="L81" i="19"/>
  <c r="Q79" i="19"/>
  <c r="L79" i="19"/>
  <c r="K74" i="19"/>
  <c r="T73" i="19"/>
  <c r="I12" i="19"/>
  <c r="R80" i="19"/>
  <c r="Y72" i="19"/>
  <c r="H75" i="19"/>
  <c r="P11" i="19"/>
  <c r="V74" i="19"/>
  <c r="M9" i="19"/>
  <c r="V72" i="19"/>
  <c r="Q5" i="19"/>
  <c r="H69" i="19"/>
  <c r="N10" i="19"/>
  <c r="Q80" i="19"/>
  <c r="Q85" i="19"/>
  <c r="W77" i="19"/>
  <c r="W78" i="19"/>
  <c r="W87" i="19" s="1"/>
  <c r="P70" i="19"/>
  <c r="Y14" i="19"/>
  <c r="M77" i="19"/>
  <c r="R68" i="19"/>
  <c r="L72" i="19"/>
  <c r="K13" i="19"/>
  <c r="Y71" i="19"/>
  <c r="N13" i="19"/>
  <c r="M69" i="19"/>
  <c r="X6" i="19"/>
  <c r="Q11" i="19"/>
  <c r="N9" i="19"/>
  <c r="T78" i="19"/>
  <c r="T72" i="19"/>
  <c r="H76" i="19"/>
  <c r="N83" i="19"/>
  <c r="O5" i="19"/>
  <c r="O75" i="19"/>
  <c r="Q6" i="19"/>
  <c r="K82" i="19"/>
  <c r="S9" i="19"/>
  <c r="R81" i="19"/>
  <c r="O7" i="19"/>
  <c r="M80" i="19"/>
  <c r="R85" i="19"/>
  <c r="L70" i="19"/>
  <c r="P79" i="19"/>
  <c r="U74" i="19"/>
  <c r="P77" i="19"/>
  <c r="O69" i="19"/>
  <c r="W11" i="19"/>
  <c r="X71" i="19"/>
  <c r="Y9" i="19"/>
  <c r="V78" i="19"/>
  <c r="S68" i="19"/>
  <c r="L73" i="19"/>
  <c r="Q9" i="19"/>
  <c r="H73" i="19"/>
  <c r="Q7" i="19"/>
  <c r="H71" i="19"/>
  <c r="N14" i="19"/>
  <c r="O85" i="19"/>
  <c r="T7" i="19"/>
  <c r="K78" i="19"/>
  <c r="K87" i="19" s="1"/>
  <c r="O79" i="19"/>
  <c r="Q75" i="19"/>
  <c r="M68" i="19"/>
  <c r="V8" i="19"/>
  <c r="X74" i="19"/>
  <c r="I14" i="19"/>
  <c r="W69" i="19"/>
  <c r="P7" i="19"/>
  <c r="R69" i="19"/>
  <c r="J9" i="19"/>
  <c r="Q13" i="19"/>
  <c r="X14" i="19"/>
  <c r="U83" i="19"/>
  <c r="I75" i="19"/>
  <c r="M76" i="19"/>
  <c r="I8" i="19"/>
  <c r="S73" i="19"/>
  <c r="I72" i="19"/>
  <c r="T82" i="19"/>
  <c r="V9" i="19"/>
  <c r="I73" i="19"/>
  <c r="X8" i="19"/>
  <c r="Q81" i="19"/>
  <c r="I6" i="19"/>
  <c r="X80" i="19"/>
  <c r="R15" i="5"/>
  <c r="R75" i="19"/>
  <c r="V86" i="19"/>
  <c r="Q68" i="19"/>
  <c r="W10" i="19"/>
  <c r="I68" i="19"/>
  <c r="Y85" i="19"/>
  <c r="I85" i="19"/>
  <c r="S81" i="19"/>
  <c r="S76" i="19"/>
  <c r="W73" i="19"/>
  <c r="K69" i="19"/>
  <c r="W7" i="19"/>
  <c r="M83" i="19"/>
  <c r="J86" i="19"/>
  <c r="T68" i="19"/>
  <c r="T10" i="19"/>
  <c r="I82" i="19"/>
  <c r="T85" i="19"/>
  <c r="J68" i="19"/>
  <c r="P85" i="19"/>
  <c r="M81" i="19"/>
  <c r="P83" i="19"/>
  <c r="Y75" i="19"/>
  <c r="T79" i="19"/>
  <c r="Y12" i="19"/>
  <c r="N72" i="19"/>
  <c r="S8" i="19"/>
  <c r="N70" i="19"/>
  <c r="O8" i="19"/>
  <c r="S78" i="19"/>
  <c r="S87" i="19" s="1"/>
  <c r="X78" i="19"/>
  <c r="X87" i="19" s="1"/>
  <c r="P14" i="19"/>
  <c r="U77" i="19"/>
  <c r="W13" i="19"/>
  <c r="K11" i="19"/>
  <c r="M7" i="19"/>
  <c r="I80" i="19"/>
  <c r="I87" i="19" s="1"/>
  <c r="T77" i="19"/>
  <c r="H70" i="19"/>
  <c r="T75" i="19"/>
  <c r="J70" i="19"/>
  <c r="H77" i="19"/>
  <c r="P71" i="19"/>
  <c r="U7" i="19"/>
  <c r="L71" i="19"/>
  <c r="U5" i="19"/>
  <c r="L69" i="19"/>
  <c r="R10" i="19"/>
  <c r="U85" i="19"/>
  <c r="M75" i="19"/>
  <c r="V75" i="19"/>
  <c r="T74" i="19"/>
  <c r="J73" i="19"/>
  <c r="N69" i="19"/>
  <c r="T86" i="19"/>
  <c r="H14" i="19"/>
  <c r="H7" i="19"/>
  <c r="H79" i="19"/>
  <c r="H8" i="19"/>
  <c r="H5" i="19"/>
  <c r="H12" i="19"/>
  <c r="Z12" i="19" s="1"/>
  <c r="H11" i="19"/>
  <c r="H6" i="19"/>
  <c r="Z6" i="19" s="1"/>
  <c r="H9" i="19"/>
  <c r="H85" i="19"/>
  <c r="H82" i="19"/>
  <c r="H80" i="19"/>
  <c r="H78" i="19"/>
  <c r="H13" i="19"/>
  <c r="H84" i="19"/>
  <c r="Z84" i="19" s="1"/>
  <c r="H86" i="19"/>
  <c r="H10" i="19"/>
  <c r="Z10" i="19" s="1"/>
  <c r="H83" i="19"/>
  <c r="H81" i="19"/>
  <c r="U14" i="19"/>
  <c r="K8" i="19"/>
  <c r="J14" i="19"/>
  <c r="Q77" i="19"/>
  <c r="V5" i="19"/>
  <c r="K77" i="19"/>
  <c r="M70" i="19"/>
  <c r="Q74" i="19"/>
  <c r="L76" i="19"/>
  <c r="Q69" i="19"/>
  <c r="N85" i="19"/>
  <c r="O74" i="19"/>
  <c r="N86" i="19"/>
  <c r="I69" i="19"/>
  <c r="V68" i="19"/>
  <c r="K9" i="19"/>
  <c r="W67" i="19"/>
  <c r="V67" i="19"/>
  <c r="X67" i="19"/>
  <c r="P67" i="19"/>
  <c r="T67" i="19"/>
  <c r="J67" i="19"/>
  <c r="H67" i="19"/>
  <c r="L67" i="19"/>
  <c r="I67" i="19"/>
  <c r="Q67" i="19"/>
  <c r="M67" i="19"/>
  <c r="K67" i="19"/>
  <c r="L4" i="19"/>
  <c r="L15" i="19" s="1"/>
  <c r="K4" i="19"/>
  <c r="M4" i="19"/>
  <c r="M15" i="19" s="1"/>
  <c r="O4" i="19"/>
  <c r="V4" i="19"/>
  <c r="Y4" i="19"/>
  <c r="U4" i="19"/>
  <c r="U15" i="19" s="1"/>
  <c r="W4" i="19"/>
  <c r="Q4" i="19"/>
  <c r="Y67" i="19"/>
  <c r="S67" i="19"/>
  <c r="O67" i="19"/>
  <c r="R67" i="19"/>
  <c r="U67" i="19"/>
  <c r="N67" i="19"/>
  <c r="I4" i="19"/>
  <c r="J4" i="19"/>
  <c r="X4" i="19"/>
  <c r="S4" i="19"/>
  <c r="P4" i="19"/>
  <c r="T4" i="19"/>
  <c r="N4" i="19"/>
  <c r="R4" i="19"/>
  <c r="R15" i="19" s="1"/>
  <c r="H4" i="19"/>
  <c r="J88" i="12"/>
  <c r="J89" i="12" s="1"/>
  <c r="F88" i="12"/>
  <c r="F89" i="12" s="1"/>
  <c r="K88" i="12"/>
  <c r="K89" i="12" s="1"/>
  <c r="AH68" i="12"/>
  <c r="H199" i="12"/>
  <c r="L195" i="12"/>
  <c r="K188" i="12"/>
  <c r="J205" i="12"/>
  <c r="G189" i="12"/>
  <c r="J206" i="12"/>
  <c r="F193" i="12"/>
  <c r="I205" i="12"/>
  <c r="H195" i="12"/>
  <c r="G195" i="12"/>
  <c r="G198" i="12"/>
  <c r="H12" i="8"/>
  <c r="H196" i="12"/>
  <c r="I195" i="12"/>
  <c r="J198" i="12"/>
  <c r="I201" i="12"/>
  <c r="L197" i="12"/>
  <c r="G194" i="12"/>
  <c r="H193" i="12"/>
  <c r="H204" i="12"/>
  <c r="I202" i="12"/>
  <c r="K204" i="12"/>
  <c r="K190" i="12"/>
  <c r="F202" i="12"/>
  <c r="K187" i="12"/>
  <c r="H11" i="8"/>
  <c r="I11" i="8" s="1"/>
  <c r="K191" i="12"/>
  <c r="L199" i="12"/>
  <c r="H202" i="12"/>
  <c r="L203" i="12"/>
  <c r="F190" i="12"/>
  <c r="H206" i="12"/>
  <c r="F199" i="12"/>
  <c r="G204" i="12"/>
  <c r="I194" i="12"/>
  <c r="K196" i="12"/>
  <c r="L187" i="12"/>
  <c r="G205" i="12"/>
  <c r="G190" i="12"/>
  <c r="I200" i="12"/>
  <c r="J200" i="12"/>
  <c r="F201" i="12"/>
  <c r="I189" i="12"/>
  <c r="I207" i="12"/>
  <c r="F205" i="12"/>
  <c r="K192" i="12"/>
  <c r="F191" i="12"/>
  <c r="G188" i="12"/>
  <c r="J193" i="12"/>
  <c r="H201" i="12"/>
  <c r="J201" i="12"/>
  <c r="I204" i="12"/>
  <c r="K207" i="12"/>
  <c r="H207" i="12"/>
  <c r="F200" i="12"/>
  <c r="K198" i="12"/>
  <c r="I198" i="12"/>
  <c r="I199" i="12"/>
  <c r="L193" i="12"/>
  <c r="G192" i="12"/>
  <c r="I192" i="12"/>
  <c r="F204" i="12"/>
  <c r="H190" i="12"/>
  <c r="K202" i="12"/>
  <c r="I203" i="12"/>
  <c r="G201" i="12"/>
  <c r="H192" i="12"/>
  <c r="J202" i="12"/>
  <c r="L189" i="12"/>
  <c r="H200" i="12"/>
  <c r="I191" i="12"/>
  <c r="K194" i="12"/>
  <c r="L201" i="12"/>
  <c r="H197" i="12"/>
  <c r="J187" i="12"/>
  <c r="L207" i="12"/>
  <c r="J186" i="12"/>
  <c r="I186" i="12"/>
  <c r="G186" i="12"/>
  <c r="H186" i="12"/>
  <c r="K186" i="12"/>
  <c r="F186" i="12"/>
  <c r="L186" i="12"/>
  <c r="G193" i="12"/>
  <c r="J199" i="12"/>
  <c r="I187" i="12"/>
  <c r="J194" i="12"/>
  <c r="L192" i="12"/>
  <c r="H189" i="12"/>
  <c r="I206" i="12"/>
  <c r="H187" i="12"/>
  <c r="H194" i="12"/>
  <c r="H188" i="12"/>
  <c r="F195" i="12"/>
  <c r="L188" i="12"/>
  <c r="F188" i="12"/>
  <c r="F196" i="12"/>
  <c r="J195" i="12"/>
  <c r="L194" i="12"/>
  <c r="J196" i="12"/>
  <c r="K189" i="12"/>
  <c r="F197" i="12"/>
  <c r="F203" i="12"/>
  <c r="G191" i="12"/>
  <c r="F198" i="12"/>
  <c r="L198" i="12"/>
  <c r="G206" i="12"/>
  <c r="K197" i="12"/>
  <c r="J203" i="12"/>
  <c r="G197" i="12"/>
  <c r="L205" i="12"/>
  <c r="J190" i="12"/>
  <c r="H205" i="12"/>
  <c r="H14" i="8"/>
  <c r="I14" i="8" s="1"/>
  <c r="G207" i="12"/>
  <c r="K200" i="12"/>
  <c r="F192" i="12"/>
  <c r="I188" i="12"/>
  <c r="K195" i="12"/>
  <c r="J189" i="12"/>
  <c r="F207" i="12"/>
  <c r="K199" i="12"/>
  <c r="I190" i="12"/>
  <c r="L202" i="12"/>
  <c r="K203" i="12"/>
  <c r="H198" i="12"/>
  <c r="J192" i="12"/>
  <c r="H13" i="8"/>
  <c r="L204" i="12"/>
  <c r="L206" i="12"/>
  <c r="K201" i="12"/>
  <c r="J204" i="12"/>
  <c r="I193" i="12"/>
  <c r="I196" i="12"/>
  <c r="G196" i="12"/>
  <c r="I197" i="12"/>
  <c r="F13" i="12"/>
  <c r="F14" i="12" s="1"/>
  <c r="F18" i="12" s="1"/>
  <c r="F20" i="12" s="1"/>
  <c r="F24" i="12" s="1"/>
  <c r="F26" i="12" s="1"/>
  <c r="G187" i="12"/>
  <c r="G199" i="12"/>
  <c r="F187" i="12"/>
  <c r="F194" i="12"/>
  <c r="L196" i="12"/>
  <c r="L190" i="12"/>
  <c r="L191" i="12"/>
  <c r="K206" i="12"/>
  <c r="F189" i="12"/>
  <c r="F206" i="12"/>
  <c r="K193" i="12"/>
  <c r="G202" i="12"/>
  <c r="G200" i="12"/>
  <c r="K205" i="12"/>
  <c r="J191" i="12"/>
  <c r="J188" i="12"/>
  <c r="J207" i="12"/>
  <c r="G203" i="12"/>
  <c r="J197" i="12"/>
  <c r="H203" i="12"/>
  <c r="H191" i="12"/>
  <c r="L200" i="12"/>
  <c r="V129" i="14"/>
  <c r="AZ67" i="12"/>
  <c r="X132" i="14"/>
  <c r="Q132" i="14"/>
  <c r="AF9" i="12"/>
  <c r="BB11" i="12"/>
  <c r="AI88" i="12"/>
  <c r="AI89" i="12" s="1"/>
  <c r="AG88" i="12"/>
  <c r="AG89" i="12" s="1"/>
  <c r="AJ88" i="12"/>
  <c r="AJ89" i="12" s="1"/>
  <c r="H68" i="12"/>
  <c r="I12" i="8"/>
  <c r="I13" i="8"/>
  <c r="M88" i="12"/>
  <c r="M89" i="12" s="1"/>
  <c r="G88" i="12"/>
  <c r="G89" i="12" s="1"/>
  <c r="O88" i="12"/>
  <c r="O89" i="12" s="1"/>
  <c r="BI88" i="12"/>
  <c r="BI89" i="12" s="1"/>
  <c r="BH88" i="12"/>
  <c r="BH89" i="12" s="1"/>
  <c r="AY88" i="12"/>
  <c r="AY89" i="12" s="1"/>
  <c r="BF88" i="12"/>
  <c r="BF89" i="12" s="1"/>
  <c r="BC88" i="12"/>
  <c r="BC89" i="12" s="1"/>
  <c r="AX88" i="12"/>
  <c r="AX89" i="12" s="1"/>
  <c r="Q142" i="14"/>
  <c r="X142" i="14"/>
  <c r="X135" i="14"/>
  <c r="Q135" i="14"/>
  <c r="AC192" i="12"/>
  <c r="AG207" i="12"/>
  <c r="AD202" i="12"/>
  <c r="AH193" i="12"/>
  <c r="AE191" i="12"/>
  <c r="AE201" i="12"/>
  <c r="AC206" i="12"/>
  <c r="AG191" i="12"/>
  <c r="AD195" i="12"/>
  <c r="AF187" i="12"/>
  <c r="AE205" i="12"/>
  <c r="AB200" i="12"/>
  <c r="AD189" i="12"/>
  <c r="AC189" i="12"/>
  <c r="AH192" i="12"/>
  <c r="AG194" i="12"/>
  <c r="AH200" i="12"/>
  <c r="AH204" i="12"/>
  <c r="AE199" i="12"/>
  <c r="AC188" i="12"/>
  <c r="AF188" i="12"/>
  <c r="AB202" i="12"/>
  <c r="AG198" i="12"/>
  <c r="AE206" i="12"/>
  <c r="AD204" i="12"/>
  <c r="AH198" i="12"/>
  <c r="AB187" i="12"/>
  <c r="AB188" i="12"/>
  <c r="AC204" i="12"/>
  <c r="AC198" i="12"/>
  <c r="AD193" i="12"/>
  <c r="AD187" i="12"/>
  <c r="AC199" i="12"/>
  <c r="AB205" i="12"/>
  <c r="AD188" i="12"/>
  <c r="AC194" i="12"/>
  <c r="AE194" i="12"/>
  <c r="AH187" i="12"/>
  <c r="AE203" i="12"/>
  <c r="AC196" i="12"/>
  <c r="AF192" i="12"/>
  <c r="AF194" i="12"/>
  <c r="AG202" i="12"/>
  <c r="AE202" i="12"/>
  <c r="AH191" i="12"/>
  <c r="AE207" i="12"/>
  <c r="AB195" i="12"/>
  <c r="AB192" i="12"/>
  <c r="AE193" i="12"/>
  <c r="AC202" i="12"/>
  <c r="AD201" i="12"/>
  <c r="AD191" i="12"/>
  <c r="AH206" i="12"/>
  <c r="AF203" i="12"/>
  <c r="AB196" i="12"/>
  <c r="AD192" i="12"/>
  <c r="AF201" i="12"/>
  <c r="AC200" i="12"/>
  <c r="AG190" i="12"/>
  <c r="AD206" i="12"/>
  <c r="AH201" i="12"/>
  <c r="AE195" i="12"/>
  <c r="AD200" i="12"/>
  <c r="AF205" i="12"/>
  <c r="AB199" i="12"/>
  <c r="AC190" i="12"/>
  <c r="AG205" i="12"/>
  <c r="AB13" i="12"/>
  <c r="AF198" i="12"/>
  <c r="AF197" i="12"/>
  <c r="AE186" i="12"/>
  <c r="AD197" i="12"/>
  <c r="AC193" i="12"/>
  <c r="AG195" i="12"/>
  <c r="AD203" i="12"/>
  <c r="AG199" i="12"/>
  <c r="AB197" i="12"/>
  <c r="AB191" i="12"/>
  <c r="AC207" i="12"/>
  <c r="AG201" i="12"/>
  <c r="AG192" i="12"/>
  <c r="AH190" i="12"/>
  <c r="AC191" i="12"/>
  <c r="AB201" i="12"/>
  <c r="AH189" i="12"/>
  <c r="AF206" i="12"/>
  <c r="AC201" i="12"/>
  <c r="AF191" i="12"/>
  <c r="AD190" i="12"/>
  <c r="AB190" i="12"/>
  <c r="AE200" i="12"/>
  <c r="AH197" i="12"/>
  <c r="AF189" i="12"/>
  <c r="AC205" i="12"/>
  <c r="AE190" i="12"/>
  <c r="AG189" i="12"/>
  <c r="AH188" i="12"/>
  <c r="AH199" i="12"/>
  <c r="AG196" i="12"/>
  <c r="AB189" i="12"/>
  <c r="AF204" i="12"/>
  <c r="AE198" i="12"/>
  <c r="AG193" i="12"/>
  <c r="AG187" i="12"/>
  <c r="AD199" i="12"/>
  <c r="AF195" i="12"/>
  <c r="AE188" i="12"/>
  <c r="AB204" i="12"/>
  <c r="AH202" i="12"/>
  <c r="AE187" i="12"/>
  <c r="AG200" i="12"/>
  <c r="AH194" i="12"/>
  <c r="AD196" i="12"/>
  <c r="AH195" i="12"/>
  <c r="AG188" i="12"/>
  <c r="AB206" i="12"/>
  <c r="AF200" i="12"/>
  <c r="AF199" i="12"/>
  <c r="AD194" i="12"/>
  <c r="AB198" i="12"/>
  <c r="AE204" i="12"/>
  <c r="AE189" i="12"/>
  <c r="AF193" i="12"/>
  <c r="AB194" i="12"/>
  <c r="AG203" i="12"/>
  <c r="AD198" i="12"/>
  <c r="AH196" i="12"/>
  <c r="AH203" i="12"/>
  <c r="AB207" i="12"/>
  <c r="AB193" i="12"/>
  <c r="AE197" i="12"/>
  <c r="AC203" i="12"/>
  <c r="AG197" i="12"/>
  <c r="AF207" i="12"/>
  <c r="AH207" i="12"/>
  <c r="AG204" i="12"/>
  <c r="AE192" i="12"/>
  <c r="AC187" i="12"/>
  <c r="AF202" i="12"/>
  <c r="AC197" i="12"/>
  <c r="AD205" i="12"/>
  <c r="AD207" i="12"/>
  <c r="AC195" i="12"/>
  <c r="AE196" i="12"/>
  <c r="AF190" i="12"/>
  <c r="AH205" i="12"/>
  <c r="AF196" i="12"/>
  <c r="AB203" i="12"/>
  <c r="AG206" i="12"/>
  <c r="AC186" i="12"/>
  <c r="AF186" i="12"/>
  <c r="AB186" i="12"/>
  <c r="AH186" i="12"/>
  <c r="AH208" i="12" s="1"/>
  <c r="AD186" i="12"/>
  <c r="AG186" i="12"/>
  <c r="Q129" i="14"/>
  <c r="X129" i="14"/>
  <c r="AY68" i="12"/>
  <c r="K11" i="12"/>
  <c r="L11" i="12"/>
  <c r="AG11" i="12"/>
  <c r="AH11" i="12"/>
  <c r="BB10" i="12"/>
  <c r="BI68" i="12"/>
  <c r="AH88" i="12"/>
  <c r="AH89" i="12" s="1"/>
  <c r="AB88" i="12"/>
  <c r="AB89" i="12" s="1"/>
  <c r="AE88" i="12"/>
  <c r="AE89" i="12" s="1"/>
  <c r="R78" i="13"/>
  <c r="L76" i="13"/>
  <c r="J85" i="13"/>
  <c r="P78" i="13"/>
  <c r="X68" i="13"/>
  <c r="R85" i="13"/>
  <c r="T13" i="13"/>
  <c r="Y14" i="13"/>
  <c r="L80" i="13"/>
  <c r="X86" i="13"/>
  <c r="L79" i="13"/>
  <c r="O71" i="13"/>
  <c r="V79" i="13"/>
  <c r="S68" i="13"/>
  <c r="K84" i="13"/>
  <c r="O70" i="13"/>
  <c r="I68" i="13"/>
  <c r="O82" i="13"/>
  <c r="O75" i="13"/>
  <c r="Q9" i="13"/>
  <c r="L5" i="13"/>
  <c r="W12" i="13"/>
  <c r="T72" i="13"/>
  <c r="V73" i="13"/>
  <c r="L83" i="13"/>
  <c r="T84" i="13"/>
  <c r="V84" i="13"/>
  <c r="X72" i="13"/>
  <c r="U85" i="13"/>
  <c r="V69" i="13"/>
  <c r="V71" i="13"/>
  <c r="T73" i="13"/>
  <c r="M8" i="13"/>
  <c r="V14" i="13"/>
  <c r="S11" i="13"/>
  <c r="I76" i="13"/>
  <c r="X82" i="13"/>
  <c r="I84" i="13"/>
  <c r="W71" i="13"/>
  <c r="N14" i="13"/>
  <c r="L77" i="13"/>
  <c r="R82" i="13"/>
  <c r="J79" i="13"/>
  <c r="L78" i="13"/>
  <c r="P80" i="13"/>
  <c r="L85" i="13"/>
  <c r="T10" i="13"/>
  <c r="I6" i="13"/>
  <c r="H71" i="13"/>
  <c r="M81" i="13"/>
  <c r="H76" i="13"/>
  <c r="K75" i="13"/>
  <c r="O7" i="13"/>
  <c r="R8" i="13"/>
  <c r="O5" i="13"/>
  <c r="V13" i="13"/>
  <c r="V78" i="13"/>
  <c r="W8" i="13"/>
  <c r="T12" i="13"/>
  <c r="O69" i="13"/>
  <c r="V86" i="13"/>
  <c r="O85" i="13"/>
  <c r="Y76" i="13"/>
  <c r="Y71" i="13"/>
  <c r="V76" i="13"/>
  <c r="W14" i="13"/>
  <c r="P9" i="13"/>
  <c r="I8" i="13"/>
  <c r="U72" i="13"/>
  <c r="U77" i="13"/>
  <c r="Q86" i="13"/>
  <c r="O68" i="13"/>
  <c r="V10" i="13"/>
  <c r="H73" i="13"/>
  <c r="U86" i="13"/>
  <c r="W86" i="13"/>
  <c r="H70" i="13"/>
  <c r="J73" i="13"/>
  <c r="Y78" i="13"/>
  <c r="I13" i="13"/>
  <c r="T7" i="13"/>
  <c r="M6" i="13"/>
  <c r="H72" i="13"/>
  <c r="R81" i="13"/>
  <c r="Q84" i="13"/>
  <c r="K86" i="13"/>
  <c r="Q8" i="13"/>
  <c r="J6" i="13"/>
  <c r="Q73" i="13"/>
  <c r="P7" i="13"/>
  <c r="U8" i="13"/>
  <c r="P5" i="13"/>
  <c r="L9" i="13"/>
  <c r="Q72" i="13"/>
  <c r="K12" i="13"/>
  <c r="X5" i="13"/>
  <c r="K10" i="13"/>
  <c r="N69" i="13"/>
  <c r="R74" i="13"/>
  <c r="L69" i="13"/>
  <c r="Y85" i="13"/>
  <c r="S71" i="13"/>
  <c r="T14" i="13"/>
  <c r="W5" i="13"/>
  <c r="P12" i="13"/>
  <c r="J76" i="13"/>
  <c r="T76" i="13"/>
  <c r="I79" i="13"/>
  <c r="S83" i="13"/>
  <c r="Q85" i="13"/>
  <c r="W85" i="13"/>
  <c r="O79" i="13"/>
  <c r="T85" i="13"/>
  <c r="T77" i="13"/>
  <c r="M76" i="13"/>
  <c r="Y72" i="13"/>
  <c r="I10" i="13"/>
  <c r="Q5" i="13"/>
  <c r="O13" i="13"/>
  <c r="K68" i="13"/>
  <c r="S78" i="13"/>
  <c r="P85" i="13"/>
  <c r="R12" i="13"/>
  <c r="N5" i="13"/>
  <c r="L13" i="13"/>
  <c r="I75" i="13"/>
  <c r="V6" i="13"/>
  <c r="H14" i="13"/>
  <c r="H79" i="13"/>
  <c r="M74" i="13"/>
  <c r="N78" i="13"/>
  <c r="X80" i="13"/>
  <c r="Y86" i="13"/>
  <c r="L72" i="13"/>
  <c r="N6" i="13"/>
  <c r="O9" i="13"/>
  <c r="R10" i="13"/>
  <c r="K82" i="13"/>
  <c r="S73" i="13"/>
  <c r="H74" i="13"/>
  <c r="U70" i="13"/>
  <c r="T86" i="13"/>
  <c r="P84" i="13"/>
  <c r="N80" i="13"/>
  <c r="M82" i="13"/>
  <c r="U73" i="13"/>
  <c r="T79" i="13"/>
  <c r="P69" i="13"/>
  <c r="S13" i="13"/>
  <c r="I9" i="13"/>
  <c r="K74" i="13"/>
  <c r="Q75" i="13"/>
  <c r="I82" i="13"/>
  <c r="W77" i="13"/>
  <c r="S8" i="13"/>
  <c r="U81" i="13"/>
  <c r="U71" i="13"/>
  <c r="T68" i="13"/>
  <c r="J71" i="13"/>
  <c r="L81" i="13"/>
  <c r="S84" i="13"/>
  <c r="R6" i="13"/>
  <c r="W7" i="13"/>
  <c r="M80" i="13"/>
  <c r="S86" i="13"/>
  <c r="T81" i="13"/>
  <c r="N68" i="13"/>
  <c r="J78" i="13"/>
  <c r="Q76" i="13"/>
  <c r="N70" i="13"/>
  <c r="V70" i="13"/>
  <c r="S69" i="13"/>
  <c r="H69" i="13"/>
  <c r="R13" i="13"/>
  <c r="U9" i="13"/>
  <c r="L10" i="13"/>
  <c r="L75" i="13"/>
  <c r="Q74" i="13"/>
  <c r="V74" i="13"/>
  <c r="S70" i="13"/>
  <c r="X14" i="13"/>
  <c r="Q13" i="13"/>
  <c r="Q14" i="13"/>
  <c r="Q12" i="13"/>
  <c r="L7" i="13"/>
  <c r="W13" i="13"/>
  <c r="P11" i="13"/>
  <c r="N71" i="13"/>
  <c r="J86" i="13"/>
  <c r="P75" i="13"/>
  <c r="S79" i="13"/>
  <c r="U69" i="13"/>
  <c r="Y81" i="13"/>
  <c r="P8" i="13"/>
  <c r="O14" i="13"/>
  <c r="I80" i="13"/>
  <c r="K77" i="13"/>
  <c r="Y83" i="13"/>
  <c r="T74" i="13"/>
  <c r="L68" i="13"/>
  <c r="R70" i="13"/>
  <c r="R80" i="13"/>
  <c r="I77" i="13"/>
  <c r="M72" i="13"/>
  <c r="M71" i="13"/>
  <c r="J74" i="13"/>
  <c r="P14" i="13"/>
  <c r="S12" i="13"/>
  <c r="S77" i="13"/>
  <c r="P70" i="13"/>
  <c r="V68" i="13"/>
  <c r="W79" i="13"/>
  <c r="Y13" i="13"/>
  <c r="X12" i="13"/>
  <c r="Y11" i="13"/>
  <c r="T75" i="13"/>
  <c r="O12" i="13"/>
  <c r="T6" i="13"/>
  <c r="M10" i="13"/>
  <c r="R9" i="13"/>
  <c r="S72" i="13"/>
  <c r="X10" i="13"/>
  <c r="K8" i="13"/>
  <c r="M75" i="13"/>
  <c r="O84" i="13"/>
  <c r="K83" i="13"/>
  <c r="V82" i="13"/>
  <c r="J72" i="13"/>
  <c r="X73" i="13"/>
  <c r="U7" i="13"/>
  <c r="J5" i="13"/>
  <c r="I11" i="13"/>
  <c r="X74" i="13"/>
  <c r="R72" i="13"/>
  <c r="K78" i="13"/>
  <c r="Y79" i="13"/>
  <c r="P10" i="13"/>
  <c r="Q81" i="13"/>
  <c r="L70" i="13"/>
  <c r="X76" i="13"/>
  <c r="O73" i="13"/>
  <c r="N81" i="13"/>
  <c r="M85" i="13"/>
  <c r="N8" i="13"/>
  <c r="S9" i="13"/>
  <c r="P72" i="13"/>
  <c r="N84" i="13"/>
  <c r="I78" i="13"/>
  <c r="I73" i="13"/>
  <c r="Y10" i="13"/>
  <c r="J12" i="13"/>
  <c r="Y8" i="13"/>
  <c r="J11" i="13"/>
  <c r="X6" i="13"/>
  <c r="T67" i="13"/>
  <c r="I67" i="13"/>
  <c r="L67" i="13"/>
  <c r="K67" i="13"/>
  <c r="J75" i="13"/>
  <c r="L86" i="13"/>
  <c r="T78" i="13"/>
  <c r="M68" i="13"/>
  <c r="J83" i="13"/>
  <c r="U75" i="13"/>
  <c r="M11" i="13"/>
  <c r="R11" i="13"/>
  <c r="S14" i="13"/>
  <c r="L73" i="13"/>
  <c r="W75" i="13"/>
  <c r="O81" i="13"/>
  <c r="O83" i="13"/>
  <c r="N13" i="13"/>
  <c r="S81" i="13"/>
  <c r="T70" i="13"/>
  <c r="U83" i="13"/>
  <c r="U82" i="13"/>
  <c r="J77" i="13"/>
  <c r="N86" i="13"/>
  <c r="X11" i="13"/>
  <c r="K13" i="13"/>
  <c r="I71" i="13"/>
  <c r="O86" i="13"/>
  <c r="R68" i="13"/>
  <c r="Y70" i="13"/>
  <c r="Y73" i="13"/>
  <c r="K73" i="13"/>
  <c r="P71" i="13"/>
  <c r="N79" i="13"/>
  <c r="X83" i="13"/>
  <c r="J13" i="13"/>
  <c r="Q11" i="13"/>
  <c r="V7" i="13"/>
  <c r="O72" i="13"/>
  <c r="Q80" i="13"/>
  <c r="W83" i="13"/>
  <c r="H77" i="13"/>
  <c r="M79" i="13"/>
  <c r="K72" i="13"/>
  <c r="M77" i="13"/>
  <c r="I81" i="13"/>
  <c r="O76" i="13"/>
  <c r="X84" i="13"/>
  <c r="P74" i="13"/>
  <c r="T11" i="13"/>
  <c r="U14" i="13"/>
  <c r="U5" i="13"/>
  <c r="M70" i="13"/>
  <c r="W68" i="13"/>
  <c r="M69" i="13"/>
  <c r="X71" i="13"/>
  <c r="I7" i="13"/>
  <c r="V5" i="13"/>
  <c r="K14" i="13"/>
  <c r="W70" i="13"/>
  <c r="K9" i="13"/>
  <c r="N10" i="13"/>
  <c r="K7" i="13"/>
  <c r="I72" i="13"/>
  <c r="Q69" i="13"/>
  <c r="R77" i="13"/>
  <c r="W82" i="13"/>
  <c r="J70" i="13"/>
  <c r="P6" i="13"/>
  <c r="Y7" i="13"/>
  <c r="R5" i="13"/>
  <c r="T80" i="13"/>
  <c r="H75" i="13"/>
  <c r="W69" i="13"/>
  <c r="R79" i="13"/>
  <c r="X77" i="13"/>
  <c r="X79" i="13"/>
  <c r="R83" i="13"/>
  <c r="Q83" i="13"/>
  <c r="I74" i="13"/>
  <c r="J68" i="13"/>
  <c r="N11" i="13"/>
  <c r="K6" i="13"/>
  <c r="J9" i="13"/>
  <c r="O78" i="13"/>
  <c r="W84" i="13"/>
  <c r="S82" i="13"/>
  <c r="U80" i="13"/>
  <c r="T8" i="13"/>
  <c r="Y9" i="13"/>
  <c r="M14" i="13"/>
  <c r="I5" i="13"/>
  <c r="V11" i="13"/>
  <c r="S6" i="13"/>
  <c r="U11" i="13"/>
  <c r="Q10" i="13"/>
  <c r="Y69" i="13"/>
  <c r="V12" i="13"/>
  <c r="M12" i="13"/>
  <c r="U84" i="13"/>
  <c r="S80" i="13"/>
  <c r="V85" i="13"/>
  <c r="V75" i="13"/>
  <c r="K80" i="13"/>
  <c r="P79" i="13"/>
  <c r="W11" i="13"/>
  <c r="M7" i="13"/>
  <c r="M78" i="13"/>
  <c r="P82" i="13"/>
  <c r="J80" i="13"/>
  <c r="P83" i="13"/>
  <c r="Y82" i="13"/>
  <c r="W6" i="13"/>
  <c r="Q79" i="13"/>
  <c r="I83" i="13"/>
  <c r="Y68" i="13"/>
  <c r="L84" i="13"/>
  <c r="K69" i="13"/>
  <c r="R7" i="13"/>
  <c r="M13" i="13"/>
  <c r="T5" i="13"/>
  <c r="Y75" i="13"/>
  <c r="K76" i="13"/>
  <c r="Q68" i="13"/>
  <c r="J81" i="13"/>
  <c r="L14" i="13"/>
  <c r="Y6" i="13"/>
  <c r="R76" i="13"/>
  <c r="S5" i="13"/>
  <c r="U13" i="13"/>
  <c r="H82" i="13"/>
  <c r="J82" i="13"/>
  <c r="X75" i="13"/>
  <c r="Y74" i="13"/>
  <c r="T71" i="13"/>
  <c r="X69" i="13"/>
  <c r="W81" i="13"/>
  <c r="N7" i="13"/>
  <c r="W10" i="13"/>
  <c r="X70" i="13"/>
  <c r="P77" i="13"/>
  <c r="W80" i="13"/>
  <c r="Q70" i="13"/>
  <c r="Y80" i="13"/>
  <c r="O10" i="13"/>
  <c r="U68" i="13"/>
  <c r="P73" i="13"/>
  <c r="W76" i="13"/>
  <c r="N85" i="13"/>
  <c r="W78" i="13"/>
  <c r="V9" i="13"/>
  <c r="S7" i="13"/>
  <c r="V8" i="13"/>
  <c r="T69" i="13"/>
  <c r="N82" i="13"/>
  <c r="M73" i="13"/>
  <c r="I69" i="13"/>
  <c r="Q78" i="13"/>
  <c r="Q82" i="13"/>
  <c r="N83" i="13"/>
  <c r="S74" i="13"/>
  <c r="O74" i="13"/>
  <c r="R73" i="13"/>
  <c r="P13" i="13"/>
  <c r="L8" i="13"/>
  <c r="Q7" i="13"/>
  <c r="N75" i="13"/>
  <c r="K70" i="13"/>
  <c r="N72" i="13"/>
  <c r="H68" i="13"/>
  <c r="M84" i="13"/>
  <c r="Y84" i="13"/>
  <c r="Y87" i="13" s="1"/>
  <c r="K85" i="13"/>
  <c r="R86" i="13"/>
  <c r="Y77" i="13"/>
  <c r="J84" i="13"/>
  <c r="Q77" i="13"/>
  <c r="Q6" i="13"/>
  <c r="L11" i="13"/>
  <c r="W9" i="13"/>
  <c r="N77" i="13"/>
  <c r="V72" i="13"/>
  <c r="P86" i="13"/>
  <c r="L6" i="13"/>
  <c r="I12" i="13"/>
  <c r="T9" i="13"/>
  <c r="O6" i="13"/>
  <c r="V80" i="13"/>
  <c r="J7" i="13"/>
  <c r="K5" i="13"/>
  <c r="N74" i="13"/>
  <c r="U78" i="13"/>
  <c r="T83" i="13"/>
  <c r="S85" i="13"/>
  <c r="V81" i="13"/>
  <c r="X9" i="13"/>
  <c r="Y12" i="13"/>
  <c r="J14" i="13"/>
  <c r="X78" i="13"/>
  <c r="W73" i="13"/>
  <c r="S76" i="13"/>
  <c r="N76" i="13"/>
  <c r="X85" i="13"/>
  <c r="U79" i="13"/>
  <c r="Q71" i="13"/>
  <c r="W74" i="13"/>
  <c r="R84" i="13"/>
  <c r="O77" i="13"/>
  <c r="J8" i="13"/>
  <c r="K11" i="13"/>
  <c r="N12" i="13"/>
  <c r="R75" i="13"/>
  <c r="L82" i="13"/>
  <c r="U74" i="13"/>
  <c r="J69" i="13"/>
  <c r="R14" i="13"/>
  <c r="I14" i="13"/>
  <c r="P76" i="13"/>
  <c r="U12" i="13"/>
  <c r="X13" i="13"/>
  <c r="U10" i="13"/>
  <c r="X7" i="13"/>
  <c r="O8" i="13"/>
  <c r="I85" i="13"/>
  <c r="U6" i="13"/>
  <c r="X8" i="13"/>
  <c r="N73" i="13"/>
  <c r="K79" i="13"/>
  <c r="L74" i="13"/>
  <c r="V83" i="13"/>
  <c r="P81" i="13"/>
  <c r="I86" i="13"/>
  <c r="J10" i="13"/>
  <c r="O11" i="13"/>
  <c r="O80" i="13"/>
  <c r="M86" i="13"/>
  <c r="R71" i="13"/>
  <c r="L71" i="13"/>
  <c r="K81" i="13"/>
  <c r="X81" i="13"/>
  <c r="M83" i="13"/>
  <c r="I70" i="13"/>
  <c r="V77" i="13"/>
  <c r="S75" i="13"/>
  <c r="P68" i="13"/>
  <c r="Y5" i="13"/>
  <c r="N9" i="13"/>
  <c r="M9" i="13"/>
  <c r="W72" i="13"/>
  <c r="R69" i="13"/>
  <c r="K71" i="13"/>
  <c r="U76" i="13"/>
  <c r="S10" i="13"/>
  <c r="L12" i="13"/>
  <c r="T82" i="13"/>
  <c r="M5" i="13"/>
  <c r="H13" i="13"/>
  <c r="H5" i="13"/>
  <c r="H83" i="13"/>
  <c r="H80" i="13"/>
  <c r="H81" i="13"/>
  <c r="H10" i="13"/>
  <c r="H7" i="13"/>
  <c r="H86" i="13"/>
  <c r="M67" i="13"/>
  <c r="N67" i="13"/>
  <c r="S67" i="13"/>
  <c r="W67" i="13"/>
  <c r="H85" i="13"/>
  <c r="H6" i="13"/>
  <c r="H84" i="13"/>
  <c r="H8" i="13"/>
  <c r="H12" i="13"/>
  <c r="H9" i="13"/>
  <c r="H11" i="13"/>
  <c r="H78" i="13"/>
  <c r="J67" i="13"/>
  <c r="H67" i="13"/>
  <c r="Y67" i="13"/>
  <c r="U67" i="13"/>
  <c r="O67" i="13"/>
  <c r="R4" i="13"/>
  <c r="U4" i="13"/>
  <c r="U15" i="13" s="1"/>
  <c r="Y4" i="13"/>
  <c r="L4" i="13"/>
  <c r="V4" i="13"/>
  <c r="N4" i="13"/>
  <c r="H4" i="13"/>
  <c r="H15" i="13" s="1"/>
  <c r="I4" i="13"/>
  <c r="K4" i="13"/>
  <c r="V67" i="13"/>
  <c r="R67" i="13"/>
  <c r="P67" i="13"/>
  <c r="X67" i="13"/>
  <c r="Q67" i="13"/>
  <c r="T4" i="13"/>
  <c r="P4" i="13"/>
  <c r="Q4" i="13"/>
  <c r="Q15" i="13" s="1"/>
  <c r="M4" i="13"/>
  <c r="M15" i="13" s="1"/>
  <c r="W4" i="13"/>
  <c r="S4" i="13"/>
  <c r="J4" i="13"/>
  <c r="X4" i="13"/>
  <c r="O4" i="13"/>
  <c r="Q88" i="12"/>
  <c r="Q89" i="12" s="1"/>
  <c r="P88" i="12"/>
  <c r="P89" i="12" s="1"/>
  <c r="H88" i="12"/>
  <c r="H89" i="12" s="1"/>
  <c r="J9" i="12"/>
  <c r="X140" i="14"/>
  <c r="Q140" i="14"/>
  <c r="AX68" i="12"/>
  <c r="X133" i="14"/>
  <c r="Q133" i="14"/>
  <c r="AB14" i="12"/>
  <c r="AB18" i="12" s="1"/>
  <c r="AM88" i="12"/>
  <c r="AM89" i="12" s="1"/>
  <c r="AK88" i="12"/>
  <c r="AK89" i="12" s="1"/>
  <c r="AL88" i="12"/>
  <c r="AL89" i="12" s="1"/>
  <c r="H67" i="12"/>
  <c r="O67" i="12"/>
  <c r="I88" i="12"/>
  <c r="I89" i="12" s="1"/>
  <c r="L88" i="12"/>
  <c r="L89" i="12" s="1"/>
  <c r="N88" i="12"/>
  <c r="N89" i="12" s="1"/>
  <c r="BB88" i="12"/>
  <c r="BB89" i="12" s="1"/>
  <c r="BG88" i="12"/>
  <c r="BG89" i="12" s="1"/>
  <c r="BD88" i="12"/>
  <c r="BD89" i="12" s="1"/>
  <c r="AZ88" i="12"/>
  <c r="AZ89" i="12" s="1"/>
  <c r="BE88" i="12"/>
  <c r="BE89" i="12" s="1"/>
  <c r="BA88" i="12"/>
  <c r="BA89" i="12" s="1"/>
  <c r="Z83" i="19" l="1"/>
  <c r="Z13" i="19"/>
  <c r="Z79" i="19"/>
  <c r="AG10" i="12"/>
  <c r="Z7" i="19"/>
  <c r="Z81" i="19"/>
  <c r="Z82" i="19"/>
  <c r="Z11" i="19"/>
  <c r="P87" i="19"/>
  <c r="L87" i="19"/>
  <c r="Z84" i="13"/>
  <c r="P87" i="13"/>
  <c r="Z78" i="19"/>
  <c r="AG208" i="12"/>
  <c r="AF208" i="12"/>
  <c r="Z80" i="19"/>
  <c r="Z11" i="13"/>
  <c r="Z85" i="13"/>
  <c r="Z7" i="13"/>
  <c r="Z13" i="13"/>
  <c r="R87" i="13"/>
  <c r="J87" i="13"/>
  <c r="Z12" i="13"/>
  <c r="Z81" i="13"/>
  <c r="Z78" i="13"/>
  <c r="Z86" i="13"/>
  <c r="Z80" i="13"/>
  <c r="Z5" i="13"/>
  <c r="K87" i="13"/>
  <c r="AB208" i="12"/>
  <c r="Z10" i="13"/>
  <c r="U87" i="13"/>
  <c r="O87" i="13"/>
  <c r="T87" i="13"/>
  <c r="N87" i="13"/>
  <c r="S87" i="13"/>
  <c r="O87" i="19"/>
  <c r="T87" i="19"/>
  <c r="U87" i="19"/>
  <c r="Q87" i="19"/>
  <c r="X87" i="13"/>
  <c r="V87" i="13"/>
  <c r="Q87" i="13"/>
  <c r="W87" i="13"/>
  <c r="M87" i="13"/>
  <c r="I87" i="13"/>
  <c r="L87" i="13"/>
  <c r="V87" i="19"/>
  <c r="Y87" i="19"/>
  <c r="N87" i="19"/>
  <c r="R87" i="19"/>
  <c r="J87" i="19"/>
  <c r="M87" i="19"/>
  <c r="S57" i="13"/>
  <c r="S55" i="13"/>
  <c r="P55" i="13"/>
  <c r="P57" i="13"/>
  <c r="P221" i="13"/>
  <c r="P222" i="13" s="1"/>
  <c r="I57" i="13"/>
  <c r="I55" i="13"/>
  <c r="L55" i="13"/>
  <c r="L57" i="13"/>
  <c r="O221" i="13"/>
  <c r="J221" i="13"/>
  <c r="J223" i="13" s="1"/>
  <c r="N221" i="13"/>
  <c r="N223" i="13" s="1"/>
  <c r="O55" i="13"/>
  <c r="O57" i="13"/>
  <c r="J55" i="13"/>
  <c r="J57" i="13"/>
  <c r="W57" i="13"/>
  <c r="W55" i="13"/>
  <c r="Q60" i="13"/>
  <c r="Q57" i="13"/>
  <c r="Q55" i="13"/>
  <c r="Q58" i="13"/>
  <c r="Q59" i="13"/>
  <c r="Q54" i="13"/>
  <c r="T57" i="13"/>
  <c r="T55" i="13"/>
  <c r="X221" i="13"/>
  <c r="R221" i="13"/>
  <c r="R222" i="13" s="1"/>
  <c r="K57" i="13"/>
  <c r="K55" i="13"/>
  <c r="L56" i="13"/>
  <c r="U56" i="13"/>
  <c r="Q56" i="13"/>
  <c r="M56" i="13"/>
  <c r="I56" i="13"/>
  <c r="X56" i="13"/>
  <c r="T56" i="13"/>
  <c r="P56" i="13"/>
  <c r="Y56" i="13"/>
  <c r="N56" i="13"/>
  <c r="J56" i="13"/>
  <c r="W56" i="13"/>
  <c r="S56" i="13"/>
  <c r="O56" i="13"/>
  <c r="K56" i="13"/>
  <c r="V56" i="13"/>
  <c r="R56" i="13"/>
  <c r="H57" i="13"/>
  <c r="H56" i="13"/>
  <c r="H58" i="13"/>
  <c r="H59" i="13"/>
  <c r="H60" i="13"/>
  <c r="Z4" i="13"/>
  <c r="H55" i="13"/>
  <c r="H54" i="13"/>
  <c r="V55" i="13"/>
  <c r="V57" i="13"/>
  <c r="Y57" i="13"/>
  <c r="Y55" i="13"/>
  <c r="R57" i="13"/>
  <c r="R55" i="13"/>
  <c r="U221" i="13"/>
  <c r="Z67" i="13"/>
  <c r="Z221" i="13" s="1"/>
  <c r="H221" i="13"/>
  <c r="Z9" i="13"/>
  <c r="Z8" i="13"/>
  <c r="Z6" i="13"/>
  <c r="S221" i="13"/>
  <c r="M221" i="13"/>
  <c r="Z83" i="13"/>
  <c r="Z82" i="13"/>
  <c r="L15" i="13"/>
  <c r="L60" i="13" s="1"/>
  <c r="K221" i="13"/>
  <c r="I221" i="13"/>
  <c r="O15" i="13"/>
  <c r="O59" i="13" s="1"/>
  <c r="Y15" i="13"/>
  <c r="Y58" i="13" s="1"/>
  <c r="Z79" i="13"/>
  <c r="T15" i="13"/>
  <c r="T60" i="13" s="1"/>
  <c r="BA189" i="12"/>
  <c r="AZ198" i="12"/>
  <c r="AZ188" i="12"/>
  <c r="BD198" i="12"/>
  <c r="AY190" i="12"/>
  <c r="AZ193" i="12"/>
  <c r="AX188" i="12"/>
  <c r="AZ201" i="12"/>
  <c r="BD203" i="12"/>
  <c r="AZ205" i="12"/>
  <c r="BA187" i="12"/>
  <c r="AX202" i="12"/>
  <c r="BA203" i="12"/>
  <c r="AY191" i="12"/>
  <c r="AZ197" i="12"/>
  <c r="BD194" i="12"/>
  <c r="BC199" i="12"/>
  <c r="AX196" i="12"/>
  <c r="AY199" i="12"/>
  <c r="AZ202" i="12"/>
  <c r="AY198" i="12"/>
  <c r="AX195" i="12"/>
  <c r="AX193" i="12"/>
  <c r="BB203" i="12"/>
  <c r="BC206" i="12"/>
  <c r="BC195" i="12"/>
  <c r="BC201" i="12"/>
  <c r="BC194" i="12"/>
  <c r="BD193" i="12"/>
  <c r="AZ207" i="12"/>
  <c r="AY187" i="12"/>
  <c r="BA191" i="12"/>
  <c r="BA193" i="12"/>
  <c r="AY201" i="12"/>
  <c r="BC198" i="12"/>
  <c r="AX191" i="12"/>
  <c r="BC190" i="12"/>
  <c r="AY200" i="12"/>
  <c r="AY202" i="12"/>
  <c r="BD205" i="12"/>
  <c r="BA199" i="12"/>
  <c r="AY207" i="12"/>
  <c r="AZ192" i="12"/>
  <c r="BC187" i="12"/>
  <c r="BB195" i="12"/>
  <c r="AZ195" i="12"/>
  <c r="AY196" i="12"/>
  <c r="AY197" i="12"/>
  <c r="BA197" i="12"/>
  <c r="AZ194" i="12"/>
  <c r="BD200" i="12"/>
  <c r="BC205" i="12"/>
  <c r="AZ187" i="12"/>
  <c r="BD197" i="12"/>
  <c r="BB201" i="12"/>
  <c r="AX194" i="12"/>
  <c r="BB196" i="12"/>
  <c r="AY203" i="12"/>
  <c r="AX204" i="12"/>
  <c r="BB193" i="12"/>
  <c r="BB199" i="12"/>
  <c r="BA200" i="12"/>
  <c r="BB190" i="12"/>
  <c r="BC189" i="12"/>
  <c r="AZ196" i="12"/>
  <c r="BB204" i="12"/>
  <c r="BC191" i="12"/>
  <c r="BC196" i="12"/>
  <c r="BB197" i="12"/>
  <c r="BC207" i="12"/>
  <c r="AX192" i="12"/>
  <c r="BB198" i="12"/>
  <c r="AX187" i="12"/>
  <c r="AX189" i="12"/>
  <c r="BA205" i="12"/>
  <c r="BA207" i="12"/>
  <c r="BB189" i="12"/>
  <c r="BC200" i="12"/>
  <c r="AX205" i="12"/>
  <c r="BB202" i="12"/>
  <c r="AZ203" i="12"/>
  <c r="AX206" i="12"/>
  <c r="AY205" i="12"/>
  <c r="AX197" i="12"/>
  <c r="BB191" i="12"/>
  <c r="AY194" i="12"/>
  <c r="BA198" i="12"/>
  <c r="AY206" i="12"/>
  <c r="AZ200" i="12"/>
  <c r="BB188" i="12"/>
  <c r="BD187" i="12"/>
  <c r="AY192" i="12"/>
  <c r="BA204" i="12"/>
  <c r="BD196" i="12"/>
  <c r="BB192" i="12"/>
  <c r="AY195" i="12"/>
  <c r="BB205" i="12"/>
  <c r="BC203" i="12"/>
  <c r="AZ189" i="12"/>
  <c r="BD191" i="12"/>
  <c r="BA206" i="12"/>
  <c r="BD199" i="12"/>
  <c r="BB194" i="12"/>
  <c r="BD207" i="12"/>
  <c r="BD188" i="12"/>
  <c r="AZ206" i="12"/>
  <c r="AX201" i="12"/>
  <c r="AY204" i="12"/>
  <c r="BC197" i="12"/>
  <c r="AZ204" i="12"/>
  <c r="AX200" i="12"/>
  <c r="AX198" i="12"/>
  <c r="AY193" i="12"/>
  <c r="BA192" i="12"/>
  <c r="BC188" i="12"/>
  <c r="AY188" i="12"/>
  <c r="AX199" i="12"/>
  <c r="BB187" i="12"/>
  <c r="BA201" i="12"/>
  <c r="BD190" i="12"/>
  <c r="AX207" i="12"/>
  <c r="BD206" i="12"/>
  <c r="BD195" i="12"/>
  <c r="BA190" i="12"/>
  <c r="BA188" i="12"/>
  <c r="AX203" i="12"/>
  <c r="BC193" i="12"/>
  <c r="BC204" i="12"/>
  <c r="BD202" i="12"/>
  <c r="BD192" i="12"/>
  <c r="BA194" i="12"/>
  <c r="AZ199" i="12"/>
  <c r="BD201" i="12"/>
  <c r="AZ190" i="12"/>
  <c r="BD204" i="12"/>
  <c r="BB200" i="12"/>
  <c r="AZ191" i="12"/>
  <c r="BD189" i="12"/>
  <c r="AX190" i="12"/>
  <c r="BB207" i="12"/>
  <c r="AY189" i="12"/>
  <c r="BB206" i="12"/>
  <c r="BA195" i="12"/>
  <c r="AX13" i="12"/>
  <c r="AX14" i="12" s="1"/>
  <c r="AX18" i="12" s="1"/>
  <c r="BC192" i="12"/>
  <c r="BA196" i="12"/>
  <c r="BA202" i="12"/>
  <c r="BC202" i="12"/>
  <c r="BB186" i="12"/>
  <c r="BA186" i="12"/>
  <c r="AX186" i="12"/>
  <c r="AZ186" i="12"/>
  <c r="BC186" i="12"/>
  <c r="BD186" i="12"/>
  <c r="AY186" i="12"/>
  <c r="AD208" i="12"/>
  <c r="AC208" i="12"/>
  <c r="AG9" i="12"/>
  <c r="AF15" i="12"/>
  <c r="AF12" i="12"/>
  <c r="AH9" i="12"/>
  <c r="N247" i="19"/>
  <c r="M247" i="19"/>
  <c r="W247" i="19"/>
  <c r="V247" i="19"/>
  <c r="U247" i="19"/>
  <c r="I247" i="19"/>
  <c r="Y247" i="19"/>
  <c r="X247" i="19"/>
  <c r="S247" i="19"/>
  <c r="Q247" i="19"/>
  <c r="M76" i="16"/>
  <c r="L247" i="19"/>
  <c r="O247" i="19"/>
  <c r="R247" i="19"/>
  <c r="T247" i="19"/>
  <c r="P247" i="19"/>
  <c r="K247" i="19"/>
  <c r="J247" i="19"/>
  <c r="H247" i="19"/>
  <c r="W129" i="14"/>
  <c r="N76" i="16" s="1"/>
  <c r="F208" i="12"/>
  <c r="H208" i="12"/>
  <c r="I208" i="12"/>
  <c r="I56" i="19"/>
  <c r="V56" i="19"/>
  <c r="U56" i="19"/>
  <c r="X56" i="19"/>
  <c r="Y56" i="19"/>
  <c r="K56" i="19"/>
  <c r="N56" i="19"/>
  <c r="T56" i="19"/>
  <c r="P56" i="19"/>
  <c r="R56" i="19"/>
  <c r="J56" i="19"/>
  <c r="M56" i="19"/>
  <c r="Q56" i="19"/>
  <c r="Z4" i="19"/>
  <c r="O56" i="19"/>
  <c r="S56" i="19"/>
  <c r="L56" i="19"/>
  <c r="W56" i="19"/>
  <c r="H57" i="19"/>
  <c r="H56" i="19"/>
  <c r="H55" i="19"/>
  <c r="N57" i="19"/>
  <c r="N55" i="19"/>
  <c r="P57" i="19"/>
  <c r="P55" i="19"/>
  <c r="X57" i="19"/>
  <c r="X55" i="19"/>
  <c r="I55" i="19"/>
  <c r="I57" i="19"/>
  <c r="U221" i="19"/>
  <c r="U222" i="19" s="1"/>
  <c r="O221" i="19"/>
  <c r="Y221" i="19"/>
  <c r="Y223" i="19" s="1"/>
  <c r="W55" i="19"/>
  <c r="W57" i="19"/>
  <c r="Y57" i="19"/>
  <c r="Y55" i="19"/>
  <c r="O55" i="19"/>
  <c r="O57" i="19"/>
  <c r="K57" i="19"/>
  <c r="K55" i="19"/>
  <c r="K221" i="19"/>
  <c r="K222" i="19" s="1"/>
  <c r="Q221" i="19"/>
  <c r="L221" i="19"/>
  <c r="L223" i="19" s="1"/>
  <c r="J221" i="19"/>
  <c r="P221" i="19"/>
  <c r="P222" i="19" s="1"/>
  <c r="V221" i="19"/>
  <c r="H15" i="19"/>
  <c r="H59" i="19" s="1"/>
  <c r="Z9" i="19"/>
  <c r="Z5" i="19"/>
  <c r="Z14" i="19"/>
  <c r="O15" i="19"/>
  <c r="O59" i="19" s="1"/>
  <c r="I15" i="19"/>
  <c r="I58" i="19" s="1"/>
  <c r="K9" i="12"/>
  <c r="J15" i="12"/>
  <c r="L9" i="12"/>
  <c r="J12" i="12"/>
  <c r="X57" i="13"/>
  <c r="X55" i="13"/>
  <c r="M57" i="13"/>
  <c r="M59" i="13"/>
  <c r="M55" i="13"/>
  <c r="M58" i="13"/>
  <c r="M60" i="13"/>
  <c r="M54" i="13"/>
  <c r="Q221" i="13"/>
  <c r="Q222" i="13" s="1"/>
  <c r="V221" i="13"/>
  <c r="V222" i="13" s="1"/>
  <c r="N57" i="13"/>
  <c r="N55" i="13"/>
  <c r="U59" i="13"/>
  <c r="U57" i="13"/>
  <c r="U60" i="13"/>
  <c r="U58" i="13"/>
  <c r="U55" i="13"/>
  <c r="U54" i="13"/>
  <c r="Y221" i="13"/>
  <c r="Y223" i="13" s="1"/>
  <c r="W221" i="13"/>
  <c r="W224" i="13" s="1"/>
  <c r="H87" i="13"/>
  <c r="Z87" i="13" s="1"/>
  <c r="K15" i="13"/>
  <c r="K59" i="13" s="1"/>
  <c r="V15" i="13"/>
  <c r="V59" i="13" s="1"/>
  <c r="J15" i="13"/>
  <c r="J59" i="13" s="1"/>
  <c r="I15" i="13"/>
  <c r="I59" i="13" s="1"/>
  <c r="N15" i="13"/>
  <c r="N60" i="13" s="1"/>
  <c r="P15" i="13"/>
  <c r="P58" i="13" s="1"/>
  <c r="L221" i="13"/>
  <c r="L223" i="13" s="1"/>
  <c r="T221" i="13"/>
  <c r="T224" i="13" s="1"/>
  <c r="W15" i="13"/>
  <c r="W60" i="13" s="1"/>
  <c r="R15" i="13"/>
  <c r="R58" i="13" s="1"/>
  <c r="X15" i="13"/>
  <c r="X59" i="13" s="1"/>
  <c r="Z14" i="13"/>
  <c r="S15" i="13"/>
  <c r="S59" i="13" s="1"/>
  <c r="BC10" i="12"/>
  <c r="BD10" i="12"/>
  <c r="R247" i="13"/>
  <c r="Y247" i="13"/>
  <c r="O76" i="16"/>
  <c r="S247" i="13"/>
  <c r="N247" i="13"/>
  <c r="V247" i="13"/>
  <c r="X247" i="13"/>
  <c r="L247" i="13"/>
  <c r="K247" i="13"/>
  <c r="U247" i="13"/>
  <c r="P247" i="13"/>
  <c r="T247" i="13"/>
  <c r="M247" i="13"/>
  <c r="I247" i="13"/>
  <c r="J247" i="13"/>
  <c r="W247" i="13"/>
  <c r="Q247" i="13"/>
  <c r="O247" i="13"/>
  <c r="H247" i="13"/>
  <c r="AE208" i="12"/>
  <c r="BD11" i="12"/>
  <c r="BC11" i="12"/>
  <c r="L208" i="12"/>
  <c r="K208" i="12"/>
  <c r="G208" i="12"/>
  <c r="J208" i="12"/>
  <c r="R57" i="19"/>
  <c r="R60" i="19"/>
  <c r="R58" i="19"/>
  <c r="R55" i="19"/>
  <c r="R54" i="19"/>
  <c r="R59" i="19"/>
  <c r="T57" i="19"/>
  <c r="T55" i="19"/>
  <c r="S55" i="19"/>
  <c r="S57" i="19"/>
  <c r="J57" i="19"/>
  <c r="J55" i="19"/>
  <c r="N221" i="19"/>
  <c r="N222" i="19" s="1"/>
  <c r="R221" i="19"/>
  <c r="R224" i="19" s="1"/>
  <c r="S221" i="19"/>
  <c r="S223" i="19" s="1"/>
  <c r="Q55" i="19"/>
  <c r="Q57" i="19"/>
  <c r="U57" i="19"/>
  <c r="U55" i="19"/>
  <c r="U58" i="19"/>
  <c r="U60" i="19"/>
  <c r="U54" i="19"/>
  <c r="U59" i="19"/>
  <c r="V57" i="19"/>
  <c r="V55" i="19"/>
  <c r="M58" i="19"/>
  <c r="M55" i="19"/>
  <c r="M60" i="19"/>
  <c r="M57" i="19"/>
  <c r="M59" i="19"/>
  <c r="M54" i="19"/>
  <c r="L59" i="19"/>
  <c r="L57" i="19"/>
  <c r="L58" i="19"/>
  <c r="L55" i="19"/>
  <c r="L60" i="19"/>
  <c r="L54" i="19"/>
  <c r="M221" i="19"/>
  <c r="M224" i="19" s="1"/>
  <c r="I221" i="19"/>
  <c r="I224" i="19" s="1"/>
  <c r="Z67" i="19"/>
  <c r="Z221" i="19" s="1"/>
  <c r="H221" i="19"/>
  <c r="T221" i="19"/>
  <c r="X221" i="19"/>
  <c r="X224" i="19" s="1"/>
  <c r="W221" i="19"/>
  <c r="W224" i="19" s="1"/>
  <c r="Z86" i="19"/>
  <c r="H87" i="19"/>
  <c r="Z85" i="19"/>
  <c r="Z8" i="19"/>
  <c r="T15" i="19"/>
  <c r="T59" i="19" s="1"/>
  <c r="N15" i="19"/>
  <c r="N60" i="19" s="1"/>
  <c r="S15" i="19"/>
  <c r="S58" i="19" s="1"/>
  <c r="K15" i="19"/>
  <c r="K58" i="19" s="1"/>
  <c r="Q15" i="19"/>
  <c r="Q58" i="19" s="1"/>
  <c r="J15" i="19"/>
  <c r="J59" i="19" s="1"/>
  <c r="W15" i="19"/>
  <c r="W60" i="19" s="1"/>
  <c r="P15" i="19"/>
  <c r="P60" i="19" s="1"/>
  <c r="Y15" i="19"/>
  <c r="Y58" i="19" s="1"/>
  <c r="V15" i="19"/>
  <c r="V59" i="19" s="1"/>
  <c r="X15" i="19"/>
  <c r="X60" i="19" s="1"/>
  <c r="BB12" i="12"/>
  <c r="BB15" i="12"/>
  <c r="Z87" i="19" l="1"/>
  <c r="T223" i="19"/>
  <c r="V223" i="19"/>
  <c r="J224" i="19"/>
  <c r="Q224" i="19"/>
  <c r="K223" i="13"/>
  <c r="I224" i="13"/>
  <c r="S223" i="13"/>
  <c r="U224" i="13"/>
  <c r="AY208" i="12"/>
  <c r="AX208" i="12"/>
  <c r="K224" i="13"/>
  <c r="O224" i="13"/>
  <c r="BD208" i="12"/>
  <c r="AZ208" i="12"/>
  <c r="M223" i="13"/>
  <c r="X223" i="13"/>
  <c r="K222" i="13"/>
  <c r="K225" i="13" s="1"/>
  <c r="U224" i="19"/>
  <c r="BC208" i="12"/>
  <c r="BB208" i="12"/>
  <c r="T224" i="19"/>
  <c r="V222" i="19"/>
  <c r="N224" i="19"/>
  <c r="L222" i="13"/>
  <c r="Q222" i="19"/>
  <c r="X223" i="19"/>
  <c r="R223" i="19"/>
  <c r="T222" i="13"/>
  <c r="W223" i="13"/>
  <c r="V224" i="13"/>
  <c r="L224" i="19"/>
  <c r="K224" i="19"/>
  <c r="Z247" i="19"/>
  <c r="BA208" i="12"/>
  <c r="U222" i="13"/>
  <c r="J222" i="13"/>
  <c r="N224" i="13"/>
  <c r="BB13" i="12"/>
  <c r="BC12" i="12"/>
  <c r="BB14" i="12"/>
  <c r="BD12" i="12"/>
  <c r="W222" i="19"/>
  <c r="X222" i="19"/>
  <c r="T222" i="19"/>
  <c r="H222" i="19"/>
  <c r="H223" i="19"/>
  <c r="I222" i="19"/>
  <c r="M222" i="19"/>
  <c r="V54" i="19"/>
  <c r="V60" i="19"/>
  <c r="U63" i="19"/>
  <c r="U62" i="19"/>
  <c r="U61" i="19"/>
  <c r="Q54" i="19"/>
  <c r="Q59" i="19"/>
  <c r="Q60" i="19"/>
  <c r="S222" i="19"/>
  <c r="R222" i="19"/>
  <c r="N223" i="19"/>
  <c r="N225" i="19" s="1"/>
  <c r="J54" i="19"/>
  <c r="J60" i="19"/>
  <c r="S54" i="19"/>
  <c r="S60" i="19"/>
  <c r="T54" i="19"/>
  <c r="R62" i="19"/>
  <c r="R61" i="19"/>
  <c r="R63" i="19"/>
  <c r="Z247" i="13"/>
  <c r="F248" i="12"/>
  <c r="F247" i="12"/>
  <c r="F244" i="12"/>
  <c r="F251" i="12"/>
  <c r="F249" i="12"/>
  <c r="F252" i="12"/>
  <c r="F246" i="12"/>
  <c r="F245" i="12"/>
  <c r="F250" i="12"/>
  <c r="F243" i="12"/>
  <c r="T223" i="13"/>
  <c r="L224" i="13"/>
  <c r="L225" i="13" s="1"/>
  <c r="W222" i="13"/>
  <c r="W225" i="13" s="1"/>
  <c r="Y224" i="13"/>
  <c r="N58" i="13"/>
  <c r="V223" i="13"/>
  <c r="V225" i="13" s="1"/>
  <c r="Q224" i="13"/>
  <c r="X60" i="13"/>
  <c r="V224" i="19"/>
  <c r="P224" i="19"/>
  <c r="J222" i="19"/>
  <c r="L222" i="19"/>
  <c r="Q223" i="19"/>
  <c r="Q225" i="19" s="1"/>
  <c r="K223" i="19"/>
  <c r="K225" i="19" s="1"/>
  <c r="K54" i="19"/>
  <c r="K60" i="19"/>
  <c r="O54" i="19"/>
  <c r="O58" i="19"/>
  <c r="Y59" i="19"/>
  <c r="Y60" i="19"/>
  <c r="W59" i="19"/>
  <c r="W58" i="19"/>
  <c r="Y224" i="19"/>
  <c r="O222" i="19"/>
  <c r="I54" i="19"/>
  <c r="I59" i="19"/>
  <c r="X54" i="19"/>
  <c r="X59" i="19"/>
  <c r="P59" i="19"/>
  <c r="N59" i="19"/>
  <c r="N58" i="19"/>
  <c r="Z55" i="19"/>
  <c r="Z57" i="19"/>
  <c r="H54" i="19"/>
  <c r="AX247" i="12"/>
  <c r="AX244" i="12"/>
  <c r="AX245" i="12"/>
  <c r="AX252" i="12"/>
  <c r="AX248" i="12"/>
  <c r="AX250" i="12"/>
  <c r="AX251" i="12"/>
  <c r="AX249" i="12"/>
  <c r="AX246" i="12"/>
  <c r="AX243" i="12"/>
  <c r="I222" i="13"/>
  <c r="M222" i="13"/>
  <c r="S222" i="13"/>
  <c r="H223" i="13"/>
  <c r="H222" i="13"/>
  <c r="U223" i="13"/>
  <c r="U225" i="13" s="1"/>
  <c r="R54" i="13"/>
  <c r="R60" i="13"/>
  <c r="Y54" i="13"/>
  <c r="Y59" i="13"/>
  <c r="V54" i="13"/>
  <c r="H62" i="13"/>
  <c r="H61" i="13"/>
  <c r="H63" i="13"/>
  <c r="AB4" i="13"/>
  <c r="Z56" i="13"/>
  <c r="K54" i="13"/>
  <c r="K60" i="13"/>
  <c r="R224" i="13"/>
  <c r="X224" i="13"/>
  <c r="T58" i="13"/>
  <c r="T59" i="13"/>
  <c r="W58" i="13"/>
  <c r="J58" i="13"/>
  <c r="J60" i="13"/>
  <c r="O58" i="13"/>
  <c r="N222" i="13"/>
  <c r="J224" i="13"/>
  <c r="O223" i="13"/>
  <c r="L54" i="13"/>
  <c r="L58" i="13"/>
  <c r="L59" i="13"/>
  <c r="I54" i="13"/>
  <c r="I58" i="13"/>
  <c r="P224" i="13"/>
  <c r="P54" i="13"/>
  <c r="P60" i="13"/>
  <c r="P59" i="13"/>
  <c r="S54" i="13"/>
  <c r="S60" i="13"/>
  <c r="W223" i="19"/>
  <c r="W225" i="19" s="1"/>
  <c r="H224" i="19"/>
  <c r="I223" i="19"/>
  <c r="M223" i="19"/>
  <c r="L63" i="19"/>
  <c r="L61" i="19"/>
  <c r="L62" i="19"/>
  <c r="M62" i="19"/>
  <c r="M61" i="19"/>
  <c r="M63" i="19"/>
  <c r="V58" i="19"/>
  <c r="S224" i="19"/>
  <c r="J58" i="19"/>
  <c r="S59" i="19"/>
  <c r="T60" i="19"/>
  <c r="T58" i="19"/>
  <c r="Y222" i="13"/>
  <c r="Y225" i="13" s="1"/>
  <c r="U62" i="13"/>
  <c r="U61" i="13"/>
  <c r="U63" i="13"/>
  <c r="N54" i="13"/>
  <c r="N59" i="13"/>
  <c r="Q223" i="13"/>
  <c r="M63" i="13"/>
  <c r="M62" i="13"/>
  <c r="M61" i="13"/>
  <c r="X54" i="13"/>
  <c r="X58" i="13"/>
  <c r="J13" i="12"/>
  <c r="L12" i="12"/>
  <c r="K12" i="12"/>
  <c r="J14" i="12"/>
  <c r="Z15" i="19"/>
  <c r="Z54" i="19" s="1"/>
  <c r="P223" i="19"/>
  <c r="J223" i="19"/>
  <c r="K59" i="19"/>
  <c r="O60" i="19"/>
  <c r="Y54" i="19"/>
  <c r="W54" i="19"/>
  <c r="Y222" i="19"/>
  <c r="O224" i="19"/>
  <c r="O223" i="19"/>
  <c r="U223" i="19"/>
  <c r="U225" i="19" s="1"/>
  <c r="I60" i="19"/>
  <c r="X58" i="19"/>
  <c r="P54" i="19"/>
  <c r="P58" i="19"/>
  <c r="N54" i="19"/>
  <c r="Z56" i="19"/>
  <c r="H60" i="19"/>
  <c r="AB4" i="19"/>
  <c r="H58" i="19"/>
  <c r="AB247" i="12"/>
  <c r="AB244" i="12"/>
  <c r="AB252" i="12"/>
  <c r="AB246" i="12"/>
  <c r="AB243" i="12"/>
  <c r="AB251" i="12"/>
  <c r="AB248" i="12"/>
  <c r="AB249" i="12"/>
  <c r="AB245" i="12"/>
  <c r="AB250" i="12"/>
  <c r="AG12" i="12"/>
  <c r="AF14" i="12"/>
  <c r="AH12" i="12"/>
  <c r="AF13" i="12"/>
  <c r="I223" i="13"/>
  <c r="M224" i="13"/>
  <c r="S224" i="13"/>
  <c r="S225" i="13" s="1"/>
  <c r="H224" i="13"/>
  <c r="R59" i="13"/>
  <c r="Y60" i="13"/>
  <c r="V58" i="13"/>
  <c r="V60" i="13"/>
  <c r="Z55" i="13"/>
  <c r="Z57" i="13"/>
  <c r="K58" i="13"/>
  <c r="R223" i="13"/>
  <c r="X222" i="13"/>
  <c r="T54" i="13"/>
  <c r="Q62" i="13"/>
  <c r="Q63" i="13"/>
  <c r="Q61" i="13"/>
  <c r="W54" i="13"/>
  <c r="W59" i="13"/>
  <c r="J54" i="13"/>
  <c r="O54" i="13"/>
  <c r="O60" i="13"/>
  <c r="Z15" i="13"/>
  <c r="Z54" i="13" s="1"/>
  <c r="O222" i="13"/>
  <c r="I60" i="13"/>
  <c r="P223" i="13"/>
  <c r="S58" i="13"/>
  <c r="S225" i="19" l="1"/>
  <c r="Y225" i="19"/>
  <c r="X225" i="13"/>
  <c r="I225" i="13"/>
  <c r="P225" i="13"/>
  <c r="R225" i="13"/>
  <c r="M225" i="19"/>
  <c r="J225" i="13"/>
  <c r="V225" i="19"/>
  <c r="T225" i="13"/>
  <c r="X225" i="19"/>
  <c r="O225" i="13"/>
  <c r="Z60" i="19"/>
  <c r="P225" i="19"/>
  <c r="M225" i="13"/>
  <c r="J225" i="19"/>
  <c r="Q225" i="13"/>
  <c r="I225" i="19"/>
  <c r="N225" i="13"/>
  <c r="L225" i="19"/>
  <c r="R225" i="19"/>
  <c r="T225" i="19"/>
  <c r="Z224" i="13"/>
  <c r="Z58" i="19"/>
  <c r="AX253" i="12"/>
  <c r="AX19" i="12" s="1"/>
  <c r="AX20" i="12" s="1"/>
  <c r="AX24" i="12" s="1"/>
  <c r="AX26" i="12" s="1"/>
  <c r="H227" i="13"/>
  <c r="I227" i="13" s="1"/>
  <c r="H225" i="13"/>
  <c r="Z59" i="13"/>
  <c r="Z59" i="19"/>
  <c r="O225" i="19"/>
  <c r="O63" i="13"/>
  <c r="O61" i="13"/>
  <c r="O62" i="13"/>
  <c r="Q64" i="13"/>
  <c r="Q65" i="13" s="1"/>
  <c r="J63" i="13"/>
  <c r="J62" i="13"/>
  <c r="J61" i="13"/>
  <c r="W63" i="13"/>
  <c r="W62" i="13"/>
  <c r="W61" i="13"/>
  <c r="T62" i="13"/>
  <c r="T63" i="13"/>
  <c r="T61" i="13"/>
  <c r="Z60" i="13"/>
  <c r="AB253" i="12"/>
  <c r="AB19" i="12" s="1"/>
  <c r="AB20" i="12" s="1"/>
  <c r="AB24" i="12" s="1"/>
  <c r="AB26" i="12" s="1"/>
  <c r="N62" i="19"/>
  <c r="N61" i="19"/>
  <c r="N63" i="19"/>
  <c r="P62" i="19"/>
  <c r="P61" i="19"/>
  <c r="P63" i="19"/>
  <c r="W63" i="19"/>
  <c r="W62" i="19"/>
  <c r="W61" i="19"/>
  <c r="X62" i="13"/>
  <c r="X63" i="13"/>
  <c r="X61" i="13"/>
  <c r="L64" i="19"/>
  <c r="L65" i="19" s="1"/>
  <c r="Z224" i="19"/>
  <c r="S63" i="13"/>
  <c r="S62" i="13"/>
  <c r="S61" i="13"/>
  <c r="L63" i="13"/>
  <c r="L61" i="13"/>
  <c r="L62" i="13"/>
  <c r="K63" i="13"/>
  <c r="K62" i="13"/>
  <c r="K61" i="13"/>
  <c r="H64" i="13"/>
  <c r="H65" i="13" s="1"/>
  <c r="V62" i="13"/>
  <c r="V61" i="13"/>
  <c r="V63" i="13"/>
  <c r="Y63" i="13"/>
  <c r="Y61" i="13"/>
  <c r="Y62" i="13"/>
  <c r="R62" i="13"/>
  <c r="R61" i="13"/>
  <c r="R63" i="13"/>
  <c r="Z223" i="13"/>
  <c r="H227" i="19"/>
  <c r="I227" i="19" s="1"/>
  <c r="X62" i="19"/>
  <c r="X61" i="19"/>
  <c r="X63" i="19"/>
  <c r="I62" i="19"/>
  <c r="I63" i="19"/>
  <c r="I61" i="19"/>
  <c r="O62" i="19"/>
  <c r="O61" i="19"/>
  <c r="O63" i="19"/>
  <c r="K62" i="19"/>
  <c r="K61" i="19"/>
  <c r="K63" i="19"/>
  <c r="U64" i="19"/>
  <c r="U65" i="19" s="1"/>
  <c r="V62" i="19"/>
  <c r="V63" i="19"/>
  <c r="V61" i="19"/>
  <c r="Z222" i="19"/>
  <c r="Z58" i="13"/>
  <c r="Y63" i="19"/>
  <c r="Y62" i="19"/>
  <c r="Y61" i="19"/>
  <c r="M64" i="13"/>
  <c r="M65" i="13" s="1"/>
  <c r="N62" i="13"/>
  <c r="N61" i="13"/>
  <c r="N63" i="13"/>
  <c r="U64" i="13"/>
  <c r="U65" i="13" s="1"/>
  <c r="M64" i="19"/>
  <c r="M65" i="19" s="1"/>
  <c r="P62" i="13"/>
  <c r="P63" i="13"/>
  <c r="P61" i="13"/>
  <c r="I63" i="13"/>
  <c r="I62" i="13"/>
  <c r="I61" i="13"/>
  <c r="Z222" i="13"/>
  <c r="H62" i="19"/>
  <c r="H63" i="19"/>
  <c r="H61" i="19"/>
  <c r="F253" i="12"/>
  <c r="R64" i="19"/>
  <c r="R65" i="19" s="1"/>
  <c r="T63" i="19"/>
  <c r="T61" i="19"/>
  <c r="T62" i="19"/>
  <c r="S62" i="19"/>
  <c r="S61" i="19"/>
  <c r="S63" i="19"/>
  <c r="J63" i="19"/>
  <c r="J62" i="19"/>
  <c r="J61" i="19"/>
  <c r="Q63" i="19"/>
  <c r="Q62" i="19"/>
  <c r="Q61" i="19"/>
  <c r="Z223" i="19"/>
  <c r="H225" i="19"/>
  <c r="Z225" i="13" l="1"/>
  <c r="Z225" i="19"/>
  <c r="Z63" i="13"/>
  <c r="Z62" i="13"/>
  <c r="J227" i="13"/>
  <c r="K227" i="13" s="1"/>
  <c r="L227" i="13" s="1"/>
  <c r="M227" i="13" s="1"/>
  <c r="Z63" i="19"/>
  <c r="J64" i="19"/>
  <c r="J65" i="19" s="1"/>
  <c r="S64" i="19"/>
  <c r="S65" i="19" s="1"/>
  <c r="Z61" i="19"/>
  <c r="H64" i="19"/>
  <c r="H65" i="19" s="1"/>
  <c r="Z62" i="19"/>
  <c r="I64" i="13"/>
  <c r="I65" i="13" s="1"/>
  <c r="I229" i="13" s="1"/>
  <c r="I250" i="13" s="1"/>
  <c r="O64" i="19"/>
  <c r="O65" i="19" s="1"/>
  <c r="I64" i="19"/>
  <c r="I65" i="19" s="1"/>
  <c r="I229" i="19" s="1"/>
  <c r="I250" i="19" s="1"/>
  <c r="X64" i="19"/>
  <c r="X65" i="19" s="1"/>
  <c r="J227" i="19"/>
  <c r="R64" i="13"/>
  <c r="R65" i="13" s="1"/>
  <c r="V64" i="13"/>
  <c r="V65" i="13" s="1"/>
  <c r="H229" i="13"/>
  <c r="W64" i="19"/>
  <c r="W65" i="19" s="1"/>
  <c r="P64" i="19"/>
  <c r="P65" i="19" s="1"/>
  <c r="W64" i="13"/>
  <c r="W65" i="13" s="1"/>
  <c r="Q64" i="19"/>
  <c r="Q65" i="19" s="1"/>
  <c r="T64" i="19"/>
  <c r="T65" i="19" s="1"/>
  <c r="P64" i="13"/>
  <c r="P65" i="13" s="1"/>
  <c r="N64" i="13"/>
  <c r="N65" i="13" s="1"/>
  <c r="Y64" i="19"/>
  <c r="Y65" i="19" s="1"/>
  <c r="V64" i="19"/>
  <c r="V65" i="19" s="1"/>
  <c r="K64" i="19"/>
  <c r="K65" i="19" s="1"/>
  <c r="Y64" i="13"/>
  <c r="Y65" i="13" s="1"/>
  <c r="Z61" i="13"/>
  <c r="K64" i="13"/>
  <c r="K65" i="13" s="1"/>
  <c r="L64" i="13"/>
  <c r="L65" i="13" s="1"/>
  <c r="L229" i="13" s="1"/>
  <c r="L250" i="13" s="1"/>
  <c r="S64" i="13"/>
  <c r="S65" i="13" s="1"/>
  <c r="X64" i="13"/>
  <c r="X65" i="13" s="1"/>
  <c r="N64" i="19"/>
  <c r="N65" i="19" s="1"/>
  <c r="T64" i="13"/>
  <c r="T65" i="13" s="1"/>
  <c r="J64" i="13"/>
  <c r="J65" i="13" s="1"/>
  <c r="O64" i="13"/>
  <c r="O65" i="13" s="1"/>
  <c r="K229" i="13" l="1"/>
  <c r="K250" i="13" s="1"/>
  <c r="M229" i="13"/>
  <c r="M250" i="13" s="1"/>
  <c r="J229" i="13"/>
  <c r="J250" i="13" s="1"/>
  <c r="Z65" i="13"/>
  <c r="Z64" i="13"/>
  <c r="H230" i="13"/>
  <c r="I230" i="13" s="1"/>
  <c r="H250" i="13"/>
  <c r="H251" i="13" s="1"/>
  <c r="I251" i="13" s="1"/>
  <c r="J251" i="13" s="1"/>
  <c r="Z65" i="19"/>
  <c r="H229" i="19"/>
  <c r="K227" i="19"/>
  <c r="K229" i="19" s="1"/>
  <c r="K250" i="19" s="1"/>
  <c r="J229" i="19"/>
  <c r="J250" i="19" s="1"/>
  <c r="N227" i="13"/>
  <c r="O227" i="13" s="1"/>
  <c r="Z64" i="19"/>
  <c r="L227" i="19" l="1"/>
  <c r="L229" i="19" s="1"/>
  <c r="L250" i="19" s="1"/>
  <c r="K251" i="13"/>
  <c r="L251" i="13" s="1"/>
  <c r="M251" i="13" s="1"/>
  <c r="J230" i="13"/>
  <c r="K230" i="13" s="1"/>
  <c r="L230" i="13" s="1"/>
  <c r="M230" i="13" s="1"/>
  <c r="O229" i="13"/>
  <c r="O250" i="13" s="1"/>
  <c r="P227" i="13"/>
  <c r="P229" i="13" s="1"/>
  <c r="P250" i="13" s="1"/>
  <c r="H230" i="19"/>
  <c r="I230" i="19" s="1"/>
  <c r="J230" i="19" s="1"/>
  <c r="K230" i="19" s="1"/>
  <c r="H250" i="19"/>
  <c r="H251" i="19" s="1"/>
  <c r="I251" i="19" s="1"/>
  <c r="J251" i="19" s="1"/>
  <c r="K251" i="19" s="1"/>
  <c r="N229" i="13"/>
  <c r="N250" i="13" s="1"/>
  <c r="N251" i="13" s="1"/>
  <c r="O251" i="13" s="1"/>
  <c r="M227" i="19"/>
  <c r="L230" i="19" l="1"/>
  <c r="L251" i="19"/>
  <c r="P251" i="13"/>
  <c r="N230" i="13"/>
  <c r="O230" i="13" s="1"/>
  <c r="P230" i="13" s="1"/>
  <c r="Q227" i="13"/>
  <c r="M229" i="19"/>
  <c r="M250" i="19" s="1"/>
  <c r="N227" i="19"/>
  <c r="N229" i="19" s="1"/>
  <c r="N250" i="19" s="1"/>
  <c r="M251" i="19"/>
  <c r="N251" i="19" l="1"/>
  <c r="M230" i="19"/>
  <c r="N230" i="19" s="1"/>
  <c r="O227" i="19"/>
  <c r="Q229" i="13"/>
  <c r="R227" i="13"/>
  <c r="R229" i="13" l="1"/>
  <c r="R250" i="13" s="1"/>
  <c r="S227" i="13"/>
  <c r="Q250" i="13"/>
  <c r="Q251" i="13" s="1"/>
  <c r="R251" i="13" s="1"/>
  <c r="Q230" i="13"/>
  <c r="O229" i="19"/>
  <c r="O250" i="19" s="1"/>
  <c r="O251" i="19" s="1"/>
  <c r="P227" i="19"/>
  <c r="R230" i="13" l="1"/>
  <c r="S229" i="13"/>
  <c r="S250" i="13" s="1"/>
  <c r="S251" i="13" s="1"/>
  <c r="T227" i="13"/>
  <c r="P229" i="19"/>
  <c r="P250" i="19" s="1"/>
  <c r="P251" i="19" s="1"/>
  <c r="Q227" i="19"/>
  <c r="O230" i="19"/>
  <c r="P230" i="19" l="1"/>
  <c r="S230" i="13"/>
  <c r="T229" i="13"/>
  <c r="T250" i="13" s="1"/>
  <c r="T251" i="13" s="1"/>
  <c r="U227" i="13"/>
  <c r="Q229" i="19"/>
  <c r="Q250" i="19" s="1"/>
  <c r="Q251" i="19" s="1"/>
  <c r="R227" i="19"/>
  <c r="T230" i="13" l="1"/>
  <c r="U229" i="13"/>
  <c r="U250" i="13" s="1"/>
  <c r="U251" i="13" s="1"/>
  <c r="V227" i="13"/>
  <c r="Q230" i="19"/>
  <c r="R229" i="19"/>
  <c r="R250" i="19" s="1"/>
  <c r="R251" i="19" s="1"/>
  <c r="S227" i="19"/>
  <c r="U230" i="13" l="1"/>
  <c r="V229" i="13"/>
  <c r="V250" i="13" s="1"/>
  <c r="V251" i="13" s="1"/>
  <c r="W227" i="13"/>
  <c r="V230" i="13"/>
  <c r="S229" i="19"/>
  <c r="S250" i="19" s="1"/>
  <c r="S251" i="19" s="1"/>
  <c r="T227" i="19"/>
  <c r="R230" i="19"/>
  <c r="S230" i="19" l="1"/>
  <c r="W229" i="13"/>
  <c r="W250" i="13" s="1"/>
  <c r="W251" i="13" s="1"/>
  <c r="X227" i="13"/>
  <c r="T229" i="19"/>
  <c r="T250" i="19" s="1"/>
  <c r="T251" i="19" s="1"/>
  <c r="U227" i="19"/>
  <c r="W230" i="13"/>
  <c r="U229" i="19" l="1"/>
  <c r="U250" i="19" s="1"/>
  <c r="U251" i="19" s="1"/>
  <c r="V227" i="19"/>
  <c r="X229" i="13"/>
  <c r="X250" i="13" s="1"/>
  <c r="X251" i="13" s="1"/>
  <c r="Y227" i="13"/>
  <c r="T230" i="19"/>
  <c r="U230" i="19" s="1"/>
  <c r="V229" i="19" l="1"/>
  <c r="V250" i="19" s="1"/>
  <c r="V251" i="19" s="1"/>
  <c r="W227" i="19"/>
  <c r="V230" i="19"/>
  <c r="Y229" i="13"/>
  <c r="Y250" i="13" s="1"/>
  <c r="Y251" i="13" s="1"/>
  <c r="Z227" i="13"/>
  <c r="Z229" i="13" s="1"/>
  <c r="Z250" i="13" s="1"/>
  <c r="X230" i="13"/>
  <c r="Y230" i="13" l="1"/>
  <c r="W229" i="19"/>
  <c r="W250" i="19" s="1"/>
  <c r="W251" i="19" s="1"/>
  <c r="X227" i="19"/>
  <c r="W230" i="19" l="1"/>
  <c r="X229" i="19"/>
  <c r="X250" i="19" s="1"/>
  <c r="X251" i="19" s="1"/>
  <c r="Y227" i="19"/>
  <c r="X230" i="19" l="1"/>
  <c r="Y229" i="19"/>
  <c r="Y250" i="19" s="1"/>
  <c r="Y251" i="19" s="1"/>
  <c r="Z227" i="19"/>
  <c r="Z229" i="19" s="1"/>
  <c r="Z250" i="19" s="1"/>
  <c r="Y230" i="19"/>
</calcChain>
</file>

<file path=xl/comments1.xml><?xml version="1.0" encoding="utf-8"?>
<comments xmlns="http://schemas.openxmlformats.org/spreadsheetml/2006/main">
  <authors>
    <author>Alberto Galdeano</author>
  </authors>
  <commentList>
    <comment ref="G14" authorId="0">
      <text>
        <r>
          <rPr>
            <b/>
            <sz val="9"/>
            <color indexed="81"/>
            <rFont val="Tahoma"/>
            <family val="2"/>
          </rPr>
          <t>Cultivo = Centro de Costo + Unidad de Negocio</t>
        </r>
      </text>
    </comment>
  </commentList>
</comments>
</file>

<file path=xl/comments10.xml><?xml version="1.0" encoding="utf-8"?>
<comments xmlns="http://schemas.openxmlformats.org/spreadsheetml/2006/main">
  <authors>
    <author>Alberto Galdeano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Hoja protegida sin contraseña</t>
        </r>
      </text>
    </comment>
    <comment ref="B54" authorId="0">
      <text>
        <r>
          <rPr>
            <b/>
            <sz val="9"/>
            <color indexed="81"/>
            <rFont val="Tahoma"/>
            <family val="2"/>
          </rPr>
          <t xml:space="preserve">Insertar Fila
</t>
        </r>
      </text>
    </comment>
    <comment ref="B68" authorId="0">
      <text>
        <r>
          <rPr>
            <b/>
            <sz val="9"/>
            <color indexed="81"/>
            <rFont val="Tahoma"/>
            <family val="2"/>
          </rPr>
          <t>Insertar Fila de Venta</t>
        </r>
      </text>
    </comment>
    <comment ref="B119" authorId="0">
      <text>
        <r>
          <rPr>
            <b/>
            <sz val="9"/>
            <color indexed="81"/>
            <rFont val="Tahoma"/>
            <family val="2"/>
          </rPr>
          <t>Insertar Fila de Venta</t>
        </r>
      </text>
    </comment>
  </commentList>
</comments>
</file>

<file path=xl/comments11.xml><?xml version="1.0" encoding="utf-8"?>
<comments xmlns="http://schemas.openxmlformats.org/spreadsheetml/2006/main">
  <authors>
    <author>Alberto Galdeano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Hoja protegida sin contraseña</t>
        </r>
      </text>
    </comment>
    <comment ref="B33" authorId="0">
      <text>
        <r>
          <rPr>
            <b/>
            <sz val="9"/>
            <color indexed="81"/>
            <rFont val="Tahoma"/>
            <family val="2"/>
          </rPr>
          <t xml:space="preserve">Insertar Fila
</t>
        </r>
      </text>
    </comment>
    <comment ref="B73" authorId="0">
      <text>
        <r>
          <rPr>
            <b/>
            <sz val="9"/>
            <color indexed="81"/>
            <rFont val="Tahoma"/>
            <family val="2"/>
          </rPr>
          <t xml:space="preserve">Insertar Fila
</t>
        </r>
      </text>
    </comment>
    <comment ref="B86" authorId="0">
      <text>
        <r>
          <rPr>
            <b/>
            <sz val="9"/>
            <color indexed="81"/>
            <rFont val="Tahoma"/>
            <family val="2"/>
          </rPr>
          <t xml:space="preserve">Insertar Fila
</t>
        </r>
      </text>
    </comment>
    <comment ref="B110" authorId="0">
      <text>
        <r>
          <rPr>
            <b/>
            <sz val="9"/>
            <color indexed="81"/>
            <rFont val="Tahoma"/>
            <family val="2"/>
          </rPr>
          <t xml:space="preserve">Insertar Fila
</t>
        </r>
      </text>
    </comment>
    <comment ref="B125" authorId="0">
      <text>
        <r>
          <rPr>
            <b/>
            <sz val="9"/>
            <color indexed="81"/>
            <rFont val="Tahoma"/>
            <family val="2"/>
          </rPr>
          <t xml:space="preserve">Insertar Fila
</t>
        </r>
      </text>
    </comment>
  </commentList>
</comments>
</file>

<file path=xl/comments12.xml><?xml version="1.0" encoding="utf-8"?>
<comments xmlns="http://schemas.openxmlformats.org/spreadsheetml/2006/main">
  <authors>
    <author>Alberto Galdeano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Hoja protegida sin contraseña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>Insertar Fila Arriba.</t>
        </r>
      </text>
    </comment>
    <comment ref="B20" authorId="0">
      <text>
        <r>
          <rPr>
            <b/>
            <sz val="9"/>
            <color indexed="81"/>
            <rFont val="Tahoma"/>
            <family val="2"/>
          </rPr>
          <t>Insertar Fila Arriba.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>Insertar Fila Arriba.</t>
        </r>
      </text>
    </comment>
    <comment ref="B36" authorId="0">
      <text>
        <r>
          <rPr>
            <b/>
            <sz val="9"/>
            <color indexed="81"/>
            <rFont val="Tahoma"/>
            <family val="2"/>
          </rPr>
          <t>Insertar Fila Arriba.</t>
        </r>
      </text>
    </comment>
    <comment ref="B53" authorId="0">
      <text>
        <r>
          <rPr>
            <b/>
            <sz val="9"/>
            <color indexed="81"/>
            <rFont val="Tahoma"/>
            <family val="2"/>
          </rPr>
          <t>Insertar Fila Arriba.</t>
        </r>
      </text>
    </comment>
    <comment ref="B71" authorId="0">
      <text>
        <r>
          <rPr>
            <b/>
            <sz val="9"/>
            <color indexed="81"/>
            <rFont val="Tahoma"/>
            <family val="2"/>
          </rPr>
          <t>Insertar Fila Arriba.</t>
        </r>
      </text>
    </comment>
  </commentList>
</comments>
</file>

<file path=xl/comments2.xml><?xml version="1.0" encoding="utf-8"?>
<comments xmlns="http://schemas.openxmlformats.org/spreadsheetml/2006/main">
  <authors>
    <author>Alberto Galdeano</author>
  </authors>
  <commentList>
    <comment ref="B6" authorId="0">
      <text>
        <r>
          <rPr>
            <b/>
            <sz val="9"/>
            <color indexed="81"/>
            <rFont val="Tahoma"/>
            <family val="2"/>
          </rPr>
          <t>Campaña Actual</t>
        </r>
      </text>
    </comment>
    <comment ref="AC7" authorId="0">
      <text>
        <r>
          <rPr>
            <b/>
            <sz val="9"/>
            <color indexed="81"/>
            <rFont val="Tahoma"/>
            <family val="2"/>
          </rPr>
          <t>El nombre debe coincidir con la cuenta contable de Producción Agrícola</t>
        </r>
      </text>
    </comment>
  </commentList>
</comments>
</file>

<file path=xl/comments3.xml><?xml version="1.0" encoding="utf-8"?>
<comments xmlns="http://schemas.openxmlformats.org/spreadsheetml/2006/main">
  <authors>
    <author>Alberto Galdeano</author>
  </authors>
  <commentList>
    <comment ref="H1" authorId="0">
      <text>
        <r>
          <rPr>
            <sz val="9"/>
            <color indexed="81"/>
            <rFont val="Tahoma"/>
            <family val="2"/>
          </rPr>
          <t xml:space="preserve">Seleccionar primer mes
</t>
        </r>
      </text>
    </comment>
    <comment ref="H2" authorId="0">
      <text>
        <r>
          <rPr>
            <b/>
            <sz val="9"/>
            <color indexed="81"/>
            <rFont val="Tahoma"/>
            <family val="2"/>
          </rPr>
          <t xml:space="preserve">Seleccionar primer año
</t>
        </r>
      </text>
    </comment>
    <comment ref="B14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43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D50" authorId="0">
      <text>
        <r>
          <rPr>
            <b/>
            <sz val="8"/>
            <color indexed="81"/>
            <rFont val="Tahoma"/>
            <family val="2"/>
          </rPr>
          <t>Se carga de manera manual.
PRECAUCIÓN, No se mueve con el cambio de fechas.</t>
        </r>
      </text>
    </comment>
    <comment ref="B76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86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00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13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28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38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53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63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83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215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D217" authorId="0">
      <text>
        <r>
          <rPr>
            <b/>
            <sz val="8"/>
            <color indexed="81"/>
            <rFont val="Tahoma"/>
            <family val="2"/>
          </rPr>
          <t>Se carga de manera manual.
PRECAUCIÓN, No se mueve con el cambio de fechas.</t>
        </r>
      </text>
    </comment>
    <comment ref="B243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</commentList>
</comments>
</file>

<file path=xl/comments4.xml><?xml version="1.0" encoding="utf-8"?>
<comments xmlns="http://schemas.openxmlformats.org/spreadsheetml/2006/main">
  <authors>
    <author>Alberto Galdeano</author>
  </authors>
  <commentList>
    <comment ref="H1" authorId="0">
      <text>
        <r>
          <rPr>
            <sz val="9"/>
            <color indexed="81"/>
            <rFont val="Tahoma"/>
            <family val="2"/>
          </rPr>
          <t xml:space="preserve">Seleccionar primer mes
</t>
        </r>
      </text>
    </comment>
    <comment ref="H2" authorId="0">
      <text>
        <r>
          <rPr>
            <b/>
            <sz val="9"/>
            <color indexed="81"/>
            <rFont val="Tahoma"/>
            <family val="2"/>
          </rPr>
          <t xml:space="preserve">Seleccionar primer año
</t>
        </r>
      </text>
    </comment>
    <comment ref="B14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43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D50" authorId="0">
      <text>
        <r>
          <rPr>
            <b/>
            <sz val="8"/>
            <color indexed="81"/>
            <rFont val="Tahoma"/>
            <family val="2"/>
          </rPr>
          <t>Se carga de manera manual.
PRECAUCIÓN, No se mueve con el cambio de fechas.</t>
        </r>
      </text>
    </comment>
    <comment ref="B76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86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00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13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28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38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53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63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83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215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D217" authorId="0">
      <text>
        <r>
          <rPr>
            <b/>
            <sz val="8"/>
            <color indexed="81"/>
            <rFont val="Tahoma"/>
            <family val="2"/>
          </rPr>
          <t>Se carga de manera manual.
PRECAUCIÓN, No se mueve con el cambio de fechas.</t>
        </r>
      </text>
    </comment>
    <comment ref="B243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</commentList>
</comments>
</file>

<file path=xl/comments5.xml><?xml version="1.0" encoding="utf-8"?>
<comments xmlns="http://schemas.openxmlformats.org/spreadsheetml/2006/main">
  <authors>
    <author>Alberto Galdeano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Seleccionar Centro de Costo</t>
        </r>
      </text>
    </comment>
    <comment ref="Z4" authorId="0">
      <text>
        <r>
          <rPr>
            <b/>
            <sz val="9"/>
            <color indexed="81"/>
            <rFont val="Tahoma"/>
            <family val="2"/>
          </rPr>
          <t>Seleccionar Centro de Costo</t>
        </r>
      </text>
    </comment>
    <comment ref="AV4" authorId="0">
      <text>
        <r>
          <rPr>
            <b/>
            <sz val="9"/>
            <color indexed="81"/>
            <rFont val="Tahoma"/>
            <family val="2"/>
          </rPr>
          <t>Seleccionar Centro de Costo</t>
        </r>
      </text>
    </comment>
    <comment ref="D5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Z5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AV5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B58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X58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AT58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88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X88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AT88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10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X110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AT110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35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X135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AT135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53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X153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AT153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179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X179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AT179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207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X207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AT207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236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X236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AT236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B252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X252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  <comment ref="AT252" authorId="0">
      <text>
        <r>
          <rPr>
            <b/>
            <sz val="9"/>
            <color indexed="81"/>
            <rFont val="Tahoma"/>
            <family val="2"/>
          </rPr>
          <t xml:space="preserve"> Insertar Fila Arriba de la Flecha.</t>
        </r>
      </text>
    </comment>
  </commentList>
</comments>
</file>

<file path=xl/comments6.xml><?xml version="1.0" encoding="utf-8"?>
<comments xmlns="http://schemas.openxmlformats.org/spreadsheetml/2006/main">
  <authors>
    <author>Alberto Galdeano</author>
    <author>dalmazan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Hoja protegida sin contraseña</t>
        </r>
      </text>
    </comment>
    <comment ref="R4" authorId="1">
      <text>
        <r>
          <rPr>
            <sz val="11"/>
            <color theme="1"/>
            <rFont val="Calibri"/>
            <family val="2"/>
            <scheme val="minor"/>
          </rPr>
          <t>Nos permite colocar una tasa de interés en el caso que haya diferencia entre las fehcas de económico y financiero asumiento un interés.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" authorId="1">
      <text>
        <r>
          <rPr>
            <sz val="11"/>
            <color theme="1"/>
            <rFont val="Calibri"/>
            <family val="2"/>
            <scheme val="minor"/>
          </rPr>
          <t>Las fechas son importantes para que la planilla tome los resultados en el Resultado Económico y en el Financiero.</t>
        </r>
        <r>
          <rPr>
            <sz val="11"/>
            <color indexed="81"/>
            <rFont val="Tahoma"/>
            <family val="2"/>
          </rPr>
          <t xml:space="preserve">
</t>
        </r>
      </text>
    </comment>
    <comment ref="B6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B7" authorId="0">
      <text>
        <r>
          <rPr>
            <b/>
            <sz val="9"/>
            <color indexed="81"/>
            <rFont val="Tahoma"/>
            <family val="2"/>
          </rPr>
          <t>Seleccionar C. Costo</t>
        </r>
      </text>
    </comment>
    <comment ref="B8" authorId="0">
      <text>
        <r>
          <rPr>
            <b/>
            <sz val="9"/>
            <color indexed="81"/>
            <rFont val="Tahoma"/>
            <family val="2"/>
          </rPr>
          <t>Seleccionar Unidad de Negocio</t>
        </r>
      </text>
    </comment>
    <comment ref="B44" authorId="0">
      <text>
        <r>
          <rPr>
            <b/>
            <sz val="9"/>
            <color indexed="81"/>
            <rFont val="Tahoma"/>
            <family val="2"/>
          </rPr>
          <t xml:space="preserve"> Insertar Fila Arriba</t>
        </r>
      </text>
    </comment>
    <comment ref="B46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B47" authorId="0">
      <text>
        <r>
          <rPr>
            <b/>
            <sz val="9"/>
            <color indexed="81"/>
            <rFont val="Tahoma"/>
            <family val="2"/>
          </rPr>
          <t>Seleccionar C. Costo</t>
        </r>
      </text>
    </comment>
    <comment ref="B48" authorId="0">
      <text>
        <r>
          <rPr>
            <b/>
            <sz val="9"/>
            <color indexed="81"/>
            <rFont val="Tahoma"/>
            <family val="2"/>
          </rPr>
          <t>Seleccionar Unidad de Negocio</t>
        </r>
      </text>
    </comment>
    <comment ref="B84" authorId="0">
      <text>
        <r>
          <rPr>
            <b/>
            <sz val="9"/>
            <color indexed="81"/>
            <rFont val="Tahoma"/>
            <family val="2"/>
          </rPr>
          <t xml:space="preserve"> Insertar Fila Arriba</t>
        </r>
      </text>
    </comment>
    <comment ref="B86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B87" authorId="0">
      <text>
        <r>
          <rPr>
            <b/>
            <sz val="9"/>
            <color indexed="81"/>
            <rFont val="Tahoma"/>
            <family val="2"/>
          </rPr>
          <t>Seleccionar C. Costo</t>
        </r>
      </text>
    </comment>
    <comment ref="B88" authorId="0">
      <text>
        <r>
          <rPr>
            <b/>
            <sz val="9"/>
            <color indexed="81"/>
            <rFont val="Tahoma"/>
            <family val="2"/>
          </rPr>
          <t>Seleccionar Unidad de Negocio</t>
        </r>
      </text>
    </comment>
    <comment ref="B124" authorId="0">
      <text>
        <r>
          <rPr>
            <b/>
            <sz val="9"/>
            <color indexed="81"/>
            <rFont val="Tahoma"/>
            <family val="2"/>
          </rPr>
          <t xml:space="preserve"> Insertar Fila Arriba</t>
        </r>
      </text>
    </comment>
    <comment ref="B126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B127" authorId="0">
      <text>
        <r>
          <rPr>
            <b/>
            <sz val="9"/>
            <color indexed="81"/>
            <rFont val="Tahoma"/>
            <family val="2"/>
          </rPr>
          <t>Seleccionar C. Costo</t>
        </r>
      </text>
    </comment>
    <comment ref="B128" authorId="0">
      <text>
        <r>
          <rPr>
            <b/>
            <sz val="9"/>
            <color indexed="81"/>
            <rFont val="Tahoma"/>
            <family val="2"/>
          </rPr>
          <t>Seleccionar Unidad de Negocio</t>
        </r>
      </text>
    </comment>
    <comment ref="B164" authorId="0">
      <text>
        <r>
          <rPr>
            <b/>
            <sz val="9"/>
            <color indexed="81"/>
            <rFont val="Tahoma"/>
            <family val="2"/>
          </rPr>
          <t xml:space="preserve"> Insertar Fila Arriba</t>
        </r>
      </text>
    </comment>
    <comment ref="B166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B167" authorId="0">
      <text>
        <r>
          <rPr>
            <b/>
            <sz val="9"/>
            <color indexed="81"/>
            <rFont val="Tahoma"/>
            <family val="2"/>
          </rPr>
          <t>Seleccionar C. Costo</t>
        </r>
      </text>
    </comment>
    <comment ref="B168" authorId="0">
      <text>
        <r>
          <rPr>
            <b/>
            <sz val="9"/>
            <color indexed="81"/>
            <rFont val="Tahoma"/>
            <family val="2"/>
          </rPr>
          <t>Seleccionar Unidad de Negocio</t>
        </r>
      </text>
    </comment>
    <comment ref="B201" authorId="0">
      <text>
        <r>
          <rPr>
            <b/>
            <sz val="9"/>
            <color indexed="81"/>
            <rFont val="Tahoma"/>
            <family val="2"/>
          </rPr>
          <t xml:space="preserve"> Insertar Fila Arriba</t>
        </r>
      </text>
    </comment>
    <comment ref="B203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B204" authorId="0">
      <text>
        <r>
          <rPr>
            <b/>
            <sz val="9"/>
            <color indexed="81"/>
            <rFont val="Tahoma"/>
            <family val="2"/>
          </rPr>
          <t>Seleccionar C. Costo</t>
        </r>
      </text>
    </comment>
    <comment ref="B205" authorId="0">
      <text>
        <r>
          <rPr>
            <b/>
            <sz val="9"/>
            <color indexed="81"/>
            <rFont val="Tahoma"/>
            <family val="2"/>
          </rPr>
          <t>Seleccionar Unidad de Negocio</t>
        </r>
      </text>
    </comment>
    <comment ref="B218" authorId="0">
      <text>
        <r>
          <rPr>
            <b/>
            <sz val="9"/>
            <color indexed="81"/>
            <rFont val="Tahoma"/>
            <family val="2"/>
          </rPr>
          <t xml:space="preserve"> Insertar Fila Arriba</t>
        </r>
      </text>
    </comment>
    <comment ref="B220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B221" authorId="0">
      <text>
        <r>
          <rPr>
            <b/>
            <sz val="9"/>
            <color indexed="81"/>
            <rFont val="Tahoma"/>
            <family val="2"/>
          </rPr>
          <t>Seleccionar C. Costo</t>
        </r>
      </text>
    </comment>
    <comment ref="B222" authorId="0">
      <text>
        <r>
          <rPr>
            <b/>
            <sz val="9"/>
            <color indexed="81"/>
            <rFont val="Tahoma"/>
            <family val="2"/>
          </rPr>
          <t>Seleccionar Unidad de Negocio</t>
        </r>
      </text>
    </comment>
    <comment ref="B272" authorId="0">
      <text>
        <r>
          <rPr>
            <b/>
            <sz val="9"/>
            <color indexed="81"/>
            <rFont val="Tahoma"/>
            <family val="2"/>
          </rPr>
          <t xml:space="preserve"> Insertar Fila Arriba</t>
        </r>
      </text>
    </comment>
    <comment ref="B274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B275" authorId="0">
      <text>
        <r>
          <rPr>
            <b/>
            <sz val="9"/>
            <color indexed="81"/>
            <rFont val="Tahoma"/>
            <family val="2"/>
          </rPr>
          <t>Seleccionar C. Costo</t>
        </r>
      </text>
    </comment>
    <comment ref="B276" authorId="0">
      <text>
        <r>
          <rPr>
            <b/>
            <sz val="9"/>
            <color indexed="81"/>
            <rFont val="Tahoma"/>
            <family val="2"/>
          </rPr>
          <t>Seleccionar Unidad de Negocio</t>
        </r>
      </text>
    </comment>
    <comment ref="B326" authorId="0">
      <text>
        <r>
          <rPr>
            <b/>
            <sz val="9"/>
            <color indexed="81"/>
            <rFont val="Tahoma"/>
            <family val="2"/>
          </rPr>
          <t xml:space="preserve"> Insertar Fila Arriba</t>
        </r>
      </text>
    </comment>
    <comment ref="B328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B329" authorId="0">
      <text>
        <r>
          <rPr>
            <b/>
            <sz val="9"/>
            <color indexed="81"/>
            <rFont val="Tahoma"/>
            <family val="2"/>
          </rPr>
          <t>Seleccionar C. Costo</t>
        </r>
      </text>
    </comment>
    <comment ref="B330" authorId="0">
      <text>
        <r>
          <rPr>
            <b/>
            <sz val="9"/>
            <color indexed="81"/>
            <rFont val="Tahoma"/>
            <family val="2"/>
          </rPr>
          <t>Seleccionar Unidad de Negocio</t>
        </r>
      </text>
    </comment>
    <comment ref="B380" authorId="0">
      <text>
        <r>
          <rPr>
            <b/>
            <sz val="9"/>
            <color indexed="81"/>
            <rFont val="Tahoma"/>
            <family val="2"/>
          </rPr>
          <t xml:space="preserve"> Insertar Fila Arriba</t>
        </r>
      </text>
    </comment>
    <comment ref="B382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B383" authorId="0">
      <text>
        <r>
          <rPr>
            <b/>
            <sz val="9"/>
            <color indexed="81"/>
            <rFont val="Tahoma"/>
            <family val="2"/>
          </rPr>
          <t>Seleccionar C. Costo</t>
        </r>
      </text>
    </comment>
    <comment ref="B384" authorId="0">
      <text>
        <r>
          <rPr>
            <b/>
            <sz val="9"/>
            <color indexed="81"/>
            <rFont val="Tahoma"/>
            <family val="2"/>
          </rPr>
          <t>Seleccionar Unidad de Negocio</t>
        </r>
      </text>
    </comment>
    <comment ref="B434" authorId="0">
      <text>
        <r>
          <rPr>
            <b/>
            <sz val="9"/>
            <color indexed="81"/>
            <rFont val="Tahoma"/>
            <family val="2"/>
          </rPr>
          <t xml:space="preserve"> Insertar Fila Arriba</t>
        </r>
      </text>
    </comment>
    <comment ref="B436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B437" authorId="0">
      <text>
        <r>
          <rPr>
            <b/>
            <sz val="9"/>
            <color indexed="81"/>
            <rFont val="Tahoma"/>
            <family val="2"/>
          </rPr>
          <t>Seleccionar C. Costo</t>
        </r>
      </text>
    </comment>
    <comment ref="B438" authorId="0">
      <text>
        <r>
          <rPr>
            <b/>
            <sz val="9"/>
            <color indexed="81"/>
            <rFont val="Tahoma"/>
            <family val="2"/>
          </rPr>
          <t>Seleccionar Unidad de Negocio</t>
        </r>
      </text>
    </comment>
    <comment ref="B488" authorId="0">
      <text>
        <r>
          <rPr>
            <b/>
            <sz val="9"/>
            <color indexed="81"/>
            <rFont val="Tahoma"/>
            <family val="2"/>
          </rPr>
          <t xml:space="preserve"> Insertar Fila Arriba</t>
        </r>
      </text>
    </comment>
    <comment ref="B490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B491" authorId="0">
      <text>
        <r>
          <rPr>
            <b/>
            <sz val="9"/>
            <color indexed="81"/>
            <rFont val="Tahoma"/>
            <family val="2"/>
          </rPr>
          <t>Seleccionar C. Costo</t>
        </r>
      </text>
    </comment>
    <comment ref="B492" authorId="0">
      <text>
        <r>
          <rPr>
            <b/>
            <sz val="9"/>
            <color indexed="81"/>
            <rFont val="Tahoma"/>
            <family val="2"/>
          </rPr>
          <t>Seleccionar Unidad de Negocio</t>
        </r>
      </text>
    </comment>
    <comment ref="B542" authorId="0">
      <text>
        <r>
          <rPr>
            <b/>
            <sz val="9"/>
            <color indexed="81"/>
            <rFont val="Tahoma"/>
            <family val="2"/>
          </rPr>
          <t xml:space="preserve"> Insertar Fila Arriba</t>
        </r>
      </text>
    </comment>
    <comment ref="B544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B545" authorId="0">
      <text>
        <r>
          <rPr>
            <b/>
            <sz val="9"/>
            <color indexed="81"/>
            <rFont val="Tahoma"/>
            <family val="2"/>
          </rPr>
          <t>Seleccionar C. Costo</t>
        </r>
      </text>
    </comment>
    <comment ref="B546" authorId="0">
      <text>
        <r>
          <rPr>
            <b/>
            <sz val="9"/>
            <color indexed="81"/>
            <rFont val="Tahoma"/>
            <family val="2"/>
          </rPr>
          <t>Seleccionar Unidad de Negocio</t>
        </r>
      </text>
    </comment>
    <comment ref="B596" authorId="0">
      <text>
        <r>
          <rPr>
            <b/>
            <sz val="9"/>
            <color indexed="81"/>
            <rFont val="Tahoma"/>
            <family val="2"/>
          </rPr>
          <t xml:space="preserve"> Insertar Fila Arriba</t>
        </r>
      </text>
    </comment>
    <comment ref="B598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B599" authorId="0">
      <text>
        <r>
          <rPr>
            <b/>
            <sz val="9"/>
            <color indexed="81"/>
            <rFont val="Tahoma"/>
            <family val="2"/>
          </rPr>
          <t>Seleccionar C. Costo</t>
        </r>
      </text>
    </comment>
    <comment ref="B600" authorId="0">
      <text>
        <r>
          <rPr>
            <b/>
            <sz val="9"/>
            <color indexed="81"/>
            <rFont val="Tahoma"/>
            <family val="2"/>
          </rPr>
          <t>Seleccionar Unidad de Negocio</t>
        </r>
      </text>
    </comment>
    <comment ref="B650" authorId="0">
      <text>
        <r>
          <rPr>
            <b/>
            <sz val="9"/>
            <color indexed="81"/>
            <rFont val="Tahoma"/>
            <family val="2"/>
          </rPr>
          <t xml:space="preserve"> Insertar Fila Arriba</t>
        </r>
      </text>
    </comment>
    <comment ref="B652" authorId="0">
      <text>
        <r>
          <rPr>
            <b/>
            <sz val="9"/>
            <color indexed="81"/>
            <rFont val="Tahoma"/>
            <family val="2"/>
          </rPr>
          <t>Seleccionar Campaña</t>
        </r>
      </text>
    </comment>
    <comment ref="B653" authorId="0">
      <text>
        <r>
          <rPr>
            <b/>
            <sz val="9"/>
            <color indexed="81"/>
            <rFont val="Tahoma"/>
            <family val="2"/>
          </rPr>
          <t>Seleccionar C. Costo</t>
        </r>
      </text>
    </comment>
    <comment ref="B654" authorId="0">
      <text>
        <r>
          <rPr>
            <b/>
            <sz val="9"/>
            <color indexed="81"/>
            <rFont val="Tahoma"/>
            <family val="2"/>
          </rPr>
          <t>Seleccionar Unidad de Negocio</t>
        </r>
      </text>
    </comment>
  </commentList>
</comments>
</file>

<file path=xl/comments7.xml><?xml version="1.0" encoding="utf-8"?>
<comments xmlns="http://schemas.openxmlformats.org/spreadsheetml/2006/main">
  <authors>
    <author>Alberto Galdeano</author>
    <author>dalmazan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Hoja protegida sin contraseña</t>
        </r>
      </text>
    </comment>
    <comment ref="M4" authorId="1">
      <text>
        <r>
          <rPr>
            <sz val="11"/>
            <color theme="1"/>
            <rFont val="Calibri"/>
            <family val="2"/>
            <scheme val="minor"/>
          </rPr>
          <t>Importante colocar la moneda de cada movimiento para el correcto cálculo.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" authorId="0">
      <text>
        <r>
          <rPr>
            <b/>
            <sz val="9"/>
            <color indexed="81"/>
            <rFont val="Tahoma"/>
            <family val="2"/>
          </rPr>
          <t xml:space="preserve"> Insertar Fila de Stock Inicial Arriba de la Flecha.</t>
        </r>
      </text>
    </comment>
    <comment ref="B24" authorId="0">
      <text>
        <r>
          <rPr>
            <b/>
            <sz val="9"/>
            <color indexed="81"/>
            <rFont val="Tahoma"/>
            <family val="2"/>
          </rPr>
          <t>Insertar Fila de Producción Arriba de la Flecha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>Insertar Fila de Cesión Arriba de la Flecha</t>
        </r>
      </text>
    </comment>
    <comment ref="B93" authorId="0">
      <text>
        <r>
          <rPr>
            <b/>
            <sz val="9"/>
            <color indexed="81"/>
            <rFont val="Tahoma"/>
            <family val="2"/>
          </rPr>
          <t>Insertar Fila de Comercialización Arriba de la Flecha.</t>
        </r>
      </text>
    </comment>
    <comment ref="B103" authorId="0">
      <text>
        <r>
          <rPr>
            <b/>
            <sz val="9"/>
            <color indexed="81"/>
            <rFont val="Tahoma"/>
            <family val="2"/>
          </rPr>
          <t>Insertar Fila de Stock Final Arriba de la Flecha.</t>
        </r>
      </text>
    </comment>
  </commentList>
</comments>
</file>

<file path=xl/comments8.xml><?xml version="1.0" encoding="utf-8"?>
<comments xmlns="http://schemas.openxmlformats.org/spreadsheetml/2006/main">
  <authors>
    <author>Alberto Galdeano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Hoja protegida sin contraseña</t>
        </r>
      </text>
    </comment>
    <comment ref="B29" authorId="0">
      <text>
        <r>
          <rPr>
            <b/>
            <sz val="9"/>
            <color indexed="81"/>
            <rFont val="Tahoma"/>
            <family val="2"/>
          </rPr>
          <t xml:space="preserve"> Insertar Fila de Stock Inicial Arriba de la Flecha.</t>
        </r>
      </text>
    </comment>
    <comment ref="B49" authorId="0">
      <text>
        <r>
          <rPr>
            <b/>
            <sz val="9"/>
            <color indexed="81"/>
            <rFont val="Tahoma"/>
            <family val="2"/>
          </rPr>
          <t>Insertar Fila de Compra de Hacienda</t>
        </r>
      </text>
    </comment>
    <comment ref="B57" authorId="0">
      <text>
        <r>
          <rPr>
            <b/>
            <sz val="9"/>
            <color indexed="81"/>
            <rFont val="Tahoma"/>
            <family val="2"/>
          </rPr>
          <t xml:space="preserve">Insertar Fila de Traslado Entrada
</t>
        </r>
      </text>
    </comment>
    <comment ref="B65" authorId="0">
      <text>
        <r>
          <rPr>
            <b/>
            <sz val="9"/>
            <color indexed="81"/>
            <rFont val="Tahoma"/>
            <family val="2"/>
          </rPr>
          <t>Insertar Fila de Traslado Salida</t>
        </r>
      </text>
    </comment>
    <comment ref="B73" authorId="0">
      <text>
        <r>
          <rPr>
            <b/>
            <sz val="9"/>
            <color indexed="81"/>
            <rFont val="Tahoma"/>
            <family val="2"/>
          </rPr>
          <t xml:space="preserve">Insertar Fila de Nacimiento
</t>
        </r>
      </text>
    </comment>
    <comment ref="B101" authorId="0">
      <text>
        <r>
          <rPr>
            <b/>
            <sz val="9"/>
            <color indexed="81"/>
            <rFont val="Tahoma"/>
            <family val="2"/>
          </rPr>
          <t>Insertar Fila de Venta</t>
        </r>
      </text>
    </comment>
    <comment ref="B109" authorId="0">
      <text>
        <r>
          <rPr>
            <b/>
            <sz val="9"/>
            <color indexed="81"/>
            <rFont val="Tahoma"/>
            <family val="2"/>
          </rPr>
          <t>Insertar Fila de Muertes</t>
        </r>
      </text>
    </comment>
    <comment ref="B142" authorId="0">
      <text>
        <r>
          <rPr>
            <b/>
            <sz val="9"/>
            <color indexed="81"/>
            <rFont val="Tahoma"/>
            <family val="2"/>
          </rPr>
          <t>Insertar Fila de Cambio de Categoria</t>
        </r>
      </text>
    </comment>
    <comment ref="B167" authorId="0">
      <text>
        <r>
          <rPr>
            <b/>
            <sz val="9"/>
            <color indexed="81"/>
            <rFont val="Tahoma"/>
            <family val="2"/>
          </rPr>
          <t>Insertar Fila de Stock Cierre</t>
        </r>
      </text>
    </comment>
    <comment ref="B240" authorId="0">
      <text>
        <r>
          <rPr>
            <b/>
            <sz val="9"/>
            <color indexed="81"/>
            <rFont val="Tahoma"/>
            <family val="2"/>
          </rPr>
          <t>Insertar Fila de Gasto en Persaonal</t>
        </r>
      </text>
    </comment>
    <comment ref="B250" authorId="0">
      <text>
        <r>
          <rPr>
            <b/>
            <sz val="9"/>
            <color indexed="81"/>
            <rFont val="Tahoma"/>
            <family val="2"/>
          </rPr>
          <t xml:space="preserve">Insertar Fila de Sanidad
</t>
        </r>
      </text>
    </comment>
    <comment ref="B258" authorId="0">
      <text>
        <r>
          <rPr>
            <b/>
            <sz val="9"/>
            <color indexed="81"/>
            <rFont val="Tahoma"/>
            <family val="2"/>
          </rPr>
          <t xml:space="preserve">Insertar Fila de Alimentación
</t>
        </r>
      </text>
    </comment>
    <comment ref="B269" authorId="0">
      <text>
        <r>
          <rPr>
            <b/>
            <sz val="9"/>
            <color indexed="81"/>
            <rFont val="Tahoma"/>
            <family val="2"/>
          </rPr>
          <t xml:space="preserve">Insertar Fila de Suplementación
</t>
        </r>
      </text>
    </comment>
    <comment ref="B282" authorId="0">
      <text>
        <r>
          <rPr>
            <b/>
            <sz val="9"/>
            <color indexed="81"/>
            <rFont val="Tahoma"/>
            <family val="2"/>
          </rPr>
          <t>Insertar Fila de Gerenciamiento</t>
        </r>
      </text>
    </comment>
    <comment ref="B296" authorId="0">
      <text>
        <r>
          <rPr>
            <b/>
            <sz val="9"/>
            <color indexed="81"/>
            <rFont val="Tahoma"/>
            <family val="2"/>
          </rPr>
          <t>Insertar Fila de Arrendamiento</t>
        </r>
      </text>
    </comment>
    <comment ref="B310" authorId="0">
      <text>
        <r>
          <rPr>
            <b/>
            <sz val="9"/>
            <color indexed="81"/>
            <rFont val="Tahoma"/>
            <family val="2"/>
          </rPr>
          <t>Insertar Fila de Amortizaciones</t>
        </r>
      </text>
    </comment>
  </commentList>
</comments>
</file>

<file path=xl/comments9.xml><?xml version="1.0" encoding="utf-8"?>
<comments xmlns="http://schemas.openxmlformats.org/spreadsheetml/2006/main">
  <authors>
    <author>Alberto Galdeano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Hoja protegida sin contraseña</t>
        </r>
      </text>
    </comment>
    <comment ref="B17" authorId="0">
      <text>
        <r>
          <rPr>
            <b/>
            <sz val="9"/>
            <color indexed="81"/>
            <rFont val="Tahoma"/>
            <family val="2"/>
          </rPr>
          <t xml:space="preserve"> Insertar Fila de Stock Inicial Arriba de la Flecha.</t>
        </r>
      </text>
    </comment>
    <comment ref="B32" authorId="0">
      <text>
        <r>
          <rPr>
            <b/>
            <sz val="9"/>
            <color indexed="81"/>
            <rFont val="Tahoma"/>
            <family val="2"/>
          </rPr>
          <t>Insertar Fila de Compra de Hacienda</t>
        </r>
      </text>
    </comment>
    <comment ref="B39" authorId="0">
      <text>
        <r>
          <rPr>
            <b/>
            <sz val="9"/>
            <color indexed="81"/>
            <rFont val="Tahoma"/>
            <family val="2"/>
          </rPr>
          <t xml:space="preserve">Insertar Fila de Traslado Entrada
</t>
        </r>
      </text>
    </comment>
    <comment ref="B46" authorId="0">
      <text>
        <r>
          <rPr>
            <b/>
            <sz val="9"/>
            <color indexed="81"/>
            <rFont val="Tahoma"/>
            <family val="2"/>
          </rPr>
          <t>Insertar Fila de Traslado Salida</t>
        </r>
      </text>
    </comment>
    <comment ref="B71" authorId="0">
      <text>
        <r>
          <rPr>
            <b/>
            <sz val="9"/>
            <color indexed="81"/>
            <rFont val="Tahoma"/>
            <family val="2"/>
          </rPr>
          <t xml:space="preserve">Insertar Fila de Nacimiento
</t>
        </r>
      </text>
    </comment>
    <comment ref="B122" authorId="0">
      <text>
        <r>
          <rPr>
            <b/>
            <sz val="9"/>
            <color indexed="81"/>
            <rFont val="Tahoma"/>
            <family val="2"/>
          </rPr>
          <t>Insertar Fila de Venta</t>
        </r>
      </text>
    </comment>
    <comment ref="B131" authorId="0">
      <text>
        <r>
          <rPr>
            <b/>
            <sz val="9"/>
            <color indexed="81"/>
            <rFont val="Tahoma"/>
            <family val="2"/>
          </rPr>
          <t>Insertar Fila de Venta</t>
        </r>
      </text>
    </comment>
    <comment ref="B147" authorId="0">
      <text>
        <r>
          <rPr>
            <b/>
            <sz val="9"/>
            <color indexed="81"/>
            <rFont val="Tahoma"/>
            <family val="2"/>
          </rPr>
          <t>Insertar Fila de Venta</t>
        </r>
      </text>
    </comment>
    <comment ref="B162" authorId="0">
      <text>
        <r>
          <rPr>
            <b/>
            <sz val="9"/>
            <color indexed="81"/>
            <rFont val="Tahoma"/>
            <family val="2"/>
          </rPr>
          <t>Insertar Fila de Venta</t>
        </r>
      </text>
    </comment>
    <comment ref="B178" authorId="0">
      <text>
        <r>
          <rPr>
            <b/>
            <sz val="9"/>
            <color indexed="81"/>
            <rFont val="Tahoma"/>
            <family val="2"/>
          </rPr>
          <t>Insertar Fila de Venta</t>
        </r>
      </text>
    </comment>
    <comment ref="B218" authorId="0">
      <text>
        <r>
          <rPr>
            <b/>
            <sz val="9"/>
            <color indexed="81"/>
            <rFont val="Tahoma"/>
            <family val="2"/>
          </rPr>
          <t>Insertar Fila de Venta</t>
        </r>
      </text>
    </comment>
    <comment ref="B247" authorId="0">
      <text>
        <r>
          <rPr>
            <b/>
            <sz val="9"/>
            <color indexed="81"/>
            <rFont val="Tahoma"/>
            <family val="2"/>
          </rPr>
          <t>Insertar Fila de Venta</t>
        </r>
      </text>
    </comment>
    <comment ref="B269" authorId="0">
      <text>
        <r>
          <rPr>
            <b/>
            <sz val="9"/>
            <color indexed="81"/>
            <rFont val="Tahoma"/>
            <family val="2"/>
          </rPr>
          <t>Insertar Fila de Venta</t>
        </r>
      </text>
    </comment>
    <comment ref="B298" authorId="0">
      <text>
        <r>
          <rPr>
            <b/>
            <sz val="9"/>
            <color indexed="81"/>
            <rFont val="Tahoma"/>
            <family val="2"/>
          </rPr>
          <t>Insertar Fila de Venta</t>
        </r>
      </text>
    </comment>
    <comment ref="B313" authorId="0">
      <text>
        <r>
          <rPr>
            <b/>
            <sz val="9"/>
            <color indexed="81"/>
            <rFont val="Tahoma"/>
            <family val="2"/>
          </rPr>
          <t>Insertar Fila de Venta</t>
        </r>
      </text>
    </comment>
    <comment ref="B331" authorId="0">
      <text>
        <r>
          <rPr>
            <b/>
            <sz val="9"/>
            <color indexed="81"/>
            <rFont val="Tahoma"/>
            <family val="2"/>
          </rPr>
          <t>Insertar Fila de Venta</t>
        </r>
      </text>
    </comment>
    <comment ref="B338" authorId="0">
      <text>
        <r>
          <rPr>
            <b/>
            <sz val="9"/>
            <color indexed="81"/>
            <rFont val="Tahoma"/>
            <family val="2"/>
          </rPr>
          <t>Insertar Fila de Venta</t>
        </r>
      </text>
    </comment>
  </commentList>
</comments>
</file>

<file path=xl/sharedStrings.xml><?xml version="1.0" encoding="utf-8"?>
<sst xmlns="http://schemas.openxmlformats.org/spreadsheetml/2006/main" count="4875" uniqueCount="524">
  <si>
    <t>Centro de Costo</t>
  </si>
  <si>
    <t>Moneda</t>
  </si>
  <si>
    <t>Campo 1</t>
  </si>
  <si>
    <t>U$S</t>
  </si>
  <si>
    <t>Campaña</t>
  </si>
  <si>
    <t>Administración</t>
  </si>
  <si>
    <t>Estructura</t>
  </si>
  <si>
    <t>Ingreso por Venta de Cereal</t>
  </si>
  <si>
    <t>Campo 2</t>
  </si>
  <si>
    <t>Campo 3</t>
  </si>
  <si>
    <t>2017-2018</t>
  </si>
  <si>
    <t>2018-2019</t>
  </si>
  <si>
    <t>Mes</t>
  </si>
  <si>
    <t>Año</t>
  </si>
  <si>
    <t>$/U$S</t>
  </si>
  <si>
    <t>Fecha Financiero</t>
  </si>
  <si>
    <r>
      <t xml:space="preserve">Articulo </t>
    </r>
    <r>
      <rPr>
        <sz val="11"/>
        <color rgb="FFFF0000"/>
        <rFont val="Calibri"/>
        <family val="2"/>
        <scheme val="minor"/>
      </rPr>
      <t>(Opcional)</t>
    </r>
  </si>
  <si>
    <t>Herbicidas</t>
  </si>
  <si>
    <t>Semillas</t>
  </si>
  <si>
    <t>Fertilizantes</t>
  </si>
  <si>
    <t>Inoculantes</t>
  </si>
  <si>
    <t>Curasemillas</t>
  </si>
  <si>
    <t>Insecticidas</t>
  </si>
  <si>
    <t>Fungicidas</t>
  </si>
  <si>
    <t>Coadyuvantes</t>
  </si>
  <si>
    <t>Labores</t>
  </si>
  <si>
    <t>Cantidad</t>
  </si>
  <si>
    <t>Unidad</t>
  </si>
  <si>
    <t>MAP</t>
  </si>
  <si>
    <t>UREA</t>
  </si>
  <si>
    <t>Siembra</t>
  </si>
  <si>
    <t>Etiquetas de fila</t>
  </si>
  <si>
    <t>Total general</t>
  </si>
  <si>
    <t>Mes Financiero</t>
  </si>
  <si>
    <t>Año Financiero</t>
  </si>
  <si>
    <t>Maíz</t>
  </si>
  <si>
    <t>Inmobiliario</t>
  </si>
  <si>
    <t>Ingreso</t>
  </si>
  <si>
    <t>Egreso</t>
  </si>
  <si>
    <t>Movimiento</t>
  </si>
  <si>
    <t>IIBB</t>
  </si>
  <si>
    <t>Retención IIGG</t>
  </si>
  <si>
    <t>Retención IVA</t>
  </si>
  <si>
    <t>Cosecha</t>
  </si>
  <si>
    <t>IVA Financiero</t>
  </si>
  <si>
    <t>IVA 
RG 2300</t>
  </si>
  <si>
    <t>Stock Granos Inicio</t>
  </si>
  <si>
    <t>Stock Granos Cierre</t>
  </si>
  <si>
    <t>$</t>
  </si>
  <si>
    <t>2,4 D</t>
  </si>
  <si>
    <t>Glifosato</t>
  </si>
  <si>
    <t>Acetoclor</t>
  </si>
  <si>
    <t>Total</t>
  </si>
  <si>
    <t>Gerenciamiento</t>
  </si>
  <si>
    <t>Comercial - Maíz</t>
  </si>
  <si>
    <t>Comercial - Soja</t>
  </si>
  <si>
    <t>Arrendamiento</t>
  </si>
  <si>
    <t>Costo Oportunidad Tierra</t>
  </si>
  <si>
    <t>Egreso Cesión</t>
  </si>
  <si>
    <t>Ingreso Cesión</t>
  </si>
  <si>
    <t>Stock Inicio</t>
  </si>
  <si>
    <t>Stock Cierre</t>
  </si>
  <si>
    <t>Financiero</t>
  </si>
  <si>
    <t>Si</t>
  </si>
  <si>
    <t>Signo</t>
  </si>
  <si>
    <t>No</t>
  </si>
  <si>
    <t>(+)</t>
  </si>
  <si>
    <t>(-)</t>
  </si>
  <si>
    <t>Comercial - Girasol</t>
  </si>
  <si>
    <t>Comercial - Trigo</t>
  </si>
  <si>
    <t>Comercial - Cebada</t>
  </si>
  <si>
    <t>Comercial - Sorgo</t>
  </si>
  <si>
    <t>Fletes Corto</t>
  </si>
  <si>
    <t>Flete Largo</t>
  </si>
  <si>
    <t>Acondicionamiento</t>
  </si>
  <si>
    <t>Paritarias</t>
  </si>
  <si>
    <t>Secada</t>
  </si>
  <si>
    <t>Producción Agrícola</t>
  </si>
  <si>
    <t>Cuenta Contable</t>
  </si>
  <si>
    <t>Unidades de Negocio</t>
  </si>
  <si>
    <t>Producto</t>
  </si>
  <si>
    <t>Soja</t>
  </si>
  <si>
    <t>Girasol</t>
  </si>
  <si>
    <t>Trigo</t>
  </si>
  <si>
    <t>Cebada</t>
  </si>
  <si>
    <t>Sorgo</t>
  </si>
  <si>
    <t>Unidad de Negocio</t>
  </si>
  <si>
    <t>Precio Unitario</t>
  </si>
  <si>
    <t>Tn</t>
  </si>
  <si>
    <t>Cantidad Total</t>
  </si>
  <si>
    <t>T. Cambio Financiero</t>
  </si>
  <si>
    <t>Fin.</t>
  </si>
  <si>
    <t>Intereses $Corrientes</t>
  </si>
  <si>
    <t>Intereses $Constantes</t>
  </si>
  <si>
    <t>Suma de Economico U$S Dolares</t>
  </si>
  <si>
    <t>Toneladas</t>
  </si>
  <si>
    <t>Comisión</t>
  </si>
  <si>
    <t>Stock</t>
  </si>
  <si>
    <t>Mov. Stock</t>
  </si>
  <si>
    <t>Suma de Mov. Stock</t>
  </si>
  <si>
    <t>Ingreso por Cesión Cereal</t>
  </si>
  <si>
    <t>↑</t>
  </si>
  <si>
    <t>Com. Agrícola</t>
  </si>
  <si>
    <t>Prod. Agrícola</t>
  </si>
  <si>
    <t>Cuenta</t>
  </si>
  <si>
    <t>Indirectos</t>
  </si>
  <si>
    <t>IVA</t>
  </si>
  <si>
    <t>Personal</t>
  </si>
  <si>
    <t>Cargas Sociales</t>
  </si>
  <si>
    <t>Honorarios</t>
  </si>
  <si>
    <t>Repuestos y Reparaciones</t>
  </si>
  <si>
    <t>Gastos de Oficina</t>
  </si>
  <si>
    <t>Conservación de Mejoras</t>
  </si>
  <si>
    <t>Amortización</t>
  </si>
  <si>
    <t>Impuestos</t>
  </si>
  <si>
    <t>Impuestos Nacionales</t>
  </si>
  <si>
    <t>Impuestos Provinciales</t>
  </si>
  <si>
    <t>Tasas y Servicios Municipales</t>
  </si>
  <si>
    <t>Control</t>
  </si>
  <si>
    <t>Producción Ganadera</t>
  </si>
  <si>
    <t>Manutención Personal</t>
  </si>
  <si>
    <t>Sanidad Productos</t>
  </si>
  <si>
    <t>Sanidad Honorarios</t>
  </si>
  <si>
    <t>Alimentación</t>
  </si>
  <si>
    <t>Suplementación</t>
  </si>
  <si>
    <t>Mov. Hacienda</t>
  </si>
  <si>
    <t>G. Comerciales Compra</t>
  </si>
  <si>
    <t>G. Comerciales Venta</t>
  </si>
  <si>
    <t>Vaca Preñada</t>
  </si>
  <si>
    <t>Vaquillona Preñada</t>
  </si>
  <si>
    <t>Ternera</t>
  </si>
  <si>
    <t>Ternero</t>
  </si>
  <si>
    <t>Vaca CUT</t>
  </si>
  <si>
    <t>Novillo 06-15</t>
  </si>
  <si>
    <t>Vaquillona 06-15</t>
  </si>
  <si>
    <t>Vaquillona 15-27</t>
  </si>
  <si>
    <t>Novillo 15-27</t>
  </si>
  <si>
    <t>Toro</t>
  </si>
  <si>
    <t>Toro Descarte</t>
  </si>
  <si>
    <t>Cabezas</t>
  </si>
  <si>
    <t>Cab</t>
  </si>
  <si>
    <t>Salida Traslados</t>
  </si>
  <si>
    <t>Salida C. Categoria</t>
  </si>
  <si>
    <t>Entrada Nacimientos</t>
  </si>
  <si>
    <t>Salida Ventas</t>
  </si>
  <si>
    <t>Entrada Traslados</t>
  </si>
  <si>
    <t>Entrada C. Categoria</t>
  </si>
  <si>
    <t>Salida Muertes</t>
  </si>
  <si>
    <t>Variación Stock</t>
  </si>
  <si>
    <t>Movimientos Stock Granos</t>
  </si>
  <si>
    <t>Movimientos Stock Hacienda</t>
  </si>
  <si>
    <t>Actividad</t>
  </si>
  <si>
    <t>Superficie</t>
  </si>
  <si>
    <t>Producción Agrícola - Actividades</t>
  </si>
  <si>
    <t>Producción Agrícola - Cuentas Contables</t>
  </si>
  <si>
    <t>Comercialización Granos - Cuentas Contables</t>
  </si>
  <si>
    <t>Comercialización Granos - Actividades</t>
  </si>
  <si>
    <t>Producción Ganadera - Plan</t>
  </si>
  <si>
    <r>
      <rPr>
        <u/>
        <sz val="11"/>
        <color theme="1"/>
        <rFont val="Calibri"/>
        <family val="2"/>
        <scheme val="minor"/>
      </rPr>
      <t xml:space="preserve"> $Corrientes</t>
    </r>
    <r>
      <rPr>
        <sz val="11"/>
        <color theme="1"/>
        <rFont val="Calibri"/>
        <family val="2"/>
        <scheme val="minor"/>
      </rPr>
      <t xml:space="preserve"> Superficie</t>
    </r>
  </si>
  <si>
    <r>
      <rPr>
        <u/>
        <sz val="11"/>
        <color theme="1"/>
        <rFont val="Calibri"/>
        <family val="2"/>
        <scheme val="minor"/>
      </rPr>
      <t xml:space="preserve"> $Constante</t>
    </r>
    <r>
      <rPr>
        <sz val="11"/>
        <color theme="1"/>
        <rFont val="Calibri"/>
        <family val="2"/>
        <scheme val="minor"/>
      </rPr>
      <t xml:space="preserve"> Superficie</t>
    </r>
  </si>
  <si>
    <t>Producción Lechera</t>
  </si>
  <si>
    <t>Ingreso Venta Leche</t>
  </si>
  <si>
    <t>Gastos Bancarios</t>
  </si>
  <si>
    <t>Producción Lechera - Plan</t>
  </si>
  <si>
    <t>Lechería</t>
  </si>
  <si>
    <t>Ganadería</t>
  </si>
  <si>
    <t>Suma de  U$S Dolares Superficie</t>
  </si>
  <si>
    <t>Suma de  $Corrientes Superficie</t>
  </si>
  <si>
    <t>Suma de Economico $Corrientes</t>
  </si>
  <si>
    <t>Venta Hacienda</t>
  </si>
  <si>
    <t>Compra Hacienda</t>
  </si>
  <si>
    <t>Venta de Granos</t>
  </si>
  <si>
    <t>Cesión de Granos</t>
  </si>
  <si>
    <t>Compra de Granos</t>
  </si>
  <si>
    <t>Presupuesto Financiero U$S</t>
  </si>
  <si>
    <t>Venta de Leche</t>
  </si>
  <si>
    <t>Otros Ingresos</t>
  </si>
  <si>
    <t>Total INGRESOS</t>
  </si>
  <si>
    <t>SIN IVA</t>
  </si>
  <si>
    <t>IVA Ventas</t>
  </si>
  <si>
    <t>IVA Ventas RG 2800</t>
  </si>
  <si>
    <t>CON IVA</t>
  </si>
  <si>
    <t>Con Retenciones Fiscales</t>
  </si>
  <si>
    <t>I.T.F.</t>
  </si>
  <si>
    <t>Egresos Comercialización Granos</t>
  </si>
  <si>
    <t>Egresos Producción Lechería</t>
  </si>
  <si>
    <t>Egresos Producción Ganadería</t>
  </si>
  <si>
    <t>Egresos Gastos Indirectos</t>
  </si>
  <si>
    <t>Total EGRESOS</t>
  </si>
  <si>
    <t>Otros Egresos</t>
  </si>
  <si>
    <t>IVA Compras</t>
  </si>
  <si>
    <t>Egresos IVA 0%</t>
  </si>
  <si>
    <t>Egresos IVA 10,5%</t>
  </si>
  <si>
    <t>Egresos IVA 21%</t>
  </si>
  <si>
    <t>Egresos IVA 27%</t>
  </si>
  <si>
    <t>Ingresos IVA 0%</t>
  </si>
  <si>
    <t>Ingresos IVA 10,5%</t>
  </si>
  <si>
    <t>Ingresos IVA 21%</t>
  </si>
  <si>
    <t>Ingresos IVA 27%</t>
  </si>
  <si>
    <t>Otras Actividades</t>
  </si>
  <si>
    <t>Maquinaria</t>
  </si>
  <si>
    <t>Labores Propias</t>
  </si>
  <si>
    <t>Ingreso Servicios</t>
  </si>
  <si>
    <t>Fletes Propios</t>
  </si>
  <si>
    <t>Cosecha Propia</t>
  </si>
  <si>
    <t>Atrazina</t>
  </si>
  <si>
    <t>Partidas Financieras</t>
  </si>
  <si>
    <t>Columna1</t>
  </si>
  <si>
    <t>Cesiones</t>
  </si>
  <si>
    <t>Stock Disponible</t>
  </si>
  <si>
    <t>Columna2</t>
  </si>
  <si>
    <t>Columna3</t>
  </si>
  <si>
    <t>V. Ordeñe</t>
  </si>
  <si>
    <t>Com. Agrícola Otros Ingresos</t>
  </si>
  <si>
    <t xml:space="preserve">Ganadería Otros Ingresos </t>
  </si>
  <si>
    <t xml:space="preserve">Lechería Otros Ingresos </t>
  </si>
  <si>
    <t>Crédito Fiscal</t>
  </si>
  <si>
    <t>Egresos Producción Agrícola</t>
  </si>
  <si>
    <t>Otras Actividades Otros Ingresos</t>
  </si>
  <si>
    <t>Pulverización</t>
  </si>
  <si>
    <t>Inflación</t>
  </si>
  <si>
    <t>Vaca Vacía</t>
  </si>
  <si>
    <t>Movilidad - Viáticos</t>
  </si>
  <si>
    <t>Salida C. Categoría</t>
  </si>
  <si>
    <t>Entrada C. Categoría</t>
  </si>
  <si>
    <t>Categoría</t>
  </si>
  <si>
    <t>Fletes</t>
  </si>
  <si>
    <t>Cuentas Contables</t>
  </si>
  <si>
    <t>Intereses Pagados</t>
  </si>
  <si>
    <t>Intereses Cobrados</t>
  </si>
  <si>
    <t>Inversiones</t>
  </si>
  <si>
    <t>Financieras</t>
  </si>
  <si>
    <t>Egresos Gastos Otras Actividades</t>
  </si>
  <si>
    <t>Comercialización de Granos - Otros Egresos</t>
  </si>
  <si>
    <t>Producción Ganadera - Otros Egresos</t>
  </si>
  <si>
    <t>Financiero $Constantes</t>
  </si>
  <si>
    <t>Financiero $Corrientes</t>
  </si>
  <si>
    <t>Producto Cesión</t>
  </si>
  <si>
    <t>Producción Lechera - Otros Egresos</t>
  </si>
  <si>
    <t>Otras Actividades - Otros Egresos</t>
  </si>
  <si>
    <t>Indirectos - Otros Egresos</t>
  </si>
  <si>
    <t>Maíz Temprano</t>
  </si>
  <si>
    <t>Maíz Tardío</t>
  </si>
  <si>
    <t>Maíz de Segunda</t>
  </si>
  <si>
    <t>Maíz de Tercera</t>
  </si>
  <si>
    <t>Soja de Primera</t>
  </si>
  <si>
    <t>Soja de Segunda</t>
  </si>
  <si>
    <t>Girasol AO</t>
  </si>
  <si>
    <t xml:space="preserve"> Trigo</t>
  </si>
  <si>
    <t>Resultado</t>
  </si>
  <si>
    <t>Agricultura</t>
  </si>
  <si>
    <t xml:space="preserve">Comercial </t>
  </si>
  <si>
    <t>Columna4</t>
  </si>
  <si>
    <t>Columna5</t>
  </si>
  <si>
    <t>Columna6</t>
  </si>
  <si>
    <t>Tipo Cuenta</t>
  </si>
  <si>
    <t>Gasto Fijo</t>
  </si>
  <si>
    <t>Gasto Variable</t>
  </si>
  <si>
    <t>Rentabilidad</t>
  </si>
  <si>
    <t>Cabezas Inicio</t>
  </si>
  <si>
    <t>Cabezas Cierre</t>
  </si>
  <si>
    <t>Diferencia Cabezas</t>
  </si>
  <si>
    <t>Kilos Inicio</t>
  </si>
  <si>
    <t>Kilos Cierre</t>
  </si>
  <si>
    <t>Diferencia Kilos</t>
  </si>
  <si>
    <t>Dif. Inventario</t>
  </si>
  <si>
    <t>Tenencia</t>
  </si>
  <si>
    <t>Kg Inventario</t>
  </si>
  <si>
    <t>U$S/Kg Cierre</t>
  </si>
  <si>
    <t>U$S/Kg Inicio</t>
  </si>
  <si>
    <t>Kg/Cab</t>
  </si>
  <si>
    <t>U$S/Kg</t>
  </si>
  <si>
    <r>
      <t>Stock Inicio</t>
    </r>
    <r>
      <rPr>
        <sz val="10"/>
        <color theme="1"/>
        <rFont val="Calibri"/>
        <family val="2"/>
        <scheme val="minor"/>
      </rPr>
      <t xml:space="preserve"> (Cierre)</t>
    </r>
  </si>
  <si>
    <t>U$S/ha</t>
  </si>
  <si>
    <t>Prod. Carne</t>
  </si>
  <si>
    <t>Litros</t>
  </si>
  <si>
    <t>U$S/Litro</t>
  </si>
  <si>
    <t>U$S/V. O.</t>
  </si>
  <si>
    <t>U$S Total</t>
  </si>
  <si>
    <t>Centro Costo</t>
  </si>
  <si>
    <t>Columna7</t>
  </si>
  <si>
    <t>C. Costo Reporte</t>
  </si>
  <si>
    <t>Finanzas</t>
  </si>
  <si>
    <t>Dividendos</t>
  </si>
  <si>
    <t>Anticipo IIGG</t>
  </si>
  <si>
    <t>Pago IIGG</t>
  </si>
  <si>
    <t>Impuesto Determinado IIGG</t>
  </si>
  <si>
    <t>Aporte Accionistas</t>
  </si>
  <si>
    <t>Bancos - Saldo Inicial</t>
  </si>
  <si>
    <t>Compra Bienes de Uso</t>
  </si>
  <si>
    <t>Venta Bienes de Uso</t>
  </si>
  <si>
    <t>Meses Retención</t>
  </si>
  <si>
    <t>Econ.</t>
  </si>
  <si>
    <t>Comercial</t>
  </si>
  <si>
    <t>Saldo a Pagar</t>
  </si>
  <si>
    <t>SALDO FINANCIERO PRELIMINAR</t>
  </si>
  <si>
    <t>SALDO FINANCIERO ACUMULADO PRELIMINAR</t>
  </si>
  <si>
    <t>SALDO FINANCIERO CON FINANCIAMIENTO</t>
  </si>
  <si>
    <t>SALDO ACUMULADO CON FINANCIAMIENTO</t>
  </si>
  <si>
    <t>Agricultura - Intereses Pagados</t>
  </si>
  <si>
    <t>Comercial - Intereses Pagados</t>
  </si>
  <si>
    <t>Otras Actividades - Intereses Pagados</t>
  </si>
  <si>
    <t>Indirectos - Intereses Pagados</t>
  </si>
  <si>
    <t>Finanzas - Otros Movimientos</t>
  </si>
  <si>
    <t>Facturación</t>
  </si>
  <si>
    <t>Gastos Variables</t>
  </si>
  <si>
    <t>Gastos Fijos</t>
  </si>
  <si>
    <t>Margen de Ventas</t>
  </si>
  <si>
    <t>Actividad Comercial</t>
  </si>
  <si>
    <t>Margen Bruto Global</t>
  </si>
  <si>
    <t>Intereses</t>
  </si>
  <si>
    <t>Utilidad</t>
  </si>
  <si>
    <t>Resultado de la Empresa</t>
  </si>
  <si>
    <t>Resultado por Producción</t>
  </si>
  <si>
    <t>Crecimiento</t>
  </si>
  <si>
    <t>→</t>
  </si>
  <si>
    <t>Diferencia Inventario</t>
  </si>
  <si>
    <t>Producción de Carne</t>
  </si>
  <si>
    <t>Resultado U$S</t>
  </si>
  <si>
    <t>Resultado U$S/ha</t>
  </si>
  <si>
    <t>Resultado U$S/Kg</t>
  </si>
  <si>
    <t>Ingresos</t>
  </si>
  <si>
    <t>Margen Bruto</t>
  </si>
  <si>
    <t>Has</t>
  </si>
  <si>
    <t>Rotación</t>
  </si>
  <si>
    <t>Resultados</t>
  </si>
  <si>
    <t>Producción de Leche</t>
  </si>
  <si>
    <t>Resultado U$S/Litro</t>
  </si>
  <si>
    <t>Resultado U$S/V.0.</t>
  </si>
  <si>
    <t>Apoyan este proyecto:</t>
  </si>
  <si>
    <t>Presupuestación en Empresas Agropecuarias</t>
  </si>
  <si>
    <t>Gastos Indirectos</t>
  </si>
  <si>
    <t>Resultados Financieros
 $ Constantes</t>
  </si>
  <si>
    <t>Resultados Financieros
 $ Corrientes</t>
  </si>
  <si>
    <t>Portfolio</t>
  </si>
  <si>
    <t>Tenencia Ganadería</t>
  </si>
  <si>
    <t>Tenencia Lechería</t>
  </si>
  <si>
    <t>Categorías Hacienda</t>
  </si>
  <si>
    <t>Económico</t>
  </si>
  <si>
    <t>Ingreso Créditos</t>
  </si>
  <si>
    <t>Ingreso Colocaciones Financieras</t>
  </si>
  <si>
    <t>Egreso Colocaciones Financieras</t>
  </si>
  <si>
    <t>Ganadería - Intereses Pagados</t>
  </si>
  <si>
    <t>Lechería - Intereses Pagados</t>
  </si>
  <si>
    <t>Producción Agrícola - Otros Egresos</t>
  </si>
  <si>
    <t>Intereses U$S Dólares</t>
  </si>
  <si>
    <t>Mes Económico</t>
  </si>
  <si>
    <t>Año Económico</t>
  </si>
  <si>
    <t>T. Cambio Económico</t>
  </si>
  <si>
    <t>Indexación Económico</t>
  </si>
  <si>
    <t>Indexación Financiero</t>
  </si>
  <si>
    <r>
      <rPr>
        <u/>
        <sz val="11"/>
        <color theme="1"/>
        <rFont val="Calibri"/>
        <family val="2"/>
        <scheme val="minor"/>
      </rPr>
      <t xml:space="preserve"> U$S Dólares</t>
    </r>
    <r>
      <rPr>
        <sz val="11"/>
        <color theme="1"/>
        <rFont val="Calibri"/>
        <family val="2"/>
        <scheme val="minor"/>
      </rPr>
      <t xml:space="preserve"> Superficie</t>
    </r>
  </si>
  <si>
    <t>Fecha Económico</t>
  </si>
  <si>
    <t>Tasa Anual de Interés</t>
  </si>
  <si>
    <t>Económico $Corrientes</t>
  </si>
  <si>
    <t>Económico $Constantes</t>
  </si>
  <si>
    <t>Económico U$S Dólares</t>
  </si>
  <si>
    <t>Financiero U$S Dólares</t>
  </si>
  <si>
    <t>Categoría Hacienda</t>
  </si>
  <si>
    <t>Cesión Granos</t>
  </si>
  <si>
    <t>Configuración Inicial</t>
  </si>
  <si>
    <t>Plan de Siembra - Rotación</t>
  </si>
  <si>
    <t>Producción Agrícola - Plan de Siembra - Rotación</t>
  </si>
  <si>
    <t>Coad. Siliconado</t>
  </si>
  <si>
    <t>Maíz RR G1</t>
  </si>
  <si>
    <t>Cipermetrina</t>
  </si>
  <si>
    <t>Fungicida</t>
  </si>
  <si>
    <t>Fertilización</t>
  </si>
  <si>
    <t>UAN</t>
  </si>
  <si>
    <t>(Todas)</t>
  </si>
  <si>
    <t>Suma de  U$S Dólares Superficie</t>
  </si>
  <si>
    <t>(en blanco)</t>
  </si>
  <si>
    <t>Etiquetas de columna</t>
  </si>
  <si>
    <t>Cuota 1</t>
  </si>
  <si>
    <t>Cuota 2</t>
  </si>
  <si>
    <t>Cuota 3</t>
  </si>
  <si>
    <t>Cuota 4</t>
  </si>
  <si>
    <t>Tn/ha</t>
  </si>
  <si>
    <t>Barbecho 1</t>
  </si>
  <si>
    <t>Barbecho 3</t>
  </si>
  <si>
    <t>Barbecho 2</t>
  </si>
  <si>
    <t>Post Emergente 1</t>
  </si>
  <si>
    <t>Producción</t>
  </si>
  <si>
    <t>Valor Neto de Realización | Fecha de Cosecha</t>
  </si>
  <si>
    <t>Observación de Carga</t>
  </si>
  <si>
    <t>Pulverización Aérea</t>
  </si>
  <si>
    <t>Valor del Campo Propio</t>
  </si>
  <si>
    <t>L/ha</t>
  </si>
  <si>
    <t>Kg/ha</t>
  </si>
  <si>
    <t>U/ha</t>
  </si>
  <si>
    <t>Bls/ha</t>
  </si>
  <si>
    <t>Soja RR</t>
  </si>
  <si>
    <t>Mersulfuron</t>
  </si>
  <si>
    <r>
      <t xml:space="preserve">Etapa </t>
    </r>
    <r>
      <rPr>
        <sz val="11"/>
        <color rgb="FFFF0000"/>
        <rFont val="Calibri"/>
        <family val="2"/>
        <scheme val="minor"/>
      </rPr>
      <t>(Opcional)</t>
    </r>
  </si>
  <si>
    <t>Centros de Costos</t>
  </si>
  <si>
    <t>Campañas</t>
  </si>
  <si>
    <t>Tipo de Cambio Esperado</t>
  </si>
  <si>
    <t>Inflación Esperada</t>
  </si>
  <si>
    <t>Configuración Inicial.</t>
  </si>
  <si>
    <t>Definición del Escenario.</t>
  </si>
  <si>
    <t>A</t>
  </si>
  <si>
    <t>B</t>
  </si>
  <si>
    <t>Movimientos</t>
  </si>
  <si>
    <t>C</t>
  </si>
  <si>
    <t>Plan de Cuentas Financieras</t>
  </si>
  <si>
    <t>Banco 1</t>
  </si>
  <si>
    <t>Banco 2</t>
  </si>
  <si>
    <t>Banco 4</t>
  </si>
  <si>
    <t>Cheques Emitidos</t>
  </si>
  <si>
    <t>Cheques en Cartera</t>
  </si>
  <si>
    <t>Caja - Saldo Inicial</t>
  </si>
  <si>
    <t>Caja 1</t>
  </si>
  <si>
    <t>Caja 2</t>
  </si>
  <si>
    <t>Caja 3</t>
  </si>
  <si>
    <t>Caja 4</t>
  </si>
  <si>
    <t>Amortización Capital - Créditos</t>
  </si>
  <si>
    <t>Intereses Pagados - Creditos</t>
  </si>
  <si>
    <t>Inicio Presupuesto</t>
  </si>
  <si>
    <t>Escenario Esperado</t>
  </si>
  <si>
    <t>Operación 1</t>
  </si>
  <si>
    <t>Operación 2</t>
  </si>
  <si>
    <t>Operación 3</t>
  </si>
  <si>
    <t>Operación 4</t>
  </si>
  <si>
    <t>Banco - #</t>
  </si>
  <si>
    <t>Banco - Linea 1</t>
  </si>
  <si>
    <t>Banco - Linea 2</t>
  </si>
  <si>
    <t>D</t>
  </si>
  <si>
    <t>E</t>
  </si>
  <si>
    <t>F</t>
  </si>
  <si>
    <t>Fecha Inicio Presupuesto</t>
  </si>
  <si>
    <t>Plan de Cuentas Agricultura</t>
  </si>
  <si>
    <t>Definición Unidades Negocio</t>
  </si>
  <si>
    <t>Resultados Economicos U$S</t>
  </si>
  <si>
    <t>Resultados Economicos $</t>
  </si>
  <si>
    <t>Plan de Cuentas Comercial</t>
  </si>
  <si>
    <t>Definición Productos</t>
  </si>
  <si>
    <t>Ventas Compras Agrícolas</t>
  </si>
  <si>
    <t>Stock Inicial de Granos</t>
  </si>
  <si>
    <t>Cesión Granos Agricultura.</t>
  </si>
  <si>
    <t>Cesión Granos Otras Actividades</t>
  </si>
  <si>
    <t>Movimientos de Granos</t>
  </si>
  <si>
    <t>Ventas de Granos</t>
  </si>
  <si>
    <t>Compras de Granos</t>
  </si>
  <si>
    <t>Stock Final de Granos</t>
  </si>
  <si>
    <t>Cultivo 1</t>
  </si>
  <si>
    <t>Cultivo 8</t>
  </si>
  <si>
    <t>Cultivo 9</t>
  </si>
  <si>
    <t>Cultivo 10</t>
  </si>
  <si>
    <t>Cultivo 11</t>
  </si>
  <si>
    <t>Cultivo 12</t>
  </si>
  <si>
    <t>Cultivo 13</t>
  </si>
  <si>
    <t>Cultivo 14</t>
  </si>
  <si>
    <t>Cultivo 15</t>
  </si>
  <si>
    <t>Cultivo 2</t>
  </si>
  <si>
    <t>Cultivo 3</t>
  </si>
  <si>
    <t>Cultivo 4</t>
  </si>
  <si>
    <t>Cultivo 5</t>
  </si>
  <si>
    <t>Cultivo 6</t>
  </si>
  <si>
    <t>Cultivo 7</t>
  </si>
  <si>
    <t>Comercialización Agrícola</t>
  </si>
  <si>
    <t>Entrada Granos</t>
  </si>
  <si>
    <t>Salida Granos</t>
  </si>
  <si>
    <t>Presupuesto Financiero $</t>
  </si>
  <si>
    <t>Plan de Cuentas Ganadero</t>
  </si>
  <si>
    <t>Definición de Campos</t>
  </si>
  <si>
    <t>Movimientos de Hacienda</t>
  </si>
  <si>
    <t>Inventario Inicial</t>
  </si>
  <si>
    <t>Compras</t>
  </si>
  <si>
    <t>Nacimientos</t>
  </si>
  <si>
    <t>Traslados (Entradas)</t>
  </si>
  <si>
    <t>Ventas</t>
  </si>
  <si>
    <t>Traslados (Salidas)</t>
  </si>
  <si>
    <t>Muertes</t>
  </si>
  <si>
    <t>Inventario Final</t>
  </si>
  <si>
    <t>Amortizaciones</t>
  </si>
  <si>
    <t>Stock Hacienda</t>
  </si>
  <si>
    <t>Sanidad</t>
  </si>
  <si>
    <t>Asistente de Carga</t>
  </si>
  <si>
    <t>Presupuesto Financiero</t>
  </si>
  <si>
    <t>L/V. Ordeñe</t>
  </si>
  <si>
    <t>2019-2020</t>
  </si>
  <si>
    <t>Plan de Cuentas Lechero</t>
  </si>
  <si>
    <t>G</t>
  </si>
  <si>
    <t>Vaca Ordeñe</t>
  </si>
  <si>
    <t>Vaca Seca</t>
  </si>
  <si>
    <t>Vaca descarte</t>
  </si>
  <si>
    <t>Vc. Ordeñe</t>
  </si>
  <si>
    <t>Datos Técnicos</t>
  </si>
  <si>
    <t>Silo Maíz</t>
  </si>
  <si>
    <t>Comercial - Silo Maíz</t>
  </si>
  <si>
    <t>Resultados Económicos
 U$S Dólares</t>
  </si>
  <si>
    <t>Resultados Económicos
 $ Constantes</t>
  </si>
  <si>
    <t>Resultados Económicos
 $ Corrientes</t>
  </si>
  <si>
    <t>Resultados Financieros
 U$S Dólares</t>
  </si>
  <si>
    <t>Resultados Económicos U$S</t>
  </si>
  <si>
    <t>Resultados Económicos $</t>
  </si>
  <si>
    <t>Categorías de Hacienda</t>
  </si>
  <si>
    <t>Plan y Cultivos Agrícolas</t>
  </si>
  <si>
    <t>Cambio de Categoría</t>
  </si>
  <si>
    <t>Ingresos Lechería</t>
  </si>
  <si>
    <t>Costos de Ganadería</t>
  </si>
  <si>
    <t>Costos de Lechería</t>
  </si>
  <si>
    <t>Movimientos Stock Lechería</t>
  </si>
  <si>
    <t>Intereses Pagados - Créditos</t>
  </si>
  <si>
    <t>Maíz Silo</t>
  </si>
  <si>
    <t>H</t>
  </si>
  <si>
    <t>Plan de Cuentas</t>
  </si>
  <si>
    <t>Costos Maquinarias</t>
  </si>
  <si>
    <t>Ingresos Inmobiliarios</t>
  </si>
  <si>
    <t>Cesiones Inmobiliarias</t>
  </si>
  <si>
    <t>Cesiones Maquinarias</t>
  </si>
  <si>
    <t>Combustibles y Lubricantes</t>
  </si>
  <si>
    <t>Costos Inmobiliarios</t>
  </si>
  <si>
    <t>Ingresos Maquinarias (No Cesiones)</t>
  </si>
  <si>
    <t>Ingresos Inmobiliarios (No Cesiones)</t>
  </si>
  <si>
    <t>Ingreso Maquinarias</t>
  </si>
  <si>
    <t>Costos Indirectos</t>
  </si>
  <si>
    <t>Viaticos y Movilidad</t>
  </si>
  <si>
    <t>No Imputado</t>
  </si>
  <si>
    <t>Resultados Economicos $ Constantes</t>
  </si>
  <si>
    <t>Actualización</t>
  </si>
  <si>
    <t>Riego</t>
  </si>
  <si>
    <t>Campo 4</t>
  </si>
  <si>
    <t>Cuota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</si>
</sst>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1" formatCode="_ * #,##0_ ;_ * \-#,##0_ ;_ * &quot;-&quot;_ ;_ @_ "/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_ * #,##0.0_ ;_ * \-#,##0.0_ ;_ * &quot;-&quot;??_ ;_ @_ "/>
    <numFmt numFmtId="165" formatCode="_ * #,##0_ ;_ * \-#,##0_ ;_ * &quot;-&quot;??_ ;_ @_ "/>
    <numFmt numFmtId="166" formatCode="0.000"/>
    <numFmt numFmtId="167" formatCode="0.0%"/>
    <numFmt numFmtId="168" formatCode="&quot;Has&quot;_ * #,##0_ ;_ * \-#,##0_ ;_ * &quot;-&quot;??_ ;_ @_ "/>
    <numFmt numFmtId="169" formatCode="&quot;Tn&quot;_ * #,##0_ ;_ * \-#,##0_ ;_ * &quot;-&quot;??_ ;_ @_ "/>
    <numFmt numFmtId="170" formatCode="0\ &quot;Meses&quot;"/>
    <numFmt numFmtId="171" formatCode="mmm/yyyy;@"/>
    <numFmt numFmtId="172" formatCode="0\ &quot;Has&quot;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0"/>
      <color rgb="FFFF0000"/>
      <name val="Calibri"/>
      <family val="2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rgb="FF00B050"/>
      <name val="Calibri"/>
      <family val="2"/>
      <scheme val="minor"/>
    </font>
    <font>
      <sz val="9"/>
      <color rgb="FF0070C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4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6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rgb="FFFF0000"/>
      <name val="Calibri"/>
      <family val="2"/>
    </font>
    <font>
      <b/>
      <sz val="11"/>
      <color theme="10"/>
      <name val="Calibri"/>
      <family val="2"/>
      <scheme val="minor"/>
    </font>
    <font>
      <b/>
      <sz val="8"/>
      <color indexed="81"/>
      <name val="Tahoma"/>
      <family val="2"/>
    </font>
    <font>
      <sz val="9"/>
      <color theme="2" tint="-0.249977111117893"/>
      <name val="Calibri"/>
      <family val="2"/>
      <scheme val="minor"/>
    </font>
    <font>
      <b/>
      <sz val="9"/>
      <color theme="2" tint="-0.249977111117893"/>
      <name val="Calibri"/>
      <family val="2"/>
      <scheme val="minor"/>
    </font>
    <font>
      <sz val="7"/>
      <color theme="2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70C0"/>
      <name val="Calibri"/>
      <scheme val="minor"/>
    </font>
    <font>
      <sz val="9"/>
      <color theme="1"/>
      <name val="Calibri"/>
      <scheme val="minor"/>
    </font>
    <font>
      <sz val="11"/>
      <color theme="1"/>
      <name val="Calibri"/>
      <scheme val="minor"/>
    </font>
    <font>
      <sz val="11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mediumGray"/>
    </fill>
    <fill>
      <patternFill patternType="solid">
        <fgColor theme="0"/>
        <bgColor theme="4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theme="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bgColor theme="0" tint="-0.249977111117893"/>
      </patternFill>
    </fill>
  </fills>
  <borders count="168">
    <border>
      <left/>
      <right/>
      <top/>
      <bottom/>
      <diagonal/>
    </border>
    <border>
      <left/>
      <right style="hair">
        <color rgb="FF0070C0"/>
      </right>
      <top/>
      <bottom/>
      <diagonal/>
    </border>
    <border>
      <left style="hair">
        <color rgb="FF0070C0"/>
      </left>
      <right style="hair">
        <color rgb="FF0070C0"/>
      </right>
      <top/>
      <bottom/>
      <diagonal/>
    </border>
    <border>
      <left style="hair">
        <color rgb="FF0070C0"/>
      </left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/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1454817346722"/>
      </left>
      <right/>
      <top style="thin">
        <color theme="4" tint="0.39991454817346722"/>
      </top>
      <bottom style="thin">
        <color theme="4" tint="0.39991454817346722"/>
      </bottom>
      <diagonal/>
    </border>
    <border>
      <left/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indexed="64"/>
      </bottom>
      <diagonal/>
    </border>
    <border>
      <left/>
      <right/>
      <top style="thin">
        <color theme="4" tint="0.39994506668294322"/>
      </top>
      <bottom style="thin">
        <color indexed="64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indexed="64"/>
      </bottom>
      <diagonal/>
    </border>
    <border>
      <left/>
      <right/>
      <top style="double">
        <color theme="4" tint="-0.24994659260841701"/>
      </top>
      <bottom/>
      <diagonal/>
    </border>
    <border>
      <left/>
      <right style="hair">
        <color rgb="FF0070C0"/>
      </right>
      <top style="double">
        <color theme="4" tint="-0.24994659260841701"/>
      </top>
      <bottom/>
      <diagonal/>
    </border>
    <border>
      <left style="hair">
        <color rgb="FF0070C0"/>
      </left>
      <right style="hair">
        <color rgb="FF0070C0"/>
      </right>
      <top style="double">
        <color theme="4" tint="-0.24994659260841701"/>
      </top>
      <bottom/>
      <diagonal/>
    </border>
    <border>
      <left style="hair">
        <color auto="1"/>
      </left>
      <right style="hair">
        <color auto="1"/>
      </right>
      <top style="double">
        <color theme="4" tint="-0.24994659260841701"/>
      </top>
      <bottom/>
      <diagonal/>
    </border>
    <border>
      <left style="hair">
        <color auto="1"/>
      </left>
      <right/>
      <top style="double">
        <color theme="4" tint="-0.24994659260841701"/>
      </top>
      <bottom/>
      <diagonal/>
    </border>
    <border>
      <left/>
      <right style="hair">
        <color auto="1"/>
      </right>
      <top style="double">
        <color theme="4" tint="-0.24994659260841701"/>
      </top>
      <bottom/>
      <diagonal/>
    </border>
    <border>
      <left/>
      <right/>
      <top/>
      <bottom style="double">
        <color theme="4" tint="-0.24994659260841701"/>
      </bottom>
      <diagonal/>
    </border>
    <border>
      <left/>
      <right style="hair">
        <color rgb="FF0070C0"/>
      </right>
      <top/>
      <bottom style="double">
        <color theme="4" tint="-0.24994659260841701"/>
      </bottom>
      <diagonal/>
    </border>
    <border>
      <left style="hair">
        <color rgb="FF0070C0"/>
      </left>
      <right style="hair">
        <color rgb="FF0070C0"/>
      </right>
      <top/>
      <bottom style="double">
        <color theme="4" tint="-0.24994659260841701"/>
      </bottom>
      <diagonal/>
    </border>
    <border>
      <left style="hair">
        <color auto="1"/>
      </left>
      <right style="hair">
        <color auto="1"/>
      </right>
      <top/>
      <bottom style="double">
        <color theme="4" tint="-0.24994659260841701"/>
      </bottom>
      <diagonal/>
    </border>
    <border>
      <left style="hair">
        <color auto="1"/>
      </left>
      <right/>
      <top/>
      <bottom style="double">
        <color theme="4" tint="-0.24994659260841701"/>
      </bottom>
      <diagonal/>
    </border>
    <border>
      <left/>
      <right style="hair">
        <color auto="1"/>
      </right>
      <top/>
      <bottom style="double">
        <color theme="4" tint="-0.24994659260841701"/>
      </bottom>
      <diagonal/>
    </border>
    <border>
      <left/>
      <right/>
      <top/>
      <bottom style="double">
        <color theme="4"/>
      </bottom>
      <diagonal/>
    </border>
    <border>
      <left/>
      <right style="hair">
        <color rgb="FF0070C0"/>
      </right>
      <top/>
      <bottom style="double">
        <color theme="4"/>
      </bottom>
      <diagonal/>
    </border>
    <border>
      <left style="hair">
        <color rgb="FF0070C0"/>
      </left>
      <right style="hair">
        <color rgb="FF0070C0"/>
      </right>
      <top/>
      <bottom style="double">
        <color theme="4"/>
      </bottom>
      <diagonal/>
    </border>
    <border>
      <left style="hair">
        <color auto="1"/>
      </left>
      <right style="hair">
        <color auto="1"/>
      </right>
      <top/>
      <bottom style="double">
        <color theme="4"/>
      </bottom>
      <diagonal/>
    </border>
    <border>
      <left style="hair">
        <color auto="1"/>
      </left>
      <right/>
      <top/>
      <bottom style="double">
        <color theme="4"/>
      </bottom>
      <diagonal/>
    </border>
    <border>
      <left/>
      <right style="hair">
        <color auto="1"/>
      </right>
      <top/>
      <bottom style="double">
        <color theme="4"/>
      </bottom>
      <diagonal/>
    </border>
    <border>
      <left style="hair">
        <color rgb="FF0070C0"/>
      </left>
      <right/>
      <top/>
      <bottom style="double">
        <color theme="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92D050"/>
      </left>
      <right/>
      <top style="thin">
        <color rgb="FF92D050"/>
      </top>
      <bottom style="thin">
        <color indexed="64"/>
      </bottom>
      <diagonal/>
    </border>
    <border>
      <left/>
      <right/>
      <top style="thin">
        <color rgb="FF92D050"/>
      </top>
      <bottom style="thin">
        <color indexed="64"/>
      </bottom>
      <diagonal/>
    </border>
    <border>
      <left/>
      <right style="thin">
        <color rgb="FF92D050"/>
      </right>
      <top style="thin">
        <color rgb="FF92D050"/>
      </top>
      <bottom style="thin">
        <color indexed="64"/>
      </bottom>
      <diagonal/>
    </border>
    <border>
      <left style="thin">
        <color rgb="FF92D050"/>
      </left>
      <right/>
      <top style="thin">
        <color rgb="FF92D050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/>
      <right/>
      <top/>
      <bottom style="double">
        <color theme="9"/>
      </bottom>
      <diagonal/>
    </border>
    <border>
      <left style="hair">
        <color auto="1"/>
      </left>
      <right style="hair">
        <color auto="1"/>
      </right>
      <top/>
      <bottom style="double">
        <color theme="9"/>
      </bottom>
      <diagonal/>
    </border>
    <border>
      <left/>
      <right style="hair">
        <color rgb="FF0070C0"/>
      </right>
      <top/>
      <bottom style="double">
        <color theme="9"/>
      </bottom>
      <diagonal/>
    </border>
    <border>
      <left style="hair">
        <color rgb="FF0070C0"/>
      </left>
      <right/>
      <top/>
      <bottom style="double">
        <color theme="9"/>
      </bottom>
      <diagonal/>
    </border>
    <border>
      <left style="hair">
        <color auto="1"/>
      </left>
      <right/>
      <top/>
      <bottom style="double">
        <color theme="9"/>
      </bottom>
      <diagonal/>
    </border>
    <border>
      <left/>
      <right style="hair">
        <color auto="1"/>
      </right>
      <top/>
      <bottom style="double">
        <color theme="9"/>
      </bottom>
      <diagonal/>
    </border>
    <border>
      <left/>
      <right/>
      <top style="double">
        <color theme="9"/>
      </top>
      <bottom/>
      <diagonal/>
    </border>
    <border>
      <left style="hair">
        <color auto="1"/>
      </left>
      <right style="hair">
        <color auto="1"/>
      </right>
      <top style="double">
        <color theme="9"/>
      </top>
      <bottom/>
      <diagonal/>
    </border>
    <border>
      <left/>
      <right style="hair">
        <color rgb="FF0070C0"/>
      </right>
      <top style="double">
        <color theme="9"/>
      </top>
      <bottom/>
      <diagonal/>
    </border>
    <border>
      <left style="hair">
        <color rgb="FF0070C0"/>
      </left>
      <right/>
      <top style="double">
        <color theme="9"/>
      </top>
      <bottom/>
      <diagonal/>
    </border>
    <border>
      <left style="hair">
        <color auto="1"/>
      </left>
      <right/>
      <top style="double">
        <color theme="9"/>
      </top>
      <bottom/>
      <diagonal/>
    </border>
    <border>
      <left/>
      <right style="hair">
        <color auto="1"/>
      </right>
      <top style="double">
        <color theme="9"/>
      </top>
      <bottom/>
      <diagonal/>
    </border>
    <border>
      <left style="thin">
        <color theme="5" tint="0.39994506668294322"/>
      </left>
      <right/>
      <top style="thin">
        <color theme="5" tint="0.39994506668294322"/>
      </top>
      <bottom/>
      <diagonal/>
    </border>
    <border>
      <left/>
      <right style="thin">
        <color theme="5" tint="0.39994506668294322"/>
      </right>
      <top style="thin">
        <color theme="5" tint="0.39994506668294322"/>
      </top>
      <bottom/>
      <diagonal/>
    </border>
    <border>
      <left/>
      <right/>
      <top style="thin">
        <color theme="5" tint="0.39994506668294322"/>
      </top>
      <bottom/>
      <diagonal/>
    </border>
    <border>
      <left/>
      <right/>
      <top/>
      <bottom style="double">
        <color theme="5"/>
      </bottom>
      <diagonal/>
    </border>
    <border>
      <left style="hair">
        <color auto="1"/>
      </left>
      <right style="hair">
        <color auto="1"/>
      </right>
      <top/>
      <bottom style="double">
        <color theme="5"/>
      </bottom>
      <diagonal/>
    </border>
    <border>
      <left/>
      <right style="hair">
        <color rgb="FF0070C0"/>
      </right>
      <top/>
      <bottom style="double">
        <color theme="5"/>
      </bottom>
      <diagonal/>
    </border>
    <border>
      <left style="hair">
        <color rgb="FF0070C0"/>
      </left>
      <right/>
      <top/>
      <bottom style="double">
        <color theme="5"/>
      </bottom>
      <diagonal/>
    </border>
    <border>
      <left style="hair">
        <color auto="1"/>
      </left>
      <right/>
      <top/>
      <bottom style="double">
        <color theme="5"/>
      </bottom>
      <diagonal/>
    </border>
    <border>
      <left/>
      <right style="hair">
        <color auto="1"/>
      </right>
      <top/>
      <bottom style="double">
        <color theme="5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/>
      <right style="thin">
        <color theme="4" tint="0.39994506668294322"/>
      </right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theme="7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4506668294322"/>
      </bottom>
      <diagonal/>
    </border>
    <border>
      <left style="thin">
        <color theme="4" tint="0.39997558519241921"/>
      </left>
      <right/>
      <top style="thin">
        <color theme="4" tint="0.39994506668294322"/>
      </top>
      <bottom style="thin">
        <color theme="4" tint="0.39997558519241921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7558519241921"/>
      </bottom>
      <diagonal/>
    </border>
    <border>
      <left/>
      <right/>
      <top style="thin">
        <color theme="4" tint="0.39994506668294322"/>
      </top>
      <bottom style="thin">
        <color theme="4" tint="0.39997558519241921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hair">
        <color rgb="FF0070C0"/>
      </right>
      <top/>
      <bottom style="double">
        <color indexed="64"/>
      </bottom>
      <diagonal/>
    </border>
    <border>
      <left style="hair">
        <color auto="1"/>
      </left>
      <right style="hair">
        <color auto="1"/>
      </right>
      <top/>
      <bottom style="double">
        <color indexed="64"/>
      </bottom>
      <diagonal/>
    </border>
    <border>
      <left style="hair">
        <color auto="1"/>
      </left>
      <right/>
      <top/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/>
      <top style="thin">
        <color rgb="FF92D050"/>
      </top>
      <bottom/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/>
      <right/>
      <top style="thin">
        <color theme="4" tint="0.59996337778862885"/>
      </top>
      <bottom/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/>
      <diagonal/>
    </border>
    <border>
      <left/>
      <right style="thin">
        <color theme="4" tint="0.59996337778862885"/>
      </right>
      <top/>
      <bottom/>
      <diagonal/>
    </border>
    <border>
      <left style="thin">
        <color theme="4" tint="0.59996337778862885"/>
      </left>
      <right/>
      <top/>
      <bottom style="thin">
        <color theme="4" tint="0.39994506668294322"/>
      </bottom>
      <diagonal/>
    </border>
    <border>
      <left/>
      <right/>
      <top/>
      <bottom style="thin">
        <color theme="4" tint="0.39994506668294322"/>
      </bottom>
      <diagonal/>
    </border>
    <border>
      <left/>
      <right style="thin">
        <color theme="4" tint="0.59996337778862885"/>
      </right>
      <top/>
      <bottom style="thin">
        <color theme="4" tint="0.39994506668294322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/>
      </left>
      <right/>
      <top style="thin">
        <color theme="4" tint="0.39997558519241921"/>
      </top>
      <bottom style="thin">
        <color theme="4"/>
      </bottom>
      <diagonal/>
    </border>
    <border>
      <left/>
      <right/>
      <top style="thin">
        <color theme="4" tint="0.39997558519241921"/>
      </top>
      <bottom style="thin">
        <color theme="4"/>
      </bottom>
      <diagonal/>
    </border>
    <border>
      <left/>
      <right style="thin">
        <color theme="4"/>
      </right>
      <top style="thin">
        <color theme="4" tint="0.39997558519241921"/>
      </top>
      <bottom style="thin">
        <color theme="4"/>
      </bottom>
      <diagonal/>
    </border>
    <border>
      <left style="thin">
        <color theme="4"/>
      </left>
      <right/>
      <top/>
      <bottom style="thin">
        <color theme="4" tint="0.39997558519241921"/>
      </bottom>
      <diagonal/>
    </border>
    <border>
      <left/>
      <right style="thin">
        <color theme="4"/>
      </right>
      <top/>
      <bottom style="thin">
        <color theme="4" tint="0.39997558519241921"/>
      </bottom>
      <diagonal/>
    </border>
    <border>
      <left style="thin">
        <color theme="4" tint="0.39994506668294322"/>
      </left>
      <right/>
      <top/>
      <bottom/>
      <diagonal/>
    </border>
    <border>
      <left style="hair">
        <color theme="4" tint="0.399914548173467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hair">
        <color theme="4" tint="0.39991454817346722"/>
      </left>
      <right style="hair">
        <color theme="4" tint="0.39991454817346722"/>
      </right>
      <top style="thin">
        <color theme="4" tint="0.39994506668294322"/>
      </top>
      <bottom style="thin">
        <color theme="4" tint="0.39994506668294322"/>
      </bottom>
      <diagonal/>
    </border>
    <border>
      <left style="hair">
        <color theme="4" tint="0.39991454817346722"/>
      </left>
      <right style="hair">
        <color theme="4" tint="0.39991454817346722"/>
      </right>
      <top/>
      <bottom/>
      <diagonal/>
    </border>
    <border>
      <left style="hair">
        <color theme="4" tint="0.39991454817346722"/>
      </left>
      <right style="thin">
        <color theme="4" tint="0.39994506668294322"/>
      </right>
      <top/>
      <bottom/>
      <diagonal/>
    </border>
    <border>
      <left/>
      <right/>
      <top style="thin">
        <color theme="4" tint="0.39991454817346722"/>
      </top>
      <bottom style="thin">
        <color theme="4" tint="0.39991454817346722"/>
      </bottom>
      <diagonal/>
    </border>
    <border>
      <left style="hair">
        <color theme="4" tint="0.39991454817346722"/>
      </left>
      <right style="hair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hair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hair">
        <color theme="4" tint="0.39991454817346722"/>
      </left>
      <right/>
      <top style="thin">
        <color theme="4" tint="0.39991454817346722"/>
      </top>
      <bottom style="thin">
        <color theme="4" tint="0.39991454817346722"/>
      </bottom>
      <diagonal/>
    </border>
    <border>
      <left/>
      <right style="thin">
        <color theme="4" tint="0.39991454817346722"/>
      </right>
      <top/>
      <bottom style="thin">
        <color theme="4" tint="0.39994506668294322"/>
      </bottom>
      <diagonal/>
    </border>
    <border>
      <left/>
      <right style="hair">
        <color theme="4" tint="0.399914548173467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 tint="-0.499984740745262"/>
      </left>
      <right style="thin">
        <color theme="0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/>
      </right>
      <top/>
      <bottom/>
      <diagonal/>
    </border>
    <border>
      <left style="hair">
        <color rgb="FF0070C0"/>
      </left>
      <right/>
      <top/>
      <bottom style="double">
        <color auto="1"/>
      </bottom>
      <diagonal/>
    </border>
    <border>
      <left style="thin">
        <color theme="0" tint="-0.499984740745262"/>
      </left>
      <right style="thin">
        <color theme="0"/>
      </right>
      <top/>
      <bottom style="thin">
        <color theme="0"/>
      </bottom>
      <diagonal/>
    </border>
    <border>
      <left style="thin">
        <color theme="0" tint="-0.499984740745262"/>
      </left>
      <right style="thin">
        <color theme="0"/>
      </right>
      <top style="thin">
        <color theme="0" tint="-0.499984740745262"/>
      </top>
      <bottom style="thin">
        <color theme="0"/>
      </bottom>
      <diagonal/>
    </border>
    <border>
      <left/>
      <right/>
      <top style="double">
        <color auto="1"/>
      </top>
      <bottom/>
      <diagonal/>
    </border>
    <border>
      <left style="hair">
        <color auto="1"/>
      </left>
      <right style="hair">
        <color auto="1"/>
      </right>
      <top style="double">
        <color auto="1"/>
      </top>
      <bottom/>
      <diagonal/>
    </border>
    <border>
      <left/>
      <right style="hair">
        <color auto="1"/>
      </right>
      <top style="double">
        <color auto="1"/>
      </top>
      <bottom/>
      <diagonal/>
    </border>
    <border>
      <left style="hair">
        <color rgb="FF0070C0"/>
      </left>
      <right/>
      <top style="double">
        <color auto="1"/>
      </top>
      <bottom/>
      <diagonal/>
    </border>
    <border>
      <left/>
      <right style="hair">
        <color rgb="FF0070C0"/>
      </right>
      <top style="double">
        <color auto="1"/>
      </top>
      <bottom/>
      <diagonal/>
    </border>
    <border>
      <left/>
      <right style="hair">
        <color rgb="FF0070C0"/>
      </right>
      <top/>
      <bottom style="thin">
        <color indexed="64"/>
      </bottom>
      <diagonal/>
    </border>
    <border>
      <left style="hair">
        <color rgb="FF0070C0"/>
      </left>
      <right style="hair">
        <color rgb="FF0070C0"/>
      </right>
      <top/>
      <bottom style="thin">
        <color indexed="64"/>
      </bottom>
      <diagonal/>
    </border>
    <border>
      <left style="hair">
        <color rgb="FF0070C0"/>
      </left>
      <right/>
      <top/>
      <bottom style="thin">
        <color indexed="64"/>
      </bottom>
      <diagonal/>
    </border>
    <border>
      <left/>
      <right/>
      <top style="double">
        <color theme="9" tint="-0.24994659260841701"/>
      </top>
      <bottom/>
      <diagonal/>
    </border>
    <border>
      <left/>
      <right style="hair">
        <color rgb="FF0070C0"/>
      </right>
      <top style="double">
        <color theme="9" tint="-0.24994659260841701"/>
      </top>
      <bottom/>
      <diagonal/>
    </border>
    <border>
      <left style="hair">
        <color auto="1"/>
      </left>
      <right style="hair">
        <color auto="1"/>
      </right>
      <top style="double">
        <color theme="9" tint="-0.24994659260841701"/>
      </top>
      <bottom/>
      <diagonal/>
    </border>
    <border>
      <left style="hair">
        <color auto="1"/>
      </left>
      <right/>
      <top style="double">
        <color theme="9" tint="-0.24994659260841701"/>
      </top>
      <bottom/>
      <diagonal/>
    </border>
    <border>
      <left/>
      <right style="hair">
        <color auto="1"/>
      </right>
      <top style="double">
        <color theme="9" tint="-0.24994659260841701"/>
      </top>
      <bottom/>
      <diagonal/>
    </border>
    <border>
      <left style="hair">
        <color rgb="FF0070C0"/>
      </left>
      <right/>
      <top style="double">
        <color theme="9" tint="-0.24994659260841701"/>
      </top>
      <bottom/>
      <diagonal/>
    </border>
    <border>
      <left style="medium">
        <color theme="0"/>
      </left>
      <right/>
      <top/>
      <bottom/>
      <diagonal/>
    </border>
    <border>
      <left style="hair">
        <color auto="1"/>
      </left>
      <right/>
      <top style="thin">
        <color indexed="64"/>
      </top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/>
      <top style="double">
        <color theme="5"/>
      </top>
      <bottom/>
      <diagonal/>
    </border>
    <border>
      <left/>
      <right style="hair">
        <color rgb="FF0070C0"/>
      </right>
      <top style="double">
        <color theme="5"/>
      </top>
      <bottom/>
      <diagonal/>
    </border>
    <border>
      <left style="hair">
        <color auto="1"/>
      </left>
      <right style="hair">
        <color auto="1"/>
      </right>
      <top style="double">
        <color theme="5"/>
      </top>
      <bottom/>
      <diagonal/>
    </border>
    <border>
      <left/>
      <right style="hair">
        <color auto="1"/>
      </right>
      <top style="double">
        <color theme="5"/>
      </top>
      <bottom/>
      <diagonal/>
    </border>
    <border>
      <left style="hair">
        <color rgb="FF0070C0"/>
      </left>
      <right/>
      <top style="double">
        <color theme="5"/>
      </top>
      <bottom/>
      <diagonal/>
    </border>
    <border>
      <left style="hair">
        <color auto="1"/>
      </left>
      <right/>
      <top style="double">
        <color theme="5"/>
      </top>
      <bottom/>
      <diagonal/>
    </border>
    <border>
      <left style="thin">
        <color theme="5" tint="0.39988402966399123"/>
      </left>
      <right/>
      <top style="thin">
        <color theme="5" tint="0.39988402966399123"/>
      </top>
      <bottom style="thin">
        <color theme="5" tint="0.39988402966399123"/>
      </bottom>
      <diagonal/>
    </border>
    <border>
      <left/>
      <right/>
      <top style="thin">
        <color theme="5" tint="0.39988402966399123"/>
      </top>
      <bottom style="thin">
        <color theme="5" tint="0.39988402966399123"/>
      </bottom>
      <diagonal/>
    </border>
    <border>
      <left/>
      <right style="thin">
        <color theme="5" tint="0.39988402966399123"/>
      </right>
      <top style="thin">
        <color theme="5" tint="0.39988402966399123"/>
      </top>
      <bottom style="thin">
        <color theme="5" tint="0.39988402966399123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rgb="FF0070C0"/>
      </right>
      <top style="thin">
        <color auto="1"/>
      </top>
      <bottom/>
      <diagonal/>
    </border>
    <border>
      <left style="hair">
        <color rgb="FF0070C0"/>
      </left>
      <right/>
      <top style="thin">
        <color auto="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13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164" fontId="0" fillId="0" borderId="0" xfId="1" applyNumberFormat="1" applyFont="1" applyAlignment="1">
      <alignment horizontal="center"/>
    </xf>
    <xf numFmtId="0" fontId="2" fillId="0" borderId="0" xfId="0" applyFont="1"/>
    <xf numFmtId="0" fontId="0" fillId="0" borderId="0" xfId="0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165" fontId="0" fillId="0" borderId="0" xfId="1" applyNumberFormat="1" applyFont="1" applyBorder="1"/>
    <xf numFmtId="165" fontId="0" fillId="0" borderId="0" xfId="1" applyNumberFormat="1" applyFont="1"/>
    <xf numFmtId="165" fontId="0" fillId="0" borderId="0" xfId="0" applyNumberFormat="1"/>
    <xf numFmtId="0" fontId="3" fillId="0" borderId="0" xfId="0" applyFont="1" applyAlignment="1">
      <alignment horizontal="center" vertical="center" wrapText="1"/>
    </xf>
    <xf numFmtId="166" fontId="0" fillId="0" borderId="0" xfId="0" applyNumberFormat="1"/>
    <xf numFmtId="167" fontId="0" fillId="0" borderId="0" xfId="0" applyNumberFormat="1"/>
    <xf numFmtId="167" fontId="4" fillId="0" borderId="0" xfId="0" applyNumberFormat="1" applyFont="1"/>
    <xf numFmtId="1" fontId="4" fillId="0" borderId="0" xfId="0" applyNumberFormat="1" applyFont="1"/>
    <xf numFmtId="0" fontId="0" fillId="0" borderId="0" xfId="0" applyAlignment="1"/>
    <xf numFmtId="0" fontId="0" fillId="0" borderId="0" xfId="0" applyNumberFormat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Font="1" applyFill="1" applyBorder="1"/>
    <xf numFmtId="0" fontId="0" fillId="0" borderId="6" xfId="0" applyFont="1" applyFill="1" applyBorder="1"/>
    <xf numFmtId="0" fontId="0" fillId="0" borderId="0" xfId="0" applyAlignment="1">
      <alignment horizontal="center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165" fontId="0" fillId="0" borderId="8" xfId="1" applyNumberFormat="1" applyFont="1" applyBorder="1" applyAlignment="1">
      <alignment horizontal="center"/>
    </xf>
    <xf numFmtId="165" fontId="0" fillId="0" borderId="8" xfId="1" applyNumberFormat="1" applyFont="1" applyBorder="1"/>
    <xf numFmtId="165" fontId="0" fillId="0" borderId="9" xfId="1" applyNumberFormat="1" applyFont="1" applyBorder="1"/>
    <xf numFmtId="43" fontId="0" fillId="0" borderId="0" xfId="1" applyFont="1"/>
    <xf numFmtId="0" fontId="0" fillId="0" borderId="7" xfId="0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5" xfId="0" applyFont="1" applyFill="1" applyBorder="1"/>
    <xf numFmtId="43" fontId="0" fillId="0" borderId="0" xfId="1" applyFont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43" fontId="0" fillId="0" borderId="1" xfId="1" applyFont="1" applyBorder="1"/>
    <xf numFmtId="43" fontId="0" fillId="0" borderId="0" xfId="1" applyFont="1" applyBorder="1"/>
    <xf numFmtId="14" fontId="0" fillId="0" borderId="0" xfId="1" applyNumberFormat="1" applyFont="1" applyBorder="1" applyAlignment="1">
      <alignment horizontal="center"/>
    </xf>
    <xf numFmtId="14" fontId="0" fillId="0" borderId="0" xfId="1" applyNumberFormat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9" fontId="0" fillId="0" borderId="7" xfId="2" applyFont="1" applyBorder="1"/>
    <xf numFmtId="43" fontId="0" fillId="0" borderId="9" xfId="1" applyNumberFormat="1" applyFont="1" applyBorder="1"/>
    <xf numFmtId="43" fontId="0" fillId="0" borderId="25" xfId="1" applyFont="1" applyBorder="1"/>
    <xf numFmtId="43" fontId="0" fillId="0" borderId="0" xfId="0" applyNumberFormat="1" applyAlignment="1">
      <alignment horizontal="center"/>
    </xf>
    <xf numFmtId="0" fontId="0" fillId="0" borderId="1" xfId="0" applyNumberFormat="1" applyBorder="1"/>
    <xf numFmtId="0" fontId="0" fillId="0" borderId="8" xfId="0" applyNumberFormat="1" applyBorder="1"/>
    <xf numFmtId="0" fontId="0" fillId="0" borderId="9" xfId="0" applyNumberFormat="1" applyBorder="1"/>
    <xf numFmtId="0" fontId="0" fillId="0" borderId="3" xfId="0" applyNumberFormat="1" applyBorder="1"/>
    <xf numFmtId="0" fontId="0" fillId="0" borderId="0" xfId="0" applyFont="1" applyAlignment="1">
      <alignment horizontal="center"/>
    </xf>
    <xf numFmtId="0" fontId="0" fillId="0" borderId="9" xfId="0" applyNumberFormat="1" applyFont="1" applyBorder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7" fontId="0" fillId="0" borderId="0" xfId="0" applyNumberFormat="1" applyBorder="1"/>
    <xf numFmtId="0" fontId="0" fillId="0" borderId="31" xfId="0" applyBorder="1"/>
    <xf numFmtId="0" fontId="0" fillId="0" borderId="31" xfId="0" applyBorder="1" applyAlignment="1">
      <alignment horizontal="center"/>
    </xf>
    <xf numFmtId="167" fontId="0" fillId="0" borderId="31" xfId="0" applyNumberFormat="1" applyBorder="1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2" fillId="0" borderId="31" xfId="0" applyFont="1" applyBorder="1"/>
    <xf numFmtId="0" fontId="0" fillId="0" borderId="38" xfId="0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43" fontId="0" fillId="0" borderId="9" xfId="1" applyFont="1" applyBorder="1"/>
    <xf numFmtId="43" fontId="0" fillId="0" borderId="9" xfId="1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0" fillId="0" borderId="0" xfId="0" applyFont="1" applyFill="1"/>
    <xf numFmtId="0" fontId="10" fillId="0" borderId="0" xfId="0" applyFont="1" applyFill="1" applyAlignment="1">
      <alignment horizontal="center"/>
    </xf>
    <xf numFmtId="9" fontId="0" fillId="0" borderId="0" xfId="0" applyNumberFormat="1" applyAlignment="1">
      <alignment horizontal="center"/>
    </xf>
    <xf numFmtId="167" fontId="4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53" xfId="0" applyBorder="1"/>
    <xf numFmtId="0" fontId="8" fillId="0" borderId="0" xfId="0" applyFont="1" applyBorder="1" applyAlignment="1">
      <alignment horizontal="left" vertical="center"/>
    </xf>
    <xf numFmtId="0" fontId="0" fillId="0" borderId="0" xfId="0" applyAlignment="1">
      <alignment vertical="center"/>
    </xf>
    <xf numFmtId="14" fontId="0" fillId="0" borderId="62" xfId="1" applyNumberFormat="1" applyFont="1" applyBorder="1" applyAlignment="1">
      <alignment horizontal="center"/>
    </xf>
    <xf numFmtId="43" fontId="0" fillId="0" borderId="62" xfId="1" applyFont="1" applyBorder="1"/>
    <xf numFmtId="9" fontId="0" fillId="0" borderId="63" xfId="2" applyFont="1" applyBorder="1"/>
    <xf numFmtId="165" fontId="0" fillId="0" borderId="66" xfId="1" applyNumberFormat="1" applyFont="1" applyBorder="1" applyAlignment="1">
      <alignment horizontal="center"/>
    </xf>
    <xf numFmtId="0" fontId="11" fillId="0" borderId="0" xfId="0" applyFont="1"/>
    <xf numFmtId="0" fontId="13" fillId="0" borderId="0" xfId="0" applyFont="1" applyAlignment="1">
      <alignment horizontal="left"/>
    </xf>
    <xf numFmtId="0" fontId="0" fillId="0" borderId="68" xfId="0" applyBorder="1"/>
    <xf numFmtId="0" fontId="0" fillId="0" borderId="68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68" xfId="0" applyFill="1" applyBorder="1" applyAlignment="1">
      <alignment horizontal="center"/>
    </xf>
    <xf numFmtId="0" fontId="0" fillId="2" borderId="0" xfId="0" applyFill="1"/>
    <xf numFmtId="41" fontId="11" fillId="2" borderId="0" xfId="0" applyNumberFormat="1" applyFont="1" applyFill="1"/>
    <xf numFmtId="41" fontId="11" fillId="0" borderId="0" xfId="0" applyNumberFormat="1" applyFont="1"/>
    <xf numFmtId="0" fontId="14" fillId="0" borderId="0" xfId="0" applyFont="1"/>
    <xf numFmtId="0" fontId="14" fillId="0" borderId="68" xfId="0" applyFont="1" applyBorder="1"/>
    <xf numFmtId="41" fontId="0" fillId="2" borderId="0" xfId="0" applyNumberFormat="1" applyFont="1" applyFill="1"/>
    <xf numFmtId="41" fontId="0" fillId="0" borderId="0" xfId="0" applyNumberFormat="1" applyFont="1"/>
    <xf numFmtId="41" fontId="0" fillId="2" borderId="68" xfId="0" applyNumberFormat="1" applyFont="1" applyFill="1" applyBorder="1"/>
    <xf numFmtId="41" fontId="0" fillId="0" borderId="68" xfId="0" applyNumberFormat="1" applyFont="1" applyBorder="1"/>
    <xf numFmtId="0" fontId="0" fillId="0" borderId="0" xfId="0" applyAlignment="1">
      <alignment horizontal="center"/>
    </xf>
    <xf numFmtId="0" fontId="14" fillId="0" borderId="0" xfId="0" applyFont="1" applyBorder="1"/>
    <xf numFmtId="0" fontId="13" fillId="0" borderId="0" xfId="0" applyFont="1" applyBorder="1" applyAlignment="1">
      <alignment horizontal="left"/>
    </xf>
    <xf numFmtId="41" fontId="0" fillId="2" borderId="0" xfId="0" applyNumberFormat="1" applyFont="1" applyFill="1" applyBorder="1"/>
    <xf numFmtId="41" fontId="0" fillId="0" borderId="0" xfId="0" applyNumberFormat="1" applyFont="1" applyBorder="1"/>
    <xf numFmtId="41" fontId="11" fillId="2" borderId="0" xfId="0" applyNumberFormat="1" applyFont="1" applyFill="1" applyBorder="1"/>
    <xf numFmtId="41" fontId="11" fillId="0" borderId="0" xfId="0" applyNumberFormat="1" applyFont="1" applyBorder="1"/>
    <xf numFmtId="10" fontId="0" fillId="0" borderId="0" xfId="0" applyNumberFormat="1" applyBorder="1"/>
    <xf numFmtId="10" fontId="0" fillId="0" borderId="0" xfId="0" applyNumberFormat="1"/>
    <xf numFmtId="0" fontId="0" fillId="0" borderId="0" xfId="0" applyFont="1"/>
    <xf numFmtId="41" fontId="13" fillId="2" borderId="0" xfId="0" applyNumberFormat="1" applyFont="1" applyFill="1"/>
    <xf numFmtId="41" fontId="13" fillId="0" borderId="0" xfId="0" applyNumberFormat="1" applyFont="1"/>
    <xf numFmtId="0" fontId="17" fillId="0" borderId="0" xfId="0" applyFont="1"/>
    <xf numFmtId="0" fontId="17" fillId="0" borderId="68" xfId="0" applyFont="1" applyBorder="1"/>
    <xf numFmtId="0" fontId="17" fillId="0" borderId="0" xfId="0" applyFont="1" applyBorder="1"/>
    <xf numFmtId="0" fontId="19" fillId="0" borderId="0" xfId="0" applyFont="1" applyAlignment="1">
      <alignment horizontal="left"/>
    </xf>
    <xf numFmtId="0" fontId="19" fillId="0" borderId="68" xfId="0" applyFont="1" applyBorder="1" applyAlignment="1">
      <alignment horizontal="left"/>
    </xf>
    <xf numFmtId="0" fontId="20" fillId="0" borderId="0" xfId="0" applyFont="1"/>
    <xf numFmtId="0" fontId="20" fillId="0" borderId="68" xfId="0" applyFont="1" applyBorder="1"/>
    <xf numFmtId="0" fontId="11" fillId="0" borderId="68" xfId="0" applyFont="1" applyBorder="1"/>
    <xf numFmtId="0" fontId="19" fillId="0" borderId="69" xfId="0" applyFont="1" applyBorder="1" applyAlignment="1">
      <alignment horizontal="left"/>
    </xf>
    <xf numFmtId="41" fontId="13" fillId="2" borderId="69" xfId="0" applyNumberFormat="1" applyFont="1" applyFill="1" applyBorder="1"/>
    <xf numFmtId="41" fontId="13" fillId="0" borderId="69" xfId="0" applyNumberFormat="1" applyFont="1" applyBorder="1"/>
    <xf numFmtId="41" fontId="13" fillId="2" borderId="0" xfId="1" applyNumberFormat="1" applyFont="1" applyFill="1"/>
    <xf numFmtId="41" fontId="13" fillId="0" borderId="0" xfId="1" applyNumberFormat="1" applyFont="1"/>
    <xf numFmtId="41" fontId="13" fillId="2" borderId="69" xfId="1" applyNumberFormat="1" applyFont="1" applyFill="1" applyBorder="1"/>
    <xf numFmtId="41" fontId="13" fillId="0" borderId="69" xfId="1" applyNumberFormat="1" applyFont="1" applyBorder="1"/>
    <xf numFmtId="0" fontId="0" fillId="0" borderId="68" xfId="0" applyFont="1" applyBorder="1"/>
    <xf numFmtId="0" fontId="11" fillId="0" borderId="0" xfId="0" applyFont="1" applyFill="1" applyBorder="1"/>
    <xf numFmtId="0" fontId="15" fillId="2" borderId="0" xfId="0" applyFont="1" applyFill="1" applyAlignment="1">
      <alignment horizontal="center"/>
    </xf>
    <xf numFmtId="0" fontId="15" fillId="2" borderId="68" xfId="0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41" fontId="11" fillId="4" borderId="0" xfId="0" applyNumberFormat="1" applyFont="1" applyFill="1"/>
    <xf numFmtId="41" fontId="13" fillId="4" borderId="0" xfId="0" applyNumberFormat="1" applyFont="1" applyFill="1"/>
    <xf numFmtId="41" fontId="13" fillId="4" borderId="69" xfId="0" applyNumberFormat="1" applyFont="1" applyFill="1" applyBorder="1"/>
    <xf numFmtId="41" fontId="13" fillId="4" borderId="0" xfId="1" applyNumberFormat="1" applyFont="1" applyFill="1"/>
    <xf numFmtId="41" fontId="13" fillId="4" borderId="69" xfId="1" applyNumberFormat="1" applyFont="1" applyFill="1" applyBorder="1"/>
    <xf numFmtId="41" fontId="0" fillId="4" borderId="0" xfId="0" applyNumberFormat="1" applyFont="1" applyFill="1"/>
    <xf numFmtId="41" fontId="0" fillId="4" borderId="0" xfId="1" applyNumberFormat="1" applyFont="1" applyFill="1" applyBorder="1"/>
    <xf numFmtId="41" fontId="11" fillId="4" borderId="68" xfId="0" applyNumberFormat="1" applyFont="1" applyFill="1" applyBorder="1"/>
    <xf numFmtId="41" fontId="11" fillId="4" borderId="0" xfId="0" applyNumberFormat="1" applyFont="1" applyFill="1" applyBorder="1"/>
    <xf numFmtId="41" fontId="16" fillId="4" borderId="0" xfId="0" applyNumberFormat="1" applyFont="1" applyFill="1"/>
    <xf numFmtId="41" fontId="16" fillId="4" borderId="69" xfId="0" applyNumberFormat="1" applyFont="1" applyFill="1" applyBorder="1"/>
    <xf numFmtId="0" fontId="0" fillId="4" borderId="0" xfId="0" applyFill="1"/>
    <xf numFmtId="0" fontId="5" fillId="5" borderId="70" xfId="0" applyFont="1" applyFill="1" applyBorder="1"/>
    <xf numFmtId="0" fontId="18" fillId="5" borderId="71" xfId="0" applyFont="1" applyFill="1" applyBorder="1"/>
    <xf numFmtId="0" fontId="3" fillId="5" borderId="71" xfId="0" applyFont="1" applyFill="1" applyBorder="1"/>
    <xf numFmtId="0" fontId="3" fillId="5" borderId="71" xfId="0" applyFont="1" applyFill="1" applyBorder="1" applyAlignment="1">
      <alignment horizontal="left"/>
    </xf>
    <xf numFmtId="41" fontId="5" fillId="5" borderId="71" xfId="0" applyNumberFormat="1" applyFont="1" applyFill="1" applyBorder="1"/>
    <xf numFmtId="41" fontId="5" fillId="5" borderId="72" xfId="0" applyNumberFormat="1" applyFont="1" applyFill="1" applyBorder="1"/>
    <xf numFmtId="0" fontId="5" fillId="3" borderId="70" xfId="0" applyFont="1" applyFill="1" applyBorder="1"/>
    <xf numFmtId="0" fontId="18" fillId="3" borderId="71" xfId="0" applyFont="1" applyFill="1" applyBorder="1"/>
    <xf numFmtId="0" fontId="3" fillId="3" borderId="71" xfId="0" applyFont="1" applyFill="1" applyBorder="1"/>
    <xf numFmtId="0" fontId="3" fillId="3" borderId="71" xfId="0" applyFont="1" applyFill="1" applyBorder="1" applyAlignment="1">
      <alignment horizontal="left"/>
    </xf>
    <xf numFmtId="41" fontId="5" fillId="3" borderId="73" xfId="0" applyNumberFormat="1" applyFont="1" applyFill="1" applyBorder="1"/>
    <xf numFmtId="41" fontId="5" fillId="3" borderId="72" xfId="0" applyNumberFormat="1" applyFont="1" applyFill="1" applyBorder="1"/>
    <xf numFmtId="41" fontId="0" fillId="4" borderId="68" xfId="0" applyNumberFormat="1" applyFont="1" applyFill="1" applyBorder="1"/>
    <xf numFmtId="9" fontId="14" fillId="0" borderId="0" xfId="0" applyNumberFormat="1" applyFont="1" applyBorder="1"/>
    <xf numFmtId="0" fontId="20" fillId="0" borderId="0" xfId="0" applyFont="1" applyAlignment="1">
      <alignment vertical="center" wrapText="1"/>
    </xf>
    <xf numFmtId="0" fontId="22" fillId="0" borderId="74" xfId="0" applyFont="1" applyBorder="1" applyAlignment="1">
      <alignment horizontal="left" vertical="center"/>
    </xf>
    <xf numFmtId="165" fontId="0" fillId="4" borderId="0" xfId="1" applyNumberFormat="1" applyFont="1" applyFill="1"/>
    <xf numFmtId="0" fontId="3" fillId="3" borderId="0" xfId="0" applyFont="1" applyFill="1" applyAlignment="1">
      <alignment horizontal="center"/>
    </xf>
    <xf numFmtId="0" fontId="0" fillId="6" borderId="0" xfId="0" applyFill="1"/>
    <xf numFmtId="0" fontId="0" fillId="6" borderId="0" xfId="0" applyFill="1" applyAlignment="1">
      <alignment horizontal="center"/>
    </xf>
    <xf numFmtId="0" fontId="0" fillId="6" borderId="68" xfId="0" applyFill="1" applyBorder="1" applyAlignment="1">
      <alignment horizontal="center"/>
    </xf>
    <xf numFmtId="0" fontId="3" fillId="3" borderId="68" xfId="0" applyFont="1" applyFill="1" applyBorder="1" applyAlignment="1">
      <alignment horizontal="center"/>
    </xf>
    <xf numFmtId="0" fontId="15" fillId="6" borderId="0" xfId="0" applyFont="1" applyFill="1" applyAlignment="1">
      <alignment horizontal="center"/>
    </xf>
    <xf numFmtId="167" fontId="23" fillId="3" borderId="0" xfId="2" applyNumberFormat="1" applyFont="1" applyFill="1" applyAlignment="1">
      <alignment horizont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Fill="1"/>
    <xf numFmtId="0" fontId="0" fillId="0" borderId="0" xfId="0" applyAlignment="1">
      <alignment horizontal="left" vertical="center"/>
    </xf>
    <xf numFmtId="167" fontId="0" fillId="0" borderId="0" xfId="0" applyNumberFormat="1" applyAlignment="1">
      <alignment horizontal="right" vertical="center" wrapText="1"/>
    </xf>
    <xf numFmtId="167" fontId="4" fillId="0" borderId="0" xfId="0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0" fontId="0" fillId="0" borderId="78" xfId="0" applyBorder="1" applyAlignment="1">
      <alignment horizontal="center"/>
    </xf>
    <xf numFmtId="43" fontId="0" fillId="0" borderId="67" xfId="1" applyFont="1" applyBorder="1"/>
    <xf numFmtId="0" fontId="0" fillId="0" borderId="0" xfId="0" applyAlignment="1">
      <alignment horizontal="center"/>
    </xf>
    <xf numFmtId="0" fontId="24" fillId="0" borderId="0" xfId="0" applyFont="1"/>
    <xf numFmtId="0" fontId="25" fillId="0" borderId="0" xfId="0" applyFont="1"/>
    <xf numFmtId="167" fontId="4" fillId="0" borderId="0" xfId="0" applyNumberFormat="1" applyFont="1" applyBorder="1"/>
    <xf numFmtId="167" fontId="4" fillId="0" borderId="0" xfId="0" applyNumberFormat="1" applyFon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7" fontId="0" fillId="0" borderId="68" xfId="0" applyNumberFormat="1" applyBorder="1"/>
    <xf numFmtId="167" fontId="0" fillId="0" borderId="68" xfId="0" applyNumberForma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7" borderId="79" xfId="0" applyFont="1" applyFill="1" applyBorder="1" applyAlignment="1">
      <alignment horizontal="center" vertical="center" wrapText="1"/>
    </xf>
    <xf numFmtId="165" fontId="0" fillId="0" borderId="0" xfId="1" applyNumberFormat="1" applyFont="1" applyFill="1"/>
    <xf numFmtId="0" fontId="0" fillId="0" borderId="81" xfId="0" applyBorder="1"/>
    <xf numFmtId="0" fontId="0" fillId="0" borderId="81" xfId="0" applyBorder="1" applyAlignment="1">
      <alignment horizontal="left"/>
    </xf>
    <xf numFmtId="167" fontId="0" fillId="0" borderId="81" xfId="0" applyNumberFormat="1" applyBorder="1" applyAlignment="1">
      <alignment horizontal="right"/>
    </xf>
    <xf numFmtId="165" fontId="0" fillId="0" borderId="0" xfId="0" applyNumberFormat="1" applyFont="1" applyFill="1"/>
    <xf numFmtId="0" fontId="0" fillId="0" borderId="0" xfId="0" applyFill="1" applyBorder="1" applyAlignment="1">
      <alignment horizontal="center"/>
    </xf>
    <xf numFmtId="165" fontId="0" fillId="0" borderId="0" xfId="1" applyNumberFormat="1" applyFont="1" applyFill="1" applyBorder="1"/>
    <xf numFmtId="0" fontId="0" fillId="0" borderId="0" xfId="0" applyFill="1" applyBorder="1"/>
    <xf numFmtId="0" fontId="0" fillId="0" borderId="68" xfId="0" applyFill="1" applyBorder="1"/>
    <xf numFmtId="0" fontId="0" fillId="0" borderId="68" xfId="0" applyFill="1" applyBorder="1" applyAlignment="1">
      <alignment horizontal="center"/>
    </xf>
    <xf numFmtId="165" fontId="0" fillId="0" borderId="68" xfId="1" applyNumberFormat="1" applyFont="1" applyFill="1" applyBorder="1"/>
    <xf numFmtId="0" fontId="0" fillId="0" borderId="80" xfId="0" applyFill="1" applyBorder="1"/>
    <xf numFmtId="0" fontId="0" fillId="0" borderId="80" xfId="0" applyFill="1" applyBorder="1" applyAlignment="1">
      <alignment horizontal="center"/>
    </xf>
    <xf numFmtId="165" fontId="0" fillId="0" borderId="80" xfId="1" applyNumberFormat="1" applyFont="1" applyFill="1" applyBorder="1"/>
    <xf numFmtId="41" fontId="11" fillId="2" borderId="68" xfId="0" applyNumberFormat="1" applyFont="1" applyFill="1" applyBorder="1"/>
    <xf numFmtId="41" fontId="11" fillId="0" borderId="68" xfId="0" applyNumberFormat="1" applyFont="1" applyBorder="1"/>
    <xf numFmtId="0" fontId="26" fillId="0" borderId="0" xfId="0" applyFont="1"/>
    <xf numFmtId="0" fontId="26" fillId="0" borderId="68" xfId="0" applyFont="1" applyBorder="1"/>
    <xf numFmtId="0" fontId="26" fillId="0" borderId="0" xfId="0" applyFont="1" applyBorder="1"/>
    <xf numFmtId="0" fontId="16" fillId="0" borderId="0" xfId="0" applyFont="1"/>
    <xf numFmtId="165" fontId="19" fillId="0" borderId="69" xfId="1" applyNumberFormat="1" applyFont="1" applyBorder="1"/>
    <xf numFmtId="165" fontId="27" fillId="0" borderId="0" xfId="1" applyNumberFormat="1" applyFont="1"/>
    <xf numFmtId="165" fontId="27" fillId="0" borderId="69" xfId="1" applyNumberFormat="1" applyFont="1" applyBorder="1"/>
    <xf numFmtId="43" fontId="19" fillId="0" borderId="0" xfId="1" applyFont="1" applyAlignment="1">
      <alignment horizontal="left"/>
    </xf>
    <xf numFmtId="43" fontId="19" fillId="0" borderId="69" xfId="1" applyFont="1" applyBorder="1" applyAlignment="1">
      <alignment horizontal="left"/>
    </xf>
    <xf numFmtId="43" fontId="0" fillId="0" borderId="68" xfId="1" applyFont="1" applyBorder="1"/>
    <xf numFmtId="0" fontId="27" fillId="0" borderId="0" xfId="0" applyFont="1"/>
    <xf numFmtId="165" fontId="28" fillId="0" borderId="0" xfId="1" applyNumberFormat="1" applyFont="1"/>
    <xf numFmtId="165" fontId="28" fillId="0" borderId="68" xfId="1" applyNumberFormat="1" applyFont="1" applyBorder="1"/>
    <xf numFmtId="0" fontId="28" fillId="0" borderId="0" xfId="0" applyFont="1"/>
    <xf numFmtId="0" fontId="28" fillId="0" borderId="68" xfId="0" applyFont="1" applyBorder="1"/>
    <xf numFmtId="165" fontId="19" fillId="0" borderId="0" xfId="1" applyNumberFormat="1" applyFont="1" applyBorder="1"/>
    <xf numFmtId="165" fontId="27" fillId="0" borderId="0" xfId="1" applyNumberFormat="1" applyFont="1" applyAlignment="1">
      <alignment horizontal="right"/>
    </xf>
    <xf numFmtId="165" fontId="27" fillId="0" borderId="69" xfId="1" applyNumberFormat="1" applyFont="1" applyBorder="1" applyAlignment="1">
      <alignment horizontal="right"/>
    </xf>
    <xf numFmtId="0" fontId="27" fillId="0" borderId="69" xfId="0" applyFont="1" applyBorder="1"/>
    <xf numFmtId="165" fontId="27" fillId="0" borderId="0" xfId="1" applyNumberFormat="1" applyFont="1" applyAlignment="1">
      <alignment horizontal="left"/>
    </xf>
    <xf numFmtId="165" fontId="27" fillId="0" borderId="69" xfId="1" applyNumberFormat="1" applyFont="1" applyBorder="1" applyAlignment="1">
      <alignment horizontal="left"/>
    </xf>
    <xf numFmtId="0" fontId="0" fillId="0" borderId="0" xfId="0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0" xfId="0" applyFont="1" applyBorder="1" applyAlignment="1">
      <alignment horizontal="center" vertical="center" wrapText="1"/>
    </xf>
    <xf numFmtId="0" fontId="5" fillId="7" borderId="84" xfId="0" applyFont="1" applyFill="1" applyBorder="1" applyAlignment="1">
      <alignment vertical="center" wrapText="1"/>
    </xf>
    <xf numFmtId="0" fontId="5" fillId="7" borderId="85" xfId="0" applyFont="1" applyFill="1" applyBorder="1" applyAlignment="1">
      <alignment horizontal="center" vertical="center" wrapText="1"/>
    </xf>
    <xf numFmtId="165" fontId="5" fillId="7" borderId="86" xfId="1" applyNumberFormat="1" applyFont="1" applyFill="1" applyBorder="1" applyAlignment="1">
      <alignment vertical="center" wrapText="1"/>
    </xf>
    <xf numFmtId="168" fontId="5" fillId="7" borderId="86" xfId="1" applyNumberFormat="1" applyFont="1" applyFill="1" applyBorder="1" applyAlignment="1">
      <alignment vertical="center" wrapText="1"/>
    </xf>
    <xf numFmtId="169" fontId="5" fillId="7" borderId="86" xfId="0" applyNumberFormat="1" applyFont="1" applyFill="1" applyBorder="1" applyAlignment="1">
      <alignment vertical="center" wrapText="1"/>
    </xf>
    <xf numFmtId="0" fontId="5" fillId="7" borderId="83" xfId="0" applyFont="1" applyFill="1" applyBorder="1" applyAlignment="1">
      <alignment vertical="center"/>
    </xf>
    <xf numFmtId="0" fontId="5" fillId="7" borderId="84" xfId="0" applyFont="1" applyFill="1" applyBorder="1" applyAlignment="1">
      <alignment vertical="center"/>
    </xf>
    <xf numFmtId="0" fontId="22" fillId="0" borderId="74" xfId="0" applyFont="1" applyBorder="1" applyAlignment="1">
      <alignment horizontal="center" vertical="center"/>
    </xf>
    <xf numFmtId="0" fontId="0" fillId="0" borderId="69" xfId="0" applyBorder="1" applyAlignment="1">
      <alignment horizontal="center"/>
    </xf>
    <xf numFmtId="0" fontId="0" fillId="0" borderId="69" xfId="0" applyBorder="1"/>
    <xf numFmtId="0" fontId="20" fillId="0" borderId="69" xfId="0" applyFont="1" applyBorder="1"/>
    <xf numFmtId="165" fontId="31" fillId="8" borderId="0" xfId="1" applyNumberFormat="1" applyFont="1" applyFill="1" applyAlignment="1">
      <alignment horizontal="right"/>
    </xf>
    <xf numFmtId="0" fontId="29" fillId="0" borderId="0" xfId="0" applyFont="1"/>
    <xf numFmtId="43" fontId="5" fillId="7" borderId="84" xfId="1" applyFont="1" applyFill="1" applyBorder="1" applyAlignment="1">
      <alignment vertical="center" wrapText="1"/>
    </xf>
    <xf numFmtId="9" fontId="5" fillId="7" borderId="86" xfId="2" applyFont="1" applyFill="1" applyBorder="1" applyAlignment="1">
      <alignment vertical="center" wrapText="1"/>
    </xf>
    <xf numFmtId="165" fontId="30" fillId="0" borderId="0" xfId="1" applyNumberFormat="1" applyFont="1"/>
    <xf numFmtId="165" fontId="11" fillId="0" borderId="0" xfId="0" applyNumberFormat="1" applyFont="1"/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165" fontId="11" fillId="0" borderId="8" xfId="0" applyNumberFormat="1" applyFont="1" applyBorder="1"/>
    <xf numFmtId="165" fontId="11" fillId="0" borderId="0" xfId="0" applyNumberFormat="1" applyFont="1" applyBorder="1"/>
    <xf numFmtId="165" fontId="11" fillId="0" borderId="9" xfId="0" applyNumberFormat="1" applyFont="1" applyBorder="1"/>
    <xf numFmtId="165" fontId="0" fillId="0" borderId="9" xfId="0" applyNumberFormat="1" applyFont="1" applyBorder="1"/>
    <xf numFmtId="165" fontId="0" fillId="0" borderId="7" xfId="1" applyNumberFormat="1" applyFont="1" applyBorder="1"/>
    <xf numFmtId="165" fontId="11" fillId="0" borderId="7" xfId="0" applyNumberFormat="1" applyFont="1" applyBorder="1"/>
    <xf numFmtId="43" fontId="0" fillId="0" borderId="9" xfId="1" applyNumberFormat="1" applyFont="1" applyBorder="1" applyAlignment="1">
      <alignment horizontal="center" vertical="center" wrapText="1"/>
    </xf>
    <xf numFmtId="43" fontId="0" fillId="0" borderId="8" xfId="1" applyNumberFormat="1" applyFont="1" applyBorder="1" applyAlignment="1">
      <alignment horizontal="center" vertical="center" wrapText="1"/>
    </xf>
    <xf numFmtId="43" fontId="0" fillId="0" borderId="8" xfId="1" applyNumberFormat="1" applyFont="1" applyBorder="1"/>
    <xf numFmtId="43" fontId="11" fillId="0" borderId="8" xfId="0" applyNumberFormat="1" applyFont="1" applyBorder="1"/>
    <xf numFmtId="43" fontId="11" fillId="0" borderId="9" xfId="0" applyNumberFormat="1" applyFont="1" applyBorder="1"/>
    <xf numFmtId="43" fontId="0" fillId="0" borderId="0" xfId="1" applyNumberFormat="1" applyFont="1" applyBorder="1" applyAlignment="1">
      <alignment horizontal="center" vertical="center" wrapText="1"/>
    </xf>
    <xf numFmtId="0" fontId="0" fillId="0" borderId="0" xfId="0" applyNumberFormat="1" applyFont="1"/>
    <xf numFmtId="0" fontId="0" fillId="0" borderId="8" xfId="0" applyBorder="1" applyAlignment="1">
      <alignment horizontal="center"/>
    </xf>
    <xf numFmtId="165" fontId="0" fillId="0" borderId="8" xfId="0" applyNumberFormat="1" applyFont="1" applyBorder="1"/>
    <xf numFmtId="165" fontId="0" fillId="0" borderId="0" xfId="0" applyNumberFormat="1" applyFont="1" applyBorder="1"/>
    <xf numFmtId="43" fontId="0" fillId="0" borderId="0" xfId="0" applyNumberFormat="1" applyFont="1" applyBorder="1"/>
    <xf numFmtId="0" fontId="0" fillId="0" borderId="7" xfId="0" applyBorder="1" applyAlignment="1">
      <alignment horizontal="center"/>
    </xf>
    <xf numFmtId="165" fontId="0" fillId="0" borderId="7" xfId="0" applyNumberFormat="1" applyFont="1" applyBorder="1"/>
    <xf numFmtId="0" fontId="0" fillId="0" borderId="9" xfId="0" applyBorder="1" applyAlignment="1">
      <alignment horizontal="center"/>
    </xf>
    <xf numFmtId="0" fontId="0" fillId="0" borderId="8" xfId="0" applyNumberFormat="1" applyFont="1" applyBorder="1"/>
    <xf numFmtId="165" fontId="20" fillId="0" borderId="8" xfId="1" applyNumberFormat="1" applyFont="1" applyBorder="1"/>
    <xf numFmtId="165" fontId="20" fillId="0" borderId="7" xfId="1" applyNumberFormat="1" applyFont="1" applyBorder="1"/>
    <xf numFmtId="165" fontId="0" fillId="0" borderId="68" xfId="1" applyNumberFormat="1" applyFont="1" applyBorder="1"/>
    <xf numFmtId="165" fontId="0" fillId="0" borderId="82" xfId="1" applyNumberFormat="1" applyFont="1" applyBorder="1"/>
    <xf numFmtId="165" fontId="0" fillId="0" borderId="87" xfId="1" applyNumberFormat="1" applyFont="1" applyBorder="1"/>
    <xf numFmtId="165" fontId="0" fillId="0" borderId="88" xfId="1" applyNumberFormat="1" applyFont="1" applyBorder="1"/>
    <xf numFmtId="43" fontId="0" fillId="0" borderId="8" xfId="1" applyFont="1" applyBorder="1"/>
    <xf numFmtId="167" fontId="3" fillId="3" borderId="0" xfId="2" applyNumberFormat="1" applyFont="1" applyFill="1" applyAlignment="1">
      <alignment horizontal="center"/>
    </xf>
    <xf numFmtId="170" fontId="13" fillId="0" borderId="0" xfId="0" applyNumberFormat="1" applyFont="1" applyBorder="1" applyAlignment="1">
      <alignment horizontal="left"/>
    </xf>
    <xf numFmtId="0" fontId="5" fillId="7" borderId="79" xfId="0" applyFont="1" applyFill="1" applyBorder="1" applyAlignment="1">
      <alignment horizontal="left" vertical="center"/>
    </xf>
    <xf numFmtId="165" fontId="0" fillId="2" borderId="0" xfId="1" applyNumberFormat="1" applyFont="1" applyFill="1"/>
    <xf numFmtId="41" fontId="5" fillId="3" borderId="71" xfId="0" applyNumberFormat="1" applyFont="1" applyFill="1" applyBorder="1"/>
    <xf numFmtId="43" fontId="5" fillId="7" borderId="0" xfId="1" applyFont="1" applyFill="1" applyBorder="1" applyAlignment="1">
      <alignment vertical="center" wrapText="1"/>
    </xf>
    <xf numFmtId="9" fontId="5" fillId="7" borderId="0" xfId="2" applyFont="1" applyFill="1" applyBorder="1" applyAlignment="1">
      <alignment vertical="center" wrapText="1"/>
    </xf>
    <xf numFmtId="9" fontId="20" fillId="0" borderId="0" xfId="2" applyFont="1"/>
    <xf numFmtId="0" fontId="0" fillId="0" borderId="96" xfId="0" applyBorder="1"/>
    <xf numFmtId="0" fontId="0" fillId="0" borderId="97" xfId="0" applyBorder="1"/>
    <xf numFmtId="0" fontId="0" fillId="0" borderId="99" xfId="0" applyBorder="1"/>
    <xf numFmtId="0" fontId="0" fillId="0" borderId="99" xfId="0" applyFill="1" applyBorder="1"/>
    <xf numFmtId="0" fontId="5" fillId="7" borderId="99" xfId="0" applyFont="1" applyFill="1" applyBorder="1" applyAlignment="1">
      <alignment vertical="center"/>
    </xf>
    <xf numFmtId="0" fontId="5" fillId="7" borderId="0" xfId="0" applyFont="1" applyFill="1" applyBorder="1" applyAlignment="1">
      <alignment vertical="center"/>
    </xf>
    <xf numFmtId="0" fontId="5" fillId="7" borderId="101" xfId="0" applyFont="1" applyFill="1" applyBorder="1" applyAlignment="1">
      <alignment vertical="center"/>
    </xf>
    <xf numFmtId="0" fontId="5" fillId="7" borderId="102" xfId="0" applyFont="1" applyFill="1" applyBorder="1" applyAlignment="1">
      <alignment vertical="center"/>
    </xf>
    <xf numFmtId="165" fontId="20" fillId="0" borderId="98" xfId="1" applyNumberFormat="1" applyFont="1" applyBorder="1"/>
    <xf numFmtId="165" fontId="20" fillId="0" borderId="100" xfId="1" applyNumberFormat="1" applyFont="1" applyBorder="1"/>
    <xf numFmtId="165" fontId="5" fillId="7" borderId="100" xfId="1" applyNumberFormat="1" applyFont="1" applyFill="1" applyBorder="1" applyAlignment="1">
      <alignment vertical="center"/>
    </xf>
    <xf numFmtId="165" fontId="5" fillId="7" borderId="103" xfId="1" applyNumberFormat="1" applyFont="1" applyFill="1" applyBorder="1" applyAlignment="1">
      <alignment vertical="center"/>
    </xf>
    <xf numFmtId="0" fontId="20" fillId="0" borderId="105" xfId="0" applyFont="1" applyBorder="1"/>
    <xf numFmtId="0" fontId="20" fillId="0" borderId="0" xfId="0" applyFont="1" applyBorder="1"/>
    <xf numFmtId="165" fontId="0" fillId="10" borderId="112" xfId="1" applyNumberFormat="1" applyFont="1" applyFill="1" applyBorder="1"/>
    <xf numFmtId="165" fontId="0" fillId="10" borderId="104" xfId="1" applyNumberFormat="1" applyFont="1" applyFill="1" applyBorder="1"/>
    <xf numFmtId="0" fontId="0" fillId="0" borderId="114" xfId="0" applyFont="1" applyBorder="1"/>
    <xf numFmtId="0" fontId="20" fillId="0" borderId="116" xfId="0" applyFont="1" applyBorder="1" applyAlignment="1">
      <alignment horizontal="center"/>
    </xf>
    <xf numFmtId="0" fontId="20" fillId="0" borderId="115" xfId="0" applyFont="1" applyBorder="1" applyAlignment="1">
      <alignment horizontal="center"/>
    </xf>
    <xf numFmtId="165" fontId="20" fillId="0" borderId="117" xfId="0" applyNumberFormat="1" applyFont="1" applyBorder="1" applyAlignment="1">
      <alignment horizontal="center"/>
    </xf>
    <xf numFmtId="164" fontId="20" fillId="0" borderId="118" xfId="0" applyNumberFormat="1" applyFont="1" applyBorder="1" applyAlignment="1">
      <alignment horizontal="center"/>
    </xf>
    <xf numFmtId="9" fontId="20" fillId="0" borderId="0" xfId="0" applyNumberFormat="1" applyFont="1"/>
    <xf numFmtId="0" fontId="5" fillId="11" borderId="0" xfId="0" applyFont="1" applyFill="1"/>
    <xf numFmtId="0" fontId="33" fillId="11" borderId="0" xfId="0" applyFont="1" applyFill="1"/>
    <xf numFmtId="0" fontId="20" fillId="0" borderId="124" xfId="0" applyFont="1" applyBorder="1" applyAlignment="1">
      <alignment horizontal="center"/>
    </xf>
    <xf numFmtId="0" fontId="5" fillId="11" borderId="102" xfId="0" applyFont="1" applyFill="1" applyBorder="1"/>
    <xf numFmtId="0" fontId="33" fillId="11" borderId="123" xfId="0" applyFont="1" applyFill="1" applyBorder="1"/>
    <xf numFmtId="0" fontId="0" fillId="0" borderId="125" xfId="0" applyBorder="1" applyAlignment="1">
      <alignment horizontal="center"/>
    </xf>
    <xf numFmtId="0" fontId="0" fillId="0" borderId="125" xfId="0" applyBorder="1"/>
    <xf numFmtId="0" fontId="20" fillId="0" borderId="125" xfId="0" applyFont="1" applyBorder="1"/>
    <xf numFmtId="44" fontId="0" fillId="12" borderId="14" xfId="0" applyNumberFormat="1" applyFont="1" applyFill="1" applyBorder="1" applyAlignment="1">
      <alignment vertical="center"/>
    </xf>
    <xf numFmtId="44" fontId="0" fillId="12" borderId="119" xfId="0" applyNumberFormat="1" applyFont="1" applyFill="1" applyBorder="1" applyAlignment="1">
      <alignment vertical="center"/>
    </xf>
    <xf numFmtId="165" fontId="1" fillId="12" borderId="120" xfId="1" applyNumberFormat="1" applyFont="1" applyFill="1" applyBorder="1" applyAlignment="1">
      <alignment horizontal="center" vertical="center"/>
    </xf>
    <xf numFmtId="164" fontId="1" fillId="12" borderId="121" xfId="1" applyNumberFormat="1" applyFont="1" applyFill="1" applyBorder="1" applyAlignment="1">
      <alignment horizontal="center" vertical="center"/>
    </xf>
    <xf numFmtId="165" fontId="0" fillId="13" borderId="107" xfId="1" applyNumberFormat="1" applyFont="1" applyFill="1" applyBorder="1"/>
    <xf numFmtId="165" fontId="0" fillId="13" borderId="4" xfId="1" applyNumberFormat="1" applyFont="1" applyFill="1" applyBorder="1"/>
    <xf numFmtId="165" fontId="0" fillId="13" borderId="108" xfId="1" applyNumberFormat="1" applyFont="1" applyFill="1" applyBorder="1"/>
    <xf numFmtId="165" fontId="0" fillId="13" borderId="109" xfId="1" applyNumberFormat="1" applyFont="1" applyFill="1" applyBorder="1"/>
    <xf numFmtId="165" fontId="0" fillId="13" borderId="110" xfId="1" applyNumberFormat="1" applyFont="1" applyFill="1" applyBorder="1"/>
    <xf numFmtId="165" fontId="0" fillId="13" borderId="111" xfId="1" applyNumberFormat="1" applyFont="1" applyFill="1" applyBorder="1"/>
    <xf numFmtId="0" fontId="0" fillId="0" borderId="126" xfId="0" applyBorder="1"/>
    <xf numFmtId="0" fontId="0" fillId="14" borderId="0" xfId="0" applyFill="1"/>
    <xf numFmtId="0" fontId="32" fillId="0" borderId="0" xfId="3" quotePrefix="1" applyBorder="1"/>
    <xf numFmtId="0" fontId="0" fillId="14" borderId="0" xfId="0" applyFill="1" applyBorder="1"/>
    <xf numFmtId="0" fontId="0" fillId="14" borderId="127" xfId="0" applyFill="1" applyBorder="1"/>
    <xf numFmtId="0" fontId="0" fillId="14" borderId="128" xfId="0" applyFill="1" applyBorder="1"/>
    <xf numFmtId="0" fontId="0" fillId="14" borderId="68" xfId="0" applyFill="1" applyBorder="1"/>
    <xf numFmtId="0" fontId="0" fillId="14" borderId="129" xfId="0" applyFill="1" applyBorder="1"/>
    <xf numFmtId="0" fontId="34" fillId="14" borderId="0" xfId="0" applyFont="1" applyFill="1" applyBorder="1"/>
    <xf numFmtId="0" fontId="34" fillId="15" borderId="134" xfId="3" applyFont="1" applyFill="1" applyBorder="1" applyAlignment="1">
      <alignment vertical="center"/>
    </xf>
    <xf numFmtId="0" fontId="34" fillId="15" borderId="135" xfId="3" applyFont="1" applyFill="1" applyBorder="1" applyAlignment="1">
      <alignment vertical="center"/>
    </xf>
    <xf numFmtId="0" fontId="5" fillId="14" borderId="0" xfId="0" applyFont="1" applyFill="1"/>
    <xf numFmtId="43" fontId="13" fillId="0" borderId="0" xfId="1" applyFont="1" applyBorder="1"/>
    <xf numFmtId="0" fontId="36" fillId="0" borderId="0" xfId="0" applyFont="1" applyAlignment="1">
      <alignment horizontal="left"/>
    </xf>
    <xf numFmtId="0" fontId="18" fillId="14" borderId="0" xfId="0" applyFont="1" applyFill="1"/>
    <xf numFmtId="0" fontId="0" fillId="0" borderId="0" xfId="0" applyAlignment="1">
      <alignment horizontal="center"/>
    </xf>
    <xf numFmtId="0" fontId="34" fillId="15" borderId="137" xfId="3" applyFont="1" applyFill="1" applyBorder="1" applyAlignment="1">
      <alignment vertical="center"/>
    </xf>
    <xf numFmtId="0" fontId="5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14" fontId="0" fillId="0" borderId="0" xfId="0" applyNumberFormat="1" applyAlignment="1">
      <alignment horizontal="center"/>
    </xf>
    <xf numFmtId="0" fontId="0" fillId="0" borderId="70" xfId="0" applyBorder="1"/>
    <xf numFmtId="0" fontId="0" fillId="0" borderId="71" xfId="0" applyBorder="1"/>
    <xf numFmtId="0" fontId="0" fillId="0" borderId="72" xfId="0" applyBorder="1"/>
    <xf numFmtId="0" fontId="34" fillId="15" borderId="138" xfId="3" applyFont="1" applyFill="1" applyBorder="1" applyAlignment="1">
      <alignment vertical="center"/>
    </xf>
    <xf numFmtId="14" fontId="0" fillId="0" borderId="9" xfId="1" applyNumberFormat="1" applyFont="1" applyBorder="1" applyAlignment="1">
      <alignment horizontal="center"/>
    </xf>
    <xf numFmtId="0" fontId="8" fillId="0" borderId="0" xfId="0" applyFont="1" applyAlignment="1">
      <alignment horizontal="right" vertical="center"/>
    </xf>
    <xf numFmtId="43" fontId="13" fillId="0" borderId="1" xfId="1" applyFont="1" applyBorder="1"/>
    <xf numFmtId="43" fontId="13" fillId="0" borderId="31" xfId="1" applyFont="1" applyBorder="1"/>
    <xf numFmtId="43" fontId="13" fillId="0" borderId="19" xfId="1" applyFont="1" applyBorder="1"/>
    <xf numFmtId="43" fontId="13" fillId="0" borderId="25" xfId="1" applyFont="1" applyBorder="1"/>
    <xf numFmtId="43" fontId="0" fillId="0" borderId="144" xfId="1" applyFont="1" applyBorder="1"/>
    <xf numFmtId="0" fontId="0" fillId="14" borderId="8" xfId="0" applyFill="1" applyBorder="1"/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34" fillId="17" borderId="134" xfId="3" applyFont="1" applyFill="1" applyBorder="1" applyAlignment="1">
      <alignment vertical="center"/>
    </xf>
    <xf numFmtId="0" fontId="34" fillId="17" borderId="137" xfId="3" applyFont="1" applyFill="1" applyBorder="1" applyAlignment="1">
      <alignment vertical="center"/>
    </xf>
    <xf numFmtId="14" fontId="0" fillId="0" borderId="68" xfId="1" applyNumberFormat="1" applyFont="1" applyBorder="1" applyAlignment="1">
      <alignment horizontal="center"/>
    </xf>
    <xf numFmtId="9" fontId="0" fillId="0" borderId="88" xfId="2" applyFont="1" applyBorder="1"/>
    <xf numFmtId="165" fontId="0" fillId="0" borderId="82" xfId="1" applyNumberFormat="1" applyFont="1" applyBorder="1" applyAlignment="1">
      <alignment horizontal="center"/>
    </xf>
    <xf numFmtId="43" fontId="0" fillId="0" borderId="87" xfId="1" applyFont="1" applyBorder="1"/>
    <xf numFmtId="43" fontId="0" fillId="0" borderId="82" xfId="1" applyFont="1" applyBorder="1"/>
    <xf numFmtId="0" fontId="8" fillId="0" borderId="0" xfId="0" applyFont="1" applyBorder="1" applyAlignment="1">
      <alignment horizontal="right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right" vertical="center"/>
    </xf>
    <xf numFmtId="0" fontId="22" fillId="0" borderId="0" xfId="0" applyFont="1" applyBorder="1" applyAlignment="1">
      <alignment horizontal="right" vertical="center"/>
    </xf>
    <xf numFmtId="0" fontId="36" fillId="0" borderId="0" xfId="0" applyFont="1"/>
    <xf numFmtId="0" fontId="36" fillId="0" borderId="0" xfId="0" applyFont="1" applyAlignment="1">
      <alignment horizontal="left" vertical="center" wrapText="1"/>
    </xf>
    <xf numFmtId="0" fontId="40" fillId="0" borderId="0" xfId="0" applyFont="1" applyBorder="1" applyAlignment="1">
      <alignment horizontal="left" vertical="center"/>
    </xf>
    <xf numFmtId="0" fontId="40" fillId="0" borderId="0" xfId="0" applyFont="1" applyBorder="1" applyAlignment="1">
      <alignment horizontal="right" vertical="center"/>
    </xf>
    <xf numFmtId="0" fontId="39" fillId="3" borderId="0" xfId="0" applyFont="1" applyFill="1" applyAlignment="1">
      <alignment vertical="center" wrapText="1"/>
    </xf>
    <xf numFmtId="0" fontId="40" fillId="3" borderId="0" xfId="0" applyFont="1" applyFill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41" fillId="0" borderId="0" xfId="3" applyFont="1"/>
    <xf numFmtId="0" fontId="34" fillId="0" borderId="0" xfId="3" applyFont="1"/>
    <xf numFmtId="0" fontId="4" fillId="0" borderId="0" xfId="3" applyFont="1"/>
    <xf numFmtId="0" fontId="4" fillId="0" borderId="0" xfId="0" applyFont="1"/>
    <xf numFmtId="43" fontId="4" fillId="0" borderId="69" xfId="1" applyFont="1" applyBorder="1"/>
    <xf numFmtId="165" fontId="0" fillId="2" borderId="69" xfId="1" applyNumberFormat="1" applyFont="1" applyFill="1" applyBorder="1"/>
    <xf numFmtId="165" fontId="0" fillId="0" borderId="69" xfId="1" applyNumberFormat="1" applyFont="1" applyBorder="1"/>
    <xf numFmtId="41" fontId="0" fillId="4" borderId="69" xfId="0" applyNumberFormat="1" applyFont="1" applyFill="1" applyBorder="1"/>
    <xf numFmtId="41" fontId="27" fillId="2" borderId="0" xfId="0" applyNumberFormat="1" applyFont="1" applyFill="1"/>
    <xf numFmtId="41" fontId="27" fillId="0" borderId="0" xfId="0" applyNumberFormat="1" applyFont="1" applyBorder="1"/>
    <xf numFmtId="41" fontId="27" fillId="2" borderId="0" xfId="0" applyNumberFormat="1" applyFont="1" applyFill="1" applyBorder="1"/>
    <xf numFmtId="41" fontId="27" fillId="4" borderId="0" xfId="0" applyNumberFormat="1" applyFont="1" applyFill="1"/>
    <xf numFmtId="41" fontId="27" fillId="2" borderId="69" xfId="0" applyNumberFormat="1" applyFont="1" applyFill="1" applyBorder="1"/>
    <xf numFmtId="41" fontId="27" fillId="0" borderId="69" xfId="0" applyNumberFormat="1" applyFont="1" applyBorder="1"/>
    <xf numFmtId="41" fontId="27" fillId="4" borderId="69" xfId="0" applyNumberFormat="1" applyFont="1" applyFill="1" applyBorder="1"/>
    <xf numFmtId="41" fontId="27" fillId="4" borderId="0" xfId="1" applyNumberFormat="1" applyFont="1" applyFill="1" applyBorder="1"/>
    <xf numFmtId="0" fontId="5" fillId="3" borderId="0" xfId="3" applyFont="1" applyFill="1" applyAlignment="1">
      <alignment horizontal="center" vertical="center" wrapText="1"/>
    </xf>
    <xf numFmtId="0" fontId="5" fillId="3" borderId="153" xfId="3" applyFont="1" applyFill="1" applyBorder="1" applyAlignment="1">
      <alignment horizontal="center" vertical="center" wrapText="1"/>
    </xf>
    <xf numFmtId="0" fontId="43" fillId="0" borderId="0" xfId="0" applyFont="1" applyBorder="1"/>
    <xf numFmtId="0" fontId="44" fillId="0" borderId="0" xfId="0" applyFont="1" applyBorder="1"/>
    <xf numFmtId="171" fontId="43" fillId="2" borderId="0" xfId="0" applyNumberFormat="1" applyFont="1" applyFill="1" applyBorder="1" applyAlignment="1">
      <alignment horizontal="center"/>
    </xf>
    <xf numFmtId="171" fontId="43" fillId="0" borderId="0" xfId="0" applyNumberFormat="1" applyFont="1" applyBorder="1" applyAlignment="1">
      <alignment horizontal="center"/>
    </xf>
    <xf numFmtId="0" fontId="43" fillId="4" borderId="0" xfId="0" applyFont="1" applyFill="1" applyBorder="1" applyAlignment="1">
      <alignment horizontal="center" vertical="center"/>
    </xf>
    <xf numFmtId="0" fontId="43" fillId="6" borderId="0" xfId="0" applyFont="1" applyFill="1" applyBorder="1" applyAlignment="1">
      <alignment horizontal="center"/>
    </xf>
    <xf numFmtId="0" fontId="43" fillId="3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43" fontId="27" fillId="0" borderId="0" xfId="1" applyFont="1" applyAlignment="1">
      <alignment horizontal="left"/>
    </xf>
    <xf numFmtId="43" fontId="27" fillId="0" borderId="69" xfId="1" applyFont="1" applyBorder="1" applyAlignment="1">
      <alignment horizontal="left"/>
    </xf>
    <xf numFmtId="165" fontId="27" fillId="0" borderId="0" xfId="1" applyNumberFormat="1" applyFont="1" applyBorder="1"/>
    <xf numFmtId="0" fontId="27" fillId="0" borderId="0" xfId="0" applyFont="1" applyAlignment="1">
      <alignment horizontal="left"/>
    </xf>
    <xf numFmtId="0" fontId="27" fillId="0" borderId="69" xfId="0" applyFont="1" applyBorder="1" applyAlignment="1">
      <alignment horizontal="left"/>
    </xf>
    <xf numFmtId="43" fontId="11" fillId="0" borderId="0" xfId="1" applyFont="1"/>
    <xf numFmtId="165" fontId="16" fillId="0" borderId="0" xfId="1" applyNumberFormat="1" applyFont="1"/>
    <xf numFmtId="165" fontId="43" fillId="0" borderId="0" xfId="1" applyNumberFormat="1" applyFont="1" applyBorder="1"/>
    <xf numFmtId="165" fontId="34" fillId="0" borderId="0" xfId="1" applyNumberFormat="1" applyFont="1"/>
    <xf numFmtId="165" fontId="11" fillId="0" borderId="68" xfId="1" applyNumberFormat="1" applyFont="1" applyBorder="1"/>
    <xf numFmtId="165" fontId="11" fillId="0" borderId="0" xfId="1" applyNumberFormat="1" applyFont="1"/>
    <xf numFmtId="165" fontId="3" fillId="5" borderId="71" xfId="1" applyNumberFormat="1" applyFont="1" applyFill="1" applyBorder="1"/>
    <xf numFmtId="165" fontId="3" fillId="3" borderId="71" xfId="1" applyNumberFormat="1" applyFont="1" applyFill="1" applyBorder="1"/>
    <xf numFmtId="165" fontId="11" fillId="0" borderId="0" xfId="1" applyNumberFormat="1" applyFont="1" applyFill="1" applyBorder="1"/>
    <xf numFmtId="165" fontId="4" fillId="0" borderId="0" xfId="1" applyNumberFormat="1" applyFont="1"/>
    <xf numFmtId="165" fontId="14" fillId="0" borderId="0" xfId="1" applyNumberFormat="1" applyFont="1"/>
    <xf numFmtId="165" fontId="4" fillId="0" borderId="69" xfId="1" applyNumberFormat="1" applyFont="1" applyBorder="1"/>
    <xf numFmtId="167" fontId="0" fillId="0" borderId="0" xfId="2" applyNumberFormat="1" applyFont="1" applyBorder="1"/>
    <xf numFmtId="167" fontId="0" fillId="0" borderId="0" xfId="2" applyNumberFormat="1" applyFont="1"/>
    <xf numFmtId="14" fontId="0" fillId="0" borderId="87" xfId="1" applyNumberFormat="1" applyFont="1" applyBorder="1" applyAlignment="1">
      <alignment horizontal="center"/>
    </xf>
    <xf numFmtId="14" fontId="0" fillId="0" borderId="67" xfId="1" applyNumberFormat="1" applyFont="1" applyBorder="1" applyAlignment="1">
      <alignment horizontal="center"/>
    </xf>
    <xf numFmtId="14" fontId="0" fillId="0" borderId="80" xfId="1" applyNumberFormat="1" applyFont="1" applyBorder="1" applyAlignment="1">
      <alignment horizontal="center"/>
    </xf>
    <xf numFmtId="43" fontId="0" fillId="0" borderId="80" xfId="1" applyFont="1" applyBorder="1"/>
    <xf numFmtId="165" fontId="0" fillId="0" borderId="154" xfId="1" applyNumberFormat="1" applyFont="1" applyBorder="1" applyAlignment="1">
      <alignment horizontal="center"/>
    </xf>
    <xf numFmtId="43" fontId="0" fillId="0" borderId="155" xfId="1" applyFont="1" applyBorder="1"/>
    <xf numFmtId="9" fontId="0" fillId="0" borderId="165" xfId="2" applyFont="1" applyBorder="1"/>
    <xf numFmtId="43" fontId="0" fillId="0" borderId="166" xfId="1" applyFont="1" applyBorder="1"/>
    <xf numFmtId="14" fontId="0" fillId="0" borderId="155" xfId="1" applyNumberFormat="1" applyFont="1" applyBorder="1" applyAlignment="1">
      <alignment horizontal="center"/>
    </xf>
    <xf numFmtId="43" fontId="0" fillId="0" borderId="154" xfId="1" applyFont="1" applyBorder="1"/>
    <xf numFmtId="0" fontId="34" fillId="14" borderId="0" xfId="0" applyFont="1" applyFill="1"/>
    <xf numFmtId="0" fontId="5" fillId="3" borderId="0" xfId="0" applyFont="1" applyFill="1"/>
    <xf numFmtId="0" fontId="41" fillId="0" borderId="68" xfId="3" applyFont="1" applyBorder="1"/>
    <xf numFmtId="165" fontId="11" fillId="0" borderId="68" xfId="1" applyNumberFormat="1" applyFont="1" applyFill="1" applyBorder="1"/>
    <xf numFmtId="0" fontId="45" fillId="0" borderId="0" xfId="0" applyFont="1" applyBorder="1"/>
    <xf numFmtId="165" fontId="1" fillId="13" borderId="108" xfId="1" applyNumberFormat="1" applyFont="1" applyFill="1" applyBorder="1"/>
    <xf numFmtId="165" fontId="20" fillId="10" borderId="106" xfId="1" applyNumberFormat="1" applyFont="1" applyFill="1" applyBorder="1"/>
    <xf numFmtId="165" fontId="20" fillId="10" borderId="113" xfId="1" applyNumberFormat="1" applyFont="1" applyFill="1" applyBorder="1"/>
    <xf numFmtId="165" fontId="20" fillId="13" borderId="108" xfId="1" applyNumberFormat="1" applyFont="1" applyFill="1" applyBorder="1"/>
    <xf numFmtId="0" fontId="0" fillId="2" borderId="125" xfId="0" applyFill="1" applyBorder="1"/>
    <xf numFmtId="0" fontId="0" fillId="2" borderId="0" xfId="0" applyFill="1" applyAlignment="1">
      <alignment vertical="center" wrapText="1"/>
    </xf>
    <xf numFmtId="0" fontId="0" fillId="2" borderId="69" xfId="0" applyFill="1" applyBorder="1"/>
    <xf numFmtId="0" fontId="46" fillId="0" borderId="0" xfId="0" applyFont="1"/>
    <xf numFmtId="165" fontId="46" fillId="0" borderId="0" xfId="1" applyNumberFormat="1" applyFont="1"/>
    <xf numFmtId="165" fontId="47" fillId="0" borderId="0" xfId="1" applyNumberFormat="1" applyFont="1"/>
    <xf numFmtId="0" fontId="48" fillId="0" borderId="0" xfId="0" applyFont="1"/>
    <xf numFmtId="43" fontId="5" fillId="7" borderId="83" xfId="1" applyFont="1" applyFill="1" applyBorder="1" applyAlignment="1">
      <alignment vertical="center"/>
    </xf>
    <xf numFmtId="43" fontId="5" fillId="7" borderId="84" xfId="1" applyFont="1" applyFill="1" applyBorder="1" applyAlignment="1">
      <alignment vertical="center"/>
    </xf>
    <xf numFmtId="43" fontId="5" fillId="11" borderId="0" xfId="1" applyFont="1" applyFill="1"/>
    <xf numFmtId="43" fontId="0" fillId="0" borderId="97" xfId="1" applyFont="1" applyBorder="1"/>
    <xf numFmtId="43" fontId="5" fillId="7" borderId="0" xfId="1" applyFont="1" applyFill="1" applyBorder="1" applyAlignment="1">
      <alignment vertical="center"/>
    </xf>
    <xf numFmtId="43" fontId="5" fillId="7" borderId="102" xfId="1" applyFont="1" applyFill="1" applyBorder="1" applyAlignment="1">
      <alignment vertical="center"/>
    </xf>
    <xf numFmtId="43" fontId="0" fillId="0" borderId="125" xfId="1" applyFont="1" applyBorder="1"/>
    <xf numFmtId="43" fontId="0" fillId="0" borderId="0" xfId="1" applyFont="1" applyBorder="1" applyAlignment="1">
      <alignment vertical="center" wrapText="1"/>
    </xf>
    <xf numFmtId="43" fontId="0" fillId="0" borderId="69" xfId="1" applyFont="1" applyBorder="1"/>
    <xf numFmtId="43" fontId="0" fillId="0" borderId="69" xfId="1" applyFont="1" applyBorder="1" applyAlignment="1">
      <alignment horizontal="center"/>
    </xf>
    <xf numFmtId="43" fontId="46" fillId="0" borderId="0" xfId="1" applyFont="1"/>
    <xf numFmtId="0" fontId="0" fillId="0" borderId="0" xfId="0" applyAlignment="1">
      <alignment horizont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5" fillId="3" borderId="0" xfId="3" applyFont="1" applyFill="1" applyAlignment="1" applyProtection="1">
      <alignment horizontal="center" vertical="center" wrapText="1"/>
      <protection locked="0"/>
    </xf>
    <xf numFmtId="0" fontId="5" fillId="3" borderId="153" xfId="3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0" fillId="0" borderId="0" xfId="0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left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3" fillId="3" borderId="0" xfId="0" applyFont="1" applyFill="1" applyAlignment="1" applyProtection="1">
      <alignment horizontal="center"/>
      <protection locked="0"/>
    </xf>
    <xf numFmtId="14" fontId="0" fillId="0" borderId="0" xfId="1" applyNumberFormat="1" applyFont="1" applyBorder="1" applyAlignment="1" applyProtection="1">
      <alignment horizontal="center"/>
      <protection locked="0"/>
    </xf>
    <xf numFmtId="43" fontId="13" fillId="0" borderId="7" xfId="1" applyFont="1" applyBorder="1" applyAlignment="1" applyProtection="1">
      <alignment horizontal="center"/>
      <protection locked="0"/>
    </xf>
    <xf numFmtId="43" fontId="13" fillId="0" borderId="0" xfId="1" applyFont="1" applyProtection="1">
      <protection locked="0"/>
    </xf>
    <xf numFmtId="43" fontId="0" fillId="0" borderId="0" xfId="1" applyFont="1" applyProtection="1">
      <protection locked="0"/>
    </xf>
    <xf numFmtId="43" fontId="0" fillId="0" borderId="8" xfId="1" applyFont="1" applyBorder="1" applyProtection="1">
      <protection locked="0"/>
    </xf>
    <xf numFmtId="43" fontId="0" fillId="0" borderId="0" xfId="1" applyFont="1" applyBorder="1" applyAlignment="1" applyProtection="1">
      <alignment horizontal="center"/>
      <protection locked="0"/>
    </xf>
    <xf numFmtId="43" fontId="0" fillId="0" borderId="9" xfId="1" applyFont="1" applyBorder="1" applyProtection="1">
      <protection locked="0"/>
    </xf>
    <xf numFmtId="9" fontId="0" fillId="0" borderId="7" xfId="2" applyFont="1" applyBorder="1" applyProtection="1">
      <protection locked="0"/>
    </xf>
    <xf numFmtId="0" fontId="4" fillId="16" borderId="0" xfId="0" applyFont="1" applyFill="1" applyAlignment="1" applyProtection="1">
      <alignment horizontal="center"/>
      <protection locked="0"/>
    </xf>
    <xf numFmtId="172" fontId="4" fillId="16" borderId="0" xfId="0" applyNumberFormat="1" applyFont="1" applyFill="1" applyAlignment="1" applyProtection="1">
      <alignment horizontal="center"/>
      <protection locked="0"/>
    </xf>
    <xf numFmtId="43" fontId="13" fillId="0" borderId="0" xfId="1" applyNumberFormat="1" applyFont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43" fontId="13" fillId="0" borderId="0" xfId="1" applyFont="1" applyBorder="1" applyProtection="1">
      <protection locked="0"/>
    </xf>
    <xf numFmtId="43" fontId="0" fillId="0" borderId="0" xfId="1" applyFont="1" applyBorder="1" applyProtection="1">
      <protection locked="0"/>
    </xf>
    <xf numFmtId="43" fontId="13" fillId="0" borderId="0" xfId="1" applyNumberFormat="1" applyFont="1" applyBorder="1" applyAlignment="1" applyProtection="1">
      <alignment horizontal="center"/>
      <protection locked="0"/>
    </xf>
    <xf numFmtId="14" fontId="0" fillId="0" borderId="9" xfId="1" applyNumberFormat="1" applyFont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right" vertical="center"/>
      <protection locked="0"/>
    </xf>
    <xf numFmtId="14" fontId="0" fillId="0" borderId="139" xfId="1" applyNumberFormat="1" applyFont="1" applyBorder="1" applyAlignment="1" applyProtection="1">
      <alignment horizontal="center"/>
      <protection locked="0"/>
    </xf>
    <xf numFmtId="43" fontId="0" fillId="0" borderId="139" xfId="1" applyFont="1" applyBorder="1" applyProtection="1">
      <protection locked="0"/>
    </xf>
    <xf numFmtId="43" fontId="0" fillId="0" borderId="94" xfId="1" applyFont="1" applyBorder="1" applyProtection="1">
      <protection locked="0"/>
    </xf>
    <xf numFmtId="43" fontId="0" fillId="0" borderId="139" xfId="1" applyFont="1" applyBorder="1" applyAlignment="1" applyProtection="1">
      <alignment horizontal="center"/>
      <protection locked="0"/>
    </xf>
    <xf numFmtId="43" fontId="0" fillId="0" borderId="141" xfId="1" applyFont="1" applyBorder="1" applyProtection="1">
      <protection locked="0"/>
    </xf>
    <xf numFmtId="9" fontId="0" fillId="0" borderId="140" xfId="2" applyFont="1" applyBorder="1" applyProtection="1">
      <protection locked="0"/>
    </xf>
    <xf numFmtId="43" fontId="4" fillId="16" borderId="0" xfId="0" applyNumberFormat="1" applyFont="1" applyFill="1" applyAlignment="1" applyProtection="1">
      <alignment horizontal="center"/>
      <protection locked="0"/>
    </xf>
    <xf numFmtId="14" fontId="0" fillId="0" borderId="90" xfId="1" applyNumberFormat="1" applyFont="1" applyBorder="1" applyAlignment="1" applyProtection="1">
      <alignment horizontal="center"/>
      <protection locked="0"/>
    </xf>
    <xf numFmtId="43" fontId="13" fillId="0" borderId="90" xfId="1" applyNumberFormat="1" applyFont="1" applyBorder="1" applyAlignment="1" applyProtection="1">
      <alignment horizontal="center"/>
      <protection locked="0"/>
    </xf>
    <xf numFmtId="43" fontId="0" fillId="0" borderId="93" xfId="1" applyFont="1" applyBorder="1" applyProtection="1">
      <protection locked="0"/>
    </xf>
    <xf numFmtId="43" fontId="0" fillId="0" borderId="90" xfId="1" applyFont="1" applyBorder="1" applyAlignment="1" applyProtection="1">
      <alignment horizontal="center"/>
      <protection locked="0"/>
    </xf>
    <xf numFmtId="43" fontId="0" fillId="0" borderId="89" xfId="1" applyFont="1" applyBorder="1" applyProtection="1">
      <protection locked="0"/>
    </xf>
    <xf numFmtId="9" fontId="0" fillId="0" borderId="92" xfId="2" applyFont="1" applyBorder="1" applyProtection="1">
      <protection locked="0"/>
    </xf>
    <xf numFmtId="43" fontId="13" fillId="0" borderId="139" xfId="1" applyNumberFormat="1" applyFont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7" xfId="0" applyBorder="1" applyAlignment="1" applyProtection="1">
      <alignment horizontal="left" vertical="center" wrapText="1"/>
      <protection locked="0"/>
    </xf>
    <xf numFmtId="43" fontId="0" fillId="0" borderId="7" xfId="1" applyFont="1" applyBorder="1" applyAlignment="1" applyProtection="1">
      <alignment horizontal="left"/>
      <protection locked="0"/>
    </xf>
    <xf numFmtId="43" fontId="36" fillId="0" borderId="0" xfId="1" applyFont="1" applyProtection="1">
      <protection locked="0"/>
    </xf>
    <xf numFmtId="43" fontId="36" fillId="0" borderId="0" xfId="1" applyFont="1" applyBorder="1" applyProtection="1">
      <protection locked="0"/>
    </xf>
    <xf numFmtId="43" fontId="36" fillId="0" borderId="0" xfId="1" applyFont="1" applyBorder="1" applyAlignment="1" applyProtection="1">
      <alignment horizontal="left"/>
      <protection locked="0"/>
    </xf>
    <xf numFmtId="43" fontId="0" fillId="0" borderId="140" xfId="1" applyFont="1" applyBorder="1" applyAlignment="1" applyProtection="1">
      <alignment horizontal="left"/>
      <protection locked="0"/>
    </xf>
    <xf numFmtId="43" fontId="36" fillId="0" borderId="139" xfId="1" applyFont="1" applyBorder="1" applyProtection="1">
      <protection locked="0"/>
    </xf>
    <xf numFmtId="43" fontId="0" fillId="0" borderId="92" xfId="1" applyFont="1" applyBorder="1" applyAlignment="1" applyProtection="1">
      <alignment horizontal="left"/>
      <protection locked="0"/>
    </xf>
    <xf numFmtId="43" fontId="36" fillId="0" borderId="90" xfId="1" applyFont="1" applyBorder="1" applyProtection="1">
      <protection locked="0"/>
    </xf>
    <xf numFmtId="43" fontId="0" fillId="0" borderId="7" xfId="1" applyFont="1" applyBorder="1" applyAlignment="1" applyProtection="1">
      <alignment horizontal="center"/>
      <protection locked="0"/>
    </xf>
    <xf numFmtId="43" fontId="0" fillId="0" borderId="8" xfId="1" applyNumberFormat="1" applyFont="1" applyBorder="1" applyAlignment="1" applyProtection="1">
      <alignment horizontal="center"/>
      <protection locked="0"/>
    </xf>
    <xf numFmtId="14" fontId="0" fillId="0" borderId="1" xfId="1" applyNumberFormat="1" applyFont="1" applyBorder="1" applyAlignment="1" applyProtection="1">
      <alignment horizontal="center"/>
      <protection locked="0"/>
    </xf>
    <xf numFmtId="43" fontId="0" fillId="0" borderId="1" xfId="1" applyFont="1" applyBorder="1" applyProtection="1">
      <protection locked="0"/>
    </xf>
    <xf numFmtId="14" fontId="0" fillId="0" borderId="91" xfId="1" applyNumberFormat="1" applyFont="1" applyBorder="1" applyAlignment="1" applyProtection="1">
      <alignment horizontal="center"/>
      <protection locked="0"/>
    </xf>
    <xf numFmtId="43" fontId="0" fillId="0" borderId="90" xfId="1" applyFont="1" applyBorder="1" applyProtection="1">
      <protection locked="0"/>
    </xf>
    <xf numFmtId="43" fontId="0" fillId="0" borderId="93" xfId="1" applyNumberFormat="1" applyFont="1" applyBorder="1" applyAlignment="1" applyProtection="1">
      <alignment horizontal="center"/>
      <protection locked="0"/>
    </xf>
    <xf numFmtId="43" fontId="0" fillId="0" borderId="91" xfId="1" applyFont="1" applyBorder="1" applyProtection="1">
      <protection locked="0"/>
    </xf>
    <xf numFmtId="14" fontId="0" fillId="0" borderId="0" xfId="1" applyNumberFormat="1" applyFont="1" applyAlignment="1" applyProtection="1">
      <alignment horizontal="center"/>
      <protection locked="0"/>
    </xf>
    <xf numFmtId="14" fontId="0" fillId="9" borderId="0" xfId="1" applyNumberFormat="1" applyFont="1" applyFill="1" applyAlignment="1" applyProtection="1">
      <alignment horizontal="center"/>
      <protection locked="0"/>
    </xf>
    <xf numFmtId="14" fontId="0" fillId="9" borderId="1" xfId="1" applyNumberFormat="1" applyFont="1" applyFill="1" applyBorder="1" applyAlignment="1" applyProtection="1">
      <alignment horizontal="center"/>
      <protection locked="0"/>
    </xf>
    <xf numFmtId="14" fontId="0" fillId="9" borderId="94" xfId="1" applyNumberFormat="1" applyFont="1" applyFill="1" applyBorder="1" applyAlignment="1" applyProtection="1">
      <alignment horizontal="center"/>
      <protection locked="0"/>
    </xf>
    <xf numFmtId="14" fontId="0" fillId="9" borderId="8" xfId="1" applyNumberFormat="1" applyFont="1" applyFill="1" applyBorder="1" applyAlignment="1" applyProtection="1">
      <alignment horizontal="center"/>
      <protection locked="0"/>
    </xf>
    <xf numFmtId="165" fontId="0" fillId="0" borderId="8" xfId="1" applyNumberFormat="1" applyFont="1" applyBorder="1" applyAlignment="1" applyProtection="1">
      <alignment horizontal="center"/>
      <protection locked="0"/>
    </xf>
    <xf numFmtId="43" fontId="0" fillId="0" borderId="9" xfId="1" applyFont="1" applyBorder="1" applyAlignment="1" applyProtection="1">
      <alignment horizontal="left" vertical="center" wrapText="1"/>
      <protection locked="0"/>
    </xf>
    <xf numFmtId="14" fontId="0" fillId="0" borderId="68" xfId="1" applyNumberFormat="1" applyFont="1" applyBorder="1" applyAlignment="1" applyProtection="1">
      <alignment horizontal="center"/>
      <protection locked="0"/>
    </xf>
    <xf numFmtId="14" fontId="0" fillId="0" borderId="87" xfId="1" applyNumberFormat="1" applyFont="1" applyBorder="1" applyAlignment="1" applyProtection="1">
      <alignment horizontal="center"/>
      <protection locked="0"/>
    </xf>
    <xf numFmtId="43" fontId="13" fillId="0" borderId="88" xfId="1" applyFont="1" applyBorder="1" applyAlignment="1" applyProtection="1">
      <alignment horizontal="center"/>
      <protection locked="0"/>
    </xf>
    <xf numFmtId="43" fontId="0" fillId="0" borderId="68" xfId="1" applyFont="1" applyBorder="1" applyProtection="1">
      <protection locked="0"/>
    </xf>
    <xf numFmtId="165" fontId="0" fillId="0" borderId="82" xfId="1" applyNumberFormat="1" applyFont="1" applyBorder="1" applyAlignment="1" applyProtection="1">
      <alignment horizontal="center"/>
      <protection locked="0"/>
    </xf>
    <xf numFmtId="43" fontId="0" fillId="0" borderId="87" xfId="1" applyFont="1" applyBorder="1" applyProtection="1">
      <protection locked="0"/>
    </xf>
    <xf numFmtId="9" fontId="0" fillId="0" borderId="88" xfId="2" applyFont="1" applyBorder="1" applyProtection="1">
      <protection locked="0"/>
    </xf>
    <xf numFmtId="43" fontId="0" fillId="0" borderId="144" xfId="1" applyFont="1" applyBorder="1" applyProtection="1">
      <protection locked="0"/>
    </xf>
    <xf numFmtId="165" fontId="0" fillId="0" borderId="93" xfId="1" applyNumberFormat="1" applyFont="1" applyBorder="1" applyAlignment="1" applyProtection="1">
      <alignment horizontal="center"/>
      <protection locked="0"/>
    </xf>
    <xf numFmtId="14" fontId="0" fillId="0" borderId="89" xfId="1" applyNumberFormat="1" applyFont="1" applyBorder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36" fillId="0" borderId="7" xfId="0" applyFont="1" applyBorder="1" applyAlignment="1" applyProtection="1">
      <alignment horizontal="center" vertical="center" wrapText="1"/>
      <protection locked="0"/>
    </xf>
    <xf numFmtId="14" fontId="13" fillId="0" borderId="0" xfId="1" applyNumberFormat="1" applyFont="1" applyBorder="1" applyAlignment="1" applyProtection="1">
      <alignment horizontal="center"/>
      <protection locked="0"/>
    </xf>
    <xf numFmtId="43" fontId="0" fillId="0" borderId="7" xfId="1" applyFont="1" applyBorder="1" applyProtection="1">
      <protection locked="0"/>
    </xf>
    <xf numFmtId="165" fontId="0" fillId="0" borderId="7" xfId="1" applyNumberFormat="1" applyFont="1" applyBorder="1" applyAlignment="1" applyProtection="1">
      <alignment horizontal="center"/>
      <protection locked="0"/>
    </xf>
    <xf numFmtId="43" fontId="0" fillId="0" borderId="156" xfId="1" applyFont="1" applyBorder="1" applyProtection="1">
      <protection locked="0"/>
    </xf>
    <xf numFmtId="43" fontId="0" fillId="0" borderId="1" xfId="1" applyFont="1" applyBorder="1" applyAlignment="1" applyProtection="1">
      <alignment horizontal="center"/>
      <protection locked="0"/>
    </xf>
    <xf numFmtId="9" fontId="0" fillId="0" borderId="9" xfId="2" applyFont="1" applyBorder="1" applyProtection="1">
      <protection locked="0"/>
    </xf>
    <xf numFmtId="14" fontId="0" fillId="0" borderId="156" xfId="1" applyNumberFormat="1" applyFont="1" applyBorder="1" applyAlignment="1" applyProtection="1">
      <alignment horizontal="center"/>
      <protection locked="0"/>
    </xf>
    <xf numFmtId="14" fontId="0" fillId="0" borderId="157" xfId="1" applyNumberFormat="1" applyFont="1" applyBorder="1" applyAlignment="1" applyProtection="1">
      <alignment horizontal="center"/>
      <protection locked="0"/>
    </xf>
    <xf numFmtId="43" fontId="13" fillId="0" borderId="158" xfId="1" applyFont="1" applyBorder="1" applyAlignment="1" applyProtection="1">
      <alignment horizontal="center"/>
      <protection locked="0"/>
    </xf>
    <xf numFmtId="43" fontId="13" fillId="0" borderId="156" xfId="1" applyFont="1" applyBorder="1" applyProtection="1">
      <protection locked="0"/>
    </xf>
    <xf numFmtId="43" fontId="0" fillId="0" borderId="158" xfId="1" applyFont="1" applyBorder="1" applyProtection="1">
      <protection locked="0"/>
    </xf>
    <xf numFmtId="43" fontId="0" fillId="0" borderId="158" xfId="1" applyFont="1" applyBorder="1" applyAlignment="1" applyProtection="1">
      <alignment horizontal="center"/>
      <protection locked="0"/>
    </xf>
    <xf numFmtId="43" fontId="0" fillId="0" borderId="156" xfId="1" applyFont="1" applyBorder="1" applyAlignment="1" applyProtection="1">
      <alignment horizontal="center"/>
      <protection locked="0"/>
    </xf>
    <xf numFmtId="43" fontId="0" fillId="0" borderId="157" xfId="1" applyFont="1" applyBorder="1" applyAlignment="1" applyProtection="1">
      <alignment horizontal="center"/>
      <protection locked="0"/>
    </xf>
    <xf numFmtId="9" fontId="0" fillId="0" borderId="159" xfId="2" applyFont="1" applyBorder="1" applyProtection="1">
      <protection locked="0"/>
    </xf>
    <xf numFmtId="43" fontId="0" fillId="0" borderId="3" xfId="1" applyFont="1" applyBorder="1" applyAlignment="1" applyProtection="1">
      <alignment horizontal="center"/>
      <protection locked="0"/>
    </xf>
    <xf numFmtId="14" fontId="0" fillId="0" borderId="62" xfId="1" applyNumberFormat="1" applyFont="1" applyBorder="1" applyAlignment="1" applyProtection="1">
      <alignment horizontal="center"/>
      <protection locked="0"/>
    </xf>
    <xf numFmtId="14" fontId="0" fillId="0" borderId="64" xfId="1" applyNumberFormat="1" applyFont="1" applyBorder="1" applyAlignment="1" applyProtection="1">
      <alignment horizontal="center"/>
      <protection locked="0"/>
    </xf>
    <xf numFmtId="43" fontId="13" fillId="0" borderId="63" xfId="1" applyFont="1" applyBorder="1" applyAlignment="1" applyProtection="1">
      <alignment horizontal="center"/>
      <protection locked="0"/>
    </xf>
    <xf numFmtId="43" fontId="0" fillId="0" borderId="62" xfId="1" applyFont="1" applyBorder="1" applyProtection="1">
      <protection locked="0"/>
    </xf>
    <xf numFmtId="43" fontId="0" fillId="0" borderId="63" xfId="1" applyFont="1" applyBorder="1" applyProtection="1">
      <protection locked="0"/>
    </xf>
    <xf numFmtId="43" fontId="0" fillId="0" borderId="63" xfId="1" applyFont="1" applyBorder="1" applyAlignment="1" applyProtection="1">
      <alignment horizontal="center"/>
      <protection locked="0"/>
    </xf>
    <xf numFmtId="43" fontId="0" fillId="0" borderId="62" xfId="1" applyFont="1" applyBorder="1" applyAlignment="1" applyProtection="1">
      <alignment horizontal="center"/>
      <protection locked="0"/>
    </xf>
    <xf numFmtId="43" fontId="0" fillId="0" borderId="64" xfId="1" applyFont="1" applyBorder="1" applyAlignment="1" applyProtection="1">
      <alignment horizontal="center"/>
      <protection locked="0"/>
    </xf>
    <xf numFmtId="9" fontId="0" fillId="0" borderId="67" xfId="2" applyFont="1" applyBorder="1" applyProtection="1">
      <protection locked="0"/>
    </xf>
    <xf numFmtId="9" fontId="0" fillId="0" borderId="158" xfId="2" applyFont="1" applyBorder="1" applyProtection="1">
      <protection locked="0"/>
    </xf>
    <xf numFmtId="43" fontId="13" fillId="0" borderId="62" xfId="1" applyFont="1" applyBorder="1" applyProtection="1">
      <protection locked="0"/>
    </xf>
    <xf numFmtId="9" fontId="0" fillId="0" borderId="63" xfId="2" applyFont="1" applyBorder="1" applyProtection="1">
      <protection locked="0"/>
    </xf>
    <xf numFmtId="43" fontId="13" fillId="0" borderId="8" xfId="1" applyFont="1" applyBorder="1" applyProtection="1">
      <protection locked="0"/>
    </xf>
    <xf numFmtId="43" fontId="0" fillId="0" borderId="159" xfId="1" applyFont="1" applyBorder="1" applyProtection="1">
      <protection locked="0"/>
    </xf>
    <xf numFmtId="43" fontId="0" fillId="0" borderId="160" xfId="1" applyFont="1" applyBorder="1" applyAlignment="1" applyProtection="1">
      <alignment horizontal="center"/>
      <protection locked="0"/>
    </xf>
    <xf numFmtId="14" fontId="13" fillId="0" borderId="156" xfId="1" applyNumberFormat="1" applyFont="1" applyBorder="1" applyAlignment="1" applyProtection="1">
      <alignment horizontal="center"/>
      <protection locked="0"/>
    </xf>
    <xf numFmtId="14" fontId="0" fillId="0" borderId="159" xfId="1" applyNumberFormat="1" applyFont="1" applyBorder="1" applyAlignment="1" applyProtection="1">
      <alignment horizontal="center"/>
      <protection locked="0"/>
    </xf>
    <xf numFmtId="43" fontId="13" fillId="0" borderId="161" xfId="1" applyFont="1" applyBorder="1" applyProtection="1">
      <protection locked="0"/>
    </xf>
    <xf numFmtId="14" fontId="13" fillId="0" borderId="68" xfId="1" applyNumberFormat="1" applyFont="1" applyBorder="1" applyAlignment="1" applyProtection="1">
      <alignment horizontal="center"/>
      <protection locked="0"/>
    </xf>
    <xf numFmtId="43" fontId="13" fillId="0" borderId="82" xfId="1" applyFont="1" applyBorder="1" applyProtection="1">
      <protection locked="0"/>
    </xf>
    <xf numFmtId="43" fontId="0" fillId="0" borderId="88" xfId="1" applyFont="1" applyBorder="1" applyProtection="1">
      <protection locked="0"/>
    </xf>
    <xf numFmtId="43" fontId="0" fillId="0" borderId="88" xfId="1" applyFont="1" applyBorder="1" applyAlignment="1" applyProtection="1">
      <alignment horizontal="center"/>
      <protection locked="0"/>
    </xf>
    <xf numFmtId="43" fontId="0" fillId="0" borderId="146" xfId="1" applyFont="1" applyBorder="1" applyAlignment="1" applyProtection="1">
      <alignment horizontal="center"/>
      <protection locked="0"/>
    </xf>
    <xf numFmtId="165" fontId="0" fillId="0" borderId="88" xfId="1" applyNumberFormat="1" applyFont="1" applyBorder="1" applyAlignment="1" applyProtection="1">
      <alignment horizontal="center"/>
      <protection locked="0"/>
    </xf>
    <xf numFmtId="43" fontId="0" fillId="0" borderId="144" xfId="1" applyFont="1" applyBorder="1" applyAlignment="1" applyProtection="1">
      <alignment horizontal="center"/>
      <protection locked="0"/>
    </xf>
    <xf numFmtId="9" fontId="0" fillId="0" borderId="87" xfId="2" applyFont="1" applyBorder="1" applyProtection="1">
      <protection locked="0"/>
    </xf>
    <xf numFmtId="165" fontId="13" fillId="0" borderId="160" xfId="1" applyNumberFormat="1" applyFont="1" applyBorder="1" applyAlignment="1" applyProtection="1">
      <alignment horizontal="center"/>
      <protection locked="0"/>
    </xf>
    <xf numFmtId="165" fontId="13" fillId="0" borderId="3" xfId="1" applyNumberFormat="1" applyFont="1" applyBorder="1" applyAlignment="1" applyProtection="1">
      <alignment horizontal="center"/>
      <protection locked="0"/>
    </xf>
    <xf numFmtId="14" fontId="13" fillId="0" borderId="62" xfId="1" applyNumberFormat="1" applyFont="1" applyBorder="1" applyAlignment="1" applyProtection="1">
      <alignment horizontal="center"/>
      <protection locked="0"/>
    </xf>
    <xf numFmtId="14" fontId="0" fillId="0" borderId="67" xfId="1" applyNumberFormat="1" applyFont="1" applyBorder="1" applyAlignment="1" applyProtection="1">
      <alignment horizontal="center"/>
      <protection locked="0"/>
    </xf>
    <xf numFmtId="43" fontId="13" fillId="0" borderId="66" xfId="1" applyFont="1" applyBorder="1" applyProtection="1">
      <protection locked="0"/>
    </xf>
    <xf numFmtId="43" fontId="0" fillId="0" borderId="67" xfId="1" applyFont="1" applyBorder="1" applyProtection="1">
      <protection locked="0"/>
    </xf>
    <xf numFmtId="43" fontId="0" fillId="0" borderId="65" xfId="1" applyFont="1" applyBorder="1" applyAlignment="1" applyProtection="1">
      <alignment horizontal="center"/>
      <protection locked="0"/>
    </xf>
    <xf numFmtId="43" fontId="4" fillId="0" borderId="8" xfId="1" applyFont="1" applyBorder="1" applyProtection="1">
      <protection locked="0"/>
    </xf>
    <xf numFmtId="43" fontId="4" fillId="0" borderId="161" xfId="1" applyFont="1" applyBorder="1" applyProtection="1">
      <protection locked="0"/>
    </xf>
    <xf numFmtId="43" fontId="0" fillId="0" borderId="161" xfId="1" applyFont="1" applyBorder="1" applyProtection="1">
      <protection locked="0"/>
    </xf>
    <xf numFmtId="0" fontId="2" fillId="0" borderId="0" xfId="0" applyFont="1" applyAlignment="1" applyProtection="1">
      <alignment horizontal="left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43" fontId="0" fillId="0" borderId="68" xfId="1" applyFont="1" applyBorder="1" applyAlignment="1" applyProtection="1">
      <alignment horizontal="center"/>
      <protection locked="0"/>
    </xf>
    <xf numFmtId="14" fontId="0" fillId="0" borderId="47" xfId="1" applyNumberFormat="1" applyFont="1" applyBorder="1" applyAlignment="1" applyProtection="1">
      <alignment horizontal="center"/>
      <protection locked="0"/>
    </xf>
    <xf numFmtId="43" fontId="13" fillId="0" borderId="48" xfId="1" applyFont="1" applyBorder="1" applyAlignment="1" applyProtection="1">
      <alignment horizontal="center"/>
      <protection locked="0"/>
    </xf>
    <xf numFmtId="43" fontId="0" fillId="0" borderId="47" xfId="1" applyFont="1" applyBorder="1" applyProtection="1">
      <protection locked="0"/>
    </xf>
    <xf numFmtId="43" fontId="0" fillId="0" borderId="48" xfId="1" applyFont="1" applyBorder="1" applyProtection="1">
      <protection locked="0"/>
    </xf>
    <xf numFmtId="43" fontId="0" fillId="0" borderId="48" xfId="1" applyFont="1" applyBorder="1" applyAlignment="1" applyProtection="1">
      <alignment horizontal="center"/>
      <protection locked="0"/>
    </xf>
    <xf numFmtId="43" fontId="0" fillId="0" borderId="47" xfId="1" applyFont="1" applyBorder="1" applyAlignment="1" applyProtection="1">
      <alignment horizontal="center"/>
      <protection locked="0"/>
    </xf>
    <xf numFmtId="9" fontId="0" fillId="0" borderId="48" xfId="2" applyFont="1" applyBorder="1" applyProtection="1">
      <protection locked="0"/>
    </xf>
    <xf numFmtId="14" fontId="0" fillId="0" borderId="144" xfId="1" applyNumberFormat="1" applyFont="1" applyBorder="1" applyAlignment="1" applyProtection="1">
      <alignment horizontal="center"/>
      <protection locked="0"/>
    </xf>
    <xf numFmtId="43" fontId="0" fillId="0" borderId="8" xfId="1" applyFont="1" applyBorder="1" applyAlignment="1" applyProtection="1">
      <alignment horizontal="center"/>
      <protection locked="0"/>
    </xf>
    <xf numFmtId="43" fontId="0" fillId="0" borderId="82" xfId="1" applyFont="1" applyBorder="1" applyAlignment="1" applyProtection="1">
      <alignment horizontal="center"/>
      <protection locked="0"/>
    </xf>
    <xf numFmtId="43" fontId="0" fillId="0" borderId="82" xfId="1" applyFont="1" applyBorder="1" applyProtection="1">
      <protection locked="0"/>
    </xf>
    <xf numFmtId="14" fontId="0" fillId="0" borderId="147" xfId="1" applyNumberFormat="1" applyFont="1" applyBorder="1" applyAlignment="1" applyProtection="1">
      <alignment horizontal="center"/>
      <protection locked="0"/>
    </xf>
    <xf numFmtId="14" fontId="0" fillId="0" borderId="148" xfId="1" applyNumberFormat="1" applyFont="1" applyBorder="1" applyAlignment="1" applyProtection="1">
      <alignment horizontal="center"/>
      <protection locked="0"/>
    </xf>
    <xf numFmtId="43" fontId="0" fillId="0" borderId="147" xfId="1" applyFont="1" applyBorder="1" applyProtection="1">
      <protection locked="0"/>
    </xf>
    <xf numFmtId="43" fontId="0" fillId="0" borderId="149" xfId="1" applyFont="1" applyBorder="1" applyProtection="1">
      <protection locked="0"/>
    </xf>
    <xf numFmtId="43" fontId="0" fillId="0" borderId="149" xfId="1" applyFont="1" applyBorder="1" applyAlignment="1" applyProtection="1">
      <alignment horizontal="center"/>
      <protection locked="0"/>
    </xf>
    <xf numFmtId="43" fontId="13" fillId="0" borderId="149" xfId="1" applyFont="1" applyBorder="1" applyAlignment="1" applyProtection="1">
      <alignment horizontal="center"/>
      <protection locked="0"/>
    </xf>
    <xf numFmtId="43" fontId="0" fillId="0" borderId="150" xfId="1" applyFont="1" applyBorder="1" applyAlignment="1" applyProtection="1">
      <alignment horizontal="center"/>
      <protection locked="0"/>
    </xf>
    <xf numFmtId="43" fontId="0" fillId="0" borderId="151" xfId="1" applyFont="1" applyBorder="1" applyProtection="1">
      <protection locked="0"/>
    </xf>
    <xf numFmtId="43" fontId="0" fillId="0" borderId="150" xfId="1" applyFont="1" applyBorder="1" applyProtection="1">
      <protection locked="0"/>
    </xf>
    <xf numFmtId="43" fontId="0" fillId="0" borderId="148" xfId="1" applyFont="1" applyBorder="1" applyAlignment="1" applyProtection="1">
      <alignment horizontal="center"/>
      <protection locked="0"/>
    </xf>
    <xf numFmtId="9" fontId="0" fillId="0" borderId="151" xfId="2" applyFont="1" applyBorder="1" applyProtection="1">
      <protection locked="0"/>
    </xf>
    <xf numFmtId="43" fontId="0" fillId="0" borderId="152" xfId="1" applyFont="1" applyBorder="1" applyAlignment="1" applyProtection="1">
      <alignment horizontal="center"/>
      <protection locked="0"/>
    </xf>
    <xf numFmtId="43" fontId="37" fillId="0" borderId="7" xfId="1" applyFont="1" applyBorder="1" applyProtection="1">
      <protection locked="0"/>
    </xf>
    <xf numFmtId="43" fontId="0" fillId="0" borderId="147" xfId="1" applyFont="1" applyBorder="1" applyAlignment="1" applyProtection="1">
      <alignment horizontal="center"/>
      <protection locked="0"/>
    </xf>
    <xf numFmtId="14" fontId="0" fillId="0" borderId="53" xfId="1" applyNumberFormat="1" applyFont="1" applyBorder="1" applyAlignment="1" applyProtection="1">
      <alignment horizontal="center"/>
      <protection locked="0"/>
    </xf>
    <xf numFmtId="43" fontId="13" fillId="0" borderId="54" xfId="1" applyFont="1" applyBorder="1" applyAlignment="1" applyProtection="1">
      <alignment horizontal="center"/>
      <protection locked="0"/>
    </xf>
    <xf numFmtId="43" fontId="0" fillId="0" borderId="53" xfId="1" applyFont="1" applyBorder="1" applyProtection="1">
      <protection locked="0"/>
    </xf>
    <xf numFmtId="43" fontId="0" fillId="0" borderId="54" xfId="1" applyFont="1" applyBorder="1" applyAlignment="1" applyProtection="1">
      <alignment horizontal="center"/>
      <protection locked="0"/>
    </xf>
    <xf numFmtId="43" fontId="0" fillId="0" borderId="53" xfId="1" applyFont="1" applyBorder="1" applyAlignment="1" applyProtection="1">
      <alignment horizontal="center"/>
      <protection locked="0"/>
    </xf>
    <xf numFmtId="9" fontId="0" fillId="0" borderId="54" xfId="2" applyFont="1" applyBorder="1" applyProtection="1"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14" fontId="13" fillId="0" borderId="31" xfId="1" applyNumberFormat="1" applyFont="1" applyBorder="1" applyAlignment="1" applyProtection="1">
      <alignment horizontal="center"/>
      <protection locked="0"/>
    </xf>
    <xf numFmtId="14" fontId="0" fillId="0" borderId="32" xfId="1" applyNumberFormat="1" applyFont="1" applyBorder="1" applyAlignment="1" applyProtection="1">
      <alignment horizontal="center"/>
      <protection locked="0"/>
    </xf>
    <xf numFmtId="43" fontId="13" fillId="0" borderId="31" xfId="1" applyFont="1" applyBorder="1" applyProtection="1">
      <protection locked="0"/>
    </xf>
    <xf numFmtId="43" fontId="0" fillId="0" borderId="31" xfId="1" applyFont="1" applyBorder="1" applyProtection="1">
      <protection locked="0"/>
    </xf>
    <xf numFmtId="165" fontId="0" fillId="0" borderId="34" xfId="1" applyNumberFormat="1" applyFont="1" applyBorder="1" applyAlignment="1" applyProtection="1">
      <alignment horizontal="center"/>
      <protection locked="0"/>
    </xf>
    <xf numFmtId="14" fontId="13" fillId="0" borderId="19" xfId="1" applyNumberFormat="1" applyFont="1" applyBorder="1" applyAlignment="1" applyProtection="1">
      <alignment horizontal="center"/>
      <protection locked="0"/>
    </xf>
    <xf numFmtId="14" fontId="0" fillId="0" borderId="20" xfId="1" applyNumberFormat="1" applyFont="1" applyBorder="1" applyAlignment="1" applyProtection="1">
      <alignment horizontal="center"/>
      <protection locked="0"/>
    </xf>
    <xf numFmtId="43" fontId="13" fillId="0" borderId="19" xfId="1" applyFont="1" applyBorder="1" applyProtection="1">
      <protection locked="0"/>
    </xf>
    <xf numFmtId="43" fontId="0" fillId="0" borderId="19" xfId="1" applyFont="1" applyBorder="1" applyProtection="1">
      <protection locked="0"/>
    </xf>
    <xf numFmtId="14" fontId="13" fillId="0" borderId="25" xfId="1" applyNumberFormat="1" applyFont="1" applyBorder="1" applyAlignment="1" applyProtection="1">
      <alignment horizontal="center"/>
      <protection locked="0"/>
    </xf>
    <xf numFmtId="14" fontId="0" fillId="0" borderId="26" xfId="1" applyNumberFormat="1" applyFont="1" applyBorder="1" applyAlignment="1" applyProtection="1">
      <alignment horizontal="center"/>
      <protection locked="0"/>
    </xf>
    <xf numFmtId="43" fontId="13" fillId="0" borderId="25" xfId="1" applyFont="1" applyBorder="1" applyProtection="1">
      <protection locked="0"/>
    </xf>
    <xf numFmtId="43" fontId="0" fillId="0" borderId="25" xfId="1" applyFont="1" applyBorder="1" applyProtection="1">
      <protection locked="0"/>
    </xf>
    <xf numFmtId="14" fontId="13" fillId="0" borderId="1" xfId="1" applyNumberFormat="1" applyFont="1" applyBorder="1" applyAlignment="1" applyProtection="1">
      <alignment horizontal="center"/>
      <protection locked="0"/>
    </xf>
    <xf numFmtId="14" fontId="13" fillId="0" borderId="144" xfId="1" applyNumberFormat="1" applyFont="1" applyBorder="1" applyAlignment="1" applyProtection="1">
      <alignment horizontal="center"/>
      <protection locked="0"/>
    </xf>
    <xf numFmtId="14" fontId="0" fillId="0" borderId="25" xfId="1" applyNumberFormat="1" applyFont="1" applyBorder="1" applyAlignment="1" applyProtection="1">
      <alignment horizontal="center"/>
      <protection locked="0"/>
    </xf>
    <xf numFmtId="165" fontId="0" fillId="0" borderId="28" xfId="1" applyNumberFormat="1" applyFont="1" applyBorder="1" applyAlignment="1" applyProtection="1">
      <alignment horizontal="center"/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0" borderId="1" xfId="0" applyNumberFormat="1" applyBorder="1" applyAlignment="1" applyProtection="1">
      <alignment horizontal="center"/>
      <protection locked="0"/>
    </xf>
    <xf numFmtId="0" fontId="0" fillId="0" borderId="2" xfId="0" applyNumberFormat="1" applyBorder="1" applyAlignment="1" applyProtection="1">
      <alignment horizontal="center"/>
      <protection locked="0"/>
    </xf>
    <xf numFmtId="0" fontId="0" fillId="0" borderId="0" xfId="0" applyNumberFormat="1" applyProtection="1">
      <protection locked="0"/>
    </xf>
    <xf numFmtId="0" fontId="0" fillId="0" borderId="0" xfId="0" applyNumberFormat="1" applyAlignment="1" applyProtection="1">
      <alignment horizontal="left"/>
      <protection locked="0"/>
    </xf>
    <xf numFmtId="0" fontId="0" fillId="0" borderId="7" xfId="0" applyNumberFormat="1" applyBorder="1" applyAlignment="1" applyProtection="1">
      <alignment horizontal="center"/>
      <protection locked="0"/>
    </xf>
    <xf numFmtId="9" fontId="0" fillId="0" borderId="0" xfId="2" applyFont="1" applyAlignment="1">
      <alignment horizontal="center"/>
    </xf>
    <xf numFmtId="43" fontId="49" fillId="0" borderId="139" xfId="1" applyNumberFormat="1" applyFont="1" applyBorder="1" applyAlignment="1" applyProtection="1">
      <alignment horizontal="center"/>
      <protection locked="0"/>
    </xf>
    <xf numFmtId="43" fontId="49" fillId="0" borderId="0" xfId="1" applyNumberFormat="1" applyFont="1" applyAlignment="1" applyProtection="1">
      <alignment horizontal="center"/>
      <protection locked="0"/>
    </xf>
    <xf numFmtId="43" fontId="50" fillId="0" borderId="139" xfId="1" applyFont="1" applyBorder="1" applyProtection="1">
      <protection locked="0"/>
    </xf>
    <xf numFmtId="43" fontId="50" fillId="0" borderId="0" xfId="1" applyFont="1" applyProtection="1">
      <protection locked="0"/>
    </xf>
    <xf numFmtId="0" fontId="51" fillId="0" borderId="9" xfId="0" applyNumberFormat="1" applyFont="1" applyBorder="1"/>
    <xf numFmtId="0" fontId="51" fillId="0" borderId="8" xfId="0" applyNumberFormat="1" applyFont="1" applyBorder="1" applyAlignment="1">
      <alignment horizontal="center"/>
    </xf>
    <xf numFmtId="43" fontId="51" fillId="0" borderId="7" xfId="0" applyNumberFormat="1" applyFont="1" applyBorder="1" applyAlignment="1">
      <alignment horizontal="center"/>
    </xf>
    <xf numFmtId="0" fontId="51" fillId="0" borderId="0" xfId="0" applyNumberFormat="1" applyFont="1" applyAlignment="1">
      <alignment horizontal="center"/>
    </xf>
    <xf numFmtId="43" fontId="13" fillId="16" borderId="7" xfId="1" applyFont="1" applyFill="1" applyBorder="1" applyAlignment="1" applyProtection="1">
      <alignment horizontal="center"/>
      <protection locked="0"/>
    </xf>
    <xf numFmtId="43" fontId="13" fillId="16" borderId="0" xfId="1" applyFont="1" applyFill="1" applyProtection="1">
      <protection locked="0"/>
    </xf>
    <xf numFmtId="43" fontId="13" fillId="16" borderId="0" xfId="1" applyFont="1" applyFill="1" applyAlignment="1" applyProtection="1">
      <alignment horizontal="center"/>
      <protection locked="0"/>
    </xf>
    <xf numFmtId="43" fontId="13" fillId="16" borderId="0" xfId="1" applyNumberFormat="1" applyFont="1" applyFill="1" applyAlignment="1" applyProtection="1">
      <alignment horizontal="center"/>
      <protection locked="0"/>
    </xf>
    <xf numFmtId="43" fontId="13" fillId="16" borderId="7" xfId="1" applyNumberFormat="1" applyFont="1" applyFill="1" applyBorder="1" applyAlignment="1" applyProtection="1">
      <alignment horizontal="center"/>
      <protection locked="0"/>
    </xf>
    <xf numFmtId="43" fontId="13" fillId="16" borderId="0" xfId="1" applyFont="1" applyFill="1" applyBorder="1" applyProtection="1">
      <protection locked="0"/>
    </xf>
    <xf numFmtId="43" fontId="13" fillId="16" borderId="0" xfId="1" applyFont="1" applyFill="1" applyBorder="1" applyAlignment="1" applyProtection="1">
      <alignment horizontal="center"/>
      <protection locked="0"/>
    </xf>
    <xf numFmtId="43" fontId="13" fillId="16" borderId="0" xfId="1" applyNumberFormat="1" applyFont="1" applyFill="1" applyBorder="1" applyAlignment="1" applyProtection="1">
      <alignment horizontal="center"/>
      <protection locked="0"/>
    </xf>
    <xf numFmtId="43" fontId="0" fillId="16" borderId="140" xfId="1" applyFont="1" applyFill="1" applyBorder="1" applyAlignment="1" applyProtection="1">
      <alignment horizontal="center"/>
      <protection locked="0"/>
    </xf>
    <xf numFmtId="43" fontId="0" fillId="16" borderId="139" xfId="1" applyFont="1" applyFill="1" applyBorder="1" applyProtection="1">
      <protection locked="0"/>
    </xf>
    <xf numFmtId="43" fontId="13" fillId="16" borderId="139" xfId="1" applyFont="1" applyFill="1" applyBorder="1" applyAlignment="1" applyProtection="1">
      <alignment horizontal="center"/>
      <protection locked="0"/>
    </xf>
    <xf numFmtId="43" fontId="13" fillId="16" borderId="140" xfId="1" applyFont="1" applyFill="1" applyBorder="1" applyAlignment="1" applyProtection="1">
      <alignment horizontal="center"/>
      <protection locked="0"/>
    </xf>
    <xf numFmtId="43" fontId="13" fillId="16" borderId="139" xfId="1" applyFont="1" applyFill="1" applyBorder="1" applyProtection="1">
      <protection locked="0"/>
    </xf>
    <xf numFmtId="43" fontId="13" fillId="16" borderId="90" xfId="1" applyNumberFormat="1" applyFont="1" applyFill="1" applyBorder="1" applyAlignment="1" applyProtection="1">
      <alignment horizontal="center"/>
      <protection locked="0"/>
    </xf>
    <xf numFmtId="43" fontId="13" fillId="16" borderId="92" xfId="1" applyNumberFormat="1" applyFont="1" applyFill="1" applyBorder="1" applyAlignment="1" applyProtection="1">
      <alignment horizontal="center"/>
      <protection locked="0"/>
    </xf>
    <xf numFmtId="43" fontId="13" fillId="16" borderId="139" xfId="1" applyNumberFormat="1" applyFont="1" applyFill="1" applyBorder="1" applyAlignment="1" applyProtection="1">
      <alignment horizontal="center"/>
      <protection locked="0"/>
    </xf>
    <xf numFmtId="43" fontId="13" fillId="16" borderId="140" xfId="1" applyNumberFormat="1" applyFont="1" applyFill="1" applyBorder="1" applyAlignment="1" applyProtection="1">
      <alignment horizontal="center"/>
      <protection locked="0"/>
    </xf>
    <xf numFmtId="43" fontId="49" fillId="16" borderId="139" xfId="1" applyNumberFormat="1" applyFont="1" applyFill="1" applyBorder="1" applyAlignment="1" applyProtection="1">
      <alignment horizontal="center"/>
      <protection locked="0"/>
    </xf>
    <xf numFmtId="43" fontId="49" fillId="16" borderId="140" xfId="1" applyNumberFormat="1" applyFont="1" applyFill="1" applyBorder="1" applyAlignment="1" applyProtection="1">
      <alignment horizontal="center"/>
      <protection locked="0"/>
    </xf>
    <xf numFmtId="43" fontId="49" fillId="16" borderId="0" xfId="1" applyNumberFormat="1" applyFont="1" applyFill="1" applyBorder="1" applyAlignment="1" applyProtection="1">
      <alignment horizontal="center"/>
      <protection locked="0"/>
    </xf>
    <xf numFmtId="43" fontId="49" fillId="16" borderId="7" xfId="1" applyNumberFormat="1" applyFont="1" applyFill="1" applyBorder="1" applyAlignment="1" applyProtection="1">
      <alignment horizontal="center"/>
      <protection locked="0"/>
    </xf>
    <xf numFmtId="43" fontId="13" fillId="16" borderId="90" xfId="1" applyFont="1" applyFill="1" applyBorder="1" applyProtection="1">
      <protection locked="0"/>
    </xf>
    <xf numFmtId="165" fontId="13" fillId="16" borderId="7" xfId="1" applyNumberFormat="1" applyFont="1" applyFill="1" applyBorder="1" applyAlignment="1" applyProtection="1">
      <alignment horizontal="center"/>
      <protection locked="0"/>
    </xf>
    <xf numFmtId="165" fontId="13" fillId="16" borderId="140" xfId="1" applyNumberFormat="1" applyFont="1" applyFill="1" applyBorder="1" applyAlignment="1" applyProtection="1">
      <alignment horizontal="center"/>
      <protection locked="0"/>
    </xf>
    <xf numFmtId="165" fontId="13" fillId="16" borderId="92" xfId="1" applyNumberFormat="1" applyFont="1" applyFill="1" applyBorder="1" applyAlignment="1" applyProtection="1">
      <alignment horizontal="center"/>
      <protection locked="0"/>
    </xf>
    <xf numFmtId="165" fontId="49" fillId="16" borderId="140" xfId="1" applyNumberFormat="1" applyFont="1" applyFill="1" applyBorder="1" applyAlignment="1" applyProtection="1">
      <alignment horizontal="center"/>
      <protection locked="0"/>
    </xf>
    <xf numFmtId="165" fontId="49" fillId="16" borderId="7" xfId="1" applyNumberFormat="1" applyFont="1" applyFill="1" applyBorder="1" applyAlignment="1" applyProtection="1">
      <alignment horizontal="center"/>
      <protection locked="0"/>
    </xf>
    <xf numFmtId="165" fontId="13" fillId="16" borderId="0" xfId="1" applyNumberFormat="1" applyFont="1" applyFill="1" applyBorder="1"/>
    <xf numFmtId="165" fontId="13" fillId="16" borderId="8" xfId="1" applyNumberFormat="1" applyFont="1" applyFill="1" applyBorder="1"/>
    <xf numFmtId="165" fontId="13" fillId="16" borderId="9" xfId="1" applyNumberFormat="1" applyFont="1" applyFill="1" applyBorder="1"/>
    <xf numFmtId="165" fontId="13" fillId="16" borderId="8" xfId="1" applyNumberFormat="1" applyFont="1" applyFill="1" applyBorder="1" applyAlignment="1">
      <alignment horizontal="center"/>
    </xf>
    <xf numFmtId="165" fontId="13" fillId="16" borderId="0" xfId="1" applyNumberFormat="1" applyFont="1" applyFill="1" applyBorder="1" applyAlignment="1">
      <alignment horizontal="center"/>
    </xf>
    <xf numFmtId="165" fontId="13" fillId="16" borderId="9" xfId="1" applyNumberFormat="1" applyFont="1" applyFill="1" applyBorder="1" applyAlignment="1">
      <alignment horizontal="center"/>
    </xf>
    <xf numFmtId="43" fontId="13" fillId="16" borderId="9" xfId="1" applyFont="1" applyFill="1" applyBorder="1"/>
    <xf numFmtId="43" fontId="13" fillId="16" borderId="8" xfId="1" applyFont="1" applyFill="1" applyBorder="1" applyAlignment="1">
      <alignment horizontal="center"/>
    </xf>
    <xf numFmtId="43" fontId="13" fillId="16" borderId="9" xfId="1" applyFont="1" applyFill="1" applyBorder="1" applyAlignment="1">
      <alignment horizontal="center"/>
    </xf>
    <xf numFmtId="43" fontId="13" fillId="16" borderId="0" xfId="1" applyFont="1" applyFill="1" applyBorder="1" applyAlignment="1">
      <alignment horizontal="center"/>
    </xf>
    <xf numFmtId="165" fontId="13" fillId="16" borderId="0" xfId="1" applyNumberFormat="1" applyFont="1" applyFill="1" applyAlignment="1">
      <alignment horizontal="center"/>
    </xf>
    <xf numFmtId="43" fontId="13" fillId="16" borderId="0" xfId="1" applyFont="1" applyFill="1" applyAlignment="1">
      <alignment horizontal="center"/>
    </xf>
    <xf numFmtId="43" fontId="13" fillId="16" borderId="8" xfId="1" applyFont="1" applyFill="1" applyBorder="1"/>
    <xf numFmtId="165" fontId="13" fillId="16" borderId="3" xfId="1" applyNumberFormat="1" applyFont="1" applyFill="1" applyBorder="1"/>
    <xf numFmtId="43" fontId="13" fillId="16" borderId="8" xfId="1" applyNumberFormat="1" applyFont="1" applyFill="1" applyBorder="1" applyAlignment="1">
      <alignment horizontal="center"/>
    </xf>
    <xf numFmtId="43" fontId="13" fillId="16" borderId="0" xfId="1" applyNumberFormat="1" applyFont="1" applyFill="1" applyAlignment="1">
      <alignment horizontal="center"/>
    </xf>
    <xf numFmtId="43" fontId="13" fillId="16" borderId="8" xfId="1" applyNumberFormat="1" applyFont="1" applyFill="1" applyBorder="1"/>
    <xf numFmtId="43" fontId="13" fillId="16" borderId="0" xfId="1" applyNumberFormat="1" applyFont="1" applyFill="1" applyBorder="1" applyAlignment="1">
      <alignment horizontal="center"/>
    </xf>
    <xf numFmtId="165" fontId="13" fillId="16" borderId="1" xfId="1" applyNumberFormat="1" applyFont="1" applyFill="1" applyBorder="1"/>
    <xf numFmtId="165" fontId="13" fillId="16" borderId="139" xfId="1" applyNumberFormat="1" applyFont="1" applyFill="1" applyBorder="1"/>
    <xf numFmtId="165" fontId="13" fillId="16" borderId="94" xfId="1" applyNumberFormat="1" applyFont="1" applyFill="1" applyBorder="1"/>
    <xf numFmtId="165" fontId="13" fillId="16" borderId="141" xfId="1" applyNumberFormat="1" applyFont="1" applyFill="1" applyBorder="1"/>
    <xf numFmtId="165" fontId="13" fillId="16" borderId="94" xfId="1" applyNumberFormat="1" applyFont="1" applyFill="1" applyBorder="1" applyAlignment="1">
      <alignment horizontal="center"/>
    </xf>
    <xf numFmtId="165" fontId="13" fillId="16" borderId="139" xfId="1" applyNumberFormat="1" applyFont="1" applyFill="1" applyBorder="1" applyAlignment="1">
      <alignment horizontal="center"/>
    </xf>
    <xf numFmtId="165" fontId="13" fillId="16" borderId="141" xfId="1" applyNumberFormat="1" applyFont="1" applyFill="1" applyBorder="1" applyAlignment="1">
      <alignment horizontal="center"/>
    </xf>
    <xf numFmtId="43" fontId="13" fillId="16" borderId="141" xfId="1" applyFont="1" applyFill="1" applyBorder="1"/>
    <xf numFmtId="43" fontId="13" fillId="16" borderId="94" xfId="1" applyFont="1" applyFill="1" applyBorder="1" applyAlignment="1">
      <alignment horizontal="center"/>
    </xf>
    <xf numFmtId="43" fontId="13" fillId="16" borderId="141" xfId="1" applyFont="1" applyFill="1" applyBorder="1" applyAlignment="1">
      <alignment horizontal="center"/>
    </xf>
    <xf numFmtId="43" fontId="13" fillId="16" borderId="139" xfId="1" applyFont="1" applyFill="1" applyBorder="1" applyAlignment="1">
      <alignment horizontal="center"/>
    </xf>
    <xf numFmtId="43" fontId="13" fillId="16" borderId="94" xfId="1" applyFont="1" applyFill="1" applyBorder="1"/>
    <xf numFmtId="165" fontId="13" fillId="16" borderId="136" xfId="1" applyNumberFormat="1" applyFont="1" applyFill="1" applyBorder="1"/>
    <xf numFmtId="165" fontId="13" fillId="16" borderId="90" xfId="1" applyNumberFormat="1" applyFont="1" applyFill="1" applyBorder="1"/>
    <xf numFmtId="165" fontId="13" fillId="16" borderId="91" xfId="1" applyNumberFormat="1" applyFont="1" applyFill="1" applyBorder="1"/>
    <xf numFmtId="165" fontId="13" fillId="16" borderId="93" xfId="1" applyNumberFormat="1" applyFont="1" applyFill="1" applyBorder="1"/>
    <xf numFmtId="165" fontId="13" fillId="16" borderId="89" xfId="1" applyNumberFormat="1" applyFont="1" applyFill="1" applyBorder="1"/>
    <xf numFmtId="165" fontId="13" fillId="16" borderId="93" xfId="1" applyNumberFormat="1" applyFont="1" applyFill="1" applyBorder="1" applyAlignment="1">
      <alignment horizontal="center"/>
    </xf>
    <xf numFmtId="165" fontId="13" fillId="16" borderId="90" xfId="1" applyNumberFormat="1" applyFont="1" applyFill="1" applyBorder="1" applyAlignment="1">
      <alignment horizontal="center"/>
    </xf>
    <xf numFmtId="165" fontId="13" fillId="16" borderId="89" xfId="1" applyNumberFormat="1" applyFont="1" applyFill="1" applyBorder="1" applyAlignment="1">
      <alignment horizontal="center"/>
    </xf>
    <xf numFmtId="43" fontId="13" fillId="16" borderId="89" xfId="1" applyFont="1" applyFill="1" applyBorder="1"/>
    <xf numFmtId="43" fontId="13" fillId="16" borderId="93" xfId="1" applyFont="1" applyFill="1" applyBorder="1" applyAlignment="1">
      <alignment horizontal="center"/>
    </xf>
    <xf numFmtId="43" fontId="13" fillId="16" borderId="89" xfId="1" applyFont="1" applyFill="1" applyBorder="1" applyAlignment="1">
      <alignment horizontal="center"/>
    </xf>
    <xf numFmtId="43" fontId="13" fillId="16" borderId="90" xfId="1" applyFont="1" applyFill="1" applyBorder="1" applyAlignment="1">
      <alignment horizontal="center"/>
    </xf>
    <xf numFmtId="43" fontId="13" fillId="16" borderId="93" xfId="1" applyNumberFormat="1" applyFont="1" applyFill="1" applyBorder="1" applyAlignment="1">
      <alignment horizontal="center"/>
    </xf>
    <xf numFmtId="43" fontId="13" fillId="16" borderId="90" xfId="1" applyNumberFormat="1" applyFont="1" applyFill="1" applyBorder="1" applyAlignment="1">
      <alignment horizontal="center"/>
    </xf>
    <xf numFmtId="43" fontId="13" fillId="16" borderId="93" xfId="1" applyNumberFormat="1" applyFont="1" applyFill="1" applyBorder="1"/>
    <xf numFmtId="165" fontId="13" fillId="16" borderId="142" xfId="1" applyNumberFormat="1" applyFont="1" applyFill="1" applyBorder="1"/>
    <xf numFmtId="165" fontId="13" fillId="16" borderId="143" xfId="1" applyNumberFormat="1" applyFont="1" applyFill="1" applyBorder="1"/>
    <xf numFmtId="43" fontId="13" fillId="16" borderId="94" xfId="1" applyNumberFormat="1" applyFont="1" applyFill="1" applyBorder="1" applyAlignment="1">
      <alignment horizontal="center"/>
    </xf>
    <xf numFmtId="43" fontId="13" fillId="16" borderId="139" xfId="1" applyNumberFormat="1" applyFont="1" applyFill="1" applyBorder="1" applyAlignment="1">
      <alignment horizontal="center"/>
    </xf>
    <xf numFmtId="43" fontId="13" fillId="16" borderId="94" xfId="1" applyNumberFormat="1" applyFont="1" applyFill="1" applyBorder="1"/>
    <xf numFmtId="165" fontId="49" fillId="16" borderId="142" xfId="1" applyNumberFormat="1" applyFont="1" applyFill="1" applyBorder="1"/>
    <xf numFmtId="165" fontId="49" fillId="16" borderId="139" xfId="1" applyNumberFormat="1" applyFont="1" applyFill="1" applyBorder="1"/>
    <xf numFmtId="165" fontId="49" fillId="16" borderId="143" xfId="1" applyNumberFormat="1" applyFont="1" applyFill="1" applyBorder="1"/>
    <xf numFmtId="165" fontId="49" fillId="16" borderId="94" xfId="1" applyNumberFormat="1" applyFont="1" applyFill="1" applyBorder="1"/>
    <xf numFmtId="165" fontId="49" fillId="16" borderId="141" xfId="1" applyNumberFormat="1" applyFont="1" applyFill="1" applyBorder="1"/>
    <xf numFmtId="165" fontId="49" fillId="16" borderId="94" xfId="1" applyNumberFormat="1" applyFont="1" applyFill="1" applyBorder="1" applyAlignment="1">
      <alignment horizontal="center"/>
    </xf>
    <xf numFmtId="165" fontId="49" fillId="16" borderId="139" xfId="1" applyNumberFormat="1" applyFont="1" applyFill="1" applyBorder="1" applyAlignment="1">
      <alignment horizontal="center"/>
    </xf>
    <xf numFmtId="165" fontId="49" fillId="16" borderId="141" xfId="1" applyNumberFormat="1" applyFont="1" applyFill="1" applyBorder="1" applyAlignment="1">
      <alignment horizontal="center"/>
    </xf>
    <xf numFmtId="43" fontId="49" fillId="16" borderId="141" xfId="1" applyFont="1" applyFill="1" applyBorder="1"/>
    <xf numFmtId="43" fontId="49" fillId="16" borderId="94" xfId="1" applyFont="1" applyFill="1" applyBorder="1" applyAlignment="1">
      <alignment horizontal="center"/>
    </xf>
    <xf numFmtId="43" fontId="49" fillId="16" borderId="141" xfId="1" applyFont="1" applyFill="1" applyBorder="1" applyAlignment="1">
      <alignment horizontal="center"/>
    </xf>
    <xf numFmtId="43" fontId="49" fillId="16" borderId="139" xfId="1" applyFont="1" applyFill="1" applyBorder="1" applyAlignment="1">
      <alignment horizontal="center"/>
    </xf>
    <xf numFmtId="43" fontId="49" fillId="16" borderId="94" xfId="1" applyNumberFormat="1" applyFont="1" applyFill="1" applyBorder="1" applyAlignment="1">
      <alignment horizontal="center"/>
    </xf>
    <xf numFmtId="43" fontId="49" fillId="16" borderId="139" xfId="1" applyNumberFormat="1" applyFont="1" applyFill="1" applyBorder="1" applyAlignment="1">
      <alignment horizontal="center"/>
    </xf>
    <xf numFmtId="43" fontId="49" fillId="16" borderId="94" xfId="1" applyNumberFormat="1" applyFont="1" applyFill="1" applyBorder="1"/>
    <xf numFmtId="165" fontId="49" fillId="16" borderId="3" xfId="1" applyNumberFormat="1" applyFont="1" applyFill="1" applyBorder="1"/>
    <xf numFmtId="165" fontId="49" fillId="16" borderId="0" xfId="1" applyNumberFormat="1" applyFont="1" applyFill="1" applyBorder="1"/>
    <xf numFmtId="165" fontId="49" fillId="16" borderId="1" xfId="1" applyNumberFormat="1" applyFont="1" applyFill="1" applyBorder="1"/>
    <xf numFmtId="165" fontId="49" fillId="16" borderId="8" xfId="1" applyNumberFormat="1" applyFont="1" applyFill="1" applyBorder="1"/>
    <xf numFmtId="165" fontId="49" fillId="16" borderId="9" xfId="1" applyNumberFormat="1" applyFont="1" applyFill="1" applyBorder="1"/>
    <xf numFmtId="165" fontId="49" fillId="16" borderId="8" xfId="1" applyNumberFormat="1" applyFont="1" applyFill="1" applyBorder="1" applyAlignment="1">
      <alignment horizontal="center"/>
    </xf>
    <xf numFmtId="165" fontId="49" fillId="16" borderId="0" xfId="1" applyNumberFormat="1" applyFont="1" applyFill="1" applyBorder="1" applyAlignment="1">
      <alignment horizontal="center"/>
    </xf>
    <xf numFmtId="165" fontId="49" fillId="16" borderId="9" xfId="1" applyNumberFormat="1" applyFont="1" applyFill="1" applyBorder="1" applyAlignment="1">
      <alignment horizontal="center"/>
    </xf>
    <xf numFmtId="43" fontId="49" fillId="16" borderId="9" xfId="1" applyFont="1" applyFill="1" applyBorder="1"/>
    <xf numFmtId="43" fontId="49" fillId="16" borderId="8" xfId="1" applyFont="1" applyFill="1" applyBorder="1" applyAlignment="1">
      <alignment horizontal="center"/>
    </xf>
    <xf numFmtId="43" fontId="49" fillId="16" borderId="9" xfId="1" applyFont="1" applyFill="1" applyBorder="1" applyAlignment="1">
      <alignment horizontal="center"/>
    </xf>
    <xf numFmtId="43" fontId="49" fillId="16" borderId="0" xfId="1" applyFont="1" applyFill="1" applyBorder="1" applyAlignment="1">
      <alignment horizontal="center"/>
    </xf>
    <xf numFmtId="43" fontId="49" fillId="16" borderId="8" xfId="1" applyNumberFormat="1" applyFont="1" applyFill="1" applyBorder="1" applyAlignment="1">
      <alignment horizontal="center"/>
    </xf>
    <xf numFmtId="43" fontId="49" fillId="16" borderId="0" xfId="1" applyNumberFormat="1" applyFont="1" applyFill="1" applyBorder="1" applyAlignment="1">
      <alignment horizontal="center"/>
    </xf>
    <xf numFmtId="43" fontId="49" fillId="16" borderId="8" xfId="1" applyNumberFormat="1" applyFont="1" applyFill="1" applyBorder="1"/>
    <xf numFmtId="43" fontId="13" fillId="16" borderId="2" xfId="1" applyFont="1" applyFill="1" applyBorder="1" applyAlignment="1" applyProtection="1">
      <alignment horizontal="center"/>
      <protection locked="0"/>
    </xf>
    <xf numFmtId="43" fontId="13" fillId="16" borderId="33" xfId="1" applyFont="1" applyFill="1" applyBorder="1" applyAlignment="1" applyProtection="1">
      <alignment horizontal="center"/>
      <protection locked="0"/>
    </xf>
    <xf numFmtId="43" fontId="13" fillId="16" borderId="31" xfId="1" applyFont="1" applyFill="1" applyBorder="1" applyProtection="1">
      <protection locked="0"/>
    </xf>
    <xf numFmtId="43" fontId="13" fillId="16" borderId="21" xfId="1" applyFont="1" applyFill="1" applyBorder="1" applyAlignment="1" applyProtection="1">
      <alignment horizontal="center"/>
      <protection locked="0"/>
    </xf>
    <xf numFmtId="43" fontId="13" fillId="16" borderId="19" xfId="1" applyFont="1" applyFill="1" applyBorder="1" applyProtection="1">
      <protection locked="0"/>
    </xf>
    <xf numFmtId="43" fontId="13" fillId="16" borderId="27" xfId="1" applyFont="1" applyFill="1" applyBorder="1" applyAlignment="1" applyProtection="1">
      <alignment horizontal="center"/>
      <protection locked="0"/>
    </xf>
    <xf numFmtId="43" fontId="13" fillId="16" borderId="25" xfId="1" applyFont="1" applyFill="1" applyBorder="1" applyProtection="1">
      <protection locked="0"/>
    </xf>
    <xf numFmtId="43" fontId="0" fillId="16" borderId="0" xfId="1" applyFont="1" applyFill="1" applyProtection="1">
      <protection locked="0"/>
    </xf>
    <xf numFmtId="43" fontId="13" fillId="16" borderId="2" xfId="1" applyNumberFormat="1" applyFont="1" applyFill="1" applyBorder="1" applyAlignment="1" applyProtection="1">
      <alignment horizontal="center"/>
      <protection locked="0"/>
    </xf>
    <xf numFmtId="43" fontId="13" fillId="16" borderId="145" xfId="1" applyNumberFormat="1" applyFont="1" applyFill="1" applyBorder="1" applyAlignment="1" applyProtection="1">
      <alignment horizontal="center"/>
      <protection locked="0"/>
    </xf>
    <xf numFmtId="43" fontId="13" fillId="16" borderId="145" xfId="1" applyFont="1" applyFill="1" applyBorder="1" applyAlignment="1" applyProtection="1">
      <alignment horizontal="center"/>
      <protection locked="0"/>
    </xf>
    <xf numFmtId="43" fontId="13" fillId="16" borderId="3" xfId="1" applyNumberFormat="1" applyFont="1" applyFill="1" applyBorder="1" applyAlignment="1" applyProtection="1">
      <alignment horizontal="center"/>
      <protection locked="0"/>
    </xf>
    <xf numFmtId="43" fontId="13" fillId="16" borderId="3" xfId="1" applyFont="1" applyFill="1" applyBorder="1" applyAlignment="1" applyProtection="1">
      <alignment horizontal="center"/>
      <protection locked="0"/>
    </xf>
    <xf numFmtId="43" fontId="13" fillId="16" borderId="0" xfId="1" applyFont="1" applyFill="1" applyBorder="1" applyAlignment="1" applyProtection="1">
      <alignment horizontal="left"/>
      <protection locked="0"/>
    </xf>
    <xf numFmtId="43" fontId="13" fillId="16" borderId="0" xfId="1" applyNumberFormat="1" applyFont="1" applyFill="1" applyBorder="1" applyAlignment="1" applyProtection="1">
      <alignment horizontal="left"/>
      <protection locked="0"/>
    </xf>
    <xf numFmtId="43" fontId="13" fillId="16" borderId="31" xfId="1" applyNumberFormat="1" applyFont="1" applyFill="1" applyBorder="1" applyAlignment="1" applyProtection="1">
      <alignment horizontal="left"/>
      <protection locked="0"/>
    </xf>
    <xf numFmtId="43" fontId="13" fillId="16" borderId="19" xfId="1" applyFont="1" applyFill="1" applyBorder="1" applyAlignment="1" applyProtection="1">
      <alignment horizontal="left"/>
      <protection locked="0"/>
    </xf>
    <xf numFmtId="43" fontId="13" fillId="16" borderId="25" xfId="1" applyFont="1" applyFill="1" applyBorder="1" applyAlignment="1" applyProtection="1">
      <alignment horizontal="left"/>
      <protection locked="0"/>
    </xf>
    <xf numFmtId="43" fontId="13" fillId="16" borderId="0" xfId="1" applyFont="1" applyFill="1" applyAlignment="1" applyProtection="1">
      <alignment horizontal="left"/>
      <protection locked="0"/>
    </xf>
    <xf numFmtId="43" fontId="13" fillId="16" borderId="0" xfId="1" applyNumberFormat="1" applyFont="1" applyFill="1" applyAlignment="1" applyProtection="1">
      <alignment horizontal="left"/>
      <protection locked="0"/>
    </xf>
    <xf numFmtId="43" fontId="13" fillId="16" borderId="68" xfId="1" applyNumberFormat="1" applyFont="1" applyFill="1" applyBorder="1" applyAlignment="1" applyProtection="1">
      <alignment horizontal="left"/>
      <protection locked="0"/>
    </xf>
    <xf numFmtId="43" fontId="13" fillId="16" borderId="68" xfId="1" applyFont="1" applyFill="1" applyBorder="1" applyAlignment="1" applyProtection="1">
      <alignment horizontal="left"/>
      <protection locked="0"/>
    </xf>
    <xf numFmtId="165" fontId="13" fillId="16" borderId="22" xfId="1" applyNumberFormat="1" applyFont="1" applyFill="1" applyBorder="1" applyAlignment="1" applyProtection="1">
      <alignment horizontal="center"/>
      <protection locked="0"/>
    </xf>
    <xf numFmtId="165" fontId="13" fillId="16" borderId="28" xfId="1" applyNumberFormat="1" applyFont="1" applyFill="1" applyBorder="1" applyAlignment="1" applyProtection="1">
      <alignment horizontal="center"/>
      <protection locked="0"/>
    </xf>
    <xf numFmtId="43" fontId="13" fillId="16" borderId="35" xfId="1" applyNumberFormat="1" applyFont="1" applyFill="1" applyBorder="1" applyAlignment="1">
      <alignment horizontal="center"/>
    </xf>
    <xf numFmtId="43" fontId="13" fillId="16" borderId="23" xfId="1" applyFont="1" applyFill="1" applyBorder="1" applyAlignment="1">
      <alignment horizontal="center"/>
    </xf>
    <xf numFmtId="43" fontId="13" fillId="16" borderId="29" xfId="1" applyFont="1" applyFill="1" applyBorder="1" applyAlignment="1">
      <alignment horizontal="center"/>
    </xf>
    <xf numFmtId="43" fontId="13" fillId="16" borderId="7" xfId="1" applyNumberFormat="1" applyFont="1" applyFill="1" applyBorder="1" applyAlignment="1">
      <alignment horizontal="center"/>
    </xf>
    <xf numFmtId="43" fontId="13" fillId="16" borderId="154" xfId="1" applyFont="1" applyFill="1" applyBorder="1" applyAlignment="1">
      <alignment horizontal="center"/>
    </xf>
    <xf numFmtId="43" fontId="13" fillId="16" borderId="7" xfId="1" applyFont="1" applyFill="1" applyBorder="1" applyAlignment="1">
      <alignment horizontal="center"/>
    </xf>
    <xf numFmtId="43" fontId="13" fillId="16" borderId="154" xfId="1" applyNumberFormat="1" applyFont="1" applyFill="1" applyBorder="1" applyAlignment="1">
      <alignment horizontal="center"/>
    </xf>
    <xf numFmtId="43" fontId="0" fillId="16" borderId="8" xfId="1" applyFont="1" applyFill="1" applyBorder="1" applyAlignment="1">
      <alignment horizontal="center"/>
    </xf>
    <xf numFmtId="43" fontId="0" fillId="16" borderId="9" xfId="1" applyFont="1" applyFill="1" applyBorder="1" applyAlignment="1">
      <alignment horizontal="center"/>
    </xf>
    <xf numFmtId="165" fontId="0" fillId="16" borderId="0" xfId="1" applyNumberFormat="1" applyFont="1" applyFill="1" applyBorder="1" applyAlignment="1">
      <alignment horizontal="center"/>
    </xf>
    <xf numFmtId="43" fontId="0" fillId="16" borderId="0" xfId="1" applyFont="1" applyFill="1" applyBorder="1" applyAlignment="1">
      <alignment horizontal="center"/>
    </xf>
    <xf numFmtId="43" fontId="0" fillId="16" borderId="35" xfId="1" applyFont="1" applyFill="1" applyBorder="1" applyAlignment="1">
      <alignment horizontal="center"/>
    </xf>
    <xf numFmtId="43" fontId="0" fillId="16" borderId="36" xfId="1" applyFont="1" applyFill="1" applyBorder="1" applyAlignment="1">
      <alignment horizontal="center"/>
    </xf>
    <xf numFmtId="165" fontId="0" fillId="16" borderId="31" xfId="1" applyNumberFormat="1" applyFont="1" applyFill="1" applyBorder="1" applyAlignment="1">
      <alignment horizontal="center"/>
    </xf>
    <xf numFmtId="43" fontId="0" fillId="16" borderId="31" xfId="1" applyFont="1" applyFill="1" applyBorder="1" applyAlignment="1">
      <alignment horizontal="center"/>
    </xf>
    <xf numFmtId="43" fontId="0" fillId="16" borderId="23" xfId="1" applyFont="1" applyFill="1" applyBorder="1" applyAlignment="1">
      <alignment horizontal="center"/>
    </xf>
    <xf numFmtId="43" fontId="0" fillId="16" borderId="24" xfId="1" applyFont="1" applyFill="1" applyBorder="1" applyAlignment="1">
      <alignment horizontal="center"/>
    </xf>
    <xf numFmtId="165" fontId="0" fillId="16" borderId="19" xfId="1" applyNumberFormat="1" applyFont="1" applyFill="1" applyBorder="1" applyAlignment="1">
      <alignment horizontal="center"/>
    </xf>
    <xf numFmtId="43" fontId="0" fillId="16" borderId="19" xfId="1" applyFont="1" applyFill="1" applyBorder="1" applyAlignment="1">
      <alignment horizontal="center"/>
    </xf>
    <xf numFmtId="43" fontId="0" fillId="16" borderId="29" xfId="1" applyFont="1" applyFill="1" applyBorder="1" applyAlignment="1">
      <alignment horizontal="center"/>
    </xf>
    <xf numFmtId="43" fontId="0" fillId="16" borderId="30" xfId="1" applyFont="1" applyFill="1" applyBorder="1" applyAlignment="1">
      <alignment horizontal="center"/>
    </xf>
    <xf numFmtId="165" fontId="0" fillId="16" borderId="25" xfId="1" applyNumberFormat="1" applyFont="1" applyFill="1" applyBorder="1" applyAlignment="1">
      <alignment horizontal="center"/>
    </xf>
    <xf numFmtId="43" fontId="0" fillId="16" borderId="25" xfId="1" applyFont="1" applyFill="1" applyBorder="1" applyAlignment="1">
      <alignment horizontal="center"/>
    </xf>
    <xf numFmtId="165" fontId="0" fillId="16" borderId="0" xfId="1" applyNumberFormat="1" applyFont="1" applyFill="1" applyAlignment="1">
      <alignment horizontal="center"/>
    </xf>
    <xf numFmtId="43" fontId="0" fillId="16" borderId="0" xfId="1" applyFont="1" applyFill="1" applyAlignment="1">
      <alignment horizontal="center"/>
    </xf>
    <xf numFmtId="43" fontId="0" fillId="16" borderId="154" xfId="1" applyFont="1" applyFill="1" applyBorder="1" applyAlignment="1">
      <alignment horizontal="center"/>
    </xf>
    <xf numFmtId="43" fontId="0" fillId="16" borderId="155" xfId="1" applyFont="1" applyFill="1" applyBorder="1" applyAlignment="1">
      <alignment horizontal="center"/>
    </xf>
    <xf numFmtId="165" fontId="0" fillId="16" borderId="80" xfId="1" applyNumberFormat="1" applyFont="1" applyFill="1" applyBorder="1" applyAlignment="1">
      <alignment horizontal="center"/>
    </xf>
    <xf numFmtId="43" fontId="0" fillId="16" borderId="80" xfId="1" applyFont="1" applyFill="1" applyBorder="1" applyAlignment="1">
      <alignment horizontal="center"/>
    </xf>
    <xf numFmtId="165" fontId="0" fillId="16" borderId="8" xfId="1" applyNumberFormat="1" applyFont="1" applyFill="1" applyBorder="1"/>
    <xf numFmtId="165" fontId="0" fillId="16" borderId="0" xfId="1" applyNumberFormat="1" applyFont="1" applyFill="1" applyBorder="1"/>
    <xf numFmtId="165" fontId="0" fillId="16" borderId="9" xfId="1" applyNumberFormat="1" applyFont="1" applyFill="1" applyBorder="1"/>
    <xf numFmtId="43" fontId="0" fillId="16" borderId="7" xfId="1" applyFont="1" applyFill="1" applyBorder="1"/>
    <xf numFmtId="43" fontId="0" fillId="16" borderId="7" xfId="1" applyFont="1" applyFill="1" applyBorder="1" applyAlignment="1">
      <alignment horizontal="center"/>
    </xf>
    <xf numFmtId="165" fontId="0" fillId="16" borderId="3" xfId="1" applyNumberFormat="1" applyFont="1" applyFill="1" applyBorder="1"/>
    <xf numFmtId="43" fontId="0" fillId="16" borderId="9" xfId="1" applyNumberFormat="1" applyFont="1" applyFill="1" applyBorder="1"/>
    <xf numFmtId="43" fontId="0" fillId="16" borderId="8" xfId="1" applyNumberFormat="1" applyFont="1" applyFill="1" applyBorder="1" applyAlignment="1">
      <alignment horizontal="center"/>
    </xf>
    <xf numFmtId="43" fontId="0" fillId="16" borderId="7" xfId="1" applyNumberFormat="1" applyFont="1" applyFill="1" applyBorder="1" applyAlignment="1">
      <alignment horizontal="center"/>
    </xf>
    <xf numFmtId="165" fontId="0" fillId="16" borderId="35" xfId="1" applyNumberFormat="1" applyFont="1" applyFill="1" applyBorder="1"/>
    <xf numFmtId="165" fontId="0" fillId="16" borderId="31" xfId="1" applyNumberFormat="1" applyFont="1" applyFill="1" applyBorder="1"/>
    <xf numFmtId="165" fontId="0" fillId="16" borderId="36" xfId="1" applyNumberFormat="1" applyFont="1" applyFill="1" applyBorder="1"/>
    <xf numFmtId="165" fontId="0" fillId="16" borderId="37" xfId="1" applyNumberFormat="1" applyFont="1" applyFill="1" applyBorder="1"/>
    <xf numFmtId="43" fontId="0" fillId="16" borderId="36" xfId="1" applyNumberFormat="1" applyFont="1" applyFill="1" applyBorder="1"/>
    <xf numFmtId="43" fontId="0" fillId="16" borderId="35" xfId="1" applyNumberFormat="1" applyFont="1" applyFill="1" applyBorder="1" applyAlignment="1">
      <alignment horizontal="center"/>
    </xf>
    <xf numFmtId="43" fontId="0" fillId="16" borderId="34" xfId="1" applyNumberFormat="1" applyFont="1" applyFill="1" applyBorder="1" applyAlignment="1">
      <alignment horizontal="center"/>
    </xf>
    <xf numFmtId="165" fontId="0" fillId="16" borderId="23" xfId="1" applyNumberFormat="1" applyFont="1" applyFill="1" applyBorder="1"/>
    <xf numFmtId="165" fontId="0" fillId="16" borderId="19" xfId="1" applyNumberFormat="1" applyFont="1" applyFill="1" applyBorder="1"/>
    <xf numFmtId="165" fontId="0" fillId="16" borderId="24" xfId="1" applyNumberFormat="1" applyFont="1" applyFill="1" applyBorder="1"/>
    <xf numFmtId="43" fontId="0" fillId="16" borderId="22" xfId="1" applyFont="1" applyFill="1" applyBorder="1"/>
    <xf numFmtId="43" fontId="0" fillId="16" borderId="22" xfId="1" applyFont="1" applyFill="1" applyBorder="1" applyAlignment="1">
      <alignment horizontal="center"/>
    </xf>
    <xf numFmtId="165" fontId="0" fillId="16" borderId="29" xfId="1" applyNumberFormat="1" applyFont="1" applyFill="1" applyBorder="1"/>
    <xf numFmtId="165" fontId="0" fillId="16" borderId="25" xfId="1" applyNumberFormat="1" applyFont="1" applyFill="1" applyBorder="1"/>
    <xf numFmtId="165" fontId="0" fillId="16" borderId="30" xfId="1" applyNumberFormat="1" applyFont="1" applyFill="1" applyBorder="1"/>
    <xf numFmtId="43" fontId="0" fillId="16" borderId="28" xfId="1" applyFont="1" applyFill="1" applyBorder="1"/>
    <xf numFmtId="43" fontId="0" fillId="16" borderId="28" xfId="1" applyFont="1" applyFill="1" applyBorder="1" applyAlignment="1">
      <alignment horizontal="center"/>
    </xf>
    <xf numFmtId="165" fontId="0" fillId="16" borderId="82" xfId="1" applyNumberFormat="1" applyFont="1" applyFill="1" applyBorder="1"/>
    <xf numFmtId="165" fontId="0" fillId="16" borderId="68" xfId="1" applyNumberFormat="1" applyFont="1" applyFill="1" applyBorder="1"/>
    <xf numFmtId="165" fontId="0" fillId="16" borderId="87" xfId="1" applyNumberFormat="1" applyFont="1" applyFill="1" applyBorder="1"/>
    <xf numFmtId="165" fontId="0" fillId="16" borderId="146" xfId="1" applyNumberFormat="1" applyFont="1" applyFill="1" applyBorder="1"/>
    <xf numFmtId="43" fontId="0" fillId="16" borderId="87" xfId="1" applyNumberFormat="1" applyFont="1" applyFill="1" applyBorder="1"/>
    <xf numFmtId="43" fontId="0" fillId="16" borderId="82" xfId="1" applyNumberFormat="1" applyFont="1" applyFill="1" applyBorder="1" applyAlignment="1">
      <alignment horizontal="center"/>
    </xf>
    <xf numFmtId="43" fontId="0" fillId="16" borderId="88" xfId="1" applyNumberFormat="1" applyFont="1" applyFill="1" applyBorder="1" applyAlignment="1">
      <alignment horizontal="center"/>
    </xf>
    <xf numFmtId="43" fontId="0" fillId="16" borderId="88" xfId="1" applyFont="1" applyFill="1" applyBorder="1"/>
    <xf numFmtId="43" fontId="0" fillId="16" borderId="82" xfId="1" applyFont="1" applyFill="1" applyBorder="1" applyAlignment="1">
      <alignment horizontal="center"/>
    </xf>
    <xf numFmtId="43" fontId="0" fillId="16" borderId="88" xfId="1" applyFont="1" applyFill="1" applyBorder="1" applyAlignment="1">
      <alignment horizontal="center"/>
    </xf>
    <xf numFmtId="43" fontId="0" fillId="16" borderId="0" xfId="1" applyNumberFormat="1" applyFont="1" applyFill="1" applyBorder="1" applyAlignment="1">
      <alignment horizontal="center"/>
    </xf>
    <xf numFmtId="165" fontId="0" fillId="16" borderId="0" xfId="1" applyNumberFormat="1" applyFont="1" applyFill="1"/>
    <xf numFmtId="43" fontId="13" fillId="18" borderId="7" xfId="1" applyFont="1" applyFill="1" applyBorder="1" applyAlignment="1" applyProtection="1">
      <alignment horizontal="center"/>
      <protection locked="0"/>
    </xf>
    <xf numFmtId="43" fontId="13" fillId="18" borderId="88" xfId="1" applyFont="1" applyFill="1" applyBorder="1" applyAlignment="1" applyProtection="1">
      <alignment horizontal="center"/>
      <protection locked="0"/>
    </xf>
    <xf numFmtId="43" fontId="13" fillId="18" borderId="48" xfId="1" applyFont="1" applyFill="1" applyBorder="1" applyAlignment="1" applyProtection="1">
      <alignment horizontal="center"/>
      <protection locked="0"/>
    </xf>
    <xf numFmtId="43" fontId="13" fillId="18" borderId="7" xfId="1" applyNumberFormat="1" applyFont="1" applyFill="1" applyBorder="1" applyAlignment="1" applyProtection="1">
      <alignment horizontal="center"/>
      <protection locked="0"/>
    </xf>
    <xf numFmtId="43" fontId="13" fillId="18" borderId="88" xfId="1" applyNumberFormat="1" applyFont="1" applyFill="1" applyBorder="1" applyAlignment="1" applyProtection="1">
      <alignment horizontal="center"/>
      <protection locked="0"/>
    </xf>
    <xf numFmtId="43" fontId="13" fillId="18" borderId="149" xfId="1" applyNumberFormat="1" applyFont="1" applyFill="1" applyBorder="1" applyAlignment="1" applyProtection="1">
      <alignment horizontal="center"/>
      <protection locked="0"/>
    </xf>
    <xf numFmtId="43" fontId="13" fillId="18" borderId="149" xfId="1" applyFont="1" applyFill="1" applyBorder="1" applyAlignment="1" applyProtection="1">
      <alignment horizontal="center"/>
      <protection locked="0"/>
    </xf>
    <xf numFmtId="43" fontId="13" fillId="18" borderId="54" xfId="1" applyFont="1" applyFill="1" applyBorder="1" applyAlignment="1" applyProtection="1">
      <alignment horizontal="center"/>
      <protection locked="0"/>
    </xf>
    <xf numFmtId="43" fontId="38" fillId="18" borderId="7" xfId="1" applyNumberFormat="1" applyFont="1" applyFill="1" applyBorder="1" applyAlignment="1" applyProtection="1">
      <alignment horizontal="center"/>
      <protection locked="0"/>
    </xf>
    <xf numFmtId="165" fontId="13" fillId="18" borderId="7" xfId="1" applyNumberFormat="1" applyFont="1" applyFill="1" applyBorder="1" applyAlignment="1" applyProtection="1">
      <alignment horizontal="center"/>
      <protection locked="0"/>
    </xf>
    <xf numFmtId="165" fontId="13" fillId="18" borderId="88" xfId="1" applyNumberFormat="1" applyFont="1" applyFill="1" applyBorder="1" applyAlignment="1" applyProtection="1">
      <alignment horizontal="center"/>
      <protection locked="0"/>
    </xf>
    <xf numFmtId="165" fontId="13" fillId="18" borderId="48" xfId="1" applyNumberFormat="1" applyFont="1" applyFill="1" applyBorder="1" applyAlignment="1" applyProtection="1">
      <alignment horizontal="center"/>
      <protection locked="0"/>
    </xf>
    <xf numFmtId="165" fontId="13" fillId="18" borderId="149" xfId="1" applyNumberFormat="1" applyFont="1" applyFill="1" applyBorder="1" applyAlignment="1" applyProtection="1">
      <alignment horizontal="center"/>
      <protection locked="0"/>
    </xf>
    <xf numFmtId="165" fontId="38" fillId="18" borderId="7" xfId="1" applyNumberFormat="1" applyFont="1" applyFill="1" applyBorder="1" applyAlignment="1" applyProtection="1">
      <alignment horizontal="center"/>
      <protection locked="0"/>
    </xf>
    <xf numFmtId="165" fontId="13" fillId="18" borderId="54" xfId="1" applyNumberFormat="1" applyFont="1" applyFill="1" applyBorder="1" applyAlignment="1" applyProtection="1">
      <alignment horizontal="center"/>
      <protection locked="0"/>
    </xf>
    <xf numFmtId="165" fontId="0" fillId="18" borderId="0" xfId="1" applyNumberFormat="1" applyFont="1" applyFill="1" applyBorder="1"/>
    <xf numFmtId="165" fontId="0" fillId="18" borderId="1" xfId="1" applyNumberFormat="1" applyFont="1" applyFill="1" applyBorder="1"/>
    <xf numFmtId="165" fontId="0" fillId="18" borderId="3" xfId="1" applyNumberFormat="1" applyFont="1" applyFill="1" applyBorder="1"/>
    <xf numFmtId="165" fontId="0" fillId="18" borderId="8" xfId="1" applyNumberFormat="1" applyFont="1" applyFill="1" applyBorder="1" applyAlignment="1">
      <alignment horizontal="center"/>
    </xf>
    <xf numFmtId="165" fontId="0" fillId="18" borderId="0" xfId="1" applyNumberFormat="1" applyFont="1" applyFill="1" applyBorder="1" applyAlignment="1">
      <alignment horizontal="center"/>
    </xf>
    <xf numFmtId="43" fontId="0" fillId="18" borderId="7" xfId="1" applyFont="1" applyFill="1" applyBorder="1"/>
    <xf numFmtId="43" fontId="0" fillId="18" borderId="8" xfId="1" applyFont="1" applyFill="1" applyBorder="1" applyAlignment="1">
      <alignment horizontal="center"/>
    </xf>
    <xf numFmtId="43" fontId="0" fillId="18" borderId="9" xfId="1" applyFont="1" applyFill="1" applyBorder="1" applyAlignment="1">
      <alignment horizontal="center"/>
    </xf>
    <xf numFmtId="43" fontId="0" fillId="18" borderId="0" xfId="1" applyFont="1" applyFill="1" applyBorder="1" applyAlignment="1">
      <alignment horizontal="center"/>
    </xf>
    <xf numFmtId="165" fontId="0" fillId="18" borderId="0" xfId="1" applyNumberFormat="1" applyFont="1" applyFill="1" applyAlignment="1">
      <alignment horizontal="center"/>
    </xf>
    <xf numFmtId="43" fontId="0" fillId="18" borderId="0" xfId="1" applyFont="1" applyFill="1" applyAlignment="1">
      <alignment horizontal="center"/>
    </xf>
    <xf numFmtId="43" fontId="0" fillId="18" borderId="7" xfId="1" applyFont="1" applyFill="1" applyBorder="1" applyAlignment="1">
      <alignment horizontal="center"/>
    </xf>
    <xf numFmtId="165" fontId="0" fillId="18" borderId="68" xfId="1" applyNumberFormat="1" applyFont="1" applyFill="1" applyBorder="1"/>
    <xf numFmtId="165" fontId="0" fillId="18" borderId="144" xfId="1" applyNumberFormat="1" applyFont="1" applyFill="1" applyBorder="1"/>
    <xf numFmtId="165" fontId="0" fillId="18" borderId="146" xfId="1" applyNumberFormat="1" applyFont="1" applyFill="1" applyBorder="1"/>
    <xf numFmtId="165" fontId="0" fillId="18" borderId="82" xfId="1" applyNumberFormat="1" applyFont="1" applyFill="1" applyBorder="1" applyAlignment="1">
      <alignment horizontal="center"/>
    </xf>
    <xf numFmtId="165" fontId="0" fillId="18" borderId="68" xfId="1" applyNumberFormat="1" applyFont="1" applyFill="1" applyBorder="1" applyAlignment="1">
      <alignment horizontal="center"/>
    </xf>
    <xf numFmtId="43" fontId="0" fillId="18" borderId="88" xfId="1" applyFont="1" applyFill="1" applyBorder="1"/>
    <xf numFmtId="43" fontId="0" fillId="18" borderId="82" xfId="1" applyFont="1" applyFill="1" applyBorder="1" applyAlignment="1">
      <alignment horizontal="center"/>
    </xf>
    <xf numFmtId="43" fontId="0" fillId="18" borderId="87" xfId="1" applyFont="1" applyFill="1" applyBorder="1" applyAlignment="1">
      <alignment horizontal="center"/>
    </xf>
    <xf numFmtId="43" fontId="0" fillId="18" borderId="68" xfId="1" applyFont="1" applyFill="1" applyBorder="1" applyAlignment="1">
      <alignment horizontal="center"/>
    </xf>
    <xf numFmtId="43" fontId="0" fillId="18" borderId="88" xfId="1" applyFont="1" applyFill="1" applyBorder="1" applyAlignment="1">
      <alignment horizontal="center"/>
    </xf>
    <xf numFmtId="165" fontId="0" fillId="18" borderId="47" xfId="1" applyNumberFormat="1" applyFont="1" applyFill="1" applyBorder="1"/>
    <xf numFmtId="165" fontId="0" fillId="18" borderId="49" xfId="1" applyNumberFormat="1" applyFont="1" applyFill="1" applyBorder="1"/>
    <xf numFmtId="165" fontId="0" fillId="18" borderId="50" xfId="1" applyNumberFormat="1" applyFont="1" applyFill="1" applyBorder="1"/>
    <xf numFmtId="165" fontId="0" fillId="18" borderId="51" xfId="1" applyNumberFormat="1" applyFont="1" applyFill="1" applyBorder="1" applyAlignment="1">
      <alignment horizontal="center"/>
    </xf>
    <xf numFmtId="165" fontId="0" fillId="18" borderId="47" xfId="1" applyNumberFormat="1" applyFont="1" applyFill="1" applyBorder="1" applyAlignment="1">
      <alignment horizontal="center"/>
    </xf>
    <xf numFmtId="43" fontId="0" fillId="18" borderId="48" xfId="1" applyFont="1" applyFill="1" applyBorder="1"/>
    <xf numFmtId="43" fontId="0" fillId="18" borderId="51" xfId="1" applyFont="1" applyFill="1" applyBorder="1" applyAlignment="1">
      <alignment horizontal="center"/>
    </xf>
    <xf numFmtId="43" fontId="0" fillId="18" borderId="52" xfId="1" applyFont="1" applyFill="1" applyBorder="1" applyAlignment="1">
      <alignment horizontal="center"/>
    </xf>
    <xf numFmtId="43" fontId="0" fillId="18" borderId="47" xfId="1" applyFont="1" applyFill="1" applyBorder="1" applyAlignment="1">
      <alignment horizontal="center"/>
    </xf>
    <xf numFmtId="43" fontId="0" fillId="18" borderId="48" xfId="1" applyFont="1" applyFill="1" applyBorder="1" applyAlignment="1">
      <alignment horizontal="center"/>
    </xf>
    <xf numFmtId="165" fontId="0" fillId="18" borderId="0" xfId="1" applyNumberFormat="1" applyFont="1" applyFill="1"/>
    <xf numFmtId="165" fontId="0" fillId="18" borderId="9" xfId="1" applyNumberFormat="1" applyFont="1" applyFill="1" applyBorder="1"/>
    <xf numFmtId="43" fontId="0" fillId="18" borderId="7" xfId="1" applyNumberFormat="1" applyFont="1" applyFill="1" applyBorder="1"/>
    <xf numFmtId="43" fontId="0" fillId="18" borderId="8" xfId="1" applyNumberFormat="1" applyFont="1" applyFill="1" applyBorder="1" applyAlignment="1">
      <alignment horizontal="center"/>
    </xf>
    <xf numFmtId="43" fontId="0" fillId="18" borderId="9" xfId="1" applyNumberFormat="1" applyFont="1" applyFill="1" applyBorder="1" applyAlignment="1">
      <alignment horizontal="center"/>
    </xf>
    <xf numFmtId="43" fontId="0" fillId="18" borderId="0" xfId="1" applyNumberFormat="1" applyFont="1" applyFill="1" applyBorder="1" applyAlignment="1">
      <alignment horizontal="center"/>
    </xf>
    <xf numFmtId="43" fontId="0" fillId="18" borderId="7" xfId="1" applyNumberFormat="1" applyFont="1" applyFill="1" applyBorder="1" applyAlignment="1">
      <alignment horizontal="center"/>
    </xf>
    <xf numFmtId="43" fontId="0" fillId="18" borderId="0" xfId="1" applyNumberFormat="1" applyFont="1" applyFill="1" applyAlignment="1">
      <alignment horizontal="center"/>
    </xf>
    <xf numFmtId="165" fontId="0" fillId="18" borderId="87" xfId="1" applyNumberFormat="1" applyFont="1" applyFill="1" applyBorder="1"/>
    <xf numFmtId="43" fontId="0" fillId="18" borderId="88" xfId="1" applyNumberFormat="1" applyFont="1" applyFill="1" applyBorder="1"/>
    <xf numFmtId="43" fontId="0" fillId="18" borderId="82" xfId="1" applyNumberFormat="1" applyFont="1" applyFill="1" applyBorder="1" applyAlignment="1">
      <alignment horizontal="center"/>
    </xf>
    <xf numFmtId="43" fontId="0" fillId="18" borderId="87" xfId="1" applyNumberFormat="1" applyFont="1" applyFill="1" applyBorder="1" applyAlignment="1">
      <alignment horizontal="center"/>
    </xf>
    <xf numFmtId="43" fontId="0" fillId="18" borderId="68" xfId="1" applyNumberFormat="1" applyFont="1" applyFill="1" applyBorder="1" applyAlignment="1">
      <alignment horizontal="center"/>
    </xf>
    <xf numFmtId="43" fontId="0" fillId="18" borderId="88" xfId="1" applyNumberFormat="1" applyFont="1" applyFill="1" applyBorder="1" applyAlignment="1">
      <alignment horizontal="center"/>
    </xf>
    <xf numFmtId="165" fontId="0" fillId="18" borderId="152" xfId="1" applyNumberFormat="1" applyFont="1" applyFill="1" applyBorder="1"/>
    <xf numFmtId="165" fontId="0" fillId="18" borderId="147" xfId="1" applyNumberFormat="1" applyFont="1" applyFill="1" applyBorder="1"/>
    <xf numFmtId="165" fontId="0" fillId="18" borderId="148" xfId="1" applyNumberFormat="1" applyFont="1" applyFill="1" applyBorder="1"/>
    <xf numFmtId="165" fontId="0" fillId="18" borderId="151" xfId="1" applyNumberFormat="1" applyFont="1" applyFill="1" applyBorder="1"/>
    <xf numFmtId="165" fontId="0" fillId="18" borderId="150" xfId="1" applyNumberFormat="1" applyFont="1" applyFill="1" applyBorder="1" applyAlignment="1">
      <alignment horizontal="center"/>
    </xf>
    <xf numFmtId="165" fontId="0" fillId="18" borderId="147" xfId="1" applyNumberFormat="1" applyFont="1" applyFill="1" applyBorder="1" applyAlignment="1">
      <alignment horizontal="center"/>
    </xf>
    <xf numFmtId="43" fontId="0" fillId="18" borderId="149" xfId="1" applyNumberFormat="1" applyFont="1" applyFill="1" applyBorder="1"/>
    <xf numFmtId="43" fontId="0" fillId="18" borderId="150" xfId="1" applyNumberFormat="1" applyFont="1" applyFill="1" applyBorder="1" applyAlignment="1">
      <alignment horizontal="center"/>
    </xf>
    <xf numFmtId="43" fontId="0" fillId="18" borderId="151" xfId="1" applyNumberFormat="1" applyFont="1" applyFill="1" applyBorder="1" applyAlignment="1">
      <alignment horizontal="center"/>
    </xf>
    <xf numFmtId="43" fontId="0" fillId="18" borderId="147" xfId="1" applyNumberFormat="1" applyFont="1" applyFill="1" applyBorder="1" applyAlignment="1">
      <alignment horizontal="center"/>
    </xf>
    <xf numFmtId="43" fontId="0" fillId="18" borderId="150" xfId="1" applyFont="1" applyFill="1" applyBorder="1" applyAlignment="1">
      <alignment horizontal="center"/>
    </xf>
    <xf numFmtId="43" fontId="0" fillId="18" borderId="151" xfId="1" applyFont="1" applyFill="1" applyBorder="1" applyAlignment="1">
      <alignment horizontal="center"/>
    </xf>
    <xf numFmtId="43" fontId="0" fillId="18" borderId="147" xfId="1" applyFont="1" applyFill="1" applyBorder="1" applyAlignment="1">
      <alignment horizontal="center"/>
    </xf>
    <xf numFmtId="43" fontId="0" fillId="18" borderId="149" xfId="1" applyNumberFormat="1" applyFont="1" applyFill="1" applyBorder="1" applyAlignment="1">
      <alignment horizontal="center"/>
    </xf>
    <xf numFmtId="165" fontId="37" fillId="18" borderId="8" xfId="1" applyNumberFormat="1" applyFont="1" applyFill="1" applyBorder="1" applyAlignment="1">
      <alignment horizontal="center"/>
    </xf>
    <xf numFmtId="165" fontId="37" fillId="18" borderId="0" xfId="1" applyNumberFormat="1" applyFont="1" applyFill="1" applyBorder="1" applyAlignment="1">
      <alignment horizontal="center"/>
    </xf>
    <xf numFmtId="43" fontId="37" fillId="18" borderId="7" xfId="1" applyNumberFormat="1" applyFont="1" applyFill="1" applyBorder="1"/>
    <xf numFmtId="43" fontId="37" fillId="18" borderId="8" xfId="1" applyNumberFormat="1" applyFont="1" applyFill="1" applyBorder="1" applyAlignment="1">
      <alignment horizontal="center"/>
    </xf>
    <xf numFmtId="43" fontId="37" fillId="18" borderId="9" xfId="1" applyNumberFormat="1" applyFont="1" applyFill="1" applyBorder="1" applyAlignment="1">
      <alignment horizontal="center"/>
    </xf>
    <xf numFmtId="43" fontId="37" fillId="18" borderId="0" xfId="1" applyNumberFormat="1" applyFont="1" applyFill="1" applyBorder="1" applyAlignment="1">
      <alignment horizontal="center"/>
    </xf>
    <xf numFmtId="43" fontId="37" fillId="18" borderId="8" xfId="1" applyFont="1" applyFill="1" applyBorder="1" applyAlignment="1">
      <alignment horizontal="center"/>
    </xf>
    <xf numFmtId="43" fontId="37" fillId="18" borderId="9" xfId="1" applyFont="1" applyFill="1" applyBorder="1" applyAlignment="1">
      <alignment horizontal="center"/>
    </xf>
    <xf numFmtId="43" fontId="0" fillId="18" borderId="149" xfId="1" applyFont="1" applyFill="1" applyBorder="1" applyAlignment="1">
      <alignment horizontal="center"/>
    </xf>
    <xf numFmtId="165" fontId="0" fillId="18" borderId="53" xfId="1" applyNumberFormat="1" applyFont="1" applyFill="1" applyBorder="1"/>
    <xf numFmtId="165" fontId="0" fillId="18" borderId="55" xfId="1" applyNumberFormat="1" applyFont="1" applyFill="1" applyBorder="1"/>
    <xf numFmtId="165" fontId="0" fillId="18" borderId="56" xfId="1" applyNumberFormat="1" applyFont="1" applyFill="1" applyBorder="1"/>
    <xf numFmtId="165" fontId="0" fillId="18" borderId="57" xfId="1" applyNumberFormat="1" applyFont="1" applyFill="1" applyBorder="1" applyAlignment="1">
      <alignment horizontal="center"/>
    </xf>
    <xf numFmtId="165" fontId="0" fillId="18" borderId="53" xfId="1" applyNumberFormat="1" applyFont="1" applyFill="1" applyBorder="1" applyAlignment="1">
      <alignment horizontal="center"/>
    </xf>
    <xf numFmtId="43" fontId="0" fillId="18" borderId="54" xfId="1" applyFont="1" applyFill="1" applyBorder="1"/>
    <xf numFmtId="43" fontId="0" fillId="18" borderId="57" xfId="1" applyFont="1" applyFill="1" applyBorder="1" applyAlignment="1">
      <alignment horizontal="center"/>
    </xf>
    <xf numFmtId="43" fontId="0" fillId="18" borderId="58" xfId="1" applyFont="1" applyFill="1" applyBorder="1" applyAlignment="1">
      <alignment horizontal="center"/>
    </xf>
    <xf numFmtId="43" fontId="0" fillId="18" borderId="53" xfId="1" applyFont="1" applyFill="1" applyBorder="1" applyAlignment="1">
      <alignment horizontal="center"/>
    </xf>
    <xf numFmtId="43" fontId="0" fillId="18" borderId="54" xfId="1" applyFont="1" applyFill="1" applyBorder="1" applyAlignment="1">
      <alignment horizontal="center"/>
    </xf>
    <xf numFmtId="43" fontId="27" fillId="18" borderId="7" xfId="1" applyFont="1" applyFill="1" applyBorder="1" applyAlignment="1" applyProtection="1">
      <alignment horizontal="center"/>
      <protection locked="0"/>
    </xf>
    <xf numFmtId="43" fontId="27" fillId="18" borderId="158" xfId="1" applyFont="1" applyFill="1" applyBorder="1" applyAlignment="1" applyProtection="1">
      <alignment horizontal="center"/>
      <protection locked="0"/>
    </xf>
    <xf numFmtId="43" fontId="27" fillId="18" borderId="7" xfId="1" applyNumberFormat="1" applyFont="1" applyFill="1" applyBorder="1" applyAlignment="1" applyProtection="1">
      <alignment horizontal="center"/>
      <protection locked="0"/>
    </xf>
    <xf numFmtId="43" fontId="27" fillId="18" borderId="63" xfId="1" applyFont="1" applyFill="1" applyBorder="1" applyAlignment="1" applyProtection="1">
      <alignment horizontal="center"/>
      <protection locked="0"/>
    </xf>
    <xf numFmtId="43" fontId="27" fillId="18" borderId="158" xfId="1" applyNumberFormat="1" applyFont="1" applyFill="1" applyBorder="1" applyAlignment="1" applyProtection="1">
      <alignment horizontal="center"/>
      <protection locked="0"/>
    </xf>
    <xf numFmtId="43" fontId="27" fillId="18" borderId="88" xfId="1" applyNumberFormat="1" applyFont="1" applyFill="1" applyBorder="1" applyAlignment="1" applyProtection="1">
      <alignment horizontal="center"/>
      <protection locked="0"/>
    </xf>
    <xf numFmtId="43" fontId="27" fillId="18" borderId="88" xfId="1" applyFont="1" applyFill="1" applyBorder="1" applyAlignment="1" applyProtection="1">
      <alignment horizontal="center"/>
      <protection locked="0"/>
    </xf>
    <xf numFmtId="43" fontId="27" fillId="18" borderId="63" xfId="1" applyNumberFormat="1" applyFont="1" applyFill="1" applyBorder="1" applyAlignment="1" applyProtection="1">
      <alignment horizontal="center"/>
      <protection locked="0"/>
    </xf>
    <xf numFmtId="43" fontId="0" fillId="18" borderId="7" xfId="1" applyFont="1" applyFill="1" applyBorder="1" applyAlignment="1" applyProtection="1">
      <alignment horizontal="center"/>
      <protection locked="0"/>
    </xf>
    <xf numFmtId="43" fontId="0" fillId="18" borderId="158" xfId="1" applyFont="1" applyFill="1" applyBorder="1" applyAlignment="1" applyProtection="1">
      <alignment horizontal="center"/>
      <protection locked="0"/>
    </xf>
    <xf numFmtId="43" fontId="0" fillId="18" borderId="7" xfId="1" applyNumberFormat="1" applyFont="1" applyFill="1" applyBorder="1" applyAlignment="1" applyProtection="1">
      <alignment horizontal="center"/>
      <protection locked="0"/>
    </xf>
    <xf numFmtId="43" fontId="0" fillId="18" borderId="63" xfId="1" applyFont="1" applyFill="1" applyBorder="1" applyAlignment="1" applyProtection="1">
      <alignment horizontal="center"/>
      <protection locked="0"/>
    </xf>
    <xf numFmtId="43" fontId="0" fillId="18" borderId="158" xfId="1" applyNumberFormat="1" applyFont="1" applyFill="1" applyBorder="1" applyAlignment="1" applyProtection="1">
      <alignment horizontal="center"/>
      <protection locked="0"/>
    </xf>
    <xf numFmtId="43" fontId="0" fillId="18" borderId="88" xfId="1" applyNumberFormat="1" applyFont="1" applyFill="1" applyBorder="1" applyAlignment="1" applyProtection="1">
      <alignment horizontal="center"/>
      <protection locked="0"/>
    </xf>
    <xf numFmtId="43" fontId="0" fillId="18" borderId="63" xfId="1" applyNumberFormat="1" applyFont="1" applyFill="1" applyBorder="1" applyAlignment="1" applyProtection="1">
      <alignment horizontal="center"/>
      <protection locked="0"/>
    </xf>
    <xf numFmtId="165" fontId="13" fillId="18" borderId="158" xfId="1" applyNumberFormat="1" applyFont="1" applyFill="1" applyBorder="1" applyAlignment="1" applyProtection="1">
      <alignment horizontal="center"/>
      <protection locked="0"/>
    </xf>
    <xf numFmtId="165" fontId="13" fillId="18" borderId="63" xfId="1" applyNumberFormat="1" applyFont="1" applyFill="1" applyBorder="1" applyAlignment="1" applyProtection="1">
      <alignment horizontal="center"/>
      <protection locked="0"/>
    </xf>
    <xf numFmtId="165" fontId="13" fillId="18" borderId="0" xfId="1" applyNumberFormat="1" applyFont="1" applyFill="1" applyBorder="1"/>
    <xf numFmtId="165" fontId="13" fillId="18" borderId="1" xfId="1" applyNumberFormat="1" applyFont="1" applyFill="1" applyBorder="1"/>
    <xf numFmtId="165" fontId="13" fillId="18" borderId="3" xfId="1" applyNumberFormat="1" applyFont="1" applyFill="1" applyBorder="1"/>
    <xf numFmtId="165" fontId="13" fillId="18" borderId="8" xfId="1" applyNumberFormat="1" applyFont="1" applyFill="1" applyBorder="1" applyAlignment="1">
      <alignment horizontal="center"/>
    </xf>
    <xf numFmtId="165" fontId="13" fillId="18" borderId="0" xfId="1" applyNumberFormat="1" applyFont="1" applyFill="1" applyBorder="1" applyAlignment="1">
      <alignment horizontal="center"/>
    </xf>
    <xf numFmtId="43" fontId="13" fillId="18" borderId="7" xfId="1" applyFont="1" applyFill="1" applyBorder="1"/>
    <xf numFmtId="43" fontId="13" fillId="18" borderId="8" xfId="1" applyFont="1" applyFill="1" applyBorder="1" applyAlignment="1">
      <alignment horizontal="center"/>
    </xf>
    <xf numFmtId="43" fontId="13" fillId="18" borderId="9" xfId="1" applyFont="1" applyFill="1" applyBorder="1" applyAlignment="1">
      <alignment horizontal="center"/>
    </xf>
    <xf numFmtId="43" fontId="13" fillId="18" borderId="0" xfId="1" applyFont="1" applyFill="1" applyBorder="1" applyAlignment="1">
      <alignment horizontal="center"/>
    </xf>
    <xf numFmtId="165" fontId="13" fillId="18" borderId="0" xfId="1" applyNumberFormat="1" applyFont="1" applyFill="1" applyAlignment="1">
      <alignment horizontal="center"/>
    </xf>
    <xf numFmtId="43" fontId="13" fillId="18" borderId="0" xfId="1" applyFont="1" applyFill="1" applyAlignment="1">
      <alignment horizontal="center"/>
    </xf>
    <xf numFmtId="43" fontId="13" fillId="18" borderId="7" xfId="1" applyFont="1" applyFill="1" applyBorder="1" applyAlignment="1">
      <alignment horizontal="center"/>
    </xf>
    <xf numFmtId="165" fontId="13" fillId="18" borderId="0" xfId="1" applyNumberFormat="1" applyFont="1" applyFill="1"/>
    <xf numFmtId="165" fontId="13" fillId="18" borderId="9" xfId="1" applyNumberFormat="1" applyFont="1" applyFill="1" applyBorder="1"/>
    <xf numFmtId="43" fontId="13" fillId="18" borderId="7" xfId="1" applyNumberFormat="1" applyFont="1" applyFill="1" applyBorder="1"/>
    <xf numFmtId="43" fontId="13" fillId="18" borderId="8" xfId="1" applyNumberFormat="1" applyFont="1" applyFill="1" applyBorder="1" applyAlignment="1">
      <alignment horizontal="center"/>
    </xf>
    <xf numFmtId="43" fontId="13" fillId="18" borderId="9" xfId="1" applyNumberFormat="1" applyFont="1" applyFill="1" applyBorder="1" applyAlignment="1">
      <alignment horizontal="center"/>
    </xf>
    <xf numFmtId="43" fontId="13" fillId="18" borderId="0" xfId="1" applyNumberFormat="1" applyFont="1" applyFill="1" applyBorder="1" applyAlignment="1">
      <alignment horizontal="center"/>
    </xf>
    <xf numFmtId="165" fontId="13" fillId="18" borderId="160" xfId="1" applyNumberFormat="1" applyFont="1" applyFill="1" applyBorder="1"/>
    <xf numFmtId="165" fontId="13" fillId="18" borderId="156" xfId="1" applyNumberFormat="1" applyFont="1" applyFill="1" applyBorder="1"/>
    <xf numFmtId="165" fontId="13" fillId="18" borderId="157" xfId="1" applyNumberFormat="1" applyFont="1" applyFill="1" applyBorder="1"/>
    <xf numFmtId="165" fontId="13" fillId="18" borderId="159" xfId="1" applyNumberFormat="1" applyFont="1" applyFill="1" applyBorder="1"/>
    <xf numFmtId="165" fontId="13" fillId="18" borderId="161" xfId="1" applyNumberFormat="1" applyFont="1" applyFill="1" applyBorder="1" applyAlignment="1">
      <alignment horizontal="center"/>
    </xf>
    <xf numFmtId="165" fontId="13" fillId="18" borderId="156" xfId="1" applyNumberFormat="1" applyFont="1" applyFill="1" applyBorder="1" applyAlignment="1">
      <alignment horizontal="center"/>
    </xf>
    <xf numFmtId="43" fontId="13" fillId="18" borderId="158" xfId="1" applyNumberFormat="1" applyFont="1" applyFill="1" applyBorder="1"/>
    <xf numFmtId="43" fontId="13" fillId="18" borderId="161" xfId="1" applyNumberFormat="1" applyFont="1" applyFill="1" applyBorder="1" applyAlignment="1">
      <alignment horizontal="center"/>
    </xf>
    <xf numFmtId="43" fontId="13" fillId="18" borderId="159" xfId="1" applyNumberFormat="1" applyFont="1" applyFill="1" applyBorder="1" applyAlignment="1">
      <alignment horizontal="center"/>
    </xf>
    <xf numFmtId="43" fontId="13" fillId="18" borderId="156" xfId="1" applyNumberFormat="1" applyFont="1" applyFill="1" applyBorder="1" applyAlignment="1">
      <alignment horizontal="center"/>
    </xf>
    <xf numFmtId="43" fontId="13" fillId="18" borderId="161" xfId="1" applyFont="1" applyFill="1" applyBorder="1" applyAlignment="1">
      <alignment horizontal="center"/>
    </xf>
    <xf numFmtId="43" fontId="13" fillId="18" borderId="159" xfId="1" applyFont="1" applyFill="1" applyBorder="1" applyAlignment="1">
      <alignment horizontal="center"/>
    </xf>
    <xf numFmtId="43" fontId="13" fillId="18" borderId="156" xfId="1" applyFont="1" applyFill="1" applyBorder="1" applyAlignment="1">
      <alignment horizontal="center"/>
    </xf>
    <xf numFmtId="43" fontId="13" fillId="18" borderId="158" xfId="1" applyFont="1" applyFill="1" applyBorder="1" applyAlignment="1">
      <alignment horizontal="center"/>
    </xf>
    <xf numFmtId="43" fontId="13" fillId="18" borderId="7" xfId="1" applyNumberFormat="1" applyFont="1" applyFill="1" applyBorder="1" applyAlignment="1">
      <alignment horizontal="center"/>
    </xf>
    <xf numFmtId="43" fontId="13" fillId="18" borderId="0" xfId="1" applyNumberFormat="1" applyFont="1" applyFill="1" applyAlignment="1">
      <alignment horizontal="center"/>
    </xf>
    <xf numFmtId="165" fontId="13" fillId="18" borderId="65" xfId="1" applyNumberFormat="1" applyFont="1" applyFill="1" applyBorder="1"/>
    <xf numFmtId="165" fontId="13" fillId="18" borderId="62" xfId="1" applyNumberFormat="1" applyFont="1" applyFill="1" applyBorder="1"/>
    <xf numFmtId="165" fontId="13" fillId="18" borderId="64" xfId="1" applyNumberFormat="1" applyFont="1" applyFill="1" applyBorder="1"/>
    <xf numFmtId="165" fontId="13" fillId="18" borderId="67" xfId="1" applyNumberFormat="1" applyFont="1" applyFill="1" applyBorder="1"/>
    <xf numFmtId="165" fontId="13" fillId="18" borderId="66" xfId="1" applyNumberFormat="1" applyFont="1" applyFill="1" applyBorder="1" applyAlignment="1">
      <alignment horizontal="center"/>
    </xf>
    <xf numFmtId="165" fontId="13" fillId="18" borderId="62" xfId="1" applyNumberFormat="1" applyFont="1" applyFill="1" applyBorder="1" applyAlignment="1">
      <alignment horizontal="center"/>
    </xf>
    <xf numFmtId="43" fontId="13" fillId="18" borderId="63" xfId="1" applyNumberFormat="1" applyFont="1" applyFill="1" applyBorder="1"/>
    <xf numFmtId="43" fontId="13" fillId="18" borderId="66" xfId="1" applyNumberFormat="1" applyFont="1" applyFill="1" applyBorder="1" applyAlignment="1">
      <alignment horizontal="center"/>
    </xf>
    <xf numFmtId="43" fontId="13" fillId="18" borderId="67" xfId="1" applyNumberFormat="1" applyFont="1" applyFill="1" applyBorder="1" applyAlignment="1">
      <alignment horizontal="center"/>
    </xf>
    <xf numFmtId="43" fontId="13" fillId="18" borderId="62" xfId="1" applyNumberFormat="1" applyFont="1" applyFill="1" applyBorder="1" applyAlignment="1">
      <alignment horizontal="center"/>
    </xf>
    <xf numFmtId="43" fontId="13" fillId="18" borderId="66" xfId="1" applyFont="1" applyFill="1" applyBorder="1" applyAlignment="1">
      <alignment horizontal="center"/>
    </xf>
    <xf numFmtId="43" fontId="13" fillId="18" borderId="67" xfId="1" applyFont="1" applyFill="1" applyBorder="1" applyAlignment="1">
      <alignment horizontal="center"/>
    </xf>
    <xf numFmtId="43" fontId="13" fillId="18" borderId="62" xfId="1" applyFont="1" applyFill="1" applyBorder="1" applyAlignment="1">
      <alignment horizontal="center"/>
    </xf>
    <xf numFmtId="43" fontId="13" fillId="18" borderId="63" xfId="1" applyFont="1" applyFill="1" applyBorder="1" applyAlignment="1">
      <alignment horizontal="center"/>
    </xf>
    <xf numFmtId="43" fontId="13" fillId="18" borderId="158" xfId="1" applyFont="1" applyFill="1" applyBorder="1"/>
    <xf numFmtId="43" fontId="13" fillId="18" borderId="63" xfId="1" applyFont="1" applyFill="1" applyBorder="1"/>
    <xf numFmtId="43" fontId="13" fillId="18" borderId="158" xfId="1" applyNumberFormat="1" applyFont="1" applyFill="1" applyBorder="1" applyAlignment="1">
      <alignment horizontal="center"/>
    </xf>
    <xf numFmtId="165" fontId="13" fillId="18" borderId="146" xfId="1" applyNumberFormat="1" applyFont="1" applyFill="1" applyBorder="1"/>
    <xf numFmtId="165" fontId="13" fillId="18" borderId="68" xfId="1" applyNumberFormat="1" applyFont="1" applyFill="1" applyBorder="1"/>
    <xf numFmtId="165" fontId="13" fillId="18" borderId="144" xfId="1" applyNumberFormat="1" applyFont="1" applyFill="1" applyBorder="1"/>
    <xf numFmtId="165" fontId="13" fillId="18" borderId="87" xfId="1" applyNumberFormat="1" applyFont="1" applyFill="1" applyBorder="1"/>
    <xf numFmtId="165" fontId="13" fillId="18" borderId="82" xfId="1" applyNumberFormat="1" applyFont="1" applyFill="1" applyBorder="1" applyAlignment="1">
      <alignment horizontal="center"/>
    </xf>
    <xf numFmtId="165" fontId="13" fillId="18" borderId="68" xfId="1" applyNumberFormat="1" applyFont="1" applyFill="1" applyBorder="1" applyAlignment="1">
      <alignment horizontal="center"/>
    </xf>
    <xf numFmtId="43" fontId="13" fillId="18" borderId="88" xfId="1" applyNumberFormat="1" applyFont="1" applyFill="1" applyBorder="1"/>
    <xf numFmtId="43" fontId="13" fillId="18" borderId="82" xfId="1" applyNumberFormat="1" applyFont="1" applyFill="1" applyBorder="1" applyAlignment="1">
      <alignment horizontal="center"/>
    </xf>
    <xf numFmtId="43" fontId="13" fillId="18" borderId="87" xfId="1" applyNumberFormat="1" applyFont="1" applyFill="1" applyBorder="1" applyAlignment="1">
      <alignment horizontal="center"/>
    </xf>
    <xf numFmtId="43" fontId="13" fillId="18" borderId="68" xfId="1" applyFont="1" applyFill="1" applyBorder="1" applyAlignment="1">
      <alignment horizontal="center"/>
    </xf>
    <xf numFmtId="43" fontId="13" fillId="18" borderId="82" xfId="1" applyFont="1" applyFill="1" applyBorder="1" applyAlignment="1">
      <alignment horizontal="center"/>
    </xf>
    <xf numFmtId="43" fontId="13" fillId="18" borderId="87" xfId="1" applyFont="1" applyFill="1" applyBorder="1" applyAlignment="1">
      <alignment horizontal="center"/>
    </xf>
    <xf numFmtId="43" fontId="13" fillId="18" borderId="88" xfId="1" applyNumberFormat="1" applyFont="1" applyFill="1" applyBorder="1" applyAlignment="1">
      <alignment horizontal="center"/>
    </xf>
    <xf numFmtId="43" fontId="13" fillId="18" borderId="68" xfId="1" applyNumberFormat="1" applyFont="1" applyFill="1" applyBorder="1" applyAlignment="1">
      <alignment horizontal="center"/>
    </xf>
    <xf numFmtId="43" fontId="13" fillId="18" borderId="63" xfId="1" applyNumberFormat="1" applyFont="1" applyFill="1" applyBorder="1" applyAlignment="1">
      <alignment horizontal="center"/>
    </xf>
    <xf numFmtId="43" fontId="13" fillId="18" borderId="51" xfId="1" applyFont="1" applyFill="1" applyBorder="1" applyAlignment="1">
      <alignment horizontal="center"/>
    </xf>
    <xf numFmtId="165" fontId="0" fillId="18" borderId="80" xfId="1" applyNumberFormat="1" applyFont="1" applyFill="1" applyBorder="1"/>
    <xf numFmtId="165" fontId="0" fillId="18" borderId="166" xfId="1" applyNumberFormat="1" applyFont="1" applyFill="1" applyBorder="1"/>
    <xf numFmtId="165" fontId="0" fillId="18" borderId="167" xfId="1" applyNumberFormat="1" applyFont="1" applyFill="1" applyBorder="1"/>
    <xf numFmtId="165" fontId="0" fillId="18" borderId="154" xfId="1" applyNumberFormat="1" applyFont="1" applyFill="1" applyBorder="1" applyAlignment="1">
      <alignment horizontal="center"/>
    </xf>
    <xf numFmtId="165" fontId="0" fillId="18" borderId="80" xfId="1" applyNumberFormat="1" applyFont="1" applyFill="1" applyBorder="1" applyAlignment="1">
      <alignment horizontal="center"/>
    </xf>
    <xf numFmtId="43" fontId="0" fillId="18" borderId="165" xfId="1" applyFont="1" applyFill="1" applyBorder="1"/>
    <xf numFmtId="43" fontId="0" fillId="18" borderId="154" xfId="1" applyFont="1" applyFill="1" applyBorder="1" applyAlignment="1">
      <alignment horizontal="center"/>
    </xf>
    <xf numFmtId="43" fontId="0" fillId="18" borderId="80" xfId="1" applyFont="1" applyFill="1" applyBorder="1" applyAlignment="1">
      <alignment horizontal="center"/>
    </xf>
    <xf numFmtId="165" fontId="0" fillId="18" borderId="155" xfId="1" applyNumberFormat="1" applyFont="1" applyFill="1" applyBorder="1"/>
    <xf numFmtId="43" fontId="0" fillId="18" borderId="165" xfId="1" applyNumberFormat="1" applyFont="1" applyFill="1" applyBorder="1"/>
    <xf numFmtId="43" fontId="0" fillId="18" borderId="154" xfId="1" applyNumberFormat="1" applyFont="1" applyFill="1" applyBorder="1" applyAlignment="1">
      <alignment horizontal="center"/>
    </xf>
    <xf numFmtId="165" fontId="0" fillId="18" borderId="62" xfId="1" applyNumberFormat="1" applyFont="1" applyFill="1" applyBorder="1"/>
    <xf numFmtId="165" fontId="0" fillId="18" borderId="64" xfId="1" applyNumberFormat="1" applyFont="1" applyFill="1" applyBorder="1"/>
    <xf numFmtId="165" fontId="0" fillId="18" borderId="65" xfId="1" applyNumberFormat="1" applyFont="1" applyFill="1" applyBorder="1"/>
    <xf numFmtId="165" fontId="0" fillId="18" borderId="66" xfId="1" applyNumberFormat="1" applyFont="1" applyFill="1" applyBorder="1" applyAlignment="1">
      <alignment horizontal="center"/>
    </xf>
    <xf numFmtId="165" fontId="0" fillId="18" borderId="62" xfId="1" applyNumberFormat="1" applyFont="1" applyFill="1" applyBorder="1" applyAlignment="1">
      <alignment horizontal="center"/>
    </xf>
    <xf numFmtId="43" fontId="0" fillId="18" borderId="63" xfId="1" applyFont="1" applyFill="1" applyBorder="1"/>
    <xf numFmtId="43" fontId="0" fillId="18" borderId="66" xfId="1" applyFont="1" applyFill="1" applyBorder="1" applyAlignment="1">
      <alignment horizontal="center"/>
    </xf>
    <xf numFmtId="43" fontId="0" fillId="18" borderId="62" xfId="1" applyFont="1" applyFill="1" applyBorder="1" applyAlignment="1">
      <alignment horizontal="center"/>
    </xf>
    <xf numFmtId="165" fontId="0" fillId="18" borderId="136" xfId="1" applyNumberFormat="1" applyFont="1" applyFill="1" applyBorder="1"/>
    <xf numFmtId="165" fontId="0" fillId="18" borderId="90" xfId="1" applyNumberFormat="1" applyFont="1" applyFill="1" applyBorder="1"/>
    <xf numFmtId="165" fontId="0" fillId="18" borderId="91" xfId="1" applyNumberFormat="1" applyFont="1" applyFill="1" applyBorder="1"/>
    <xf numFmtId="165" fontId="0" fillId="18" borderId="89" xfId="1" applyNumberFormat="1" applyFont="1" applyFill="1" applyBorder="1"/>
    <xf numFmtId="165" fontId="0" fillId="18" borderId="93" xfId="1" applyNumberFormat="1" applyFont="1" applyFill="1" applyBorder="1" applyAlignment="1">
      <alignment horizontal="center"/>
    </xf>
    <xf numFmtId="165" fontId="0" fillId="18" borderId="90" xfId="1" applyNumberFormat="1" applyFont="1" applyFill="1" applyBorder="1" applyAlignment="1">
      <alignment horizontal="center"/>
    </xf>
    <xf numFmtId="43" fontId="0" fillId="18" borderId="92" xfId="1" applyNumberFormat="1" applyFont="1" applyFill="1" applyBorder="1"/>
    <xf numFmtId="43" fontId="0" fillId="18" borderId="93" xfId="1" applyFont="1" applyFill="1" applyBorder="1" applyAlignment="1">
      <alignment horizontal="center"/>
    </xf>
    <xf numFmtId="43" fontId="0" fillId="18" borderId="90" xfId="1" applyNumberFormat="1" applyFont="1" applyFill="1" applyBorder="1" applyAlignment="1">
      <alignment horizontal="center"/>
    </xf>
    <xf numFmtId="43" fontId="0" fillId="18" borderId="90" xfId="1" applyFont="1" applyFill="1" applyBorder="1" applyAlignment="1">
      <alignment horizontal="center"/>
    </xf>
    <xf numFmtId="43" fontId="0" fillId="18" borderId="89" xfId="1" applyFont="1" applyFill="1" applyBorder="1" applyAlignment="1">
      <alignment horizontal="center"/>
    </xf>
    <xf numFmtId="43" fontId="0" fillId="18" borderId="93" xfId="1" applyNumberFormat="1" applyFont="1" applyFill="1" applyBorder="1" applyAlignment="1">
      <alignment horizontal="center"/>
    </xf>
    <xf numFmtId="43" fontId="13" fillId="18" borderId="92" xfId="1" applyNumberFormat="1" applyFont="1" applyFill="1" applyBorder="1" applyAlignment="1" applyProtection="1">
      <alignment horizontal="center"/>
      <protection locked="0"/>
    </xf>
    <xf numFmtId="43" fontId="13" fillId="18" borderId="165" xfId="1" applyFont="1" applyFill="1" applyBorder="1" applyAlignment="1">
      <alignment horizontal="center"/>
    </xf>
    <xf numFmtId="43" fontId="13" fillId="18" borderId="165" xfId="1" applyNumberFormat="1" applyFont="1" applyFill="1" applyBorder="1" applyAlignment="1">
      <alignment horizontal="center"/>
    </xf>
    <xf numFmtId="165" fontId="0" fillId="18" borderId="8" xfId="1" applyNumberFormat="1" applyFont="1" applyFill="1" applyBorder="1"/>
    <xf numFmtId="165" fontId="0" fillId="18" borderId="93" xfId="1" applyNumberFormat="1" applyFont="1" applyFill="1" applyBorder="1"/>
    <xf numFmtId="14" fontId="0" fillId="19" borderId="0" xfId="1" applyNumberFormat="1" applyFont="1" applyFill="1" applyAlignment="1">
      <alignment horizontal="center"/>
    </xf>
    <xf numFmtId="43" fontId="0" fillId="18" borderId="92" xfId="1" applyFont="1" applyFill="1" applyBorder="1" applyAlignment="1" applyProtection="1">
      <alignment horizontal="center"/>
      <protection locked="0"/>
    </xf>
    <xf numFmtId="43" fontId="49" fillId="0" borderId="0" xfId="1" applyNumberFormat="1" applyFont="1" applyBorder="1" applyAlignment="1" applyProtection="1">
      <alignment horizontal="center"/>
      <protection locked="0"/>
    </xf>
    <xf numFmtId="43" fontId="50" fillId="0" borderId="0" xfId="1" applyFont="1" applyBorder="1" applyProtection="1">
      <protection locked="0"/>
    </xf>
    <xf numFmtId="43" fontId="13" fillId="0" borderId="93" xfId="1" applyNumberFormat="1" applyFont="1" applyBorder="1" applyAlignment="1" applyProtection="1">
      <alignment horizontal="center"/>
      <protection locked="0"/>
    </xf>
    <xf numFmtId="0" fontId="0" fillId="0" borderId="126" xfId="0" applyBorder="1" applyAlignment="1"/>
    <xf numFmtId="0" fontId="0" fillId="0" borderId="0" xfId="0" applyBorder="1" applyAlignment="1"/>
    <xf numFmtId="0" fontId="35" fillId="14" borderId="68" xfId="0" applyFont="1" applyFill="1" applyBorder="1" applyAlignment="1">
      <alignment horizontal="center" vertical="center"/>
    </xf>
    <xf numFmtId="0" fontId="35" fillId="14" borderId="129" xfId="0" applyFont="1" applyFill="1" applyBorder="1" applyAlignment="1">
      <alignment horizontal="center" vertical="center"/>
    </xf>
    <xf numFmtId="0" fontId="34" fillId="15" borderId="130" xfId="3" applyFont="1" applyFill="1" applyBorder="1" applyAlignment="1" applyProtection="1">
      <alignment horizontal="center" vertical="center"/>
      <protection locked="0"/>
    </xf>
    <xf numFmtId="0" fontId="34" fillId="15" borderId="131" xfId="3" applyFont="1" applyFill="1" applyBorder="1" applyAlignment="1" applyProtection="1">
      <alignment horizontal="center" vertical="center"/>
      <protection locked="0"/>
    </xf>
    <xf numFmtId="0" fontId="34" fillId="15" borderId="132" xfId="3" applyFont="1" applyFill="1" applyBorder="1" applyAlignment="1" applyProtection="1">
      <alignment horizontal="center" vertical="center"/>
      <protection locked="0"/>
    </xf>
    <xf numFmtId="0" fontId="34" fillId="15" borderId="133" xfId="3" applyFont="1" applyFill="1" applyBorder="1" applyAlignment="1" applyProtection="1">
      <alignment horizontal="center" vertical="center"/>
      <protection locked="0"/>
    </xf>
    <xf numFmtId="0" fontId="34" fillId="17" borderId="130" xfId="3" applyFont="1" applyFill="1" applyBorder="1" applyAlignment="1" applyProtection="1">
      <alignment horizontal="center" vertical="center"/>
      <protection locked="0"/>
    </xf>
    <xf numFmtId="0" fontId="34" fillId="17" borderId="131" xfId="3" applyFont="1" applyFill="1" applyBorder="1" applyAlignment="1" applyProtection="1">
      <alignment horizontal="center" vertical="center"/>
      <protection locked="0"/>
    </xf>
    <xf numFmtId="0" fontId="34" fillId="17" borderId="132" xfId="3" applyFont="1" applyFill="1" applyBorder="1" applyAlignment="1" applyProtection="1">
      <alignment horizontal="center" vertical="center"/>
      <protection locked="0"/>
    </xf>
    <xf numFmtId="0" fontId="34" fillId="17" borderId="133" xfId="3" applyFont="1" applyFill="1" applyBorder="1" applyAlignment="1" applyProtection="1">
      <alignment horizontal="center" vertical="center"/>
      <protection locked="0"/>
    </xf>
    <xf numFmtId="0" fontId="34" fillId="15" borderId="130" xfId="3" applyFont="1" applyFill="1" applyBorder="1" applyAlignment="1" applyProtection="1">
      <alignment horizontal="center" vertical="center" wrapText="1"/>
      <protection locked="0"/>
    </xf>
    <xf numFmtId="0" fontId="34" fillId="15" borderId="131" xfId="3" applyFont="1" applyFill="1" applyBorder="1" applyAlignment="1" applyProtection="1">
      <alignment horizontal="center" vertical="center" wrapText="1"/>
      <protection locked="0"/>
    </xf>
    <xf numFmtId="0" fontId="34" fillId="15" borderId="132" xfId="3" applyFont="1" applyFill="1" applyBorder="1" applyAlignment="1" applyProtection="1">
      <alignment horizontal="center" vertical="center" wrapText="1"/>
      <protection locked="0"/>
    </xf>
    <xf numFmtId="0" fontId="34" fillId="15" borderId="133" xfId="3" applyFont="1" applyFill="1" applyBorder="1" applyAlignment="1" applyProtection="1">
      <alignment horizontal="center" vertical="center" wrapText="1"/>
      <protection locked="0"/>
    </xf>
    <xf numFmtId="0" fontId="34" fillId="15" borderId="130" xfId="0" applyFont="1" applyFill="1" applyBorder="1" applyAlignment="1" applyProtection="1">
      <alignment horizontal="center" vertical="center" wrapText="1"/>
      <protection locked="0"/>
    </xf>
    <xf numFmtId="0" fontId="34" fillId="15" borderId="131" xfId="0" applyFont="1" applyFill="1" applyBorder="1" applyAlignment="1" applyProtection="1">
      <alignment horizontal="center" vertical="center"/>
      <protection locked="0"/>
    </xf>
    <xf numFmtId="0" fontId="34" fillId="15" borderId="132" xfId="0" applyFont="1" applyFill="1" applyBorder="1" applyAlignment="1" applyProtection="1">
      <alignment horizontal="center" vertical="center"/>
      <protection locked="0"/>
    </xf>
    <xf numFmtId="0" fontId="34" fillId="15" borderId="133" xfId="0" applyFont="1" applyFill="1" applyBorder="1" applyAlignment="1" applyProtection="1">
      <alignment horizontal="center" vertical="center"/>
      <protection locked="0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162" xfId="0" applyBorder="1" applyAlignment="1">
      <alignment horizontal="center"/>
    </xf>
    <xf numFmtId="0" fontId="0" fillId="0" borderId="163" xfId="0" applyBorder="1" applyAlignment="1">
      <alignment horizontal="center"/>
    </xf>
    <xf numFmtId="0" fontId="0" fillId="0" borderId="16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4" borderId="0" xfId="0" applyFill="1" applyBorder="1" applyAlignment="1">
      <alignment horizontal="center" vertical="center"/>
    </xf>
    <xf numFmtId="0" fontId="0" fillId="4" borderId="68" xfId="0" applyFill="1" applyBorder="1" applyAlignment="1">
      <alignment horizontal="center" vertical="center"/>
    </xf>
    <xf numFmtId="9" fontId="1" fillId="12" borderId="122" xfId="2" applyFont="1" applyFill="1" applyBorder="1" applyAlignment="1">
      <alignment horizontal="center" vertical="center"/>
    </xf>
    <xf numFmtId="9" fontId="1" fillId="12" borderId="119" xfId="2" applyFont="1" applyFill="1" applyBorder="1" applyAlignment="1">
      <alignment horizontal="center" vertical="center"/>
    </xf>
    <xf numFmtId="9" fontId="1" fillId="12" borderId="15" xfId="2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0" fontId="5" fillId="3" borderId="0" xfId="0" applyFont="1" applyFill="1" applyAlignment="1">
      <alignment horizontal="center" vertical="center" wrapText="1"/>
    </xf>
    <xf numFmtId="0" fontId="39" fillId="3" borderId="0" xfId="0" applyFont="1" applyFill="1" applyAlignment="1">
      <alignment horizontal="center" vertical="center" wrapText="1"/>
    </xf>
    <xf numFmtId="0" fontId="39" fillId="3" borderId="0" xfId="0" applyFont="1" applyFill="1" applyAlignment="1">
      <alignment horizontal="left" vertical="center" wrapText="1"/>
    </xf>
  </cellXfs>
  <cellStyles count="4">
    <cellStyle name="Hipervínculo" xfId="3" builtinId="8"/>
    <cellStyle name="Millares" xfId="1" builtinId="3"/>
    <cellStyle name="Normal" xfId="0" builtinId="0"/>
    <cellStyle name="Porcentaje" xfId="2" builtinId="5"/>
  </cellStyles>
  <dxfs count="1295"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" formatCode="0"/>
    </dxf>
    <dxf>
      <alignment wrapText="1" readingOrder="0"/>
    </dxf>
    <dxf>
      <alignment wrapText="1" readingOrder="0"/>
    </dxf>
    <dxf>
      <numFmt numFmtId="165" formatCode="_ * #,##0_ ;_ * \-#,##0_ ;_ * &quot;-&quot;??_ ;_ @_ "/>
    </dxf>
    <dxf>
      <fill>
        <patternFill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outline="0">
        <right style="hair">
          <color auto="1"/>
        </right>
      </border>
    </dxf>
    <dxf>
      <fill>
        <patternFill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165" formatCode="_ * #,##0_ ;_ * \-#,##0_ ;_ * &quot;-&quot;??_ ;_ @_ "/>
      <fill>
        <patternFill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165" formatCode="_ * #,##0_ ;_ * \-#,##0_ ;_ * &quot;-&quot;??_ ;_ @_ "/>
      <fill>
        <patternFill>
          <fgColor indexed="64"/>
          <bgColor theme="0" tint="-0.249977111117893"/>
        </patternFill>
      </fill>
      <alignment horizontal="center" textRotation="0" indent="0" justifyLastLine="0" shrinkToFit="0" readingOrder="0"/>
    </dxf>
    <dxf>
      <fill>
        <patternFill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ill>
        <patternFill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165" formatCode="_ * #,##0_ ;_ * \-#,##0_ ;_ * &quot;-&quot;??_ ;_ @_ "/>
      <fill>
        <patternFill>
          <fgColor indexed="64"/>
          <bgColor theme="0" tint="-0.249977111117893"/>
        </patternFill>
      </fill>
      <alignment horizontal="center" textRotation="0" indent="0" justifyLastLine="0" shrinkToFit="0" readingOrder="0"/>
    </dxf>
    <dxf>
      <numFmt numFmtId="165" formatCode="_ * #,##0_ ;_ * \-#,##0_ ;_ * &quot;-&quot;??_ ;_ @_ "/>
      <fill>
        <patternFill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fill>
        <patternFill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fill>
        <patternFill>
          <fgColor indexed="64"/>
          <bgColor theme="0" tint="-0.249977111117893"/>
        </patternFill>
      </fill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numFmt numFmtId="165" formatCode="_ * #,##0_ ;_ * \-#,##0_ ;_ * &quot;-&quot;??_ ;_ @_ "/>
      <fill>
        <patternFill>
          <fgColor indexed="64"/>
          <bgColor theme="0" tint="-0.249977111117893"/>
        </patternFill>
      </fill>
      <border outline="0">
        <right style="hair">
          <color auto="1"/>
        </right>
      </border>
    </dxf>
    <dxf>
      <numFmt numFmtId="165" formatCode="_ * #,##0_ ;_ * \-#,##0_ ;_ * &quot;-&quot;??_ ;_ @_ "/>
      <fill>
        <patternFill>
          <fgColor indexed="64"/>
          <bgColor theme="0" tint="-0.249977111117893"/>
        </patternFill>
      </fill>
    </dxf>
    <dxf>
      <numFmt numFmtId="165" formatCode="_ * #,##0_ ;_ * \-#,##0_ ;_ * &quot;-&quot;??_ ;_ @_ "/>
      <fill>
        <patternFill>
          <fgColor indexed="64"/>
          <bgColor theme="0" tint="-0.249977111117893"/>
        </patternFill>
      </fill>
      <border diagonalUp="0" diagonalDown="0" outline="0">
        <left style="hair">
          <color rgb="FF0070C0"/>
        </left>
        <right/>
        <top/>
        <bottom/>
      </border>
    </dxf>
    <dxf>
      <numFmt numFmtId="165" formatCode="_ * #,##0_ ;_ * \-#,##0_ ;_ * &quot;-&quot;??_ ;_ @_ "/>
      <fill>
        <patternFill>
          <fgColor indexed="64"/>
          <bgColor theme="0" tint="-0.249977111117893"/>
        </patternFill>
      </fill>
      <border diagonalUp="0" diagonalDown="0" outline="0">
        <left/>
        <right style="hair">
          <color auto="1"/>
        </right>
        <top/>
        <bottom/>
      </border>
    </dxf>
    <dxf>
      <numFmt numFmtId="165" formatCode="_ * #,##0_ ;_ * \-#,##0_ ;_ * &quot;-&quot;??_ ;_ @_ "/>
      <fill>
        <patternFill>
          <fgColor indexed="64"/>
          <bgColor theme="0" tint="-0.249977111117893"/>
        </patternFill>
      </fill>
    </dxf>
    <dxf>
      <numFmt numFmtId="165" formatCode="_ * #,##0_ ;_ * \-#,##0_ ;_ * &quot;-&quot;??_ ;_ @_ "/>
      <fill>
        <patternFill>
          <fgColor indexed="64"/>
          <bgColor theme="0" tint="-0.249977111117893"/>
        </patternFill>
      </fill>
      <border diagonalUp="0" diagonalDown="0" outline="0">
        <left style="hair">
          <color auto="1"/>
        </left>
        <right/>
        <top/>
        <bottom/>
      </border>
    </dxf>
    <dxf>
      <border diagonalUp="0" diagonalDown="0">
        <left/>
        <right style="hair">
          <color rgb="FF0070C0"/>
        </right>
        <top/>
        <bottom/>
        <vertical/>
        <horizontal/>
      </border>
      <protection locked="0" hidden="0"/>
    </dxf>
    <dxf>
      <protection locked="0" hidden="0"/>
    </dxf>
    <dxf>
      <border diagonalUp="0" diagonalDown="0">
        <left/>
        <right style="hair">
          <color auto="1"/>
        </right>
        <top/>
        <bottom/>
      </border>
      <protection locked="0" hidden="0"/>
    </dxf>
    <dxf>
      <numFmt numFmtId="35" formatCode="_ * #,##0.00_ ;_ * \-#,##0.00_ ;_ * &quot;-&quot;??_ ;_ @_ "/>
      <alignment horizontal="center" vertical="bottom" textRotation="0" wrapText="0" indent="0" justifyLastLine="0" shrinkToFit="0" readingOrder="0"/>
      <border diagonalUp="0" diagonalDown="0">
        <left style="hair">
          <color auto="1"/>
        </left>
        <right/>
        <top/>
        <bottom/>
      </border>
      <protection locked="0" hidden="0"/>
    </dxf>
    <dxf>
      <border>
        <right style="hair">
          <color auto="1"/>
        </right>
      </border>
      <protection locked="0" hidden="0"/>
    </dxf>
    <dxf>
      <border outline="0">
        <left style="hair">
          <color auto="1"/>
        </left>
      </border>
      <protection locked="0" hidden="0"/>
    </dxf>
    <dxf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  <protection locked="0" hidden="0"/>
    </dxf>
    <dxf>
      <numFmt numFmtId="19" formatCode="dd/mm/yyyy"/>
      <alignment horizontal="center" vertical="bottom" textRotation="0" wrapText="0" indent="0" justifyLastLine="0" shrinkToFit="0" readingOrder="0"/>
      <border diagonalUp="0" diagonalDown="0" outline="0">
        <left/>
        <right style="hair">
          <color auto="1"/>
        </right>
        <top/>
        <bottom/>
      </border>
      <protection locked="0" hidden="0"/>
    </dxf>
    <dxf>
      <numFmt numFmtId="19" formatCode="dd/mm/yyyy"/>
      <alignment horizontal="center" vertical="bottom" textRotation="0" wrapText="0" indent="0" justifyLastLine="0" shrinkToFit="0" readingOrder="0"/>
      <protection locked="0" hidden="0"/>
    </dxf>
    <dxf>
      <alignment horizontal="left" vertical="center" textRotation="0" wrapText="1" indent="0" justifyLastLine="0" shrinkToFit="0" readingOrder="0"/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outline="0">
        <right style="hair">
          <color auto="1"/>
        </right>
      </border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border outline="0">
        <right style="hair">
          <color auto="1"/>
        </right>
      </border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border diagonalUp="0" diagonalDown="0" outline="0">
        <left style="hair">
          <color rgb="FF0070C0"/>
        </left>
        <right/>
        <top/>
        <bottom/>
      </border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border diagonalUp="0" diagonalDown="0" outline="0">
        <left/>
        <right style="hair">
          <color rgb="FF0070C0"/>
        </right>
        <top/>
        <bottom/>
      </border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border diagonalUp="0" diagonalDown="0" outline="0">
        <left style="hair">
          <color rgb="FF0070C0"/>
        </left>
        <right/>
        <top/>
        <bottom/>
      </border>
    </dxf>
    <dxf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  <protection locked="0" hidden="0"/>
    </dxf>
    <dxf>
      <border diagonalUp="0" diagonalDown="0">
        <left/>
        <right style="hair">
          <color rgb="FF0070C0"/>
        </right>
        <top/>
        <bottom/>
        <vertical/>
        <horizontal/>
      </border>
      <protection locked="0" hidden="0"/>
    </dxf>
    <dxf>
      <protection locked="0" hidden="0"/>
    </dxf>
    <dxf>
      <border diagonalUp="0" diagonalDown="0">
        <left/>
        <right style="hair">
          <color auto="1"/>
        </right>
        <top/>
        <bottom/>
        <vertical/>
        <horizontal/>
      </border>
      <protection locked="0" hidden="0"/>
    </dxf>
    <dxf>
      <numFmt numFmtId="165" formatCode="_ * #,##0_ ;_ * \-#,##0_ ;_ * &quot;-&quot;??_ ;_ @_ "/>
      <alignment horizontal="center" vertical="bottom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left style="hair">
          <color auto="1"/>
        </left>
      </border>
      <protection locked="0" hidden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  <protection locked="0" hidden="0"/>
    </dxf>
    <dxf>
      <numFmt numFmtId="19" formatCode="dd/mm/yyyy"/>
      <alignment horizontal="center" vertical="bottom" textRotation="0" wrapText="0" indent="0" justifyLastLine="0" shrinkToFit="0" readingOrder="0"/>
      <border diagonalUp="0" diagonalDown="0" outline="0">
        <left/>
        <right style="hair">
          <color auto="1"/>
        </right>
        <top/>
        <bottom/>
      </border>
      <protection locked="0" hidden="0"/>
    </dxf>
    <dxf>
      <numFmt numFmtId="19" formatCode="dd/mm/yyyy"/>
      <alignment horizontal="center" vertical="bottom" textRotation="0" wrapText="0" indent="0" justifyLastLine="0" shrinkToFit="0" readingOrder="0"/>
      <protection locked="0" hidden="0"/>
    </dxf>
    <dxf>
      <alignment horizontal="left" vertical="center" textRotation="0" wrapText="1" indent="0" justifyLastLine="0" shrinkToFit="0" readingOrder="0"/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border outline="0">
        <right style="hair">
          <color auto="1"/>
        </right>
      </border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border diagonalUp="0" diagonalDown="0" outline="0">
        <left style="hair">
          <color rgb="FF0070C0"/>
        </left>
        <right/>
        <top/>
        <bottom/>
      </border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border diagonalUp="0" diagonalDown="0" outline="0">
        <left/>
        <right style="hair">
          <color rgb="FF0070C0"/>
        </right>
        <top/>
        <bottom/>
      </border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border diagonalUp="0" diagonalDown="0" outline="0">
        <left style="hair">
          <color rgb="FF0070C0"/>
        </left>
        <right/>
        <top/>
        <bottom/>
      </border>
    </dxf>
    <dxf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</dxf>
    <dxf>
      <border diagonalUp="0" diagonalDown="0">
        <left/>
        <right style="hair">
          <color rgb="FF0070C0"/>
        </right>
        <top/>
        <bottom/>
        <vertical/>
        <horizontal/>
      </border>
    </dxf>
    <dxf>
      <border diagonalUp="0" diagonalDown="0">
        <left/>
        <right style="hair">
          <color auto="1"/>
        </right>
        <top/>
        <bottom/>
        <vertical/>
        <horizontal/>
      </border>
    </dxf>
    <dxf>
      <numFmt numFmtId="165" formatCode="_ * #,##0_ ;_ * \-#,##0_ ;_ * &quot;-&quot;??_ ;_ @_ "/>
      <alignment horizontal="center" vertical="bottom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</dxf>
    <dxf>
      <border outline="0">
        <left style="hair">
          <color auto="1"/>
        </left>
      </border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numFmt numFmtId="19" formatCode="dd/mm/yyyy"/>
      <alignment horizontal="center" vertical="bottom" textRotation="0" wrapText="0" indent="0" justifyLastLine="0" shrinkToFit="0" readingOrder="0"/>
      <border diagonalUp="0" diagonalDown="0" outline="0">
        <left/>
        <right style="hair">
          <color auto="1"/>
        </right>
        <top/>
        <bottom/>
      </border>
    </dxf>
    <dxf>
      <numFmt numFmtId="19" formatCode="dd/mm/yyyy"/>
      <alignment horizontal="center" vertical="bottom" textRotation="0" wrapText="0" indent="0" justifyLastLine="0" shrinkToFit="0" readingOrder="0"/>
    </dxf>
    <dxf>
      <alignment horizontal="left" vertical="center" textRotation="0" wrapText="1" indent="0" justifyLastLine="0" shrinkToFit="0" readingOrder="0"/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border outline="0">
        <right style="hair">
          <color auto="1"/>
        </right>
      </border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border diagonalUp="0" diagonalDown="0" outline="0">
        <left style="hair">
          <color rgb="FF0070C0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border diagonalUp="0" diagonalDown="0" outline="0">
        <left/>
        <right style="hair">
          <color rgb="FF0070C0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border diagonalUp="0" diagonalDown="0" outline="0">
        <left style="hair">
          <color rgb="FF0070C0"/>
        </left>
        <right/>
        <top/>
        <bottom/>
      </border>
    </dxf>
    <dxf>
      <border diagonalUp="0" diagonalDown="0">
        <left/>
        <right style="hair">
          <color auto="1"/>
        </right>
        <top/>
        <bottom/>
      </border>
      <protection locked="0" hidden="0"/>
    </dxf>
    <dxf>
      <alignment horizontal="center" textRotation="0" indent="0" justifyLastLine="0" shrinkToFit="0" readingOrder="0"/>
      <border diagonalUp="0" diagonalDown="0">
        <left/>
        <right style="hair">
          <color rgb="FF0070C0"/>
        </right>
        <top/>
        <bottom/>
      </border>
      <protection locked="0" hidden="0"/>
    </dxf>
    <dxf>
      <border outline="0">
        <left style="hair">
          <color auto="1"/>
        </left>
      </border>
      <protection locked="0" hidden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  <protection locked="0" hidden="0"/>
    </dxf>
    <dxf>
      <border outline="0">
        <right style="hair">
          <color auto="1"/>
        </right>
      </border>
      <protection locked="0" hidden="0"/>
    </dxf>
    <dxf>
      <alignment horizontal="center" textRotation="0" indent="0" justifyLastLine="0" shrinkToFit="0" readingOrder="0"/>
      <border diagonalUp="0" diagonalDown="0" outline="0">
        <left style="hair">
          <color auto="1"/>
        </left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  <protection locked="0" hidden="0"/>
    </dxf>
    <dxf>
      <alignment horizontal="center" textRotation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70C0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  <protection locked="0" hidden="0"/>
    </dxf>
    <dxf>
      <border outline="0">
        <right style="hair">
          <color auto="1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>
        <left style="hair">
          <color auto="1"/>
        </left>
      </border>
      <protection locked="0" hidden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alignment horizontal="center" textRotation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</border>
      <protection locked="0" hidden="0"/>
    </dxf>
    <dxf>
      <numFmt numFmtId="19" formatCode="dd/mm/yyyy"/>
      <alignment horizontal="center" vertical="bottom" textRotation="0" wrapText="0" indent="0" justifyLastLine="0" shrinkToFit="0" readingOrder="0"/>
      <border diagonalUp="0" diagonalDown="0">
        <left/>
        <right style="hair">
          <color auto="1"/>
        </right>
        <top/>
        <bottom/>
      </border>
      <protection locked="0" hidden="0"/>
    </dxf>
    <dxf>
      <numFmt numFmtId="19" formatCode="dd/mm/yyyy"/>
      <alignment horizontal="center" vertical="bottom" textRotation="0" wrapText="0" indent="0" justifyLastLine="0" shrinkToFit="0" readingOrder="0"/>
      <protection locked="0" hidden="0"/>
    </dxf>
    <dxf>
      <alignment horizontal="left" vertical="center" textRotation="0" wrapText="1" indent="0" justifyLastLine="0" shrinkToFit="0" readingOrder="0"/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border outline="0">
        <right style="hair">
          <color auto="1"/>
        </right>
      </border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border diagonalUp="0" diagonalDown="0" outline="0">
        <left style="hair">
          <color rgb="FF0070C0"/>
        </left>
        <right/>
        <top/>
        <bottom/>
      </border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border diagonalUp="0" diagonalDown="0" outline="0">
        <left/>
        <right style="hair">
          <color rgb="FF0070C0"/>
        </right>
        <top/>
        <bottom/>
      </border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</dxf>
    <dxf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border diagonalUp="0" diagonalDown="0" outline="0">
        <left style="hair">
          <color rgb="FF0070C0"/>
        </left>
        <right/>
        <top/>
        <bottom/>
      </border>
    </dxf>
    <dxf>
      <border diagonalUp="0" diagonalDown="0">
        <left/>
        <right style="hair">
          <color auto="1"/>
        </right>
        <top/>
        <bottom/>
      </border>
      <protection locked="0" hidden="0"/>
    </dxf>
    <dxf>
      <alignment horizontal="center" textRotation="0" indent="0" justifyLastLine="0" shrinkToFit="0" readingOrder="0"/>
      <border diagonalUp="0" diagonalDown="0">
        <left/>
        <right style="hair">
          <color rgb="FF0070C0"/>
        </right>
        <top/>
        <bottom/>
      </border>
      <protection locked="0" hidden="0"/>
    </dxf>
    <dxf>
      <border outline="0">
        <left style="hair">
          <color auto="1"/>
        </left>
      </border>
      <protection locked="0" hidden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  <protection locked="0" hidden="0"/>
    </dxf>
    <dxf>
      <border outline="0">
        <right style="hair">
          <color auto="1"/>
        </right>
      </border>
      <protection locked="0" hidden="0"/>
    </dxf>
    <dxf>
      <alignment horizontal="center" textRotation="0" indent="0" justifyLastLine="0" shrinkToFit="0" readingOrder="0"/>
      <border diagonalUp="0" diagonalDown="0" outline="0">
        <left style="hair">
          <color auto="1"/>
        </left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  <protection locked="0" hidden="0"/>
    </dxf>
    <dxf>
      <alignment horizontal="center" textRotation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outline="0">
        <left style="hair">
          <color auto="1"/>
        </left>
      </border>
      <protection locked="0" hidden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0" tint="-0.249977111117893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  <protection locked="0" hidden="0"/>
    </dxf>
    <dxf>
      <numFmt numFmtId="19" formatCode="dd/mm/yyyy"/>
      <alignment horizontal="center" vertical="bottom" textRotation="0" wrapText="0" indent="0" justifyLastLine="0" shrinkToFit="0" readingOrder="0"/>
      <border diagonalUp="0" diagonalDown="0" outline="0">
        <left/>
        <right style="hair">
          <color auto="1"/>
        </right>
        <top/>
        <bottom/>
      </border>
      <protection locked="0" hidden="0"/>
    </dxf>
    <dxf>
      <numFmt numFmtId="19" formatCode="dd/mm/yyyy"/>
      <alignment horizontal="center" vertical="bottom" textRotation="0" wrapText="0" indent="0" justifyLastLine="0" shrinkToFit="0" readingOrder="0"/>
      <protection locked="0" hidden="0"/>
    </dxf>
    <dxf>
      <alignment horizontal="left" vertical="center" textRotation="0" wrapText="1" indent="0" justifyLastLine="0" shrinkToFit="0" readingOrder="0"/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numFmt numFmtId="35" formatCode="_ * #,##0.00_ ;_ * \-#,##0.00_ ;_ * &quot;-&quot;??_ ;_ @_ "/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alignment horizontal="center" textRotation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alignment horizontal="center" textRotation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2" tint="-9.9978637043366805E-2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2" tint="-9.9978637043366805E-2"/>
        </patternFill>
      </fill>
      <border diagonalUp="0" diagonalDown="0" outline="0">
        <left/>
        <right style="hair">
          <color auto="1"/>
        </right>
        <top/>
        <bottom/>
      </border>
    </dxf>
    <dxf>
      <numFmt numFmtId="0" formatCode="General"/>
      <border diagonalUp="0" diagonalDown="0" outline="0">
        <left/>
        <right style="hair">
          <color auto="1"/>
        </right>
        <top/>
        <bottom/>
      </border>
    </dxf>
    <dxf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border outline="0">
        <right style="hair">
          <color auto="1"/>
        </right>
      </border>
    </dxf>
    <dxf>
      <numFmt numFmtId="0" formatCode="General"/>
    </dxf>
    <dxf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</dxf>
    <dxf>
      <numFmt numFmtId="0" formatCode="General"/>
      <border diagonalUp="0" diagonalDown="0" outline="0">
        <left style="hair">
          <color rgb="FF0070C0"/>
        </left>
        <right/>
        <top/>
        <bottom/>
      </border>
    </dxf>
    <dxf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border diagonalUp="0" diagonalDown="0" outline="0">
        <left style="hair">
          <color rgb="FF0070C0"/>
        </left>
        <right/>
        <top/>
        <bottom/>
      </border>
    </dxf>
    <dxf>
      <numFmt numFmtId="0" formatCode="General"/>
      <border diagonalUp="0" diagonalDown="0" outline="0">
        <left/>
        <right style="hair">
          <color auto="1"/>
        </right>
        <top/>
        <bottom/>
      </border>
    </dxf>
    <dxf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border diagonalUp="0" diagonalDown="0" outline="0">
        <left/>
        <right style="hair">
          <color auto="1"/>
        </right>
        <top/>
        <bottom/>
      </border>
    </dxf>
    <dxf>
      <numFmt numFmtId="0" formatCode="General"/>
    </dxf>
    <dxf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</dxf>
    <dxf>
      <numFmt numFmtId="0" formatCode="General"/>
      <border diagonalUp="0" diagonalDown="0" outline="0">
        <left style="hair">
          <color auto="1"/>
        </left>
        <right/>
        <top/>
        <bottom/>
      </border>
    </dxf>
    <dxf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border diagonalUp="0" diagonalDown="0" outline="0">
        <left style="hair">
          <color auto="1"/>
        </left>
        <right/>
        <top/>
        <bottom/>
      </border>
    </dxf>
    <dxf>
      <numFmt numFmtId="0" formatCode="General"/>
      <border diagonalUp="0" diagonalDown="0" outline="0">
        <left/>
        <right style="hair">
          <color rgb="FF0070C0"/>
        </right>
        <top/>
        <bottom/>
      </border>
    </dxf>
    <dxf>
      <border diagonalUp="0" diagonalDown="0">
        <left/>
        <right style="hair">
          <color rgb="FF0070C0"/>
        </right>
        <top/>
        <bottom/>
        <vertical/>
        <horizontal/>
      </border>
    </dxf>
    <dxf>
      <numFmt numFmtId="0" formatCode="General"/>
      <protection locked="0" hidden="0"/>
    </dxf>
    <dxf>
      <protection locked="0" hidden="0"/>
    </dxf>
    <dxf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  <protection locked="0" hidden="0"/>
    </dxf>
    <dxf>
      <numFmt numFmtId="165" formatCode="_ * #,##0_ ;_ * \-#,##0_ ;_ * &quot;-&quot;??_ ;_ @_ "/>
      <alignment horizontal="center" textRotation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  <protection locked="0" hidden="0"/>
    </dxf>
    <dxf>
      <numFmt numFmtId="0" formatCode="General"/>
      <protection locked="0" hidden="0"/>
    </dxf>
    <dxf>
      <protection locked="0" hidden="0"/>
    </dxf>
    <dxf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2" tint="-9.9978637043366805E-2"/>
        </patternFill>
      </fill>
      <alignment horizontal="left" textRotation="0" indent="0" justifyLastLine="0" shrinkToFit="0" readingOrder="0"/>
      <protection locked="0" hidden="0"/>
    </dxf>
    <dxf>
      <numFmt numFmtId="0" formatCode="General"/>
      <protection locked="0" hidden="0"/>
    </dxf>
    <dxf>
      <protection locked="0" hidden="0"/>
    </dxf>
    <dxf>
      <numFmt numFmtId="0" formatCode="General"/>
      <protection locked="0" hidden="0"/>
    </dxf>
    <dxf>
      <fill>
        <patternFill patternType="solid">
          <fgColor indexed="64"/>
          <bgColor theme="2" tint="-9.9978637043366805E-2"/>
        </patternFill>
      </fill>
      <border outline="0">
        <left style="hair">
          <color rgb="FF0070C0"/>
        </left>
      </border>
      <protection locked="0" hidden="0"/>
    </dxf>
    <dxf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hair">
          <color rgb="FF0070C0"/>
        </left>
        <right style="hair">
          <color rgb="FF0070C0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2" tint="-9.9978637043366805E-2"/>
        </patternFill>
      </fill>
      <alignment horizontal="center" textRotation="0" indent="0" justifyLastLine="0" shrinkToFit="0" readingOrder="0"/>
      <border diagonalUp="0" diagonalDown="0" outline="0">
        <left style="hair">
          <color rgb="FF0070C0"/>
        </left>
        <right style="hair">
          <color rgb="FF0070C0"/>
        </right>
        <top/>
        <bottom/>
      </border>
      <protection locked="0" hidden="0"/>
    </dxf>
    <dxf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 style="hair">
          <color rgb="FF0070C0"/>
        </right>
        <top/>
        <bottom/>
      </border>
      <protection locked="0" hidden="0"/>
    </dxf>
    <dxf>
      <numFmt numFmtId="19" formatCode="dd/mm/yyyy"/>
      <alignment horizontal="center" vertical="bottom" textRotation="0" wrapText="0" indent="0" justifyLastLine="0" shrinkToFit="0" readingOrder="0"/>
      <border diagonalUp="0" diagonalDown="0">
        <left/>
        <right style="hair">
          <color rgb="FF0070C0"/>
        </right>
        <top/>
        <bottom/>
      </border>
      <protection locked="0" hidden="0"/>
    </dxf>
    <dxf>
      <numFmt numFmtId="0" formatCode="General"/>
      <alignment horizontal="center" vertical="bottom" textRotation="0" wrapText="0" indent="0" justifyLastLine="0" shrinkToFit="0" readingOrder="0"/>
      <protection locked="0" hidden="0"/>
    </dxf>
    <dxf>
      <numFmt numFmtId="19" formatCode="dd/mm/yyyy"/>
      <alignment horizontal="center" vertical="bottom" textRotation="0" wrapText="0" indent="0" justifyLastLine="0" shrinkToFit="0" readingOrder="0"/>
      <protection locked="0" hidden="0"/>
    </dxf>
    <dxf>
      <alignment horizontal="left" vertical="center" textRotation="0" wrapText="1" indent="0" justifyLastLine="0" shrinkToFit="0" readingOrder="0"/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protection locked="0" hidden="0"/>
    </dxf>
    <dxf>
      <alignment horizontal="left" textRotation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2" tint="-9.9978637043366805E-2"/>
        </patternFill>
      </fill>
      <border diagonalUp="0" diagonalDown="0" outline="0">
        <left style="hair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hair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2" tint="-9.9978637043366805E-2"/>
        </patternFill>
      </fill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alignment horizontal="center" textRotation="0" indent="0" justifyLastLine="0" shrinkToFit="0" readingOrder="0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border diagonalUp="0" diagonalDown="0" outline="0">
        <left/>
        <right style="hair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border diagonalUp="0" diagonalDown="0" outline="0">
        <left style="hair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border diagonalUp="0" diagonalDown="0" outline="0">
        <left/>
        <right style="hair">
          <color rgb="FF0070C0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border diagonalUp="0" diagonalDown="0" outline="0">
        <left style="hair">
          <color rgb="FF0070C0"/>
        </left>
        <right/>
        <top/>
        <bottom/>
      </border>
    </dxf>
    <dxf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  <protection locked="0" hidden="0"/>
    </dxf>
    <dxf>
      <border diagonalUp="0" diagonalDown="0">
        <left/>
        <right style="hair">
          <color auto="1"/>
        </right>
        <top/>
        <bottom/>
        <vertical/>
        <horizontal/>
      </border>
      <protection locked="0" hidden="0"/>
    </dxf>
    <dxf>
      <border diagonalUp="0" diagonalDown="0" outline="0">
        <left style="hair">
          <color auto="1"/>
        </left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165" formatCode="_ * #,##0_ ;_ * \-#,##0_ ;_ * &quot;-&quot;??_ ;_ @_ "/>
      <fill>
        <patternFill patternType="solid">
          <fgColor indexed="64"/>
          <bgColor theme="2" tint="-9.9978637043366805E-2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  <protection locked="0" hidden="0"/>
    </dxf>
    <dxf>
      <border diagonalUp="0" diagonalDown="0" outline="0">
        <left/>
        <right style="hair">
          <color auto="1"/>
        </right>
        <top/>
        <bottom/>
      </border>
      <protection locked="0" hidden="0"/>
    </dxf>
    <dxf>
      <alignment horizontal="center" textRotation="0" indent="0" justifyLastLine="0" shrinkToFit="0" readingOrder="0"/>
      <protection locked="0" hidden="0"/>
    </dxf>
    <dxf>
      <border diagonalUp="0" diagonalDown="0">
        <left style="hair">
          <color auto="1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rgb="FF0070C0"/>
        <name val="Calibri"/>
        <scheme val="minor"/>
      </font>
      <numFmt numFmtId="35" formatCode="_ * #,##0.00_ ;_ * \-#,##0.00_ ;_ * &quot;-&quot;??_ ;_ @_ "/>
      <fill>
        <patternFill>
          <fgColor indexed="64"/>
          <bgColor theme="2" tint="-9.9978637043366805E-2"/>
        </patternFill>
      </fill>
      <alignment horizontal="center" textRotation="0" indent="0" justifyLastLine="0" shrinkToFit="0" readingOrder="0"/>
      <protection locked="0" hidden="0"/>
    </dxf>
    <dxf>
      <fill>
        <patternFill>
          <fgColor indexed="64"/>
          <bgColor theme="2" tint="-9.9978637043366805E-2"/>
        </patternFill>
      </fill>
      <protection locked="0" hidden="0"/>
    </dxf>
    <dxf>
      <fill>
        <patternFill>
          <fgColor indexed="64"/>
          <bgColor theme="2" tint="-9.9978637043366805E-2"/>
        </patternFill>
      </fill>
      <protection locked="0" hidden="0"/>
    </dxf>
    <dxf>
      <fill>
        <patternFill>
          <fgColor indexed="64"/>
          <bgColor theme="2" tint="-9.9978637043366805E-2"/>
        </patternFill>
      </fill>
      <alignment horizontal="center" textRotation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  <protection locked="0" hidden="0"/>
    </dxf>
    <dxf>
      <numFmt numFmtId="19" formatCode="dd/mm/yyyy"/>
      <alignment horizontal="center" vertical="bottom" textRotation="0" wrapText="0" indent="0" justifyLastLine="0" shrinkToFit="0" readingOrder="0"/>
      <protection locked="0" hidden="0"/>
    </dxf>
    <dxf>
      <numFmt numFmtId="19" formatCode="dd/mm/yyyy"/>
      <alignment horizontal="center" vertical="bottom" textRotation="0" wrapText="0" indent="0" justifyLastLine="0" shrinkToFit="0" readingOrder="0"/>
      <protection locked="0" hidden="0"/>
    </dxf>
    <dxf>
      <alignment horizontal="left" vertical="center" textRotation="0" wrapText="1" indent="0" justifyLastLine="0" shrinkToFit="0" readingOrder="0"/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ill>
        <patternFill patternType="mediumGray">
          <f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/>
        <right style="hair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 style="hair">
          <color auto="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/>
        <right style="hair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 style="hair">
          <color auto="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/>
        <right style="hair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 style="hair">
          <color auto="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/>
        <right style="hair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 style="hair">
          <color auto="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/>
        <right style="hair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 style="hair">
          <color auto="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/>
        <right style="hair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 * #,##0.00_ ;_ * \-#,##0.00_ ;_ * &quot;-&quot;??_ ;_ @_ "/>
      <border diagonalUp="0" diagonalDown="0" outline="0">
        <left style="hair">
          <color auto="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 style="hair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/>
        <right style="hair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 outline="0">
        <left style="hair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border diagonalUp="0" diagonalDown="0">
        <left style="hair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19" formatCode="dd/mm/yyyy"/>
      <alignment horizontal="center" vertical="bottom" textRotation="0" wrapText="0" indent="0" justifyLastLine="0" shrinkToFit="0" readingOrder="0"/>
    </dxf>
    <dxf>
      <numFmt numFmtId="19" formatCode="dd/mm/yyyy"/>
      <alignment horizontal="center" vertical="bottom" textRotation="0" wrapText="0" indent="0" justifyLastLine="0" shrinkToFit="0" readingOrder="0"/>
    </dxf>
    <dxf>
      <numFmt numFmtId="167" formatCode="0.0%"/>
    </dxf>
    <dxf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/>
        <bottom/>
        <vertical/>
        <horizontal/>
      </border>
    </dxf>
    <dxf>
      <numFmt numFmtId="167" formatCode="0.0%"/>
      <alignment horizontal="right" textRotation="0" indent="0" justifyLastLine="0" shrinkToFit="0" readingOrder="0"/>
    </dxf>
    <dxf>
      <alignment horizontal="left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alignment horizontal="center" vertical="center" textRotation="0" wrapText="1" indent="0" justifyLastLine="0" shrinkToFit="0" readingOrder="0"/>
    </dxf>
    <dxf>
      <numFmt numFmtId="167" formatCode="0.0%"/>
      <alignment horizontal="center" vertical="bottom" textRotation="0" wrapText="0" indent="0" justifyLastLine="0" shrinkToFit="0" readingOrder="0"/>
    </dxf>
    <dxf>
      <numFmt numFmtId="167" formatCode="0.0%"/>
    </dxf>
    <dxf>
      <numFmt numFmtId="167" formatCode="0.0%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alignment horizontal="center" vertical="center" textRotation="0" wrapText="1" indent="0" justifyLastLine="0" shrinkToFit="0" readingOrder="0"/>
    </dxf>
    <dxf>
      <numFmt numFmtId="167" formatCode="0.0%"/>
      <alignment horizontal="center" vertical="bottom" textRotation="0" wrapText="0" indent="0" justifyLastLine="0" shrinkToFit="0" readingOrder="0"/>
    </dxf>
    <dxf>
      <numFmt numFmtId="167" formatCode="0.0%"/>
    </dxf>
    <dxf>
      <numFmt numFmtId="167" formatCode="0.0%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/>
        <bottom/>
        <vertical/>
        <horizontal/>
      </border>
    </dxf>
    <dxf>
      <numFmt numFmtId="167" formatCode="0.0%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>
        <bottom style="thin">
          <color theme="4" tint="0.3999450666829432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>
        <bottom style="thin">
          <color theme="4" tint="0.3999145481734672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/>
        <bottom/>
        <vertical/>
        <horizontal/>
      </border>
    </dxf>
    <dxf>
      <numFmt numFmtId="167" formatCode="0.0%"/>
    </dxf>
    <dxf>
      <numFmt numFmtId="167" formatCode="0.0%"/>
    </dxf>
    <dxf>
      <numFmt numFmtId="167" formatCode="0.0%"/>
    </dxf>
    <dxf>
      <numFmt numFmtId="167" formatCode="0.0%"/>
    </dxf>
    <dxf>
      <numFmt numFmtId="167" formatCode="0.0%"/>
    </dxf>
    <dxf>
      <numFmt numFmtId="167" formatCode="0.0%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166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* #,##0.0_ ;_ * \-#,##0.0_ ;_ * &quot;-&quot;??_ ;_ @_ "/>
      <alignment horizontal="center" vertical="bottom" textRotation="0" wrapText="0" indent="0" justifyLastLine="0" shrinkToFit="0" readingOrder="0"/>
    </dxf>
    <dxf>
      <numFmt numFmtId="164" formatCode="_ * #,##0.0_ ;_ * \-#,##0.0_ ;_ * &quot;-&quot;??_ ;_ @_ 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167" formatCode="0.0%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none">
          <fgColor indexed="64"/>
          <bgColor indexed="65"/>
        </patternFill>
      </fill>
    </dxf>
    <dxf>
      <numFmt numFmtId="165" formatCode="_ * #,##0_ ;_ * \-#,##0_ ;_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none">
          <fgColor indexed="64"/>
          <bgColor indexed="65"/>
        </patternFill>
      </fill>
    </dxf>
    <dxf>
      <numFmt numFmtId="165" formatCode="_ * #,##0_ ;_ * \-#,##0_ ;_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none">
          <fgColor indexed="64"/>
          <bgColor indexed="65"/>
        </patternFill>
      </fill>
    </dxf>
    <dxf>
      <numFmt numFmtId="165" formatCode="_ * #,##0_ ;_ * \-#,##0_ ;_ * &quot;-&quot;??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 * #,##0_ ;_ * \-#,##0_ ;_ * &quot;-&quot;??_ ;_ @_ "/>
      <fill>
        <patternFill patternType="none">
          <fgColor indexed="64"/>
          <bgColor indexed="65"/>
        </patternFill>
      </fill>
    </dxf>
    <dxf>
      <numFmt numFmtId="165" formatCode="_ * #,##0_ ;_ * \-#,##0_ ;_ * &quot;-&quot;??_ ;_ @_ 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540398</xdr:colOff>
      <xdr:row>13</xdr:row>
      <xdr:rowOff>40820</xdr:rowOff>
    </xdr:from>
    <xdr:to>
      <xdr:col>4</xdr:col>
      <xdr:colOff>748394</xdr:colOff>
      <xdr:row>17</xdr:row>
      <xdr:rowOff>190499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50" t="24408" r="1743" b="25986"/>
        <a:stretch/>
      </xdr:blipFill>
      <xdr:spPr>
        <a:xfrm>
          <a:off x="540398" y="2803070"/>
          <a:ext cx="3255996" cy="91167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</xdr:row>
      <xdr:rowOff>0</xdr:rowOff>
    </xdr:from>
    <xdr:to>
      <xdr:col>11</xdr:col>
      <xdr:colOff>304800</xdr:colOff>
      <xdr:row>8</xdr:row>
      <xdr:rowOff>114300</xdr:rowOff>
    </xdr:to>
    <xdr:sp macro="" textlink="">
      <xdr:nvSpPr>
        <xdr:cNvPr id="27650" name="AutoShape 2" descr="Resultado de imagen para crea">
          <a:extLst>
            <a:ext uri="{FF2B5EF4-FFF2-40B4-BE49-F238E27FC236}">
              <a16:creationId xmlns="" xmlns:a16="http://schemas.microsoft.com/office/drawing/2014/main" id="{00000000-0008-0000-0000-0000026C0000}"/>
            </a:ext>
          </a:extLst>
        </xdr:cNvPr>
        <xdr:cNvSpPr>
          <a:spLocks noChangeAspect="1" noChangeArrowheads="1"/>
        </xdr:cNvSpPr>
      </xdr:nvSpPr>
      <xdr:spPr bwMode="auto">
        <a:xfrm>
          <a:off x="6096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731239</xdr:colOff>
      <xdr:row>18</xdr:row>
      <xdr:rowOff>61383</xdr:rowOff>
    </xdr:from>
    <xdr:to>
      <xdr:col>4</xdr:col>
      <xdr:colOff>513359</xdr:colOff>
      <xdr:row>26</xdr:row>
      <xdr:rowOff>163509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239" y="3776133"/>
          <a:ext cx="2830120" cy="1626126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10</xdr:row>
      <xdr:rowOff>0</xdr:rowOff>
    </xdr:from>
    <xdr:ext cx="304800" cy="304800"/>
    <xdr:sp macro="" textlink="">
      <xdr:nvSpPr>
        <xdr:cNvPr id="7" name="AutoShape 2" descr="Resultado de imagen para crea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8794750" y="58208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19</xdr:row>
      <xdr:rowOff>0</xdr:rowOff>
    </xdr:from>
    <xdr:ext cx="304800" cy="304800"/>
    <xdr:sp macro="" textlink="">
      <xdr:nvSpPr>
        <xdr:cNvPr id="8" name="AutoShape 2" descr="Resultado de imagen para crea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8350250" y="172508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22</xdr:row>
      <xdr:rowOff>0</xdr:rowOff>
    </xdr:from>
    <xdr:ext cx="304800" cy="304800"/>
    <xdr:sp macro="" textlink="">
      <xdr:nvSpPr>
        <xdr:cNvPr id="9" name="AutoShape 2" descr="Resultado de imagen para crea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286808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22</xdr:row>
      <xdr:rowOff>0</xdr:rowOff>
    </xdr:from>
    <xdr:ext cx="304800" cy="304800"/>
    <xdr:sp macro="" textlink="">
      <xdr:nvSpPr>
        <xdr:cNvPr id="10" name="AutoShape 2" descr="Resultado de imagen para crea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343958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304800" cy="304800"/>
    <xdr:sp macro="" textlink="">
      <xdr:nvSpPr>
        <xdr:cNvPr id="11" name="AutoShape 2" descr="Resultado de imagen para crea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219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733426</xdr:colOff>
      <xdr:row>1</xdr:row>
      <xdr:rowOff>133350</xdr:rowOff>
    </xdr:from>
    <xdr:to>
      <xdr:col>4</xdr:col>
      <xdr:colOff>657225</xdr:colOff>
      <xdr:row>12</xdr:row>
      <xdr:rowOff>3738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609600"/>
          <a:ext cx="2971799" cy="196588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berto Galdeano" refreshedDate="43082.59083321759" createdVersion="5" refreshedVersion="5" minRefreshableVersion="3" recordCount="62">
  <cacheSource type="worksheet">
    <worksheetSource name="Comercial_Agricola"/>
  </cacheSource>
  <cacheFields count="29">
    <cacheField name="Fecha Economico" numFmtId="14">
      <sharedItems containsNonDate="0" containsDate="1" containsString="0" containsBlank="1" minDate="1899-12-30T00:00:00" maxDate="2018-06-02T00:00:00"/>
    </cacheField>
    <cacheField name="Fecha Financiero" numFmtId="14">
      <sharedItems containsNonDate="0" containsDate="1" containsString="0" containsBlank="1" minDate="2017-09-01T00:00:00" maxDate="2018-05-02T00:00:00"/>
    </cacheField>
    <cacheField name="Campaña" numFmtId="43">
      <sharedItems containsBlank="1"/>
    </cacheField>
    <cacheField name="Cuenta Contable" numFmtId="43">
      <sharedItems containsBlank="1" count="11">
        <s v="Stock Granos Inicio"/>
        <s v="Ingreso por Venta de Cereal"/>
        <s v="Fletes Corto"/>
        <s v="Flete Largo"/>
        <s v="Acondicionamiento"/>
        <s v="Paritarias"/>
        <s v="Secada"/>
        <s v="Ingreso por Cesión Cereal"/>
        <m/>
        <s v="Producción Agrícola"/>
        <s v="Stock Granos Cierre"/>
      </sharedItems>
    </cacheField>
    <cacheField name="Unidad de Negocio" numFmtId="43">
      <sharedItems containsBlank="1" containsMixedTypes="1" containsNumber="1" containsInteger="1" minValue="0" maxValue="0"/>
    </cacheField>
    <cacheField name="Producto" numFmtId="43">
      <sharedItems containsMixedTypes="1" containsNumber="1" containsInteger="1" minValue="0" maxValue="0" count="7">
        <s v="Soja"/>
        <s v="Maíz"/>
        <s v="Girasol"/>
        <s v="Trigo"/>
        <s v="Cebada"/>
        <s v="Sorgo"/>
        <n v="0"/>
      </sharedItems>
    </cacheField>
    <cacheField name="Articulo (Opcional)" numFmtId="43">
      <sharedItems containsNonDate="0" containsString="0" containsBlank="1"/>
    </cacheField>
    <cacheField name="Toneladas" numFmtId="165">
      <sharedItems containsString="0" containsBlank="1" containsNumber="1" containsInteger="1" minValue="0" maxValue="850"/>
    </cacheField>
    <cacheField name="Precio Unitario" numFmtId="43">
      <sharedItems containsString="0" containsBlank="1" containsNumber="1" containsInteger="1" minValue="0" maxValue="2000"/>
    </cacheField>
    <cacheField name="Moneda" numFmtId="43">
      <sharedItems containsBlank="1"/>
    </cacheField>
    <cacheField name="Economico $Corrientes" numFmtId="165">
      <sharedItems containsSemiMixedTypes="0" containsString="0" containsNumber="1" containsInteger="1" minValue="-2638720" maxValue="2754000"/>
    </cacheField>
    <cacheField name="Economico $Constantes" numFmtId="165">
      <sharedItems containsNonDate="0" containsString="0" containsBlank="1"/>
    </cacheField>
    <cacheField name="Economico U$S Dolares" numFmtId="165">
      <sharedItems containsSemiMixedTypes="0" containsString="0" containsNumber="1" minValue="-112000" maxValue="114750"/>
    </cacheField>
    <cacheField name="Financiero _x000a_$Corrientes" numFmtId="165">
      <sharedItems containsSemiMixedTypes="0" containsString="0" containsNumber="1" containsInteger="1" minValue="-45000" maxValue="424080"/>
    </cacheField>
    <cacheField name="Financiero_x000a_$Constantes" numFmtId="165">
      <sharedItems containsNonDate="0" containsString="0" containsBlank="1"/>
    </cacheField>
    <cacheField name="Financiero_x000a_U$S Dolares" numFmtId="165">
      <sharedItems containsSemiMixedTypes="0" containsString="0" containsNumber="1" minValue="-2142.8571428571427" maxValue="18000"/>
    </cacheField>
    <cacheField name="Movimiento" numFmtId="43">
      <sharedItems containsMixedTypes="1" containsNumber="1" containsInteger="1" minValue="0" maxValue="0"/>
    </cacheField>
    <cacheField name="Stock" numFmtId="43">
      <sharedItems containsMixedTypes="1" containsNumber="1" containsInteger="1" minValue="0" maxValue="0"/>
    </cacheField>
    <cacheField name="Mov. Stock" numFmtId="43">
      <sharedItems containsSemiMixedTypes="0" containsString="0" containsNumber="1" containsInteger="1" minValue="-850" maxValue="800"/>
    </cacheField>
    <cacheField name="Fin." numFmtId="43">
      <sharedItems containsMixedTypes="1" containsNumber="1" containsInteger="1" minValue="0" maxValue="0"/>
    </cacheField>
    <cacheField name="Signo" numFmtId="43">
      <sharedItems containsMixedTypes="1" containsNumber="1" containsInteger="1" minValue="0" maxValue="0"/>
    </cacheField>
    <cacheField name="Mes Economico" numFmtId="165">
      <sharedItems containsSemiMixedTypes="0" containsString="0" containsNumber="1" containsInteger="1" minValue="0" maxValue="9"/>
    </cacheField>
    <cacheField name="Año Economico" numFmtId="165">
      <sharedItems containsSemiMixedTypes="0" containsString="0" containsNumber="1" containsInteger="1" minValue="0" maxValue="2018"/>
    </cacheField>
    <cacheField name="T. Cambio Economico" numFmtId="43">
      <sharedItems containsSemiMixedTypes="0" containsString="0" containsNumber="1" minValue="0" maxValue="24"/>
    </cacheField>
    <cacheField name="Indexcación Economcio" numFmtId="43">
      <sharedItems containsSemiMixedTypes="0" containsString="0" containsNumber="1" minValue="0" maxValue="1.2318826112987373"/>
    </cacheField>
    <cacheField name="Mes Financiero" numFmtId="165">
      <sharedItems containsSemiMixedTypes="0" containsString="0" containsNumber="1" containsInteger="1" minValue="0" maxValue="12"/>
    </cacheField>
    <cacheField name="Año Financiero" numFmtId="165">
      <sharedItems containsSemiMixedTypes="0" containsString="0" containsNumber="1" containsInteger="1" minValue="0" maxValue="2018"/>
    </cacheField>
    <cacheField name="T. Cambio Financiero" numFmtId="43">
      <sharedItems containsSemiMixedTypes="0" containsString="0" containsNumber="1" minValue="0" maxValue="23.56"/>
    </cacheField>
    <cacheField name="Indexación Finaciero" numFmtId="43">
      <sharedItems containsSemiMixedTypes="0" containsString="0" containsNumber="1" minValue="0" maxValue="1.214874370117097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lberto Galdeano" refreshedDate="43082.592006134262" createdVersion="5" refreshedVersion="5" minRefreshableVersion="3" recordCount="50">
  <cacheSource type="worksheet">
    <worksheetSource name="Producción_Lecheria"/>
  </cacheSource>
  <cacheFields count="40">
    <cacheField name="Fecha Economico" numFmtId="14">
      <sharedItems containsNonDate="0" containsDate="1" containsString="0" containsBlank="1" minDate="2017-07-01T00:00:00" maxDate="2018-04-02T00:00:00"/>
    </cacheField>
    <cacheField name="Fecha Financiero" numFmtId="14">
      <sharedItems containsNonDate="0" containsDate="1" containsString="0" containsBlank="1" minDate="2017-10-01T00:00:00" maxDate="2018-02-02T00:00:00"/>
    </cacheField>
    <cacheField name="Campaña" numFmtId="43">
      <sharedItems containsBlank="1" count="2">
        <s v="2017-2018"/>
        <m/>
      </sharedItems>
    </cacheField>
    <cacheField name="Cuenta Contable" numFmtId="43">
      <sharedItems containsBlank="1" count="10">
        <s v="Stock Inicio"/>
        <m/>
        <s v="Salida Ventas"/>
        <s v="Personal"/>
        <s v="Cargas Sociales"/>
        <s v="Manutención Personal"/>
        <s v="Ingreso Venta Leche"/>
        <s v="Salida C. Categoria"/>
        <s v="Entrada C. Categoria"/>
        <s v="Stock Cierre"/>
      </sharedItems>
    </cacheField>
    <cacheField name="Centro de Costo" numFmtId="43">
      <sharedItems containsBlank="1" count="2">
        <s v="Campo 1"/>
        <m/>
      </sharedItems>
    </cacheField>
    <cacheField name="Categoria Hacienda" numFmtId="43">
      <sharedItems containsBlank="1"/>
    </cacheField>
    <cacheField name="Articulo (Opcional)" numFmtId="43">
      <sharedItems containsBlank="1"/>
    </cacheField>
    <cacheField name="Cabezas" numFmtId="43">
      <sharedItems containsString="0" containsBlank="1" containsNumber="1" containsInteger="1" minValue="0" maxValue="200"/>
    </cacheField>
    <cacheField name="Cantidad" numFmtId="43">
      <sharedItems containsString="0" containsBlank="1" containsNumber="1" containsInteger="1" minValue="1" maxValue="25000"/>
    </cacheField>
    <cacheField name="Unidad" numFmtId="43">
      <sharedItems containsBlank="1"/>
    </cacheField>
    <cacheField name="Cantidad Total" numFmtId="165">
      <sharedItems containsSemiMixedTypes="0" containsString="0" containsNumber="1" containsInteger="1" minValue="0" maxValue="46500"/>
    </cacheField>
    <cacheField name="Precio Unitario" numFmtId="43">
      <sharedItems containsString="0" containsBlank="1" containsNumber="1" containsInteger="1" minValue="5" maxValue="30000"/>
    </cacheField>
    <cacheField name="Moneda" numFmtId="43">
      <sharedItems containsBlank="1"/>
    </cacheField>
    <cacheField name="Tasa Anual de Interes" numFmtId="9">
      <sharedItems containsNonDate="0" containsString="0" containsBlank="1"/>
    </cacheField>
    <cacheField name="Economico $Corrientes" numFmtId="165">
      <sharedItems containsSemiMixedTypes="0" containsString="0" containsNumber="1" containsInteger="1" minValue="-1488000" maxValue="1378000"/>
    </cacheField>
    <cacheField name="Economico $Constantes" numFmtId="165">
      <sharedItems containsNonDate="0" containsString="0" containsBlank="1"/>
    </cacheField>
    <cacheField name="Economico U$S Dolares" numFmtId="165">
      <sharedItems containsSemiMixedTypes="0" containsString="0" containsNumber="1" minValue="-80432.432432432426" maxValue="74486.486486486479"/>
    </cacheField>
    <cacheField name="Financiero _x000a_$Corrientes" numFmtId="165">
      <sharedItems containsSemiMixedTypes="0" containsString="0" containsNumber="1" containsInteger="1" minValue="-10000" maxValue="1064000"/>
    </cacheField>
    <cacheField name="Financiero_x000a_$Constantes" numFmtId="165">
      <sharedItems containsNonDate="0" containsString="0" containsBlank="1"/>
    </cacheField>
    <cacheField name="Financiero_x000a_U$S Dolares" numFmtId="165">
      <sharedItems containsSemiMixedTypes="0" containsString="0" containsNumber="1" minValue="-465.11627906976742" maxValue="50666.666666666664"/>
    </cacheField>
    <cacheField name="Intereses $Corrientes" numFmtId="165">
      <sharedItems containsSemiMixedTypes="0" containsString="0" containsNumber="1" containsInteger="1" minValue="0" maxValue="0"/>
    </cacheField>
    <cacheField name="Intereses $Constantes" numFmtId="165">
      <sharedItems containsNonDate="0" containsString="0" containsBlank="1"/>
    </cacheField>
    <cacheField name="Intereses U$S Dolares" numFmtId="165">
      <sharedItems containsSemiMixedTypes="0" containsString="0" containsNumber="1" containsInteger="1" minValue="0" maxValue="0"/>
    </cacheField>
    <cacheField name="Movimiento" numFmtId="43">
      <sharedItems containsMixedTypes="1" containsNumber="1" containsInteger="1" minValue="0" maxValue="0"/>
    </cacheField>
    <cacheField name="Variación Stock" numFmtId="43">
      <sharedItems containsSemiMixedTypes="0" containsString="0" containsNumber="1" containsInteger="1" minValue="-200" maxValue="200"/>
    </cacheField>
    <cacheField name="Mov. Stock" numFmtId="43">
      <sharedItems containsMixedTypes="1" containsNumber="1" containsInteger="1" minValue="0" maxValue="0"/>
    </cacheField>
    <cacheField name="Fin." numFmtId="43">
      <sharedItems containsMixedTypes="1" containsNumber="1" containsInteger="1" minValue="0" maxValue="0"/>
    </cacheField>
    <cacheField name="Signo" numFmtId="43">
      <sharedItems containsMixedTypes="1" containsNumber="1" containsInteger="1" minValue="0" maxValue="0"/>
    </cacheField>
    <cacheField name="Mes Economico" numFmtId="165">
      <sharedItems containsSemiMixedTypes="0" containsString="0" containsNumber="1" containsInteger="1" minValue="0" maxValue="12"/>
    </cacheField>
    <cacheField name="Año Economico" numFmtId="165">
      <sharedItems containsSemiMixedTypes="0" containsString="0" containsNumber="1" containsInteger="1" minValue="0" maxValue="2018"/>
    </cacheField>
    <cacheField name="T. Cambio Economico" numFmtId="43">
      <sharedItems containsSemiMixedTypes="0" containsString="0" containsNumber="1" minValue="0" maxValue="23"/>
    </cacheField>
    <cacheField name="Indexcación Economcio" numFmtId="43">
      <sharedItems containsSemiMixedTypes="0" containsString="0" containsNumber="1" minValue="0" maxValue="1.1981009567229761"/>
    </cacheField>
    <cacheField name="Mes Financiero" numFmtId="165">
      <sharedItems containsSemiMixedTypes="0" containsString="0" containsNumber="1" containsInteger="1" minValue="0" maxValue="12"/>
    </cacheField>
    <cacheField name="Año Financiero" numFmtId="165">
      <sharedItems containsSemiMixedTypes="0" containsString="0" containsNumber="1" containsInteger="1" minValue="0" maxValue="2018"/>
    </cacheField>
    <cacheField name="T. Cambio Financiero" numFmtId="43">
      <sharedItems containsSemiMixedTypes="0" containsString="0" containsNumber="1" minValue="0" maxValue="22"/>
    </cacheField>
    <cacheField name="Indexación Finaciero" numFmtId="43">
      <sharedItems containsSemiMixedTypes="0" containsString="0" containsNumber="1" minValue="0" maxValue="1.1652456892683654"/>
    </cacheField>
    <cacheField name="Superficie" numFmtId="43">
      <sharedItems containsSemiMixedTypes="0" containsString="0" containsNumber="1" containsInteger="1" minValue="0" maxValue="2356"/>
    </cacheField>
    <cacheField name=" $Corrientes Superficie" numFmtId="43">
      <sharedItems containsSemiMixedTypes="0" containsString="0" containsNumber="1" minValue="-631.57894736842104" maxValue="584.88964346349746"/>
    </cacheField>
    <cacheField name=" $Constante Superficie" numFmtId="43">
      <sharedItems containsSemiMixedTypes="0" containsString="0" containsNumber="1" containsInteger="1" minValue="0" maxValue="0"/>
    </cacheField>
    <cacheField name=" U$S Dolares Superficie" numFmtId="43">
      <sharedItems containsSemiMixedTypes="0" containsString="0" containsNumber="1" minValue="-34.139402560455189" maxValue="31.6156564034322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lberto Galdeano" refreshedDate="43150.655186111115" createdVersion="5" refreshedVersion="5" minRefreshableVersion="3" recordCount="127">
  <cacheSource type="worksheet">
    <worksheetSource name="Producción_Agricola"/>
  </cacheSource>
  <cacheFields count="41">
    <cacheField name="Fecha Económico" numFmtId="14">
      <sharedItems containsNonDate="0" containsDate="1" containsString="0" containsBlank="1" minDate="2018-06-15T00:00:00" maxDate="2019-05-02T00:00:00"/>
    </cacheField>
    <cacheField name="Fecha Financiero" numFmtId="14">
      <sharedItems containsNonDate="0" containsDate="1" containsString="0" containsBlank="1" minDate="2018-07-05T00:00:00" maxDate="2019-06-02T00:00:00"/>
    </cacheField>
    <cacheField name="Campaña" numFmtId="43">
      <sharedItems containsBlank="1" count="2">
        <s v="2018-2019"/>
        <m/>
      </sharedItems>
    </cacheField>
    <cacheField name="Centro de Costo" numFmtId="43">
      <sharedItems containsBlank="1" count="2">
        <s v="Campo 1"/>
        <m/>
      </sharedItems>
    </cacheField>
    <cacheField name="Unidad de Negocio" numFmtId="43">
      <sharedItems containsBlank="1" count="3">
        <s v="Maíz Temprano"/>
        <s v="Soja de Primera"/>
        <m/>
      </sharedItems>
    </cacheField>
    <cacheField name="Producto" numFmtId="43">
      <sharedItems containsMixedTypes="1" containsNumber="1" containsInteger="1" minValue="0" maxValue="0"/>
    </cacheField>
    <cacheField name="Superficie" numFmtId="43">
      <sharedItems containsSemiMixedTypes="0" containsString="0" containsNumber="1" containsInteger="1" minValue="0" maxValue="110"/>
    </cacheField>
    <cacheField name="Cuenta Contable" numFmtId="43">
      <sharedItems containsBlank="1" count="13">
        <s v="Producción Agrícola"/>
        <s v="Cosecha"/>
        <s v="Labores"/>
        <s v="Herbicidas"/>
        <s v="Coadyuvantes"/>
        <s v="Insecticidas"/>
        <s v="Semillas"/>
        <s v="Fertilizantes"/>
        <s v="Fungicidas"/>
        <s v="Gerenciamiento"/>
        <s v="Arrendamiento"/>
        <s v="Costo Oportunidad Tierra"/>
        <m/>
      </sharedItems>
    </cacheField>
    <cacheField name="Articulo (Opcional)" numFmtId="43">
      <sharedItems containsBlank="1"/>
    </cacheField>
    <cacheField name="Cantidad" numFmtId="43">
      <sharedItems containsString="0" containsBlank="1" containsNumber="1" minValue="0" maxValue="160"/>
    </cacheField>
    <cacheField name="Unidad" numFmtId="43">
      <sharedItems containsBlank="1"/>
    </cacheField>
    <cacheField name="Cantidad Total" numFmtId="165">
      <sharedItems containsSemiMixedTypes="0" containsString="0" containsNumber="1" containsInteger="1" minValue="0" maxValue="16000"/>
    </cacheField>
    <cacheField name="Precio Unitario" numFmtId="43">
      <sharedItems containsString="0" containsBlank="1" containsNumber="1" minValue="0.35" maxValue="800"/>
    </cacheField>
    <cacheField name="Moneda" numFmtId="43">
      <sharedItems containsBlank="1"/>
    </cacheField>
    <cacheField name="Tasa Anual de Interés" numFmtId="9">
      <sharedItems containsString="0" containsBlank="1" containsNumber="1" minValue="0" maxValue="0.06"/>
    </cacheField>
    <cacheField name="Económico $Corrientes" numFmtId="165">
      <sharedItems containsSemiMixedTypes="0" containsString="0" containsNumber="1" minValue="-457819.97782355995" maxValue="2403653.0082751075"/>
    </cacheField>
    <cacheField name="Económico $Constantes" numFmtId="165">
      <sharedItems containsSemiMixedTypes="0" containsString="0" containsNumber="1" minValue="-421179.29181130219" maxValue="1978519.8102775244"/>
    </cacheField>
    <cacheField name="Económico U$S Dólares" numFmtId="165">
      <sharedItems containsSemiMixedTypes="0" containsString="0" containsNumber="1" minValue="-19800" maxValue="96000"/>
    </cacheField>
    <cacheField name="Financiero $Corrientes" numFmtId="165">
      <sharedItems containsSemiMixedTypes="0" containsString="0" containsNumber="1" minValue="-495753.43295674084" maxValue="0"/>
    </cacheField>
    <cacheField name="Financiero $Constantes" numFmtId="165">
      <sharedItems containsSemiMixedTypes="0" containsString="0" containsNumber="1" minValue="-408069.71086973936" maxValue="0"/>
    </cacheField>
    <cacheField name="Financiero U$S Dólares" numFmtId="165">
      <sharedItems containsSemiMixedTypes="0" containsString="0" containsNumber="1" minValue="-19800" maxValue="0"/>
    </cacheField>
    <cacheField name="Intereses $Corrientes" numFmtId="165">
      <sharedItems containsSemiMixedTypes="0" containsString="0" containsNumber="1" minValue="-18177.625875080499" maxValue="0"/>
    </cacheField>
    <cacheField name="Intereses $Constantes" numFmtId="165">
      <sharedItems containsSemiMixedTypes="0" containsString="0" containsNumber="1" minValue="-14962.556065223778" maxValue="0"/>
    </cacheField>
    <cacheField name="Intereses U$S Dólares" numFmtId="165">
      <sharedItems containsSemiMixedTypes="0" containsString="0" containsNumber="1" minValue="-670.4488195221586" maxValue="0"/>
    </cacheField>
    <cacheField name="Movimiento" numFmtId="43">
      <sharedItems containsMixedTypes="1" containsNumber="1" containsInteger="1" minValue="0" maxValue="0"/>
    </cacheField>
    <cacheField name="Fin." numFmtId="43">
      <sharedItems containsMixedTypes="1" containsNumber="1" containsInteger="1" minValue="0" maxValue="0"/>
    </cacheField>
    <cacheField name="Signo" numFmtId="43">
      <sharedItems containsMixedTypes="1" containsNumber="1" containsInteger="1" minValue="0" maxValue="0"/>
    </cacheField>
    <cacheField name="Mes Económico" numFmtId="165">
      <sharedItems containsSemiMixedTypes="0" containsString="0" containsNumber="1" containsInteger="1" minValue="0" maxValue="12"/>
    </cacheField>
    <cacheField name="Año Económico" numFmtId="165">
      <sharedItems containsSemiMixedTypes="0" containsString="0" containsNumber="1" containsInteger="1" minValue="0" maxValue="2019"/>
    </cacheField>
    <cacheField name="T. Cambio Económico" numFmtId="43">
      <sharedItems containsSemiMixedTypes="0" containsString="0" containsNumber="1" minValue="0" maxValue="25.038052169532367"/>
    </cacheField>
    <cacheField name="Indexación Económico" numFmtId="43">
      <sharedItems containsSemiMixedTypes="0" containsString="0" containsNumber="1" minValue="0" maxValue="1.2148743701170979"/>
    </cacheField>
    <cacheField name="Mes Financiero" numFmtId="165">
      <sharedItems containsSemiMixedTypes="0" containsString="0" containsNumber="1" containsInteger="1" minValue="0" maxValue="12"/>
    </cacheField>
    <cacheField name="Año Financiero" numFmtId="165">
      <sharedItems containsSemiMixedTypes="0" containsString="0" containsNumber="1" containsInteger="1" minValue="0" maxValue="2019"/>
    </cacheField>
    <cacheField name="T. Cambio Financiero" numFmtId="43">
      <sharedItems containsSemiMixedTypes="0" containsString="0" containsNumber="1" minValue="0" maxValue="25.28843269122769"/>
    </cacheField>
    <cacheField name="Indexación Financiero" numFmtId="43">
      <sharedItems containsSemiMixedTypes="0" containsString="0" containsNumber="1" minValue="0" maxValue="1.2318826112987373"/>
    </cacheField>
    <cacheField name=" $Corrientes Superficie" numFmtId="43">
      <sharedItems containsSemiMixedTypes="0" containsString="0" containsNumber="1" minValue="-4578.1997782355993" maxValue="24036.530082751076"/>
    </cacheField>
    <cacheField name=" $Constante Superficie" numFmtId="43">
      <sharedItems containsSemiMixedTypes="0" containsString="0" containsNumber="1" minValue="-4211.7929181130221" maxValue="19785.198102775244"/>
    </cacheField>
    <cacheField name=" U$S Dólares Superficie" numFmtId="43">
      <sharedItems containsSemiMixedTypes="0" containsString="0" containsNumber="1" minValue="-198" maxValue="960"/>
    </cacheField>
    <cacheField name="C. Costo Reporte" numFmtId="43">
      <sharedItems containsSemiMixedTypes="0" containsString="0" containsNumber="1" containsInteger="1" minValue="0" maxValue="0"/>
    </cacheField>
    <cacheField name="Etapa (Opcional)" numFmtId="43">
      <sharedItems containsBlank="1" count="12">
        <s v="Producción"/>
        <s v="Cosecha"/>
        <s v="Barbecho 1"/>
        <s v="Barbecho 2"/>
        <s v="Barbecho 3"/>
        <s v="Siembra"/>
        <s v="Fertilización"/>
        <s v="Post Emergente 1"/>
        <s v="Fungicida"/>
        <s v="Gerenciamiento"/>
        <s v="Arrendamiento"/>
        <m/>
      </sharedItems>
    </cacheField>
    <cacheField name="Observación de Carga" numFmtId="43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">
  <r>
    <d v="2018-05-01T00:00:00"/>
    <m/>
    <s v="2017-2018"/>
    <x v="0"/>
    <s v="Comercial - Soja"/>
    <x v="0"/>
    <m/>
    <n v="100"/>
    <n v="220"/>
    <s v="U$S"/>
    <n v="-518320"/>
    <m/>
    <n v="-22000"/>
    <n v="0"/>
    <m/>
    <n v="0"/>
    <s v="Stock Inicio"/>
    <s v="Si"/>
    <n v="100"/>
    <s v="No"/>
    <s v="(-)"/>
    <n v="5"/>
    <n v="2018"/>
    <n v="23.56"/>
    <n v="1.2148743701170979"/>
    <n v="0"/>
    <n v="0"/>
    <n v="0"/>
    <n v="0"/>
  </r>
  <r>
    <d v="2018-05-01T00:00:00"/>
    <m/>
    <s v="2017-2018"/>
    <x v="0"/>
    <s v="Comercial - Maíz"/>
    <x v="1"/>
    <m/>
    <n v="200"/>
    <n v="140"/>
    <s v="U$S"/>
    <n v="-659680"/>
    <m/>
    <n v="-28000"/>
    <n v="0"/>
    <m/>
    <n v="0"/>
    <s v="Stock Inicio"/>
    <s v="Si"/>
    <n v="200"/>
    <s v="No"/>
    <s v="(-)"/>
    <n v="5"/>
    <n v="2018"/>
    <n v="23.56"/>
    <n v="1.2148743701170979"/>
    <n v="0"/>
    <n v="0"/>
    <n v="0"/>
    <n v="0"/>
  </r>
  <r>
    <d v="2018-05-01T00:00:00"/>
    <m/>
    <s v="2017-2018"/>
    <x v="0"/>
    <s v="Comercial - Girasol"/>
    <x v="2"/>
    <m/>
    <n v="100"/>
    <n v="270"/>
    <s v="U$S"/>
    <n v="-636120"/>
    <m/>
    <n v="-27000"/>
    <n v="0"/>
    <m/>
    <n v="0"/>
    <s v="Stock Inicio"/>
    <s v="Si"/>
    <n v="100"/>
    <s v="No"/>
    <s v="(-)"/>
    <n v="5"/>
    <n v="2018"/>
    <n v="23.56"/>
    <n v="1.2148743701170979"/>
    <n v="0"/>
    <n v="0"/>
    <n v="0"/>
    <n v="0"/>
  </r>
  <r>
    <d v="2018-05-01T00:00:00"/>
    <m/>
    <s v="2017-2018"/>
    <x v="0"/>
    <s v="Comercial - Trigo"/>
    <x v="3"/>
    <m/>
    <n v="200"/>
    <n v="145"/>
    <s v="U$S"/>
    <n v="-683240"/>
    <m/>
    <n v="-29000"/>
    <n v="0"/>
    <m/>
    <n v="0"/>
    <s v="Stock Inicio"/>
    <s v="Si"/>
    <n v="200"/>
    <s v="No"/>
    <s v="(-)"/>
    <n v="5"/>
    <n v="2018"/>
    <n v="23.56"/>
    <n v="1.2148743701170979"/>
    <n v="0"/>
    <n v="0"/>
    <n v="0"/>
    <n v="0"/>
  </r>
  <r>
    <d v="2018-05-01T00:00:00"/>
    <m/>
    <s v="2017-2018"/>
    <x v="0"/>
    <s v="Comercial - Cebada"/>
    <x v="4"/>
    <m/>
    <n v="100"/>
    <n v="155"/>
    <s v="U$S"/>
    <n v="-365180"/>
    <m/>
    <n v="-15500"/>
    <n v="0"/>
    <m/>
    <n v="0"/>
    <s v="Stock Inicio"/>
    <s v="Si"/>
    <n v="100"/>
    <s v="No"/>
    <s v="(-)"/>
    <n v="5"/>
    <n v="2018"/>
    <n v="23.56"/>
    <n v="1.2148743701170979"/>
    <n v="0"/>
    <n v="0"/>
    <n v="0"/>
    <n v="0"/>
  </r>
  <r>
    <d v="2018-05-01T00:00:00"/>
    <m/>
    <s v="2017-2018"/>
    <x v="0"/>
    <s v="Comercial - Sorgo"/>
    <x v="5"/>
    <m/>
    <n v="200"/>
    <n v="120"/>
    <s v="U$S"/>
    <n v="-565440"/>
    <m/>
    <n v="-24000"/>
    <n v="0"/>
    <m/>
    <n v="0"/>
    <s v="Stock Inicio"/>
    <s v="Si"/>
    <n v="200"/>
    <s v="No"/>
    <s v="(-)"/>
    <n v="5"/>
    <n v="2018"/>
    <n v="23.56"/>
    <n v="1.2148743701170979"/>
    <n v="0"/>
    <n v="0"/>
    <n v="0"/>
    <n v="0"/>
  </r>
  <r>
    <d v="2018-05-01T00:00:00"/>
    <m/>
    <s v="2017-2018"/>
    <x v="0"/>
    <n v="0"/>
    <x v="6"/>
    <m/>
    <m/>
    <m/>
    <s v="U$S"/>
    <n v="0"/>
    <m/>
    <n v="0"/>
    <n v="0"/>
    <m/>
    <n v="0"/>
    <s v="Stock Inicio"/>
    <s v="Si"/>
    <n v="0"/>
    <s v="No"/>
    <s v="(-)"/>
    <n v="5"/>
    <n v="2018"/>
    <n v="23.56"/>
    <n v="1.2148743701170979"/>
    <n v="0"/>
    <n v="0"/>
    <n v="0"/>
    <n v="0"/>
  </r>
  <r>
    <d v="2018-05-01T00:00:00"/>
    <m/>
    <s v="2017-2018"/>
    <x v="0"/>
    <n v="0"/>
    <x v="6"/>
    <m/>
    <m/>
    <m/>
    <s v="U$S"/>
    <n v="0"/>
    <m/>
    <n v="0"/>
    <n v="0"/>
    <m/>
    <n v="0"/>
    <s v="Stock Inicio"/>
    <s v="Si"/>
    <n v="0"/>
    <s v="No"/>
    <s v="(-)"/>
    <n v="5"/>
    <n v="2018"/>
    <n v="23.56"/>
    <n v="1.2148743701170979"/>
    <n v="0"/>
    <n v="0"/>
    <n v="0"/>
    <n v="0"/>
  </r>
  <r>
    <d v="2018-05-01T00:00:00"/>
    <m/>
    <s v="2017-2018"/>
    <x v="0"/>
    <n v="0"/>
    <x v="6"/>
    <m/>
    <m/>
    <m/>
    <s v="U$S"/>
    <n v="0"/>
    <m/>
    <n v="0"/>
    <n v="0"/>
    <m/>
    <n v="0"/>
    <s v="Stock Inicio"/>
    <s v="Si"/>
    <n v="0"/>
    <s v="No"/>
    <s v="(-)"/>
    <n v="5"/>
    <n v="2018"/>
    <n v="23.56"/>
    <n v="1.2148743701170979"/>
    <n v="0"/>
    <n v="0"/>
    <n v="0"/>
    <n v="0"/>
  </r>
  <r>
    <d v="2018-05-01T00:00:00"/>
    <m/>
    <s v="2017-2018"/>
    <x v="0"/>
    <n v="0"/>
    <x v="6"/>
    <m/>
    <m/>
    <m/>
    <s v="U$S"/>
    <n v="0"/>
    <m/>
    <n v="0"/>
    <n v="0"/>
    <m/>
    <n v="0"/>
    <s v="Stock Inicio"/>
    <s v="Si"/>
    <n v="0"/>
    <s v="No"/>
    <s v="(-)"/>
    <n v="5"/>
    <n v="2018"/>
    <n v="23.56"/>
    <n v="1.2148743701170979"/>
    <n v="0"/>
    <n v="0"/>
    <n v="0"/>
    <n v="0"/>
  </r>
  <r>
    <d v="2017-09-01T00:00:00"/>
    <d v="2018-05-01T00:00:00"/>
    <s v="2017-2018"/>
    <x v="1"/>
    <s v="Comercial - Maíz"/>
    <x v="1"/>
    <m/>
    <n v="100"/>
    <n v="180"/>
    <s v="U$S"/>
    <n v="351000"/>
    <m/>
    <n v="18000"/>
    <n v="424080"/>
    <m/>
    <n v="18000"/>
    <s v="Ingreso"/>
    <s v="Si"/>
    <n v="-100"/>
    <s v="Si"/>
    <s v="(+)"/>
    <n v="9"/>
    <n v="2017"/>
    <n v="19.5"/>
    <n v="1.086995459474474"/>
    <n v="5"/>
    <n v="2018"/>
    <n v="23.56"/>
    <n v="1.2148743701170979"/>
  </r>
  <r>
    <d v="2017-09-01T00:00:00"/>
    <d v="2017-09-01T00:00:00"/>
    <s v="2017-2018"/>
    <x v="2"/>
    <s v="Comercial - Maíz"/>
    <x v="1"/>
    <m/>
    <n v="100"/>
    <n v="250"/>
    <s v="$"/>
    <n v="-25000"/>
    <m/>
    <n v="-1282.051282051282"/>
    <n v="-25000"/>
    <m/>
    <n v="-1282.051282051282"/>
    <s v="Egreso"/>
    <s v="No"/>
    <n v="0"/>
    <s v="Si"/>
    <s v="(-)"/>
    <n v="9"/>
    <n v="2017"/>
    <n v="19.5"/>
    <n v="1.086995459474474"/>
    <n v="9"/>
    <n v="2017"/>
    <n v="19.5"/>
    <n v="1.086995459474474"/>
  </r>
  <r>
    <d v="2017-09-01T00:00:00"/>
    <d v="2017-12-01T00:00:00"/>
    <s v="2017-2018"/>
    <x v="3"/>
    <s v="Comercial - Maíz"/>
    <x v="1"/>
    <m/>
    <n v="100"/>
    <n v="450"/>
    <s v="$"/>
    <n v="-45000"/>
    <m/>
    <n v="-2307.6923076923076"/>
    <n v="-45000"/>
    <m/>
    <n v="-2142.8571428571427"/>
    <s v="Egreso"/>
    <s v="No"/>
    <n v="0"/>
    <s v="Si"/>
    <s v="(-)"/>
    <n v="9"/>
    <n v="2017"/>
    <n v="19.5"/>
    <n v="1.086995459474474"/>
    <n v="12"/>
    <n v="2017"/>
    <n v="21"/>
    <n v="1.1332914048181137"/>
  </r>
  <r>
    <d v="2017-09-01T00:00:00"/>
    <d v="2017-12-01T00:00:00"/>
    <s v="2017-2018"/>
    <x v="4"/>
    <s v="Comercial - Maíz"/>
    <x v="1"/>
    <m/>
    <n v="100"/>
    <n v="2"/>
    <s v="U$S"/>
    <n v="-3900"/>
    <m/>
    <n v="-200"/>
    <n v="-4200"/>
    <m/>
    <n v="-200"/>
    <s v="Egreso"/>
    <s v="No"/>
    <n v="0"/>
    <s v="Si"/>
    <s v="(-)"/>
    <n v="9"/>
    <n v="2017"/>
    <n v="19.5"/>
    <n v="1.086995459474474"/>
    <n v="12"/>
    <n v="2017"/>
    <n v="21"/>
    <n v="1.1332914048181137"/>
  </r>
  <r>
    <d v="2017-09-01T00:00:00"/>
    <d v="2017-09-01T00:00:00"/>
    <s v="2017-2018"/>
    <x v="5"/>
    <s v="Comercial - Maíz"/>
    <x v="1"/>
    <m/>
    <n v="100"/>
    <n v="2"/>
    <s v="U$S"/>
    <n v="-3900"/>
    <m/>
    <n v="-200"/>
    <n v="-3900"/>
    <m/>
    <n v="-200"/>
    <s v="Egreso"/>
    <s v="No"/>
    <n v="0"/>
    <s v="Si"/>
    <s v="(-)"/>
    <n v="9"/>
    <n v="2017"/>
    <n v="19.5"/>
    <n v="1.086995459474474"/>
    <n v="9"/>
    <n v="2017"/>
    <n v="19.5"/>
    <n v="1.086995459474474"/>
  </r>
  <r>
    <d v="2017-09-01T00:00:00"/>
    <d v="2017-09-01T00:00:00"/>
    <s v="2017-2018"/>
    <x v="6"/>
    <s v="Comercial - Maíz"/>
    <x v="1"/>
    <m/>
    <n v="100"/>
    <n v="6"/>
    <s v="U$S"/>
    <n v="-11700"/>
    <m/>
    <n v="-600"/>
    <n v="-11700"/>
    <m/>
    <n v="-600"/>
    <s v="Egreso"/>
    <s v="No"/>
    <n v="0"/>
    <s v="Si"/>
    <s v="(-)"/>
    <n v="9"/>
    <n v="2017"/>
    <n v="19.5"/>
    <n v="1.086995459474474"/>
    <n v="9"/>
    <n v="2017"/>
    <n v="19.5"/>
    <n v="1.086995459474474"/>
  </r>
  <r>
    <d v="2017-09-01T00:00:00"/>
    <m/>
    <s v="2017-2018"/>
    <x v="7"/>
    <s v="Comercial - Maíz"/>
    <x v="1"/>
    <m/>
    <n v="50"/>
    <n v="2000"/>
    <s v="$"/>
    <n v="100000"/>
    <m/>
    <n v="5128.2051282051279"/>
    <n v="0"/>
    <m/>
    <n v="0"/>
    <s v="Ingreso Cesión"/>
    <s v="Si"/>
    <n v="-50"/>
    <s v="No"/>
    <s v="(+)"/>
    <n v="9"/>
    <n v="2017"/>
    <n v="19.5"/>
    <n v="1.086995459474474"/>
    <n v="0"/>
    <n v="0"/>
    <n v="0"/>
    <n v="0"/>
  </r>
  <r>
    <m/>
    <m/>
    <m/>
    <x v="8"/>
    <m/>
    <x v="6"/>
    <m/>
    <m/>
    <m/>
    <m/>
    <n v="0"/>
    <m/>
    <n v="0"/>
    <n v="0"/>
    <m/>
    <n v="0"/>
    <n v="0"/>
    <n v="0"/>
    <n v="0"/>
    <n v="0"/>
    <n v="0"/>
    <n v="0"/>
    <n v="0"/>
    <n v="0"/>
    <n v="0"/>
    <n v="0"/>
    <n v="0"/>
    <n v="0"/>
    <n v="0"/>
  </r>
  <r>
    <m/>
    <m/>
    <m/>
    <x v="8"/>
    <m/>
    <x v="6"/>
    <m/>
    <m/>
    <m/>
    <m/>
    <n v="0"/>
    <m/>
    <n v="0"/>
    <n v="0"/>
    <m/>
    <n v="0"/>
    <n v="0"/>
    <n v="0"/>
    <n v="0"/>
    <n v="0"/>
    <n v="0"/>
    <n v="0"/>
    <n v="0"/>
    <n v="0"/>
    <n v="0"/>
    <n v="0"/>
    <n v="0"/>
    <n v="0"/>
    <n v="0"/>
  </r>
  <r>
    <m/>
    <m/>
    <m/>
    <x v="8"/>
    <m/>
    <x v="6"/>
    <m/>
    <m/>
    <m/>
    <m/>
    <n v="0"/>
    <m/>
    <n v="0"/>
    <n v="0"/>
    <m/>
    <n v="0"/>
    <n v="0"/>
    <n v="0"/>
    <n v="0"/>
    <n v="0"/>
    <n v="0"/>
    <n v="0"/>
    <n v="0"/>
    <n v="0"/>
    <n v="0"/>
    <n v="0"/>
    <n v="0"/>
    <n v="0"/>
    <n v="0"/>
  </r>
  <r>
    <m/>
    <m/>
    <m/>
    <x v="8"/>
    <m/>
    <x v="6"/>
    <m/>
    <m/>
    <m/>
    <m/>
    <n v="0"/>
    <m/>
    <n v="0"/>
    <n v="0"/>
    <m/>
    <n v="0"/>
    <n v="0"/>
    <n v="0"/>
    <n v="0"/>
    <n v="0"/>
    <n v="0"/>
    <n v="0"/>
    <n v="0"/>
    <n v="0"/>
    <n v="0"/>
    <n v="0"/>
    <n v="0"/>
    <n v="0"/>
    <n v="0"/>
  </r>
  <r>
    <m/>
    <m/>
    <m/>
    <x v="8"/>
    <m/>
    <x v="6"/>
    <m/>
    <m/>
    <m/>
    <m/>
    <n v="0"/>
    <m/>
    <n v="0"/>
    <n v="0"/>
    <m/>
    <n v="0"/>
    <n v="0"/>
    <n v="0"/>
    <n v="0"/>
    <n v="0"/>
    <n v="0"/>
    <n v="0"/>
    <n v="0"/>
    <n v="0"/>
    <n v="0"/>
    <n v="0"/>
    <n v="0"/>
    <n v="0"/>
    <n v="0"/>
  </r>
  <r>
    <m/>
    <m/>
    <m/>
    <x v="8"/>
    <m/>
    <x v="6"/>
    <m/>
    <m/>
    <m/>
    <m/>
    <n v="0"/>
    <m/>
    <n v="0"/>
    <n v="0"/>
    <m/>
    <n v="0"/>
    <n v="0"/>
    <n v="0"/>
    <n v="0"/>
    <n v="0"/>
    <n v="0"/>
    <n v="0"/>
    <n v="0"/>
    <n v="0"/>
    <n v="0"/>
    <n v="0"/>
    <n v="0"/>
    <n v="0"/>
    <n v="0"/>
  </r>
  <r>
    <m/>
    <m/>
    <m/>
    <x v="8"/>
    <m/>
    <x v="6"/>
    <m/>
    <m/>
    <m/>
    <m/>
    <n v="0"/>
    <m/>
    <n v="0"/>
    <n v="0"/>
    <m/>
    <n v="0"/>
    <n v="0"/>
    <n v="0"/>
    <n v="0"/>
    <n v="0"/>
    <n v="0"/>
    <n v="0"/>
    <n v="0"/>
    <n v="0"/>
    <n v="0"/>
    <n v="0"/>
    <n v="0"/>
    <n v="0"/>
    <n v="0"/>
  </r>
  <r>
    <m/>
    <m/>
    <m/>
    <x v="8"/>
    <m/>
    <x v="6"/>
    <m/>
    <m/>
    <m/>
    <m/>
    <n v="0"/>
    <m/>
    <n v="0"/>
    <n v="0"/>
    <m/>
    <n v="0"/>
    <n v="0"/>
    <n v="0"/>
    <n v="0"/>
    <n v="0"/>
    <n v="0"/>
    <n v="0"/>
    <n v="0"/>
    <n v="0"/>
    <n v="0"/>
    <n v="0"/>
    <n v="0"/>
    <n v="0"/>
    <n v="0"/>
  </r>
  <r>
    <m/>
    <m/>
    <m/>
    <x v="8"/>
    <m/>
    <x v="6"/>
    <m/>
    <m/>
    <m/>
    <m/>
    <n v="0"/>
    <m/>
    <n v="0"/>
    <n v="0"/>
    <m/>
    <n v="0"/>
    <n v="0"/>
    <n v="0"/>
    <n v="0"/>
    <n v="0"/>
    <n v="0"/>
    <n v="0"/>
    <n v="0"/>
    <n v="0"/>
    <n v="0"/>
    <n v="0"/>
    <n v="0"/>
    <n v="0"/>
    <n v="0"/>
  </r>
  <r>
    <m/>
    <m/>
    <m/>
    <x v="8"/>
    <m/>
    <x v="6"/>
    <m/>
    <m/>
    <m/>
    <m/>
    <n v="0"/>
    <m/>
    <n v="0"/>
    <n v="0"/>
    <m/>
    <n v="0"/>
    <n v="0"/>
    <n v="0"/>
    <n v="0"/>
    <n v="0"/>
    <n v="0"/>
    <n v="0"/>
    <n v="0"/>
    <n v="0"/>
    <n v="0"/>
    <n v="0"/>
    <n v="0"/>
    <n v="0"/>
    <n v="0"/>
  </r>
  <r>
    <m/>
    <m/>
    <m/>
    <x v="8"/>
    <m/>
    <x v="6"/>
    <m/>
    <m/>
    <m/>
    <m/>
    <n v="0"/>
    <m/>
    <n v="0"/>
    <n v="0"/>
    <m/>
    <n v="0"/>
    <n v="0"/>
    <n v="0"/>
    <n v="0"/>
    <n v="0"/>
    <n v="0"/>
    <n v="0"/>
    <n v="0"/>
    <n v="0"/>
    <n v="0"/>
    <n v="0"/>
    <n v="0"/>
    <n v="0"/>
    <n v="0"/>
  </r>
  <r>
    <m/>
    <m/>
    <m/>
    <x v="8"/>
    <m/>
    <x v="6"/>
    <m/>
    <m/>
    <m/>
    <m/>
    <n v="0"/>
    <m/>
    <n v="0"/>
    <n v="0"/>
    <m/>
    <n v="0"/>
    <n v="0"/>
    <n v="0"/>
    <n v="0"/>
    <n v="0"/>
    <n v="0"/>
    <n v="0"/>
    <n v="0"/>
    <n v="0"/>
    <n v="0"/>
    <n v="0"/>
    <n v="0"/>
    <n v="0"/>
    <n v="0"/>
  </r>
  <r>
    <m/>
    <m/>
    <m/>
    <x v="8"/>
    <m/>
    <x v="6"/>
    <m/>
    <m/>
    <m/>
    <m/>
    <n v="0"/>
    <m/>
    <n v="0"/>
    <n v="0"/>
    <m/>
    <n v="0"/>
    <n v="0"/>
    <n v="0"/>
    <n v="0"/>
    <n v="0"/>
    <n v="0"/>
    <n v="0"/>
    <n v="0"/>
    <n v="0"/>
    <n v="0"/>
    <n v="0"/>
    <n v="0"/>
    <n v="0"/>
    <n v="0"/>
  </r>
  <r>
    <m/>
    <m/>
    <m/>
    <x v="8"/>
    <m/>
    <x v="6"/>
    <m/>
    <m/>
    <m/>
    <m/>
    <n v="0"/>
    <m/>
    <n v="0"/>
    <n v="0"/>
    <m/>
    <n v="0"/>
    <n v="0"/>
    <n v="0"/>
    <n v="0"/>
    <n v="0"/>
    <n v="0"/>
    <n v="0"/>
    <n v="0"/>
    <n v="0"/>
    <n v="0"/>
    <n v="0"/>
    <n v="0"/>
    <n v="0"/>
    <n v="0"/>
  </r>
  <r>
    <m/>
    <m/>
    <m/>
    <x v="8"/>
    <m/>
    <x v="6"/>
    <m/>
    <m/>
    <m/>
    <m/>
    <n v="0"/>
    <m/>
    <n v="0"/>
    <n v="0"/>
    <m/>
    <n v="0"/>
    <n v="0"/>
    <n v="0"/>
    <n v="0"/>
    <n v="0"/>
    <n v="0"/>
    <n v="0"/>
    <n v="0"/>
    <n v="0"/>
    <n v="0"/>
    <n v="0"/>
    <n v="0"/>
    <n v="0"/>
    <n v="0"/>
  </r>
  <r>
    <d v="1899-12-30T00:00:00"/>
    <m/>
    <s v="2017-2018"/>
    <x v="9"/>
    <s v="Comercial - Soja"/>
    <x v="0"/>
    <m/>
    <n v="0"/>
    <n v="0"/>
    <s v="U$S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s v="Comercial - Soja"/>
    <x v="0"/>
    <m/>
    <n v="0"/>
    <n v="0"/>
    <s v="$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2018-05-01T00:00:00"/>
    <m/>
    <s v="2017-2018"/>
    <x v="9"/>
    <s v="Comercial - Maíz"/>
    <x v="1"/>
    <m/>
    <n v="800"/>
    <n v="140"/>
    <s v="U$S"/>
    <n v="-2638720"/>
    <m/>
    <n v="-112000"/>
    <n v="0"/>
    <m/>
    <n v="0"/>
    <s v="Egreso Cesión"/>
    <s v="Si"/>
    <n v="800"/>
    <s v="No"/>
    <s v="(-)"/>
    <n v="5"/>
    <n v="2018"/>
    <n v="23.56"/>
    <n v="1.2148743701170979"/>
    <n v="0"/>
    <n v="0"/>
    <n v="0"/>
    <n v="0"/>
  </r>
  <r>
    <d v="1899-12-30T00:00:00"/>
    <m/>
    <s v="2017-2018"/>
    <x v="9"/>
    <s v="Comercial - Maíz"/>
    <x v="1"/>
    <m/>
    <n v="0"/>
    <n v="0"/>
    <s v="$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s v="Comercial - Girasol"/>
    <x v="2"/>
    <m/>
    <n v="0"/>
    <n v="0"/>
    <s v="U$S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s v="Comercial - Girasol"/>
    <x v="2"/>
    <m/>
    <n v="0"/>
    <n v="0"/>
    <s v="$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s v="Comercial - Trigo"/>
    <x v="3"/>
    <m/>
    <n v="0"/>
    <n v="0"/>
    <s v="U$S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s v="Comercial - Trigo"/>
    <x v="3"/>
    <m/>
    <n v="0"/>
    <n v="0"/>
    <s v="$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s v="Comercial - Cebada"/>
    <x v="4"/>
    <m/>
    <n v="0"/>
    <n v="0"/>
    <s v="U$S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s v="Comercial - Cebada"/>
    <x v="4"/>
    <m/>
    <n v="0"/>
    <n v="0"/>
    <s v="$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s v="Comercial - Sorgo"/>
    <x v="5"/>
    <m/>
    <n v="0"/>
    <n v="0"/>
    <s v="U$S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s v="Comercial - Sorgo"/>
    <x v="5"/>
    <m/>
    <n v="0"/>
    <n v="0"/>
    <s v="$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n v="0"/>
    <x v="6"/>
    <m/>
    <n v="0"/>
    <n v="0"/>
    <s v="U$S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n v="0"/>
    <x v="6"/>
    <m/>
    <n v="0"/>
    <n v="0"/>
    <s v="$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n v="0"/>
    <x v="6"/>
    <m/>
    <n v="0"/>
    <n v="0"/>
    <s v="U$S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n v="0"/>
    <x v="6"/>
    <m/>
    <n v="0"/>
    <n v="0"/>
    <s v="$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n v="0"/>
    <x v="6"/>
    <m/>
    <n v="0"/>
    <n v="0"/>
    <s v="U$S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n v="0"/>
    <x v="6"/>
    <m/>
    <n v="0"/>
    <n v="0"/>
    <s v="$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n v="0"/>
    <x v="6"/>
    <m/>
    <n v="0"/>
    <n v="0"/>
    <s v="U$S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1899-12-30T00:00:00"/>
    <m/>
    <s v="2017-2018"/>
    <x v="9"/>
    <n v="0"/>
    <x v="6"/>
    <m/>
    <n v="0"/>
    <n v="0"/>
    <s v="$"/>
    <n v="0"/>
    <m/>
    <n v="0"/>
    <n v="0"/>
    <m/>
    <n v="0"/>
    <s v="Egreso Cesión"/>
    <s v="Si"/>
    <n v="0"/>
    <s v="No"/>
    <s v="(-)"/>
    <n v="0"/>
    <n v="0"/>
    <n v="0"/>
    <n v="0"/>
    <n v="0"/>
    <n v="0"/>
    <n v="0"/>
    <n v="0"/>
  </r>
  <r>
    <d v="2018-06-01T00:00:00"/>
    <m/>
    <s v="2017-2018"/>
    <x v="10"/>
    <s v="Comercial - Soja"/>
    <x v="0"/>
    <m/>
    <n v="100"/>
    <n v="200"/>
    <s v="U$S"/>
    <n v="480000"/>
    <m/>
    <n v="20000"/>
    <n v="0"/>
    <m/>
    <n v="0"/>
    <s v="Stock Cierre"/>
    <s v="Si"/>
    <n v="-100"/>
    <s v="No"/>
    <s v="(+)"/>
    <n v="6"/>
    <n v="2018"/>
    <n v="24"/>
    <n v="1.2318826112987373"/>
    <n v="0"/>
    <n v="0"/>
    <n v="0"/>
    <n v="0"/>
  </r>
  <r>
    <d v="2018-06-01T00:00:00"/>
    <m/>
    <s v="2017-2018"/>
    <x v="10"/>
    <s v="Comercial - Maíz"/>
    <x v="1"/>
    <m/>
    <n v="850"/>
    <n v="135"/>
    <s v="U$S"/>
    <n v="2754000"/>
    <m/>
    <n v="114750"/>
    <n v="0"/>
    <m/>
    <n v="0"/>
    <s v="Stock Cierre"/>
    <s v="Si"/>
    <n v="-850"/>
    <s v="No"/>
    <s v="(+)"/>
    <n v="6"/>
    <n v="2018"/>
    <n v="24"/>
    <n v="1.2318826112987373"/>
    <n v="0"/>
    <n v="0"/>
    <n v="0"/>
    <n v="0"/>
  </r>
  <r>
    <d v="2018-06-01T00:00:00"/>
    <m/>
    <s v="2017-2018"/>
    <x v="10"/>
    <s v="Comercial - Girasol"/>
    <x v="2"/>
    <m/>
    <n v="100"/>
    <n v="300"/>
    <s v="U$S"/>
    <n v="720000"/>
    <m/>
    <n v="30000"/>
    <n v="0"/>
    <m/>
    <n v="0"/>
    <s v="Stock Cierre"/>
    <s v="Si"/>
    <n v="-100"/>
    <s v="No"/>
    <s v="(+)"/>
    <n v="6"/>
    <n v="2018"/>
    <n v="24"/>
    <n v="1.2318826112987373"/>
    <n v="0"/>
    <n v="0"/>
    <n v="0"/>
    <n v="0"/>
  </r>
  <r>
    <d v="2018-06-01T00:00:00"/>
    <m/>
    <s v="2017-2018"/>
    <x v="10"/>
    <s v="Comercial - Trigo"/>
    <x v="3"/>
    <m/>
    <n v="200"/>
    <n v="150"/>
    <s v="U$S"/>
    <n v="720000"/>
    <m/>
    <n v="30000"/>
    <n v="0"/>
    <m/>
    <n v="0"/>
    <s v="Stock Cierre"/>
    <s v="Si"/>
    <n v="-200"/>
    <s v="No"/>
    <s v="(+)"/>
    <n v="6"/>
    <n v="2018"/>
    <n v="24"/>
    <n v="1.2318826112987373"/>
    <n v="0"/>
    <n v="0"/>
    <n v="0"/>
    <n v="0"/>
  </r>
  <r>
    <d v="2018-06-01T00:00:00"/>
    <m/>
    <s v="2017-2018"/>
    <x v="10"/>
    <s v="Comercial - Cebada"/>
    <x v="4"/>
    <m/>
    <n v="100"/>
    <n v="170"/>
    <s v="U$S"/>
    <n v="408000"/>
    <m/>
    <n v="17000"/>
    <n v="0"/>
    <m/>
    <n v="0"/>
    <s v="Stock Cierre"/>
    <s v="Si"/>
    <n v="-100"/>
    <s v="No"/>
    <s v="(+)"/>
    <n v="6"/>
    <n v="2018"/>
    <n v="24"/>
    <n v="1.2318826112987373"/>
    <n v="0"/>
    <n v="0"/>
    <n v="0"/>
    <n v="0"/>
  </r>
  <r>
    <d v="2018-06-01T00:00:00"/>
    <m/>
    <s v="2017-2018"/>
    <x v="10"/>
    <s v="Comercial - Sorgo"/>
    <x v="5"/>
    <m/>
    <n v="200"/>
    <n v="100"/>
    <s v="U$S"/>
    <n v="480000"/>
    <m/>
    <n v="20000"/>
    <n v="0"/>
    <m/>
    <n v="0"/>
    <s v="Stock Cierre"/>
    <s v="Si"/>
    <n v="-200"/>
    <s v="No"/>
    <s v="(+)"/>
    <n v="6"/>
    <n v="2018"/>
    <n v="24"/>
    <n v="1.2318826112987373"/>
    <n v="0"/>
    <n v="0"/>
    <n v="0"/>
    <n v="0"/>
  </r>
  <r>
    <d v="2018-06-01T00:00:00"/>
    <m/>
    <s v="2017-2018"/>
    <x v="10"/>
    <n v="0"/>
    <x v="6"/>
    <m/>
    <n v="0"/>
    <m/>
    <m/>
    <n v="0"/>
    <m/>
    <n v="0"/>
    <n v="0"/>
    <m/>
    <n v="0"/>
    <s v="Stock Cierre"/>
    <s v="Si"/>
    <n v="0"/>
    <s v="No"/>
    <s v="(+)"/>
    <n v="6"/>
    <n v="2018"/>
    <n v="24"/>
    <n v="1.2318826112987373"/>
    <n v="0"/>
    <n v="0"/>
    <n v="0"/>
    <n v="0"/>
  </r>
  <r>
    <d v="2018-06-01T00:00:00"/>
    <m/>
    <s v="2017-2018"/>
    <x v="10"/>
    <n v="0"/>
    <x v="6"/>
    <m/>
    <n v="0"/>
    <m/>
    <m/>
    <n v="0"/>
    <m/>
    <n v="0"/>
    <n v="0"/>
    <m/>
    <n v="0"/>
    <s v="Stock Cierre"/>
    <s v="Si"/>
    <n v="0"/>
    <s v="No"/>
    <s v="(+)"/>
    <n v="6"/>
    <n v="2018"/>
    <n v="24"/>
    <n v="1.2318826112987373"/>
    <n v="0"/>
    <n v="0"/>
    <n v="0"/>
    <n v="0"/>
  </r>
  <r>
    <d v="2018-06-01T00:00:00"/>
    <m/>
    <s v="2017-2018"/>
    <x v="10"/>
    <n v="0"/>
    <x v="6"/>
    <m/>
    <n v="0"/>
    <m/>
    <m/>
    <n v="0"/>
    <m/>
    <n v="0"/>
    <n v="0"/>
    <m/>
    <n v="0"/>
    <s v="Stock Cierre"/>
    <s v="Si"/>
    <n v="0"/>
    <s v="No"/>
    <s v="(+)"/>
    <n v="6"/>
    <n v="2018"/>
    <n v="24"/>
    <n v="1.2318826112987373"/>
    <n v="0"/>
    <n v="0"/>
    <n v="0"/>
    <n v="0"/>
  </r>
  <r>
    <d v="2018-06-01T00:00:00"/>
    <m/>
    <s v="2017-2018"/>
    <x v="10"/>
    <n v="0"/>
    <x v="6"/>
    <m/>
    <n v="0"/>
    <m/>
    <m/>
    <n v="0"/>
    <m/>
    <n v="0"/>
    <n v="0"/>
    <m/>
    <n v="0"/>
    <s v="Stock Cierre"/>
    <s v="Si"/>
    <n v="0"/>
    <s v="No"/>
    <s v="(+)"/>
    <n v="6"/>
    <n v="2018"/>
    <n v="24"/>
    <n v="1.2318826112987373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">
  <r>
    <d v="2017-07-01T00:00:00"/>
    <m/>
    <x v="0"/>
    <x v="0"/>
    <x v="0"/>
    <s v="Vaca CUT"/>
    <m/>
    <n v="100"/>
    <n v="1"/>
    <s v="Cab"/>
    <n v="100"/>
    <n v="13000"/>
    <s v="$"/>
    <m/>
    <n v="-1300000"/>
    <m/>
    <n v="-70270.270270270266"/>
    <n v="0"/>
    <m/>
    <n v="0"/>
    <n v="0"/>
    <m/>
    <n v="0"/>
    <s v="Stock Inicio"/>
    <n v="100"/>
    <s v="(+)"/>
    <s v="No"/>
    <s v="(-)"/>
    <n v="7"/>
    <n v="2017"/>
    <n v="18.5"/>
    <n v="1.0571870144160003"/>
    <n v="0"/>
    <n v="0"/>
    <n v="0"/>
    <n v="0"/>
    <n v="2356"/>
    <n v="-551.78268251273346"/>
    <n v="0"/>
    <n v="-29.826090946634238"/>
  </r>
  <r>
    <d v="2017-07-01T00:00:00"/>
    <m/>
    <x v="0"/>
    <x v="0"/>
    <x v="0"/>
    <s v="Vaca Preñada"/>
    <m/>
    <n v="90"/>
    <n v="1"/>
    <s v="Cab"/>
    <n v="90"/>
    <n v="15000"/>
    <s v="$"/>
    <m/>
    <n v="-1350000"/>
    <m/>
    <n v="-72972.972972972973"/>
    <n v="0"/>
    <m/>
    <n v="0"/>
    <n v="0"/>
    <m/>
    <n v="0"/>
    <s v="Stock Inicio"/>
    <n v="90"/>
    <s v="(+)"/>
    <s v="No"/>
    <s v="(-)"/>
    <n v="7"/>
    <n v="2017"/>
    <n v="18.5"/>
    <n v="1.0571870144160003"/>
    <n v="0"/>
    <n v="0"/>
    <n v="0"/>
    <n v="0"/>
    <n v="2356"/>
    <n v="-573.00509337860785"/>
    <n v="0"/>
    <n v="-30.973248290735558"/>
  </r>
  <r>
    <d v="2017-07-01T00:00:00"/>
    <m/>
    <x v="0"/>
    <x v="0"/>
    <x v="0"/>
    <s v="Vaca Vacia"/>
    <m/>
    <n v="80"/>
    <n v="380"/>
    <s v="Kg"/>
    <n v="30400"/>
    <n v="20"/>
    <s v="$"/>
    <m/>
    <n v="-608000"/>
    <m/>
    <n v="-32864.864864864867"/>
    <n v="0"/>
    <m/>
    <n v="0"/>
    <n v="0"/>
    <m/>
    <n v="0"/>
    <s v="Stock Inicio"/>
    <n v="80"/>
    <s v="(+)"/>
    <s v="No"/>
    <s v="(-)"/>
    <n v="7"/>
    <n v="2017"/>
    <n v="18.5"/>
    <n v="1.0571870144160003"/>
    <n v="0"/>
    <n v="0"/>
    <n v="0"/>
    <n v="0"/>
    <n v="2356"/>
    <n v="-258.06451612903226"/>
    <n v="0"/>
    <n v="-13.949433304272015"/>
  </r>
  <r>
    <d v="2017-07-01T00:00:00"/>
    <m/>
    <x v="0"/>
    <x v="0"/>
    <x v="0"/>
    <s v="Vaquillona Preñada"/>
    <m/>
    <n v="70"/>
    <n v="1"/>
    <s v="Cab"/>
    <n v="70"/>
    <n v="16000"/>
    <s v="$"/>
    <m/>
    <n v="-1120000"/>
    <m/>
    <n v="-60540.54054054054"/>
    <n v="0"/>
    <m/>
    <n v="0"/>
    <n v="0"/>
    <m/>
    <n v="0"/>
    <s v="Stock Inicio"/>
    <n v="70"/>
    <s v="(+)"/>
    <s v="No"/>
    <s v="(-)"/>
    <n v="7"/>
    <n v="2017"/>
    <n v="18.5"/>
    <n v="1.0571870144160003"/>
    <n v="0"/>
    <n v="0"/>
    <n v="0"/>
    <n v="0"/>
    <n v="2356"/>
    <n v="-475.38200339558574"/>
    <n v="0"/>
    <n v="-25.696324507869498"/>
  </r>
  <r>
    <d v="2017-07-01T00:00:00"/>
    <m/>
    <x v="0"/>
    <x v="0"/>
    <x v="0"/>
    <s v="Vaquillona 06-15"/>
    <m/>
    <n v="60"/>
    <n v="1"/>
    <s v="Cab"/>
    <n v="60"/>
    <n v="11000"/>
    <s v="$"/>
    <m/>
    <n v="-660000"/>
    <m/>
    <n v="-35675.675675675673"/>
    <n v="0"/>
    <m/>
    <n v="0"/>
    <n v="0"/>
    <m/>
    <n v="0"/>
    <s v="Stock Inicio"/>
    <n v="60"/>
    <s v="(+)"/>
    <s v="No"/>
    <s v="(-)"/>
    <n v="7"/>
    <n v="2017"/>
    <n v="18.5"/>
    <n v="1.0571870144160003"/>
    <n v="0"/>
    <n v="0"/>
    <n v="0"/>
    <n v="0"/>
    <n v="2356"/>
    <n v="-280.13582342954157"/>
    <n v="0"/>
    <n v="-15.142476942137382"/>
  </r>
  <r>
    <d v="2017-07-01T00:00:00"/>
    <m/>
    <x v="0"/>
    <x v="0"/>
    <x v="0"/>
    <s v="Vaquillona 15-27"/>
    <m/>
    <n v="50"/>
    <n v="1"/>
    <s v="Cab"/>
    <n v="50"/>
    <n v="13000"/>
    <s v="$"/>
    <m/>
    <n v="-650000"/>
    <m/>
    <n v="-35135.135135135133"/>
    <n v="0"/>
    <m/>
    <n v="0"/>
    <n v="0"/>
    <m/>
    <n v="0"/>
    <s v="Stock Inicio"/>
    <n v="50"/>
    <s v="(+)"/>
    <s v="No"/>
    <s v="(-)"/>
    <n v="7"/>
    <n v="2017"/>
    <n v="18.5"/>
    <n v="1.0571870144160003"/>
    <n v="0"/>
    <n v="0"/>
    <n v="0"/>
    <n v="0"/>
    <n v="2356"/>
    <n v="-275.89134125636673"/>
    <n v="0"/>
    <n v="-14.913045473317119"/>
  </r>
  <r>
    <d v="2017-07-01T00:00:00"/>
    <m/>
    <x v="0"/>
    <x v="0"/>
    <x v="0"/>
    <s v="Ternera"/>
    <m/>
    <n v="40"/>
    <n v="1"/>
    <s v="Cab"/>
    <n v="40"/>
    <n v="7000"/>
    <s v="$"/>
    <m/>
    <n v="-280000"/>
    <m/>
    <n v="-15135.135135135135"/>
    <n v="0"/>
    <m/>
    <n v="0"/>
    <n v="0"/>
    <m/>
    <n v="0"/>
    <s v="Stock Inicio"/>
    <n v="40"/>
    <s v="(+)"/>
    <s v="No"/>
    <s v="(-)"/>
    <n v="7"/>
    <n v="2017"/>
    <n v="18.5"/>
    <n v="1.0571870144160003"/>
    <n v="0"/>
    <n v="0"/>
    <n v="0"/>
    <n v="0"/>
    <n v="2356"/>
    <n v="-118.84550084889644"/>
    <n v="0"/>
    <n v="-6.4240811269673745"/>
  </r>
  <r>
    <d v="2017-07-01T00:00:00"/>
    <m/>
    <x v="0"/>
    <x v="0"/>
    <x v="0"/>
    <s v="Ternero"/>
    <m/>
    <n v="30"/>
    <n v="1"/>
    <s v="Cab"/>
    <n v="30"/>
    <n v="8000"/>
    <s v="$"/>
    <m/>
    <n v="-240000"/>
    <m/>
    <n v="-12972.972972972973"/>
    <n v="0"/>
    <m/>
    <n v="0"/>
    <n v="0"/>
    <m/>
    <n v="0"/>
    <s v="Stock Inicio"/>
    <n v="30"/>
    <s v="(+)"/>
    <s v="No"/>
    <s v="(-)"/>
    <n v="7"/>
    <n v="2017"/>
    <n v="18.5"/>
    <n v="1.0571870144160003"/>
    <n v="0"/>
    <n v="0"/>
    <n v="0"/>
    <n v="0"/>
    <n v="2356"/>
    <n v="-101.86757215619694"/>
    <n v="0"/>
    <n v="-5.5063552516863217"/>
  </r>
  <r>
    <d v="2017-07-01T00:00:00"/>
    <m/>
    <x v="0"/>
    <x v="0"/>
    <x v="0"/>
    <s v="Toro"/>
    <m/>
    <n v="20"/>
    <n v="1"/>
    <s v="Cab"/>
    <n v="20"/>
    <n v="30000"/>
    <s v="$"/>
    <m/>
    <n v="-600000"/>
    <m/>
    <n v="-32432.432432432433"/>
    <n v="0"/>
    <m/>
    <n v="0"/>
    <n v="0"/>
    <m/>
    <n v="0"/>
    <s v="Stock Inicio"/>
    <n v="20"/>
    <s v="(+)"/>
    <s v="No"/>
    <s v="(-)"/>
    <n v="7"/>
    <n v="2017"/>
    <n v="18.5"/>
    <n v="1.0571870144160003"/>
    <n v="0"/>
    <n v="0"/>
    <n v="0"/>
    <n v="0"/>
    <n v="2356"/>
    <n v="-254.66893039049236"/>
    <n v="0"/>
    <n v="-13.765888129215803"/>
  </r>
  <r>
    <d v="2017-07-01T00:00:00"/>
    <m/>
    <x v="0"/>
    <x v="0"/>
    <x v="0"/>
    <s v="Toro Descarte"/>
    <m/>
    <n v="10"/>
    <n v="550"/>
    <s v="Cab"/>
    <n v="5500"/>
    <n v="18"/>
    <s v="$"/>
    <m/>
    <n v="-99000"/>
    <m/>
    <n v="-5351.3513513513517"/>
    <n v="0"/>
    <m/>
    <n v="0"/>
    <n v="0"/>
    <m/>
    <n v="0"/>
    <s v="Stock Inicio"/>
    <n v="10"/>
    <s v="(+)"/>
    <s v="No"/>
    <s v="(-)"/>
    <n v="7"/>
    <n v="2017"/>
    <n v="18.5"/>
    <n v="1.0571870144160003"/>
    <n v="0"/>
    <n v="0"/>
    <n v="0"/>
    <n v="0"/>
    <n v="2356"/>
    <n v="-42.020373514431242"/>
    <n v="0"/>
    <n v="-2.2713715413206077"/>
  </r>
  <r>
    <d v="2017-07-01T00:00:00"/>
    <m/>
    <x v="0"/>
    <x v="0"/>
    <x v="0"/>
    <s v="Novillo 06-15"/>
    <m/>
    <n v="200"/>
    <n v="190"/>
    <s v="Kg"/>
    <n v="38000"/>
    <n v="35"/>
    <s v="$"/>
    <m/>
    <n v="-1330000"/>
    <m/>
    <n v="-71891.891891891893"/>
    <n v="0"/>
    <m/>
    <n v="0"/>
    <n v="0"/>
    <m/>
    <n v="0"/>
    <s v="Stock Inicio"/>
    <n v="200"/>
    <s v="(+)"/>
    <s v="No"/>
    <s v="(-)"/>
    <n v="7"/>
    <n v="2017"/>
    <n v="18.5"/>
    <n v="1.0571870144160003"/>
    <n v="0"/>
    <n v="0"/>
    <n v="0"/>
    <n v="0"/>
    <n v="2356"/>
    <n v="-564.51612903225805"/>
    <n v="0"/>
    <n v="-30.51438535309503"/>
  </r>
  <r>
    <d v="2017-07-01T00:00:00"/>
    <m/>
    <x v="0"/>
    <x v="0"/>
    <x v="0"/>
    <s v="Novillo 15-27"/>
    <m/>
    <n v="150"/>
    <n v="310"/>
    <s v="Kg"/>
    <n v="46500"/>
    <n v="32"/>
    <s v="$"/>
    <m/>
    <n v="-1488000"/>
    <m/>
    <n v="-80432.432432432426"/>
    <n v="0"/>
    <m/>
    <n v="0"/>
    <n v="0"/>
    <m/>
    <n v="0"/>
    <s v="Stock Inicio"/>
    <n v="150"/>
    <s v="(+)"/>
    <s v="No"/>
    <s v="(-)"/>
    <n v="7"/>
    <n v="2017"/>
    <n v="18.5"/>
    <n v="1.0571870144160003"/>
    <n v="0"/>
    <n v="0"/>
    <n v="0"/>
    <n v="0"/>
    <n v="2356"/>
    <n v="-631.57894736842104"/>
    <n v="0"/>
    <n v="-34.139402560455189"/>
  </r>
  <r>
    <m/>
    <m/>
    <x v="1"/>
    <x v="1"/>
    <x v="1"/>
    <m/>
    <m/>
    <m/>
    <m/>
    <m/>
    <n v="0"/>
    <m/>
    <m/>
    <m/>
    <n v="0"/>
    <m/>
    <n v="0"/>
    <n v="0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d v="2017-09-01T00:00:00"/>
    <d v="2017-10-01T00:00:00"/>
    <x v="0"/>
    <x v="2"/>
    <x v="0"/>
    <s v="Vaca Vacia"/>
    <m/>
    <n v="65"/>
    <n v="420"/>
    <s v="Kg"/>
    <n v="27300"/>
    <n v="24"/>
    <s v="$"/>
    <m/>
    <n v="655200"/>
    <m/>
    <n v="33600"/>
    <n v="655200"/>
    <m/>
    <n v="32760"/>
    <n v="0"/>
    <m/>
    <n v="0"/>
    <s v="Ingreso"/>
    <n v="-65"/>
    <s v="(-)"/>
    <s v="Si"/>
    <s v="(+)"/>
    <n v="9"/>
    <n v="2017"/>
    <n v="19.5"/>
    <n v="1.086995459474474"/>
    <n v="10"/>
    <n v="2017"/>
    <n v="20"/>
    <n v="1.1022133959071165"/>
    <n v="2356"/>
    <n v="278.09847198641768"/>
    <n v="0"/>
    <n v="14.261460101867572"/>
  </r>
  <r>
    <d v="2017-11-01T00:00:00"/>
    <d v="2017-12-01T00:00:00"/>
    <x v="0"/>
    <x v="2"/>
    <x v="0"/>
    <s v="Novillo 15-27"/>
    <m/>
    <n v="80"/>
    <n v="380"/>
    <s v="Kg"/>
    <n v="30400"/>
    <n v="35"/>
    <s v="$"/>
    <m/>
    <n v="1064000"/>
    <m/>
    <n v="51902.439024390245"/>
    <n v="1064000"/>
    <m/>
    <n v="50666.666666666664"/>
    <n v="0"/>
    <m/>
    <n v="0"/>
    <s v="Ingreso"/>
    <n v="-80"/>
    <s v="(-)"/>
    <s v="Si"/>
    <s v="(+)"/>
    <n v="11"/>
    <n v="2017"/>
    <n v="20.5"/>
    <n v="1.1176443834498162"/>
    <n v="12"/>
    <n v="2017"/>
    <n v="21"/>
    <n v="1.1332914048181137"/>
    <n v="2356"/>
    <n v="451.61290322580646"/>
    <n v="0"/>
    <n v="22.029897718332023"/>
  </r>
  <r>
    <d v="2017-12-01T00:00:00"/>
    <d v="2017-12-31T00:00:00"/>
    <x v="0"/>
    <x v="2"/>
    <x v="0"/>
    <s v="Vaquillona Preñada"/>
    <m/>
    <n v="40"/>
    <n v="1"/>
    <m/>
    <n v="40"/>
    <n v="17500"/>
    <s v="$"/>
    <m/>
    <n v="700000"/>
    <m/>
    <n v="33333.333333333336"/>
    <n v="700000"/>
    <m/>
    <n v="33333.333333333336"/>
    <n v="0"/>
    <m/>
    <n v="0"/>
    <s v="Ingreso"/>
    <n v="-40"/>
    <s v="(-)"/>
    <s v="Si"/>
    <s v="(+)"/>
    <n v="12"/>
    <n v="2017"/>
    <n v="21"/>
    <n v="1.1332914048181137"/>
    <n v="12"/>
    <n v="2017"/>
    <n v="21"/>
    <n v="1.1332914048181137"/>
    <n v="2356"/>
    <n v="297.11375212224107"/>
    <n v="0"/>
    <n v="14.14827391058291"/>
  </r>
  <r>
    <d v="2018-01-01T00:00:00"/>
    <d v="2018-01-01T00:00:00"/>
    <x v="0"/>
    <x v="3"/>
    <x v="0"/>
    <m/>
    <s v="Juan Garcia"/>
    <m/>
    <n v="1"/>
    <m/>
    <n v="1"/>
    <n v="10000"/>
    <s v="$"/>
    <m/>
    <n v="-10000"/>
    <m/>
    <n v="-465.11627906976742"/>
    <n v="-10000"/>
    <m/>
    <n v="-465.11627906976742"/>
    <n v="0"/>
    <m/>
    <n v="0"/>
    <s v="Egreso"/>
    <n v="0"/>
    <n v="0"/>
    <s v="Si"/>
    <s v="(-)"/>
    <n v="1"/>
    <n v="2018"/>
    <n v="21.5"/>
    <n v="1.1491574844855674"/>
    <n v="1"/>
    <n v="2018"/>
    <n v="21.5"/>
    <n v="1.1491574844855674"/>
    <n v="2356"/>
    <n v="-4.2444821731748723"/>
    <n v="0"/>
    <n v="-0.19741777549650569"/>
  </r>
  <r>
    <d v="2018-01-01T00:00:00"/>
    <d v="2018-01-01T00:00:00"/>
    <x v="0"/>
    <x v="4"/>
    <x v="0"/>
    <m/>
    <s v="Juan Garcia"/>
    <m/>
    <n v="1"/>
    <m/>
    <n v="1"/>
    <n v="6000"/>
    <s v="$"/>
    <m/>
    <n v="-6000"/>
    <m/>
    <n v="-279.06976744186045"/>
    <n v="-6000"/>
    <m/>
    <n v="-279.06976744186045"/>
    <n v="0"/>
    <m/>
    <n v="0"/>
    <s v="Egreso"/>
    <n v="0"/>
    <n v="0"/>
    <s v="Si"/>
    <s v="(-)"/>
    <n v="1"/>
    <n v="2018"/>
    <n v="21.5"/>
    <n v="1.1491574844855674"/>
    <n v="1"/>
    <n v="2018"/>
    <n v="21.5"/>
    <n v="1.1491574844855674"/>
    <n v="2356"/>
    <n v="-2.5466893039049237"/>
    <n v="0"/>
    <n v="-0.11845066529790342"/>
  </r>
  <r>
    <d v="2018-01-01T00:00:00"/>
    <d v="2018-01-01T00:00:00"/>
    <x v="0"/>
    <x v="5"/>
    <x v="0"/>
    <m/>
    <s v="Juan Garcia"/>
    <m/>
    <n v="1"/>
    <m/>
    <n v="1"/>
    <n v="3000"/>
    <s v="$"/>
    <m/>
    <n v="-3000"/>
    <m/>
    <n v="-139.53488372093022"/>
    <n v="-3000"/>
    <m/>
    <n v="-139.53488372093022"/>
    <n v="0"/>
    <m/>
    <n v="0"/>
    <s v="Egreso"/>
    <n v="0"/>
    <n v="0"/>
    <s v="Si"/>
    <s v="(-)"/>
    <n v="1"/>
    <n v="2018"/>
    <n v="21.5"/>
    <n v="1.1491574844855674"/>
    <n v="1"/>
    <n v="2018"/>
    <n v="21.5"/>
    <n v="1.1491574844855674"/>
    <n v="2356"/>
    <n v="-1.2733446519524618"/>
    <n v="0"/>
    <n v="-5.922533264895171E-2"/>
  </r>
  <r>
    <d v="2018-01-01T00:00:00"/>
    <d v="2018-02-01T00:00:00"/>
    <x v="0"/>
    <x v="6"/>
    <x v="0"/>
    <m/>
    <m/>
    <m/>
    <n v="25000"/>
    <m/>
    <n v="25000"/>
    <n v="5"/>
    <s v="$"/>
    <m/>
    <n v="125000"/>
    <m/>
    <n v="5813.9534883720926"/>
    <n v="125000"/>
    <m/>
    <n v="5681.818181818182"/>
    <n v="0"/>
    <m/>
    <n v="0"/>
    <s v="Ingreso"/>
    <n v="0"/>
    <n v="0"/>
    <s v="Si"/>
    <s v="(+)"/>
    <n v="1"/>
    <n v="2018"/>
    <n v="21.5"/>
    <n v="1.1491574844855674"/>
    <n v="2"/>
    <n v="2018"/>
    <n v="22"/>
    <n v="1.1652456892683654"/>
    <n v="2356"/>
    <n v="53.056027164685908"/>
    <n v="0"/>
    <n v="2.467722193706321"/>
  </r>
  <r>
    <m/>
    <m/>
    <x v="1"/>
    <x v="1"/>
    <x v="1"/>
    <m/>
    <m/>
    <m/>
    <m/>
    <m/>
    <n v="0"/>
    <m/>
    <m/>
    <m/>
    <n v="0"/>
    <m/>
    <n v="0"/>
    <n v="0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x v="1"/>
    <x v="1"/>
    <x v="1"/>
    <m/>
    <m/>
    <m/>
    <m/>
    <m/>
    <n v="0"/>
    <m/>
    <m/>
    <m/>
    <n v="0"/>
    <m/>
    <n v="0"/>
    <n v="0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x v="1"/>
    <x v="1"/>
    <x v="1"/>
    <m/>
    <m/>
    <m/>
    <m/>
    <m/>
    <n v="0"/>
    <m/>
    <m/>
    <m/>
    <n v="0"/>
    <m/>
    <n v="0"/>
    <n v="0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x v="1"/>
    <x v="1"/>
    <x v="1"/>
    <m/>
    <m/>
    <m/>
    <m/>
    <m/>
    <n v="0"/>
    <m/>
    <m/>
    <m/>
    <n v="0"/>
    <m/>
    <n v="0"/>
    <n v="0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x v="1"/>
    <x v="1"/>
    <x v="1"/>
    <m/>
    <m/>
    <m/>
    <m/>
    <m/>
    <n v="0"/>
    <m/>
    <m/>
    <m/>
    <n v="0"/>
    <m/>
    <n v="0"/>
    <n v="0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x v="1"/>
    <x v="1"/>
    <x v="1"/>
    <m/>
    <m/>
    <m/>
    <m/>
    <m/>
    <n v="0"/>
    <m/>
    <m/>
    <m/>
    <n v="0"/>
    <m/>
    <n v="0"/>
    <n v="0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x v="1"/>
    <x v="1"/>
    <x v="1"/>
    <m/>
    <m/>
    <m/>
    <m/>
    <m/>
    <n v="0"/>
    <m/>
    <m/>
    <m/>
    <n v="0"/>
    <m/>
    <n v="0"/>
    <n v="0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x v="1"/>
    <x v="1"/>
    <x v="1"/>
    <m/>
    <m/>
    <m/>
    <m/>
    <m/>
    <n v="0"/>
    <m/>
    <m/>
    <m/>
    <n v="0"/>
    <m/>
    <n v="0"/>
    <n v="0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x v="1"/>
    <x v="1"/>
    <x v="1"/>
    <m/>
    <m/>
    <m/>
    <m/>
    <m/>
    <n v="0"/>
    <m/>
    <m/>
    <m/>
    <n v="0"/>
    <m/>
    <n v="0"/>
    <n v="0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x v="1"/>
    <x v="1"/>
    <x v="1"/>
    <m/>
    <m/>
    <m/>
    <m/>
    <m/>
    <n v="0"/>
    <m/>
    <m/>
    <m/>
    <n v="0"/>
    <m/>
    <n v="0"/>
    <n v="0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x v="1"/>
    <x v="1"/>
    <x v="1"/>
    <m/>
    <m/>
    <m/>
    <m/>
    <m/>
    <n v="0"/>
    <m/>
    <m/>
    <m/>
    <n v="0"/>
    <m/>
    <n v="0"/>
    <n v="0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x v="1"/>
    <x v="1"/>
    <x v="1"/>
    <m/>
    <m/>
    <m/>
    <m/>
    <m/>
    <n v="0"/>
    <m/>
    <m/>
    <m/>
    <n v="0"/>
    <m/>
    <n v="0"/>
    <n v="0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x v="1"/>
    <x v="1"/>
    <x v="1"/>
    <m/>
    <m/>
    <m/>
    <m/>
    <m/>
    <n v="0"/>
    <m/>
    <m/>
    <m/>
    <n v="0"/>
    <m/>
    <n v="0"/>
    <n v="0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d v="2018-04-01T00:00:00"/>
    <m/>
    <x v="0"/>
    <x v="7"/>
    <x v="0"/>
    <s v="Vaca Preñada"/>
    <m/>
    <n v="10"/>
    <m/>
    <m/>
    <n v="0"/>
    <m/>
    <m/>
    <m/>
    <n v="0"/>
    <m/>
    <n v="0"/>
    <n v="0"/>
    <m/>
    <n v="0"/>
    <n v="0"/>
    <m/>
    <n v="0"/>
    <s v="Mov. Hacienda"/>
    <n v="-10"/>
    <s v="(-)"/>
    <s v="No"/>
    <n v="0"/>
    <n v="4"/>
    <n v="2018"/>
    <n v="23"/>
    <n v="1.1981009567229761"/>
    <n v="0"/>
    <n v="0"/>
    <n v="0"/>
    <n v="0"/>
    <n v="2356"/>
    <n v="0"/>
    <n v="0"/>
    <n v="0"/>
  </r>
  <r>
    <d v="2018-04-01T00:00:00"/>
    <m/>
    <x v="0"/>
    <x v="8"/>
    <x v="0"/>
    <s v="Vaca CUT"/>
    <m/>
    <n v="6"/>
    <m/>
    <m/>
    <n v="0"/>
    <m/>
    <m/>
    <m/>
    <n v="0"/>
    <m/>
    <n v="0"/>
    <n v="0"/>
    <m/>
    <n v="0"/>
    <n v="0"/>
    <m/>
    <n v="0"/>
    <s v="Mov. Hacienda"/>
    <n v="6"/>
    <s v="(+)"/>
    <s v="No"/>
    <n v="0"/>
    <n v="4"/>
    <n v="2018"/>
    <n v="23"/>
    <n v="1.1981009567229761"/>
    <n v="0"/>
    <n v="0"/>
    <n v="0"/>
    <n v="0"/>
    <n v="2356"/>
    <n v="0"/>
    <n v="0"/>
    <n v="0"/>
  </r>
  <r>
    <d v="2018-04-01T00:00:00"/>
    <m/>
    <x v="0"/>
    <x v="8"/>
    <x v="0"/>
    <s v="Vaca Vacia"/>
    <m/>
    <n v="4"/>
    <m/>
    <m/>
    <n v="0"/>
    <m/>
    <m/>
    <m/>
    <n v="0"/>
    <m/>
    <n v="0"/>
    <n v="0"/>
    <m/>
    <n v="0"/>
    <n v="0"/>
    <m/>
    <n v="0"/>
    <s v="Mov. Hacienda"/>
    <n v="4"/>
    <s v="(+)"/>
    <s v="No"/>
    <n v="0"/>
    <n v="4"/>
    <n v="2018"/>
    <n v="23"/>
    <n v="1.1981009567229761"/>
    <n v="0"/>
    <n v="0"/>
    <n v="0"/>
    <n v="0"/>
    <n v="2356"/>
    <n v="0"/>
    <n v="0"/>
    <n v="0"/>
  </r>
  <r>
    <m/>
    <m/>
    <x v="1"/>
    <x v="1"/>
    <x v="1"/>
    <m/>
    <m/>
    <m/>
    <m/>
    <m/>
    <n v="0"/>
    <m/>
    <m/>
    <m/>
    <n v="0"/>
    <m/>
    <n v="0"/>
    <n v="0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d v="2017-07-01T00:00:00"/>
    <m/>
    <x v="0"/>
    <x v="9"/>
    <x v="0"/>
    <s v="Vaca CUT"/>
    <m/>
    <n v="106"/>
    <n v="1"/>
    <s v="Cab"/>
    <n v="106"/>
    <n v="13000"/>
    <s v="$"/>
    <m/>
    <n v="1378000"/>
    <m/>
    <n v="74486.486486486479"/>
    <n v="0"/>
    <m/>
    <n v="0"/>
    <n v="0"/>
    <m/>
    <n v="0"/>
    <s v="Stock Cierre"/>
    <n v="-106"/>
    <s v="(-)"/>
    <s v="No"/>
    <s v="(+)"/>
    <n v="7"/>
    <n v="2017"/>
    <n v="18.5"/>
    <n v="1.0571870144160003"/>
    <n v="0"/>
    <n v="0"/>
    <n v="0"/>
    <n v="0"/>
    <n v="2356"/>
    <n v="584.88964346349746"/>
    <n v="0"/>
    <n v="31.615656403432293"/>
  </r>
  <r>
    <d v="2017-07-01T00:00:00"/>
    <m/>
    <x v="0"/>
    <x v="9"/>
    <x v="0"/>
    <s v="Vaca Preñada"/>
    <m/>
    <n v="80"/>
    <n v="1"/>
    <s v="Cab"/>
    <n v="80"/>
    <n v="15000"/>
    <s v="$"/>
    <m/>
    <n v="1200000"/>
    <m/>
    <n v="64864.864864864867"/>
    <n v="0"/>
    <m/>
    <n v="0"/>
    <n v="0"/>
    <m/>
    <n v="0"/>
    <s v="Stock Cierre"/>
    <n v="-80"/>
    <s v="(-)"/>
    <s v="No"/>
    <s v="(+)"/>
    <n v="7"/>
    <n v="2017"/>
    <n v="18.5"/>
    <n v="1.0571870144160003"/>
    <n v="0"/>
    <n v="0"/>
    <n v="0"/>
    <n v="0"/>
    <n v="2356"/>
    <n v="509.33786078098473"/>
    <n v="0"/>
    <n v="27.531776258431606"/>
  </r>
  <r>
    <d v="2017-07-01T00:00:00"/>
    <m/>
    <x v="0"/>
    <x v="9"/>
    <x v="0"/>
    <s v="Vaca Vacia"/>
    <m/>
    <n v="19"/>
    <n v="380"/>
    <s v="Cab"/>
    <n v="7220"/>
    <n v="20"/>
    <s v="$"/>
    <m/>
    <n v="144400"/>
    <m/>
    <n v="7805.405405405405"/>
    <n v="0"/>
    <m/>
    <n v="0"/>
    <n v="0"/>
    <m/>
    <n v="0"/>
    <s v="Stock Cierre"/>
    <n v="-19"/>
    <s v="(-)"/>
    <s v="No"/>
    <s v="(+)"/>
    <n v="7"/>
    <n v="2017"/>
    <n v="18.5"/>
    <n v="1.0571870144160003"/>
    <n v="0"/>
    <n v="0"/>
    <n v="0"/>
    <n v="0"/>
    <n v="2356"/>
    <n v="61.29032258064516"/>
    <n v="0"/>
    <n v="3.3129904097646032"/>
  </r>
  <r>
    <d v="2017-07-01T00:00:00"/>
    <m/>
    <x v="0"/>
    <x v="9"/>
    <x v="0"/>
    <s v="Vaquillona Preñada"/>
    <m/>
    <n v="30"/>
    <n v="1"/>
    <s v="Cab"/>
    <n v="30"/>
    <n v="16000"/>
    <s v="$"/>
    <m/>
    <n v="480000"/>
    <m/>
    <n v="25945.945945945947"/>
    <n v="0"/>
    <m/>
    <n v="0"/>
    <n v="0"/>
    <m/>
    <n v="0"/>
    <s v="Stock Cierre"/>
    <n v="-30"/>
    <s v="(-)"/>
    <s v="No"/>
    <s v="(+)"/>
    <n v="7"/>
    <n v="2017"/>
    <n v="18.5"/>
    <n v="1.0571870144160003"/>
    <n v="0"/>
    <n v="0"/>
    <n v="0"/>
    <n v="0"/>
    <n v="2356"/>
    <n v="203.73514431239389"/>
    <n v="0"/>
    <n v="11.012710503372643"/>
  </r>
  <r>
    <d v="2017-07-01T00:00:00"/>
    <m/>
    <x v="0"/>
    <x v="9"/>
    <x v="0"/>
    <s v="Vaquillona 06-15"/>
    <m/>
    <n v="60"/>
    <n v="1"/>
    <s v="Cab"/>
    <n v="60"/>
    <n v="11000"/>
    <s v="$"/>
    <m/>
    <n v="660000"/>
    <m/>
    <n v="35675.675675675673"/>
    <n v="0"/>
    <m/>
    <n v="0"/>
    <n v="0"/>
    <m/>
    <n v="0"/>
    <s v="Stock Cierre"/>
    <n v="-60"/>
    <s v="(-)"/>
    <s v="No"/>
    <s v="(+)"/>
    <n v="7"/>
    <n v="2017"/>
    <n v="18.5"/>
    <n v="1.0571870144160003"/>
    <n v="0"/>
    <n v="0"/>
    <n v="0"/>
    <n v="0"/>
    <n v="2356"/>
    <n v="280.13582342954157"/>
    <n v="0"/>
    <n v="15.142476942137382"/>
  </r>
  <r>
    <d v="2017-07-01T00:00:00"/>
    <m/>
    <x v="0"/>
    <x v="9"/>
    <x v="0"/>
    <s v="Vaquillona 15-27"/>
    <m/>
    <n v="50"/>
    <n v="1"/>
    <s v="Cab"/>
    <n v="50"/>
    <n v="13000"/>
    <s v="$"/>
    <m/>
    <n v="650000"/>
    <m/>
    <n v="35135.135135135133"/>
    <n v="0"/>
    <m/>
    <n v="0"/>
    <n v="0"/>
    <m/>
    <n v="0"/>
    <s v="Stock Cierre"/>
    <n v="-50"/>
    <s v="(-)"/>
    <s v="No"/>
    <s v="(+)"/>
    <n v="7"/>
    <n v="2017"/>
    <n v="18.5"/>
    <n v="1.0571870144160003"/>
    <n v="0"/>
    <n v="0"/>
    <n v="0"/>
    <n v="0"/>
    <n v="2356"/>
    <n v="275.89134125636673"/>
    <n v="0"/>
    <n v="14.913045473317119"/>
  </r>
  <r>
    <d v="2017-07-01T00:00:00"/>
    <m/>
    <x v="0"/>
    <x v="9"/>
    <x v="0"/>
    <s v="Ternera"/>
    <m/>
    <n v="40"/>
    <n v="1"/>
    <s v="Cab"/>
    <n v="40"/>
    <n v="7000"/>
    <s v="$"/>
    <m/>
    <n v="280000"/>
    <m/>
    <n v="15135.135135135135"/>
    <n v="0"/>
    <m/>
    <n v="0"/>
    <n v="0"/>
    <m/>
    <n v="0"/>
    <s v="Stock Cierre"/>
    <n v="-40"/>
    <s v="(-)"/>
    <s v="No"/>
    <s v="(+)"/>
    <n v="7"/>
    <n v="2017"/>
    <n v="18.5"/>
    <n v="1.0571870144160003"/>
    <n v="0"/>
    <n v="0"/>
    <n v="0"/>
    <n v="0"/>
    <n v="2356"/>
    <n v="118.84550084889644"/>
    <n v="0"/>
    <n v="6.4240811269673745"/>
  </r>
  <r>
    <d v="2017-07-01T00:00:00"/>
    <m/>
    <x v="0"/>
    <x v="9"/>
    <x v="0"/>
    <s v="Ternero"/>
    <m/>
    <n v="30"/>
    <n v="1"/>
    <s v="Cab"/>
    <n v="30"/>
    <n v="8000"/>
    <s v="$"/>
    <m/>
    <n v="240000"/>
    <m/>
    <n v="12972.972972972973"/>
    <n v="0"/>
    <m/>
    <n v="0"/>
    <n v="0"/>
    <m/>
    <n v="0"/>
    <s v="Stock Cierre"/>
    <n v="-30"/>
    <s v="(-)"/>
    <s v="No"/>
    <s v="(+)"/>
    <n v="7"/>
    <n v="2017"/>
    <n v="18.5"/>
    <n v="1.0571870144160003"/>
    <n v="0"/>
    <n v="0"/>
    <n v="0"/>
    <n v="0"/>
    <n v="2356"/>
    <n v="101.86757215619694"/>
    <n v="0"/>
    <n v="5.5063552516863217"/>
  </r>
  <r>
    <d v="2017-07-01T00:00:00"/>
    <m/>
    <x v="0"/>
    <x v="9"/>
    <x v="0"/>
    <s v="Toro"/>
    <m/>
    <n v="20"/>
    <n v="1"/>
    <s v="Cab"/>
    <n v="20"/>
    <n v="30000"/>
    <s v="$"/>
    <m/>
    <n v="600000"/>
    <m/>
    <n v="32432.432432432433"/>
    <n v="0"/>
    <m/>
    <n v="0"/>
    <n v="0"/>
    <m/>
    <n v="0"/>
    <s v="Stock Cierre"/>
    <n v="-20"/>
    <s v="(-)"/>
    <s v="No"/>
    <s v="(+)"/>
    <n v="7"/>
    <n v="2017"/>
    <n v="18.5"/>
    <n v="1.0571870144160003"/>
    <n v="0"/>
    <n v="0"/>
    <n v="0"/>
    <n v="0"/>
    <n v="2356"/>
    <n v="254.66893039049236"/>
    <n v="0"/>
    <n v="13.765888129215803"/>
  </r>
  <r>
    <d v="2017-07-01T00:00:00"/>
    <m/>
    <x v="0"/>
    <x v="9"/>
    <x v="0"/>
    <s v="Toro Descarte"/>
    <m/>
    <n v="10"/>
    <n v="550"/>
    <s v="Cab"/>
    <n v="5500"/>
    <n v="18"/>
    <s v="$"/>
    <m/>
    <n v="99000"/>
    <m/>
    <n v="5351.3513513513517"/>
    <n v="0"/>
    <m/>
    <n v="0"/>
    <n v="0"/>
    <m/>
    <n v="0"/>
    <s v="Stock Cierre"/>
    <n v="-10"/>
    <s v="(-)"/>
    <s v="No"/>
    <s v="(+)"/>
    <n v="7"/>
    <n v="2017"/>
    <n v="18.5"/>
    <n v="1.0571870144160003"/>
    <n v="0"/>
    <n v="0"/>
    <n v="0"/>
    <n v="0"/>
    <n v="2356"/>
    <n v="42.020373514431242"/>
    <n v="0"/>
    <n v="2.2713715413206077"/>
  </r>
  <r>
    <d v="2017-07-01T00:00:00"/>
    <m/>
    <x v="0"/>
    <x v="9"/>
    <x v="0"/>
    <s v="Novillo 06-15"/>
    <m/>
    <n v="200"/>
    <n v="190"/>
    <s v="Kg"/>
    <n v="38000"/>
    <n v="35"/>
    <s v="$"/>
    <m/>
    <n v="1330000"/>
    <m/>
    <n v="71891.891891891893"/>
    <n v="0"/>
    <m/>
    <n v="0"/>
    <n v="0"/>
    <m/>
    <n v="0"/>
    <s v="Stock Cierre"/>
    <n v="-200"/>
    <s v="(-)"/>
    <s v="No"/>
    <s v="(+)"/>
    <n v="7"/>
    <n v="2017"/>
    <n v="18.5"/>
    <n v="1.0571870144160003"/>
    <n v="0"/>
    <n v="0"/>
    <n v="0"/>
    <n v="0"/>
    <n v="2356"/>
    <n v="564.51612903225805"/>
    <n v="0"/>
    <n v="30.51438535309503"/>
  </r>
  <r>
    <d v="2017-07-01T00:00:00"/>
    <m/>
    <x v="0"/>
    <x v="9"/>
    <x v="0"/>
    <s v="Novillo 15-27"/>
    <m/>
    <n v="70"/>
    <n v="190"/>
    <s v="Kg"/>
    <n v="13300"/>
    <n v="35"/>
    <s v="$"/>
    <m/>
    <n v="465500"/>
    <m/>
    <n v="25162.162162162163"/>
    <n v="0"/>
    <m/>
    <n v="0"/>
    <n v="0"/>
    <m/>
    <n v="0"/>
    <s v="Stock Cierre"/>
    <n v="-70"/>
    <s v="(-)"/>
    <s v="No"/>
    <s v="(+)"/>
    <n v="7"/>
    <n v="2017"/>
    <n v="18.5"/>
    <n v="1.0571870144160003"/>
    <n v="0"/>
    <n v="0"/>
    <n v="0"/>
    <n v="0"/>
    <n v="2356"/>
    <n v="197.58064516129033"/>
    <n v="0"/>
    <n v="10.680034873583262"/>
  </r>
  <r>
    <m/>
    <m/>
    <x v="1"/>
    <x v="1"/>
    <x v="1"/>
    <m/>
    <m/>
    <n v="0"/>
    <m/>
    <m/>
    <n v="0"/>
    <m/>
    <m/>
    <m/>
    <n v="0"/>
    <m/>
    <n v="0"/>
    <n v="0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27">
  <r>
    <d v="2019-05-01T00:00:00"/>
    <m/>
    <x v="0"/>
    <x v="0"/>
    <x v="0"/>
    <s v="Maíz"/>
    <n v="100"/>
    <x v="0"/>
    <s v="Maíz"/>
    <n v="8"/>
    <s v="Tn/ha"/>
    <n v="800"/>
    <n v="120"/>
    <s v="U$S"/>
    <m/>
    <n v="2403653.0082751075"/>
    <n v="1978519.8102775244"/>
    <n v="96000"/>
    <n v="0"/>
    <n v="0"/>
    <n v="0"/>
    <n v="0"/>
    <n v="0"/>
    <n v="0"/>
    <s v="Ingreso Cesión"/>
    <s v="No"/>
    <s v="(+)"/>
    <n v="5"/>
    <n v="2019"/>
    <n v="25.038052169532367"/>
    <n v="1.2148743701170979"/>
    <n v="0"/>
    <n v="0"/>
    <n v="0"/>
    <n v="0"/>
    <n v="24036.530082751076"/>
    <n v="19785.198102775244"/>
    <n v="960"/>
    <n v="0"/>
    <x v="0"/>
    <s v="Valor Neto de Realización | Fecha de Cosecha"/>
  </r>
  <r>
    <d v="2019-05-01T00:00:00"/>
    <d v="2019-06-01T00:00:00"/>
    <x v="0"/>
    <x v="0"/>
    <x v="0"/>
    <s v="Maíz"/>
    <n v="100"/>
    <x v="1"/>
    <s v="Cosecha"/>
    <n v="0.5"/>
    <s v="U/ha"/>
    <n v="50"/>
    <n v="90"/>
    <s v="U$S"/>
    <n v="0"/>
    <n v="-112671.23476289565"/>
    <n v="-92743.116106758942"/>
    <n v="-4500"/>
    <n v="-113797.9471105246"/>
    <n v="-92377.265550124779"/>
    <n v="-4500"/>
    <n v="0"/>
    <n v="0"/>
    <n v="0"/>
    <s v="Egreso"/>
    <s v="Si"/>
    <s v="(-)"/>
    <n v="5"/>
    <n v="2019"/>
    <n v="25.038052169532367"/>
    <n v="1.2148743701170979"/>
    <n v="6"/>
    <n v="2019"/>
    <n v="25.28843269122769"/>
    <n v="1.2318826112987373"/>
    <n v="-1126.7123476289564"/>
    <n v="-927.43116106758941"/>
    <n v="-45"/>
    <n v="0"/>
    <x v="1"/>
    <m/>
  </r>
  <r>
    <d v="2018-06-15T00:00:00"/>
    <d v="2018-07-15T00:00:00"/>
    <x v="0"/>
    <x v="0"/>
    <x v="0"/>
    <s v="Maíz"/>
    <n v="100"/>
    <x v="2"/>
    <s v="Pulverización"/>
    <n v="1"/>
    <s v="U/ha"/>
    <n v="100"/>
    <n v="120"/>
    <s v="$"/>
    <n v="0"/>
    <n v="-12000"/>
    <n v="-11509.789501833518"/>
    <n v="-534.70693604013866"/>
    <n v="-12000"/>
    <n v="-11350.877220743114"/>
    <n v="-529.41280796053331"/>
    <n v="0"/>
    <n v="0"/>
    <n v="0"/>
    <s v="Egreso"/>
    <s v="Si"/>
    <s v="(-)"/>
    <n v="6"/>
    <n v="2018"/>
    <n v="22.4422"/>
    <n v="1.0425907440000002"/>
    <n v="7"/>
    <n v="2018"/>
    <n v="22.666622"/>
    <n v="1.0571870144160003"/>
    <n v="-120"/>
    <n v="-115.09789501833518"/>
    <n v="-5.3470693604013864"/>
    <n v="0"/>
    <x v="2"/>
    <m/>
  </r>
  <r>
    <d v="2018-06-15T00:00:00"/>
    <d v="2019-05-01T00:00:00"/>
    <x v="0"/>
    <x v="0"/>
    <x v="0"/>
    <s v="Maíz"/>
    <n v="100"/>
    <x v="3"/>
    <s v="Glifosato"/>
    <n v="3"/>
    <s v="L/ha"/>
    <n v="300"/>
    <n v="3"/>
    <s v="U$S"/>
    <n v="0.06"/>
    <n v="-20197.98"/>
    <n v="-19372.874846853614"/>
    <n v="-900"/>
    <n v="-22534.246952579131"/>
    <n v="-18548.623221351791"/>
    <n v="-900"/>
    <n v="-1201.8265041375537"/>
    <n v="-989.25990513876218"/>
    <n v="-43.023538440854651"/>
    <s v="Egreso"/>
    <s v="Si"/>
    <s v="(-)"/>
    <n v="6"/>
    <n v="2018"/>
    <n v="22.4422"/>
    <n v="1.0425907440000002"/>
    <n v="5"/>
    <n v="2019"/>
    <n v="25.038052169532367"/>
    <n v="1.2148743701170979"/>
    <n v="-201.97979999999998"/>
    <n v="-193.72874846853614"/>
    <n v="-9"/>
    <n v="0"/>
    <x v="2"/>
    <m/>
  </r>
  <r>
    <d v="2018-06-15T00:00:00"/>
    <d v="2019-05-01T00:00:00"/>
    <x v="0"/>
    <x v="0"/>
    <x v="0"/>
    <s v="Maíz"/>
    <n v="100"/>
    <x v="3"/>
    <s v="2,4 D"/>
    <n v="0.5"/>
    <s v="L/ha"/>
    <n v="50"/>
    <n v="7"/>
    <s v="U$S"/>
    <n v="0.06"/>
    <n v="-7854.7699999999995"/>
    <n v="-7533.8957737764058"/>
    <n v="-350"/>
    <n v="-8763.318259336329"/>
    <n v="-7213.3534749701412"/>
    <n v="-350"/>
    <n v="-467.37697383127085"/>
    <n v="-384.71218533174084"/>
    <n v="-16.731376060332362"/>
    <s v="Egreso"/>
    <s v="Si"/>
    <s v="(-)"/>
    <n v="6"/>
    <n v="2018"/>
    <n v="22.4422"/>
    <n v="1.0425907440000002"/>
    <n v="5"/>
    <n v="2019"/>
    <n v="25.038052169532367"/>
    <n v="1.2148743701170979"/>
    <n v="-78.547699999999992"/>
    <n v="-75.338957737764062"/>
    <n v="-3.5"/>
    <n v="0"/>
    <x v="2"/>
    <m/>
  </r>
  <r>
    <d v="2018-06-15T00:00:00"/>
    <d v="2019-05-01T00:00:00"/>
    <x v="0"/>
    <x v="0"/>
    <x v="0"/>
    <s v="Maíz"/>
    <n v="100"/>
    <x v="4"/>
    <s v="Coad. Siliconado"/>
    <n v="0.1"/>
    <s v="L/ha"/>
    <n v="10"/>
    <n v="18"/>
    <s v="U$S"/>
    <n v="0.06"/>
    <n v="-4039.596"/>
    <n v="-3874.574969370723"/>
    <n v="-180"/>
    <n v="-4506.8493905158257"/>
    <n v="-3709.7246442703577"/>
    <n v="-180"/>
    <n v="-240.36530082751068"/>
    <n v="-197.8519810277524"/>
    <n v="-8.6047076881709295"/>
    <s v="Egreso"/>
    <s v="Si"/>
    <s v="(-)"/>
    <n v="6"/>
    <n v="2018"/>
    <n v="22.4422"/>
    <n v="1.0425907440000002"/>
    <n v="5"/>
    <n v="2019"/>
    <n v="25.038052169532367"/>
    <n v="1.2148743701170979"/>
    <n v="-40.395960000000002"/>
    <n v="-38.745749693707232"/>
    <n v="-1.8"/>
    <n v="0"/>
    <x v="2"/>
    <m/>
  </r>
  <r>
    <d v="2018-07-30T00:00:00"/>
    <d v="2018-08-29T00:00:00"/>
    <x v="0"/>
    <x v="0"/>
    <x v="0"/>
    <s v="Maíz"/>
    <n v="100"/>
    <x v="2"/>
    <s v="Pulverización"/>
    <n v="1"/>
    <s v="U/ha"/>
    <n v="100"/>
    <n v="120"/>
    <s v="$"/>
    <n v="0"/>
    <n v="-12000"/>
    <n v="-11350.877220743114"/>
    <n v="-529.41280796053331"/>
    <n v="-12000"/>
    <n v="-11194.158994815694"/>
    <n v="-524.17109699062712"/>
    <n v="0"/>
    <n v="0"/>
    <n v="0"/>
    <s v="Egreso"/>
    <s v="Si"/>
    <s v="(-)"/>
    <n v="7"/>
    <n v="2018"/>
    <n v="22.666622"/>
    <n v="1.0571870144160003"/>
    <n v="8"/>
    <n v="2018"/>
    <n v="22.893288219999999"/>
    <n v="1.0719876326178244"/>
    <n v="-120"/>
    <n v="-113.50877220743114"/>
    <n v="-5.2941280796053327"/>
    <n v="0"/>
    <x v="3"/>
    <m/>
  </r>
  <r>
    <d v="2018-07-30T00:00:00"/>
    <d v="2019-05-01T00:00:00"/>
    <x v="0"/>
    <x v="0"/>
    <x v="0"/>
    <s v="Maíz"/>
    <n v="100"/>
    <x v="3"/>
    <s v="Glifosato"/>
    <n v="3"/>
    <s v="L/ha"/>
    <n v="300"/>
    <n v="3"/>
    <s v="U$S"/>
    <n v="0.06"/>
    <n v="-20399.959800000001"/>
    <n v="-19296.453249824604"/>
    <n v="-900"/>
    <n v="-22534.246952579131"/>
    <n v="-18548.623221351791"/>
    <n v="-900"/>
    <n v="-1032.8196519932101"/>
    <n v="-850.14523097862366"/>
    <n v="-37.343086881085554"/>
    <s v="Egreso"/>
    <s v="Si"/>
    <s v="(-)"/>
    <n v="7"/>
    <n v="2018"/>
    <n v="22.666622"/>
    <n v="1.0571870144160003"/>
    <n v="5"/>
    <n v="2019"/>
    <n v="25.038052169532367"/>
    <n v="1.2148743701170979"/>
    <n v="-203.99959799999999"/>
    <n v="-192.96453249824606"/>
    <n v="-9"/>
    <n v="0"/>
    <x v="3"/>
    <m/>
  </r>
  <r>
    <d v="2018-07-30T00:00:00"/>
    <d v="2019-05-01T00:00:00"/>
    <x v="0"/>
    <x v="0"/>
    <x v="0"/>
    <s v="Maíz"/>
    <n v="100"/>
    <x v="3"/>
    <s v="2,4 D"/>
    <n v="0.5"/>
    <s v="L/ha"/>
    <n v="50"/>
    <n v="7"/>
    <s v="U$S"/>
    <n v="0.06"/>
    <n v="-7933.3177000000005"/>
    <n v="-7504.1762638206801"/>
    <n v="-350"/>
    <n v="-8763.318259336329"/>
    <n v="-7213.3534749701412"/>
    <n v="-350"/>
    <n v="-401.65208688624841"/>
    <n v="-330.6120342694648"/>
    <n v="-14.522311564866605"/>
    <s v="Egreso"/>
    <s v="Si"/>
    <s v="(-)"/>
    <n v="7"/>
    <n v="2018"/>
    <n v="22.666622"/>
    <n v="1.0571870144160003"/>
    <n v="5"/>
    <n v="2019"/>
    <n v="25.038052169532367"/>
    <n v="1.2148743701170979"/>
    <n v="-79.333177000000006"/>
    <n v="-75.041762638206805"/>
    <n v="-3.5"/>
    <n v="0"/>
    <x v="3"/>
    <m/>
  </r>
  <r>
    <d v="2018-07-30T00:00:00"/>
    <d v="2019-05-01T00:00:00"/>
    <x v="0"/>
    <x v="0"/>
    <x v="0"/>
    <s v="Maíz"/>
    <n v="100"/>
    <x v="3"/>
    <s v="Atrazina"/>
    <n v="1"/>
    <s v="Kg/ha"/>
    <n v="100"/>
    <n v="8"/>
    <s v="U$S"/>
    <n v="0.06"/>
    <n v="-18133.297600000002"/>
    <n v="-17152.402888732984"/>
    <n v="-800"/>
    <n v="-20030.441735625893"/>
    <n v="-16487.665085646033"/>
    <n v="-800"/>
    <n v="-918.06191288285333"/>
    <n v="-755.68464975877657"/>
    <n v="-33.193855005409389"/>
    <s v="Egreso"/>
    <s v="Si"/>
    <s v="(-)"/>
    <n v="7"/>
    <n v="2018"/>
    <n v="22.666622"/>
    <n v="1.0571870144160003"/>
    <n v="5"/>
    <n v="2019"/>
    <n v="25.038052169532367"/>
    <n v="1.2148743701170979"/>
    <n v="-181.33297600000003"/>
    <n v="-171.52402888732985"/>
    <n v="-8"/>
    <n v="0"/>
    <x v="3"/>
    <m/>
  </r>
  <r>
    <d v="2018-07-30T00:00:00"/>
    <d v="2019-05-01T00:00:00"/>
    <x v="0"/>
    <x v="0"/>
    <x v="0"/>
    <s v="Maíz"/>
    <n v="100"/>
    <x v="4"/>
    <s v="Coad. Siliconado"/>
    <n v="0.1"/>
    <s v="L/ha"/>
    <n v="10"/>
    <n v="18"/>
    <s v="U$S"/>
    <n v="0.06"/>
    <n v="-4079.9919599999998"/>
    <n v="-3859.2906499649207"/>
    <n v="-180"/>
    <n v="-4506.8493905158257"/>
    <n v="-3709.7246442703577"/>
    <n v="-180"/>
    <n v="-206.56393039864199"/>
    <n v="-170.0290461957247"/>
    <n v="-7.4686173762171109"/>
    <s v="Egreso"/>
    <s v="Si"/>
    <s v="(-)"/>
    <n v="7"/>
    <n v="2018"/>
    <n v="22.666622"/>
    <n v="1.0571870144160003"/>
    <n v="5"/>
    <n v="2019"/>
    <n v="25.038052169532367"/>
    <n v="1.2148743701170979"/>
    <n v="-40.799919599999996"/>
    <n v="-38.59290649964921"/>
    <n v="-1.8"/>
    <n v="0"/>
    <x v="3"/>
    <m/>
  </r>
  <r>
    <d v="2018-09-18T00:00:00"/>
    <d v="2018-10-18T00:00:00"/>
    <x v="0"/>
    <x v="0"/>
    <x v="0"/>
    <s v="Maíz"/>
    <n v="100"/>
    <x v="2"/>
    <s v="Pulverización"/>
    <n v="1"/>
    <s v="U/ha"/>
    <n v="100"/>
    <n v="120"/>
    <s v="$"/>
    <n v="0"/>
    <n v="-12000"/>
    <n v="-11039.604531376423"/>
    <n v="-518.98128414913572"/>
    <n v="-12000"/>
    <n v="-10887.183955992528"/>
    <n v="-513.84285559320369"/>
    <n v="0"/>
    <n v="0"/>
    <n v="0"/>
    <s v="Egreso"/>
    <s v="Si"/>
    <s v="(-)"/>
    <n v="9"/>
    <n v="2018"/>
    <n v="23.122221102199997"/>
    <n v="1.086995459474474"/>
    <n v="10"/>
    <n v="2018"/>
    <n v="23.353443313221998"/>
    <n v="1.1022133959071165"/>
    <n v="-120"/>
    <n v="-110.39604531376422"/>
    <n v="-5.1898128414913574"/>
    <n v="0"/>
    <x v="4"/>
    <m/>
  </r>
  <r>
    <d v="2018-09-18T00:00:00"/>
    <d v="2019-05-01T00:00:00"/>
    <x v="0"/>
    <x v="0"/>
    <x v="0"/>
    <s v="Maíz"/>
    <n v="100"/>
    <x v="3"/>
    <s v="Glifosato"/>
    <n v="3"/>
    <s v="L/ha"/>
    <n v="300"/>
    <n v="3"/>
    <s v="U$S"/>
    <n v="0.06"/>
    <n v="-20809.998991979999"/>
    <n v="-19144.5132641501"/>
    <n v="-900"/>
    <n v="-22534.246952579131"/>
    <n v="-18548.623221351791"/>
    <n v="-900"/>
    <n v="-845.03426072171737"/>
    <n v="-695.57337080069215"/>
    <n v="-31.167558758778036"/>
    <s v="Egreso"/>
    <s v="Si"/>
    <s v="(-)"/>
    <n v="9"/>
    <n v="2018"/>
    <n v="23.122221102199997"/>
    <n v="1.086995459474474"/>
    <n v="5"/>
    <n v="2019"/>
    <n v="25.038052169532367"/>
    <n v="1.2148743701170979"/>
    <n v="-208.09998991979998"/>
    <n v="-191.445132641501"/>
    <n v="-9"/>
    <n v="0"/>
    <x v="4"/>
    <m/>
  </r>
  <r>
    <d v="2018-09-18T00:00:00"/>
    <d v="2019-05-01T00:00:00"/>
    <x v="0"/>
    <x v="0"/>
    <x v="0"/>
    <s v="Maíz"/>
    <n v="100"/>
    <x v="3"/>
    <s v="Atrazina"/>
    <n v="0.5"/>
    <s v="L/ha"/>
    <n v="50"/>
    <n v="7"/>
    <s v="U$S"/>
    <n v="0.06"/>
    <n v="-8092.7773857699995"/>
    <n v="-7445.0884916139275"/>
    <n v="-350"/>
    <n v="-8763.318259336329"/>
    <n v="-7213.3534749701412"/>
    <n v="-350"/>
    <n v="-328.62443472511234"/>
    <n v="-270.50075531138026"/>
    <n v="-12.120717295080347"/>
    <s v="Egreso"/>
    <s v="Si"/>
    <s v="(-)"/>
    <n v="9"/>
    <n v="2018"/>
    <n v="23.122221102199997"/>
    <n v="1.086995459474474"/>
    <n v="5"/>
    <n v="2019"/>
    <n v="25.038052169532367"/>
    <n v="1.2148743701170979"/>
    <n v="-80.927773857699989"/>
    <n v="-74.450884916139273"/>
    <n v="-3.5"/>
    <n v="0"/>
    <x v="4"/>
    <m/>
  </r>
  <r>
    <d v="2018-09-18T00:00:00"/>
    <d v="2019-05-01T00:00:00"/>
    <x v="0"/>
    <x v="0"/>
    <x v="0"/>
    <s v="Maíz"/>
    <n v="100"/>
    <x v="3"/>
    <s v="Acetoclor"/>
    <n v="1"/>
    <s v="L/ha"/>
    <n v="100"/>
    <n v="8"/>
    <s v="U$S"/>
    <n v="0.06"/>
    <n v="-18497.776881759997"/>
    <n v="-17017.345123688974"/>
    <n v="-800"/>
    <n v="-20030.441735625893"/>
    <n v="-16487.665085646033"/>
    <n v="-800"/>
    <n v="-751.14156508597091"/>
    <n v="-618.28744071172628"/>
    <n v="-27.704496674469365"/>
    <s v="Egreso"/>
    <s v="Si"/>
    <s v="(-)"/>
    <n v="9"/>
    <n v="2018"/>
    <n v="23.122221102199997"/>
    <n v="1.086995459474474"/>
    <n v="5"/>
    <n v="2019"/>
    <n v="25.038052169532367"/>
    <n v="1.2148743701170979"/>
    <n v="-184.97776881759998"/>
    <n v="-170.17345123688975"/>
    <n v="-8"/>
    <n v="0"/>
    <x v="4"/>
    <m/>
  </r>
  <r>
    <d v="2018-09-18T00:00:00"/>
    <d v="2019-05-01T00:00:00"/>
    <x v="0"/>
    <x v="0"/>
    <x v="0"/>
    <s v="Maíz"/>
    <n v="100"/>
    <x v="5"/>
    <s v="Cipermetrina"/>
    <n v="0.5"/>
    <s v="L/ha"/>
    <n v="50"/>
    <n v="10"/>
    <s v="U$S"/>
    <n v="0.06"/>
    <n v="-11561.110551099999"/>
    <n v="-10635.84070230561"/>
    <n v="-500"/>
    <n v="-12519.026084766183"/>
    <n v="-10304.790678528772"/>
    <n v="-500"/>
    <n v="-469.46347817873186"/>
    <n v="-386.42965044482895"/>
    <n v="-17.315310421543352"/>
    <s v="Egreso"/>
    <s v="Si"/>
    <s v="(-)"/>
    <n v="9"/>
    <n v="2018"/>
    <n v="23.122221102199997"/>
    <n v="1.086995459474474"/>
    <n v="5"/>
    <n v="2019"/>
    <n v="25.038052169532367"/>
    <n v="1.2148743701170979"/>
    <n v="-115.61110551099999"/>
    <n v="-106.3584070230561"/>
    <n v="-5"/>
    <n v="0"/>
    <x v="4"/>
    <m/>
  </r>
  <r>
    <d v="2018-09-18T00:00:00"/>
    <d v="2019-05-01T00:00:00"/>
    <x v="0"/>
    <x v="0"/>
    <x v="0"/>
    <s v="Maíz"/>
    <n v="100"/>
    <x v="4"/>
    <s v="Coad. Siliconado"/>
    <n v="0.1"/>
    <s v="L/ha"/>
    <n v="10"/>
    <n v="18"/>
    <s v="U$S"/>
    <n v="0.06"/>
    <n v="-4161.9997983959993"/>
    <n v="-3828.9026528300196"/>
    <n v="-180"/>
    <n v="-4506.8493905158257"/>
    <n v="-3709.7246442703577"/>
    <n v="-180"/>
    <n v="-169.00685214434347"/>
    <n v="-139.11467416013841"/>
    <n v="-6.2335117517556062"/>
    <s v="Egreso"/>
    <s v="Si"/>
    <s v="(-)"/>
    <n v="9"/>
    <n v="2018"/>
    <n v="23.122221102199997"/>
    <n v="1.086995459474474"/>
    <n v="5"/>
    <n v="2019"/>
    <n v="25.038052169532367"/>
    <n v="1.2148743701170979"/>
    <n v="-41.619997983959991"/>
    <n v="-38.289026528300198"/>
    <n v="-1.8"/>
    <n v="0"/>
    <x v="4"/>
    <m/>
  </r>
  <r>
    <d v="2018-09-23T00:00:00"/>
    <d v="2018-10-23T00:00:00"/>
    <x v="0"/>
    <x v="0"/>
    <x v="0"/>
    <s v="Maíz"/>
    <n v="100"/>
    <x v="2"/>
    <s v="Siembra"/>
    <n v="1"/>
    <s v="U/ha"/>
    <n v="100"/>
    <n v="800"/>
    <s v="$"/>
    <n v="0"/>
    <n v="-80000"/>
    <n v="-73597.363542509484"/>
    <n v="-3459.8752276609052"/>
    <n v="-80000"/>
    <n v="-72581.226373283527"/>
    <n v="-3425.6190372880246"/>
    <n v="0"/>
    <n v="0"/>
    <n v="0"/>
    <s v="Egreso"/>
    <s v="Si"/>
    <s v="(-)"/>
    <n v="9"/>
    <n v="2018"/>
    <n v="23.122221102199997"/>
    <n v="1.086995459474474"/>
    <n v="10"/>
    <n v="2018"/>
    <n v="23.353443313221998"/>
    <n v="1.1022133959071165"/>
    <n v="-800"/>
    <n v="-735.97363542509481"/>
    <n v="-34.598752276609055"/>
    <n v="0"/>
    <x v="5"/>
    <m/>
  </r>
  <r>
    <d v="2018-09-23T00:00:00"/>
    <d v="2019-05-01T00:00:00"/>
    <x v="0"/>
    <x v="0"/>
    <x v="0"/>
    <s v="Maíz"/>
    <n v="100"/>
    <x v="6"/>
    <s v="Maíz RR G1"/>
    <n v="0.9"/>
    <s v="Bls/ha"/>
    <n v="90"/>
    <n v="220"/>
    <s v="U$S"/>
    <n v="0.06"/>
    <n v="-457819.97782355995"/>
    <n v="-421179.29181130219"/>
    <n v="-19800"/>
    <n v="-495753.43295674084"/>
    <n v="-408069.71086973936"/>
    <n v="-19800"/>
    <n v="-18177.625875080499"/>
    <n v="-14962.556065223778"/>
    <n v="-670.4488195221586"/>
    <s v="Egreso"/>
    <s v="Si"/>
    <s v="(-)"/>
    <n v="9"/>
    <n v="2018"/>
    <n v="23.122221102199997"/>
    <n v="1.086995459474474"/>
    <n v="5"/>
    <n v="2019"/>
    <n v="25.038052169532367"/>
    <n v="1.2148743701170979"/>
    <n v="-4578.1997782355993"/>
    <n v="-4211.7929181130221"/>
    <n v="-198"/>
    <n v="0"/>
    <x v="5"/>
    <m/>
  </r>
  <r>
    <d v="2018-09-23T00:00:00"/>
    <d v="2018-10-23T00:00:00"/>
    <x v="0"/>
    <x v="0"/>
    <x v="0"/>
    <s v="Maíz"/>
    <n v="100"/>
    <x v="7"/>
    <s v="MAP"/>
    <n v="120"/>
    <s v="Kg/ha"/>
    <n v="12000"/>
    <n v="0.6"/>
    <s v="U$S"/>
    <n v="0"/>
    <n v="-166479.99193583999"/>
    <n v="-153156.1061132008"/>
    <n v="-7200"/>
    <n v="-168144.79185519839"/>
    <n v="-152551.94001413492"/>
    <n v="-7200"/>
    <n v="0"/>
    <n v="0"/>
    <n v="0"/>
    <s v="Egreso"/>
    <s v="Si"/>
    <s v="(-)"/>
    <n v="9"/>
    <n v="2018"/>
    <n v="23.122221102199997"/>
    <n v="1.086995459474474"/>
    <n v="10"/>
    <n v="2018"/>
    <n v="23.353443313221998"/>
    <n v="1.1022133959071165"/>
    <n v="-1664.7999193583998"/>
    <n v="-1531.561061132008"/>
    <n v="-72"/>
    <n v="0"/>
    <x v="5"/>
    <m/>
  </r>
  <r>
    <d v="2018-09-23T00:00:00"/>
    <d v="2018-10-23T00:00:00"/>
    <x v="0"/>
    <x v="0"/>
    <x v="0"/>
    <s v="Maíz"/>
    <n v="100"/>
    <x v="7"/>
    <s v="UREA"/>
    <n v="160"/>
    <s v="Kg/ha"/>
    <n v="16000"/>
    <n v="0.45"/>
    <s v="U$S"/>
    <n v="0"/>
    <n v="-166479.99193583999"/>
    <n v="-153156.1061132008"/>
    <n v="-7200"/>
    <n v="-168144.79185519839"/>
    <n v="-152551.94001413492"/>
    <n v="-7200"/>
    <n v="0"/>
    <n v="0"/>
    <n v="0"/>
    <s v="Egreso"/>
    <s v="Si"/>
    <s v="(-)"/>
    <n v="9"/>
    <n v="2018"/>
    <n v="23.122221102199997"/>
    <n v="1.086995459474474"/>
    <n v="10"/>
    <n v="2018"/>
    <n v="23.353443313221998"/>
    <n v="1.1022133959071165"/>
    <n v="-1664.7999193583998"/>
    <n v="-1531.561061132008"/>
    <n v="-72"/>
    <n v="0"/>
    <x v="5"/>
    <m/>
  </r>
  <r>
    <d v="2018-10-23T00:00:00"/>
    <d v="2018-11-22T00:00:00"/>
    <x v="0"/>
    <x v="0"/>
    <x v="0"/>
    <s v="Maíz"/>
    <n v="100"/>
    <x v="2"/>
    <s v="Fertilización"/>
    <n v="1"/>
    <s v="U/ha"/>
    <n v="100"/>
    <n v="150"/>
    <s v="$"/>
    <n v="0.06"/>
    <n v="-15000"/>
    <n v="-13608.97994499066"/>
    <n v="-642.30356949150462"/>
    <n v="-15000"/>
    <n v="-13421.084758373432"/>
    <n v="-635.94412820941056"/>
    <n v="-75"/>
    <n v="-67.105423791867167"/>
    <n v="-3.1797206410470529"/>
    <s v="Egreso"/>
    <s v="Si"/>
    <s v="(-)"/>
    <n v="10"/>
    <n v="2018"/>
    <n v="23.353443313221998"/>
    <n v="1.1022133959071165"/>
    <n v="11"/>
    <n v="2018"/>
    <n v="23.586977746354219"/>
    <n v="1.1176443834498162"/>
    <n v="-150"/>
    <n v="-136.08979944990659"/>
    <n v="-6.423035694915046"/>
    <n v="0"/>
    <x v="6"/>
    <m/>
  </r>
  <r>
    <d v="2018-10-23T00:00:00"/>
    <d v="2018-11-22T00:00:00"/>
    <x v="0"/>
    <x v="0"/>
    <x v="0"/>
    <s v="Maíz"/>
    <n v="100"/>
    <x v="7"/>
    <s v="UAN"/>
    <n v="150"/>
    <s v="L/ha"/>
    <n v="15000"/>
    <n v="0.35"/>
    <s v="U$S"/>
    <n v="0"/>
    <n v="-122605.57739441549"/>
    <n v="-111235.78959364005"/>
    <n v="-5250"/>
    <n v="-123831.63316835965"/>
    <n v="-110796.98963469078"/>
    <n v="-5250"/>
    <n v="0"/>
    <n v="0"/>
    <n v="0"/>
    <s v="Egreso"/>
    <s v="Si"/>
    <s v="(-)"/>
    <n v="10"/>
    <n v="2018"/>
    <n v="23.353443313221998"/>
    <n v="1.1022133959071165"/>
    <n v="11"/>
    <n v="2018"/>
    <n v="23.586977746354219"/>
    <n v="1.1176443834498162"/>
    <n v="-1226.0557739441549"/>
    <n v="-1112.3578959364004"/>
    <n v="-52.5"/>
    <n v="0"/>
    <x v="6"/>
    <m/>
  </r>
  <r>
    <d v="2018-11-22T00:00:00"/>
    <d v="2018-12-22T00:00:00"/>
    <x v="0"/>
    <x v="0"/>
    <x v="0"/>
    <s v="Maíz"/>
    <n v="100"/>
    <x v="2"/>
    <s v="Pulverización"/>
    <n v="1"/>
    <s v="U/ha"/>
    <n v="100"/>
    <n v="120"/>
    <s v="$"/>
    <n v="0"/>
    <n v="-12000"/>
    <n v="-10736.867806698745"/>
    <n v="-508.75530256752842"/>
    <n v="-12000"/>
    <n v="-10588.62702830251"/>
    <n v="-503.71812135398852"/>
    <n v="0"/>
    <n v="0"/>
    <n v="0"/>
    <s v="Egreso"/>
    <s v="Si"/>
    <s v="(-)"/>
    <n v="11"/>
    <n v="2018"/>
    <n v="23.586977746354219"/>
    <n v="1.1176443834498162"/>
    <n v="12"/>
    <n v="2018"/>
    <n v="23.82284752381776"/>
    <n v="1.1332914048181137"/>
    <n v="-120"/>
    <n v="-107.36867806698746"/>
    <n v="-5.0875530256752839"/>
    <n v="0"/>
    <x v="7"/>
    <m/>
  </r>
  <r>
    <d v="2018-11-22T00:00:00"/>
    <d v="2019-05-01T00:00:00"/>
    <x v="0"/>
    <x v="0"/>
    <x v="0"/>
    <s v="Maíz"/>
    <n v="100"/>
    <x v="3"/>
    <s v="Glifosato"/>
    <n v="3"/>
    <s v="L/ha"/>
    <n v="300"/>
    <n v="3"/>
    <s v="U$S"/>
    <n v="0.06"/>
    <n v="-21228.279971718795"/>
    <n v="-18993.769651661274"/>
    <n v="-900"/>
    <n v="-22534.246952579131"/>
    <n v="-18548.623221351791"/>
    <n v="-900"/>
    <n v="-600.91325206877684"/>
    <n v="-494.62995256938109"/>
    <n v="-22.609085646100958"/>
    <s v="Egreso"/>
    <s v="Si"/>
    <s v="(-)"/>
    <n v="11"/>
    <n v="2018"/>
    <n v="23.586977746354219"/>
    <n v="1.1176443834498162"/>
    <n v="5"/>
    <n v="2019"/>
    <n v="25.038052169532367"/>
    <n v="1.2148743701170979"/>
    <n v="-212.28279971718794"/>
    <n v="-189.93769651661273"/>
    <n v="-9"/>
    <n v="0"/>
    <x v="7"/>
    <m/>
  </r>
  <r>
    <d v="2018-11-22T00:00:00"/>
    <d v="2019-05-01T00:00:00"/>
    <x v="0"/>
    <x v="0"/>
    <x v="0"/>
    <s v="Maíz"/>
    <n v="100"/>
    <x v="3"/>
    <s v="2,4 D"/>
    <n v="0.5"/>
    <s v="L/ha"/>
    <n v="50"/>
    <n v="7"/>
    <s v="U$S"/>
    <n v="0.06"/>
    <n v="-8255.4422112239772"/>
    <n v="-7386.4659756460524"/>
    <n v="-350"/>
    <n v="-8763.318259336329"/>
    <n v="-7213.3534749701412"/>
    <n v="-350"/>
    <n v="-233.68848691563542"/>
    <n v="-192.35609266587042"/>
    <n v="-8.7924221957059281"/>
    <s v="Egreso"/>
    <s v="Si"/>
    <s v="(-)"/>
    <n v="11"/>
    <n v="2018"/>
    <n v="23.586977746354219"/>
    <n v="1.1176443834498162"/>
    <n v="5"/>
    <n v="2019"/>
    <n v="25.038052169532367"/>
    <n v="1.2148743701170979"/>
    <n v="-82.554422112239777"/>
    <n v="-73.864659756460526"/>
    <n v="-3.5"/>
    <n v="0"/>
    <x v="7"/>
    <m/>
  </r>
  <r>
    <d v="2018-11-22T00:00:00"/>
    <d v="2019-05-01T00:00:00"/>
    <x v="0"/>
    <x v="0"/>
    <x v="0"/>
    <s v="Maíz"/>
    <n v="100"/>
    <x v="4"/>
    <s v="Coad. Siliconado"/>
    <n v="0.1"/>
    <s v="L/ha"/>
    <n v="10"/>
    <n v="18"/>
    <s v="U$S"/>
    <n v="0.06"/>
    <n v="-4245.6559943437596"/>
    <n v="-3798.7539303322555"/>
    <n v="-180"/>
    <n v="-4506.8493905158257"/>
    <n v="-3709.7246442703577"/>
    <n v="-180"/>
    <n v="-120.18265041375534"/>
    <n v="-98.925990513876201"/>
    <n v="-4.5218171292201923"/>
    <s v="Egreso"/>
    <s v="Si"/>
    <s v="(-)"/>
    <n v="11"/>
    <n v="2018"/>
    <n v="23.586977746354219"/>
    <n v="1.1176443834498162"/>
    <n v="5"/>
    <n v="2019"/>
    <n v="25.038052169532367"/>
    <n v="1.2148743701170979"/>
    <n v="-42.456559943437597"/>
    <n v="-37.987539303322556"/>
    <n v="-1.8"/>
    <n v="0"/>
    <x v="7"/>
    <m/>
  </r>
  <r>
    <d v="2019-02-10T00:00:00"/>
    <d v="2019-03-12T00:00:00"/>
    <x v="0"/>
    <x v="0"/>
    <x v="0"/>
    <s v="Maíz"/>
    <n v="100"/>
    <x v="2"/>
    <s v="Pulverización Aérea"/>
    <n v="1"/>
    <s v="U/ha"/>
    <n v="100"/>
    <n v="11"/>
    <s v="U$S"/>
    <n v="0"/>
    <n v="-26731.855434951147"/>
    <n v="-22940.960589809645"/>
    <n v="-1100"/>
    <n v="-26999.17398930066"/>
    <n v="-22850.463703853791"/>
    <n v="-1100"/>
    <n v="0"/>
    <n v="0"/>
    <n v="0"/>
    <s v="Egreso"/>
    <s v="Si"/>
    <s v="(-)"/>
    <n v="2"/>
    <n v="2019"/>
    <n v="24.301686759046497"/>
    <n v="1.1652456892683654"/>
    <n v="3"/>
    <n v="2019"/>
    <n v="24.544703626636963"/>
    <n v="1.1815591289181224"/>
    <n v="-267.31855434951149"/>
    <n v="-229.40960589809646"/>
    <n v="-11"/>
    <n v="0"/>
    <x v="8"/>
    <m/>
  </r>
  <r>
    <d v="2019-02-10T00:00:00"/>
    <d v="2019-05-01T00:00:00"/>
    <x v="0"/>
    <x v="0"/>
    <x v="0"/>
    <s v="Maíz"/>
    <n v="100"/>
    <x v="8"/>
    <s v="Fungicida"/>
    <n v="0.7"/>
    <s v="L/ha"/>
    <n v="70"/>
    <n v="60"/>
    <s v="U$S"/>
    <n v="0.06"/>
    <n v="-102067.08438799529"/>
    <n v="-87592.758615636834"/>
    <n v="-4200"/>
    <n v="-105159.81911203594"/>
    <n v="-86560.241699641687"/>
    <n v="-4200"/>
    <n v="-1402.1309214938124"/>
    <n v="-1154.1365559952224"/>
    <n v="-54.353048283948077"/>
    <s v="Egreso"/>
    <s v="Si"/>
    <s v="(-)"/>
    <n v="2"/>
    <n v="2019"/>
    <n v="24.301686759046497"/>
    <n v="1.1652456892683654"/>
    <n v="5"/>
    <n v="2019"/>
    <n v="25.038052169532367"/>
    <n v="1.2148743701170979"/>
    <n v="-1020.6708438799528"/>
    <n v="-875.92758615636831"/>
    <n v="-42"/>
    <n v="0"/>
    <x v="8"/>
    <m/>
  </r>
  <r>
    <d v="2019-02-10T00:00:00"/>
    <d v="2019-05-01T00:00:00"/>
    <x v="0"/>
    <x v="0"/>
    <x v="0"/>
    <s v="Maíz"/>
    <n v="100"/>
    <x v="5"/>
    <s v="Cipermetrina"/>
    <n v="0.5"/>
    <s v="L/ha"/>
    <n v="50"/>
    <n v="10"/>
    <s v="U$S"/>
    <n v="0.06"/>
    <n v="-12150.843379523249"/>
    <n v="-10427.709359004384"/>
    <n v="-500"/>
    <n v="-12519.026084766183"/>
    <n v="-10304.790678528772"/>
    <n v="-500"/>
    <n v="-166.92034779688242"/>
    <n v="-137.39720904705027"/>
    <n v="-6.4706009861842952"/>
    <s v="Egreso"/>
    <s v="Si"/>
    <s v="(-)"/>
    <n v="2"/>
    <n v="2019"/>
    <n v="24.301686759046497"/>
    <n v="1.1652456892683654"/>
    <n v="5"/>
    <n v="2019"/>
    <n v="25.038052169532367"/>
    <n v="1.2148743701170979"/>
    <n v="-121.50843379523249"/>
    <n v="-104.27709359004385"/>
    <n v="-5"/>
    <n v="0"/>
    <x v="8"/>
    <m/>
  </r>
  <r>
    <d v="2019-02-10T00:00:00"/>
    <d v="2019-05-01T00:00:00"/>
    <x v="0"/>
    <x v="0"/>
    <x v="0"/>
    <s v="Maíz"/>
    <n v="100"/>
    <x v="4"/>
    <s v="Coad. Siliconado"/>
    <n v="0.1"/>
    <s v="L/ha"/>
    <n v="10"/>
    <n v="18"/>
    <s v="U$S"/>
    <n v="0.06"/>
    <n v="-4374.3036166283691"/>
    <n v="-3753.9753692415784"/>
    <n v="-180"/>
    <n v="-4506.8493905158257"/>
    <n v="-3709.7246442703577"/>
    <n v="-180"/>
    <n v="-60.09132520687767"/>
    <n v="-49.4629952569381"/>
    <n v="-2.3294163550263458"/>
    <s v="Egreso"/>
    <s v="Si"/>
    <s v="(-)"/>
    <n v="2"/>
    <n v="2019"/>
    <n v="24.301686759046497"/>
    <n v="1.1652456892683654"/>
    <n v="5"/>
    <n v="2019"/>
    <n v="25.038052169532367"/>
    <n v="1.2148743701170979"/>
    <n v="-43.743036166283694"/>
    <n v="-37.539753692415786"/>
    <n v="-1.8"/>
    <n v="0"/>
    <x v="8"/>
    <m/>
  </r>
  <r>
    <d v="2018-12-02T00:00:00"/>
    <d v="2018-12-02T00:00:00"/>
    <x v="0"/>
    <x v="0"/>
    <x v="0"/>
    <s v="Maíz"/>
    <n v="100"/>
    <x v="9"/>
    <s v="Gerenciamiento"/>
    <n v="1"/>
    <s v="U/ha"/>
    <n v="100"/>
    <n v="60"/>
    <s v="U$S"/>
    <m/>
    <n v="-142937.08514290655"/>
    <n v="-126125.62359091312"/>
    <n v="-6000"/>
    <n v="-142937.08514290655"/>
    <n v="-126125.62359091312"/>
    <n v="-6000"/>
    <n v="0"/>
    <n v="0"/>
    <n v="0"/>
    <s v="Egreso"/>
    <s v="Si"/>
    <s v="(-)"/>
    <n v="12"/>
    <n v="2018"/>
    <n v="23.82284752381776"/>
    <n v="1.1332914048181137"/>
    <n v="12"/>
    <n v="2018"/>
    <n v="23.82284752381776"/>
    <n v="1.1332914048181137"/>
    <n v="-1429.3708514290656"/>
    <n v="-1261.2562359091312"/>
    <n v="-60"/>
    <n v="0"/>
    <x v="9"/>
    <m/>
  </r>
  <r>
    <d v="2018-07-05T00:00:00"/>
    <d v="2018-07-05T00:00:00"/>
    <x v="0"/>
    <x v="0"/>
    <x v="0"/>
    <s v="Maíz"/>
    <n v="100"/>
    <x v="10"/>
    <s v="Cuota 1"/>
    <n v="0.2"/>
    <s v="Tn/ha"/>
    <n v="20"/>
    <n v="280"/>
    <s v="U$S"/>
    <m/>
    <n v="-126933.08320000001"/>
    <n v="-120066.82022113088"/>
    <n v="-5600"/>
    <n v="-126933.08320000001"/>
    <n v="-120066.82022113088"/>
    <n v="-5600"/>
    <n v="0"/>
    <n v="0"/>
    <n v="0"/>
    <s v="Egreso"/>
    <s v="Si"/>
    <s v="(-)"/>
    <n v="7"/>
    <n v="2018"/>
    <n v="22.666622"/>
    <n v="1.0571870144160003"/>
    <n v="7"/>
    <n v="2018"/>
    <n v="22.666622"/>
    <n v="1.0571870144160003"/>
    <n v="-1269.3308320000001"/>
    <n v="-1200.6682022113089"/>
    <n v="-56"/>
    <n v="0"/>
    <x v="10"/>
    <m/>
  </r>
  <r>
    <d v="2018-10-03T00:00:00"/>
    <d v="2018-10-03T00:00:00"/>
    <x v="0"/>
    <x v="0"/>
    <x v="0"/>
    <s v="Maíz"/>
    <n v="100"/>
    <x v="10"/>
    <s v="Cuota 2"/>
    <n v="0.2"/>
    <s v="Tn/ha"/>
    <n v="20"/>
    <n v="280"/>
    <s v="U$S"/>
    <m/>
    <n v="-130779.28255404319"/>
    <n v="-118651.50889988273"/>
    <n v="-5600"/>
    <n v="-130779.28255404319"/>
    <n v="-118651.50889988273"/>
    <n v="-5600"/>
    <n v="0"/>
    <n v="0"/>
    <n v="0"/>
    <s v="Egreso"/>
    <s v="Si"/>
    <s v="(-)"/>
    <n v="10"/>
    <n v="2018"/>
    <n v="23.353443313221998"/>
    <n v="1.1022133959071165"/>
    <n v="10"/>
    <n v="2018"/>
    <n v="23.353443313221998"/>
    <n v="1.1022133959071165"/>
    <n v="-1307.792825540432"/>
    <n v="-1186.5150889988272"/>
    <n v="-56"/>
    <n v="0"/>
    <x v="10"/>
    <m/>
  </r>
  <r>
    <d v="2019-01-01T00:00:00"/>
    <d v="2019-01-01T00:00:00"/>
    <x v="0"/>
    <x v="0"/>
    <x v="0"/>
    <s v="Maíz"/>
    <n v="100"/>
    <x v="10"/>
    <s v="Cuota 3"/>
    <n v="0.2"/>
    <s v="Tn/ha"/>
    <n v="20"/>
    <n v="280"/>
    <s v="U$S"/>
    <m/>
    <n v="-134742.02559471325"/>
    <n v="-117252.88083994159"/>
    <n v="-5600"/>
    <n v="-134742.02559471325"/>
    <n v="-117252.88083994159"/>
    <n v="-5600"/>
    <n v="0"/>
    <n v="0"/>
    <n v="0"/>
    <s v="Egreso"/>
    <s v="Si"/>
    <s v="(-)"/>
    <n v="1"/>
    <n v="2019"/>
    <n v="24.061075999055937"/>
    <n v="1.1491574844855674"/>
    <n v="1"/>
    <n v="2019"/>
    <n v="24.061075999055937"/>
    <n v="1.1491574844855674"/>
    <n v="-1347.4202559471325"/>
    <n v="-1172.5288083994158"/>
    <n v="-56"/>
    <n v="0"/>
    <x v="10"/>
    <m/>
  </r>
  <r>
    <d v="2019-04-01T00:00:00"/>
    <d v="2019-04-01T00:00:00"/>
    <x v="0"/>
    <x v="0"/>
    <x v="0"/>
    <s v="Maíz"/>
    <n v="100"/>
    <x v="10"/>
    <s v="Cuota 3"/>
    <n v="0.2"/>
    <s v="Tn/ha"/>
    <n v="20"/>
    <n v="280"/>
    <s v="U$S"/>
    <m/>
    <n v="-138824.84371225868"/>
    <n v="-115870.73938407483"/>
    <n v="-5600"/>
    <n v="-138824.84371225868"/>
    <n v="-115870.73938407483"/>
    <n v="-5600"/>
    <n v="0"/>
    <n v="0"/>
    <n v="0"/>
    <s v="Egreso"/>
    <s v="Si"/>
    <s v="(-)"/>
    <n v="4"/>
    <n v="2019"/>
    <n v="24.790150662903333"/>
    <n v="1.1981009567229761"/>
    <n v="4"/>
    <n v="2019"/>
    <n v="24.790150662903333"/>
    <n v="1.1981009567229761"/>
    <n v="-1388.2484371225867"/>
    <n v="-1158.7073938407482"/>
    <n v="-56"/>
    <n v="0"/>
    <x v="10"/>
    <m/>
  </r>
  <r>
    <d v="2019-04-01T00:00:00"/>
    <m/>
    <x v="0"/>
    <x v="0"/>
    <x v="0"/>
    <s v="Maíz"/>
    <n v="100"/>
    <x v="11"/>
    <m/>
    <n v="0"/>
    <s v="Tn/ha"/>
    <n v="0"/>
    <n v="280"/>
    <s v="U$S"/>
    <m/>
    <n v="0"/>
    <n v="0"/>
    <n v="0"/>
    <n v="0"/>
    <n v="0"/>
    <n v="0"/>
    <n v="0"/>
    <n v="0"/>
    <n v="0"/>
    <s v="Egreso Cesión"/>
    <s v="No"/>
    <s v="(-)"/>
    <n v="4"/>
    <n v="2019"/>
    <n v="24.790150662903333"/>
    <n v="1.1981009567229761"/>
    <n v="0"/>
    <n v="0"/>
    <n v="0"/>
    <n v="0"/>
    <n v="0"/>
    <n v="0"/>
    <n v="0"/>
    <n v="0"/>
    <x v="10"/>
    <s v="Valor del Campo Propio"/>
  </r>
  <r>
    <d v="2019-05-01T00:00:00"/>
    <m/>
    <x v="0"/>
    <x v="0"/>
    <x v="1"/>
    <s v="Soja"/>
    <n v="110"/>
    <x v="0"/>
    <s v="Soja"/>
    <n v="3.2"/>
    <s v="Tn/ha"/>
    <n v="352"/>
    <n v="230"/>
    <s v="U$S"/>
    <m/>
    <n v="2027080.7036453404"/>
    <n v="1668551.7066673788"/>
    <n v="80960"/>
    <n v="0"/>
    <n v="0"/>
    <n v="0"/>
    <n v="0"/>
    <n v="0"/>
    <n v="0"/>
    <s v="Ingreso Cesión"/>
    <s v="No"/>
    <s v="(+)"/>
    <n v="5"/>
    <n v="2019"/>
    <n v="25.038052169532367"/>
    <n v="1.2148743701170979"/>
    <n v="0"/>
    <n v="0"/>
    <n v="0"/>
    <n v="0"/>
    <n v="18428.006396775821"/>
    <n v="15168.651878794353"/>
    <n v="736"/>
    <n v="0"/>
    <x v="0"/>
    <s v="Valor Neto de Realización | Fecha de Cosecha"/>
  </r>
  <r>
    <d v="2019-05-01T00:00:00"/>
    <d v="2019-06-01T00:00:00"/>
    <x v="0"/>
    <x v="0"/>
    <x v="1"/>
    <s v="Soja"/>
    <n v="110"/>
    <x v="1"/>
    <s v="Cosecha"/>
    <n v="0.5"/>
    <s v="U/ha"/>
    <n v="55"/>
    <n v="70"/>
    <s v="U$S"/>
    <n v="0"/>
    <n v="-96396.50085269961"/>
    <n v="-79346.888224671537"/>
    <n v="-3850"/>
    <n v="-97360.465861226607"/>
    <n v="-79033.882748440097"/>
    <n v="-3850"/>
    <n v="0"/>
    <n v="0"/>
    <n v="0"/>
    <s v="Egreso"/>
    <s v="Si"/>
    <s v="(-)"/>
    <n v="5"/>
    <n v="2019"/>
    <n v="25.038052169532367"/>
    <n v="1.2148743701170979"/>
    <n v="6"/>
    <n v="2019"/>
    <n v="25.28843269122769"/>
    <n v="1.2318826112987373"/>
    <n v="-876.33182593363279"/>
    <n v="-721.33534749701391"/>
    <n v="-35"/>
    <n v="0"/>
    <x v="1"/>
    <m/>
  </r>
  <r>
    <d v="2018-06-15T00:00:00"/>
    <d v="2018-07-15T00:00:00"/>
    <x v="0"/>
    <x v="0"/>
    <x v="1"/>
    <s v="Soja"/>
    <n v="110"/>
    <x v="2"/>
    <s v="Pulverización"/>
    <n v="1"/>
    <s v="U/ha"/>
    <n v="110"/>
    <n v="120"/>
    <s v="$"/>
    <n v="0"/>
    <n v="-13200"/>
    <n v="-12660.768452016871"/>
    <n v="-588.17762964415249"/>
    <n v="-13200"/>
    <n v="-12485.964942817425"/>
    <n v="-582.35408875658663"/>
    <n v="0"/>
    <n v="0"/>
    <n v="0"/>
    <s v="Egreso"/>
    <s v="Si"/>
    <s v="(-)"/>
    <n v="6"/>
    <n v="2018"/>
    <n v="22.4422"/>
    <n v="1.0425907440000002"/>
    <n v="7"/>
    <n v="2018"/>
    <n v="22.666622"/>
    <n v="1.0571870144160003"/>
    <n v="-120"/>
    <n v="-115.09789501833519"/>
    <n v="-5.3470693604013864"/>
    <n v="0"/>
    <x v="2"/>
    <m/>
  </r>
  <r>
    <d v="2018-06-15T00:00:00"/>
    <d v="2019-05-01T00:00:00"/>
    <x v="0"/>
    <x v="0"/>
    <x v="1"/>
    <s v="Soja"/>
    <n v="110"/>
    <x v="3"/>
    <s v="Glifosato"/>
    <n v="3"/>
    <s v="L/ha"/>
    <n v="330"/>
    <n v="3"/>
    <s v="U$S"/>
    <n v="0.06"/>
    <n v="-22217.777999999998"/>
    <n v="-21310.162331538973"/>
    <n v="-990"/>
    <n v="-24787.671647837044"/>
    <n v="-20403.485543486968"/>
    <n v="-990"/>
    <n v="-1322.0091545513089"/>
    <n v="-1088.1858956526382"/>
    <n v="-47.32589228494011"/>
    <s v="Egreso"/>
    <s v="Si"/>
    <s v="(-)"/>
    <n v="6"/>
    <n v="2018"/>
    <n v="22.4422"/>
    <n v="1.0425907440000002"/>
    <n v="5"/>
    <n v="2019"/>
    <n v="25.038052169532367"/>
    <n v="1.2148743701170979"/>
    <n v="-201.97979999999998"/>
    <n v="-193.72874846853611"/>
    <n v="-9"/>
    <n v="0"/>
    <x v="2"/>
    <m/>
  </r>
  <r>
    <d v="2018-06-15T00:00:00"/>
    <d v="2019-05-01T00:00:00"/>
    <x v="0"/>
    <x v="0"/>
    <x v="1"/>
    <s v="Soja"/>
    <n v="110"/>
    <x v="3"/>
    <s v="2,4 D"/>
    <n v="0.5"/>
    <s v="L/ha"/>
    <n v="55"/>
    <n v="7"/>
    <s v="U$S"/>
    <n v="0.06"/>
    <n v="-8640.2469999999994"/>
    <n v="-8287.2853511540452"/>
    <n v="-385"/>
    <n v="-9639.650085269961"/>
    <n v="-7934.6888224671538"/>
    <n v="-385"/>
    <n v="-514.11467121439784"/>
    <n v="-423.18340386491485"/>
    <n v="-18.404513666365595"/>
    <s v="Egreso"/>
    <s v="Si"/>
    <s v="(-)"/>
    <n v="6"/>
    <n v="2018"/>
    <n v="22.4422"/>
    <n v="1.0425907440000002"/>
    <n v="5"/>
    <n v="2019"/>
    <n v="25.038052169532367"/>
    <n v="1.2148743701170979"/>
    <n v="-78.547699999999992"/>
    <n v="-75.338957737764048"/>
    <n v="-3.5"/>
    <n v="0"/>
    <x v="2"/>
    <m/>
  </r>
  <r>
    <d v="2018-06-15T00:00:00"/>
    <d v="2019-05-01T00:00:00"/>
    <x v="0"/>
    <x v="0"/>
    <x v="1"/>
    <s v="Soja"/>
    <n v="110"/>
    <x v="4"/>
    <s v="Coad. Siliconado"/>
    <n v="0.1"/>
    <s v="L/ha"/>
    <n v="11"/>
    <n v="18"/>
    <s v="U$S"/>
    <n v="0.06"/>
    <n v="-4443.5555999999997"/>
    <n v="-4262.0324663077954"/>
    <n v="-198"/>
    <n v="-4957.5343295674083"/>
    <n v="-4080.6971086973936"/>
    <n v="-198"/>
    <n v="-264.40183091026176"/>
    <n v="-217.63717913052764"/>
    <n v="-9.4651784569880224"/>
    <s v="Egreso"/>
    <s v="Si"/>
    <s v="(-)"/>
    <n v="6"/>
    <n v="2018"/>
    <n v="22.4422"/>
    <n v="1.0425907440000002"/>
    <n v="5"/>
    <n v="2019"/>
    <n v="25.038052169532367"/>
    <n v="1.2148743701170979"/>
    <n v="-40.395959999999995"/>
    <n v="-38.745749693707232"/>
    <n v="-1.8"/>
    <n v="0"/>
    <x v="2"/>
    <m/>
  </r>
  <r>
    <d v="2018-07-30T00:00:00"/>
    <d v="2018-08-29T00:00:00"/>
    <x v="0"/>
    <x v="0"/>
    <x v="1"/>
    <s v="Soja"/>
    <n v="110"/>
    <x v="2"/>
    <s v="Pulverización"/>
    <n v="1"/>
    <s v="U/ha"/>
    <n v="110"/>
    <n v="120"/>
    <s v="$"/>
    <n v="0"/>
    <n v="-13200"/>
    <n v="-12485.964942817425"/>
    <n v="-582.35408875658663"/>
    <n v="-13200"/>
    <n v="-12313.574894297262"/>
    <n v="-576.58820668968986"/>
    <n v="0"/>
    <n v="0"/>
    <n v="0"/>
    <s v="Egreso"/>
    <s v="Si"/>
    <s v="(-)"/>
    <n v="7"/>
    <n v="2018"/>
    <n v="22.666622"/>
    <n v="1.0571870144160003"/>
    <n v="8"/>
    <n v="2018"/>
    <n v="22.893288219999999"/>
    <n v="1.0719876326178244"/>
    <n v="-120"/>
    <n v="-113.50877220743114"/>
    <n v="-5.2941280796053327"/>
    <n v="0"/>
    <x v="3"/>
    <m/>
  </r>
  <r>
    <d v="2018-07-30T00:00:00"/>
    <d v="2019-05-01T00:00:00"/>
    <x v="0"/>
    <x v="0"/>
    <x v="1"/>
    <s v="Soja"/>
    <n v="110"/>
    <x v="3"/>
    <s v="Glifosato"/>
    <n v="3"/>
    <s v="L/ha"/>
    <n v="330"/>
    <n v="3"/>
    <s v="U$S"/>
    <n v="0.06"/>
    <n v="-22439.95578"/>
    <n v="-21226.098574807067"/>
    <n v="-990"/>
    <n v="-24787.671647837044"/>
    <n v="-20403.485543486968"/>
    <n v="-990"/>
    <n v="-1136.1016171925312"/>
    <n v="-935.15975407648614"/>
    <n v="-41.07739556919411"/>
    <s v="Egreso"/>
    <s v="Si"/>
    <s v="(-)"/>
    <n v="7"/>
    <n v="2018"/>
    <n v="22.666622"/>
    <n v="1.0571870144160003"/>
    <n v="5"/>
    <n v="2019"/>
    <n v="25.038052169532367"/>
    <n v="1.2148743701170979"/>
    <n v="-203.99959799999999"/>
    <n v="-192.96453249824606"/>
    <n v="-9"/>
    <n v="0"/>
    <x v="3"/>
    <m/>
  </r>
  <r>
    <d v="2018-07-30T00:00:00"/>
    <d v="2019-05-01T00:00:00"/>
    <x v="0"/>
    <x v="0"/>
    <x v="1"/>
    <s v="Soja"/>
    <n v="110"/>
    <x v="3"/>
    <s v="2,4 D"/>
    <n v="0.5"/>
    <s v="L/ha"/>
    <n v="55"/>
    <n v="7"/>
    <s v="U$S"/>
    <n v="0.06"/>
    <n v="-8726.6494700000003"/>
    <n v="-8254.5938902027483"/>
    <n v="-385"/>
    <n v="-9639.650085269961"/>
    <n v="-7934.6888224671538"/>
    <n v="-385"/>
    <n v="-441.81729557487319"/>
    <n v="-363.67323769641121"/>
    <n v="-15.974542721353266"/>
    <s v="Egreso"/>
    <s v="Si"/>
    <s v="(-)"/>
    <n v="7"/>
    <n v="2018"/>
    <n v="22.666622"/>
    <n v="1.0571870144160003"/>
    <n v="5"/>
    <n v="2019"/>
    <n v="25.038052169532367"/>
    <n v="1.2148743701170979"/>
    <n v="-79.333177000000006"/>
    <n v="-75.041762638206805"/>
    <n v="-3.5"/>
    <n v="0"/>
    <x v="3"/>
    <m/>
  </r>
  <r>
    <d v="2018-07-30T00:00:00"/>
    <d v="2019-05-01T00:00:00"/>
    <x v="0"/>
    <x v="0"/>
    <x v="1"/>
    <s v="Soja"/>
    <n v="110"/>
    <x v="3"/>
    <s v="Atrazina"/>
    <n v="1"/>
    <s v="Kg/ha"/>
    <n v="110"/>
    <n v="8"/>
    <s v="U$S"/>
    <n v="0.06"/>
    <n v="-19946.627359999999"/>
    <n v="-18867.643177606278"/>
    <n v="-880"/>
    <n v="-22033.485909188483"/>
    <n v="-18136.43159421064"/>
    <n v="-880"/>
    <n v="-1009.8681041711387"/>
    <n v="-831.25311473465422"/>
    <n v="-36.513240505950321"/>
    <s v="Egreso"/>
    <s v="Si"/>
    <s v="(-)"/>
    <n v="7"/>
    <n v="2018"/>
    <n v="22.666622"/>
    <n v="1.0571870144160003"/>
    <n v="5"/>
    <n v="2019"/>
    <n v="25.038052169532367"/>
    <n v="1.2148743701170979"/>
    <n v="-181.33297599999997"/>
    <n v="-171.52402888732979"/>
    <n v="-8"/>
    <n v="0"/>
    <x v="3"/>
    <m/>
  </r>
  <r>
    <d v="2018-07-30T00:00:00"/>
    <d v="2019-05-01T00:00:00"/>
    <x v="0"/>
    <x v="0"/>
    <x v="1"/>
    <s v="Soja"/>
    <n v="110"/>
    <x v="4"/>
    <s v="Coad. Siliconado"/>
    <n v="0.1"/>
    <s v="L/ha"/>
    <n v="11"/>
    <n v="18"/>
    <s v="U$S"/>
    <n v="0.06"/>
    <n v="-4487.991156"/>
    <n v="-4245.219714961413"/>
    <n v="-198"/>
    <n v="-4957.5343295674083"/>
    <n v="-4080.6971086973936"/>
    <n v="-198"/>
    <n v="-227.2203234385062"/>
    <n v="-187.03195081529719"/>
    <n v="-8.215479113838823"/>
    <s v="Egreso"/>
    <s v="Si"/>
    <s v="(-)"/>
    <n v="7"/>
    <n v="2018"/>
    <n v="22.666622"/>
    <n v="1.0571870144160003"/>
    <n v="5"/>
    <n v="2019"/>
    <n v="25.038052169532367"/>
    <n v="1.2148743701170979"/>
    <n v="-40.799919600000003"/>
    <n v="-38.59290649964921"/>
    <n v="-1.8"/>
    <n v="0"/>
    <x v="3"/>
    <m/>
  </r>
  <r>
    <d v="2018-09-18T00:00:00"/>
    <d v="2018-10-18T00:00:00"/>
    <x v="0"/>
    <x v="0"/>
    <x v="1"/>
    <s v="Soja"/>
    <n v="110"/>
    <x v="2"/>
    <s v="Pulverización"/>
    <n v="1"/>
    <s v="U/ha"/>
    <n v="110"/>
    <n v="120"/>
    <s v="$"/>
    <n v="0"/>
    <n v="-13200"/>
    <n v="-12143.564984514065"/>
    <n v="-570.87941256404929"/>
    <n v="-13200"/>
    <n v="-11975.902351591782"/>
    <n v="-565.22714115252404"/>
    <n v="0"/>
    <n v="0"/>
    <n v="0"/>
    <s v="Egreso"/>
    <s v="Si"/>
    <s v="(-)"/>
    <n v="9"/>
    <n v="2018"/>
    <n v="23.122221102199997"/>
    <n v="1.086995459474474"/>
    <n v="10"/>
    <n v="2018"/>
    <n v="23.353443313221998"/>
    <n v="1.1022133959071165"/>
    <n v="-120"/>
    <n v="-110.39604531376423"/>
    <n v="-5.1898128414913574"/>
    <n v="0"/>
    <x v="4"/>
    <m/>
  </r>
  <r>
    <d v="2018-09-18T00:00:00"/>
    <d v="2019-05-01T00:00:00"/>
    <x v="0"/>
    <x v="0"/>
    <x v="1"/>
    <s v="Soja"/>
    <n v="110"/>
    <x v="3"/>
    <s v="Glifosato"/>
    <n v="3"/>
    <s v="L/ha"/>
    <n v="330"/>
    <n v="3"/>
    <s v="U$S"/>
    <n v="0.06"/>
    <n v="-22890.998891177998"/>
    <n v="-21058.964590565109"/>
    <n v="-990"/>
    <n v="-24787.671647837044"/>
    <n v="-20403.485543486968"/>
    <n v="-990"/>
    <n v="-929.53768679388907"/>
    <n v="-765.13070788076129"/>
    <n v="-34.284314634655836"/>
    <s v="Egreso"/>
    <s v="Si"/>
    <s v="(-)"/>
    <n v="9"/>
    <n v="2018"/>
    <n v="23.122221102199997"/>
    <n v="1.086995459474474"/>
    <n v="5"/>
    <n v="2019"/>
    <n v="25.038052169532367"/>
    <n v="1.2148743701170979"/>
    <n v="-208.09998991979998"/>
    <n v="-191.44513264150098"/>
    <n v="-9"/>
    <n v="0"/>
    <x v="4"/>
    <m/>
  </r>
  <r>
    <d v="2018-09-18T00:00:00"/>
    <d v="2019-05-01T00:00:00"/>
    <x v="0"/>
    <x v="0"/>
    <x v="1"/>
    <s v="Soja"/>
    <n v="110"/>
    <x v="3"/>
    <m/>
    <n v="0.5"/>
    <s v="L/ha"/>
    <n v="55"/>
    <n v="7"/>
    <s v="U$S"/>
    <n v="0.06"/>
    <n v="-8902.0551243469981"/>
    <n v="-8189.597340775319"/>
    <n v="-385"/>
    <n v="-9639.650085269961"/>
    <n v="-7934.6888224671538"/>
    <n v="-385"/>
    <n v="-361.48687819762353"/>
    <n v="-297.55083084251828"/>
    <n v="-13.332789024588381"/>
    <s v="Egreso"/>
    <s v="Si"/>
    <s v="(-)"/>
    <n v="9"/>
    <n v="2018"/>
    <n v="23.122221102199997"/>
    <n v="1.086995459474474"/>
    <n v="5"/>
    <n v="2019"/>
    <n v="25.038052169532367"/>
    <n v="1.2148743701170979"/>
    <n v="-80.927773857699989"/>
    <n v="-74.450884916139259"/>
    <n v="-3.5"/>
    <n v="0"/>
    <x v="4"/>
    <m/>
  </r>
  <r>
    <d v="2018-09-18T00:00:00"/>
    <d v="2019-05-01T00:00:00"/>
    <x v="0"/>
    <x v="0"/>
    <x v="1"/>
    <s v="Soja"/>
    <n v="110"/>
    <x v="3"/>
    <m/>
    <n v="1"/>
    <s v="L/ha"/>
    <n v="110"/>
    <n v="8"/>
    <s v="U$S"/>
    <n v="0.06"/>
    <n v="-20347.554569935997"/>
    <n v="-18719.079636057875"/>
    <n v="-880"/>
    <n v="-22033.485909188483"/>
    <n v="-18136.43159421064"/>
    <n v="-880"/>
    <n v="-826.25572159456806"/>
    <n v="-680.11618478289893"/>
    <n v="-30.474946341916301"/>
    <s v="Egreso"/>
    <s v="Si"/>
    <s v="(-)"/>
    <n v="9"/>
    <n v="2018"/>
    <n v="23.122221102199997"/>
    <n v="1.086995459474474"/>
    <n v="5"/>
    <n v="2019"/>
    <n v="25.038052169532367"/>
    <n v="1.2148743701170979"/>
    <n v="-184.97776881759998"/>
    <n v="-170.17345123688978"/>
    <n v="-8"/>
    <n v="0"/>
    <x v="4"/>
    <m/>
  </r>
  <r>
    <d v="2018-09-18T00:00:00"/>
    <d v="2019-05-01T00:00:00"/>
    <x v="0"/>
    <x v="0"/>
    <x v="1"/>
    <s v="Soja"/>
    <n v="110"/>
    <x v="5"/>
    <s v="Cipermetrina"/>
    <n v="0.5"/>
    <s v="L/ha"/>
    <n v="55"/>
    <n v="10"/>
    <s v="U$S"/>
    <n v="0.06"/>
    <n v="-12717.221606209998"/>
    <n v="-11699.424772536171"/>
    <n v="-550"/>
    <n v="-13770.928693242802"/>
    <n v="-11335.269746381649"/>
    <n v="-550"/>
    <n v="-516.40982599660504"/>
    <n v="-425.07261548931183"/>
    <n v="-19.046841463697685"/>
    <s v="Egreso"/>
    <s v="Si"/>
    <s v="(-)"/>
    <n v="9"/>
    <n v="2018"/>
    <n v="23.122221102199997"/>
    <n v="1.086995459474474"/>
    <n v="5"/>
    <n v="2019"/>
    <n v="25.038052169532367"/>
    <n v="1.2148743701170979"/>
    <n v="-115.61110551099998"/>
    <n v="-106.3584070230561"/>
    <n v="-5"/>
    <n v="0"/>
    <x v="4"/>
    <m/>
  </r>
  <r>
    <d v="2018-09-18T00:00:00"/>
    <d v="2019-05-01T00:00:00"/>
    <x v="0"/>
    <x v="0"/>
    <x v="1"/>
    <s v="Soja"/>
    <n v="110"/>
    <x v="4"/>
    <s v="Coad. Siliconado"/>
    <n v="0.1"/>
    <s v="L/ha"/>
    <n v="11"/>
    <n v="18"/>
    <s v="U$S"/>
    <n v="0.06"/>
    <n v="-4578.1997782355993"/>
    <n v="-4211.7929181130212"/>
    <n v="-198"/>
    <n v="-4957.5343295674083"/>
    <n v="-4080.6971086973936"/>
    <n v="-198"/>
    <n v="-185.9075373587778"/>
    <n v="-153.02614157615224"/>
    <n v="-6.8568629269311669"/>
    <s v="Egreso"/>
    <s v="Si"/>
    <s v="(-)"/>
    <n v="9"/>
    <n v="2018"/>
    <n v="23.122221102199997"/>
    <n v="1.086995459474474"/>
    <n v="5"/>
    <n v="2019"/>
    <n v="25.038052169532367"/>
    <n v="1.2148743701170979"/>
    <n v="-41.619997983959991"/>
    <n v="-38.289026528300191"/>
    <n v="-1.8"/>
    <n v="0"/>
    <x v="4"/>
    <m/>
  </r>
  <r>
    <d v="2018-09-23T00:00:00"/>
    <d v="2018-10-23T00:00:00"/>
    <x v="0"/>
    <x v="0"/>
    <x v="1"/>
    <s v="Soja"/>
    <n v="110"/>
    <x v="2"/>
    <s v="Siembra"/>
    <n v="1"/>
    <s v="U/ha"/>
    <n v="110"/>
    <n v="800"/>
    <s v="$"/>
    <n v="0"/>
    <n v="-88000"/>
    <n v="-80957.099896760439"/>
    <n v="-3805.8627504269957"/>
    <n v="-88000"/>
    <n v="-79839.34901061187"/>
    <n v="-3768.1809410168271"/>
    <n v="0"/>
    <n v="0"/>
    <n v="0"/>
    <s v="Egreso"/>
    <s v="Si"/>
    <s v="(-)"/>
    <n v="9"/>
    <n v="2018"/>
    <n v="23.122221102199997"/>
    <n v="1.086995459474474"/>
    <n v="10"/>
    <n v="2018"/>
    <n v="23.353443313221998"/>
    <n v="1.1022133959071165"/>
    <n v="-800"/>
    <n v="-735.97363542509493"/>
    <n v="-34.598752276609055"/>
    <n v="0"/>
    <x v="5"/>
    <m/>
  </r>
  <r>
    <d v="2018-09-23T00:00:00"/>
    <d v="2019-05-01T00:00:00"/>
    <x v="0"/>
    <x v="0"/>
    <x v="1"/>
    <s v="Soja"/>
    <n v="110"/>
    <x v="6"/>
    <s v="Soja RR"/>
    <n v="80"/>
    <s v="Kg/ha"/>
    <n v="8800"/>
    <n v="0.6"/>
    <s v="U$S"/>
    <n v="0.06"/>
    <n v="-122085.32741961599"/>
    <n v="-112314.47781634725"/>
    <n v="-5280"/>
    <n v="-132200.91545513089"/>
    <n v="-108818.58956526383"/>
    <n v="-5280"/>
    <n v="-4847.3669000214659"/>
    <n v="-3990.0149507263404"/>
    <n v="-178.78635187257564"/>
    <s v="Egreso"/>
    <s v="Si"/>
    <s v="(-)"/>
    <n v="9"/>
    <n v="2018"/>
    <n v="23.122221102199997"/>
    <n v="1.086995459474474"/>
    <n v="5"/>
    <n v="2019"/>
    <n v="25.038052169532367"/>
    <n v="1.2148743701170979"/>
    <n v="-1109.8666129055998"/>
    <n v="-1021.0407074213387"/>
    <n v="-48"/>
    <n v="0"/>
    <x v="5"/>
    <m/>
  </r>
  <r>
    <d v="2018-09-23T00:00:00"/>
    <d v="2018-10-23T00:00:00"/>
    <x v="0"/>
    <x v="0"/>
    <x v="1"/>
    <s v="Soja"/>
    <n v="110"/>
    <x v="7"/>
    <s v="MAP"/>
    <n v="50"/>
    <s v="Kg/ha"/>
    <n v="5500"/>
    <n v="0.6"/>
    <s v="U$S"/>
    <n v="0"/>
    <n v="-76303.329637259987"/>
    <n v="-70196.548635217026"/>
    <n v="-3300"/>
    <n v="-77066.362933632598"/>
    <n v="-69919.639173145173"/>
    <n v="-3300"/>
    <n v="0"/>
    <n v="0"/>
    <n v="0"/>
    <s v="Egreso"/>
    <s v="Si"/>
    <s v="(-)"/>
    <n v="9"/>
    <n v="2018"/>
    <n v="23.122221102199997"/>
    <n v="1.086995459474474"/>
    <n v="10"/>
    <n v="2018"/>
    <n v="23.353443313221998"/>
    <n v="1.1022133959071165"/>
    <n v="-693.66663306599992"/>
    <n v="-638.15044213833664"/>
    <n v="-30"/>
    <n v="0"/>
    <x v="5"/>
    <m/>
  </r>
  <r>
    <d v="2018-09-23T00:00:00"/>
    <d v="2018-10-23T00:00:00"/>
    <x v="0"/>
    <x v="0"/>
    <x v="1"/>
    <s v="Soja"/>
    <n v="110"/>
    <x v="7"/>
    <s v="UREA"/>
    <n v="0"/>
    <s v="Kg/ha"/>
    <n v="0"/>
    <n v="0.45"/>
    <s v="U$S"/>
    <n v="0"/>
    <n v="0"/>
    <n v="0"/>
    <n v="0"/>
    <n v="0"/>
    <n v="0"/>
    <n v="0"/>
    <n v="0"/>
    <n v="0"/>
    <n v="0"/>
    <s v="Egreso"/>
    <s v="Si"/>
    <s v="(-)"/>
    <n v="9"/>
    <n v="2018"/>
    <n v="23.122221102199997"/>
    <n v="1.086995459474474"/>
    <n v="10"/>
    <n v="2018"/>
    <n v="23.353443313221998"/>
    <n v="1.1022133959071165"/>
    <n v="0"/>
    <n v="0"/>
    <n v="0"/>
    <n v="0"/>
    <x v="5"/>
    <m/>
  </r>
  <r>
    <d v="2018-10-23T00:00:00"/>
    <d v="2018-11-22T00:00:00"/>
    <x v="0"/>
    <x v="0"/>
    <x v="1"/>
    <s v="Soja"/>
    <n v="110"/>
    <x v="2"/>
    <s v="Fertilización"/>
    <n v="0"/>
    <s v="U/ha"/>
    <n v="0"/>
    <n v="150"/>
    <s v="$"/>
    <n v="0.06"/>
    <n v="0"/>
    <n v="0"/>
    <n v="0"/>
    <n v="0"/>
    <n v="0"/>
    <n v="0"/>
    <n v="0"/>
    <n v="0"/>
    <n v="0"/>
    <s v="Egreso"/>
    <s v="Si"/>
    <s v="(-)"/>
    <n v="10"/>
    <n v="2018"/>
    <n v="23.353443313221998"/>
    <n v="1.1022133959071165"/>
    <n v="11"/>
    <n v="2018"/>
    <n v="23.586977746354219"/>
    <n v="1.1176443834498162"/>
    <n v="0"/>
    <n v="0"/>
    <n v="0"/>
    <n v="0"/>
    <x v="6"/>
    <m/>
  </r>
  <r>
    <d v="2018-10-23T00:00:00"/>
    <d v="2018-11-22T00:00:00"/>
    <x v="0"/>
    <x v="0"/>
    <x v="1"/>
    <s v="Soja"/>
    <n v="110"/>
    <x v="7"/>
    <s v="UAN"/>
    <n v="0"/>
    <s v="L/ha"/>
    <n v="0"/>
    <n v="0.35"/>
    <s v="U$S"/>
    <n v="0"/>
    <n v="0"/>
    <n v="0"/>
    <n v="0"/>
    <n v="0"/>
    <n v="0"/>
    <n v="0"/>
    <n v="0"/>
    <n v="0"/>
    <n v="0"/>
    <s v="Egreso"/>
    <s v="Si"/>
    <s v="(-)"/>
    <n v="10"/>
    <n v="2018"/>
    <n v="23.353443313221998"/>
    <n v="1.1022133959071165"/>
    <n v="11"/>
    <n v="2018"/>
    <n v="23.586977746354219"/>
    <n v="1.1176443834498162"/>
    <n v="0"/>
    <n v="0"/>
    <n v="0"/>
    <n v="0"/>
    <x v="6"/>
    <m/>
  </r>
  <r>
    <d v="2018-11-22T00:00:00"/>
    <d v="2018-12-22T00:00:00"/>
    <x v="0"/>
    <x v="0"/>
    <x v="1"/>
    <s v="Soja"/>
    <n v="110"/>
    <x v="2"/>
    <s v="Pulverización"/>
    <n v="1"/>
    <s v="U/ha"/>
    <n v="110"/>
    <n v="120"/>
    <s v="$"/>
    <n v="0"/>
    <n v="-13200"/>
    <n v="-11810.554587368621"/>
    <n v="-559.63083282428124"/>
    <n v="-13200"/>
    <n v="-11647.48973113276"/>
    <n v="-554.08993348938736"/>
    <n v="0"/>
    <n v="0"/>
    <n v="0"/>
    <s v="Egreso"/>
    <s v="Si"/>
    <s v="(-)"/>
    <n v="11"/>
    <n v="2018"/>
    <n v="23.586977746354219"/>
    <n v="1.1176443834498162"/>
    <n v="12"/>
    <n v="2018"/>
    <n v="23.82284752381776"/>
    <n v="1.1332914048181137"/>
    <n v="-120"/>
    <n v="-107.36867806698746"/>
    <n v="-5.0875530256752839"/>
    <n v="0"/>
    <x v="7"/>
    <m/>
  </r>
  <r>
    <d v="2018-11-22T00:00:00"/>
    <d v="2019-05-01T00:00:00"/>
    <x v="0"/>
    <x v="0"/>
    <x v="1"/>
    <s v="Soja"/>
    <n v="110"/>
    <x v="3"/>
    <s v="Glifosato"/>
    <n v="3"/>
    <s v="L/ha"/>
    <n v="330"/>
    <n v="3"/>
    <s v="U$S"/>
    <n v="0.06"/>
    <n v="-23351.107968890676"/>
    <n v="-20893.146616827402"/>
    <n v="-990"/>
    <n v="-24787.671647837044"/>
    <n v="-20403.485543486968"/>
    <n v="-990"/>
    <n v="-661.00457727565447"/>
    <n v="-544.09294782631912"/>
    <n v="-24.869994210711056"/>
    <s v="Egreso"/>
    <s v="Si"/>
    <s v="(-)"/>
    <n v="11"/>
    <n v="2018"/>
    <n v="23.586977746354219"/>
    <n v="1.1176443834498162"/>
    <n v="5"/>
    <n v="2019"/>
    <n v="25.038052169532367"/>
    <n v="1.2148743701170979"/>
    <n v="-212.28279971718797"/>
    <n v="-189.93769651661273"/>
    <n v="-9"/>
    <n v="0"/>
    <x v="7"/>
    <m/>
  </r>
  <r>
    <d v="2018-11-22T00:00:00"/>
    <d v="2019-05-01T00:00:00"/>
    <x v="0"/>
    <x v="0"/>
    <x v="1"/>
    <s v="Soja"/>
    <n v="110"/>
    <x v="3"/>
    <s v="2,4 D"/>
    <n v="0.5"/>
    <s v="L/ha"/>
    <n v="55"/>
    <n v="7"/>
    <s v="U$S"/>
    <n v="0.06"/>
    <n v="-9080.9864323463735"/>
    <n v="-8125.1125732106566"/>
    <n v="-385"/>
    <n v="-9639.650085269961"/>
    <n v="-7934.6888224671538"/>
    <n v="-385"/>
    <n v="-257.05733560719892"/>
    <n v="-211.59170193245743"/>
    <n v="-9.6716644152765205"/>
    <s v="Egreso"/>
    <s v="Si"/>
    <s v="(-)"/>
    <n v="11"/>
    <n v="2018"/>
    <n v="23.586977746354219"/>
    <n v="1.1176443834498162"/>
    <n v="5"/>
    <n v="2019"/>
    <n v="25.038052169532367"/>
    <n v="1.2148743701170979"/>
    <n v="-82.554422112239763"/>
    <n v="-73.864659756460512"/>
    <n v="-3.5"/>
    <n v="0"/>
    <x v="7"/>
    <m/>
  </r>
  <r>
    <d v="2018-11-22T00:00:00"/>
    <d v="2019-05-01T00:00:00"/>
    <x v="0"/>
    <x v="0"/>
    <x v="1"/>
    <s v="Soja"/>
    <n v="110"/>
    <x v="3"/>
    <s v="Coad. Siliconado"/>
    <n v="0.1"/>
    <s v="L/ha"/>
    <n v="11"/>
    <n v="18"/>
    <s v="U$S"/>
    <n v="0.06"/>
    <n v="-4670.2215937781357"/>
    <n v="-4178.6293233654806"/>
    <n v="-198"/>
    <n v="-4957.5343295674083"/>
    <n v="-4080.6971086973936"/>
    <n v="-198"/>
    <n v="-132.20091545513088"/>
    <n v="-108.81858956526382"/>
    <n v="-4.973998842142211"/>
    <s v="Egreso"/>
    <s v="Si"/>
    <s v="(-)"/>
    <n v="11"/>
    <n v="2018"/>
    <n v="23.586977746354219"/>
    <n v="1.1176443834498162"/>
    <n v="5"/>
    <n v="2019"/>
    <n v="25.038052169532367"/>
    <n v="1.2148743701170979"/>
    <n v="-42.456559943437597"/>
    <n v="-37.987539303322549"/>
    <n v="-1.8"/>
    <n v="0"/>
    <x v="7"/>
    <m/>
  </r>
  <r>
    <d v="2019-02-10T00:00:00"/>
    <d v="2019-03-12T00:00:00"/>
    <x v="0"/>
    <x v="0"/>
    <x v="1"/>
    <s v="Soja"/>
    <n v="110"/>
    <x v="3"/>
    <s v="Pulverización Aérea"/>
    <n v="1"/>
    <s v="U/ha"/>
    <n v="110"/>
    <n v="11"/>
    <s v="U$S"/>
    <n v="0"/>
    <n v="-29405.040978446261"/>
    <n v="-25235.056648790611"/>
    <n v="-1210"/>
    <n v="-29699.091388230725"/>
    <n v="-25135.51007423917"/>
    <n v="-1210"/>
    <n v="0"/>
    <n v="0"/>
    <n v="0"/>
    <s v="Egreso"/>
    <s v="Si"/>
    <s v="(-)"/>
    <n v="2"/>
    <n v="2019"/>
    <n v="24.301686759046497"/>
    <n v="1.1652456892683654"/>
    <n v="3"/>
    <n v="2019"/>
    <n v="24.544703626636963"/>
    <n v="1.1815591289181224"/>
    <n v="-267.31855434951149"/>
    <n v="-229.40960589809646"/>
    <n v="-11"/>
    <n v="0"/>
    <x v="8"/>
    <m/>
  </r>
  <r>
    <d v="2019-02-10T00:00:00"/>
    <d v="2019-05-01T00:00:00"/>
    <x v="0"/>
    <x v="0"/>
    <x v="1"/>
    <s v="Soja"/>
    <n v="110"/>
    <x v="3"/>
    <s v="Fungicida"/>
    <n v="0.7"/>
    <s v="L/ha"/>
    <n v="77"/>
    <n v="60"/>
    <s v="U$S"/>
    <n v="0.06"/>
    <n v="-112273.79282679482"/>
    <n v="-96352.034477200519"/>
    <n v="-4620"/>
    <n v="-115675.80102323953"/>
    <n v="-95216.26586960585"/>
    <n v="-4620"/>
    <n v="-1542.3440136431936"/>
    <n v="-1269.5502115947445"/>
    <n v="-59.78835311234289"/>
    <s v="Egreso"/>
    <s v="Si"/>
    <s v="(-)"/>
    <n v="2"/>
    <n v="2019"/>
    <n v="24.301686759046497"/>
    <n v="1.1652456892683654"/>
    <n v="5"/>
    <n v="2019"/>
    <n v="25.038052169532367"/>
    <n v="1.2148743701170979"/>
    <n v="-1020.6708438799528"/>
    <n v="-875.92758615636831"/>
    <n v="-42"/>
    <n v="0"/>
    <x v="8"/>
    <m/>
  </r>
  <r>
    <d v="2019-02-10T00:00:00"/>
    <d v="2019-05-01T00:00:00"/>
    <x v="0"/>
    <x v="0"/>
    <x v="1"/>
    <s v="Soja"/>
    <n v="110"/>
    <x v="3"/>
    <s v="Cipermetrina"/>
    <n v="0.5"/>
    <s v="L/ha"/>
    <n v="55"/>
    <n v="10"/>
    <s v="U$S"/>
    <n v="0.06"/>
    <n v="-13365.927717475573"/>
    <n v="-11470.480294904823"/>
    <n v="-550"/>
    <n v="-13770.928693242802"/>
    <n v="-11335.269746381649"/>
    <n v="-550"/>
    <n v="-183.6123825765707"/>
    <n v="-151.13692995175532"/>
    <n v="-7.1176610848027257"/>
    <s v="Egreso"/>
    <s v="Si"/>
    <s v="(-)"/>
    <n v="2"/>
    <n v="2019"/>
    <n v="24.301686759046497"/>
    <n v="1.1652456892683654"/>
    <n v="5"/>
    <n v="2019"/>
    <n v="25.038052169532367"/>
    <n v="1.2148743701170979"/>
    <n v="-121.50843379523249"/>
    <n v="-104.27709359004385"/>
    <n v="-5"/>
    <n v="0"/>
    <x v="8"/>
    <m/>
  </r>
  <r>
    <d v="2019-02-10T00:00:00"/>
    <d v="2019-05-01T00:00:00"/>
    <x v="0"/>
    <x v="0"/>
    <x v="1"/>
    <s v="Soja"/>
    <n v="110"/>
    <x v="3"/>
    <s v="Coad. Siliconado"/>
    <n v="0.1"/>
    <s v="L/ha"/>
    <n v="11"/>
    <n v="18"/>
    <s v="U$S"/>
    <n v="0.06"/>
    <n v="-4811.7339782912068"/>
    <n v="-4129.3729061657368"/>
    <n v="-198"/>
    <n v="-4957.5343295674083"/>
    <n v="-4080.6971086973936"/>
    <n v="-198"/>
    <n v="-66.100457727565441"/>
    <n v="-54.40929478263191"/>
    <n v="-2.5623579905289811"/>
    <s v="Egreso"/>
    <s v="Si"/>
    <s v="(-)"/>
    <n v="2"/>
    <n v="2019"/>
    <n v="24.301686759046497"/>
    <n v="1.1652456892683654"/>
    <n v="5"/>
    <n v="2019"/>
    <n v="25.038052169532367"/>
    <n v="1.2148743701170979"/>
    <n v="-43.743036166283694"/>
    <n v="-37.539753692415786"/>
    <n v="-1.8"/>
    <n v="0"/>
    <x v="8"/>
    <m/>
  </r>
  <r>
    <d v="2018-12-02T00:00:00"/>
    <d v="2018-12-02T00:00:00"/>
    <x v="0"/>
    <x v="0"/>
    <x v="1"/>
    <s v="Soja"/>
    <n v="110"/>
    <x v="3"/>
    <s v="Gerenciamiento"/>
    <n v="1"/>
    <s v="U/ha"/>
    <n v="110"/>
    <n v="60"/>
    <s v="U$S"/>
    <m/>
    <n v="-157230.79365719721"/>
    <n v="-138738.18595000444"/>
    <n v="-6600"/>
    <n v="-157230.79365719721"/>
    <n v="-138738.18595000444"/>
    <n v="-6600"/>
    <n v="0"/>
    <n v="0"/>
    <n v="0"/>
    <s v="Egreso"/>
    <s v="Si"/>
    <s v="(-)"/>
    <n v="12"/>
    <n v="2018"/>
    <n v="23.82284752381776"/>
    <n v="1.1332914048181137"/>
    <n v="12"/>
    <n v="2018"/>
    <n v="23.82284752381776"/>
    <n v="1.1332914048181137"/>
    <n v="-1429.3708514290656"/>
    <n v="-1261.2562359091312"/>
    <n v="-60"/>
    <n v="0"/>
    <x v="9"/>
    <m/>
  </r>
  <r>
    <d v="2018-07-05T00:00:00"/>
    <d v="2018-07-05T00:00:00"/>
    <x v="0"/>
    <x v="0"/>
    <x v="1"/>
    <s v="Soja"/>
    <n v="110"/>
    <x v="3"/>
    <s v="Cuota 1"/>
    <n v="0.2"/>
    <s v="Tn/ha"/>
    <n v="22"/>
    <n v="280"/>
    <s v="U$S"/>
    <m/>
    <n v="-139626.39152"/>
    <n v="-132073.50224324397"/>
    <n v="-6160"/>
    <n v="-139626.39152"/>
    <n v="-132073.50224324397"/>
    <n v="-6160"/>
    <n v="0"/>
    <n v="0"/>
    <n v="0"/>
    <s v="Egreso"/>
    <s v="Si"/>
    <s v="(-)"/>
    <n v="7"/>
    <n v="2018"/>
    <n v="22.666622"/>
    <n v="1.0571870144160003"/>
    <n v="7"/>
    <n v="2018"/>
    <n v="22.666622"/>
    <n v="1.0571870144160003"/>
    <n v="-1269.3308320000001"/>
    <n v="-1200.6682022113089"/>
    <n v="-56"/>
    <n v="0"/>
    <x v="10"/>
    <m/>
  </r>
  <r>
    <d v="2018-10-03T00:00:00"/>
    <d v="2018-10-03T00:00:00"/>
    <x v="0"/>
    <x v="0"/>
    <x v="1"/>
    <s v="Soja"/>
    <n v="110"/>
    <x v="3"/>
    <s v="Cuota 2"/>
    <n v="0.2"/>
    <s v="Tn/ha"/>
    <n v="22"/>
    <n v="280"/>
    <s v="U$S"/>
    <m/>
    <n v="-143857.21080944751"/>
    <n v="-130516.65978987099"/>
    <n v="-6160"/>
    <n v="-143857.21080944751"/>
    <n v="-130516.65978987099"/>
    <n v="-6160"/>
    <n v="0"/>
    <n v="0"/>
    <n v="0"/>
    <s v="Egreso"/>
    <s v="Si"/>
    <s v="(-)"/>
    <n v="10"/>
    <n v="2018"/>
    <n v="23.353443313221998"/>
    <n v="1.1022133959071165"/>
    <n v="10"/>
    <n v="2018"/>
    <n v="23.353443313221998"/>
    <n v="1.1022133959071165"/>
    <n v="-1307.792825540432"/>
    <n v="-1186.5150889988272"/>
    <n v="-56"/>
    <n v="0"/>
    <x v="10"/>
    <m/>
  </r>
  <r>
    <d v="2019-01-01T00:00:00"/>
    <d v="2019-01-01T00:00:00"/>
    <x v="0"/>
    <x v="0"/>
    <x v="1"/>
    <s v="Soja"/>
    <n v="110"/>
    <x v="3"/>
    <s v="Cuota 3"/>
    <n v="0.2"/>
    <s v="Tn/ha"/>
    <n v="22"/>
    <n v="280"/>
    <s v="U$S"/>
    <m/>
    <n v="-148216.22815418459"/>
    <n v="-128978.16892393575"/>
    <n v="-6160"/>
    <n v="-148216.22815418459"/>
    <n v="-128978.16892393575"/>
    <n v="-6160"/>
    <n v="0"/>
    <n v="0"/>
    <n v="0"/>
    <s v="Egreso"/>
    <s v="Si"/>
    <s v="(-)"/>
    <n v="1"/>
    <n v="2019"/>
    <n v="24.061075999055937"/>
    <n v="1.1491574844855674"/>
    <n v="1"/>
    <n v="2019"/>
    <n v="24.061075999055937"/>
    <n v="1.1491574844855674"/>
    <n v="-1347.4202559471325"/>
    <n v="-1172.528808399416"/>
    <n v="-56"/>
    <n v="0"/>
    <x v="10"/>
    <m/>
  </r>
  <r>
    <d v="2019-04-01T00:00:00"/>
    <d v="2019-04-01T00:00:00"/>
    <x v="0"/>
    <x v="0"/>
    <x v="1"/>
    <s v="Soja"/>
    <n v="110"/>
    <x v="3"/>
    <s v="Cuota 3"/>
    <n v="0.2"/>
    <s v="Tn/ha"/>
    <n v="22"/>
    <n v="280"/>
    <s v="U$S"/>
    <m/>
    <n v="-152707.32808348452"/>
    <n v="-127457.81332248228"/>
    <n v="-6160"/>
    <n v="-152707.32808348452"/>
    <n v="-127457.81332248228"/>
    <n v="-6160"/>
    <n v="0"/>
    <n v="0"/>
    <n v="0"/>
    <s v="Egreso"/>
    <s v="Si"/>
    <s v="(-)"/>
    <n v="4"/>
    <n v="2019"/>
    <n v="24.790150662903333"/>
    <n v="1.1981009567229761"/>
    <n v="4"/>
    <n v="2019"/>
    <n v="24.790150662903333"/>
    <n v="1.1981009567229761"/>
    <n v="-1388.2484371225867"/>
    <n v="-1158.707393840748"/>
    <n v="-56"/>
    <n v="0"/>
    <x v="10"/>
    <m/>
  </r>
  <r>
    <d v="2019-04-01T00:00:00"/>
    <m/>
    <x v="0"/>
    <x v="0"/>
    <x v="1"/>
    <s v="Soja"/>
    <n v="110"/>
    <x v="3"/>
    <m/>
    <n v="0"/>
    <s v="Tn/ha"/>
    <n v="0"/>
    <n v="280"/>
    <s v="U$S"/>
    <m/>
    <n v="0"/>
    <n v="0"/>
    <n v="0"/>
    <n v="0"/>
    <n v="0"/>
    <n v="0"/>
    <n v="0"/>
    <n v="0"/>
    <n v="0"/>
    <s v="Egreso"/>
    <s v="Si"/>
    <s v="(-)"/>
    <n v="4"/>
    <n v="2019"/>
    <n v="24.790150662903333"/>
    <n v="1.1981009567229761"/>
    <n v="0"/>
    <n v="0"/>
    <n v="0"/>
    <n v="0"/>
    <n v="0"/>
    <n v="0"/>
    <n v="0"/>
    <n v="0"/>
    <x v="10"/>
    <s v="Valor del Campo Propio"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  <r>
    <m/>
    <m/>
    <x v="1"/>
    <x v="1"/>
    <x v="2"/>
    <n v="0"/>
    <n v="0"/>
    <x v="12"/>
    <m/>
    <m/>
    <m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G4:K14" firstHeaderRow="0" firstDataRow="1" firstDataCol="1" rowPageCount="2" colPageCount="1"/>
  <pivotFields count="40">
    <pivotField showAll="0"/>
    <pivotField showAll="0"/>
    <pivotField axis="axisPage" showAll="0">
      <items count="3">
        <item x="0"/>
        <item x="1"/>
        <item t="default"/>
      </items>
    </pivotField>
    <pivotField axis="axisRow" showAll="0">
      <items count="11">
        <item x="6"/>
        <item x="2"/>
        <item x="3"/>
        <item x="4"/>
        <item x="5"/>
        <item x="9"/>
        <item x="0"/>
        <item x="1"/>
        <item x="8"/>
        <item x="7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dataField="1" numFmtId="165" showAll="0"/>
    <pivotField showAll="0"/>
    <pivotField dataField="1" numFmtId="165" showAll="0"/>
    <pivotField numFmtId="165" showAll="0"/>
    <pivotField showAll="0"/>
    <pivotField numFmtId="165" showAll="0"/>
    <pivotField numFmtId="165" showAll="0"/>
    <pivotField showAll="0"/>
    <pivotField numFmtId="165" showAll="0"/>
    <pivotField showAll="0"/>
    <pivotField numFmtId="43" showAll="0"/>
    <pivotField showAll="0"/>
    <pivotField showAll="0"/>
    <pivotField showAll="0"/>
    <pivotField numFmtId="165" showAll="0"/>
    <pivotField numFmtId="165" showAll="0"/>
    <pivotField numFmtId="43" showAll="0"/>
    <pivotField numFmtId="43" showAll="0"/>
    <pivotField numFmtId="165" showAll="0"/>
    <pivotField numFmtId="165" showAll="0"/>
    <pivotField numFmtId="43" showAll="0"/>
    <pivotField numFmtId="43" showAll="0"/>
    <pivotField numFmtId="43" showAll="0"/>
    <pivotField dataField="1" numFmtId="43" showAll="0"/>
    <pivotField numFmtId="43" showAll="0"/>
    <pivotField dataField="1" numFmtId="43"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2" item="0" hier="-1"/>
    <pageField fld="4" item="0" hier="-1"/>
  </pageFields>
  <dataFields count="4">
    <dataField name="Suma de Economico U$S Dolares" fld="16" baseField="0" baseItem="0"/>
    <dataField name="Suma de  U$S Dolares Superficie" fld="39" baseField="0" baseItem="0"/>
    <dataField name="Suma de Economico $Corrientes" fld="14" baseField="0" baseItem="0"/>
    <dataField name="Suma de  $Corrientes Superficie" fld="37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4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P25:T39" firstHeaderRow="1" firstDataRow="2" firstDataCol="1" rowPageCount="2" colPageCount="1"/>
  <pivotFields count="41">
    <pivotField showAll="0"/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Col" showAll="0">
      <items count="4">
        <item x="0"/>
        <item x="2"/>
        <item x="1"/>
        <item t="default"/>
      </items>
    </pivotField>
    <pivotField showAll="0"/>
    <pivotField numFmtId="43"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showAll="0"/>
    <pivotField showAll="0"/>
    <pivotField showAll="0"/>
    <pivotField numFmtId="165" showAll="0"/>
    <pivotField numFmtId="165" showAll="0"/>
    <pivotField numFmtId="43" showAll="0"/>
    <pivotField numFmtId="43" showAll="0"/>
    <pivotField numFmtId="165" showAll="0"/>
    <pivotField numFmtId="165" showAll="0"/>
    <pivotField numFmtId="43" showAll="0"/>
    <pivotField numFmtId="43" showAll="0"/>
    <pivotField numFmtId="43" showAll="0"/>
    <pivotField numFmtId="43" showAll="0"/>
    <pivotField dataField="1" numFmtId="43" showAll="0"/>
    <pivotField numFmtId="43" showAll="0"/>
    <pivotField axis="axisRow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showAll="0" defaultSubtotal="0"/>
  </pivotFields>
  <rowFields count="1">
    <field x="39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pageFields count="2">
    <pageField fld="2" hier="-1"/>
    <pageField fld="3" hier="-1"/>
  </pageFields>
  <dataFields count="1">
    <dataField name="Suma de  U$S Dólares Superficie" fld="37" baseField="0" baseItem="0" numFmtId="165"/>
  </dataFields>
  <formats count="2">
    <format dxfId="2">
      <pivotArea outline="0" collapsedLevelsAreSubtotals="1" fieldPosition="0">
        <references count="1">
          <reference field="4" count="1" selected="0">
            <x v="0"/>
          </reference>
        </references>
      </pivotArea>
    </format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 dinámica2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P4:T19" firstHeaderRow="1" firstDataRow="2" firstDataCol="1" rowPageCount="2" colPageCount="1"/>
  <pivotFields count="41">
    <pivotField showAll="0"/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numFmtId="43" showAll="0"/>
    <pivotField axis="axisRow" showAll="0">
      <items count="14">
        <item x="0"/>
        <item x="1"/>
        <item x="2"/>
        <item x="6"/>
        <item x="3"/>
        <item x="7"/>
        <item x="8"/>
        <item x="5"/>
        <item x="4"/>
        <item x="10"/>
        <item x="9"/>
        <item x="11"/>
        <item x="12"/>
        <item t="default"/>
      </items>
    </pivotField>
    <pivotField showAll="0"/>
    <pivotField showAll="0"/>
    <pivotField showAll="0"/>
    <pivotField numFmtId="165"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showAll="0"/>
    <pivotField showAll="0"/>
    <pivotField showAll="0"/>
    <pivotField numFmtId="165" showAll="0"/>
    <pivotField numFmtId="165" showAll="0"/>
    <pivotField numFmtId="43" showAll="0"/>
    <pivotField numFmtId="43" showAll="0"/>
    <pivotField numFmtId="165" showAll="0"/>
    <pivotField numFmtId="165" showAll="0"/>
    <pivotField numFmtId="43" showAll="0"/>
    <pivotField numFmtId="43" showAll="0"/>
    <pivotField numFmtId="43" showAll="0"/>
    <pivotField numFmtId="43" showAll="0"/>
    <pivotField dataField="1" numFmtId="43" showAll="0"/>
    <pivotField numFmtId="43" showAll="0"/>
    <pivotField showAll="0" defaultSubtotal="0"/>
    <pivotField showAll="0" defaultSubtota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pageFields count="2">
    <pageField fld="2" hier="-1"/>
    <pageField fld="3" hier="-1"/>
  </pageFields>
  <dataFields count="1">
    <dataField name="Suma de  U$S Dólares Superficie" fld="37" baseField="0" baseItem="0" numFmtId="165"/>
  </dataFields>
  <formats count="3">
    <format dxfId="5">
      <pivotArea collapsedLevelsAreSubtotals="1" fieldPosition="0">
        <references count="1">
          <reference field="7" count="0"/>
        </references>
      </pivotArea>
    </format>
    <format dxfId="4">
      <pivotArea outline="0" collapsedLevelsAreSubtotals="1" fieldPosition="0">
        <references count="1">
          <reference field="4" count="1" selected="0">
            <x v="0"/>
          </reference>
        </references>
      </pivotArea>
    </format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C14" firstHeaderRow="0" firstDataRow="1" firstDataCol="1" rowPageCount="1" colPageCount="1"/>
  <pivotFields count="29">
    <pivotField showAll="0"/>
    <pivotField showAll="0"/>
    <pivotField showAll="0"/>
    <pivotField axis="axisRow" showAll="0">
      <items count="12">
        <item x="0"/>
        <item x="9"/>
        <item x="1"/>
        <item x="7"/>
        <item x="4"/>
        <item x="3"/>
        <item x="2"/>
        <item x="5"/>
        <item x="6"/>
        <item x="10"/>
        <item x="8"/>
        <item t="default"/>
      </items>
    </pivotField>
    <pivotField showAll="0"/>
    <pivotField axis="axisPage" showAll="0">
      <items count="8">
        <item x="6"/>
        <item x="4"/>
        <item x="2"/>
        <item x="1"/>
        <item x="0"/>
        <item x="5"/>
        <item x="3"/>
        <item t="default"/>
      </items>
    </pivotField>
    <pivotField showAll="0"/>
    <pivotField showAll="0"/>
    <pivotField showAll="0"/>
    <pivotField showAll="0"/>
    <pivotField numFmtId="165" showAll="0"/>
    <pivotField showAll="0"/>
    <pivotField dataField="1" numFmtId="165" showAll="0"/>
    <pivotField numFmtId="165" showAll="0"/>
    <pivotField showAll="0"/>
    <pivotField numFmtId="165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numFmtId="43" showAll="0"/>
    <pivotField numFmtId="165" showAll="0"/>
    <pivotField numFmtId="165" showAll="0"/>
    <pivotField numFmtId="43" showAll="0"/>
    <pivotField numFmtId="43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pageFields count="1">
    <pageField fld="5" item="3" hier="-1"/>
  </pageFields>
  <dataFields count="2">
    <dataField name="Suma de Mov. Stock" fld="18" baseField="0" baseItem="0"/>
    <dataField name="Suma de Economico U$S Dolares" fld="12" baseField="0" baseItem="0" numFmtId="165"/>
  </dataFields>
  <formats count="3">
    <format dxfId="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">
      <pivotArea field="3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2" name="Tabla12" displayName="Tabla12" ref="A1:J25" totalsRowCount="1" headerRowDxfId="1286" dataDxfId="1285">
  <tableColumns count="10">
    <tableColumn id="1" name="Cuenta" dataDxfId="1284" totalsRowDxfId="1283"/>
    <tableColumn id="2" name="Unidad" dataDxfId="1282" totalsRowDxfId="1281"/>
    <tableColumn id="3" name="Prod. Agrícola" dataDxfId="1280" totalsRowDxfId="1279" dataCellStyle="Millares"/>
    <tableColumn id="4" name="Com. Agrícola" dataDxfId="1278" totalsRowDxfId="1277" dataCellStyle="Millares"/>
    <tableColumn id="6" name="Ganadería" dataDxfId="1276" totalsRowDxfId="1275" dataCellStyle="Millares"/>
    <tableColumn id="7" name="Lechería" dataDxfId="1274" totalsRowDxfId="1273" dataCellStyle="Millares"/>
    <tableColumn id="10" name="Indirectos" dataDxfId="1272" totalsRowDxfId="1271" dataCellStyle="Millares"/>
    <tableColumn id="9" name="Otras Actividades" dataDxfId="1270" totalsRowDxfId="1269" dataCellStyle="Millares"/>
    <tableColumn id="5" name="Control" dataDxfId="1268" totalsRowDxfId="1267"/>
    <tableColumn id="8" name="Movimiento" dataDxfId="1266" totalsRowDxfId="1265"/>
  </tableColumns>
  <tableStyleInfo name="TableStyleMedium4" showFirstColumn="0" showLastColumn="0" showRowStripes="1" showColumnStripes="0"/>
</table>
</file>

<file path=xl/tables/table10.xml><?xml version="1.0" encoding="utf-8"?>
<table xmlns="http://schemas.openxmlformats.org/spreadsheetml/2006/main" id="14" name="Costos_Indirectos_Cuentas" displayName="Costos_Indirectos_Cuentas" ref="CE4:CH29" totalsRowShown="0" headerRowDxfId="1227">
  <tableColumns count="4">
    <tableColumn id="1" name="Cuenta Contable"/>
    <tableColumn id="2" name="Movimiento"/>
    <tableColumn id="4" name="Económico"/>
    <tableColumn id="3" name="IVA" dataDxfId="1226"/>
  </tableColumns>
  <tableStyleInfo name="TableStyleMedium4" showFirstColumn="0" showLastColumn="0" showRowStripes="1" showColumnStripes="0"/>
</table>
</file>

<file path=xl/tables/table11.xml><?xml version="1.0" encoding="utf-8"?>
<table xmlns="http://schemas.openxmlformats.org/spreadsheetml/2006/main" id="15" name="Tabla81116" displayName="Tabla81116" ref="CC4:CC10" totalsRowShown="0" headerRowDxfId="1225" dataDxfId="1224">
  <tableColumns count="1">
    <tableColumn id="1" name="Unidades de Negocio" dataDxfId="1223"/>
  </tableColumns>
  <tableStyleInfo name="TableStyleMedium4" showFirstColumn="0" showLastColumn="0" showRowStripes="1" showColumnStripes="0"/>
</table>
</file>

<file path=xl/tables/table12.xml><?xml version="1.0" encoding="utf-8"?>
<table xmlns="http://schemas.openxmlformats.org/spreadsheetml/2006/main" id="4" name="Produccion_Ganadera_Cuentas" displayName="Produccion_Ganadera_Cuentas" ref="AT4:AX29" totalsRowShown="0" headerRowDxfId="1222">
  <tableColumns count="5">
    <tableColumn id="1" name="Cuenta Contable"/>
    <tableColumn id="2" name="Movimiento"/>
    <tableColumn id="3" name="IVA" dataDxfId="1221"/>
    <tableColumn id="5" name="IIBB" dataDxfId="1220"/>
    <tableColumn id="4" name="Mov. Stock" dataDxfId="1219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id="17" name="Produccion_Ganadera" displayName="Produccion_Ganadera" ref="AZ4:BA16" totalsRowShown="0" headerRowDxfId="1218" tableBorderDxfId="1217">
  <tableColumns count="2">
    <tableColumn id="1" name="Categoría"/>
    <tableColumn id="2" name="Kg Inventario" dataDxfId="1216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id="18" name="Tabla18" displayName="Tabla18" ref="X4:AA21" totalsRowShown="0" headerRowDxfId="1215">
  <tableColumns count="4">
    <tableColumn id="1" name="Centro de Costo"/>
    <tableColumn id="4" name="Campaña"/>
    <tableColumn id="2" name="Actividad"/>
    <tableColumn id="3" name="Superficie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9" name="Tabla19" displayName="Tabla19" ref="AP4:AR8" totalsRowShown="0">
  <tableColumns count="3">
    <tableColumn id="1" name="Centro de Costo"/>
    <tableColumn id="3" name="Campaña"/>
    <tableColumn id="2" name="Superficie"/>
  </tableColumns>
  <tableStyleInfo name="TableStyleMedium7" showFirstColumn="0" showLastColumn="0" showRowStripes="1" showColumnStripes="0"/>
</table>
</file>

<file path=xl/tables/table16.xml><?xml version="1.0" encoding="utf-8"?>
<table xmlns="http://schemas.openxmlformats.org/spreadsheetml/2006/main" id="21" name="Produccion_Lecheria_Cuentas" displayName="Produccion_Lecheria_Cuentas" ref="BG4:BK30" totalsRowShown="0" headerRowDxfId="1214">
  <tableColumns count="5">
    <tableColumn id="1" name="Cuenta Contable"/>
    <tableColumn id="2" name="Movimiento"/>
    <tableColumn id="3" name="IVA" dataDxfId="1213"/>
    <tableColumn id="5" name="IIBB" dataDxfId="1212"/>
    <tableColumn id="4" name="Mov. Stock" dataDxfId="1211"/>
  </tableColumns>
  <tableStyleInfo name="TableStyleMedium3" showFirstColumn="0" showLastColumn="0" showRowStripes="1" showColumnStripes="0"/>
</table>
</file>

<file path=xl/tables/table17.xml><?xml version="1.0" encoding="utf-8"?>
<table xmlns="http://schemas.openxmlformats.org/spreadsheetml/2006/main" id="22" name="Produccion_Lecheria" displayName="Produccion_Lecheria" ref="BM4:BN16" totalsRowShown="0" headerRowDxfId="1210" tableBorderDxfId="1209">
  <tableColumns count="2">
    <tableColumn id="1" name="Categoría"/>
    <tableColumn id="2" name="Kg Inventario" dataDxfId="1208"/>
  </tableColumns>
  <tableStyleInfo name="TableStyleMedium3" showFirstColumn="0" showLastColumn="0" showRowStripes="1" showColumnStripes="0"/>
</table>
</file>

<file path=xl/tables/table18.xml><?xml version="1.0" encoding="utf-8"?>
<table xmlns="http://schemas.openxmlformats.org/spreadsheetml/2006/main" id="23" name="Tabla1924" displayName="Tabla1924" ref="BC4:BE8" totalsRowShown="0">
  <tableColumns count="3">
    <tableColumn id="1" name="Centro de Costo"/>
    <tableColumn id="3" name="Campaña"/>
    <tableColumn id="2" name="Superficie"/>
  </tableColumns>
  <tableStyleInfo name="TableStyleMedium3" showFirstColumn="0" showLastColumn="0" showRowStripes="1" showColumnStripes="0"/>
</table>
</file>

<file path=xl/tables/table19.xml><?xml version="1.0" encoding="utf-8"?>
<table xmlns="http://schemas.openxmlformats.org/spreadsheetml/2006/main" id="24" name="Otras_Actividades_Cuentas" displayName="Otras_Actividades_Cuentas" ref="BY4:CA25" totalsRowShown="0" headerRowDxfId="1207">
  <tableColumns count="3">
    <tableColumn id="1" name="Cuenta Contable"/>
    <tableColumn id="2" name="Movimiento" dataDxfId="1206"/>
    <tableColumn id="3" name="IVA" dataDxfId="1205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id="2" name="Campaña" displayName="Campaña" ref="B4:B8" totalsRowShown="0" headerRowDxfId="1264">
  <tableColumns count="1">
    <tableColumn id="1" name="Campañas"/>
  </tableColumns>
  <tableStyleInfo name="TableStyleMedium1" showFirstColumn="0" showLastColumn="0" showRowStripes="1" showColumnStripes="0"/>
</table>
</file>

<file path=xl/tables/table20.xml><?xml version="1.0" encoding="utf-8"?>
<table xmlns="http://schemas.openxmlformats.org/spreadsheetml/2006/main" id="25" name="Tabla8111626" displayName="Tabla8111626" ref="BW4:BW9" totalsRowShown="0" headerRowDxfId="1204" dataDxfId="1203">
  <tableColumns count="1">
    <tableColumn id="1" name="Unidades de Negocio" dataDxfId="1202"/>
  </tableColumns>
  <tableStyleInfo name="TableStyleMedium5" showFirstColumn="0" showLastColumn="0" showRowStripes="1" showColumnStripes="0"/>
</table>
</file>

<file path=xl/tables/table21.xml><?xml version="1.0" encoding="utf-8"?>
<table xmlns="http://schemas.openxmlformats.org/spreadsheetml/2006/main" id="27" name="Tabla27" displayName="Tabla27" ref="BP4:BU21" totalsRowShown="0" headerRowDxfId="1201">
  <tableColumns count="6">
    <tableColumn id="1" name="Mes" dataDxfId="1200">
      <calculatedColumnFormula>Tipo_Cambio[[#This Row],[Mes]]</calculatedColumnFormula>
    </tableColumn>
    <tableColumn id="2" name="Año" dataDxfId="1199">
      <calculatedColumnFormula>Tipo_Cambio[[#This Row],[Año]]</calculatedColumnFormula>
    </tableColumn>
    <tableColumn id="5" name="Centro Costo"/>
    <tableColumn id="4" name="Campaña" dataDxfId="1198"/>
    <tableColumn id="3" name="V. Ordeñe"/>
    <tableColumn id="6" name="L/V. Ordeñe"/>
  </tableColumns>
  <tableStyleInfo name="TableStyleMedium3" showFirstColumn="0" showLastColumn="0" showRowStripes="1" showColumnStripes="0"/>
</table>
</file>

<file path=xl/tables/table22.xml><?xml version="1.0" encoding="utf-8"?>
<table xmlns="http://schemas.openxmlformats.org/spreadsheetml/2006/main" id="29" name="Cuentas_FIDI" displayName="Cuentas_FIDI" ref="CJ4:CM16" totalsRowShown="0" headerRowDxfId="1197">
  <tableColumns count="4">
    <tableColumn id="1" name="Cuenta Contable"/>
    <tableColumn id="2" name="Movimiento"/>
    <tableColumn id="4" name="Económico"/>
    <tableColumn id="3" name="IVA" dataDxfId="1196"/>
  </tableColumns>
  <tableStyleInfo name="TableStyleMedium4" showFirstColumn="0" showLastColumn="0" showRowStripes="1" showColumnStripes="0"/>
</table>
</file>

<file path=xl/tables/table23.xml><?xml version="1.0" encoding="utf-8"?>
<table xmlns="http://schemas.openxmlformats.org/spreadsheetml/2006/main" id="37" name="Tabla37" displayName="Tabla37" ref="B10:B11" totalsRowShown="0" dataDxfId="1195">
  <tableColumns count="1">
    <tableColumn id="1" name="Inicio Presupuesto" dataDxfId="1194"/>
  </tableColumns>
  <tableStyleInfo name="TableStyleMedium1" showFirstColumn="0" showLastColumn="0" showRowStripes="1" showColumnStripes="0"/>
</table>
</file>

<file path=xl/tables/table24.xml><?xml version="1.0" encoding="utf-8"?>
<table xmlns="http://schemas.openxmlformats.org/spreadsheetml/2006/main" id="28" name="Tabla28" displayName="Tabla28" ref="E41:R59" totalsRowCount="1" headerRowDxfId="1131" dataDxfId="1130" totalsRowDxfId="1129">
  <tableColumns count="14">
    <tableColumn id="1" name="Cuentas Contables" totalsRowLabel="Resultado" dataDxfId="1128" totalsRowDxfId="1127">
      <calculatedColumnFormula>Produccion_Agricola_Cuentas[[#This Row],[Cuenta Contable]]</calculatedColumnFormula>
    </tableColumn>
    <tableColumn id="2" name="Maíz Temprano" totalsRowFunction="sum" dataDxfId="1126" totalsRowDxfId="1125" dataCellStyle="Millares">
      <calculatedColumnFormula>IFERROR(SUMPRODUCT(($F$4=Producción_Agricola[C. Costo Reporte])*(Económico!F$41=Producción_Agricola[Unidad de Negocio])*(Económico!$E42=Producción_Agricola[Cuenta Contable])*($F$5=Producción_Agricola[Campaña])*(Producción_Agricola[Económico U$S Dólares]))*(IF($F$39="Hectárea",1/F$61,IF($F$39="Tonelada",1/F$62,1))),0)</calculatedColumnFormula>
    </tableColumn>
    <tableColumn id="3" name="Maíz Tardío" totalsRowFunction="sum" dataDxfId="1124" totalsRowDxfId="1123" dataCellStyle="Millares">
      <calculatedColumnFormula>IFERROR(SUMPRODUCT(($F$4=Producción_Agricola[C. Costo Reporte])*(Económico!G$41=Producción_Agricola[Unidad de Negocio])*(Económico!$E42=Producción_Agricola[Cuenta Contable])*($F$5=Producción_Agricola[Campaña])*(Producción_Agricola[Económico U$S Dólares]))*(IF($F$39="Hectárea",1/G$61,IF($F$39="Tonelada",1/G$62,1))),0)</calculatedColumnFormula>
    </tableColumn>
    <tableColumn id="4" name="Maíz de Segunda" totalsRowFunction="sum" dataDxfId="1122" totalsRowDxfId="1121" dataCellStyle="Millares">
      <calculatedColumnFormula>IFERROR(SUMPRODUCT(($F$4=Producción_Agricola[C. Costo Reporte])*(Económico!H$41=Producción_Agricola[Unidad de Negocio])*(Económico!$E42=Producción_Agricola[Cuenta Contable])*($F$5=Producción_Agricola[Campaña])*(Producción_Agricola[Económico U$S Dólares]))*(IF($F$39="Hectárea",1/H$61,IF($F$39="Tonelada",1/H$62,1))),0)</calculatedColumnFormula>
    </tableColumn>
    <tableColumn id="5" name="Maíz de Tercera" totalsRowFunction="sum" dataDxfId="1120" totalsRowDxfId="1119" dataCellStyle="Millares">
      <calculatedColumnFormula>IFERROR(SUMPRODUCT(($F$4=Producción_Agricola[C. Costo Reporte])*(Económico!I$41=Producción_Agricola[Unidad de Negocio])*(Económico!$E42=Producción_Agricola[Cuenta Contable])*($F$5=Producción_Agricola[Campaña])*(Producción_Agricola[Económico U$S Dólares]))*(IF($F$39="Hectárea",1/I$61,IF($F$39="Tonelada",1/I$62,1))),0)</calculatedColumnFormula>
    </tableColumn>
    <tableColumn id="6" name="Soja de Primera" totalsRowFunction="sum" dataDxfId="1118" totalsRowDxfId="1117" dataCellStyle="Millares">
      <calculatedColumnFormula>IFERROR(SUMPRODUCT(($F$4=Producción_Agricola[C. Costo Reporte])*(Económico!J$41=Producción_Agricola[Unidad de Negocio])*(Económico!$E42=Producción_Agricola[Cuenta Contable])*($F$5=Producción_Agricola[Campaña])*(Producción_Agricola[Económico U$S Dólares]))*(IF($F$39="Hectárea",1/J$61,IF($F$39="Tonelada",1/J$62,1))),0)</calculatedColumnFormula>
    </tableColumn>
    <tableColumn id="7" name="Soja de Segunda" totalsRowFunction="sum" dataDxfId="1116" totalsRowDxfId="1115" dataCellStyle="Millares">
      <calculatedColumnFormula>IFERROR(SUMPRODUCT(($F$4=Producción_Agricola[C. Costo Reporte])*(Económico!K$41=Producción_Agricola[Unidad de Negocio])*(Económico!$E42=Producción_Agricola[Cuenta Contable])*($F$5=Producción_Agricola[Campaña])*(Producción_Agricola[Económico U$S Dólares]))*(IF($F$39="Hectárea",1/K$61,IF($F$39="Tonelada",1/K$62,1))),0)</calculatedColumnFormula>
    </tableColumn>
    <tableColumn id="8" name="Girasol" totalsRowFunction="sum" dataDxfId="1114" totalsRowDxfId="1113" dataCellStyle="Millares">
      <calculatedColumnFormula>IFERROR(SUMPRODUCT(($F$4=Producción_Agricola[C. Costo Reporte])*(Económico!L$41=Producción_Agricola[Unidad de Negocio])*(Económico!$E42=Producción_Agricola[Cuenta Contable])*($F$5=Producción_Agricola[Campaña])*(Producción_Agricola[Económico U$S Dólares]))*(IF($F$39="Hectárea",1/L$61,IF($F$39="Tonelada",1/L$62,1))),0)</calculatedColumnFormula>
    </tableColumn>
    <tableColumn id="9" name="Girasol AO" totalsRowFunction="sum" dataDxfId="1112" totalsRowDxfId="1111" dataCellStyle="Millares">
      <calculatedColumnFormula>IFERROR(SUMPRODUCT(($F$4=Producción_Agricola[C. Costo Reporte])*(Económico!M$41=Producción_Agricola[Unidad de Negocio])*(Económico!$E42=Producción_Agricola[Cuenta Contable])*($F$5=Producción_Agricola[Campaña])*(Producción_Agricola[Económico U$S Dólares]))*(IF($F$39="Hectárea",1/M$61,IF($F$39="Tonelada",1/M$62,1))),0)</calculatedColumnFormula>
    </tableColumn>
    <tableColumn id="10" name=" Trigo" totalsRowFunction="sum" dataDxfId="1110" totalsRowDxfId="1109" dataCellStyle="Millares">
      <calculatedColumnFormula>IFERROR(SUMPRODUCT(($F$4=Producción_Agricola[C. Costo Reporte])*(Económico!N$41=Producción_Agricola[Unidad de Negocio])*(Económico!$E42=Producción_Agricola[Cuenta Contable])*($F$5=Producción_Agricola[Campaña])*(Producción_Agricola[Económico U$S Dólares]))*(IF($F$39="Hectárea",1/N$61,IF($F$39="Tonelada",1/N$62,1))),0)</calculatedColumnFormula>
    </tableColumn>
    <tableColumn id="11" name="Cebada" totalsRowFunction="sum" dataDxfId="1108" totalsRowDxfId="1107" dataCellStyle="Millares">
      <calculatedColumnFormula>IFERROR(SUMPRODUCT(($F$4=Producción_Agricola[C. Costo Reporte])*(Económico!O$41=Producción_Agricola[Unidad de Negocio])*(Económico!$E42=Producción_Agricola[Cuenta Contable])*($F$5=Producción_Agricola[Campaña])*(Producción_Agricola[Económico U$S Dólares]))*(IF($F$39="Hectárea",1/O$61,IF($F$39="Tonelada",1/O$62,1))),0)</calculatedColumnFormula>
    </tableColumn>
    <tableColumn id="12" name="Sorgo" totalsRowFunction="sum" dataDxfId="1106" totalsRowDxfId="1105" dataCellStyle="Millares">
      <calculatedColumnFormula>IFERROR(SUMPRODUCT(($F$4=Producción_Agricola[C. Costo Reporte])*(Económico!P$41=Producción_Agricola[Unidad de Negocio])*(Económico!$E42=Producción_Agricola[Cuenta Contable])*($F$5=Producción_Agricola[Campaña])*(Producción_Agricola[Económico U$S Dólares]))*(IF($F$39="Hectárea",1/P$61,IF($F$39="Tonelada",1/P$62,1))),0)</calculatedColumnFormula>
    </tableColumn>
    <tableColumn id="13" name="Maíz Silo" totalsRowFunction="sum" dataDxfId="1104" totalsRowDxfId="1103" dataCellStyle="Millares">
      <calculatedColumnFormula>IFERROR(SUMPRODUCT(($F$4=Producción_Agricola[C. Costo Reporte])*(Económico!Q$41=Producción_Agricola[Unidad de Negocio])*(Económico!$E42=Producción_Agricola[Cuenta Contable])*($F$5=Producción_Agricola[Campaña])*(Producción_Agricola[Económico U$S Dólares]))*(IF($F$39="Hectárea",1/Q$61,IF($F$39="Tonelada",1/Q$62,1))),0)</calculatedColumnFormula>
    </tableColumn>
    <tableColumn id="14" name="Tipo Cuenta" dataDxfId="1102" totalsRowDxfId="1101" dataCellStyle="Millares">
      <calculatedColumnFormula>INDEX(Produccion_Agricola_Cuentas[],MATCH(Tabla28[[#This Row],[Cuentas Contables]],Produccion_Agricola_Cuentas[Cuenta Contable],0),3)</calculatedColumnFormula>
    </tableColumn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id="30" name="Tabla2831" displayName="Tabla2831" ref="E74:Q89" totalsRowCount="1" headerRowDxfId="1100" dataDxfId="1099" totalsRowDxfId="1098">
  <tableColumns count="13">
    <tableColumn id="1" name="Cuentas Contables" totalsRowLabel="Resultado" dataDxfId="1097" totalsRowDxfId="1096" dataCellStyle="Millares">
      <calculatedColumnFormula>Produccion_Agricola_Cuentas[[#This Row],[Cuenta Contable]]</calculatedColumnFormula>
    </tableColumn>
    <tableColumn id="2" name="Soja" totalsRowFunction="sum" dataDxfId="1095" totalsRowDxfId="1094" dataCellStyle="Millares">
      <calculatedColumnFormula>IFERROR(SUMPRODUCT((Tabla2831[[#This Row],[Cuentas Contables]]=Comercial_Agricola[Cuenta Contable])*(F$74=Comercial_Agricola[Producto])*(Económico!#REF!=Comercial_Agricola[Campaña])*(Comercial_Agricola[Económico U$S Dólares]))*(IF($F$72="Tonelada",1/SUM(F$91:F$92),1)),0)</calculatedColumnFormula>
    </tableColumn>
    <tableColumn id="3" name="Maíz" totalsRowFunction="sum" dataDxfId="1093" totalsRowDxfId="1092" dataCellStyle="Millares">
      <calculatedColumnFormula>IFERROR(SUMPRODUCT((Tabla2831[[#This Row],[Cuentas Contables]]=Comercial_Agricola[Cuenta Contable])*(G$74=Comercial_Agricola[Producto])*(Económico!#REF!=Comercial_Agricola[Campaña])*(Comercial_Agricola[Económico U$S Dólares]))*(IF($F$72="Tonelada",1/SUM(G$91:G$92),1)),0)</calculatedColumnFormula>
    </tableColumn>
    <tableColumn id="4" name="Girasol" totalsRowFunction="sum" dataDxfId="1091" totalsRowDxfId="1090" dataCellStyle="Millares">
      <calculatedColumnFormula>IFERROR(SUMPRODUCT((Tabla2831[[#This Row],[Cuentas Contables]]=Comercial_Agricola[Cuenta Contable])*(H$74=Comercial_Agricola[Producto])*(Económico!#REF!=Comercial_Agricola[Campaña])*(Comercial_Agricola[Económico U$S Dólares]))*(IF($F$72="Tonelada",1/SUM(H$91:H$92),1)),0)</calculatedColumnFormula>
    </tableColumn>
    <tableColumn id="5" name="Trigo" totalsRowFunction="sum" dataDxfId="1089" totalsRowDxfId="1088" dataCellStyle="Millares">
      <calculatedColumnFormula>IFERROR(SUMPRODUCT((Tabla2831[[#This Row],[Cuentas Contables]]=Comercial_Agricola[Cuenta Contable])*(I$74=Comercial_Agricola[Producto])*(Económico!#REF!=Comercial_Agricola[Campaña])*(Comercial_Agricola[Económico U$S Dólares]))*(IF($F$72="Tonelada",1/SUM(I$91:I$92),1)),0)</calculatedColumnFormula>
    </tableColumn>
    <tableColumn id="6" name="Cebada" totalsRowFunction="sum" dataDxfId="1087" totalsRowDxfId="1086" dataCellStyle="Millares">
      <calculatedColumnFormula>IFERROR(SUMPRODUCT((Tabla2831[[#This Row],[Cuentas Contables]]=Comercial_Agricola[Cuenta Contable])*(J$74=Comercial_Agricola[Producto])*(Económico!#REF!=Comercial_Agricola[Campaña])*(Comercial_Agricola[Económico U$S Dólares]))*(IF($F$72="Tonelada",1/SUM(J$91:J$92),1)),0)</calculatedColumnFormula>
    </tableColumn>
    <tableColumn id="7" name="Sorgo" totalsRowFunction="sum" dataDxfId="1085" totalsRowDxfId="1084" dataCellStyle="Millares">
      <calculatedColumnFormula>IFERROR(SUMPRODUCT((Tabla2831[[#This Row],[Cuentas Contables]]=Comercial_Agricola[Cuenta Contable])*(K$74=Comercial_Agricola[Producto])*(Económico!#REF!=Comercial_Agricola[Campaña])*(Comercial_Agricola[Económico U$S Dólares]))*(IF($F$72="Tonelada",1/SUM(K$91:K$92),1)),0)</calculatedColumnFormula>
    </tableColumn>
    <tableColumn id="8" name="Columna1" totalsRowFunction="sum" dataDxfId="1083" totalsRowDxfId="1082" dataCellStyle="Millares">
      <calculatedColumnFormula>IFERROR(SUMPRODUCT((Tabla2831[[#This Row],[Cuentas Contables]]=Comercial_Agricola[Cuenta Contable])*(L$74=Comercial_Agricola[Producto])*(Económico!#REF!=Comercial_Agricola[Campaña])*(Comercial_Agricola[Económico U$S Dólares]))*(IF($F$72="Tonelada",1/SUM(L$91:L$92),1)),0)</calculatedColumnFormula>
    </tableColumn>
    <tableColumn id="9" name="Columna2" totalsRowFunction="sum" dataDxfId="1081" totalsRowDxfId="1080" dataCellStyle="Millares">
      <calculatedColumnFormula>IFERROR(SUMPRODUCT((Tabla2831[[#This Row],[Cuentas Contables]]=Comercial_Agricola[Cuenta Contable])*(M$74=Comercial_Agricola[Producto])*(Económico!#REF!=Comercial_Agricola[Campaña])*(Comercial_Agricola[Económico U$S Dólares]))*(IF($F$72="Tonelada",1/SUM(M$91:M$92),1)),0)</calculatedColumnFormula>
    </tableColumn>
    <tableColumn id="10" name="Columna3" totalsRowFunction="sum" dataDxfId="1079" totalsRowDxfId="1078" dataCellStyle="Millares">
      <calculatedColumnFormula>IFERROR(SUMPRODUCT((Tabla2831[[#This Row],[Cuentas Contables]]=Comercial_Agricola[Cuenta Contable])*(N$74=Comercial_Agricola[Producto])*(Económico!#REF!=Comercial_Agricola[Campaña])*(Comercial_Agricola[Económico U$S Dólares]))*(IF($F$72="Tonelada",1/SUM(N$91:N$92),1)),0)</calculatedColumnFormula>
    </tableColumn>
    <tableColumn id="11" name="Columna4" totalsRowFunction="sum" dataDxfId="1077" totalsRowDxfId="1076" dataCellStyle="Millares">
      <calculatedColumnFormula>IFERROR(SUMPRODUCT((Tabla2831[[#This Row],[Cuentas Contables]]=Comercial_Agricola[Cuenta Contable])*(O$74=Comercial_Agricola[Producto])*(Económico!#REF!=Comercial_Agricola[Campaña])*(Comercial_Agricola[Económico U$S Dólares]))*(IF($F$72="Tonelada",1/SUM(O$91:O$92),1)),0)</calculatedColumnFormula>
    </tableColumn>
    <tableColumn id="12" name="Columna5" totalsRowFunction="sum" dataDxfId="1075" totalsRowDxfId="1074" dataCellStyle="Millares">
      <calculatedColumnFormula>IFERROR(SUMPRODUCT((Tabla2831[[#This Row],[Cuentas Contables]]=Comercial_Agricola[Cuenta Contable])*(P$74=Comercial_Agricola[Producto])*(Económico!#REF!=Comercial_Agricola[Campaña])*(Comercial_Agricola[Económico U$S Dólares]))*(IF($F$72="Tonelada",1/SUM(P$91:P$92),1)),0)</calculatedColumnFormula>
    </tableColumn>
    <tableColumn id="13" name="Silo Maíz" totalsRowFunction="sum" dataDxfId="1073" totalsRowDxfId="1072" dataCellStyle="Millares">
      <calculatedColumnFormula>IFERROR(SUMPRODUCT((Tabla2831[[#This Row],[Cuentas Contables]]=Comercial_Agricola[Cuenta Contable])*(Q$74=Comercial_Agricola[Producto])*(Económico!#REF!=Comercial_Agricola[Campaña])*(Comercial_Agricola[Económico U$S Dólares]))*(IF($F$72="Tonelada",1/SUM(Q$91:Q$92),1)),0)</calculatedColumnFormula>
    </tableColumn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id="31" name="Tabla283132" displayName="Tabla283132" ref="E97:R111" totalsRowCount="1" headerRowDxfId="1071" dataDxfId="1070" totalsRowDxfId="1069">
  <tableColumns count="14">
    <tableColumn id="1" name="Categorías Hacienda" totalsRowLabel="Total" dataDxfId="1068" totalsRowDxfId="1067" dataCellStyle="Millares">
      <calculatedColumnFormula>Produccion_Agricola_Cuentas[[#This Row],[Cuenta Contable]]</calculatedColumnFormula>
    </tableColumn>
    <tableColumn id="2" name="Cabezas Inicio" totalsRowFunction="sum" dataDxfId="1066" totalsRowDxfId="1065" dataCellStyle="Millares">
      <calculatedColumnFormula>SUMPRODUCT(($F$4=Producción_Ganadera[C. Costo Reporte])*(Económico!$F$5=Producción_Ganadera[Campaña])*(Producción_Ganadera[Cuenta Contable]=Económico!$N$97)*(Tabla283132[[#This Row],[Categorías Hacienda]]=Producción_Ganadera[Categoría Hacienda])*(Producción_Ganadera[Cabezas]))</calculatedColumnFormula>
    </tableColumn>
    <tableColumn id="3" name="Cabezas Cierre" totalsRowFunction="sum" dataDxfId="1064" totalsRowDxfId="1063" dataCellStyle="Millares">
      <calculatedColumnFormula>SUMPRODUCT(($F$4=Producción_Ganadera[C. Costo Reporte])*(Económico!$F$5=Producción_Ganadera[Campaña])*(Producción_Ganadera[Cuenta Contable]=Económico!$P$97)*(Tabla283132[[#This Row],[Categorías Hacienda]]=Producción_Ganadera[Categoría Hacienda])*(Producción_Ganadera[Cabezas]))</calculatedColumnFormula>
    </tableColumn>
    <tableColumn id="4" name="Diferencia Cabezas" totalsRowFunction="sum" dataDxfId="1062" totalsRowDxfId="1061" dataCellStyle="Millares">
      <calculatedColumnFormula>IFERROR(SUMPRODUCT((Tabla283132[[#This Row],[Categorías Hacienda]]=Comercial_Agricola[Cuenta Contable])*(H$74=Comercial_Agricola[Producto])*(Económico!#REF!=Comercial_Agricola[Campaña])*(Comercial_Agricola[Económico U$S Dólares]))*(IF($F$72="Tonelada",1/SUM(H$91:H$92),1)),0)</calculatedColumnFormula>
    </tableColumn>
    <tableColumn id="5" name="Kilos Inicio" totalsRowFunction="sum" dataDxfId="1060" totalsRowDxfId="1059" dataCellStyle="Millares">
      <calculatedColumnFormula>SUMPRODUCT(($F$4=Producción_Ganadera[C. Costo Reporte])*(Económico!$F$5=Producción_Ganadera[Campaña])*(Producción_Ganadera[Cuenta Contable]=Económico!$N$97)*(Tabla283132[[#This Row],[Categorías Hacienda]]=Producción_Ganadera[Categoría Hacienda])*(Producción_Ganadera[Kg/Cab]))*Tabla283132[[#This Row],[Cabezas Inicio]]</calculatedColumnFormula>
    </tableColumn>
    <tableColumn id="6" name="Kilos Cierre" totalsRowFunction="sum" dataDxfId="1058" totalsRowDxfId="1057" dataCellStyle="Millares">
      <calculatedColumnFormula>SUMPRODUCT((#REF!=Producción_Ganadera[Centro de Costo])*(Económico!#REF!=Producción_Ganadera[Campaña])*(Producción_Ganadera[Cuenta Contable]=Económico!$P$97)*(Tabla283132[[#This Row],[Categorías Hacienda]]=Producción_Ganadera[Categoría Hacienda])*(Producción_Ganadera[Kg/Cab]))*Tabla283132[[#This Row],[Cabezas Cierre]]</calculatedColumnFormula>
    </tableColumn>
    <tableColumn id="7" name="Diferencia Kilos" totalsRowFunction="sum" dataDxfId="1056" totalsRowDxfId="1055" dataCellStyle="Millares"/>
    <tableColumn id="8" name="U$S/Kg Inicio" totalsRowFunction="custom" dataDxfId="1054" totalsRowDxfId="1053" dataCellStyle="Millares">
      <calculatedColumnFormula>IFERROR(Tabla283132[[#This Row],[Stock Inicio]]/Tabla283132[[#This Row],[Kilos Inicio]],0)</calculatedColumnFormula>
      <totalsRowFormula>IFERROR(Tabla283132[[#Totals],[Stock Inicio]]/Tabla283132[[#Totals],[Kilos Inicio]],0)</totalsRowFormula>
    </tableColumn>
    <tableColumn id="9" name="U$S/Kg Cierre" totalsRowFunction="custom" dataDxfId="1052" totalsRowDxfId="1051" dataCellStyle="Millares">
      <calculatedColumnFormula>IFERROR(Tabla283132[[#This Row],[Stock Cierre]]/Tabla283132[[#This Row],[Kilos Cierre]],0)</calculatedColumnFormula>
      <totalsRowFormula>IFERROR(Tabla283132[[#Totals],[Stock Cierre]]/Tabla283132[[#Totals],[Kilos Cierre]],0)</totalsRowFormula>
    </tableColumn>
    <tableColumn id="10" name="Stock Inicio" totalsRowFunction="sum" dataDxfId="1050" totalsRowDxfId="1049" dataCellStyle="Millares">
      <calculatedColumnFormula>SUMPRODUCT((#REF!=Producción_Ganadera[Centro de Costo])*(Económico!#REF!=Producción_Ganadera[Campaña])*(Producción_Ganadera[Cuenta Contable]=Económico!$N$97)*(Tabla283132[[#This Row],[Categorías Hacienda]]=Producción_Ganadera[Categoría Hacienda])*(Producción_Ganadera[Económico U$S Dólares]))</calculatedColumnFormula>
    </tableColumn>
    <tableColumn id="16" name="Stock Inicio (Cierre)" totalsRowFunction="sum" dataDxfId="1048" totalsRowDxfId="1047" dataCellStyle="Millares"/>
    <tableColumn id="11" name="Stock Cierre" totalsRowFunction="sum" dataDxfId="1046" totalsRowDxfId="1045" dataCellStyle="Millares">
      <calculatedColumnFormula>SUMPRODUCT((#REF!=Producción_Ganadera[Centro de Costo])*(Económico!#REF!=Producción_Ganadera[Campaña])*(Producción_Ganadera[Cuenta Contable]=Económico!$P$97)*(Tabla283132[[#This Row],[Categorías Hacienda]]=Producción_Ganadera[Categoría Hacienda])*(Producción_Ganadera[Económico U$S Dólares]))</calculatedColumnFormula>
    </tableColumn>
    <tableColumn id="14" name="Dif. Inventario" totalsRowFunction="sum" dataDxfId="1044" totalsRowDxfId="1043" dataCellStyle="Millares">
      <calculatedColumnFormula>(Tabla283132[[#This Row],[Kilos Cierre]]+Tabla283132[[#This Row],[Kilos Inicio]])*Tabla283132[[#This Row],[U$S/Kg Cierre]]</calculatedColumnFormula>
    </tableColumn>
    <tableColumn id="15" name="Tenencia" totalsRowFunction="sum" dataDxfId="1042" totalsRowDxfId="1041" dataCellStyle="Millares">
      <calculatedColumnFormula>-Tabla283132[[#This Row],[Kilos Inicio]]*(Tabla283132[[#This Row],[U$S/Kg Cierre]]-Tabla283132[[#This Row],[U$S/Kg Inicio]])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id="32" name="Tabla32" displayName="Tabla32" ref="E114:K136" totalsRowCount="1" headerRowDxfId="1040" dataDxfId="1039" dataCellStyle="Millares">
  <tableColumns count="7">
    <tableColumn id="1" name="Cuenta Contable" totalsRowLabel="Total" dataDxfId="1038" totalsRowDxfId="1037" dataCellStyle="Millares"/>
    <tableColumn id="2" name="Cab" dataDxfId="1036" totalsRowDxfId="1035" dataCellStyle="Millares"/>
    <tableColumn id="6" name="Kg/Cab" dataDxfId="1034" totalsRowDxfId="1033" dataCellStyle="Millares">
      <calculatedColumnFormula>IFERROR(Tabla32[[#This Row],[Prod. Carne]]/Tabla32[[#This Row],[Cab]],0)</calculatedColumnFormula>
    </tableColumn>
    <tableColumn id="3" name="Prod. Carne" totalsRowFunction="sum" dataDxfId="1032" totalsRowDxfId="1031" dataCellStyle="Millares"/>
    <tableColumn id="4" name="U$S Total" totalsRowFunction="sum" dataDxfId="1030" totalsRowDxfId="1029" dataCellStyle="Millares"/>
    <tableColumn id="5" name="U$S/ha" totalsRowFunction="sum" dataDxfId="1028" totalsRowDxfId="1027" dataCellStyle="Millares">
      <calculatedColumnFormula>IFERROR(IF($F$4=0,Tabla32[[#This Row],[U$S Total]]/SUMPRODUCT((Tabla19[Superficie])*($F$5=Tabla19[Campaña])),Tabla32[[#This Row],[U$S Total]]/SUMPRODUCT(($F$4=Tabla19[Centro de Costo])*(Tabla19[Superficie])*($F$5=Tabla19[Campaña]))),0)</calculatedColumnFormula>
    </tableColumn>
    <tableColumn id="7" name="U$S/Kg" totalsRowFunction="sum" dataDxfId="1026" totalsRowDxfId="1025" dataCellStyle="Millares">
      <calculatedColumnFormula>IFERROR(Tabla32[[#This Row],[U$S Total]]/Tabla32[[#Totals],[Prod. Carne]],0)</calculatedColumnFormula>
    </tableColumn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id="33" name="Tabla28313234" displayName="Tabla28313234" ref="E141:R154" totalsRowCount="1" headerRowDxfId="1024" dataDxfId="1023" totalsRowDxfId="1022">
  <tableColumns count="14">
    <tableColumn id="1" name="Categorías Hacienda" totalsRowLabel="Total" dataDxfId="1021" totalsRowDxfId="1020" dataCellStyle="Millares">
      <calculatedColumnFormula>Configuración!BM5</calculatedColumnFormula>
    </tableColumn>
    <tableColumn id="2" name="Cabezas Inicio" totalsRowFunction="sum" dataDxfId="1019" totalsRowDxfId="1018" dataCellStyle="Millares">
      <calculatedColumnFormula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Hacienda])*(Producción_Lecheria[Cabezas]))</calculatedColumnFormula>
    </tableColumn>
    <tableColumn id="3" name="Cabezas Cierre" totalsRowFunction="sum" dataDxfId="1017" totalsRowDxfId="1016" dataCellStyle="Millares">
      <calculatedColumnFormula>SUMPRODUCT(($F$4=Producción_Lecheria[C. Costo Reporte])*(Económico!$F$5=Producción_Lecheria[Campaña])*(Producción_Lecheria[Cuenta Contable]=Económico!$P$141)*(Tabla28313234[[#This Row],[Categorías Hacienda]]=Producción_Lecheria[Categoría Hacienda])*(Producción_Lecheria[Cabezas]))</calculatedColumnFormula>
    </tableColumn>
    <tableColumn id="4" name="Diferencia Cabezas" totalsRowFunction="sum" dataDxfId="1015" totalsRowDxfId="1014" dataCellStyle="Millares">
      <calculatedColumnFormula>Tabla28313234[[#This Row],[Cabezas Cierre]]-Tabla28313234[[#This Row],[Cabezas Inicio]]</calculatedColumnFormula>
    </tableColumn>
    <tableColumn id="5" name="Kilos Inicio" totalsRowFunction="sum" dataDxfId="1013" totalsRowDxfId="1012" dataCellStyle="Millares">
      <calculatedColumnFormula>SUMPRODUCT(($F$4=Producción_Lecheria[C. Costo Reporte])*(Económico!$F$5=Producción_Lecheria[Campaña])*(Producción_Lecheria[Cuenta Contable]=Económico!$N$97)*(Tabla28313234[[#This Row],[Categorías Hacienda]]=Producción_Lecheria[Categoría Hacienda])*(Producción_Lecheria[Kg/Cab]))*Tabla28313234[[#This Row],[Cabezas Inicio]]</calculatedColumnFormula>
    </tableColumn>
    <tableColumn id="6" name="Kilos Cierre" totalsRowFunction="sum" dataDxfId="1011" totalsRowDxfId="1010" dataCellStyle="Millares">
      <calculatedColumnFormula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Hacienda])*(Producción_Lecheria[Kg/Cab]))*Tabla28313234[[#This Row],[Cabezas Cierre]]</calculatedColumnFormula>
    </tableColumn>
    <tableColumn id="7" name="Diferencia Kilos" totalsRowFunction="sum" dataDxfId="1009" totalsRowDxfId="1008" dataCellStyle="Millares">
      <calculatedColumnFormula>Tabla28313234[[#This Row],[Kilos Cierre]]-Tabla28313234[[#This Row],[Kilos Inicio]]</calculatedColumnFormula>
    </tableColumn>
    <tableColumn id="8" name="U$S/Kg Inicio" totalsRowFunction="custom" dataDxfId="1007" totalsRowDxfId="1006" dataCellStyle="Millares">
      <calculatedColumnFormula>IFERROR(Tabla28313234[[#This Row],[Stock Inicio]]/Tabla28313234[[#This Row],[Kilos Inicio]],0)</calculatedColumnFormula>
      <totalsRowFormula>IFERROR(Tabla28313234[[#Totals],[Stock Inicio]]/Tabla28313234[[#Totals],[Kilos Inicio]],0)</totalsRowFormula>
    </tableColumn>
    <tableColumn id="9" name="U$S/Kg Cierre" totalsRowFunction="custom" dataDxfId="1005" totalsRowDxfId="1004" dataCellStyle="Millares">
      <calculatedColumnFormula>IFERROR(Tabla28313234[[#This Row],[Stock Cierre]]/Tabla28313234[[#This Row],[Kilos Cierre]],0)</calculatedColumnFormula>
      <totalsRowFormula>IFERROR(Tabla28313234[[#Totals],[Stock Cierre]]/Tabla28313234[[#Totals],[Kilos Cierre]],0)</totalsRowFormula>
    </tableColumn>
    <tableColumn id="10" name="Stock Inicio" totalsRowFunction="sum" dataDxfId="1003" totalsRowDxfId="1002" dataCellStyle="Millares">
      <calculatedColumnFormula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Hacienda])*(Producción_Lecheria[Económico U$S Dólares]))</calculatedColumnFormula>
    </tableColumn>
    <tableColumn id="16" name="Stock Inicio (Cierre)" totalsRowFunction="sum" dataDxfId="1001" totalsRowDxfId="1000" dataCellStyle="Millares">
      <calculatedColumnFormula>Tabla28313234[[#This Row],[Kilos Inicio]]*Tabla28313234[[#This Row],[U$S/Kg Cierre]]</calculatedColumnFormula>
    </tableColumn>
    <tableColumn id="11" name="Stock Cierre" totalsRowFunction="sum" dataDxfId="999" totalsRowDxfId="998" dataCellStyle="Millares">
      <calculatedColumnFormula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Hacienda])*(Producción_Lecheria[Económico U$S Dólares]))</calculatedColumnFormula>
    </tableColumn>
    <tableColumn id="14" name="Dif. Inventario" totalsRowFunction="sum" dataDxfId="997" totalsRowDxfId="996" dataCellStyle="Millares">
      <calculatedColumnFormula>(Tabla28313234[[#This Row],[Kilos Cierre]]+Tabla28313234[[#This Row],[Kilos Inicio]])*Tabla28313234[[#This Row],[U$S/Kg Cierre]]</calculatedColumnFormula>
    </tableColumn>
    <tableColumn id="15" name="Tenencia" totalsRowFunction="sum" dataDxfId="995" totalsRowDxfId="994" dataCellStyle="Millares">
      <calculatedColumnFormula>-Tabla28313234[[#This Row],[Kilos Inicio]]*(Tabla28313234[[#This Row],[U$S/Kg Cierre]]-Tabla28313234[[#This Row],[U$S/Kg Inicio]])</calculatedColumnFormula>
    </tableColumn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id="34" name="Tabla3235" displayName="Tabla3235" ref="E157:M180" totalsRowCount="1" headerRowDxfId="993" dataDxfId="992" dataCellStyle="Millares">
  <tableColumns count="9">
    <tableColumn id="1" name="Cuenta Contable" totalsRowLabel="Total" dataDxfId="991" totalsRowDxfId="990" dataCellStyle="Millares">
      <calculatedColumnFormula>Configuración!BG5</calculatedColumnFormula>
    </tableColumn>
    <tableColumn id="2" name="Cab" dataDxfId="989" totalsRowDxfId="988" dataCellStyle="Millares">
      <calculatedColumnFormula>SUMPRODUCT(($F$4=Producción_Lecheria[C. Costo Reporte])*(Económico!$F$5=Producción_Lecheria[Campaña])*(Tabla3235[[#This Row],[Cuenta Contable]]=Producción_Lecheria[Cuenta Contable])*(Producción_Lecheria[Cabezas]))</calculatedColumnFormula>
    </tableColumn>
    <tableColumn id="6" name="Kg/Cab" dataDxfId="987" totalsRowDxfId="986" dataCellStyle="Millares">
      <calculatedColumnFormula>IFERROR(Tabla3235[[#This Row],[Prod. Carne]]/Tabla3235[[#This Row],[Cab]],0)</calculatedColumnFormula>
    </tableColumn>
    <tableColumn id="3" name="Prod. Carne" totalsRowFunction="sum" dataDxfId="985" totalsRowDxfId="984" dataCellStyle="Millares">
      <calculatedColumnFormula>SUMPRODUCT(($F$4=Producción_Lecheria[C. Costo Reporte])*(Económico!$F$5=Producción_Lecheria[Campaña])*(Tabla3235[[#This Row],[Cuenta Contable]]=Producción_Lecheria[Cuenta Contable])*(Producción_Lecheria[Cabezas])*(Producción_Lecheria[Kg/Cab]))</calculatedColumnFormula>
    </tableColumn>
    <tableColumn id="4" name="Litros" totalsRowFunction="sum" dataDxfId="983" totalsRowDxfId="982" dataCellStyle="Millares"/>
    <tableColumn id="5" name="U$S Total" totalsRowFunction="sum" dataDxfId="981" totalsRowDxfId="980" dataCellStyle="Millares">
      <calculatedColumnFormula>SUMPRODUCT(($F$4=Producción_Lecheria[C. Costo Reporte])*(Económico!$F$5=Producción_Lecheria[Campaña])*(Tabla3235[[#This Row],[Cuenta Contable]]=Producción_Lecheria[Cuenta Contable])*(Producción_Lecheria[Económico U$S Dólares]))</calculatedColumnFormula>
    </tableColumn>
    <tableColumn id="7" name="U$S/ha" totalsRowFunction="sum" dataDxfId="979" totalsRowDxfId="978" dataCellStyle="Millares">
      <calculatedColumnFormula>IFERROR(Tabla3235[[#This Row],[U$S Total]]/IF($F$4=0,SUMPRODUCT((Tabla1924[Superficie])*($F$5=Tabla1924[Campaña])),SUMPRODUCT(($F$4=Tabla1924[Centro de Costo])*(Tabla1924[Superficie])*($F$5=Tabla1924[Campaña]))),0)</calculatedColumnFormula>
    </tableColumn>
    <tableColumn id="8" name="U$S/Litro" totalsRowFunction="sum" dataDxfId="977" totalsRowDxfId="976" dataCellStyle="Millares">
      <calculatedColumnFormula>IFERROR(Tabla3235[[#This Row],[U$S Total]]/Tabla3235[[#Totals],[Litros]],0)</calculatedColumnFormula>
    </tableColumn>
    <tableColumn id="9" name="U$S/V. O." totalsRowFunction="sum" dataDxfId="975" totalsRowDxfId="974" dataCellStyle="Millares">
      <calculatedColumnFormula array="1">IFERROR(IF($F$4=0,Tabla3235[[#This Row],[U$S Total]]/AVERAGE((Económico!$F$5=Tabla27[Campaña])*(Tabla27[V. Ordeñe])),Tabla3235[[#This Row],[U$S Total]]/AVERAGE(($F$4=Tabla27[Centro Costo])*(Económico!$F$5=Tabla27[Campaña])*(Tabla27[V. Ordeñe]))),0)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Produccion_Agricola_Cuentas" displayName="Produccion_Agricola_Cuentas" ref="P4:S21" totalsRowShown="0" headerRowDxfId="1263">
  <tableColumns count="4">
    <tableColumn id="1" name="Cuenta Contable"/>
    <tableColumn id="2" name="Movimiento"/>
    <tableColumn id="4" name="Tipo Cuenta"/>
    <tableColumn id="3" name="IVA" dataDxfId="1262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id="35" name="Tabla283136" displayName="Tabla283136" ref="E185:L208" totalsRowCount="1" headerRowDxfId="973" dataDxfId="972" totalsRowDxfId="971">
  <tableColumns count="8">
    <tableColumn id="1" name="Cuentas Contables" totalsRowLabel="Resultado" dataDxfId="970" totalsRowDxfId="969" dataCellStyle="Millares"/>
    <tableColumn id="2" name="Maquinaria" totalsRowFunction="sum" dataDxfId="968" totalsRowDxfId="967" dataCellStyle="Millares">
      <calculatedColumnFormula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calculatedColumnFormula>
    </tableColumn>
    <tableColumn id="3" name="Cosecha" totalsRowFunction="sum" dataDxfId="966" totalsRowDxfId="965" dataCellStyle="Millares">
      <calculatedColumnFormula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calculatedColumnFormula>
    </tableColumn>
    <tableColumn id="4" name="Inmobiliario" totalsRowFunction="sum" dataDxfId="964" totalsRowDxfId="963" dataCellStyle="Millares">
      <calculatedColumnFormula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calculatedColumnFormula>
    </tableColumn>
    <tableColumn id="5" name="Fletes" totalsRowFunction="sum" dataDxfId="962" totalsRowDxfId="961" dataCellStyle="Millares">
      <calculatedColumnFormula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calculatedColumnFormula>
    </tableColumn>
    <tableColumn id="6" name="Columna1" totalsRowFunction="sum" dataDxfId="960" totalsRowDxfId="959" dataCellStyle="Millares">
      <calculatedColumnFormula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calculatedColumnFormula>
    </tableColumn>
    <tableColumn id="7" name="Columna6" totalsRowFunction="sum" dataDxfId="958" totalsRowDxfId="957" dataCellStyle="Millares">
      <calculatedColumnFormula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calculatedColumnFormula>
    </tableColumn>
    <tableColumn id="8" name="Columna7" totalsRowFunction="sum" dataDxfId="956" totalsRowDxfId="955" dataCellStyle="Millares">
      <calculatedColumnFormula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calculatedColumnFormula>
    </tableColumn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id="36" name="Tabla28313637" displayName="Tabla28313637" ref="E213:L237" totalsRowCount="1" headerRowDxfId="954" dataDxfId="953" totalsRowDxfId="952">
  <tableColumns count="8">
    <tableColumn id="1" name="Cuentas Contables" totalsRowLabel="Resultado" dataDxfId="951" totalsRowDxfId="950" dataCellStyle="Millares">
      <calculatedColumnFormula>Configuración!CE5</calculatedColumnFormula>
    </tableColumn>
    <tableColumn id="2" name="Estructura" totalsRowFunction="sum" dataDxfId="949" totalsRowDxfId="948" dataCellStyle="Millares">
      <calculatedColumnFormula>IFERROR(SUMPRODUCT((Tabla28313637[[#This Row],[Cuentas Contables]]=Indirectos[Cuenta Contable])*(Económico!$F$5=Indirectos[Campaña])*(Indirectos[Económico U$S Dólares])*(F$213=Indirectos[Unidad de Negocio])*($F$4=Indirectos[C. Costo Reporte])*(Indirectos[Econ.]="SI")),0)</calculatedColumnFormula>
    </tableColumn>
    <tableColumn id="3" name="Administración" totalsRowFunction="sum" dataDxfId="947" totalsRowDxfId="946" dataCellStyle="Millares">
      <calculatedColumnFormula>IFERROR(SUMPRODUCT((Tabla28313637[[#This Row],[Cuentas Contables]]=Indirectos[Cuenta Contable])*(Económico!$F$5=Indirectos[Campaña])*(Indirectos[Económico U$S Dólares])*(G$213=Indirectos[Unidad de Negocio])*($F$4=Indirectos[C. Costo Reporte])*(Indirectos[Econ.]="SI")),0)</calculatedColumnFormula>
    </tableColumn>
    <tableColumn id="4" name="Impuestos" totalsRowFunction="sum" dataDxfId="945" totalsRowDxfId="944" dataCellStyle="Millares">
      <calculatedColumnFormula>IFERROR(SUMPRODUCT((Tabla28313637[[#This Row],[Cuentas Contables]]=Indirectos[Cuenta Contable])*(Económico!$F$5=Indirectos[Campaña])*(Indirectos[Económico U$S Dólares])*(H$213=Indirectos[Unidad de Negocio])*($F$4=Indirectos[C. Costo Reporte])*(Indirectos[Econ.]="SI")),0)</calculatedColumnFormula>
    </tableColumn>
    <tableColumn id="5" name="Dividendos" totalsRowFunction="sum" dataDxfId="943" totalsRowDxfId="942" dataCellStyle="Millares">
      <calculatedColumnFormula>IFERROR(SUMPRODUCT((Tabla28313637[[#This Row],[Cuentas Contables]]=Indirectos[Cuenta Contable])*(Económico!$F$5=Indirectos[Campaña])*(Indirectos[Económico U$S Dólares])*(I$213=Indirectos[Unidad de Negocio])*($F$4=Indirectos[C. Costo Reporte])*(Indirectos[Econ.]="SI")),0)</calculatedColumnFormula>
    </tableColumn>
    <tableColumn id="6" name="Inversiones" totalsRowFunction="sum" dataDxfId="941" totalsRowDxfId="940" dataCellStyle="Millares">
      <calculatedColumnFormula>IFERROR(SUMPRODUCT((Tabla28313637[[#This Row],[Cuentas Contables]]=Indirectos[Cuenta Contable])*(Económico!$F$5=Indirectos[Campaña])*(Indirectos[Económico U$S Dólares])*(J$213=Indirectos[Unidad de Negocio])*($F$4=Indirectos[C. Costo Reporte])*(Indirectos[Econ.]="SI")),0)</calculatedColumnFormula>
    </tableColumn>
    <tableColumn id="7" name="Columna3" totalsRowFunction="sum" dataDxfId="939" totalsRowDxfId="938" dataCellStyle="Millares">
      <calculatedColumnFormula>IFERROR(SUMPRODUCT((Tabla28313637[[#This Row],[Cuentas Contables]]=Indirectos[Cuenta Contable])*(Económico!$F$5=Indirectos[Campaña])*(Indirectos[Económico U$S Dólares])*(K$213=Indirectos[Unidad de Negocio])*($F$4=Indirectos[C. Costo Reporte])*(Indirectos[Econ.]="SI")),0)</calculatedColumnFormula>
    </tableColumn>
    <tableColumn id="8" name="Columna4" totalsRowFunction="sum" dataDxfId="937" totalsRowDxfId="936" dataCellStyle="Millares">
      <calculatedColumnFormula>IFERROR(SUMPRODUCT((Tabla28313637[[#This Row],[Cuentas Contables]]=Indirectos[Cuenta Contable])*(Económico!$F$5=Indirectos[Campaña])*(Indirectos[Económico U$S Dólares])*(L$213=Indirectos[Unidad de Negocio])*($F$4=Indirectos[C. Costo Reporte])*(Indirectos[Econ.]="SI")),0)</calculatedColumnFormula>
    </tableColumn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id="39" name="Tabla2831363740" displayName="Tabla2831363740" ref="E242:F253" totalsRowCount="1" headerRowDxfId="935" dataDxfId="934" totalsRowDxfId="933">
  <tableColumns count="2">
    <tableColumn id="1" name="Cuentas Contables" totalsRowLabel="Resultado" dataDxfId="932" totalsRowDxfId="931" dataCellStyle="Millares">
      <calculatedColumnFormula>Configuración!CJ5</calculatedColumnFormula>
    </tableColumn>
    <tableColumn id="2" name="Finanzas" totalsRowFunction="sum" dataDxfId="930" totalsRowDxfId="929" dataCellStyle="Millares">
      <calculatedColumnFormula>IFERROR(SUMPRODUCT((Tabla2831363740[[#This Row],[Cuentas Contables]]=Finanzas[Cuenta Contable])*(Económico!$F$5=Finanzas[Campaña])*(Finanzas[Económico U$S Dólares])*("Si"=Finanzas[Econ.])),0)</calculatedColumnFormula>
    </tableColumn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id="40" name="Tabla2841" displayName="Tabla2841" ref="AA41:AN59" totalsRowCount="1" headerRowDxfId="928" dataDxfId="927" totalsRowDxfId="926">
  <tableColumns count="14">
    <tableColumn id="1" name="Cuentas Contables" totalsRowLabel="Resultado" dataDxfId="925" totalsRowDxfId="924" dataCellStyle="Millares">
      <calculatedColumnFormula>Tabla28[[#This Row],[Cuentas Contables]]</calculatedColumnFormula>
    </tableColumn>
    <tableColumn id="2" name="Maíz Temprano" totalsRowFunction="sum" dataDxfId="923" totalsRowDxfId="922" dataCellStyle="Millares">
      <calculatedColumnFormula>IFERROR(SUMPRODUCT(($F$4=Producción_Agricola[C. Costo Reporte])*(Económico!AB$41=Producción_Agricola[Unidad de Negocio])*(Económico!$E42=Producción_Agricola[Cuenta Contable])*($F$5=Producción_Agricola[Campaña])*(Producción_Agricola[Económico U$S Dólares]))*(IF($F$39="Hectárea",1/AB$61,IF($F$39="Tonelada",1/AB$62,1))),0)</calculatedColumnFormula>
    </tableColumn>
    <tableColumn id="3" name="Maíz Tardío" totalsRowFunction="sum" dataDxfId="921" totalsRowDxfId="920" dataCellStyle="Millares">
      <calculatedColumnFormula>IFERROR(SUMPRODUCT(($F$4=Producción_Agricola[C. Costo Reporte])*(Económico!AC$41=Producción_Agricola[Unidad de Negocio])*(Económico!$E42=Producción_Agricola[Cuenta Contable])*($F$5=Producción_Agricola[Campaña])*(Producción_Agricola[Económico U$S Dólares]))*(IF($F$39="Hectárea",1/AC$61,IF($F$39="Tonelada",1/AC$62,1))),0)</calculatedColumnFormula>
    </tableColumn>
    <tableColumn id="4" name="Maíz de Segunda" totalsRowFunction="sum" dataDxfId="919" totalsRowDxfId="918" dataCellStyle="Millares">
      <calculatedColumnFormula>IFERROR(SUMPRODUCT(($F$4=Producción_Agricola[C. Costo Reporte])*(Económico!AD$41=Producción_Agricola[Unidad de Negocio])*(Económico!$E42=Producción_Agricola[Cuenta Contable])*($F$5=Producción_Agricola[Campaña])*(Producción_Agricola[Económico U$S Dólares]))*(IF($F$39="Hectárea",1/AD$61,IF($F$39="Tonelada",1/AD$62,1))),0)</calculatedColumnFormula>
    </tableColumn>
    <tableColumn id="5" name="Maíz de Tercera" totalsRowFunction="sum" dataDxfId="917" totalsRowDxfId="916" dataCellStyle="Millares">
      <calculatedColumnFormula>IFERROR(SUMPRODUCT(($F$4=Producción_Agricola[C. Costo Reporte])*(Económico!AE$41=Producción_Agricola[Unidad de Negocio])*(Económico!$E42=Producción_Agricola[Cuenta Contable])*($F$5=Producción_Agricola[Campaña])*(Producción_Agricola[Económico U$S Dólares]))*(IF($F$39="Hectárea",1/AE$61,IF($F$39="Tonelada",1/AE$62,1))),0)</calculatedColumnFormula>
    </tableColumn>
    <tableColumn id="6" name="Soja de Primera" totalsRowFunction="sum" dataDxfId="915" totalsRowDxfId="914" dataCellStyle="Millares">
      <calculatedColumnFormula>IFERROR(SUMPRODUCT(($F$4=Producción_Agricola[C. Costo Reporte])*(Económico!AF$41=Producción_Agricola[Unidad de Negocio])*(Económico!$E42=Producción_Agricola[Cuenta Contable])*($F$5=Producción_Agricola[Campaña])*(Producción_Agricola[Económico U$S Dólares]))*(IF($F$39="Hectárea",1/AF$61,IF($F$39="Tonelada",1/AF$62,1))),0)</calculatedColumnFormula>
    </tableColumn>
    <tableColumn id="7" name="Soja de Segunda" totalsRowFunction="sum" dataDxfId="913" totalsRowDxfId="912" dataCellStyle="Millares">
      <calculatedColumnFormula>IFERROR(SUMPRODUCT(($F$4=Producción_Agricola[C. Costo Reporte])*(Económico!AG$41=Producción_Agricola[Unidad de Negocio])*(Económico!$E42=Producción_Agricola[Cuenta Contable])*($F$5=Producción_Agricola[Campaña])*(Producción_Agricola[Económico U$S Dólares]))*(IF($F$39="Hectárea",1/AG$61,IF($F$39="Tonelada",1/AG$62,1))),0)</calculatedColumnFormula>
    </tableColumn>
    <tableColumn id="8" name="Girasol" totalsRowFunction="sum" dataDxfId="911" totalsRowDxfId="910" dataCellStyle="Millares">
      <calculatedColumnFormula>IFERROR(SUMPRODUCT(($F$4=Producción_Agricola[C. Costo Reporte])*(Económico!AH$41=Producción_Agricola[Unidad de Negocio])*(Económico!$E42=Producción_Agricola[Cuenta Contable])*($F$5=Producción_Agricola[Campaña])*(Producción_Agricola[Económico U$S Dólares]))*(IF($F$39="Hectárea",1/AH$61,IF($F$39="Tonelada",1/AH$62,1))),0)</calculatedColumnFormula>
    </tableColumn>
    <tableColumn id="9" name="Girasol AO" totalsRowFunction="sum" dataDxfId="909" totalsRowDxfId="908" dataCellStyle="Millares">
      <calculatedColumnFormula>IFERROR(SUMPRODUCT(($F$4=Producción_Agricola[C. Costo Reporte])*(Económico!AI$41=Producción_Agricola[Unidad de Negocio])*(Económico!$E42=Producción_Agricola[Cuenta Contable])*($F$5=Producción_Agricola[Campaña])*(Producción_Agricola[Económico U$S Dólares]))*(IF($F$39="Hectárea",1/AI$61,IF($F$39="Tonelada",1/AI$62,1))),0)</calculatedColumnFormula>
    </tableColumn>
    <tableColumn id="10" name=" Trigo" totalsRowFunction="sum" dataDxfId="907" totalsRowDxfId="906" dataCellStyle="Millares">
      <calculatedColumnFormula>IFERROR(SUMPRODUCT(($F$4=Producción_Agricola[C. Costo Reporte])*(Económico!AJ$41=Producción_Agricola[Unidad de Negocio])*(Económico!$E42=Producción_Agricola[Cuenta Contable])*($F$5=Producción_Agricola[Campaña])*(Producción_Agricola[Económico U$S Dólares]))*(IF($F$39="Hectárea",1/AJ$61,IF($F$39="Tonelada",1/AJ$62,1))),0)</calculatedColumnFormula>
    </tableColumn>
    <tableColumn id="11" name="Cebada" totalsRowFunction="sum" dataDxfId="905" totalsRowDxfId="904" dataCellStyle="Millares">
      <calculatedColumnFormula>IFERROR(SUMPRODUCT(($F$4=Producción_Agricola[C. Costo Reporte])*(Económico!AK$41=Producción_Agricola[Unidad de Negocio])*(Económico!$E42=Producción_Agricola[Cuenta Contable])*($F$5=Producción_Agricola[Campaña])*(Producción_Agricola[Económico U$S Dólares]))*(IF($F$39="Hectárea",1/AK$61,IF($F$39="Tonelada",1/AK$62,1))),0)</calculatedColumnFormula>
    </tableColumn>
    <tableColumn id="12" name="Sorgo" totalsRowFunction="sum" dataDxfId="903" totalsRowDxfId="902" dataCellStyle="Millares">
      <calculatedColumnFormula>IFERROR(SUMPRODUCT(($F$4=Producción_Agricola[C. Costo Reporte])*(Económico!AL$41=Producción_Agricola[Unidad de Negocio])*(Económico!$E42=Producción_Agricola[Cuenta Contable])*($F$5=Producción_Agricola[Campaña])*(Producción_Agricola[Económico U$S Dólares]))*(IF($F$39="Hectárea",1/AL$61,IF($F$39="Tonelada",1/AL$62,1))),0)</calculatedColumnFormula>
    </tableColumn>
    <tableColumn id="13" name="Maíz Silo" totalsRowFunction="sum" dataDxfId="901" totalsRowDxfId="900" dataCellStyle="Millares">
      <calculatedColumnFormula>IFERROR(SUMPRODUCT(($F$4=Producción_Agricola[C. Costo Reporte])*(Económico!AM$41=Producción_Agricola[Unidad de Negocio])*(Económico!$E42=Producción_Agricola[Cuenta Contable])*($F$5=Producción_Agricola[Campaña])*(Producción_Agricola[Económico U$S Dólares]))*(IF($F$39="Hectárea",1/AM$61,IF($F$39="Tonelada",1/AM$62,1))),0)</calculatedColumnFormula>
    </tableColumn>
    <tableColumn id="14" name="Tipo Cuenta" dataDxfId="899" totalsRowDxfId="898" dataCellStyle="Millares">
      <calculatedColumnFormula>INDEX(Produccion_Agricola_Cuentas[],MATCH(Tabla2841[[#This Row],[Cuentas Contables]],Produccion_Agricola_Cuentas[Cuenta Contable],0),3)</calculatedColumnFormula>
    </tableColumn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id="41" name="Tabla283142" displayName="Tabla283142" ref="AA74:AM89" totalsRowCount="1" headerRowDxfId="897" dataDxfId="896" totalsRowDxfId="895">
  <tableColumns count="13">
    <tableColumn id="1" name="Cuentas Contables" totalsRowLabel="Resultado" dataDxfId="894" totalsRowDxfId="893" dataCellStyle="Millares">
      <calculatedColumnFormula>Tabla2831[[#This Row],[Cuentas Contables]]</calculatedColumnFormula>
    </tableColumn>
    <tableColumn id="2" name="Soja" totalsRowFunction="sum" dataDxfId="892" totalsRowDxfId="891" dataCellStyle="Millares">
      <calculatedColumnFormula>IFERROR(SUMPRODUCT((Tabla283142[[#This Row],[Cuentas Contables]]=Comercial_Agricola[Cuenta Contable])*(AB$74=Comercial_Agricola[Producto])*(Económico!#REF!=Comercial_Agricola[Campaña])*(Comercial_Agricola[Económico U$S Dólares]))*(IF($F$72="Tonelada",1/SUM(AB$91:AB$92),1)),0)</calculatedColumnFormula>
    </tableColumn>
    <tableColumn id="3" name="Maíz" totalsRowFunction="sum" dataDxfId="890" totalsRowDxfId="889" dataCellStyle="Millares">
      <calculatedColumnFormula>IFERROR(SUMPRODUCT((Tabla283142[[#This Row],[Cuentas Contables]]=Comercial_Agricola[Cuenta Contable])*(AC$74=Comercial_Agricola[Producto])*(Económico!#REF!=Comercial_Agricola[Campaña])*(Comercial_Agricola[Económico U$S Dólares]))*(IF($F$72="Tonelada",1/SUM(AC$91:AC$92),1)),0)</calculatedColumnFormula>
    </tableColumn>
    <tableColumn id="4" name="Girasol" totalsRowFunction="sum" dataDxfId="888" totalsRowDxfId="887" dataCellStyle="Millares">
      <calculatedColumnFormula>IFERROR(SUMPRODUCT((Tabla283142[[#This Row],[Cuentas Contables]]=Comercial_Agricola[Cuenta Contable])*(AD$74=Comercial_Agricola[Producto])*(Económico!#REF!=Comercial_Agricola[Campaña])*(Comercial_Agricola[Económico U$S Dólares]))*(IF($F$72="Tonelada",1/SUM(AD$91:AD$92),1)),0)</calculatedColumnFormula>
    </tableColumn>
    <tableColumn id="5" name="Trigo" totalsRowFunction="sum" dataDxfId="886" totalsRowDxfId="885" dataCellStyle="Millares">
      <calculatedColumnFormula>IFERROR(SUMPRODUCT((Tabla283142[[#This Row],[Cuentas Contables]]=Comercial_Agricola[Cuenta Contable])*(AE$74=Comercial_Agricola[Producto])*(Económico!#REF!=Comercial_Agricola[Campaña])*(Comercial_Agricola[Económico U$S Dólares]))*(IF($F$72="Tonelada",1/SUM(AE$91:AE$92),1)),0)</calculatedColumnFormula>
    </tableColumn>
    <tableColumn id="6" name="Cebada" totalsRowFunction="sum" dataDxfId="884" totalsRowDxfId="883" dataCellStyle="Millares">
      <calculatedColumnFormula>IFERROR(SUMPRODUCT((Tabla283142[[#This Row],[Cuentas Contables]]=Comercial_Agricola[Cuenta Contable])*(AF$74=Comercial_Agricola[Producto])*(Económico!#REF!=Comercial_Agricola[Campaña])*(Comercial_Agricola[Económico U$S Dólares]))*(IF($F$72="Tonelada",1/SUM(AF$91:AF$92),1)),0)</calculatedColumnFormula>
    </tableColumn>
    <tableColumn id="7" name="Sorgo" totalsRowFunction="sum" dataDxfId="882" totalsRowDxfId="881" dataCellStyle="Millares">
      <calculatedColumnFormula>IFERROR(SUMPRODUCT((Tabla283142[[#This Row],[Cuentas Contables]]=Comercial_Agricola[Cuenta Contable])*(AG$74=Comercial_Agricola[Producto])*(Económico!#REF!=Comercial_Agricola[Campaña])*(Comercial_Agricola[Económico U$S Dólares]))*(IF($F$72="Tonelada",1/SUM(AG$91:AG$92),1)),0)</calculatedColumnFormula>
    </tableColumn>
    <tableColumn id="8" name="Columna1" totalsRowFunction="sum" dataDxfId="880" totalsRowDxfId="879" dataCellStyle="Millares">
      <calculatedColumnFormula>IFERROR(SUMPRODUCT((Tabla283142[[#This Row],[Cuentas Contables]]=Comercial_Agricola[Cuenta Contable])*(AH$74=Comercial_Agricola[Producto])*(Económico!#REF!=Comercial_Agricola[Campaña])*(Comercial_Agricola[Económico U$S Dólares]))*(IF($F$72="Tonelada",1/SUM(AH$91:AH$92),1)),0)</calculatedColumnFormula>
    </tableColumn>
    <tableColumn id="9" name="Columna2" totalsRowFunction="sum" dataDxfId="878" totalsRowDxfId="877" dataCellStyle="Millares">
      <calculatedColumnFormula>IFERROR(SUMPRODUCT((Tabla283142[[#This Row],[Cuentas Contables]]=Comercial_Agricola[Cuenta Contable])*(AI$74=Comercial_Agricola[Producto])*(Económico!#REF!=Comercial_Agricola[Campaña])*(Comercial_Agricola[Económico U$S Dólares]))*(IF($F$72="Tonelada",1/SUM(AI$91:AI$92),1)),0)</calculatedColumnFormula>
    </tableColumn>
    <tableColumn id="10" name="Columna3" totalsRowFunction="sum" dataDxfId="876" totalsRowDxfId="875" dataCellStyle="Millares">
      <calculatedColumnFormula>IFERROR(SUMPRODUCT((Tabla283142[[#This Row],[Cuentas Contables]]=Comercial_Agricola[Cuenta Contable])*(AJ$74=Comercial_Agricola[Producto])*(Económico!#REF!=Comercial_Agricola[Campaña])*(Comercial_Agricola[Económico U$S Dólares]))*(IF($F$72="Tonelada",1/SUM(AJ$91:AJ$92),1)),0)</calculatedColumnFormula>
    </tableColumn>
    <tableColumn id="11" name="Columna4" totalsRowFunction="sum" dataDxfId="874" totalsRowDxfId="873" dataCellStyle="Millares">
      <calculatedColumnFormula>IFERROR(SUMPRODUCT((Tabla283142[[#This Row],[Cuentas Contables]]=Comercial_Agricola[Cuenta Contable])*(AK$74=Comercial_Agricola[Producto])*(Económico!#REF!=Comercial_Agricola[Campaña])*(Comercial_Agricola[Económico U$S Dólares]))*(IF($F$72="Tonelada",1/SUM(AK$91:AK$92),1)),0)</calculatedColumnFormula>
    </tableColumn>
    <tableColumn id="12" name="Columna5" totalsRowFunction="sum" dataDxfId="872" totalsRowDxfId="871" dataCellStyle="Millares">
      <calculatedColumnFormula>IFERROR(SUMPRODUCT((Tabla283142[[#This Row],[Cuentas Contables]]=Comercial_Agricola[Cuenta Contable])*(AL$74=Comercial_Agricola[Producto])*(Económico!#REF!=Comercial_Agricola[Campaña])*(Comercial_Agricola[Económico U$S Dólares]))*(IF($F$72="Tonelada",1/SUM(AL$91:AL$92),1)),0)</calculatedColumnFormula>
    </tableColumn>
    <tableColumn id="13" name="Silo Maíz" totalsRowFunction="sum" dataDxfId="870" totalsRowDxfId="869" dataCellStyle="Millares">
      <calculatedColumnFormula>IFERROR(SUMPRODUCT((Tabla283142[[#This Row],[Cuentas Contables]]=Comercial_Agricola[Cuenta Contable])*(AM$74=Comercial_Agricola[Producto])*(Económico!#REF!=Comercial_Agricola[Campaña])*(Comercial_Agricola[Económico U$S Dólares]))*(IF($F$72="Tonelada",1/SUM(AM$91:AM$92),1)),0)</calculatedColumnFormula>
    </tableColumn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id="42" name="Tabla28313243" displayName="Tabla28313243" ref="AA97:AN111" totalsRowCount="1" headerRowDxfId="868" dataDxfId="867" totalsRowDxfId="866">
  <tableColumns count="14">
    <tableColumn id="1" name="Categorías Hacienda" totalsRowLabel="Total" dataDxfId="865" totalsRowDxfId="864" dataCellStyle="Millares">
      <calculatedColumnFormula>Tabla283132[[#This Row],[Categorías Hacienda]]</calculatedColumnFormula>
    </tableColumn>
    <tableColumn id="2" name="Cabezas Inicio" totalsRowFunction="sum" dataDxfId="863" totalsRowDxfId="862" dataCellStyle="Millares">
      <calculatedColumnFormula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Hacienda])*(Producción_Ganadera[Cabezas]))</calculatedColumnFormula>
    </tableColumn>
    <tableColumn id="3" name="Cabezas Cierre" totalsRowFunction="sum" dataDxfId="861" totalsRowDxfId="860" dataCellStyle="Millares">
      <calculatedColumnFormula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Hacienda])*(Producción_Ganadera[Cabezas]))</calculatedColumnFormula>
    </tableColumn>
    <tableColumn id="4" name="Diferencia Cabezas" totalsRowFunction="sum" dataDxfId="859" totalsRowDxfId="858" dataCellStyle="Millares">
      <calculatedColumnFormula>IFERROR(SUMPRODUCT((Tabla28313243[[#This Row],[Categorías Hacienda]]=Comercial_Agricola[Cuenta Contable])*(AD$74=Comercial_Agricola[Producto])*(Económico!#REF!=Comercial_Agricola[Campaña])*(Comercial_Agricola[Económico U$S Dólares]))*(IF($F$72="Tonelada",1/SUM(AD$91:AD$92),1)),0)</calculatedColumnFormula>
    </tableColumn>
    <tableColumn id="5" name="Kilos Inicio" totalsRowFunction="sum" dataDxfId="857" totalsRowDxfId="856" dataCellStyle="Millares">
      <calculatedColumnFormula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Hacienda])*(Producción_Ganadera[Kg/Cab]))*Tabla28313243[[#This Row],[Cabezas Inicio]]</calculatedColumnFormula>
    </tableColumn>
    <tableColumn id="6" name="Kilos Cierre" totalsRowFunction="sum" dataDxfId="855" totalsRowDxfId="854" dataCellStyle="Millares">
      <calculatedColumnFormula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Hacienda])*(Producción_Ganadera[Kg/Cab]))*Tabla28313243[[#This Row],[Cabezas Cierre]]</calculatedColumnFormula>
    </tableColumn>
    <tableColumn id="7" name="Diferencia Kilos" totalsRowFunction="sum" dataDxfId="853" totalsRowDxfId="852" dataCellStyle="Millares"/>
    <tableColumn id="8" name="U$S/Kg Inicio" totalsRowFunction="custom" dataDxfId="851" totalsRowDxfId="850" dataCellStyle="Millares">
      <calculatedColumnFormula>IFERROR(Tabla28313243[[#This Row],[Stock Inicio]]/Tabla28313243[[#This Row],[Kilos Inicio]],0)</calculatedColumnFormula>
      <totalsRowFormula>IFERROR(Tabla28313243[[#Totals],[Stock Inicio]]/Tabla28313243[[#Totals],[Kilos Inicio]],0)</totalsRowFormula>
    </tableColumn>
    <tableColumn id="9" name="U$S/Kg Cierre" totalsRowFunction="custom" dataDxfId="849" totalsRowDxfId="848" dataCellStyle="Millares">
      <calculatedColumnFormula>IFERROR(Tabla28313243[[#This Row],[Stock Cierre]]/Tabla28313243[[#This Row],[Kilos Cierre]],0)</calculatedColumnFormula>
      <totalsRowFormula>IFERROR(Tabla28313243[[#Totals],[Stock Cierre]]/Tabla28313243[[#Totals],[Kilos Cierre]],0)</totalsRowFormula>
    </tableColumn>
    <tableColumn id="10" name="Stock Inicio" totalsRowFunction="sum" dataDxfId="847" totalsRowDxfId="846" dataCellStyle="Millares">
      <calculatedColumnFormula>SUMPRODUCT((#REF!=Producción_Ganadera[Centro de Costo])*(Económico!#REF!=Producción_Ganadera[Campaña])*(Producción_Ganadera[Cuenta Contable]=Económico!$N$97)*(Tabla28313243[[#This Row],[Categorías Hacienda]]=Producción_Ganadera[Categoría Hacienda])*(Producción_Ganadera[Económico U$S Dólares]))</calculatedColumnFormula>
    </tableColumn>
    <tableColumn id="16" name="Stock Inicio (Cierre)" totalsRowFunction="sum" dataDxfId="845" totalsRowDxfId="844" dataCellStyle="Millares">
      <calculatedColumnFormula>Tabla28313243[[#This Row],[Kilos Inicio]]*Tabla28313243[[#This Row],[U$S/Kg Cierre]]</calculatedColumnFormula>
    </tableColumn>
    <tableColumn id="11" name="Stock Cierre" totalsRowFunction="sum" dataDxfId="843" totalsRowDxfId="842" dataCellStyle="Millares">
      <calculatedColumnFormula>SUMPRODUCT((#REF!=Producción_Ganadera[Centro de Costo])*(Económico!#REF!=Producción_Ganadera[Campaña])*(Producción_Ganadera[Cuenta Contable]=Económico!$P$97)*(Tabla28313243[[#This Row],[Categorías Hacienda]]=Producción_Ganadera[Categoría Hacienda])*(Producción_Ganadera[Económico U$S Dólares]))</calculatedColumnFormula>
    </tableColumn>
    <tableColumn id="14" name="Dif. Inventario" totalsRowFunction="sum" dataDxfId="841" totalsRowDxfId="840" dataCellStyle="Millares">
      <calculatedColumnFormula>(Tabla28313243[[#This Row],[Kilos Cierre]]+Tabla28313243[[#This Row],[Kilos Inicio]])*Tabla28313243[[#This Row],[U$S/Kg Cierre]]</calculatedColumnFormula>
    </tableColumn>
    <tableColumn id="15" name="Tenencia" totalsRowFunction="sum" dataDxfId="839" totalsRowDxfId="838" dataCellStyle="Millares">
      <calculatedColumnFormula>-Tabla28313243[[#This Row],[Kilos Inicio]]*(Tabla28313243[[#This Row],[U$S/Kg Cierre]]-Tabla28313243[[#This Row],[U$S/Kg Inicio]])</calculatedColumnFormula>
    </tableColumn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id="43" name="Tabla3244" displayName="Tabla3244" ref="AA114:AG136" totalsRowCount="1" headerRowDxfId="837" dataDxfId="836" dataCellStyle="Millares">
  <tableColumns count="7">
    <tableColumn id="1" name="Cuenta Contable" totalsRowLabel="Total" dataDxfId="835" totalsRowDxfId="834" dataCellStyle="Millares">
      <calculatedColumnFormula>Tabla32[[#This Row],[Cuenta Contable]]</calculatedColumnFormula>
    </tableColumn>
    <tableColumn id="2" name="Cab" dataDxfId="833" totalsRowDxfId="832" dataCellStyle="Millares"/>
    <tableColumn id="6" name="Kg/Cab" dataDxfId="831" totalsRowDxfId="830" dataCellStyle="Millares">
      <calculatedColumnFormula>IFERROR(Tabla3244[[#This Row],[Prod. Carne]]/Tabla3244[[#This Row],[Cab]],0)</calculatedColumnFormula>
    </tableColumn>
    <tableColumn id="3" name="Prod. Carne" totalsRowFunction="sum" dataDxfId="829" totalsRowDxfId="828" dataCellStyle="Millares"/>
    <tableColumn id="4" name="U$S Total" totalsRowFunction="sum" dataDxfId="827" totalsRowDxfId="826" dataCellStyle="Millares"/>
    <tableColumn id="5" name="U$S/ha" totalsRowFunction="sum" dataDxfId="825" totalsRowDxfId="824" dataCellStyle="Millares">
      <calculatedColumnFormula>IFERROR(IF($F$4=0,Tabla3244[[#This Row],[U$S Total]]/SUMPRODUCT((Tabla19[Superficie])*($F$5=Tabla19[Campaña])),Tabla3244[[#This Row],[U$S Total]]/SUMPRODUCT(($F$4=Tabla19[Centro de Costo])*(Tabla19[Superficie])*($F$5=Tabla19[Campaña]))),0)</calculatedColumnFormula>
    </tableColumn>
    <tableColumn id="7" name="U$S/Kg" totalsRowFunction="sum" dataDxfId="823" totalsRowDxfId="822" dataCellStyle="Millares">
      <calculatedColumnFormula>IFERROR(Tabla3244[[#This Row],[U$S Total]]/Tabla3244[[#Totals],[Prod. Carne]],0)</calculatedColumnFormula>
    </tableColumn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id="44" name="Tabla2831323445" displayName="Tabla2831323445" ref="AA141:AN154" totalsRowCount="1" headerRowDxfId="821" dataDxfId="820" totalsRowDxfId="819">
  <tableColumns count="14">
    <tableColumn id="1" name="Categorías Hacienda" totalsRowLabel="Total" dataDxfId="818" totalsRowDxfId="817" dataCellStyle="Millares">
      <calculatedColumnFormula>Tabla28313234[[#This Row],[Categorías Hacienda]]</calculatedColumnFormula>
    </tableColumn>
    <tableColumn id="2" name="Cabezas Inicio" totalsRowFunction="sum" dataDxfId="816" totalsRowDxfId="815" dataCellStyle="Millares">
      <calculatedColumnFormula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Hacienda])*(Producción_Lecheria[Cabezas]))</calculatedColumnFormula>
    </tableColumn>
    <tableColumn id="3" name="Cabezas Cierre" totalsRowFunction="sum" dataDxfId="814" totalsRowDxfId="813" dataCellStyle="Millares">
      <calculatedColumnFormula>SUMPRODUCT(($F$4=Producción_Lecheria[C. Costo Reporte])*(Económico!$F$5=Producción_Lecheria[Campaña])*(Producción_Lecheria[Cuenta Contable]=Económico!$P$141)*(Tabla2831323445[[#This Row],[Categorías Hacienda]]=Producción_Lecheria[Categoría Hacienda])*(Producción_Lecheria[Cabezas]))</calculatedColumnFormula>
    </tableColumn>
    <tableColumn id="4" name="Diferencia Cabezas" totalsRowFunction="sum" dataDxfId="812" totalsRowDxfId="811" dataCellStyle="Millares">
      <calculatedColumnFormula>Tabla2831323445[[#This Row],[Cabezas Cierre]]-Tabla2831323445[[#This Row],[Cabezas Inicio]]</calculatedColumnFormula>
    </tableColumn>
    <tableColumn id="5" name="Kilos Inicio" totalsRowFunction="sum" dataDxfId="810" totalsRowDxfId="809" dataCellStyle="Millares">
      <calculatedColumnFormula>SUMPRODUCT(($F$4=Producción_Lecheria[C. Costo Reporte])*(Económico!$F$5=Producción_Lecheria[Campaña])*(Producción_Lecheria[Cuenta Contable]=Económico!$N$97)*(Tabla2831323445[[#This Row],[Categorías Hacienda]]=Producción_Lecheria[Categoría Hacienda])*(Producción_Lecheria[Kg/Cab]))*Tabla2831323445[[#This Row],[Cabezas Inicio]]</calculatedColumnFormula>
    </tableColumn>
    <tableColumn id="6" name="Kilos Cierre" totalsRowFunction="sum" dataDxfId="808" totalsRowDxfId="807" dataCellStyle="Millares">
      <calculatedColumnFormula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Hacienda])*(Producción_Lecheria[Kg/Cab]))*Tabla2831323445[[#This Row],[Cabezas Cierre]]</calculatedColumnFormula>
    </tableColumn>
    <tableColumn id="7" name="Diferencia Kilos" totalsRowFunction="sum" dataDxfId="806" totalsRowDxfId="805" dataCellStyle="Millares">
      <calculatedColumnFormula>Tabla2831323445[[#This Row],[Kilos Cierre]]-Tabla2831323445[[#This Row],[Kilos Inicio]]</calculatedColumnFormula>
    </tableColumn>
    <tableColumn id="8" name="U$S/Kg Inicio" totalsRowFunction="custom" dataDxfId="804" totalsRowDxfId="803" dataCellStyle="Millares">
      <calculatedColumnFormula>IFERROR(Tabla2831323445[[#This Row],[Stock Inicio]]/Tabla2831323445[[#This Row],[Kilos Inicio]],0)</calculatedColumnFormula>
      <totalsRowFormula>IFERROR(Tabla2831323445[[#Totals],[Stock Inicio]]/Tabla2831323445[[#Totals],[Kilos Inicio]],0)</totalsRowFormula>
    </tableColumn>
    <tableColumn id="9" name="U$S/Kg Cierre" totalsRowFunction="custom" dataDxfId="802" totalsRowDxfId="801" dataCellStyle="Millares">
      <calculatedColumnFormula>IFERROR(Tabla2831323445[[#This Row],[Stock Cierre]]/Tabla2831323445[[#This Row],[Kilos Cierre]],0)</calculatedColumnFormula>
      <totalsRowFormula>IFERROR(Tabla2831323445[[#Totals],[Stock Cierre]]/Tabla2831323445[[#Totals],[Kilos Cierre]],0)</totalsRowFormula>
    </tableColumn>
    <tableColumn id="10" name="Stock Inicio" totalsRowFunction="sum" dataDxfId="800" totalsRowDxfId="799" dataCellStyle="Millares">
      <calculatedColumnFormula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Hacienda])*(Producción_Lecheria[Económico U$S Dólares]))</calculatedColumnFormula>
    </tableColumn>
    <tableColumn id="16" name="Stock Inicio (Cierre)" totalsRowFunction="sum" dataDxfId="798" totalsRowDxfId="797" dataCellStyle="Millares">
      <calculatedColumnFormula>Tabla2831323445[[#This Row],[Kilos Inicio]]*Tabla2831323445[[#This Row],[U$S/Kg Cierre]]</calculatedColumnFormula>
    </tableColumn>
    <tableColumn id="11" name="Stock Cierre" totalsRowFunction="sum" dataDxfId="796" totalsRowDxfId="795" dataCellStyle="Millares">
      <calculatedColumnFormula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Hacienda])*(Producción_Lecheria[Económico U$S Dólares]))</calculatedColumnFormula>
    </tableColumn>
    <tableColumn id="14" name="Dif. Inventario" totalsRowFunction="sum" dataDxfId="794" totalsRowDxfId="793" dataCellStyle="Millares">
      <calculatedColumnFormula>(Tabla2831323445[[#This Row],[Kilos Cierre]]+Tabla2831323445[[#This Row],[Kilos Inicio]])*Tabla2831323445[[#This Row],[U$S/Kg Cierre]]</calculatedColumnFormula>
    </tableColumn>
    <tableColumn id="15" name="Tenencia" totalsRowFunction="sum" dataDxfId="792" totalsRowDxfId="791" dataCellStyle="Millares">
      <calculatedColumnFormula>-Tabla2831323445[[#This Row],[Kilos Inicio]]*(Tabla2831323445[[#This Row],[U$S/Kg Cierre]]-Tabla2831323445[[#This Row],[U$S/Kg Inicio]])</calculatedColumnFormula>
    </tableColumn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id="45" name="Tabla323546" displayName="Tabla323546" ref="AA157:AI180" totalsRowCount="1" headerRowDxfId="790" dataDxfId="789" dataCellStyle="Millares">
  <tableColumns count="9">
    <tableColumn id="1" name="Cuenta Contable" totalsRowLabel="Total" dataDxfId="788" totalsRowDxfId="787" dataCellStyle="Millares">
      <calculatedColumnFormula>Tabla3235[[#This Row],[Cuenta Contable]]</calculatedColumnFormula>
    </tableColumn>
    <tableColumn id="2" name="Cab" dataDxfId="786" totalsRowDxfId="785" dataCellStyle="Millares">
      <calculatedColumnFormula>SUMPRODUCT(($F$4=Producción_Lecheria[C. Costo Reporte])*(Económico!$F$5=Producción_Lecheria[Campaña])*(Tabla323546[[#This Row],[Cuenta Contable]]=Producción_Lecheria[Cuenta Contable])*(Producción_Lecheria[Cabezas]))</calculatedColumnFormula>
    </tableColumn>
    <tableColumn id="6" name="Kg/Cab" dataDxfId="784" totalsRowDxfId="783" dataCellStyle="Millares">
      <calculatedColumnFormula>IFERROR(Tabla323546[[#This Row],[Prod. Carne]]/Tabla323546[[#This Row],[Cab]],0)</calculatedColumnFormula>
    </tableColumn>
    <tableColumn id="3" name="Prod. Carne" totalsRowFunction="sum" dataDxfId="782" totalsRowDxfId="781" dataCellStyle="Millares">
      <calculatedColumnFormula>SUMPRODUCT(($F$4=Producción_Lecheria[C. Costo Reporte])*(Económico!$F$5=Producción_Lecheria[Campaña])*(Tabla323546[[#This Row],[Cuenta Contable]]=Producción_Lecheria[Cuenta Contable])*(Producción_Lecheria[Cabezas])*(Producción_Lecheria[Kg/Cab]))</calculatedColumnFormula>
    </tableColumn>
    <tableColumn id="4" name="Litros" totalsRowFunction="sum" dataDxfId="780" totalsRowDxfId="779" dataCellStyle="Millares"/>
    <tableColumn id="5" name="U$S Total" totalsRowFunction="sum" dataDxfId="778" totalsRowDxfId="777" dataCellStyle="Millares">
      <calculatedColumnFormula>SUMPRODUCT(($F$4=Producción_Lecheria[C. Costo Reporte])*(Económico!$F$5=Producción_Lecheria[Campaña])*(Tabla323546[[#This Row],[Cuenta Contable]]=Producción_Lecheria[Cuenta Contable])*(Producción_Lecheria[Económico U$S Dólares]))</calculatedColumnFormula>
    </tableColumn>
    <tableColumn id="7" name="U$S/ha" totalsRowFunction="sum" dataDxfId="776" totalsRowDxfId="775" dataCellStyle="Millares">
      <calculatedColumnFormula>IFERROR(Tabla323546[[#This Row],[U$S Total]]/IF($F$4=0,SUMPRODUCT((Tabla1924[Superficie])*($F$5=Tabla1924[Campaña])),SUMPRODUCT(($F$4=Tabla1924[Centro de Costo])*(Tabla1924[Superficie])*($F$5=Tabla1924[Campaña]))),0)</calculatedColumnFormula>
    </tableColumn>
    <tableColumn id="8" name="U$S/Litro" totalsRowFunction="sum" dataDxfId="774" totalsRowDxfId="773" dataCellStyle="Millares">
      <calculatedColumnFormula>IFERROR(Tabla323546[[#This Row],[U$S Total]]/Tabla323546[[#Totals],[Litros]],0)</calculatedColumnFormula>
    </tableColumn>
    <tableColumn id="9" name="U$S/V. O." totalsRowFunction="sum" dataDxfId="772" totalsRowDxfId="771" dataCellStyle="Millares">
      <calculatedColumnFormula array="1">IFERROR(IF($F$4=0,Tabla323546[[#This Row],[U$S Total]]/AVERAGE((Económico!$F$5=Tabla27[Campaña])*(Tabla27[V. Ordeñe])),Tabla323546[[#This Row],[U$S Total]]/AVERAGE(($F$4=Tabla27[Centro Costo])*(Económico!$F$5=Tabla27[Campaña])*(Tabla27[V. Ordeñe]))),0)</calculatedColumnFormula>
    </tableColumn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id="46" name="Tabla28313647" displayName="Tabla28313647" ref="AA185:AH208" totalsRowCount="1" headerRowDxfId="770" dataDxfId="769" totalsRowDxfId="768">
  <tableColumns count="8">
    <tableColumn id="1" name="Cuentas Contables" totalsRowLabel="Resultado" dataDxfId="767" totalsRowDxfId="766" dataCellStyle="Millares"/>
    <tableColumn id="2" name="Maquinaria" totalsRowFunction="sum" dataDxfId="765" totalsRowDxfId="764" dataCellStyle="Millares">
      <calculatedColumnFormula>IFERROR(SUMPRODUCT((Tabla28313647[[#This Row],[Cuentas Contables]]=Otras_Actividades_Base[Cuenta Contable])*(Económico!$F$5=Otras_Actividades_Base[Campaña])*(Otras_Actividades_Base[Económico U$S Dólares])*(AB$185=Otras_Actividades_Base[Unidad de Negocio])*($F$4=Otras_Actividades_Base[C. Costo Reporte])),0)</calculatedColumnFormula>
    </tableColumn>
    <tableColumn id="3" name="Cosecha" totalsRowFunction="sum" dataDxfId="763" totalsRowDxfId="762" dataCellStyle="Millares">
      <calculatedColumnFormula>IFERROR(SUMPRODUCT((Tabla28313647[[#This Row],[Cuentas Contables]]=Otras_Actividades_Base[Cuenta Contable])*(Económico!$F$5=Otras_Actividades_Base[Campaña])*(Otras_Actividades_Base[Económico U$S Dólares])*(AC$185=Otras_Actividades_Base[Unidad de Negocio])*($F$4=Otras_Actividades_Base[C. Costo Reporte])),0)</calculatedColumnFormula>
    </tableColumn>
    <tableColumn id="4" name="Inmobiliario" totalsRowFunction="sum" dataDxfId="761" totalsRowDxfId="760" dataCellStyle="Millares">
      <calculatedColumnFormula>IFERROR(SUMPRODUCT((Tabla28313647[[#This Row],[Cuentas Contables]]=Otras_Actividades_Base[Cuenta Contable])*(Económico!$F$5=Otras_Actividades_Base[Campaña])*(Otras_Actividades_Base[Económico U$S Dólares])*(AD$185=Otras_Actividades_Base[Unidad de Negocio])*($F$4=Otras_Actividades_Base[C. Costo Reporte])),0)</calculatedColumnFormula>
    </tableColumn>
    <tableColumn id="5" name="Fletes" totalsRowFunction="sum" dataDxfId="759" totalsRowDxfId="758" dataCellStyle="Millares">
      <calculatedColumnFormula>IFERROR(SUMPRODUCT((Tabla28313647[[#This Row],[Cuentas Contables]]=Otras_Actividades_Base[Cuenta Contable])*(Económico!$F$5=Otras_Actividades_Base[Campaña])*(Otras_Actividades_Base[Económico U$S Dólares])*(AE$185=Otras_Actividades_Base[Unidad de Negocio])*($F$4=Otras_Actividades_Base[C. Costo Reporte])),0)</calculatedColumnFormula>
    </tableColumn>
    <tableColumn id="6" name="Columna1" totalsRowFunction="sum" dataDxfId="757" totalsRowDxfId="756" dataCellStyle="Millares">
      <calculatedColumnFormula>IFERROR(SUMPRODUCT((Tabla28313647[[#This Row],[Cuentas Contables]]=Otras_Actividades_Base[Cuenta Contable])*(Económico!$F$5=Otras_Actividades_Base[Campaña])*(Otras_Actividades_Base[Económico U$S Dólares])*(AF$185=Otras_Actividades_Base[Unidad de Negocio])*($F$4=Otras_Actividades_Base[C. Costo Reporte])),0)</calculatedColumnFormula>
    </tableColumn>
    <tableColumn id="7" name="Columna6" totalsRowFunction="sum" dataDxfId="755" totalsRowDxfId="754" dataCellStyle="Millares">
      <calculatedColumnFormula>IFERROR(SUMPRODUCT((Tabla28313647[[#This Row],[Cuentas Contables]]=Otras_Actividades_Base[Cuenta Contable])*(Económico!$F$5=Otras_Actividades_Base[Campaña])*(Otras_Actividades_Base[Económico U$S Dólares])*(AG$185=Otras_Actividades_Base[Unidad de Negocio])*($F$4=Otras_Actividades_Base[C. Costo Reporte])),0)</calculatedColumnFormula>
    </tableColumn>
    <tableColumn id="8" name="Columna7" totalsRowFunction="sum" dataDxfId="753" totalsRowDxfId="752" dataCellStyle="Millares">
      <calculatedColumnFormula>IFERROR(SUMPRODUCT((Tabla28313647[[#This Row],[Cuentas Contables]]=Otras_Actividades_Base[Cuenta Contable])*(Económico!$F$5=Otras_Actividades_Base[Campaña])*(Otras_Actividades_Base[Económico U$S Dólares])*(AH$185=Otras_Actividades_Base[Unidad de Negocio])*($F$4=Otras_Actividades_Base[C. Costo Reporte])),0)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Centros_Costo" displayName="Centros_Costo" ref="D4:D9" totalsRowShown="0" headerRowDxfId="1261">
  <tableColumns count="1">
    <tableColumn id="1" name="Centros de Costos"/>
  </tableColumns>
  <tableStyleInfo name="TableStyleMedium1" showFirstColumn="0" showLastColumn="0" showRowStripes="1" showColumnStripes="0"/>
</table>
</file>

<file path=xl/tables/table40.xml><?xml version="1.0" encoding="utf-8"?>
<table xmlns="http://schemas.openxmlformats.org/spreadsheetml/2006/main" id="47" name="Tabla2831363748" displayName="Tabla2831363748" ref="AA213:AH237" totalsRowCount="1" headerRowDxfId="751" dataDxfId="750" totalsRowDxfId="749">
  <tableColumns count="8">
    <tableColumn id="1" name="Cuentas Contables" totalsRowLabel="Resultado" dataDxfId="748" totalsRowDxfId="747" dataCellStyle="Millares">
      <calculatedColumnFormula>Tabla28313637[[#This Row],[Cuentas Contables]]</calculatedColumnFormula>
    </tableColumn>
    <tableColumn id="2" name="Estructura" totalsRowFunction="sum" dataDxfId="746" totalsRowDxfId="745" dataCellStyle="Millares">
      <calculatedColumnFormula>IFERROR(SUMPRODUCT((Tabla2831363748[[#This Row],[Cuentas Contables]]=Indirectos[Cuenta Contable])*(Económico!$F$5=Indirectos[Campaña])*(Indirectos[Económico U$S Dólares])*(AB$213=Indirectos[Unidad de Negocio])*($F$4=Indirectos[C. Costo Reporte])*(Indirectos[Econ.]="SI")),0)</calculatedColumnFormula>
    </tableColumn>
    <tableColumn id="3" name="Administración" totalsRowFunction="sum" dataDxfId="744" totalsRowDxfId="743" dataCellStyle="Millares">
      <calculatedColumnFormula>IFERROR(SUMPRODUCT((Tabla2831363748[[#This Row],[Cuentas Contables]]=Indirectos[Cuenta Contable])*(Económico!$F$5=Indirectos[Campaña])*(Indirectos[Económico U$S Dólares])*(AC$213=Indirectos[Unidad de Negocio])*($F$4=Indirectos[C. Costo Reporte])*(Indirectos[Econ.]="SI")),0)</calculatedColumnFormula>
    </tableColumn>
    <tableColumn id="4" name="Impuestos" totalsRowFunction="sum" dataDxfId="742" totalsRowDxfId="741" dataCellStyle="Millares">
      <calculatedColumnFormula>IFERROR(SUMPRODUCT((Tabla2831363748[[#This Row],[Cuentas Contables]]=Indirectos[Cuenta Contable])*(Económico!$F$5=Indirectos[Campaña])*(Indirectos[Económico U$S Dólares])*(AD$213=Indirectos[Unidad de Negocio])*($F$4=Indirectos[C. Costo Reporte])*(Indirectos[Econ.]="SI")),0)</calculatedColumnFormula>
    </tableColumn>
    <tableColumn id="5" name="Dividendos" totalsRowFunction="sum" dataDxfId="740" totalsRowDxfId="739" dataCellStyle="Millares">
      <calculatedColumnFormula>IFERROR(SUMPRODUCT((Tabla2831363748[[#This Row],[Cuentas Contables]]=Indirectos[Cuenta Contable])*(Económico!$F$5=Indirectos[Campaña])*(Indirectos[Económico U$S Dólares])*(AE$213=Indirectos[Unidad de Negocio])*($F$4=Indirectos[C. Costo Reporte])*(Indirectos[Econ.]="SI")),0)</calculatedColumnFormula>
    </tableColumn>
    <tableColumn id="6" name="Inversiones" totalsRowFunction="sum" dataDxfId="738" totalsRowDxfId="737" dataCellStyle="Millares">
      <calculatedColumnFormula>IFERROR(SUMPRODUCT((Tabla2831363748[[#This Row],[Cuentas Contables]]=Indirectos[Cuenta Contable])*(Económico!$F$5=Indirectos[Campaña])*(Indirectos[Económico U$S Dólares])*(AF$213=Indirectos[Unidad de Negocio])*($F$4=Indirectos[C. Costo Reporte])*(Indirectos[Econ.]="SI")),0)</calculatedColumnFormula>
    </tableColumn>
    <tableColumn id="7" name="Columna3" totalsRowFunction="sum" dataDxfId="736" totalsRowDxfId="735" dataCellStyle="Millares">
      <calculatedColumnFormula>IFERROR(SUMPRODUCT((Tabla2831363748[[#This Row],[Cuentas Contables]]=Indirectos[Cuenta Contable])*(Económico!$F$5=Indirectos[Campaña])*(Indirectos[Económico U$S Dólares])*(AG$213=Indirectos[Unidad de Negocio])*($F$4=Indirectos[C. Costo Reporte])*(Indirectos[Econ.]="SI")),0)</calculatedColumnFormula>
    </tableColumn>
    <tableColumn id="8" name="Columna4" totalsRowFunction="sum" dataDxfId="734" totalsRowDxfId="733" dataCellStyle="Millares">
      <calculatedColumnFormula>IFERROR(SUMPRODUCT((Tabla2831363748[[#This Row],[Cuentas Contables]]=Indirectos[Cuenta Contable])*(Económico!$F$5=Indirectos[Campaña])*(Indirectos[Económico U$S Dólares])*(AH$213=Indirectos[Unidad de Negocio])*($F$4=Indirectos[C. Costo Reporte])*(Indirectos[Econ.]="SI")),0)</calculatedColumnFormula>
    </tableColumn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id="48" name="Tabla283136374049" displayName="Tabla283136374049" ref="AA242:AB253" totalsRowCount="1" headerRowDxfId="732" dataDxfId="731" totalsRowDxfId="730">
  <tableColumns count="2">
    <tableColumn id="1" name="Cuentas Contables" totalsRowLabel="Resultado" dataDxfId="729" totalsRowDxfId="728" dataCellStyle="Millares">
      <calculatedColumnFormula>Configuración!DF5</calculatedColumnFormula>
    </tableColumn>
    <tableColumn id="2" name="Finanzas" totalsRowFunction="sum" dataDxfId="727" totalsRowDxfId="726" dataCellStyle="Millares">
      <calculatedColumnFormula>IFERROR(SUMPRODUCT((Tabla283136374049[[#This Row],[Cuentas Contables]]=Finanzas[Cuenta Contable])*(Económico!$F$5=Finanzas[Campaña])*(Finanzas[Económico U$S Dólares])*("Si"=Finanzas[Econ.])),0)</calculatedColumnFormula>
    </tableColumn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id="49" name="Tabla284150" displayName="Tabla284150" ref="AW41:BJ59" totalsRowCount="1" headerRowDxfId="725" dataDxfId="724" totalsRowDxfId="723">
  <tableColumns count="14">
    <tableColumn id="1" name="Cuentas Contables" totalsRowLabel="Resultado" dataDxfId="722" totalsRowDxfId="721" dataCellStyle="Millares">
      <calculatedColumnFormula>Tabla28[[#This Row],[Cuentas Contables]]</calculatedColumnFormula>
    </tableColumn>
    <tableColumn id="2" name="Maíz Temprano" totalsRowFunction="sum" dataDxfId="720" totalsRowDxfId="719" dataCellStyle="Millares">
      <calculatedColumnFormula>IFERROR(SUMPRODUCT(($F$4=Producción_Agricola[C. Costo Reporte])*(Económico!AX$41=Producción_Agricola[Unidad de Negocio])*(Económico!$E42=Producción_Agricola[Cuenta Contable])*($F$5=Producción_Agricola[Campaña])*(Producción_Agricola[Económico U$S Dólares]))*(IF($F$39="Hectárea",1/AX$61,IF($F$39="Tonelada",1/AX$62,1))),0)</calculatedColumnFormula>
    </tableColumn>
    <tableColumn id="3" name="Maíz Tardío" totalsRowFunction="sum" dataDxfId="718" totalsRowDxfId="717" dataCellStyle="Millares">
      <calculatedColumnFormula>IFERROR(SUMPRODUCT(($F$4=Producción_Agricola[C. Costo Reporte])*(Económico!AY$41=Producción_Agricola[Unidad de Negocio])*(Económico!$E42=Producción_Agricola[Cuenta Contable])*($F$5=Producción_Agricola[Campaña])*(Producción_Agricola[Económico U$S Dólares]))*(IF($F$39="Hectárea",1/AY$61,IF($F$39="Tonelada",1/AY$62,1))),0)</calculatedColumnFormula>
    </tableColumn>
    <tableColumn id="4" name="Maíz de Segunda" totalsRowFunction="sum" dataDxfId="716" totalsRowDxfId="715" dataCellStyle="Millares">
      <calculatedColumnFormula>IFERROR(SUMPRODUCT(($F$4=Producción_Agricola[C. Costo Reporte])*(Económico!AZ$41=Producción_Agricola[Unidad de Negocio])*(Económico!$E42=Producción_Agricola[Cuenta Contable])*($F$5=Producción_Agricola[Campaña])*(Producción_Agricola[Económico U$S Dólares]))*(IF($F$39="Hectárea",1/AZ$61,IF($F$39="Tonelada",1/AZ$62,1))),0)</calculatedColumnFormula>
    </tableColumn>
    <tableColumn id="5" name="Maíz de Tercera" totalsRowFunction="sum" dataDxfId="714" totalsRowDxfId="713" dataCellStyle="Millares">
      <calculatedColumnFormula>IFERROR(SUMPRODUCT(($F$4=Producción_Agricola[C. Costo Reporte])*(Económico!BA$41=Producción_Agricola[Unidad de Negocio])*(Económico!$E42=Producción_Agricola[Cuenta Contable])*($F$5=Producción_Agricola[Campaña])*(Producción_Agricola[Económico U$S Dólares]))*(IF($F$39="Hectárea",1/BA$61,IF($F$39="Tonelada",1/BA$62,1))),0)</calculatedColumnFormula>
    </tableColumn>
    <tableColumn id="6" name="Soja de Primera" totalsRowFunction="sum" dataDxfId="712" totalsRowDxfId="711" dataCellStyle="Millares">
      <calculatedColumnFormula>IFERROR(SUMPRODUCT(($F$4=Producción_Agricola[C. Costo Reporte])*(Económico!BB$41=Producción_Agricola[Unidad de Negocio])*(Económico!$E42=Producción_Agricola[Cuenta Contable])*($F$5=Producción_Agricola[Campaña])*(Producción_Agricola[Económico U$S Dólares]))*(IF($F$39="Hectárea",1/BB$61,IF($F$39="Tonelada",1/BB$62,1))),0)</calculatedColumnFormula>
    </tableColumn>
    <tableColumn id="7" name="Soja de Segunda" totalsRowFunction="sum" dataDxfId="710" totalsRowDxfId="709" dataCellStyle="Millares">
      <calculatedColumnFormula>IFERROR(SUMPRODUCT(($F$4=Producción_Agricola[C. Costo Reporte])*(Económico!BC$41=Producción_Agricola[Unidad de Negocio])*(Económico!$E42=Producción_Agricola[Cuenta Contable])*($F$5=Producción_Agricola[Campaña])*(Producción_Agricola[Económico U$S Dólares]))*(IF($F$39="Hectárea",1/BC$61,IF($F$39="Tonelada",1/BC$62,1))),0)</calculatedColumnFormula>
    </tableColumn>
    <tableColumn id="8" name="Girasol" totalsRowFunction="sum" dataDxfId="708" totalsRowDxfId="707" dataCellStyle="Millares">
      <calculatedColumnFormula>IFERROR(SUMPRODUCT(($F$4=Producción_Agricola[C. Costo Reporte])*(Económico!BD$41=Producción_Agricola[Unidad de Negocio])*(Económico!$E42=Producción_Agricola[Cuenta Contable])*($F$5=Producción_Agricola[Campaña])*(Producción_Agricola[Económico U$S Dólares]))*(IF($F$39="Hectárea",1/BD$61,IF($F$39="Tonelada",1/BD$62,1))),0)</calculatedColumnFormula>
    </tableColumn>
    <tableColumn id="9" name="Girasol AO" totalsRowFunction="sum" dataDxfId="706" totalsRowDxfId="705" dataCellStyle="Millares">
      <calculatedColumnFormula>IFERROR(SUMPRODUCT(($F$4=Producción_Agricola[C. Costo Reporte])*(Económico!BE$41=Producción_Agricola[Unidad de Negocio])*(Económico!$E42=Producción_Agricola[Cuenta Contable])*($F$5=Producción_Agricola[Campaña])*(Producción_Agricola[Económico U$S Dólares]))*(IF($F$39="Hectárea",1/BE$61,IF($F$39="Tonelada",1/BE$62,1))),0)</calculatedColumnFormula>
    </tableColumn>
    <tableColumn id="10" name=" Trigo" totalsRowFunction="sum" dataDxfId="704" totalsRowDxfId="703" dataCellStyle="Millares">
      <calculatedColumnFormula>IFERROR(SUMPRODUCT(($F$4=Producción_Agricola[C. Costo Reporte])*(Económico!BF$41=Producción_Agricola[Unidad de Negocio])*(Económico!$E42=Producción_Agricola[Cuenta Contable])*($F$5=Producción_Agricola[Campaña])*(Producción_Agricola[Económico U$S Dólares]))*(IF($F$39="Hectárea",1/BF$61,IF($F$39="Tonelada",1/BF$62,1))),0)</calculatedColumnFormula>
    </tableColumn>
    <tableColumn id="11" name="Cebada" totalsRowFunction="sum" dataDxfId="702" totalsRowDxfId="701" dataCellStyle="Millares">
      <calculatedColumnFormula>IFERROR(SUMPRODUCT(($F$4=Producción_Agricola[C. Costo Reporte])*(Económico!BG$41=Producción_Agricola[Unidad de Negocio])*(Económico!$E42=Producción_Agricola[Cuenta Contable])*($F$5=Producción_Agricola[Campaña])*(Producción_Agricola[Económico U$S Dólares]))*(IF($F$39="Hectárea",1/BG$61,IF($F$39="Tonelada",1/BG$62,1))),0)</calculatedColumnFormula>
    </tableColumn>
    <tableColumn id="12" name="Sorgo" totalsRowFunction="sum" dataDxfId="700" totalsRowDxfId="699" dataCellStyle="Millares">
      <calculatedColumnFormula>IFERROR(SUMPRODUCT(($F$4=Producción_Agricola[C. Costo Reporte])*(Económico!BH$41=Producción_Agricola[Unidad de Negocio])*(Económico!$E42=Producción_Agricola[Cuenta Contable])*($F$5=Producción_Agricola[Campaña])*(Producción_Agricola[Económico U$S Dólares]))*(IF($F$39="Hectárea",1/BH$61,IF($F$39="Tonelada",1/BH$62,1))),0)</calculatedColumnFormula>
    </tableColumn>
    <tableColumn id="13" name="Maíz Silo" totalsRowFunction="sum" dataDxfId="698" totalsRowDxfId="697" dataCellStyle="Millares">
      <calculatedColumnFormula>IFERROR(SUMPRODUCT(($F$4=Producción_Agricola[C. Costo Reporte])*(Económico!BI$41=Producción_Agricola[Unidad de Negocio])*(Económico!$E42=Producción_Agricola[Cuenta Contable])*($F$5=Producción_Agricola[Campaña])*(Producción_Agricola[Económico U$S Dólares]))*(IF($F$39="Hectárea",1/BI$61,IF($F$39="Tonelada",1/BI$62,1))),0)</calculatedColumnFormula>
    </tableColumn>
    <tableColumn id="14" name="Tipo Cuenta" dataDxfId="696" totalsRowDxfId="695" dataCellStyle="Millares">
      <calculatedColumnFormula>INDEX(Produccion_Agricola_Cuentas[],MATCH(Tabla284150[[#This Row],[Cuentas Contables]],Produccion_Agricola_Cuentas[Cuenta Contable],0),3)</calculatedColumnFormula>
    </tableColumn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id="50" name="Tabla28314251" displayName="Tabla28314251" ref="AW74:BI89" totalsRowCount="1" headerRowDxfId="694" dataDxfId="693" totalsRowDxfId="692">
  <tableColumns count="13">
    <tableColumn id="1" name="Cuentas Contables" totalsRowLabel="Resultado" dataDxfId="691" totalsRowDxfId="690" dataCellStyle="Millares">
      <calculatedColumnFormula>Tabla2831[[#This Row],[Cuentas Contables]]</calculatedColumnFormula>
    </tableColumn>
    <tableColumn id="2" name="Soja" totalsRowFunction="sum" dataDxfId="689" totalsRowDxfId="688" dataCellStyle="Millares">
      <calculatedColumnFormula>IFERROR(SUMPRODUCT((Tabla28314251[[#This Row],[Cuentas Contables]]=Comercial_Agricola[Cuenta Contable])*(AX$74=Comercial_Agricola[Producto])*(Económico!#REF!=Comercial_Agricola[Campaña])*(Comercial_Agricola[Económico U$S Dólares]))*(IF($F$72="Tonelada",1/SUM(AX$91:AX$92),1)),0)</calculatedColumnFormula>
    </tableColumn>
    <tableColumn id="3" name="Maíz" totalsRowFunction="sum" dataDxfId="687" totalsRowDxfId="686" dataCellStyle="Millares">
      <calculatedColumnFormula>IFERROR(SUMPRODUCT((Tabla28314251[[#This Row],[Cuentas Contables]]=Comercial_Agricola[Cuenta Contable])*(AY$74=Comercial_Agricola[Producto])*(Económico!#REF!=Comercial_Agricola[Campaña])*(Comercial_Agricola[Económico U$S Dólares]))*(IF($F$72="Tonelada",1/SUM(AY$91:AY$92),1)),0)</calculatedColumnFormula>
    </tableColumn>
    <tableColumn id="4" name="Girasol" totalsRowFunction="sum" dataDxfId="685" totalsRowDxfId="684" dataCellStyle="Millares">
      <calculatedColumnFormula>IFERROR(SUMPRODUCT((Tabla28314251[[#This Row],[Cuentas Contables]]=Comercial_Agricola[Cuenta Contable])*(AZ$74=Comercial_Agricola[Producto])*(Económico!#REF!=Comercial_Agricola[Campaña])*(Comercial_Agricola[Económico U$S Dólares]))*(IF($F$72="Tonelada",1/SUM(AZ$91:AZ$92),1)),0)</calculatedColumnFormula>
    </tableColumn>
    <tableColumn id="5" name="Trigo" totalsRowFunction="sum" dataDxfId="683" totalsRowDxfId="682" dataCellStyle="Millares">
      <calculatedColumnFormula>IFERROR(SUMPRODUCT((Tabla28314251[[#This Row],[Cuentas Contables]]=Comercial_Agricola[Cuenta Contable])*(BA$74=Comercial_Agricola[Producto])*(Económico!#REF!=Comercial_Agricola[Campaña])*(Comercial_Agricola[Económico U$S Dólares]))*(IF($F$72="Tonelada",1/SUM(BA$91:BA$92),1)),0)</calculatedColumnFormula>
    </tableColumn>
    <tableColumn id="6" name="Cebada" totalsRowFunction="sum" dataDxfId="681" totalsRowDxfId="680" dataCellStyle="Millares">
      <calculatedColumnFormula>IFERROR(SUMPRODUCT((Tabla28314251[[#This Row],[Cuentas Contables]]=Comercial_Agricola[Cuenta Contable])*(BB$74=Comercial_Agricola[Producto])*(Económico!#REF!=Comercial_Agricola[Campaña])*(Comercial_Agricola[Económico U$S Dólares]))*(IF($F$72="Tonelada",1/SUM(BB$91:BB$92),1)),0)</calculatedColumnFormula>
    </tableColumn>
    <tableColumn id="7" name="Sorgo" totalsRowFunction="sum" dataDxfId="679" totalsRowDxfId="678" dataCellStyle="Millares">
      <calculatedColumnFormula>IFERROR(SUMPRODUCT((Tabla28314251[[#This Row],[Cuentas Contables]]=Comercial_Agricola[Cuenta Contable])*(BC$74=Comercial_Agricola[Producto])*(Económico!#REF!=Comercial_Agricola[Campaña])*(Comercial_Agricola[Económico U$S Dólares]))*(IF($F$72="Tonelada",1/SUM(BC$91:BC$92),1)),0)</calculatedColumnFormula>
    </tableColumn>
    <tableColumn id="8" name="Columna1" totalsRowFunction="sum" dataDxfId="677" totalsRowDxfId="676" dataCellStyle="Millares">
      <calculatedColumnFormula>IFERROR(SUMPRODUCT((Tabla28314251[[#This Row],[Cuentas Contables]]=Comercial_Agricola[Cuenta Contable])*(BD$74=Comercial_Agricola[Producto])*(Económico!#REF!=Comercial_Agricola[Campaña])*(Comercial_Agricola[Económico U$S Dólares]))*(IF($F$72="Tonelada",1/SUM(BD$91:BD$92),1)),0)</calculatedColumnFormula>
    </tableColumn>
    <tableColumn id="9" name="Columna2" totalsRowFunction="sum" dataDxfId="675" totalsRowDxfId="674" dataCellStyle="Millares">
      <calculatedColumnFormula>IFERROR(SUMPRODUCT((Tabla28314251[[#This Row],[Cuentas Contables]]=Comercial_Agricola[Cuenta Contable])*(BE$74=Comercial_Agricola[Producto])*(Económico!#REF!=Comercial_Agricola[Campaña])*(Comercial_Agricola[Económico U$S Dólares]))*(IF($F$72="Tonelada",1/SUM(BE$91:BE$92),1)),0)</calculatedColumnFormula>
    </tableColumn>
    <tableColumn id="10" name="Columna3" totalsRowFunction="sum" dataDxfId="673" totalsRowDxfId="672" dataCellStyle="Millares">
      <calculatedColumnFormula>IFERROR(SUMPRODUCT((Tabla28314251[[#This Row],[Cuentas Contables]]=Comercial_Agricola[Cuenta Contable])*(BF$74=Comercial_Agricola[Producto])*(Económico!#REF!=Comercial_Agricola[Campaña])*(Comercial_Agricola[Económico U$S Dólares]))*(IF($F$72="Tonelada",1/SUM(BF$91:BF$92),1)),0)</calculatedColumnFormula>
    </tableColumn>
    <tableColumn id="11" name="Columna4" totalsRowFunction="sum" dataDxfId="671" totalsRowDxfId="670" dataCellStyle="Millares">
      <calculatedColumnFormula>IFERROR(SUMPRODUCT((Tabla28314251[[#This Row],[Cuentas Contables]]=Comercial_Agricola[Cuenta Contable])*(BG$74=Comercial_Agricola[Producto])*(Económico!#REF!=Comercial_Agricola[Campaña])*(Comercial_Agricola[Económico U$S Dólares]))*(IF($F$72="Tonelada",1/SUM(BG$91:BG$92),1)),0)</calculatedColumnFormula>
    </tableColumn>
    <tableColumn id="12" name="Columna5" totalsRowFunction="sum" dataDxfId="669" totalsRowDxfId="668" dataCellStyle="Millares">
      <calculatedColumnFormula>IFERROR(SUMPRODUCT((Tabla28314251[[#This Row],[Cuentas Contables]]=Comercial_Agricola[Cuenta Contable])*(BH$74=Comercial_Agricola[Producto])*(Económico!#REF!=Comercial_Agricola[Campaña])*(Comercial_Agricola[Económico U$S Dólares]))*(IF($F$72="Tonelada",1/SUM(BH$91:BH$92),1)),0)</calculatedColumnFormula>
    </tableColumn>
    <tableColumn id="13" name="Silo Maíz" totalsRowFunction="sum" dataDxfId="667" totalsRowDxfId="666" dataCellStyle="Millares">
      <calculatedColumnFormula>IFERROR(SUMPRODUCT((Tabla28314251[[#This Row],[Cuentas Contables]]=Comercial_Agricola[Cuenta Contable])*(BI$74=Comercial_Agricola[Producto])*(Económico!#REF!=Comercial_Agricola[Campaña])*(Comercial_Agricola[Económico U$S Dólares]))*(IF($F$72="Tonelada",1/SUM(BI$91:BI$92),1)),0)</calculatedColumnFormula>
    </tableColumn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id="51" name="Tabla2831324352" displayName="Tabla2831324352" ref="AW97:BJ111" totalsRowCount="1" headerRowDxfId="665" dataDxfId="664" totalsRowDxfId="663">
  <tableColumns count="14">
    <tableColumn id="1" name="Categorías Hacienda" totalsRowLabel="Total" dataDxfId="662" totalsRowDxfId="661" dataCellStyle="Millares">
      <calculatedColumnFormula>Tabla283132[[#This Row],[Categorías Hacienda]]</calculatedColumnFormula>
    </tableColumn>
    <tableColumn id="2" name="Cabezas Inicio" totalsRowFunction="sum" dataDxfId="660" totalsRowDxfId="659" dataCellStyle="Millares">
      <calculatedColumnFormula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Hacienda])*(Producción_Ganadera[Cabezas]))</calculatedColumnFormula>
    </tableColumn>
    <tableColumn id="3" name="Cabezas Cierre" totalsRowFunction="sum" dataDxfId="658" totalsRowDxfId="657" dataCellStyle="Millares">
      <calculatedColumnFormula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Hacienda])*(Producción_Ganadera[Cabezas]))</calculatedColumnFormula>
    </tableColumn>
    <tableColumn id="4" name="Diferencia Cabezas" totalsRowFunction="sum" dataDxfId="656" totalsRowDxfId="655" dataCellStyle="Millares">
      <calculatedColumnFormula>IFERROR(SUMPRODUCT((Tabla2831324352[[#This Row],[Categorías Hacienda]]=Comercial_Agricola[Cuenta Contable])*(AZ$74=Comercial_Agricola[Producto])*(Económico!#REF!=Comercial_Agricola[Campaña])*(Comercial_Agricola[Económico U$S Dólares]))*(IF($F$72="Tonelada",1/SUM(AZ$91:AZ$92),1)),0)</calculatedColumnFormula>
    </tableColumn>
    <tableColumn id="5" name="Kilos Inicio" totalsRowFunction="sum" dataDxfId="654" totalsRowDxfId="653" dataCellStyle="Millares">
      <calculatedColumnFormula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Hacienda])*(Producción_Ganadera[Kg/Cab]))*Tabla2831324352[[#This Row],[Cabezas Inicio]]</calculatedColumnFormula>
    </tableColumn>
    <tableColumn id="6" name="Kilos Cierre" totalsRowFunction="sum" dataDxfId="652" totalsRowDxfId="651" dataCellStyle="Millares">
      <calculatedColumnFormula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Hacienda])*(Producción_Ganadera[Kg/Cab]))*Tabla2831324352[[#This Row],[Cabezas Cierre]]</calculatedColumnFormula>
    </tableColumn>
    <tableColumn id="7" name="Diferencia Kilos" totalsRowFunction="sum" dataDxfId="650" totalsRowDxfId="649" dataCellStyle="Millares"/>
    <tableColumn id="8" name="U$S/Kg Inicio" totalsRowFunction="custom" dataDxfId="648" totalsRowDxfId="647" dataCellStyle="Millares">
      <calculatedColumnFormula>IFERROR(Tabla2831324352[[#This Row],[Stock Inicio]]/Tabla2831324352[[#This Row],[Kilos Inicio]],0)</calculatedColumnFormula>
      <totalsRowFormula>IFERROR(Tabla2831324352[[#Totals],[Stock Inicio]]/Tabla2831324352[[#Totals],[Kilos Inicio]],0)</totalsRowFormula>
    </tableColumn>
    <tableColumn id="9" name="U$S/Kg Cierre" totalsRowFunction="custom" dataDxfId="646" totalsRowDxfId="645" dataCellStyle="Millares">
      <calculatedColumnFormula>IFERROR(Tabla2831324352[[#This Row],[Stock Cierre]]/Tabla2831324352[[#This Row],[Kilos Cierre]],0)</calculatedColumnFormula>
      <totalsRowFormula>IFERROR(Tabla2831324352[[#Totals],[Stock Cierre]]/Tabla2831324352[[#Totals],[Kilos Cierre]],0)</totalsRowFormula>
    </tableColumn>
    <tableColumn id="10" name="Stock Inicio" totalsRowFunction="sum" dataDxfId="644" totalsRowDxfId="643" dataCellStyle="Millares">
      <calculatedColumnFormula>SUMPRODUCT((#REF!=Producción_Ganadera[Centro de Costo])*(Económico!#REF!=Producción_Ganadera[Campaña])*(Producción_Ganadera[Cuenta Contable]=Económico!$N$97)*(Tabla2831324352[[#This Row],[Categorías Hacienda]]=Producción_Ganadera[Categoría Hacienda])*(Producción_Ganadera[Económico U$S Dólares]))</calculatedColumnFormula>
    </tableColumn>
    <tableColumn id="16" name="Stock Inicio (Cierre)" totalsRowFunction="sum" dataDxfId="642" totalsRowDxfId="641" dataCellStyle="Millares">
      <calculatedColumnFormula>Tabla2831324352[[#This Row],[Kilos Inicio]]*Tabla2831324352[[#This Row],[U$S/Kg Cierre]]</calculatedColumnFormula>
    </tableColumn>
    <tableColumn id="11" name="Stock Cierre" totalsRowFunction="sum" dataDxfId="640" totalsRowDxfId="639" dataCellStyle="Millares">
      <calculatedColumnFormula>SUMPRODUCT((#REF!=Producción_Ganadera[Centro de Costo])*(Económico!#REF!=Producción_Ganadera[Campaña])*(Producción_Ganadera[Cuenta Contable]=Económico!$P$97)*(Tabla2831324352[[#This Row],[Categorías Hacienda]]=Producción_Ganadera[Categoría Hacienda])*(Producción_Ganadera[Económico U$S Dólares]))</calculatedColumnFormula>
    </tableColumn>
    <tableColumn id="14" name="Dif. Inventario" totalsRowFunction="sum" dataDxfId="638" totalsRowDxfId="637" dataCellStyle="Millares">
      <calculatedColumnFormula>(Tabla2831324352[[#This Row],[Kilos Cierre]]+Tabla2831324352[[#This Row],[Kilos Inicio]])*Tabla2831324352[[#This Row],[U$S/Kg Cierre]]</calculatedColumnFormula>
    </tableColumn>
    <tableColumn id="15" name="Tenencia" totalsRowFunction="sum" dataDxfId="636" totalsRowDxfId="635" dataCellStyle="Millares">
      <calculatedColumnFormula>-Tabla2831324352[[#This Row],[Kilos Inicio]]*(Tabla2831324352[[#This Row],[U$S/Kg Cierre]]-Tabla2831324352[[#This Row],[U$S/Kg Inicio]])</calculatedColumnFormula>
    </tableColumn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id="52" name="Tabla324453" displayName="Tabla324453" ref="AW114:BC136" totalsRowCount="1" headerRowDxfId="634" dataDxfId="633" dataCellStyle="Millares">
  <tableColumns count="7">
    <tableColumn id="1" name="Cuenta Contable" totalsRowLabel="Total" dataDxfId="632" totalsRowDxfId="631" dataCellStyle="Millares">
      <calculatedColumnFormula>Tabla32[[#This Row],[Cuenta Contable]]</calculatedColumnFormula>
    </tableColumn>
    <tableColumn id="2" name="Cab" dataDxfId="630" totalsRowDxfId="629" dataCellStyle="Millares"/>
    <tableColumn id="6" name="Kg/Cab" dataDxfId="628" totalsRowDxfId="627" dataCellStyle="Millares">
      <calculatedColumnFormula>IFERROR(Tabla324453[[#This Row],[Prod. Carne]]/Tabla324453[[#This Row],[Cab]],0)</calculatedColumnFormula>
    </tableColumn>
    <tableColumn id="3" name="Prod. Carne" totalsRowFunction="sum" dataDxfId="626" totalsRowDxfId="625" dataCellStyle="Millares"/>
    <tableColumn id="4" name="U$S Total" totalsRowFunction="sum" dataDxfId="624" totalsRowDxfId="623" dataCellStyle="Millares"/>
    <tableColumn id="5" name="U$S/ha" totalsRowFunction="sum" dataDxfId="622" totalsRowDxfId="621" dataCellStyle="Millares">
      <calculatedColumnFormula>IFERROR(IF($F$4=0,Tabla324453[[#This Row],[U$S Total]]/SUMPRODUCT((Tabla19[Superficie])*($F$5=Tabla19[Campaña])),Tabla324453[[#This Row],[U$S Total]]/SUMPRODUCT(($F$4=Tabla19[Centro de Costo])*(Tabla19[Superficie])*($F$5=Tabla19[Campaña]))),0)</calculatedColumnFormula>
    </tableColumn>
    <tableColumn id="7" name="U$S/Kg" totalsRowFunction="sum" dataDxfId="620" totalsRowDxfId="619" dataCellStyle="Millares">
      <calculatedColumnFormula>IFERROR(Tabla324453[[#This Row],[U$S Total]]/Tabla324453[[#Totals],[Prod. Carne]],0)</calculatedColumnFormula>
    </tableColumn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id="53" name="Tabla283132344554" displayName="Tabla283132344554" ref="AW141:BJ154" totalsRowCount="1" headerRowDxfId="618" dataDxfId="617" totalsRowDxfId="616">
  <tableColumns count="14">
    <tableColumn id="1" name="Categorías Hacienda" totalsRowLabel="Total" dataDxfId="615" totalsRowDxfId="614" dataCellStyle="Millares">
      <calculatedColumnFormula>Tabla28313234[[#This Row],[Categorías Hacienda]]</calculatedColumnFormula>
    </tableColumn>
    <tableColumn id="2" name="Cabezas Inicio" totalsRowFunction="sum" dataDxfId="613" totalsRowDxfId="612" dataCellStyle="Millares">
      <calculatedColumnFormula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Hacienda])*(Producción_Lecheria[Cabezas]))</calculatedColumnFormula>
    </tableColumn>
    <tableColumn id="3" name="Cabezas Cierre" totalsRowFunction="sum" dataDxfId="611" totalsRowDxfId="610" dataCellStyle="Millares">
      <calculatedColumnFormula>SUMPRODUCT(($F$4=Producción_Lecheria[C. Costo Reporte])*(Económico!$F$5=Producción_Lecheria[Campaña])*(Producción_Lecheria[Cuenta Contable]=Económico!$P$141)*(Tabla283132344554[[#This Row],[Categorías Hacienda]]=Producción_Lecheria[Categoría Hacienda])*(Producción_Lecheria[Cabezas]))</calculatedColumnFormula>
    </tableColumn>
    <tableColumn id="4" name="Diferencia Cabezas" totalsRowFunction="sum" dataDxfId="609" totalsRowDxfId="608" dataCellStyle="Millares">
      <calculatedColumnFormula>Tabla283132344554[[#This Row],[Cabezas Cierre]]-Tabla283132344554[[#This Row],[Cabezas Inicio]]</calculatedColumnFormula>
    </tableColumn>
    <tableColumn id="5" name="Kilos Inicio" totalsRowFunction="sum" dataDxfId="607" totalsRowDxfId="606" dataCellStyle="Millares">
      <calculatedColumnFormula>SUMPRODUCT(($F$4=Producción_Lecheria[C. Costo Reporte])*(Económico!$F$5=Producción_Lecheria[Campaña])*(Producción_Lecheria[Cuenta Contable]=Económico!$N$97)*(Tabla283132344554[[#This Row],[Categorías Hacienda]]=Producción_Lecheria[Categoría Hacienda])*(Producción_Lecheria[Kg/Cab]))*Tabla283132344554[[#This Row],[Cabezas Inicio]]</calculatedColumnFormula>
    </tableColumn>
    <tableColumn id="6" name="Kilos Cierre" totalsRowFunction="sum" dataDxfId="605" totalsRowDxfId="604" dataCellStyle="Millares">
      <calculatedColumnFormula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Hacienda])*(Producción_Lecheria[Kg/Cab]))*Tabla283132344554[[#This Row],[Cabezas Cierre]]</calculatedColumnFormula>
    </tableColumn>
    <tableColumn id="7" name="Diferencia Kilos" totalsRowFunction="sum" dataDxfId="603" totalsRowDxfId="602" dataCellStyle="Millares">
      <calculatedColumnFormula>Tabla283132344554[[#This Row],[Kilos Cierre]]-Tabla283132344554[[#This Row],[Kilos Inicio]]</calculatedColumnFormula>
    </tableColumn>
    <tableColumn id="8" name="U$S/Kg Inicio" totalsRowFunction="custom" dataDxfId="601" totalsRowDxfId="600" dataCellStyle="Millares">
      <calculatedColumnFormula>IFERROR(Tabla283132344554[[#This Row],[Stock Inicio]]/Tabla283132344554[[#This Row],[Kilos Inicio]],0)</calculatedColumnFormula>
      <totalsRowFormula>IFERROR(Tabla283132344554[[#Totals],[Stock Inicio]]/Tabla283132344554[[#Totals],[Kilos Inicio]],0)</totalsRowFormula>
    </tableColumn>
    <tableColumn id="9" name="U$S/Kg Cierre" totalsRowFunction="custom" dataDxfId="599" totalsRowDxfId="598" dataCellStyle="Millares">
      <calculatedColumnFormula>IFERROR(Tabla283132344554[[#This Row],[Stock Cierre]]/Tabla283132344554[[#This Row],[Kilos Cierre]],0)</calculatedColumnFormula>
      <totalsRowFormula>IFERROR(Tabla283132344554[[#Totals],[Stock Cierre]]/Tabla283132344554[[#Totals],[Kilos Cierre]],0)</totalsRowFormula>
    </tableColumn>
    <tableColumn id="10" name="Stock Inicio" totalsRowFunction="sum" dataDxfId="597" totalsRowDxfId="596" dataCellStyle="Millares">
      <calculatedColumnFormula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Hacienda])*(Producción_Lecheria[Económico $Corrientes]))</calculatedColumnFormula>
    </tableColumn>
    <tableColumn id="16" name="Stock Inicio (Cierre)" totalsRowFunction="sum" dataDxfId="595" totalsRowDxfId="594" dataCellStyle="Millares">
      <calculatedColumnFormula>Tabla283132344554[[#This Row],[Kilos Inicio]]*Tabla283132344554[[#This Row],[U$S/Kg Cierre]]</calculatedColumnFormula>
    </tableColumn>
    <tableColumn id="11" name="Stock Cierre" totalsRowFunction="sum" dataDxfId="593" totalsRowDxfId="592" dataCellStyle="Millares">
      <calculatedColumnFormula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Hacienda])*(Producción_Lecheria[Económico U$S Dólares]))</calculatedColumnFormula>
    </tableColumn>
    <tableColumn id="14" name="Dif. Inventario" totalsRowFunction="sum" dataDxfId="591" totalsRowDxfId="590" dataCellStyle="Millares">
      <calculatedColumnFormula>(Tabla283132344554[[#This Row],[Kilos Cierre]]+Tabla283132344554[[#This Row],[Kilos Inicio]])*Tabla283132344554[[#This Row],[U$S/Kg Cierre]]</calculatedColumnFormula>
    </tableColumn>
    <tableColumn id="15" name="Tenencia" totalsRowFunction="sum" dataDxfId="589" totalsRowDxfId="588" dataCellStyle="Millares">
      <calculatedColumnFormula>-Tabla283132344554[[#This Row],[Kilos Inicio]]*(Tabla283132344554[[#This Row],[U$S/Kg Cierre]]-Tabla283132344554[[#This Row],[U$S/Kg Inicio]])</calculatedColumnFormula>
    </tableColumn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id="54" name="Tabla32354655" displayName="Tabla32354655" ref="AW157:BE180" totalsRowCount="1" headerRowDxfId="587" dataDxfId="586" dataCellStyle="Millares">
  <tableColumns count="9">
    <tableColumn id="1" name="Cuenta Contable" totalsRowLabel="Total" dataDxfId="585" totalsRowDxfId="584" dataCellStyle="Millares">
      <calculatedColumnFormula>Tabla3235[[#This Row],[Cuenta Contable]]</calculatedColumnFormula>
    </tableColumn>
    <tableColumn id="2" name="Cab" dataDxfId="583" totalsRowDxfId="582" dataCellStyle="Millares">
      <calculatedColumnFormula>SUMPRODUCT(($F$4=Producción_Lecheria[C. Costo Reporte])*(Económico!$F$5=Producción_Lecheria[Campaña])*(Tabla32354655[[#This Row],[Cuenta Contable]]=Producción_Lecheria[Cuenta Contable])*(Producción_Lecheria[Cabezas]))</calculatedColumnFormula>
    </tableColumn>
    <tableColumn id="6" name="Kg/Cab" dataDxfId="581" totalsRowDxfId="580" dataCellStyle="Millares">
      <calculatedColumnFormula>IFERROR(Tabla32354655[[#This Row],[Prod. Carne]]/Tabla32354655[[#This Row],[Cab]],0)</calculatedColumnFormula>
    </tableColumn>
    <tableColumn id="3" name="Prod. Carne" totalsRowFunction="sum" dataDxfId="579" totalsRowDxfId="578" dataCellStyle="Millares">
      <calculatedColumnFormula>SUMPRODUCT(($F$4=Producción_Lecheria[C. Costo Reporte])*(Económico!$F$5=Producción_Lecheria[Campaña])*(Tabla32354655[[#This Row],[Cuenta Contable]]=Producción_Lecheria[Cuenta Contable])*(Producción_Lecheria[Cabezas])*(Producción_Lecheria[Kg/Cab]))</calculatedColumnFormula>
    </tableColumn>
    <tableColumn id="4" name="Litros" totalsRowFunction="sum" dataDxfId="577" totalsRowDxfId="576" dataCellStyle="Millares"/>
    <tableColumn id="5" name="U$S Total" totalsRowFunction="sum" dataDxfId="575" totalsRowDxfId="574" dataCellStyle="Millares">
      <calculatedColumnFormula>SUMPRODUCT(($F$4=Producción_Lecheria[C. Costo Reporte])*(Económico!$F$5=Producción_Lecheria[Campaña])*(Tabla32354655[[#This Row],[Cuenta Contable]]=Producción_Lecheria[Cuenta Contable])*(Producción_Lecheria[Económico U$S Dólares]))</calculatedColumnFormula>
    </tableColumn>
    <tableColumn id="7" name="U$S/ha" totalsRowFunction="sum" dataDxfId="573" totalsRowDxfId="572" dataCellStyle="Millares">
      <calculatedColumnFormula>IFERROR(Tabla32354655[[#This Row],[U$S Total]]/IF($F$4=0,SUMPRODUCT((Tabla1924[Superficie])*($F$5=Tabla1924[Campaña])),SUMPRODUCT(($F$4=Tabla1924[Centro de Costo])*(Tabla1924[Superficie])*($F$5=Tabla1924[Campaña]))),0)</calculatedColumnFormula>
    </tableColumn>
    <tableColumn id="8" name="U$S/Litro" totalsRowFunction="sum" dataDxfId="571" totalsRowDxfId="570" dataCellStyle="Millares">
      <calculatedColumnFormula>IFERROR(Tabla32354655[[#This Row],[U$S Total]]/Tabla32354655[[#Totals],[Litros]],0)</calculatedColumnFormula>
    </tableColumn>
    <tableColumn id="9" name="U$S/V. O." totalsRowFunction="sum" dataDxfId="569" totalsRowDxfId="568" dataCellStyle="Millares">
      <calculatedColumnFormula array="1">IFERROR(IF($F$4=0,Tabla32354655[[#This Row],[U$S Total]]/AVERAGE((Económico!$F$5=Tabla27[Campaña])*(Tabla27[V. Ordeñe])),Tabla32354655[[#This Row],[U$S Total]]/AVERAGE(($F$4=Tabla27[Centro Costo])*(Económico!$F$5=Tabla27[Campaña])*(Tabla27[V. Ordeñe]))),0)</calculatedColumnFormula>
    </tableColumn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id="55" name="Tabla2831364756" displayName="Tabla2831364756" ref="AW185:BD208" totalsRowCount="1" headerRowDxfId="567" dataDxfId="566" totalsRowDxfId="565">
  <tableColumns count="8">
    <tableColumn id="1" name="Cuentas Contables" totalsRowLabel="Resultado" dataDxfId="564" totalsRowDxfId="563" dataCellStyle="Millares"/>
    <tableColumn id="2" name="Maquinaria" totalsRowFunction="sum" dataDxfId="562" totalsRowDxfId="561" dataCellStyle="Millares">
      <calculatedColumnFormula>IFERROR(SUMPRODUCT((Tabla2831364756[[#This Row],[Cuentas Contables]]=Otras_Actividades_Base[Cuenta Contable])*(Económico!$F$5=Otras_Actividades_Base[Campaña])*(Otras_Actividades_Base[Económico $Corrientes])*(AX$185=Otras_Actividades_Base[Unidad de Negocio])*($F$4=Otras_Actividades_Base[C. Costo Reporte])),0)</calculatedColumnFormula>
    </tableColumn>
    <tableColumn id="3" name="Cosecha" totalsRowFunction="sum" dataDxfId="560" totalsRowDxfId="559" dataCellStyle="Millares">
      <calculatedColumnFormula>IFERROR(SUMPRODUCT((Tabla2831364756[[#This Row],[Cuentas Contables]]=Otras_Actividades_Base[Cuenta Contable])*(Económico!$F$5=Otras_Actividades_Base[Campaña])*(Otras_Actividades_Base[Económico $Corrientes])*(AY$185=Otras_Actividades_Base[Unidad de Negocio])*($F$4=Otras_Actividades_Base[C. Costo Reporte])),0)</calculatedColumnFormula>
    </tableColumn>
    <tableColumn id="4" name="Inmobiliario" totalsRowFunction="sum" dataDxfId="558" totalsRowDxfId="557" dataCellStyle="Millares">
      <calculatedColumnFormula>IFERROR(SUMPRODUCT((Tabla2831364756[[#This Row],[Cuentas Contables]]=Otras_Actividades_Base[Cuenta Contable])*(Económico!$F$5=Otras_Actividades_Base[Campaña])*(Otras_Actividades_Base[Económico $Corrientes])*(AZ$185=Otras_Actividades_Base[Unidad de Negocio])*($F$4=Otras_Actividades_Base[C. Costo Reporte])),0)</calculatedColumnFormula>
    </tableColumn>
    <tableColumn id="5" name="Fletes" totalsRowFunction="sum" dataDxfId="556" totalsRowDxfId="555" dataCellStyle="Millares">
      <calculatedColumnFormula>IFERROR(SUMPRODUCT((Tabla2831364756[[#This Row],[Cuentas Contables]]=Otras_Actividades_Base[Cuenta Contable])*(Económico!$F$5=Otras_Actividades_Base[Campaña])*(Otras_Actividades_Base[Económico $Corrientes])*(BA$185=Otras_Actividades_Base[Unidad de Negocio])*($F$4=Otras_Actividades_Base[C. Costo Reporte])),0)</calculatedColumnFormula>
    </tableColumn>
    <tableColumn id="6" name="Columna1" totalsRowFunction="sum" dataDxfId="554" totalsRowDxfId="553" dataCellStyle="Millares">
      <calculatedColumnFormula>IFERROR(SUMPRODUCT((Tabla2831364756[[#This Row],[Cuentas Contables]]=Otras_Actividades_Base[Cuenta Contable])*(Económico!$F$5=Otras_Actividades_Base[Campaña])*(Otras_Actividades_Base[Económico $Corrientes])*(BB$185=Otras_Actividades_Base[Unidad de Negocio])*($F$4=Otras_Actividades_Base[C. Costo Reporte])),0)</calculatedColumnFormula>
    </tableColumn>
    <tableColumn id="7" name="Columna6" totalsRowFunction="sum" dataDxfId="552" totalsRowDxfId="551" dataCellStyle="Millares">
      <calculatedColumnFormula>IFERROR(SUMPRODUCT((Tabla2831364756[[#This Row],[Cuentas Contables]]=Otras_Actividades_Base[Cuenta Contable])*(Económico!$F$5=Otras_Actividades_Base[Campaña])*(Otras_Actividades_Base[Económico $Corrientes])*(BC$185=Otras_Actividades_Base[Unidad de Negocio])*($F$4=Otras_Actividades_Base[C. Costo Reporte])),0)</calculatedColumnFormula>
    </tableColumn>
    <tableColumn id="8" name="Columna7" totalsRowFunction="sum" dataDxfId="550" totalsRowDxfId="549" dataCellStyle="Millares">
      <calculatedColumnFormula>IFERROR(SUMPRODUCT((Tabla2831364756[[#This Row],[Cuentas Contables]]=Otras_Actividades_Base[Cuenta Contable])*(Económico!$F$5=Otras_Actividades_Base[Campaña])*(Otras_Actividades_Base[Económico $Corrientes])*(BD$185=Otras_Actividades_Base[Unidad de Negocio])*($F$4=Otras_Actividades_Base[C. Costo Reporte])),0)</calculatedColumnFormula>
    </tableColumn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id="56" name="Tabla283136374857" displayName="Tabla283136374857" ref="AW213:BD237" totalsRowCount="1" headerRowDxfId="548" dataDxfId="547" totalsRowDxfId="546">
  <tableColumns count="8">
    <tableColumn id="1" name="Cuentas Contables" totalsRowLabel="Resultado" dataDxfId="545" totalsRowDxfId="544" dataCellStyle="Millares">
      <calculatedColumnFormula>Tabla28313637[[#This Row],[Cuentas Contables]]</calculatedColumnFormula>
    </tableColumn>
    <tableColumn id="2" name="Estructura" totalsRowFunction="sum" dataDxfId="543" totalsRowDxfId="542" dataCellStyle="Millares">
      <calculatedColumnFormula>IFERROR(SUMPRODUCT((Tabla283136374857[[#This Row],[Cuentas Contables]]=Indirectos[Cuenta Contable])*(Económico!$F$5=Indirectos[Campaña])*(Indirectos[Económico $Corrientes])*(AX$213=Indirectos[Unidad de Negocio])*($F$4=Indirectos[C. Costo Reporte])*(Indirectos[Econ.]="SI")),0)</calculatedColumnFormula>
    </tableColumn>
    <tableColumn id="3" name="Administración" totalsRowFunction="sum" dataDxfId="541" totalsRowDxfId="540" dataCellStyle="Millares">
      <calculatedColumnFormula>IFERROR(SUMPRODUCT((Tabla283136374857[[#This Row],[Cuentas Contables]]=Indirectos[Cuenta Contable])*(Económico!$F$5=Indirectos[Campaña])*(Indirectos[Económico $Corrientes])*(AY$213=Indirectos[Unidad de Negocio])*($F$4=Indirectos[C. Costo Reporte])*(Indirectos[Econ.]="SI")),0)</calculatedColumnFormula>
    </tableColumn>
    <tableColumn id="4" name="Impuestos" totalsRowFunction="sum" dataDxfId="539" totalsRowDxfId="538" dataCellStyle="Millares">
      <calculatedColumnFormula>IFERROR(SUMPRODUCT((Tabla283136374857[[#This Row],[Cuentas Contables]]=Indirectos[Cuenta Contable])*(Económico!$F$5=Indirectos[Campaña])*(Indirectos[Económico $Corrientes])*(AZ$213=Indirectos[Unidad de Negocio])*($F$4=Indirectos[C. Costo Reporte])*(Indirectos[Econ.]="SI")),0)</calculatedColumnFormula>
    </tableColumn>
    <tableColumn id="5" name="Dividendos" totalsRowFunction="sum" dataDxfId="537" totalsRowDxfId="536" dataCellStyle="Millares">
      <calculatedColumnFormula>IFERROR(SUMPRODUCT((Tabla283136374857[[#This Row],[Cuentas Contables]]=Indirectos[Cuenta Contable])*(Económico!$F$5=Indirectos[Campaña])*(Indirectos[Económico $Corrientes])*(BA$213=Indirectos[Unidad de Negocio])*($F$4=Indirectos[C. Costo Reporte])*(Indirectos[Econ.]="SI")),0)</calculatedColumnFormula>
    </tableColumn>
    <tableColumn id="6" name="Inversiones" totalsRowFunction="sum" dataDxfId="535" totalsRowDxfId="534" dataCellStyle="Millares">
      <calculatedColumnFormula>IFERROR(SUMPRODUCT((Tabla283136374857[[#This Row],[Cuentas Contables]]=Indirectos[Cuenta Contable])*(Económico!$F$5=Indirectos[Campaña])*(Indirectos[Económico $Corrientes])*(BB$213=Indirectos[Unidad de Negocio])*($F$4=Indirectos[C. Costo Reporte])*(Indirectos[Econ.]="SI")),0)</calculatedColumnFormula>
    </tableColumn>
    <tableColumn id="7" name="Columna3" totalsRowFunction="sum" dataDxfId="533" totalsRowDxfId="532" dataCellStyle="Millares">
      <calculatedColumnFormula>IFERROR(SUMPRODUCT((Tabla283136374857[[#This Row],[Cuentas Contables]]=Indirectos[Cuenta Contable])*(Económico!$F$5=Indirectos[Campaña])*(Indirectos[Económico $Corrientes])*(BC$213=Indirectos[Unidad de Negocio])*($F$4=Indirectos[C. Costo Reporte])*(Indirectos[Econ.]="SI")),0)</calculatedColumnFormula>
    </tableColumn>
    <tableColumn id="8" name="Columna4" totalsRowFunction="sum" dataDxfId="531" totalsRowDxfId="530" dataCellStyle="Millares">
      <calculatedColumnFormula>IFERROR(SUMPRODUCT((Tabla283136374857[[#This Row],[Cuentas Contables]]=Indirectos[Cuenta Contable])*(Económico!$F$5=Indirectos[Campaña])*(Indirectos[Económico $Corrientes])*(BD$213=Indirectos[Unidad de Negocio])*($F$4=Indirectos[C. Costo Reporte])*(Indirectos[Econ.]="SI")),0)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6" name="Tipo_Cambio" displayName="Tipo_Cambio" ref="F4:J25" totalsRowShown="0" headerRowDxfId="1260">
  <tableColumns count="5">
    <tableColumn id="1" name="Mes" dataDxfId="1259">
      <calculatedColumnFormula>IF(F4=12,1,F4+1)</calculatedColumnFormula>
    </tableColumn>
    <tableColumn id="2" name="Año" dataDxfId="1258">
      <calculatedColumnFormula>IF(Tipo_Cambio[[#This Row],[Mes]]=1,G4+1,G4)</calculatedColumnFormula>
    </tableColumn>
    <tableColumn id="3" name="$/U$S" dataDxfId="1257" dataCellStyle="Millares"/>
    <tableColumn id="5" name="Inflación" dataDxfId="1256" dataCellStyle="Millares"/>
    <tableColumn id="4" name="Actualización" dataDxfId="1255">
      <calculatedColumnFormula>J4*(1+Tipo_Cambio[[#This Row],[Inflación]])</calculatedColumnFormula>
    </tableColumn>
  </tableColumns>
  <tableStyleInfo name="TableStyleMedium1" showFirstColumn="0" showLastColumn="0" showRowStripes="1" showColumnStripes="0"/>
</table>
</file>

<file path=xl/tables/table50.xml><?xml version="1.0" encoding="utf-8"?>
<table xmlns="http://schemas.openxmlformats.org/spreadsheetml/2006/main" id="57" name="Tabla28313637404958" displayName="Tabla28313637404958" ref="AW242:AX253" totalsRowCount="1" headerRowDxfId="529" dataDxfId="528" totalsRowDxfId="527">
  <tableColumns count="2">
    <tableColumn id="1" name="Cuentas Contables" totalsRowLabel="Resultado" dataDxfId="526" totalsRowDxfId="525" dataCellStyle="Millares">
      <calculatedColumnFormula>Tabla2831363740[[#This Row],[Cuentas Contables]]</calculatedColumnFormula>
    </tableColumn>
    <tableColumn id="2" name="Finanzas" totalsRowFunction="sum" dataDxfId="524" totalsRowDxfId="523" dataCellStyle="Millares">
      <calculatedColumnFormula>IFERROR(SUMPRODUCT((Tabla28313637404958[[#This Row],[Cuentas Contables]]=Finanzas[Cuenta Contable])*(Económico!$F$5=Finanzas[Campaña])*(Finanzas[Económico $Corrientes])*("Si"=Finanzas[Econ.])),0)</calculatedColumnFormula>
    </tableColumn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id="7" name="Producción_Agricola" displayName="Producción_Agricola" ref="D4:AR704" totalsRowShown="0" headerRowDxfId="410" dataCellStyle="Millares">
  <autoFilter ref="D4:AR704"/>
  <tableColumns count="41">
    <tableColumn id="1" name="Fecha Económico" dataDxfId="409" dataCellStyle="Millares"/>
    <tableColumn id="2" name="Fecha Financiero" dataDxfId="408" dataCellStyle="Millares"/>
    <tableColumn id="3" name="Campaña" dataDxfId="407" dataCellStyle="Millares"/>
    <tableColumn id="5" name="Centro de Costo" dataDxfId="406" dataCellStyle="Millares"/>
    <tableColumn id="6" name="Unidad de Negocio" dataDxfId="405" dataCellStyle="Millares"/>
    <tableColumn id="25" name="Producto" dataDxfId="404" dataCellStyle="Millares">
      <calculatedColumnFormula>IFERROR(INDEX(Tabla8[],MATCH(Producción_Agricola[[#This Row],[Unidad de Negocio]],Tabla8[Unidades de Negocio],0),2),0)</calculatedColumnFormula>
    </tableColumn>
    <tableColumn id="19" name="Superficie" dataDxfId="403" dataCellStyle="Millares">
      <calculatedColumnFormula>SUMPRODUCT((Producción_Agricola[[#This Row],[Centro de Costo]]=Tabla18[Centro de Costo])*(Producción_Agricola[[#This Row],[Unidad de Negocio]]=Tabla18[Actividad])*(Tabla18[Superficie])*(Producción_Agricola[[#This Row],[Campaña]]=Tabla18[Campaña]))</calculatedColumnFormula>
    </tableColumn>
    <tableColumn id="4" name="Cuenta Contable" dataDxfId="402" dataCellStyle="Millares"/>
    <tableColumn id="7" name="Articulo (Opcional)" dataDxfId="401" dataCellStyle="Millares"/>
    <tableColumn id="8" name="Cantidad" dataDxfId="400" dataCellStyle="Millares"/>
    <tableColumn id="9" name="Unidad" dataDxfId="399" dataCellStyle="Millares"/>
    <tableColumn id="24" name="Cantidad Total" dataDxfId="398" dataCellStyle="Millares">
      <calculatedColumnFormula>Producción_Agricola[[#This Row],[Superficie]]*Producción_Agricola[[#This Row],[Cantidad]]</calculatedColumnFormula>
    </tableColumn>
    <tableColumn id="10" name="Precio Unitario" dataDxfId="397" dataCellStyle="Millares"/>
    <tableColumn id="11" name="Moneda" dataDxfId="396" dataCellStyle="Millares"/>
    <tableColumn id="15" name="Tasa Anual de Interés" dataDxfId="395" dataCellStyle="Porcentaje"/>
    <tableColumn id="12" name="Económico $Corrientes" dataDxfId="394" dataCellStyle="Millares">
      <calculatedColumnFormula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calculatedColumnFormula>
    </tableColumn>
    <tableColumn id="13" name="Económico $Constantes" dataDxfId="393" dataCellStyle="Millares">
      <calculatedColumnFormula>IFERROR(Producción_Agricola[[#This Row],[Económico $Corrientes]]/Producción_Agricola[[#This Row],[Indexación Económico]],0)</calculatedColumnFormula>
    </tableColumn>
    <tableColumn id="14" name="Económico U$S Dólares" dataDxfId="392" dataCellStyle="Millares">
      <calculatedColumnFormula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calculatedColumnFormula>
    </tableColumn>
    <tableColumn id="16" name="Financiero $Corrientes" dataDxfId="391" dataCellStyle="Millares">
      <calculatedColumnFormula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calculatedColumnFormula>
    </tableColumn>
    <tableColumn id="17" name="Financiero $Constantes" dataDxfId="390" dataCellStyle="Millares">
      <calculatedColumnFormula>IFERROR(Producción_Agricola[[#This Row],[Financiero $Corrientes]]/Producción_Agricola[[#This Row],[Indexación Financiero]],0)</calculatedColumnFormula>
    </tableColumn>
    <tableColumn id="18" name="Financiero U$S Dólares" dataDxfId="389" dataCellStyle="Millares">
      <calculatedColumnFormula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calculatedColumnFormula>
    </tableColumn>
    <tableColumn id="34" name="Intereses $Corrientes" dataDxfId="388" dataCellStyle="Millares">
      <calculatedColumnFormula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calculatedColumnFormula>
    </tableColumn>
    <tableColumn id="35" name="Intereses $Constantes" dataDxfId="387" dataCellStyle="Millares">
      <calculatedColumnFormula>IFERROR(Producción_Agricola[[#This Row],[Intereses $Corrientes]]/Producción_Agricola[[#This Row],[Indexación Financiero]],0)</calculatedColumnFormula>
    </tableColumn>
    <tableColumn id="36" name="Intereses U$S Dólares" dataDxfId="386" dataCellStyle="Millares">
      <calculatedColumnFormula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calculatedColumnFormula>
    </tableColumn>
    <tableColumn id="26" name="Movimiento" dataDxfId="385" dataCellStyle="Millares">
      <calculatedColumnFormula>IFERROR(INDEX(Produccion_Agricola_Cuentas[],MATCH(Producción_Agricola[[#This Row],[Cuenta Contable]],Produccion_Agricola_Cuentas[Cuenta Contable],0),2),0)</calculatedColumnFormula>
    </tableColumn>
    <tableColumn id="28" name="Fin." dataDxfId="384" dataCellStyle="Millares">
      <calculatedColumnFormula>IFERROR(INDEX(Tabla9[],MATCH(Producción_Agricola[[#This Row],[Movimiento]],Tabla9[Movimientos],0),2),0)</calculatedColumnFormula>
    </tableColumn>
    <tableColumn id="29" name="Signo" dataDxfId="383" dataCellStyle="Millares">
      <calculatedColumnFormula>IFERROR(INDEX(Tabla9[],MATCH(Producción_Agricola[[#This Row],[Movimiento]],Tabla9[Movimientos],0),3),0)</calculatedColumnFormula>
    </tableColumn>
    <tableColumn id="20" name="Mes Económico" dataDxfId="382" dataCellStyle="Millares">
      <calculatedColumnFormula>IF(Producción_Agricola[[#This Row],[Fecha Económico]]=0,0,MONTH(Producción_Agricola[[#This Row],[Fecha Económico]]))</calculatedColumnFormula>
    </tableColumn>
    <tableColumn id="21" name="Año Económico" dataDxfId="381" dataCellStyle="Millares">
      <calculatedColumnFormula>IF(Producción_Agricola[[#This Row],[Fecha Económico]]=0,0,YEAR(Producción_Agricola[[#This Row],[Fecha Económico]]))</calculatedColumnFormula>
    </tableColumn>
    <tableColumn id="30" name="T. Cambio Económico" dataDxfId="380" dataCellStyle="Millares">
      <calculatedColumnFormula>SUMPRODUCT((Producción_Agricola[[#This Row],[Mes Económico]]=Tipo_Cambio[Mes])*(Producción_Agricola[[#This Row],[Año Económico]]=Tipo_Cambio[Año])*(Tipo_Cambio[$/U$S]))</calculatedColumnFormula>
    </tableColumn>
    <tableColumn id="32" name="Indexación Económico" dataDxfId="379" dataCellStyle="Millares">
      <calculatedColumnFormula>SUMPRODUCT((Producción_Agricola[[#This Row],[Mes Económico]]=Tipo_Cambio[Mes])*(Producción_Agricola[[#This Row],[Año Económico]]=Tipo_Cambio[Año])*(Tipo_Cambio[Actualización]))</calculatedColumnFormula>
    </tableColumn>
    <tableColumn id="22" name="Mes Financiero" dataDxfId="378" dataCellStyle="Millares">
      <calculatedColumnFormula>IF(ISNUMBER(Producción_Agricola[[#This Row],[Fecha Financiero]])=TRUE,MONTH(Producción_Agricola[[#This Row],[Fecha Financiero]]),0)</calculatedColumnFormula>
    </tableColumn>
    <tableColumn id="23" name="Año Financiero" dataDxfId="377" dataCellStyle="Millares">
      <calculatedColumnFormula>IF(ISNUMBER(Producción_Agricola[[#This Row],[Fecha Financiero]])=TRUE,YEAR(Producción_Agricola[[#This Row],[Fecha Financiero]]),0)</calculatedColumnFormula>
    </tableColumn>
    <tableColumn id="31" name="T. Cambio Financiero" dataDxfId="376" dataCellStyle="Millares">
      <calculatedColumnFormula>SUMPRODUCT((Producción_Agricola[[#This Row],[Mes Financiero]]=Tipo_Cambio[Mes])*(Producción_Agricola[[#This Row],[Año Financiero]]=Tipo_Cambio[Año])*(Tipo_Cambio[$/U$S]))</calculatedColumnFormula>
    </tableColumn>
    <tableColumn id="33" name="Indexación Financiero" dataDxfId="375" dataCellStyle="Millares">
      <calculatedColumnFormula>SUMPRODUCT((Producción_Agricola[[#This Row],[Mes Financiero]]=Tipo_Cambio[Mes])*(Producción_Agricola[[#This Row],[Año Financiero]]=Tipo_Cambio[Año])*(Tipo_Cambio[Actualización]))</calculatedColumnFormula>
    </tableColumn>
    <tableColumn id="37" name=" $Corrientes Superficie" dataDxfId="374" dataCellStyle="Millares">
      <calculatedColumnFormula>IFERROR(Producción_Agricola[[#This Row],[Económico $Corrientes]]/Producción_Agricola[[#This Row],[Superficie]],0)</calculatedColumnFormula>
    </tableColumn>
    <tableColumn id="38" name=" $Constante Superficie" dataDxfId="373" dataCellStyle="Millares">
      <calculatedColumnFormula>IFERROR(Producción_Agricola[[#This Row],[Económico $Constantes]]/Producción_Agricola[[#This Row],[Superficie]],0)</calculatedColumnFormula>
    </tableColumn>
    <tableColumn id="39" name=" U$S Dólares Superficie" dataDxfId="372" dataCellStyle="Millares">
      <calculatedColumnFormula>IFERROR(Producción_Agricola[[#This Row],[Económico U$S Dólares]]/Producción_Agricola[[#This Row],[Superficie]],0)</calculatedColumnFormula>
    </tableColumn>
    <tableColumn id="27" name="C. Costo Reporte" dataDxfId="371" dataCellStyle="Millares">
      <calculatedColumnFormula>IF(Económico!$F$4=0,0,Producción_Agricola[[#This Row],[Centro de Costo]])</calculatedColumnFormula>
    </tableColumn>
    <tableColumn id="40" name="Etapa (Opcional)" dataDxfId="370" dataCellStyle="Millares"/>
    <tableColumn id="41" name="Observación de Carga" dataDxfId="369" dataCellStyle="Millares"/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id="11" name="Comercial_Agricola" displayName="Comercial_Agricola" ref="D4:AG104" totalsRowCount="1" headerRowDxfId="346" dataCellStyle="Millares">
  <tableColumns count="30">
    <tableColumn id="1" name="Fecha Económico" totalsRowLabel="Total" dataDxfId="345" totalsRowDxfId="344" dataCellStyle="Millares"/>
    <tableColumn id="2" name="Fecha Financiero" dataDxfId="343" totalsRowDxfId="342" dataCellStyle="Millares"/>
    <tableColumn id="3" name="Campaña" dataDxfId="341" totalsRowDxfId="340" dataCellStyle="Millares">
      <calculatedColumnFormula>Campaña_Actual</calculatedColumnFormula>
    </tableColumn>
    <tableColumn id="4" name="Cuenta Contable" dataDxfId="339" totalsRowDxfId="338" dataCellStyle="Millares"/>
    <tableColumn id="6" name="Unidad de Negocio" dataDxfId="337" totalsRowDxfId="336" dataCellStyle="Millares"/>
    <tableColumn id="25" name="Producto" dataDxfId="335" totalsRowDxfId="334" dataCellStyle="Millares">
      <calculatedColumnFormula>IFERROR(INDEX(Tabla811[],MATCH(Comercial_Agricola[[#This Row],[Unidad de Negocio]],Tabla811[Unidades de Negocio],0),2),0)</calculatedColumnFormula>
    </tableColumn>
    <tableColumn id="7" name="Articulo (Opcional)" dataDxfId="333" totalsRowDxfId="332" dataCellStyle="Millares"/>
    <tableColumn id="24" name="Toneladas" dataDxfId="331" totalsRowDxfId="330" dataCellStyle="Millares"/>
    <tableColumn id="10" name="Precio Unitario" dataDxfId="329" totalsRowDxfId="328" dataCellStyle="Millares"/>
    <tableColumn id="11" name="Moneda" dataDxfId="327" totalsRowDxfId="326" dataCellStyle="Millares"/>
    <tableColumn id="12" name="Económico $Corrientes" dataDxfId="325" totalsRowDxfId="324" dataCellStyle="Millares">
      <calculatedColumnFormula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calculatedColumnFormula>
    </tableColumn>
    <tableColumn id="13" name="Económico $Constantes" dataDxfId="323" totalsRowDxfId="322" dataCellStyle="Millares">
      <calculatedColumnFormula>IFERROR(Comercial_Agricola[[#This Row],[Económico $Corrientes]]/Comercial_Agricola[[#This Row],[Indexación Económico]],0)</calculatedColumnFormula>
    </tableColumn>
    <tableColumn id="14" name="Económico U$S Dólares" dataDxfId="321" totalsRowDxfId="320" dataCellStyle="Millares">
      <calculatedColumnFormula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calculatedColumnFormula>
    </tableColumn>
    <tableColumn id="16" name="Financiero $Corrientes" dataDxfId="319" totalsRowDxfId="318" dataCellStyle="Millares">
      <calculatedColumnFormula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calculatedColumnFormula>
    </tableColumn>
    <tableColumn id="17" name="Financiero $Constantes" dataDxfId="317" totalsRowDxfId="316" dataCellStyle="Millares">
      <calculatedColumnFormula>IFERROR(Comercial_Agricola[[#This Row],[Financiero $Corrientes]]/Comercial_Agricola[[#This Row],[Indexación Financiero]],0)</calculatedColumnFormula>
    </tableColumn>
    <tableColumn id="18" name="Financiero U$S Dólares" dataDxfId="315" totalsRowDxfId="314" dataCellStyle="Millares">
      <calculatedColumnFormula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calculatedColumnFormula>
    </tableColumn>
    <tableColumn id="26" name="Movimiento" dataDxfId="313" totalsRowDxfId="312" dataCellStyle="Millares">
      <calculatedColumnFormula>IFERROR(INDEX(Comercializacion_Granos_Cuentas[],MATCH(Comercial_Agricola[[#This Row],[Cuenta Contable]],Comercializacion_Granos_Cuentas[Cuenta Contable],0),2),0)</calculatedColumnFormula>
    </tableColumn>
    <tableColumn id="37" name="Stock" dataDxfId="311" totalsRowDxfId="310" dataCellStyle="Millares">
      <calculatedColumnFormula>IFERROR(INDEX(Comercializacion_Granos_Cuentas[],MATCH(Comercial_Agricola[[#This Row],[Cuenta Contable]],Comercializacion_Granos_Cuentas[Cuenta Contable],0),3),0)</calculatedColumnFormula>
    </tableColumn>
    <tableColumn id="38" name="Mov. Stock" totalsRowFunction="sum" dataDxfId="309" totalsRowDxfId="308" dataCellStyle="Millares">
      <calculatedColumnFormula>IF(Comercial_Agricola[[#This Row],[Signo]]="(-)",1,-1)*IF(Comercial_Agricola[[#This Row],[Stock]]="SI",Comercial_Agricola[[#This Row],[Toneladas]],0)</calculatedColumnFormula>
    </tableColumn>
    <tableColumn id="5" name="Stock Disponible" dataDxfId="307" totalsRowDxfId="306" dataCellStyle="Millares">
      <calculatedColumnFormula>IFERROR(SUMPRODUCT((Comercial_Agricola[[#This Row],[Fecha Económico]]&gt;$D4:D$5)*($V$4:V$5)*(Comercial_Agricola[[#This Row],[Producto]]=$I4:I$5)),Comercial_Agricola[Mov. Stock])</calculatedColumnFormula>
    </tableColumn>
    <tableColumn id="28" name="Fin." dataDxfId="305" totalsRowDxfId="304" dataCellStyle="Millares">
      <calculatedColumnFormula>IFERROR(INDEX(Tabla9[],MATCH(Comercial_Agricola[[#This Row],[Movimiento]],Tabla9[Movimientos],0),2),0)</calculatedColumnFormula>
    </tableColumn>
    <tableColumn id="29" name="Signo" dataDxfId="303" totalsRowDxfId="302" dataCellStyle="Millares">
      <calculatedColumnFormula>IFERROR(INDEX(Tabla9[],MATCH(Comercial_Agricola[[#This Row],[Movimiento]],Tabla9[Movimientos],0),3),0)</calculatedColumnFormula>
    </tableColumn>
    <tableColumn id="20" name="Mes Económico" dataDxfId="301" totalsRowDxfId="300" dataCellStyle="Millares">
      <calculatedColumnFormula>IF(Comercial_Agricola[[#This Row],[Fecha Económico]]=0,0,MONTH(Comercial_Agricola[[#This Row],[Fecha Económico]]))</calculatedColumnFormula>
    </tableColumn>
    <tableColumn id="21" name="Año Económico" dataDxfId="299" totalsRowDxfId="298" dataCellStyle="Millares">
      <calculatedColumnFormula>IF(Comercial_Agricola[[#This Row],[Fecha Económico]]=0,0,YEAR(Comercial_Agricola[[#This Row],[Fecha Económico]]))</calculatedColumnFormula>
    </tableColumn>
    <tableColumn id="30" name="T. Cambio Económico" dataDxfId="297" totalsRowDxfId="296" dataCellStyle="Millares">
      <calculatedColumnFormula>SUMPRODUCT((Comercial_Agricola[[#This Row],[Mes Económico]]=Tipo_Cambio[Mes])*(Comercial_Agricola[[#This Row],[Año Económico]]=Tipo_Cambio[Año])*(Tipo_Cambio[$/U$S]))</calculatedColumnFormula>
    </tableColumn>
    <tableColumn id="32" name="Indexación Económico" dataDxfId="295" totalsRowDxfId="294" dataCellStyle="Millares">
      <calculatedColumnFormula>SUMPRODUCT((Comercial_Agricola[[#This Row],[Mes Económico]]=Tipo_Cambio[Mes])*(Comercial_Agricola[[#This Row],[Año Económico]]=Tipo_Cambio[Año])*(Tipo_Cambio[Actualización]))</calculatedColumnFormula>
    </tableColumn>
    <tableColumn id="22" name="Mes Financiero" dataDxfId="293" totalsRowDxfId="292" dataCellStyle="Millares">
      <calculatedColumnFormula>IF(ISNUMBER(Comercial_Agricola[[#This Row],[Fecha Financiero]])=TRUE,MONTH(Comercial_Agricola[[#This Row],[Fecha Financiero]]),0)</calculatedColumnFormula>
    </tableColumn>
    <tableColumn id="23" name="Año Financiero" dataDxfId="291" totalsRowDxfId="290" dataCellStyle="Millares">
      <calculatedColumnFormula>IF(ISNUMBER(Comercial_Agricola[[#This Row],[Fecha Financiero]])=TRUE,YEAR(Comercial_Agricola[[#This Row],[Fecha Financiero]]),0)</calculatedColumnFormula>
    </tableColumn>
    <tableColumn id="31" name="T. Cambio Financiero" dataDxfId="289" totalsRowDxfId="288" dataCellStyle="Millares">
      <calculatedColumnFormula>SUMPRODUCT((Comercial_Agricola[[#This Row],[Mes Financiero]]=Tipo_Cambio[Mes])*(Comercial_Agricola[[#This Row],[Año Financiero]]=Tipo_Cambio[Año])*(Tipo_Cambio[$/U$S]))</calculatedColumnFormula>
    </tableColumn>
    <tableColumn id="33" name="Indexación Financiero" dataDxfId="287" totalsRowDxfId="286" dataCellStyle="Millares">
      <calculatedColumnFormula>SUMPRODUCT((Comercial_Agricola[[#This Row],[Mes Financiero]]=Tipo_Cambio[Mes])*(Comercial_Agricola[[#This Row],[Año Financiero]]=Tipo_Cambio[Año])*(Tipo_Cambio[Actualización]))</calculatedColumnFormula>
    </tableColumn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id="16" name="Producción_Ganadera" displayName="Producción_Ganadera" ref="D4:AV310" totalsRowShown="0" headerRowDxfId="219" dataCellStyle="Millares">
  <tableColumns count="45">
    <tableColumn id="1" name="Fecha Económico" dataDxfId="218" dataCellStyle="Millares"/>
    <tableColumn id="2" name="Fecha Financiero" dataDxfId="217" dataCellStyle="Millares"/>
    <tableColumn id="3" name="Campaña" dataDxfId="216" dataCellStyle="Millares">
      <calculatedColumnFormula>Campaña_Actual</calculatedColumnFormula>
    </tableColumn>
    <tableColumn id="4" name="Cuenta Contable" dataDxfId="215" dataCellStyle="Millares"/>
    <tableColumn id="5" name="Centro de Costo" dataDxfId="214" dataCellStyle="Millares"/>
    <tableColumn id="6" name="Categoría Hacienda" dataDxfId="213" dataCellStyle="Millares"/>
    <tableColumn id="41" name="Producto Cesión" dataDxfId="212" dataCellStyle="Millares"/>
    <tableColumn id="7" name="Articulo (Opcional)" dataDxfId="211" dataCellStyle="Millares"/>
    <tableColumn id="19" name="Cabezas" dataDxfId="210" dataCellStyle="Millares"/>
    <tableColumn id="45" name="Stock Hacienda" dataDxfId="209" dataCellStyle="Millares">
      <calculatedColumnFormula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calculatedColumnFormula>
    </tableColumn>
    <tableColumn id="43" name="Kg/Cab" dataDxfId="208" dataCellStyle="Millares">
      <calculatedColumnFormula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calculatedColumnFormula>
    </tableColumn>
    <tableColumn id="8" name="Cantidad" dataDxfId="207" dataCellStyle="Millares"/>
    <tableColumn id="9" name="Unidad" dataDxfId="206" dataCellStyle="Millares"/>
    <tableColumn id="24" name="Cantidad Total" dataDxfId="205" dataCellStyle="Millares">
      <calculatedColumnFormula>IF(ISNUMBER(Producción_Ganadera[[#This Row],[Cabezas]])=TRUE,Producción_Ganadera[[#This Row],[Cabezas]]*Producción_Ganadera[[#This Row],[Cantidad]],Producción_Ganadera[[#This Row],[Cantidad]])</calculatedColumnFormula>
    </tableColumn>
    <tableColumn id="10" name="Precio Unitario" dataDxfId="204" dataCellStyle="Millares"/>
    <tableColumn id="11" name="Moneda" dataDxfId="203" dataCellStyle="Millares"/>
    <tableColumn id="15" name="Tasa Anual de Interés" dataDxfId="202" dataCellStyle="Porcentaje"/>
    <tableColumn id="12" name="Económico $Corrientes" dataDxfId="201" dataCellStyle="Millares">
      <calculatedColumnFormula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calculatedColumnFormula>
    </tableColumn>
    <tableColumn id="13" name="Económico $Constantes" dataDxfId="200" dataCellStyle="Millares">
      <calculatedColumnFormula>IFERROR(Producción_Ganadera[[#This Row],[Económico $Corrientes]]/Producción_Ganadera[[#This Row],[Indexación Económico]],0)</calculatedColumnFormula>
    </tableColumn>
    <tableColumn id="14" name="Económico U$S Dólares" dataDxfId="199" dataCellStyle="Millares">
      <calculatedColumnFormula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calculatedColumnFormula>
    </tableColumn>
    <tableColumn id="16" name="Financiero $Corrientes" dataDxfId="198" dataCellStyle="Millares">
      <calculatedColumnFormula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calculatedColumnFormula>
    </tableColumn>
    <tableColumn id="17" name="Financiero $Constantes" dataDxfId="197" dataCellStyle="Millares">
      <calculatedColumnFormula>IFERROR(Producción_Ganadera[[#This Row],[Financiero $Corrientes]]/Producción_Ganadera[[#This Row],[Indexación Financiero]],0)</calculatedColumnFormula>
    </tableColumn>
    <tableColumn id="18" name="Financiero U$S Dólares" dataDxfId="196" dataCellStyle="Millares">
      <calculatedColumnFormula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calculatedColumnFormula>
    </tableColumn>
    <tableColumn id="34" name="Intereses $Corrientes" dataDxfId="195" dataCellStyle="Millares">
      <calculatedColumnFormula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calculatedColumnFormula>
    </tableColumn>
    <tableColumn id="35" name="Intereses $Constantes" dataDxfId="194" dataCellStyle="Millares">
      <calculatedColumnFormula>IFERROR(Producción_Ganadera[[#This Row],[Intereses $Corrientes]]/Producción_Ganadera[[#This Row],[Indexación Financiero]],0)</calculatedColumnFormula>
    </tableColumn>
    <tableColumn id="36" name="Intereses U$S Dólares" dataDxfId="193" dataCellStyle="Millares">
      <calculatedColumnFormula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calculatedColumnFormula>
    </tableColumn>
    <tableColumn id="26" name="Movimiento" dataDxfId="192" dataCellStyle="Millares">
      <calculatedColumnFormula>IFERROR(INDEX(Produccion_Ganadera_Cuentas[],MATCH(Producción_Ganadera[[#This Row],[Cuenta Contable]],Produccion_Ganadera_Cuentas[Cuenta Contable],0),2),0)</calculatedColumnFormula>
    </tableColumn>
    <tableColumn id="27" name="Variación Stock" dataDxfId="191" dataCellStyle="Millares">
      <calculatedColumnFormula>IF(Producción_Ganadera[[#This Row],[Mov. Stock]]="(+)",Producción_Ganadera[[#This Row],[Cabezas]],IF(Producción_Ganadera[[#This Row],[Mov. Stock]]="(-)",-Producción_Ganadera[[#This Row],[Cabezas]],0))</calculatedColumnFormula>
    </tableColumn>
    <tableColumn id="25" name="Mov. Stock" dataDxfId="190" dataCellStyle="Millares">
      <calculatedColumnFormula>IFERROR(INDEX(Produccion_Ganadera_Cuentas[],MATCH(Producción_Ganadera[[#This Row],[Cuenta Contable]],Produccion_Ganadera_Cuentas[Cuenta Contable],0),5),0)</calculatedColumnFormula>
    </tableColumn>
    <tableColumn id="42" name="Cesión Granos" dataDxfId="189" dataCellStyle="Millares">
      <calculatedColumnFormula>IF(Producción_Ganadera[[#This Row],[Cuenta Contable]]=Configuración!$AC$9,"Si","No")</calculatedColumnFormula>
    </tableColumn>
    <tableColumn id="28" name="Fin." dataDxfId="188" dataCellStyle="Millares">
      <calculatedColumnFormula>IFERROR(INDEX(Tabla9[],MATCH(Producción_Ganadera[[#This Row],[Movimiento]],Tabla9[Movimientos],0),2),0)</calculatedColumnFormula>
    </tableColumn>
    <tableColumn id="29" name="Signo" dataDxfId="187" dataCellStyle="Millares">
      <calculatedColumnFormula>IFERROR(INDEX(Tabla9[],MATCH(Producción_Ganadera[[#This Row],[Movimiento]],Tabla9[Movimientos],0),3),0)</calculatedColumnFormula>
    </tableColumn>
    <tableColumn id="20" name="Mes Económico" dataDxfId="186" dataCellStyle="Millares">
      <calculatedColumnFormula>IF(Producción_Ganadera[[#This Row],[Fecha Económico]]=0,0,MONTH(Producción_Ganadera[[#This Row],[Fecha Económico]]))</calculatedColumnFormula>
    </tableColumn>
    <tableColumn id="21" name="Año Económico" dataDxfId="185" dataCellStyle="Millares">
      <calculatedColumnFormula>IF(Producción_Ganadera[[#This Row],[Fecha Económico]]=0,0,YEAR(Producción_Ganadera[[#This Row],[Fecha Económico]]))</calculatedColumnFormula>
    </tableColumn>
    <tableColumn id="30" name="T. Cambio Económico" dataDxfId="184" dataCellStyle="Millares">
      <calculatedColumnFormula>SUMPRODUCT((Producción_Ganadera[[#This Row],[Mes Económico]]=Tipo_Cambio[Mes])*(Producción_Ganadera[[#This Row],[Año Económico]]=Tipo_Cambio[Año])*(Tipo_Cambio[$/U$S]))</calculatedColumnFormula>
    </tableColumn>
    <tableColumn id="32" name="Indexación Económico" dataDxfId="183" dataCellStyle="Millares">
      <calculatedColumnFormula>SUMPRODUCT((Producción_Ganadera[[#This Row],[Mes Económico]]=Tipo_Cambio[Mes])*(Producción_Ganadera[[#This Row],[Año Económico]]=Tipo_Cambio[Año])*(Tipo_Cambio[Actualización]))</calculatedColumnFormula>
    </tableColumn>
    <tableColumn id="22" name="Mes Financiero" dataDxfId="182" dataCellStyle="Millares">
      <calculatedColumnFormula>IF(ISNUMBER(Producción_Ganadera[[#This Row],[Fecha Financiero]])=TRUE,MONTH(Producción_Ganadera[[#This Row],[Fecha Financiero]]),0)</calculatedColumnFormula>
    </tableColumn>
    <tableColumn id="23" name="Año Financiero" dataDxfId="181" dataCellStyle="Millares">
      <calculatedColumnFormula>IF(ISNUMBER(Producción_Ganadera[[#This Row],[Fecha Financiero]])=TRUE,YEAR(Producción_Ganadera[[#This Row],[Fecha Financiero]]),0)</calculatedColumnFormula>
    </tableColumn>
    <tableColumn id="31" name="T. Cambio Financiero" dataDxfId="180" dataCellStyle="Millares">
      <calculatedColumnFormula>SUMPRODUCT((Producción_Ganadera[[#This Row],[Mes Financiero]]=Tipo_Cambio[Mes])*(Producción_Ganadera[[#This Row],[Año Financiero]]=Tipo_Cambio[Año])*(Tipo_Cambio[$/U$S]))</calculatedColumnFormula>
    </tableColumn>
    <tableColumn id="33" name="Indexación Financiero" dataDxfId="179" dataCellStyle="Millares">
      <calculatedColumnFormula>SUMPRODUCT((Producción_Ganadera[[#This Row],[Mes Financiero]]=Tipo_Cambio[Mes])*(Producción_Ganadera[[#This Row],[Año Financiero]]=Tipo_Cambio[Año])*(Tipo_Cambio[Actualización]))</calculatedColumnFormula>
    </tableColumn>
    <tableColumn id="37" name="Superficie" dataDxfId="178" dataCellStyle="Millares">
      <calculatedColumnFormula>SUMPRODUCT((Producción_Ganadera[[#This Row],[Centro de Costo]]=Tabla19[Centro de Costo])*(Tabla19[Superficie])*(Producción_Ganadera[[#This Row],[Campaña]]=Tabla19[Campaña]))</calculatedColumnFormula>
    </tableColumn>
    <tableColumn id="38" name=" $Corrientes Superficie" dataDxfId="177" dataCellStyle="Millares">
      <calculatedColumnFormula>IFERROR(Producción_Ganadera[[#This Row],[Económico $Corrientes]]/Producción_Ganadera[[#This Row],[Superficie]],0)</calculatedColumnFormula>
    </tableColumn>
    <tableColumn id="39" name=" $Constante Superficie" dataDxfId="176" dataCellStyle="Millares">
      <calculatedColumnFormula>IFERROR(Producción_Ganadera[[#This Row],[Económico $Constantes]]/Producción_Ganadera[[#This Row],[Superficie]],0)</calculatedColumnFormula>
    </tableColumn>
    <tableColumn id="40" name=" U$S Dólares Superficie" dataDxfId="175" dataCellStyle="Millares">
      <calculatedColumnFormula>IFERROR(Producción_Ganadera[[#This Row],[Económico U$S Dólares]]/Producción_Ganadera[[#This Row],[Superficie]],0)</calculatedColumnFormula>
    </tableColumn>
    <tableColumn id="44" name="C. Costo Reporte" dataDxfId="174" dataCellStyle="Millares">
      <calculatedColumnFormula>IF(Económico!$F$4=0,0,Producción_Ganadera[[#This Row],[Centro de Costo]])</calculatedColumnFormula>
    </tableColumn>
  </tableColumns>
  <tableStyleInfo name="TableStyleMedium7" showFirstColumn="0" showLastColumn="0" showRowStripes="1" showColumnStripes="0"/>
</table>
</file>

<file path=xl/tables/table54.xml><?xml version="1.0" encoding="utf-8"?>
<table xmlns="http://schemas.openxmlformats.org/spreadsheetml/2006/main" id="20" name="Producción_Lecheria" displayName="Producción_Lecheria" ref="D4:AW338" totalsRowShown="0" headerRowDxfId="164" dataCellStyle="Millares">
  <tableColumns count="46">
    <tableColumn id="1" name="Fecha Económico" dataDxfId="163" dataCellStyle="Millares"/>
    <tableColumn id="2" name="Fecha Financiero" dataDxfId="162" dataCellStyle="Millares"/>
    <tableColumn id="3" name="Campaña" dataDxfId="161" dataCellStyle="Millares">
      <calculatedColumnFormula>Campaña_Actual</calculatedColumnFormula>
    </tableColumn>
    <tableColumn id="4" name="Cuenta Contable" dataDxfId="160" dataCellStyle="Millares"/>
    <tableColumn id="5" name="Centro de Costo" dataDxfId="159" dataCellStyle="Millares"/>
    <tableColumn id="6" name="Categoría Hacienda" dataDxfId="158" dataCellStyle="Millares"/>
    <tableColumn id="41" name="Producto Cesión" dataDxfId="157" dataCellStyle="Millares"/>
    <tableColumn id="7" name="Articulo (Opcional)" dataDxfId="156" dataCellStyle="Millares"/>
    <tableColumn id="43" name="Vc. Ordeñe" dataDxfId="155" dataCellStyle="Millares">
      <calculatedColumnFormula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calculatedColumnFormula>
    </tableColumn>
    <tableColumn id="46" name="L/V. Ordeñe" dataDxfId="154" dataCellStyle="Millares">
      <calculatedColumnFormula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calculatedColumnFormula>
    </tableColumn>
    <tableColumn id="19" name="Cabezas" dataDxfId="153" dataCellStyle="Millares"/>
    <tableColumn id="44" name="Kg/Cab" dataDxfId="152" dataCellStyle="Millares">
      <calculatedColumnFormula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calculatedColumnFormula>
    </tableColumn>
    <tableColumn id="8" name="Cantidad" dataDxfId="151" dataCellStyle="Millares"/>
    <tableColumn id="9" name="Unidad" dataDxfId="150" dataCellStyle="Millares"/>
    <tableColumn id="24" name="Cantidad Total" dataDxfId="149" dataCellStyle="Millares">
      <calculatedColumnFormula>IF(ISNUMBER(Producción_Lecheria[[#This Row],[Cabezas]])=TRUE,Producción_Lecheria[[#This Row],[Cabezas]]*Producción_Lecheria[[#This Row],[Cantidad]],Producción_Lecheria[[#This Row],[Cantidad]])</calculatedColumnFormula>
    </tableColumn>
    <tableColumn id="10" name="Precio Unitario" dataDxfId="148" dataCellStyle="Millares"/>
    <tableColumn id="11" name="Moneda" dataDxfId="147" dataCellStyle="Millares"/>
    <tableColumn id="15" name="Tasa Anual de Interés" dataDxfId="146" dataCellStyle="Porcentaje"/>
    <tableColumn id="12" name="Económico $Corrientes" dataDxfId="145" dataCellStyle="Millares">
      <calculatedColumnFormula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calculatedColumnFormula>
    </tableColumn>
    <tableColumn id="13" name="Económico $Constantes" dataDxfId="144" dataCellStyle="Millares">
      <calculatedColumnFormula>IFERROR(Producción_Lecheria[[#This Row],[Económico $Corrientes]]/Producción_Lecheria[[#This Row],[Indexación Económico]],0)</calculatedColumnFormula>
    </tableColumn>
    <tableColumn id="14" name="Económico U$S Dólares" dataDxfId="143" dataCellStyle="Millares">
      <calculatedColumnFormula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calculatedColumnFormula>
    </tableColumn>
    <tableColumn id="16" name="Financiero $Corrientes" dataDxfId="142" dataCellStyle="Millares">
      <calculatedColumnFormula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calculatedColumnFormula>
    </tableColumn>
    <tableColumn id="17" name="Financiero $Constantes" dataDxfId="141" dataCellStyle="Millares">
      <calculatedColumnFormula>IFERROR(Producción_Lecheria[[#This Row],[Financiero $Corrientes]]/Producción_Lecheria[[#This Row],[Indexación Financiero]],0)</calculatedColumnFormula>
    </tableColumn>
    <tableColumn id="18" name="Financiero U$S Dólares" dataDxfId="140" dataCellStyle="Millares">
      <calculatedColumnFormula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calculatedColumnFormula>
    </tableColumn>
    <tableColumn id="34" name="Intereses $Corrientes" dataDxfId="139" dataCellStyle="Millares">
      <calculatedColumnFormula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calculatedColumnFormula>
    </tableColumn>
    <tableColumn id="35" name="Intereses $Constantes" dataDxfId="138" dataCellStyle="Millares">
      <calculatedColumnFormula>IFERROR(Producción_Lecheria[[#This Row],[Intereses $Corrientes]]/Producción_Lecheria[[#This Row],[Indexación Financiero]],0)</calculatedColumnFormula>
    </tableColumn>
    <tableColumn id="36" name="Intereses U$S Dólares" dataDxfId="137" dataCellStyle="Millares">
      <calculatedColumnFormula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calculatedColumnFormula>
    </tableColumn>
    <tableColumn id="26" name="Movimiento" dataDxfId="136" dataCellStyle="Millares">
      <calculatedColumnFormula>IFERROR(INDEX(Produccion_Lecheria_Cuentas[],MATCH(Producción_Lecheria[[#This Row],[Cuenta Contable]],Produccion_Lecheria_Cuentas[Cuenta Contable],0),2),0)</calculatedColumnFormula>
    </tableColumn>
    <tableColumn id="27" name="Variación Stock" dataDxfId="135" dataCellStyle="Millares">
      <calculatedColumnFormula>IF(Producción_Lecheria[[#This Row],[Mov. Stock]]="(+)",Producción_Lecheria[[#This Row],[Cabezas]],IF(Producción_Lecheria[[#This Row],[Mov. Stock]]="(-)",-Producción_Lecheria[[#This Row],[Cabezas]],0))</calculatedColumnFormula>
    </tableColumn>
    <tableColumn id="25" name="Mov. Stock" dataDxfId="134" dataCellStyle="Millares">
      <calculatedColumnFormula>IFERROR(INDEX(Produccion_Lecheria_Cuentas[],MATCH(Producción_Lecheria[[#This Row],[Cuenta Contable]],Produccion_Lecheria_Cuentas[Cuenta Contable],0),5),0)</calculatedColumnFormula>
    </tableColumn>
    <tableColumn id="42" name="Cesión Granos" dataDxfId="133" dataCellStyle="Millares">
      <calculatedColumnFormula>IF(Producción_Lecheria[[#This Row],[Cuenta Contable]]=Configuración!$AC$9,"Si","No")</calculatedColumnFormula>
    </tableColumn>
    <tableColumn id="28" name="Fin." dataDxfId="132" dataCellStyle="Millares">
      <calculatedColumnFormula>IFERROR(INDEX(Tabla9[],MATCH(Producción_Lecheria[[#This Row],[Movimiento]],Tabla9[Movimientos],0),2),0)</calculatedColumnFormula>
    </tableColumn>
    <tableColumn id="29" name="Signo" dataDxfId="131" dataCellStyle="Millares">
      <calculatedColumnFormula>IFERROR(INDEX(Tabla9[],MATCH(Producción_Lecheria[[#This Row],[Movimiento]],Tabla9[Movimientos],0),3),0)</calculatedColumnFormula>
    </tableColumn>
    <tableColumn id="20" name="Mes Económico" dataDxfId="130" dataCellStyle="Millares">
      <calculatedColumnFormula>IF(Producción_Lecheria[[#This Row],[Fecha Económico]]=0,0,MONTH(Producción_Lecheria[[#This Row],[Fecha Económico]]))</calculatedColumnFormula>
    </tableColumn>
    <tableColumn id="21" name="Año Económico" dataDxfId="129" dataCellStyle="Millares">
      <calculatedColumnFormula>IF(Producción_Lecheria[[#This Row],[Fecha Económico]]=0,0,YEAR(Producción_Lecheria[[#This Row],[Fecha Económico]]))</calculatedColumnFormula>
    </tableColumn>
    <tableColumn id="30" name="T. Cambio Económico" dataDxfId="128" dataCellStyle="Millares">
      <calculatedColumnFormula>SUMPRODUCT((Producción_Lecheria[[#This Row],[Mes Económico]]=Tipo_Cambio[Mes])*(Producción_Lecheria[[#This Row],[Año Económico]]=Tipo_Cambio[Año])*(Tipo_Cambio[$/U$S]))</calculatedColumnFormula>
    </tableColumn>
    <tableColumn id="32" name="Indexación Económico" dataDxfId="127" dataCellStyle="Millares">
      <calculatedColumnFormula>SUMPRODUCT((Producción_Lecheria[[#This Row],[Mes Económico]]=Tipo_Cambio[Mes])*(Producción_Lecheria[[#This Row],[Año Económico]]=Tipo_Cambio[Año])*(Tipo_Cambio[Actualización]))</calculatedColumnFormula>
    </tableColumn>
    <tableColumn id="22" name="Mes Financiero" dataDxfId="126" dataCellStyle="Millares">
      <calculatedColumnFormula>IF(ISNUMBER(Producción_Lecheria[[#This Row],[Fecha Financiero]])=TRUE,MONTH(Producción_Lecheria[[#This Row],[Fecha Financiero]]),0)</calculatedColumnFormula>
    </tableColumn>
    <tableColumn id="23" name="Año Financiero" dataDxfId="125" dataCellStyle="Millares">
      <calculatedColumnFormula>IF(ISNUMBER(Producción_Lecheria[[#This Row],[Fecha Financiero]])=TRUE,YEAR(Producción_Lecheria[[#This Row],[Fecha Financiero]]),0)</calculatedColumnFormula>
    </tableColumn>
    <tableColumn id="31" name="T. Cambio Financiero" dataDxfId="124" dataCellStyle="Millares">
      <calculatedColumnFormula>SUMPRODUCT((Producción_Lecheria[[#This Row],[Mes Financiero]]=Tipo_Cambio[Mes])*(Producción_Lecheria[[#This Row],[Año Financiero]]=Tipo_Cambio[Año])*(Tipo_Cambio[$/U$S]))</calculatedColumnFormula>
    </tableColumn>
    <tableColumn id="33" name="Indexación Financiero" dataDxfId="123" dataCellStyle="Millares">
      <calculatedColumnFormula>SUMPRODUCT((Producción_Lecheria[[#This Row],[Mes Financiero]]=Tipo_Cambio[Mes])*(Producción_Lecheria[[#This Row],[Año Financiero]]=Tipo_Cambio[Año])*(Tipo_Cambio[Actualización]))</calculatedColumnFormula>
    </tableColumn>
    <tableColumn id="37" name="Superficie" dataDxfId="122" dataCellStyle="Millares">
      <calculatedColumnFormula>SUMPRODUCT((Producción_Lecheria[[#This Row],[Centro de Costo]]=Tabla1924[Centro de Costo])*(Tabla19[Superficie]))</calculatedColumnFormula>
    </tableColumn>
    <tableColumn id="38" name=" $Corrientes Superficie" dataDxfId="121" dataCellStyle="Millares">
      <calculatedColumnFormula>IFERROR(Producción_Lecheria[[#This Row],[Económico $Corrientes]]/Producción_Lecheria[[#This Row],[Superficie]],0)</calculatedColumnFormula>
    </tableColumn>
    <tableColumn id="39" name=" $Constante Superficie" dataDxfId="120" dataCellStyle="Millares">
      <calculatedColumnFormula>IFERROR(Producción_Lecheria[[#This Row],[Económico $Constantes]]/Producción_Lecheria[[#This Row],[Superficie]],0)</calculatedColumnFormula>
    </tableColumn>
    <tableColumn id="40" name=" U$S Dólares Superficie" dataDxfId="119" dataCellStyle="Millares">
      <calculatedColumnFormula>IFERROR(Producción_Lecheria[[#This Row],[Económico U$S Dólares]]/Producción_Lecheria[[#This Row],[Superficie]],0)</calculatedColumnFormula>
    </tableColumn>
    <tableColumn id="45" name="C. Costo Reporte" dataDxfId="118" dataCellStyle="Millares">
      <calculatedColumnFormula>IF(Económico!$F$4=0,0,Producción_Lecheria[Centro de Costo])</calculatedColumnFormula>
    </tableColumn>
  </tableColumns>
  <tableStyleInfo name="TableStyleMedium3" showFirstColumn="0" showLastColumn="0" showRowStripes="1" showColumnStripes="0"/>
</table>
</file>

<file path=xl/tables/table55.xml><?xml version="1.0" encoding="utf-8"?>
<table xmlns="http://schemas.openxmlformats.org/spreadsheetml/2006/main" id="26" name="Otras_Actividades_Base" displayName="Otras_Actividades_Base" ref="D4:AJ143" totalsRowShown="0" headerRowDxfId="109" dataCellStyle="Millares">
  <tableColumns count="33">
    <tableColumn id="1" name="Fecha Económico" dataDxfId="108" dataCellStyle="Millares"/>
    <tableColumn id="2" name="Fecha Financiero" dataDxfId="107" dataCellStyle="Millares"/>
    <tableColumn id="3" name="Campaña" dataDxfId="106" dataCellStyle="Millares">
      <calculatedColumnFormula>Campaña_Actual</calculatedColumnFormula>
    </tableColumn>
    <tableColumn id="4" name="Cuenta Contable" dataDxfId="105" dataCellStyle="Millares"/>
    <tableColumn id="5" name="Centro de Costo" dataCellStyle="Millares"/>
    <tableColumn id="6" name="Unidad de Negocio" dataCellStyle="Millares"/>
    <tableColumn id="7" name="Articulo (Opcional)" dataCellStyle="Millares"/>
    <tableColumn id="24" name="Cantidad Total" dataDxfId="104" dataCellStyle="Millares"/>
    <tableColumn id="9" name="Unidad" dataDxfId="103" dataCellStyle="Millares"/>
    <tableColumn id="10" name="Precio Unitario" dataCellStyle="Millares"/>
    <tableColumn id="11" name="Moneda" dataDxfId="102" dataCellStyle="Millares"/>
    <tableColumn id="15" name="Tasa Anual de Interés" dataDxfId="101" dataCellStyle="Porcentaje"/>
    <tableColumn id="12" name="Económico $Corrientes" dataDxfId="100" dataCellStyle="Millares">
      <calculatedColumnFormula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calculatedColumnFormula>
    </tableColumn>
    <tableColumn id="13" name="Económico $Constantes" dataDxfId="99" dataCellStyle="Millares">
      <calculatedColumnFormula>IFERROR(Otras_Actividades_Base[[#This Row],[Económico $Corrientes]]/Otras_Actividades_Base[[#This Row],[Indexación Económico]],0)</calculatedColumnFormula>
    </tableColumn>
    <tableColumn id="14" name="Económico U$S Dólares" dataDxfId="98" dataCellStyle="Millares">
      <calculatedColumnFormula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calculatedColumnFormula>
    </tableColumn>
    <tableColumn id="16" name="Financiero $Corrientes" dataDxfId="97" dataCellStyle="Millares">
      <calculatedColumnFormula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calculatedColumnFormula>
    </tableColumn>
    <tableColumn id="17" name="Financiero $Constantes" dataDxfId="96" dataCellStyle="Millares">
      <calculatedColumnFormula>IFERROR(Otras_Actividades_Base[[#This Row],[Financiero $Corrientes]]/Otras_Actividades_Base[[#This Row],[Indexación Financiero]],0)</calculatedColumnFormula>
    </tableColumn>
    <tableColumn id="18" name="Financiero U$S Dólares" dataDxfId="95" dataCellStyle="Millares">
      <calculatedColumnFormula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calculatedColumnFormula>
    </tableColumn>
    <tableColumn id="34" name="Intereses $Corrientes" dataDxfId="94" dataCellStyle="Millares">
      <calculatedColumnFormula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calculatedColumnFormula>
    </tableColumn>
    <tableColumn id="35" name="Intereses $Constantes" dataDxfId="93" dataCellStyle="Millares">
      <calculatedColumnFormula>IFERROR(Otras_Actividades_Base[[#This Row],[Intereses $Corrientes]]/Otras_Actividades_Base[[#This Row],[Indexación Financiero]],0)</calculatedColumnFormula>
    </tableColumn>
    <tableColumn id="36" name="Intereses U$S Dólares" dataDxfId="92" dataCellStyle="Millares">
      <calculatedColumnFormula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calculatedColumnFormula>
    </tableColumn>
    <tableColumn id="26" name="Movimiento" dataDxfId="91" dataCellStyle="Millares">
      <calculatedColumnFormula>IFERROR(INDEX(Otras_Actividades_Cuentas[],MATCH(Otras_Actividades_Base[[#This Row],[Cuenta Contable]],Otras_Actividades_Cuentas[Cuenta Contable],0),2),0)</calculatedColumnFormula>
    </tableColumn>
    <tableColumn id="28" name="Fin." dataDxfId="90" dataCellStyle="Millares">
      <calculatedColumnFormula>IFERROR(INDEX(Tabla9[],MATCH(Otras_Actividades_Base[[#This Row],[Movimiento]],Tabla9[Movimientos],0),2),0)</calculatedColumnFormula>
    </tableColumn>
    <tableColumn id="29" name="Signo" dataDxfId="89" dataCellStyle="Millares">
      <calculatedColumnFormula>IFERROR(INDEX(Tabla9[],MATCH(Otras_Actividades_Base[[#This Row],[Movimiento]],Tabla9[Movimientos],0),3),0)</calculatedColumnFormula>
    </tableColumn>
    <tableColumn id="20" name="Mes Económico" dataDxfId="88" dataCellStyle="Millares">
      <calculatedColumnFormula>IF(Otras_Actividades_Base[[#This Row],[Fecha Económico]]=0,0,MONTH(Otras_Actividades_Base[[#This Row],[Fecha Económico]]))</calculatedColumnFormula>
    </tableColumn>
    <tableColumn id="21" name="Año Económico" dataDxfId="87" dataCellStyle="Millares">
      <calculatedColumnFormula>IF(Otras_Actividades_Base[[#This Row],[Fecha Económico]]=0,0,YEAR(Otras_Actividades_Base[[#This Row],[Fecha Económico]]))</calculatedColumnFormula>
    </tableColumn>
    <tableColumn id="30" name="T. Cambio Económico" dataDxfId="86" dataCellStyle="Millares">
      <calculatedColumnFormula>SUMPRODUCT((Otras_Actividades_Base[[#This Row],[Mes Económico]]=Tipo_Cambio[Mes])*(Otras_Actividades_Base[[#This Row],[Año Económico]]=Tipo_Cambio[Año])*(Tipo_Cambio[$/U$S]))</calculatedColumnFormula>
    </tableColumn>
    <tableColumn id="32" name="Indexación Económico" dataDxfId="85" dataCellStyle="Millares">
      <calculatedColumnFormula>SUMPRODUCT((Otras_Actividades_Base[[#This Row],[Mes Económico]]=Tipo_Cambio[Mes])*(Otras_Actividades_Base[[#This Row],[Año Económico]]=Tipo_Cambio[Año])*(Tipo_Cambio[Actualización]))</calculatedColumnFormula>
    </tableColumn>
    <tableColumn id="22" name="Mes Financiero" dataDxfId="84" dataCellStyle="Millares">
      <calculatedColumnFormula>IF(ISNUMBER(Otras_Actividades_Base[[#This Row],[Fecha Financiero]])=TRUE,MONTH(Otras_Actividades_Base[[#This Row],[Fecha Financiero]]),0)</calculatedColumnFormula>
    </tableColumn>
    <tableColumn id="23" name="Año Financiero" dataDxfId="83" dataCellStyle="Millares">
      <calculatedColumnFormula>IF(ISNUMBER(Otras_Actividades_Base[[#This Row],[Fecha Financiero]])=TRUE,YEAR(Otras_Actividades_Base[[#This Row],[Fecha Financiero]]),0)</calculatedColumnFormula>
    </tableColumn>
    <tableColumn id="31" name="T. Cambio Financiero" dataDxfId="82" dataCellStyle="Millares">
      <calculatedColumnFormula>SUMPRODUCT((Otras_Actividades_Base[[#This Row],[Mes Financiero]]=Tipo_Cambio[Mes])*(Otras_Actividades_Base[[#This Row],[Año Financiero]]=Tipo_Cambio[Año])*(Tipo_Cambio[$/U$S]))</calculatedColumnFormula>
    </tableColumn>
    <tableColumn id="33" name="Indexación Financiero" dataDxfId="81" dataCellStyle="Millares">
      <calculatedColumnFormula>SUMPRODUCT((Otras_Actividades_Base[[#This Row],[Mes Financiero]]=Tipo_Cambio[Mes])*(Otras_Actividades_Base[[#This Row],[Año Financiero]]=Tipo_Cambio[Año])*(Tipo_Cambio[Actualización]))</calculatedColumnFormula>
    </tableColumn>
    <tableColumn id="8" name="C. Costo Reporte" dataDxfId="80" dataCellStyle="Millares">
      <calculatedColumnFormula>IF(Económico!$F$4=0,0,Otras_Actividades_Base[Centro de Costo])</calculatedColumnFormula>
    </tableColumn>
  </tableColumns>
  <tableStyleInfo name="TableStyleMedium5" showFirstColumn="0" showLastColumn="0" showRowStripes="1" showColumnStripes="0"/>
</table>
</file>

<file path=xl/tables/table56.xml><?xml version="1.0" encoding="utf-8"?>
<table xmlns="http://schemas.openxmlformats.org/spreadsheetml/2006/main" id="13" name="Indirectos" displayName="Indirectos" ref="D4:AK125" totalsRowShown="0" headerRowDxfId="74" dataCellStyle="Millares">
  <tableColumns count="34">
    <tableColumn id="1" name="Fecha Económico" dataDxfId="73" dataCellStyle="Millares"/>
    <tableColumn id="2" name="Fecha Financiero" dataDxfId="72" dataCellStyle="Millares"/>
    <tableColumn id="3" name="Campaña" dataDxfId="71" dataCellStyle="Millares">
      <calculatedColumnFormula>Campaña_Actual</calculatedColumnFormula>
    </tableColumn>
    <tableColumn id="4" name="Cuenta Contable" dataDxfId="70" dataCellStyle="Millares"/>
    <tableColumn id="5" name="Centro de Costo" dataDxfId="69" dataCellStyle="Millares"/>
    <tableColumn id="6" name="Unidad de Negocio" dataDxfId="68" dataCellStyle="Millares"/>
    <tableColumn id="7" name="Articulo (Opcional)" dataDxfId="67" dataCellStyle="Millares"/>
    <tableColumn id="24" name="Cantidad Total" dataDxfId="66" dataCellStyle="Millares"/>
    <tableColumn id="9" name="Unidad" dataDxfId="65" dataCellStyle="Millares"/>
    <tableColumn id="10" name="Precio Unitario" dataDxfId="64" dataCellStyle="Millares"/>
    <tableColumn id="11" name="Moneda" dataDxfId="63" dataCellStyle="Millares"/>
    <tableColumn id="15" name="Tasa Anual de Interés" dataDxfId="62" dataCellStyle="Porcentaje"/>
    <tableColumn id="12" name="Económico $Corrientes" dataDxfId="61" dataCellStyle="Millares">
      <calculatedColumnFormula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calculatedColumnFormula>
    </tableColumn>
    <tableColumn id="13" name="Económico $Constantes" dataDxfId="60" dataCellStyle="Millares">
      <calculatedColumnFormula>IFERROR(Indirectos[[#This Row],[Económico $Corrientes]]/Indirectos[[#This Row],[Indexación Económico]],0)</calculatedColumnFormula>
    </tableColumn>
    <tableColumn id="14" name="Económico U$S Dólares" dataDxfId="59" dataCellStyle="Millares">
      <calculatedColumnFormula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calculatedColumnFormula>
    </tableColumn>
    <tableColumn id="16" name="Financiero $Corrientes" dataDxfId="58" dataCellStyle="Millares">
      <calculatedColumnFormula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calculatedColumnFormula>
    </tableColumn>
    <tableColumn id="17" name="Financiero $Constantes" dataDxfId="57" dataCellStyle="Millares">
      <calculatedColumnFormula>IFERROR(Indirectos[[#This Row],[Financiero $Corrientes]]/Indirectos[[#This Row],[Indexación Financiero]],0)</calculatedColumnFormula>
    </tableColumn>
    <tableColumn id="18" name="Financiero U$S Dólares" dataDxfId="56" dataCellStyle="Millares">
      <calculatedColumnFormula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calculatedColumnFormula>
    </tableColumn>
    <tableColumn id="34" name="Intereses $Corrientes" dataDxfId="55" dataCellStyle="Millares">
      <calculatedColumnFormula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calculatedColumnFormula>
    </tableColumn>
    <tableColumn id="35" name="Intereses $Constantes" dataDxfId="54" dataCellStyle="Millares">
      <calculatedColumnFormula>IFERROR(Indirectos[[#This Row],[Intereses $Corrientes]]/Indirectos[[#This Row],[Indexación Financiero]],0)</calculatedColumnFormula>
    </tableColumn>
    <tableColumn id="36" name="Intereses U$S Dólares" dataDxfId="53" dataCellStyle="Millares">
      <calculatedColumnFormula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calculatedColumnFormula>
    </tableColumn>
    <tableColumn id="26" name="Movimiento" dataDxfId="52" dataCellStyle="Millares">
      <calculatedColumnFormula>IFERROR(INDEX(Costos_Indirectos_Cuentas[],MATCH(Indirectos[[#This Row],[Cuenta Contable]],Costos_Indirectos_Cuentas[Cuenta Contable],0),2),0)</calculatedColumnFormula>
    </tableColumn>
    <tableColumn id="28" name="Fin." dataDxfId="51" dataCellStyle="Millares">
      <calculatedColumnFormula>IFERROR(INDEX(Tabla9[],MATCH(Indirectos[[#This Row],[Movimiento]],Tabla9[Movimientos],0),2),0)</calculatedColumnFormula>
    </tableColumn>
    <tableColumn id="19" name="Econ." dataDxfId="50" dataCellStyle="Millares">
      <calculatedColumnFormula>IFERROR(INDEX(Costos_Indirectos_Cuentas[],MATCH(Indirectos[[#This Row],[Cuenta Contable]],Costos_Indirectos_Cuentas[Cuenta Contable],0),3),0)</calculatedColumnFormula>
    </tableColumn>
    <tableColumn id="29" name="Signo" dataDxfId="49" dataCellStyle="Millares">
      <calculatedColumnFormula>IFERROR(INDEX(Tabla9[],MATCH(Indirectos[[#This Row],[Movimiento]],Tabla9[Movimientos],0),3),0)</calculatedColumnFormula>
    </tableColumn>
    <tableColumn id="20" name="Mes Económico" dataDxfId="48" dataCellStyle="Millares">
      <calculatedColumnFormula>IF(Indirectos[[#This Row],[Fecha Económico]]=0,0,MONTH(Indirectos[[#This Row],[Fecha Económico]]))</calculatedColumnFormula>
    </tableColumn>
    <tableColumn id="21" name="Año Económico" dataDxfId="47" dataCellStyle="Millares">
      <calculatedColumnFormula>IF(Indirectos[[#This Row],[Fecha Económico]]=0,0,YEAR(Indirectos[[#This Row],[Fecha Económico]]))</calculatedColumnFormula>
    </tableColumn>
    <tableColumn id="30" name="T. Cambio Económico" dataDxfId="46" dataCellStyle="Millares">
      <calculatedColumnFormula>SUMPRODUCT((Indirectos[[#This Row],[Mes Económico]]=Tipo_Cambio[Mes])*(Indirectos[[#This Row],[Año Económico]]=Tipo_Cambio[Año])*(Tipo_Cambio[$/U$S]))</calculatedColumnFormula>
    </tableColumn>
    <tableColumn id="32" name="Indexación Económico" dataDxfId="45" dataCellStyle="Millares">
      <calculatedColumnFormula>SUMPRODUCT((Indirectos[[#This Row],[Mes Económico]]=Tipo_Cambio[Mes])*(Indirectos[[#This Row],[Año Económico]]=Tipo_Cambio[Año])*(Tipo_Cambio[Actualización]))</calculatedColumnFormula>
    </tableColumn>
    <tableColumn id="22" name="Mes Financiero" dataDxfId="44" dataCellStyle="Millares">
      <calculatedColumnFormula>IF(ISNUMBER(Indirectos[[#This Row],[Fecha Financiero]])=TRUE,MONTH(Indirectos[[#This Row],[Fecha Financiero]]),0)</calculatedColumnFormula>
    </tableColumn>
    <tableColumn id="23" name="Año Financiero" dataDxfId="43" dataCellStyle="Millares">
      <calculatedColumnFormula>IF(ISNUMBER(Indirectos[[#This Row],[Fecha Financiero]])=TRUE,YEAR(Indirectos[[#This Row],[Fecha Financiero]]),0)</calculatedColumnFormula>
    </tableColumn>
    <tableColumn id="31" name="T. Cambio Financiero" dataDxfId="42" dataCellStyle="Millares">
      <calculatedColumnFormula>SUMPRODUCT((Indirectos[[#This Row],[Mes Financiero]]=Tipo_Cambio[Mes])*(Indirectos[[#This Row],[Año Financiero]]=Tipo_Cambio[Año])*(Tipo_Cambio[$/U$S]))</calculatedColumnFormula>
    </tableColumn>
    <tableColumn id="33" name="Indexación Financiero" dataDxfId="41" dataCellStyle="Millares">
      <calculatedColumnFormula>SUMPRODUCT((Indirectos[[#This Row],[Mes Financiero]]=Tipo_Cambio[Mes])*(Indirectos[[#This Row],[Año Financiero]]=Tipo_Cambio[Año])*(Tipo_Cambio[Actualización]))</calculatedColumnFormula>
    </tableColumn>
    <tableColumn id="8" name="C. Costo Reporte" dataDxfId="40" dataCellStyle="Millares">
      <calculatedColumnFormula>IF(Económico!$F$4=0,0,Indirectos[Centro de Costo])</calculatedColumnFormula>
    </tableColumn>
  </tableColumns>
  <tableStyleInfo name="TableStyleMedium4" showFirstColumn="0" showLastColumn="0" showRowStripes="1" showColumnStripes="0"/>
</table>
</file>

<file path=xl/tables/table57.xml><?xml version="1.0" encoding="utf-8"?>
<table xmlns="http://schemas.openxmlformats.org/spreadsheetml/2006/main" id="38" name="Finanzas" displayName="Finanzas" ref="D4:AD77" totalsRowShown="0" headerRowDxfId="36" dataCellStyle="Millares">
  <tableColumns count="27">
    <tableColumn id="1" name="Fecha Económico" dataDxfId="35" dataCellStyle="Millares"/>
    <tableColumn id="2" name="Fecha Financiero" dataDxfId="34" dataCellStyle="Millares"/>
    <tableColumn id="3" name="Campaña" dataDxfId="33" dataCellStyle="Millares"/>
    <tableColumn id="4" name="Cuenta Contable" dataDxfId="32" dataCellStyle="Millares"/>
    <tableColumn id="7" name="Articulo (Opcional)" dataDxfId="31" dataCellStyle="Millares"/>
    <tableColumn id="24" name="Cantidad Total" dataDxfId="30" dataCellStyle="Millares"/>
    <tableColumn id="9" name="Unidad" dataDxfId="29" dataCellStyle="Millares"/>
    <tableColumn id="10" name="Precio Unitario" dataDxfId="28" dataCellStyle="Millares"/>
    <tableColumn id="11" name="Moneda" dataDxfId="27" dataCellStyle="Millares"/>
    <tableColumn id="12" name="Económico $Corrientes" dataDxfId="26" dataCellStyle="Millares">
      <calculatedColumnFormula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calculatedColumnFormula>
    </tableColumn>
    <tableColumn id="13" name="Económico $Constantes" dataDxfId="25" dataCellStyle="Millares"/>
    <tableColumn id="14" name="Económico U$S Dólares" dataDxfId="24" dataCellStyle="Millares">
      <calculatedColumnFormula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calculatedColumnFormula>
    </tableColumn>
    <tableColumn id="16" name="Financiero $Corrientes" dataDxfId="23" dataCellStyle="Millares">
      <calculatedColumnFormula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calculatedColumnFormula>
    </tableColumn>
    <tableColumn id="17" name="Financiero $Constantes" dataDxfId="22" dataCellStyle="Millares"/>
    <tableColumn id="18" name="Financiero U$S Dólares" dataDxfId="21" dataCellStyle="Millares">
      <calculatedColumnFormula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calculatedColumnFormula>
    </tableColumn>
    <tableColumn id="26" name="Movimiento" dataDxfId="20" dataCellStyle="Millares">
      <calculatedColumnFormula>IFERROR(INDEX(Cuentas_FIDI[],MATCH(Finanzas[[#This Row],[Cuenta Contable]],Cuentas_FIDI[Cuenta Contable],0),2),0)</calculatedColumnFormula>
    </tableColumn>
    <tableColumn id="28" name="Fin." dataDxfId="19" dataCellStyle="Millares">
      <calculatedColumnFormula>IFERROR(INDEX(Tabla9[],MATCH(Finanzas[[#This Row],[Movimiento]],Tabla9[Movimientos],0),2),0)</calculatedColumnFormula>
    </tableColumn>
    <tableColumn id="19" name="Econ." dataDxfId="18" dataCellStyle="Millares">
      <calculatedColumnFormula>IFERROR(INDEX(Cuentas_FIDI[],MATCH(Finanzas[[#This Row],[Cuenta Contable]],Cuentas_FIDI[Cuenta Contable],0),3),0)</calculatedColumnFormula>
    </tableColumn>
    <tableColumn id="29" name="Signo" dataDxfId="17" dataCellStyle="Millares">
      <calculatedColumnFormula>IFERROR(INDEX(Tabla9[],MATCH(Finanzas[[#This Row],[Movimiento]],Tabla9[Movimientos],0),3),0)</calculatedColumnFormula>
    </tableColumn>
    <tableColumn id="20" name="Mes Económico" dataDxfId="16" dataCellStyle="Millares">
      <calculatedColumnFormula>IF(Finanzas[[#This Row],[Fecha Económico]]=0,0,MONTH(Finanzas[[#This Row],[Fecha Económico]]))</calculatedColumnFormula>
    </tableColumn>
    <tableColumn id="21" name="Año Económico" dataDxfId="15" dataCellStyle="Millares">
      <calculatedColumnFormula>IF(Finanzas[[#This Row],[Fecha Económico]]=0,0,YEAR(Finanzas[[#This Row],[Fecha Económico]]))</calculatedColumnFormula>
    </tableColumn>
    <tableColumn id="30" name="T. Cambio Económico" dataDxfId="14" dataCellStyle="Millares">
      <calculatedColumnFormula>SUMPRODUCT((Finanzas[[#This Row],[Mes Económico]]=Tipo_Cambio[Mes])*(Finanzas[[#This Row],[Año Económico]]=Tipo_Cambio[Año])*(Tipo_Cambio[$/U$S]))</calculatedColumnFormula>
    </tableColumn>
    <tableColumn id="32" name="Indexación Económico" dataDxfId="13" dataCellStyle="Millares">
      <calculatedColumnFormula>SUMPRODUCT((Finanzas[[#This Row],[Mes Económico]]=Tipo_Cambio[Mes])*(Finanzas[[#This Row],[Año Económico]]=Tipo_Cambio[Año])*(Tipo_Cambio[Actualización]))</calculatedColumnFormula>
    </tableColumn>
    <tableColumn id="22" name="Mes Financiero" dataDxfId="12" dataCellStyle="Millares">
      <calculatedColumnFormula>IF(ISNUMBER(Finanzas[[#This Row],[Fecha Financiero]])=TRUE,MONTH(Finanzas[[#This Row],[Fecha Financiero]]),0)</calculatedColumnFormula>
    </tableColumn>
    <tableColumn id="23" name="Año Financiero" dataDxfId="11" dataCellStyle="Millares">
      <calculatedColumnFormula>IF(ISNUMBER(Finanzas[[#This Row],[Fecha Financiero]])=TRUE,YEAR(Finanzas[[#This Row],[Fecha Financiero]]),0)</calculatedColumnFormula>
    </tableColumn>
    <tableColumn id="31" name="T. Cambio Financiero" dataDxfId="10" dataCellStyle="Millares">
      <calculatedColumnFormula>SUMPRODUCT((Finanzas[[#This Row],[Mes Financiero]]=Tipo_Cambio[Mes])*(Finanzas[[#This Row],[Año Financiero]]=Tipo_Cambio[Año])*(Tipo_Cambio[$/U$S]))</calculatedColumnFormula>
    </tableColumn>
    <tableColumn id="33" name="Indexación Financiero" dataDxfId="9" dataCellStyle="Millares">
      <calculatedColumnFormula>SUMPRODUCT((Finanzas[[#This Row],[Mes Financiero]]=Tipo_Cambio[Mes])*(Finanzas[[#This Row],[Año Financiero]]=Tipo_Cambio[Año])*(Tipo_Cambio[Actualización]))</calculatedColumnFormula>
    </tableColumn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id="1" name="Comercializacion_Granos_Cuentas" displayName="Comercializacion_Granos_Cuentas" ref="AC4:AK18" totalsRowShown="0" headerRowDxfId="1254">
  <tableColumns count="9">
    <tableColumn id="1" name="Cuenta Contable"/>
    <tableColumn id="2" name="Movimiento"/>
    <tableColumn id="9" name="Stock" dataDxfId="1253"/>
    <tableColumn id="3" name="IVA Financiero" dataDxfId="1252"/>
    <tableColumn id="4" name="IVA _x000a_RG 2300" dataDxfId="1251"/>
    <tableColumn id="8" name="Meses Retención" dataDxfId="1250"/>
    <tableColumn id="5" name="Retención IVA" dataDxfId="1249"/>
    <tableColumn id="6" name="IIBB" dataDxfId="1248"/>
    <tableColumn id="7" name="Retención IIGG" dataDxfId="124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8" name="Tabla8" displayName="Tabla8" ref="U4:V16" totalsRowShown="0" headerRowDxfId="1246" dataDxfId="1244" headerRowBorderDxfId="1245" tableBorderDxfId="1243" totalsRowBorderDxfId="1242">
  <tableColumns count="2">
    <tableColumn id="1" name="Unidades de Negocio" dataDxfId="1241"/>
    <tableColumn id="2" name="Producto" dataDxfId="124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9" name="Tabla9" displayName="Tabla9" ref="L4:N12" totalsRowShown="0" headerRowDxfId="1239" dataDxfId="1238">
  <tableColumns count="3">
    <tableColumn id="1" name="Movimientos" dataDxfId="1237"/>
    <tableColumn id="2" name="Financiero" dataDxfId="1236"/>
    <tableColumn id="3" name="Signo" dataDxfId="1235"/>
  </tableColumns>
  <tableStyleInfo name="TableStyleMedium1" showFirstColumn="0" showLastColumn="0" showRowStripes="1" showColumnStripes="0"/>
</table>
</file>

<file path=xl/tables/table9.xml><?xml version="1.0" encoding="utf-8"?>
<table xmlns="http://schemas.openxmlformats.org/spreadsheetml/2006/main" id="10" name="Tabla811" displayName="Tabla811" ref="AM4:AN14" totalsRowShown="0" headerRowDxfId="1234" dataDxfId="1232" headerRowBorderDxfId="1233" tableBorderDxfId="1231" totalsRowBorderDxfId="1230">
  <tableColumns count="2">
    <tableColumn id="1" name="Unidades de Negocio" dataDxfId="1229"/>
    <tableColumn id="2" name="Producto" dataDxfId="122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table" Target="../tables/table54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table" Target="../tables/table55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table" Target="../tables/table56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7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9.xml"/><Relationship Id="rId13" Type="http://schemas.openxmlformats.org/officeDocument/2006/relationships/table" Target="../tables/table34.xml"/><Relationship Id="rId18" Type="http://schemas.openxmlformats.org/officeDocument/2006/relationships/table" Target="../tables/table39.xml"/><Relationship Id="rId26" Type="http://schemas.openxmlformats.org/officeDocument/2006/relationships/table" Target="../tables/table47.xml"/><Relationship Id="rId3" Type="http://schemas.openxmlformats.org/officeDocument/2006/relationships/table" Target="../tables/table24.xml"/><Relationship Id="rId21" Type="http://schemas.openxmlformats.org/officeDocument/2006/relationships/table" Target="../tables/table42.xml"/><Relationship Id="rId7" Type="http://schemas.openxmlformats.org/officeDocument/2006/relationships/table" Target="../tables/table28.xml"/><Relationship Id="rId12" Type="http://schemas.openxmlformats.org/officeDocument/2006/relationships/table" Target="../tables/table33.xml"/><Relationship Id="rId17" Type="http://schemas.openxmlformats.org/officeDocument/2006/relationships/table" Target="../tables/table38.xml"/><Relationship Id="rId25" Type="http://schemas.openxmlformats.org/officeDocument/2006/relationships/table" Target="../tables/table46.xml"/><Relationship Id="rId2" Type="http://schemas.openxmlformats.org/officeDocument/2006/relationships/vmlDrawing" Target="../drawings/vmlDrawing5.vml"/><Relationship Id="rId16" Type="http://schemas.openxmlformats.org/officeDocument/2006/relationships/table" Target="../tables/table37.xml"/><Relationship Id="rId20" Type="http://schemas.openxmlformats.org/officeDocument/2006/relationships/table" Target="../tables/table41.xml"/><Relationship Id="rId29" Type="http://schemas.openxmlformats.org/officeDocument/2006/relationships/table" Target="../tables/table50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7.xml"/><Relationship Id="rId11" Type="http://schemas.openxmlformats.org/officeDocument/2006/relationships/table" Target="../tables/table32.xml"/><Relationship Id="rId24" Type="http://schemas.openxmlformats.org/officeDocument/2006/relationships/table" Target="../tables/table45.xml"/><Relationship Id="rId5" Type="http://schemas.openxmlformats.org/officeDocument/2006/relationships/table" Target="../tables/table26.xml"/><Relationship Id="rId15" Type="http://schemas.openxmlformats.org/officeDocument/2006/relationships/table" Target="../tables/table36.xml"/><Relationship Id="rId23" Type="http://schemas.openxmlformats.org/officeDocument/2006/relationships/table" Target="../tables/table44.xml"/><Relationship Id="rId28" Type="http://schemas.openxmlformats.org/officeDocument/2006/relationships/table" Target="../tables/table49.xml"/><Relationship Id="rId10" Type="http://schemas.openxmlformats.org/officeDocument/2006/relationships/table" Target="../tables/table31.xml"/><Relationship Id="rId19" Type="http://schemas.openxmlformats.org/officeDocument/2006/relationships/table" Target="../tables/table40.xml"/><Relationship Id="rId4" Type="http://schemas.openxmlformats.org/officeDocument/2006/relationships/table" Target="../tables/table25.xml"/><Relationship Id="rId9" Type="http://schemas.openxmlformats.org/officeDocument/2006/relationships/table" Target="../tables/table30.xml"/><Relationship Id="rId14" Type="http://schemas.openxmlformats.org/officeDocument/2006/relationships/table" Target="../tables/table35.xml"/><Relationship Id="rId22" Type="http://schemas.openxmlformats.org/officeDocument/2006/relationships/table" Target="../tables/table43.xml"/><Relationship Id="rId27" Type="http://schemas.openxmlformats.org/officeDocument/2006/relationships/table" Target="../tables/table48.xml"/><Relationship Id="rId30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table" Target="../tables/table52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"/>
  <sheetViews>
    <sheetView showGridLines="0" showRowColHeaders="0" tabSelected="1" zoomScale="70" zoomScaleNormal="70" workbookViewId="0">
      <selection activeCell="H27" sqref="H27"/>
    </sheetView>
  </sheetViews>
  <sheetFormatPr baseColWidth="10" defaultColWidth="0" defaultRowHeight="15" zeroHeight="1" x14ac:dyDescent="0.25"/>
  <cols>
    <col min="1" max="6" width="11.42578125" customWidth="1"/>
    <col min="7" max="7" width="6.140625" style="329" customWidth="1"/>
    <col min="8" max="9" width="14" customWidth="1"/>
    <col min="10" max="10" width="4.7109375" customWidth="1"/>
    <col min="11" max="11" width="12.5703125" customWidth="1"/>
    <col min="12" max="12" width="13.140625" customWidth="1"/>
    <col min="13" max="13" width="4.7109375" customWidth="1"/>
    <col min="14" max="15" width="13.42578125" hidden="1" customWidth="1"/>
    <col min="16" max="16384" width="11.42578125" hidden="1"/>
  </cols>
  <sheetData>
    <row r="1" spans="1:13" s="330" customFormat="1" ht="37.5" customHeight="1" x14ac:dyDescent="0.25">
      <c r="A1" s="1087" t="s">
        <v>330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88"/>
    </row>
    <row r="2" spans="1:13" s="330" customFormat="1" x14ac:dyDescent="0.25">
      <c r="A2" s="329"/>
      <c r="B2" s="331"/>
      <c r="C2" s="19"/>
      <c r="D2" s="19"/>
      <c r="E2" s="19"/>
      <c r="F2" s="19"/>
      <c r="G2" s="332"/>
      <c r="H2" s="332"/>
      <c r="I2" s="332"/>
      <c r="J2" s="332"/>
      <c r="K2" s="332"/>
      <c r="L2" s="332"/>
      <c r="M2" s="333"/>
    </row>
    <row r="3" spans="1:13" s="330" customFormat="1" x14ac:dyDescent="0.25">
      <c r="A3" s="329"/>
      <c r="B3" s="19"/>
      <c r="C3" s="19"/>
      <c r="D3" s="19"/>
      <c r="E3" s="19"/>
      <c r="F3" s="19"/>
      <c r="G3" s="332"/>
      <c r="H3" s="1093" t="s">
        <v>360</v>
      </c>
      <c r="I3" s="1094"/>
      <c r="J3" s="337"/>
      <c r="K3" s="1093" t="s">
        <v>477</v>
      </c>
      <c r="L3" s="1094"/>
      <c r="M3" s="333"/>
    </row>
    <row r="4" spans="1:13" s="330" customFormat="1" x14ac:dyDescent="0.25">
      <c r="A4" s="329"/>
      <c r="B4" s="19"/>
      <c r="C4" s="19"/>
      <c r="D4" s="19"/>
      <c r="E4" s="19"/>
      <c r="F4" s="19"/>
      <c r="G4" s="332"/>
      <c r="H4" s="1095"/>
      <c r="I4" s="1096"/>
      <c r="J4" s="337"/>
      <c r="K4" s="1095"/>
      <c r="L4" s="1096"/>
      <c r="M4" s="333"/>
    </row>
    <row r="5" spans="1:13" s="330" customFormat="1" x14ac:dyDescent="0.25">
      <c r="A5" s="329"/>
      <c r="B5" s="19"/>
      <c r="C5" s="19"/>
      <c r="D5" s="19"/>
      <c r="E5" s="19"/>
      <c r="F5" s="19"/>
      <c r="G5" s="332"/>
      <c r="H5" s="337"/>
      <c r="I5" s="337"/>
      <c r="J5" s="337"/>
      <c r="K5" s="337"/>
      <c r="L5" s="337"/>
      <c r="M5" s="333"/>
    </row>
    <row r="6" spans="1:13" s="330" customFormat="1" ht="15" customHeight="1" x14ac:dyDescent="0.25">
      <c r="A6" s="329"/>
      <c r="B6" s="19"/>
      <c r="C6" s="19"/>
      <c r="D6" s="19"/>
      <c r="E6" s="19"/>
      <c r="F6" s="19"/>
      <c r="G6" s="332"/>
      <c r="H6" s="1089" t="s">
        <v>77</v>
      </c>
      <c r="I6" s="1090"/>
      <c r="J6" s="337"/>
      <c r="K6" s="1097" t="s">
        <v>493</v>
      </c>
      <c r="L6" s="1098"/>
      <c r="M6" s="333"/>
    </row>
    <row r="7" spans="1:13" s="330" customFormat="1" x14ac:dyDescent="0.25">
      <c r="A7" s="329"/>
      <c r="B7" s="19"/>
      <c r="C7" s="19"/>
      <c r="D7" s="19"/>
      <c r="E7" s="19"/>
      <c r="F7" s="19"/>
      <c r="G7" s="332"/>
      <c r="H7" s="1091"/>
      <c r="I7" s="1092"/>
      <c r="J7" s="337"/>
      <c r="K7" s="1099"/>
      <c r="L7" s="1100"/>
      <c r="M7" s="333"/>
    </row>
    <row r="8" spans="1:13" s="330" customFormat="1" x14ac:dyDescent="0.25">
      <c r="A8" s="329"/>
      <c r="B8" s="19"/>
      <c r="C8" s="19"/>
      <c r="D8" s="19"/>
      <c r="E8" s="19"/>
      <c r="F8" s="19"/>
      <c r="G8" s="332"/>
      <c r="H8" s="337"/>
      <c r="I8" s="337"/>
      <c r="J8" s="337"/>
      <c r="K8" s="337"/>
      <c r="L8" s="337"/>
      <c r="M8" s="333"/>
    </row>
    <row r="9" spans="1:13" s="330" customFormat="1" ht="15" customHeight="1" x14ac:dyDescent="0.25">
      <c r="A9" s="329"/>
      <c r="B9" s="19"/>
      <c r="C9" s="19"/>
      <c r="D9" s="19"/>
      <c r="E9" s="19"/>
      <c r="F9" s="19"/>
      <c r="G9" s="332"/>
      <c r="H9" s="1089" t="s">
        <v>459</v>
      </c>
      <c r="I9" s="1090"/>
      <c r="J9" s="337"/>
      <c r="K9" s="1097" t="s">
        <v>490</v>
      </c>
      <c r="L9" s="1098"/>
      <c r="M9" s="333"/>
    </row>
    <row r="10" spans="1:13" s="330" customFormat="1" x14ac:dyDescent="0.25">
      <c r="A10" s="329"/>
      <c r="B10" s="19"/>
      <c r="C10" s="19"/>
      <c r="D10" s="19"/>
      <c r="E10" s="19"/>
      <c r="F10" s="19"/>
      <c r="G10" s="332"/>
      <c r="H10" s="1091"/>
      <c r="I10" s="1092"/>
      <c r="J10" s="337"/>
      <c r="K10" s="1099"/>
      <c r="L10" s="1100"/>
      <c r="M10" s="333"/>
    </row>
    <row r="11" spans="1:13" s="330" customFormat="1" x14ac:dyDescent="0.25">
      <c r="A11" s="329"/>
      <c r="B11" s="19"/>
      <c r="C11" s="19"/>
      <c r="D11" s="19"/>
      <c r="E11" s="19"/>
      <c r="F11" s="19"/>
      <c r="G11" s="332"/>
      <c r="H11" s="337"/>
      <c r="I11" s="337"/>
      <c r="J11" s="337"/>
      <c r="K11" s="337"/>
      <c r="L11" s="337"/>
      <c r="M11" s="333"/>
    </row>
    <row r="12" spans="1:13" s="330" customFormat="1" ht="15" customHeight="1" x14ac:dyDescent="0.25">
      <c r="A12" s="329"/>
      <c r="B12" s="19"/>
      <c r="C12" s="19"/>
      <c r="D12" s="19"/>
      <c r="E12" s="19"/>
      <c r="F12" s="19"/>
      <c r="G12" s="332"/>
      <c r="H12" s="1089" t="s">
        <v>119</v>
      </c>
      <c r="I12" s="1090"/>
      <c r="J12" s="337"/>
      <c r="K12" s="1097" t="s">
        <v>332</v>
      </c>
      <c r="L12" s="1098"/>
      <c r="M12" s="333"/>
    </row>
    <row r="13" spans="1:13" s="330" customFormat="1" x14ac:dyDescent="0.25">
      <c r="A13" s="1085" t="s">
        <v>329</v>
      </c>
      <c r="B13" s="1086"/>
      <c r="C13" s="1086"/>
      <c r="D13" s="1086"/>
      <c r="E13" s="19"/>
      <c r="F13" s="19"/>
      <c r="G13" s="332"/>
      <c r="H13" s="1091"/>
      <c r="I13" s="1092"/>
      <c r="J13" s="337"/>
      <c r="K13" s="1099"/>
      <c r="L13" s="1100"/>
      <c r="M13" s="333"/>
    </row>
    <row r="14" spans="1:13" s="330" customFormat="1" x14ac:dyDescent="0.25">
      <c r="A14" s="329"/>
      <c r="B14" s="19"/>
      <c r="C14" s="19"/>
      <c r="D14" s="19"/>
      <c r="E14" s="19"/>
      <c r="F14" s="19"/>
      <c r="G14" s="332"/>
      <c r="H14" s="337"/>
      <c r="I14" s="337"/>
      <c r="J14" s="337"/>
      <c r="K14" s="337"/>
      <c r="L14" s="337"/>
      <c r="M14" s="333"/>
    </row>
    <row r="15" spans="1:13" s="330" customFormat="1" ht="15" customHeight="1" x14ac:dyDescent="0.25">
      <c r="A15" s="329"/>
      <c r="B15" s="19"/>
      <c r="C15" s="19"/>
      <c r="D15" s="19"/>
      <c r="E15" s="19"/>
      <c r="F15" s="19"/>
      <c r="G15" s="332"/>
      <c r="H15" s="1089" t="s">
        <v>160</v>
      </c>
      <c r="I15" s="1090"/>
      <c r="J15" s="337"/>
      <c r="K15" s="1101" t="s">
        <v>491</v>
      </c>
      <c r="L15" s="1102"/>
      <c r="M15" s="333"/>
    </row>
    <row r="16" spans="1:13" s="330" customFormat="1" x14ac:dyDescent="0.25">
      <c r="A16" s="329"/>
      <c r="B16" s="19"/>
      <c r="C16" s="19"/>
      <c r="D16" s="19"/>
      <c r="E16" s="19"/>
      <c r="F16" s="19"/>
      <c r="G16" s="332"/>
      <c r="H16" s="1091"/>
      <c r="I16" s="1092"/>
      <c r="J16" s="337"/>
      <c r="K16" s="1103"/>
      <c r="L16" s="1104"/>
      <c r="M16" s="333"/>
    </row>
    <row r="17" spans="1:13" s="330" customFormat="1" x14ac:dyDescent="0.25">
      <c r="A17" s="329"/>
      <c r="B17" s="19"/>
      <c r="C17" s="19"/>
      <c r="D17" s="19"/>
      <c r="E17" s="19"/>
      <c r="F17" s="19"/>
      <c r="G17" s="332"/>
      <c r="H17" s="337"/>
      <c r="I17" s="337"/>
      <c r="J17" s="337"/>
      <c r="K17" s="337"/>
      <c r="L17" s="337"/>
      <c r="M17" s="333"/>
    </row>
    <row r="18" spans="1:13" s="330" customFormat="1" ht="15" customHeight="1" x14ac:dyDescent="0.25">
      <c r="A18" s="329"/>
      <c r="B18" s="19"/>
      <c r="C18" s="19"/>
      <c r="D18" s="19"/>
      <c r="E18" s="19"/>
      <c r="F18" s="19"/>
      <c r="G18" s="332"/>
      <c r="H18" s="1089" t="s">
        <v>199</v>
      </c>
      <c r="I18" s="1090"/>
      <c r="J18" s="337"/>
      <c r="K18" s="1097" t="s">
        <v>333</v>
      </c>
      <c r="L18" s="1098"/>
      <c r="M18" s="333"/>
    </row>
    <row r="19" spans="1:13" s="330" customFormat="1" x14ac:dyDescent="0.25">
      <c r="A19" s="329"/>
      <c r="B19" s="19"/>
      <c r="C19" s="19"/>
      <c r="D19" s="19"/>
      <c r="E19" s="19"/>
      <c r="F19" s="19"/>
      <c r="G19" s="332"/>
      <c r="H19" s="1091"/>
      <c r="I19" s="1092"/>
      <c r="J19" s="337"/>
      <c r="K19" s="1099"/>
      <c r="L19" s="1100"/>
      <c r="M19" s="333"/>
    </row>
    <row r="20" spans="1:13" s="330" customFormat="1" x14ac:dyDescent="0.25">
      <c r="A20" s="329"/>
      <c r="B20" s="19"/>
      <c r="C20" s="19"/>
      <c r="D20" s="19"/>
      <c r="E20" s="19"/>
      <c r="F20" s="19"/>
      <c r="G20" s="332"/>
      <c r="H20" s="337"/>
      <c r="I20" s="337"/>
      <c r="J20" s="337"/>
      <c r="K20" s="337"/>
      <c r="L20" s="337"/>
      <c r="M20" s="333"/>
    </row>
    <row r="21" spans="1:13" s="330" customFormat="1" ht="15" customHeight="1" x14ac:dyDescent="0.25">
      <c r="A21" s="329"/>
      <c r="B21" s="19"/>
      <c r="C21" s="19"/>
      <c r="D21" s="19"/>
      <c r="E21" s="19"/>
      <c r="F21" s="19"/>
      <c r="G21" s="332"/>
      <c r="H21" s="1089" t="s">
        <v>331</v>
      </c>
      <c r="I21" s="1090"/>
      <c r="J21" s="337"/>
      <c r="K21" s="1097" t="s">
        <v>492</v>
      </c>
      <c r="L21" s="1098"/>
      <c r="M21" s="333"/>
    </row>
    <row r="22" spans="1:13" s="330" customFormat="1" x14ac:dyDescent="0.25">
      <c r="A22" s="329"/>
      <c r="B22" s="19"/>
      <c r="C22" s="19"/>
      <c r="D22" s="19"/>
      <c r="E22" s="19"/>
      <c r="F22" s="19"/>
      <c r="G22" s="332"/>
      <c r="H22" s="1091"/>
      <c r="I22" s="1092"/>
      <c r="J22" s="337"/>
      <c r="K22" s="1099"/>
      <c r="L22" s="1100"/>
      <c r="M22" s="333"/>
    </row>
    <row r="23" spans="1:13" s="330" customFormat="1" x14ac:dyDescent="0.25">
      <c r="A23" s="329"/>
      <c r="B23" s="19"/>
      <c r="C23" s="19"/>
      <c r="D23" s="19"/>
      <c r="E23" s="19"/>
      <c r="F23" s="19"/>
      <c r="G23" s="332"/>
      <c r="H23" s="337"/>
      <c r="I23" s="337"/>
      <c r="J23" s="337"/>
      <c r="K23" s="337"/>
      <c r="L23" s="337"/>
      <c r="M23" s="333"/>
    </row>
    <row r="24" spans="1:13" s="330" customFormat="1" x14ac:dyDescent="0.25">
      <c r="A24" s="329"/>
      <c r="B24" s="19"/>
      <c r="C24" s="19"/>
      <c r="D24" s="19"/>
      <c r="E24" s="19"/>
      <c r="F24" s="19"/>
      <c r="G24" s="332"/>
      <c r="H24" s="1089" t="s">
        <v>282</v>
      </c>
      <c r="I24" s="1090"/>
      <c r="J24" s="337"/>
      <c r="K24" s="1101" t="s">
        <v>334</v>
      </c>
      <c r="L24" s="1102"/>
      <c r="M24" s="333"/>
    </row>
    <row r="25" spans="1:13" s="330" customFormat="1" x14ac:dyDescent="0.25">
      <c r="A25" s="329"/>
      <c r="B25" s="19"/>
      <c r="C25" s="19"/>
      <c r="D25" s="19"/>
      <c r="E25" s="19"/>
      <c r="F25" s="19"/>
      <c r="G25" s="332"/>
      <c r="H25" s="1091"/>
      <c r="I25" s="1092"/>
      <c r="J25" s="337"/>
      <c r="K25" s="1103"/>
      <c r="L25" s="1104"/>
      <c r="M25" s="333"/>
    </row>
    <row r="26" spans="1:13" s="330" customFormat="1" x14ac:dyDescent="0.25">
      <c r="A26" s="329"/>
      <c r="B26" s="19"/>
      <c r="C26" s="19"/>
      <c r="D26" s="19"/>
      <c r="E26" s="19"/>
      <c r="F26" s="19"/>
      <c r="G26" s="332"/>
      <c r="H26" s="332"/>
      <c r="I26" s="332"/>
      <c r="J26" s="332"/>
      <c r="K26" s="332"/>
      <c r="L26" s="332"/>
      <c r="M26" s="333"/>
    </row>
    <row r="27" spans="1:13" s="330" customFormat="1" x14ac:dyDescent="0.25">
      <c r="A27" s="329"/>
      <c r="B27" s="19"/>
      <c r="C27" s="19"/>
      <c r="D27" s="19"/>
      <c r="E27" s="19"/>
      <c r="F27" s="19"/>
      <c r="G27" s="332"/>
      <c r="H27" s="332"/>
      <c r="I27" s="332"/>
      <c r="J27" s="332"/>
      <c r="K27" s="332"/>
      <c r="L27" s="332"/>
      <c r="M27" s="333"/>
    </row>
    <row r="28" spans="1:13" s="330" customFormat="1" x14ac:dyDescent="0.25">
      <c r="A28" s="94"/>
      <c r="B28" s="94"/>
      <c r="C28" s="94"/>
      <c r="D28" s="94"/>
      <c r="E28" s="94"/>
      <c r="F28" s="94"/>
      <c r="G28" s="335"/>
      <c r="H28" s="335"/>
      <c r="I28" s="335"/>
      <c r="J28" s="335"/>
      <c r="K28" s="335"/>
      <c r="L28" s="335"/>
      <c r="M28" s="336"/>
    </row>
    <row r="29" spans="1:13" hidden="1" x14ac:dyDescent="0.25">
      <c r="G29" s="334"/>
      <c r="H29" s="335"/>
      <c r="I29" s="335"/>
      <c r="J29" s="335"/>
      <c r="K29" s="335"/>
      <c r="L29" s="335"/>
      <c r="M29" s="336"/>
    </row>
  </sheetData>
  <mergeCells count="17">
    <mergeCell ref="K21:L22"/>
    <mergeCell ref="K15:L16"/>
    <mergeCell ref="K3:L4"/>
    <mergeCell ref="K24:L25"/>
    <mergeCell ref="H21:I22"/>
    <mergeCell ref="H24:I25"/>
    <mergeCell ref="A1:M1"/>
    <mergeCell ref="H9:I10"/>
    <mergeCell ref="H12:I13"/>
    <mergeCell ref="H15:I16"/>
    <mergeCell ref="H18:I19"/>
    <mergeCell ref="H3:I4"/>
    <mergeCell ref="K6:L7"/>
    <mergeCell ref="K9:L10"/>
    <mergeCell ref="K12:L13"/>
    <mergeCell ref="H6:I7"/>
    <mergeCell ref="K18:L19"/>
  </mergeCells>
  <hyperlinks>
    <hyperlink ref="H3:I4" location="Configuración!A1" display="Configuración"/>
    <hyperlink ref="H6:I7" location="'Prod. Agrícola'!A1" display="Producción Agrícola"/>
    <hyperlink ref="H9:I10" location="'Com. Agrícola'!A1" display="Comercialización Agricola"/>
    <hyperlink ref="H12:I13" location="Ganadería!A1" display="Producción Ganadera"/>
    <hyperlink ref="H15:I16" location="Lechería!A1" display="Producción Lechera"/>
    <hyperlink ref="H18:I19" location="'Otras Actividades'!A1" display="Otras Actividades"/>
    <hyperlink ref="H21:I22" location="Indirectos!A1" display="Gastos Indirectos"/>
    <hyperlink ref="H24:I25" location="Finanzas!A1" display="Finanzas"/>
    <hyperlink ref="K6:L7" location="'Financiero U$S'!A1" display="'Financiero U$S'!A1"/>
    <hyperlink ref="K9:L10" location="Económico!A1" display="Económico!A1"/>
    <hyperlink ref="K3:L4" location="'Asistente de Carga'!A1" display="Asistente de Carga"/>
    <hyperlink ref="K15:L16" location="Económico!A1" display="Económico!A1"/>
    <hyperlink ref="K12:L13" location="'Financiero $'!A1" display="'Financiero $'!A1"/>
    <hyperlink ref="K18:L19" location="'Financiero $'!A1" display="'Financiero $'!A1"/>
    <hyperlink ref="K21:L22" location="Económico!A1" display="Económico!A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XFD311"/>
  <sheetViews>
    <sheetView showGridLines="0" zoomScale="80" zoomScaleNormal="80" workbookViewId="0">
      <selection activeCell="E5" sqref="E5"/>
    </sheetView>
  </sheetViews>
  <sheetFormatPr baseColWidth="10" defaultColWidth="0" defaultRowHeight="15" outlineLevelCol="2" x14ac:dyDescent="0.25"/>
  <cols>
    <col min="1" max="1" width="1.85546875" customWidth="1"/>
    <col min="2" max="2" width="21.7109375" style="374" bestFit="1" customWidth="1"/>
    <col min="3" max="3" width="2.140625" customWidth="1"/>
    <col min="4" max="5" width="11.5703125" style="465" bestFit="1" customWidth="1"/>
    <col min="6" max="6" width="11.5703125" style="465" hidden="1" customWidth="1" outlineLevel="1"/>
    <col min="7" max="7" width="24.5703125" style="464" bestFit="1" customWidth="1" collapsed="1"/>
    <col min="8" max="8" width="14.7109375" style="464" customWidth="1"/>
    <col min="9" max="9" width="22" style="464" bestFit="1" customWidth="1"/>
    <col min="10" max="10" width="9" style="464" bestFit="1" customWidth="1"/>
    <col min="11" max="11" width="19.5703125" style="464" customWidth="1"/>
    <col min="12" max="12" width="10.140625" style="465" bestFit="1" customWidth="1"/>
    <col min="13" max="13" width="10.140625" style="465" hidden="1" customWidth="1"/>
    <col min="14" max="14" width="10.140625" style="465" customWidth="1"/>
    <col min="15" max="15" width="10.85546875" style="465" bestFit="1" customWidth="1"/>
    <col min="16" max="16" width="10.85546875" style="464" bestFit="1" customWidth="1"/>
    <col min="17" max="17" width="10.5703125" style="465" customWidth="1"/>
    <col min="18" max="18" width="10.85546875" style="464" bestFit="1" customWidth="1"/>
    <col min="19" max="19" width="9.140625" style="465" customWidth="1"/>
    <col min="20" max="20" width="10.85546875" style="464" bestFit="1" customWidth="1"/>
    <col min="21" max="23" width="13.28515625" hidden="1" customWidth="1" outlineLevel="2"/>
    <col min="24" max="29" width="12.85546875" hidden="1" customWidth="1" outlineLevel="2"/>
    <col min="30" max="30" width="16.7109375" hidden="1" customWidth="1" outlineLevel="2"/>
    <col min="31" max="31" width="9.85546875" style="76" hidden="1" customWidth="1" outlineLevel="2"/>
    <col min="32" max="32" width="8" style="76" hidden="1" customWidth="1" outlineLevel="2"/>
    <col min="33" max="33" width="8" style="183" hidden="1" customWidth="1" outlineLevel="2"/>
    <col min="34" max="34" width="9.28515625" hidden="1" customWidth="1" outlineLevel="2"/>
    <col min="35" max="35" width="6" hidden="1" customWidth="1" outlineLevel="2"/>
    <col min="36" max="36" width="11.28515625" hidden="1" customWidth="1" outlineLevel="2"/>
    <col min="37" max="38" width="11.28515625" style="26" hidden="1" customWidth="1" outlineLevel="2"/>
    <col min="39" max="39" width="12.85546875" style="26" hidden="1" customWidth="1" outlineLevel="2"/>
    <col min="40" max="41" width="11.28515625" style="26" hidden="1" customWidth="1" outlineLevel="2"/>
    <col min="42" max="42" width="10.5703125" style="26" hidden="1" customWidth="1" outlineLevel="2"/>
    <col min="43" max="48" width="12.42578125" hidden="1" customWidth="1" outlineLevel="2"/>
    <col min="49" max="49" width="12.42578125" customWidth="1" collapsed="1"/>
    <col min="50" max="16383" width="12.42578125" hidden="1"/>
    <col min="16384" max="16384" width="4.85546875" hidden="1"/>
  </cols>
  <sheetData>
    <row r="1" spans="2:48" x14ac:dyDescent="0.25">
      <c r="D1" s="600"/>
      <c r="U1" s="4"/>
      <c r="W1" s="4"/>
      <c r="Z1" s="4"/>
      <c r="AA1" s="4"/>
      <c r="AB1" s="4"/>
      <c r="AC1" s="4"/>
      <c r="AH1" s="4"/>
      <c r="AI1" s="4"/>
      <c r="AJ1" s="26"/>
      <c r="AP1"/>
    </row>
    <row r="2" spans="2:48" ht="45" x14ac:dyDescent="0.25">
      <c r="B2" s="361" t="s">
        <v>119</v>
      </c>
      <c r="D2" s="467" t="s">
        <v>477</v>
      </c>
      <c r="E2" s="468" t="s">
        <v>478</v>
      </c>
      <c r="U2" s="4"/>
      <c r="W2" s="4"/>
      <c r="Z2" s="4"/>
      <c r="AA2" s="4"/>
      <c r="AB2" s="4"/>
      <c r="AC2" s="4"/>
      <c r="AE2" s="371"/>
      <c r="AF2" s="371"/>
      <c r="AG2" s="371"/>
      <c r="AH2" s="4"/>
      <c r="AI2" s="4"/>
      <c r="AJ2" s="371"/>
      <c r="AK2" s="371"/>
      <c r="AL2" s="371"/>
      <c r="AM2" s="371"/>
      <c r="AN2" s="371"/>
      <c r="AO2" s="371"/>
      <c r="AP2"/>
    </row>
    <row r="3" spans="2:48" x14ac:dyDescent="0.25">
      <c r="I3" s="1134"/>
      <c r="J3" s="1134"/>
      <c r="K3" s="1134"/>
      <c r="L3" s="1134"/>
      <c r="M3" s="1134"/>
      <c r="N3" s="1134"/>
      <c r="O3" s="1134"/>
      <c r="P3" s="1134"/>
      <c r="R3" s="469"/>
      <c r="T3" s="469"/>
      <c r="U3" s="17"/>
      <c r="V3" s="17"/>
      <c r="AJ3" s="26"/>
      <c r="AP3"/>
    </row>
    <row r="4" spans="2:48" s="5" customFormat="1" ht="31.5" customHeight="1" x14ac:dyDescent="0.25">
      <c r="B4" s="375"/>
      <c r="D4" s="471" t="s">
        <v>352</v>
      </c>
      <c r="E4" s="471" t="s">
        <v>15</v>
      </c>
      <c r="F4" s="472" t="s">
        <v>4</v>
      </c>
      <c r="G4" s="470" t="s">
        <v>78</v>
      </c>
      <c r="H4" s="470" t="s">
        <v>0</v>
      </c>
      <c r="I4" s="470" t="s">
        <v>358</v>
      </c>
      <c r="J4" s="472" t="s">
        <v>237</v>
      </c>
      <c r="K4" s="470" t="s">
        <v>16</v>
      </c>
      <c r="L4" s="472" t="s">
        <v>139</v>
      </c>
      <c r="M4" s="472" t="s">
        <v>475</v>
      </c>
      <c r="N4" s="472" t="s">
        <v>270</v>
      </c>
      <c r="O4" s="471" t="s">
        <v>26</v>
      </c>
      <c r="P4" s="471" t="s">
        <v>27</v>
      </c>
      <c r="Q4" s="601" t="s">
        <v>89</v>
      </c>
      <c r="R4" s="471" t="s">
        <v>87</v>
      </c>
      <c r="S4" s="471" t="s">
        <v>1</v>
      </c>
      <c r="T4" s="472" t="s">
        <v>353</v>
      </c>
      <c r="U4" s="6" t="s">
        <v>354</v>
      </c>
      <c r="V4" s="6" t="s">
        <v>355</v>
      </c>
      <c r="W4" s="7" t="s">
        <v>356</v>
      </c>
      <c r="X4" s="8" t="s">
        <v>236</v>
      </c>
      <c r="Y4" s="6" t="s">
        <v>235</v>
      </c>
      <c r="Z4" s="6" t="s">
        <v>357</v>
      </c>
      <c r="AA4" s="38" t="s">
        <v>92</v>
      </c>
      <c r="AB4" s="20" t="s">
        <v>93</v>
      </c>
      <c r="AC4" s="20" t="s">
        <v>345</v>
      </c>
      <c r="AD4" s="33" t="s">
        <v>39</v>
      </c>
      <c r="AE4" s="38" t="s">
        <v>148</v>
      </c>
      <c r="AF4" s="39" t="s">
        <v>98</v>
      </c>
      <c r="AG4" s="20" t="s">
        <v>359</v>
      </c>
      <c r="AH4" s="38" t="s">
        <v>91</v>
      </c>
      <c r="AI4" s="39" t="s">
        <v>64</v>
      </c>
      <c r="AJ4" s="2" t="s">
        <v>346</v>
      </c>
      <c r="AK4" s="2" t="s">
        <v>347</v>
      </c>
      <c r="AL4" s="2" t="s">
        <v>348</v>
      </c>
      <c r="AM4" s="2" t="s">
        <v>349</v>
      </c>
      <c r="AN4" s="2" t="s">
        <v>33</v>
      </c>
      <c r="AO4" s="2" t="s">
        <v>34</v>
      </c>
      <c r="AP4" s="2" t="s">
        <v>90</v>
      </c>
      <c r="AQ4" s="2" t="s">
        <v>350</v>
      </c>
      <c r="AR4" s="50" t="s">
        <v>152</v>
      </c>
      <c r="AS4" s="2" t="s">
        <v>158</v>
      </c>
      <c r="AT4" s="2" t="s">
        <v>159</v>
      </c>
      <c r="AU4" s="2" t="s">
        <v>351</v>
      </c>
      <c r="AV4" s="38" t="s">
        <v>281</v>
      </c>
    </row>
    <row r="5" spans="2:48" x14ac:dyDescent="0.25">
      <c r="B5" s="1136" t="s">
        <v>60</v>
      </c>
      <c r="D5" s="478">
        <f>DATE(LEFT(Producción_Ganadera[[#This Row],[Campaña]],4),7,1)</f>
        <v>43282</v>
      </c>
      <c r="E5" s="478"/>
      <c r="F5" s="866" t="str">
        <f t="shared" ref="F5:F36" si="0">Campaña_Actual</f>
        <v>2018-2019</v>
      </c>
      <c r="G5" s="481" t="str">
        <f>$B$5</f>
        <v>Stock Inicio</v>
      </c>
      <c r="H5" s="481" t="s">
        <v>2</v>
      </c>
      <c r="I5" s="481" t="str">
        <f>Configuración!AZ5</f>
        <v>Vaca CUT</v>
      </c>
      <c r="J5" s="549"/>
      <c r="K5" s="481"/>
      <c r="L5" s="520"/>
      <c r="M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5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-450</v>
      </c>
      <c r="O5" s="483">
        <v>1</v>
      </c>
      <c r="P5" s="491" t="s">
        <v>140</v>
      </c>
      <c r="Q5" s="875">
        <f>IF(ISNUMBER(Producción_Ganadera[[#This Row],[Cabezas]])=TRUE,Producción_Ganadera[[#This Row],[Cabezas]]*Producción_Ganadera[[#This Row],[Cantidad]],Producción_Ganadera[[#This Row],[Cantidad]])</f>
        <v>1</v>
      </c>
      <c r="R5" s="491"/>
      <c r="S5" s="483" t="s">
        <v>48</v>
      </c>
      <c r="T5" s="485"/>
      <c r="U5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5" s="881">
        <f>IFERROR(Producción_Ganadera[[#This Row],[Económico $Corrientes]]/Producción_Ganadera[[#This Row],[Indexación Económico]],0)</f>
        <v>0</v>
      </c>
      <c r="W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5" s="881">
        <f>IFERROR(Producción_Ganadera[[#This Row],[Financiero $Corrientes]]/Producción_Ganadera[[#This Row],[Indexación Financiero]],0)</f>
        <v>0</v>
      </c>
      <c r="Z5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5" s="885">
        <f>IFERROR(Producción_Ganadera[[#This Row],[Intereses $Corrientes]]/Producción_Ganadera[[#This Row],[Indexación Financiero]],0)</f>
        <v>0</v>
      </c>
      <c r="AC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5" s="886" t="str">
        <f>IFERROR(INDEX(Produccion_Ganadera_Cuentas[],MATCH(Producción_Ganadera[[#This Row],[Cuenta Contable]],Produccion_Ganadera_Cuentas[Cuenta Contable],0),2),0)</f>
        <v>Stock Inicio</v>
      </c>
      <c r="AE5" s="887">
        <f>IF(Producción_Ganadera[[#This Row],[Mov. Stock]]="(+)",Producción_Ganadera[[#This Row],[Cabezas]],IF(Producción_Ganadera[[#This Row],[Mov. Stock]]="(-)",-Producción_Ganadera[[#This Row],[Cabezas]],0))</f>
        <v>0</v>
      </c>
      <c r="AF5" s="888" t="str">
        <f>IFERROR(INDEX(Produccion_Ganadera_Cuentas[],MATCH(Producción_Ganadera[[#This Row],[Cuenta Contable]],Produccion_Ganadera_Cuentas[Cuenta Contable],0),5),0)</f>
        <v>(+)</v>
      </c>
      <c r="AG5" s="889" t="str">
        <f>IF(Producción_Ganadera[[#This Row],[Cuenta Contable]]=Configuración!$AC$9,"Si","No")</f>
        <v>No</v>
      </c>
      <c r="AH5" s="887" t="str">
        <f>IFERROR(INDEX(Tabla9[],MATCH(Producción_Ganadera[[#This Row],[Movimiento]],Tabla9[Movimientos],0),2),0)</f>
        <v>No</v>
      </c>
      <c r="AI5" s="888" t="str">
        <f>IFERROR(INDEX(Tabla9[],MATCH(Producción_Ganadera[[#This Row],[Movimiento]],Tabla9[Movimientos],0),3),0)</f>
        <v>(-)</v>
      </c>
      <c r="AJ5" s="890">
        <f>IF(Producción_Ganadera[[#This Row],[Fecha Económico]]=0,0,MONTH(Producción_Ganadera[[#This Row],[Fecha Económico]]))</f>
        <v>7</v>
      </c>
      <c r="AK5" s="890">
        <f>IF(Producción_Ganadera[[#This Row],[Fecha Económico]]=0,0,YEAR(Producción_Ganadera[[#This Row],[Fecha Económico]]))</f>
        <v>2018</v>
      </c>
      <c r="AL5" s="891">
        <f>SUMPRODUCT((Producción_Ganadera[[#This Row],[Mes Económico]]=Tipo_Cambio[Mes])*(Producción_Ganadera[[#This Row],[Año Económico]]=Tipo_Cambio[Año])*(Tipo_Cambio[$/U$S]))</f>
        <v>22</v>
      </c>
      <c r="AM5" s="891">
        <f>SUMPRODUCT((Producción_Ganadera[[#This Row],[Mes Económico]]=Tipo_Cambio[Mes])*(Producción_Ganadera[[#This Row],[Año Económico]]=Tipo_Cambio[Año])*(Tipo_Cambio[Actualización]))</f>
        <v>1</v>
      </c>
      <c r="AN5" s="890">
        <f>IF(ISNUMBER(Producción_Ganadera[[#This Row],[Fecha Financiero]])=TRUE,MONTH(Producción_Ganadera[[#This Row],[Fecha Financiero]]),0)</f>
        <v>0</v>
      </c>
      <c r="AO5" s="890">
        <f>IF(ISNUMBER(Producción_Ganadera[[#This Row],[Fecha Financiero]])=TRUE,YEAR(Producción_Ganadera[[#This Row],[Fecha Financiero]]),0)</f>
        <v>0</v>
      </c>
      <c r="AP5" s="891">
        <f>SUMPRODUCT((Producción_Ganadera[[#This Row],[Mes Financiero]]=Tipo_Cambio[Mes])*(Producción_Ganadera[[#This Row],[Año Financiero]]=Tipo_Cambio[Año])*(Tipo_Cambio[$/U$S]))</f>
        <v>0</v>
      </c>
      <c r="AQ5" s="891">
        <f>SUMPRODUCT((Producción_Ganadera[[#This Row],[Mes Financiero]]=Tipo_Cambio[Mes])*(Producción_Ganadera[[#This Row],[Año Financiero]]=Tipo_Cambio[Año])*(Tipo_Cambio[Actualización]))</f>
        <v>0</v>
      </c>
      <c r="AR5" s="892">
        <f>SUMPRODUCT((Producción_Ganadera[[#This Row],[Centro de Costo]]=Tabla19[Centro de Costo])*(Tabla19[Superficie])*(Producción_Ganadera[[#This Row],[Campaña]]=Tabla19[Campaña]))</f>
        <v>0</v>
      </c>
      <c r="AS5" s="891">
        <f>IFERROR(Producción_Ganadera[[#This Row],[Económico $Corrientes]]/Producción_Ganadera[[#This Row],[Superficie]],0)</f>
        <v>0</v>
      </c>
      <c r="AT5" s="891">
        <f>IFERROR(Producción_Ganadera[[#This Row],[Económico $Constantes]]/Producción_Ganadera[[#This Row],[Superficie]],0)</f>
        <v>0</v>
      </c>
      <c r="AU5" s="891">
        <f>IFERROR(Producción_Ganadera[[#This Row],[Económico U$S Dólares]]/Producción_Ganadera[[#This Row],[Superficie]],0)</f>
        <v>0</v>
      </c>
      <c r="AV5" s="887" t="str">
        <f>IF(Económico!$F$4=0,0,Producción_Ganadera[[#This Row],[Centro de Costo]])</f>
        <v>Campo 1</v>
      </c>
    </row>
    <row r="6" spans="2:48" x14ac:dyDescent="0.25">
      <c r="B6" s="1136"/>
      <c r="D6" s="478">
        <f>DATE(LEFT(Producción_Ganadera[[#This Row],[Campaña]],4),7,1)</f>
        <v>43282</v>
      </c>
      <c r="E6" s="478"/>
      <c r="F6" s="866" t="str">
        <f t="shared" si="0"/>
        <v>2018-2019</v>
      </c>
      <c r="G6" s="481" t="str">
        <f t="shared" ref="G6:G29" si="1">$B$5</f>
        <v>Stock Inicio</v>
      </c>
      <c r="H6" s="481" t="s">
        <v>2</v>
      </c>
      <c r="I6" s="481" t="str">
        <f>Configuración!AZ6</f>
        <v>Vaca Preñada</v>
      </c>
      <c r="J6" s="549"/>
      <c r="K6" s="481"/>
      <c r="L6" s="520"/>
      <c r="M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6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-450</v>
      </c>
      <c r="O6" s="483">
        <v>1</v>
      </c>
      <c r="P6" s="491" t="s">
        <v>140</v>
      </c>
      <c r="Q6" s="875">
        <f>IF(ISNUMBER(Producción_Ganadera[[#This Row],[Cabezas]])=TRUE,Producción_Ganadera[[#This Row],[Cabezas]]*Producción_Ganadera[[#This Row],[Cantidad]],Producción_Ganadera[[#This Row],[Cantidad]])</f>
        <v>1</v>
      </c>
      <c r="R6" s="491"/>
      <c r="S6" s="483" t="s">
        <v>48</v>
      </c>
      <c r="T6" s="485"/>
      <c r="U6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6" s="881">
        <f>IFERROR(Producción_Ganadera[[#This Row],[Económico $Corrientes]]/Producción_Ganadera[[#This Row],[Indexación Económico]],0)</f>
        <v>0</v>
      </c>
      <c r="W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6" s="881">
        <f>IFERROR(Producción_Ganadera[[#This Row],[Financiero $Corrientes]]/Producción_Ganadera[[#This Row],[Indexación Financiero]],0)</f>
        <v>0</v>
      </c>
      <c r="Z6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6" s="885">
        <f>IFERROR(Producción_Ganadera[[#This Row],[Intereses $Corrientes]]/Producción_Ganadera[[#This Row],[Indexación Financiero]],0)</f>
        <v>0</v>
      </c>
      <c r="AC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6" s="886" t="str">
        <f>IFERROR(INDEX(Produccion_Ganadera_Cuentas[],MATCH(Producción_Ganadera[[#This Row],[Cuenta Contable]],Produccion_Ganadera_Cuentas[Cuenta Contable],0),2),0)</f>
        <v>Stock Inicio</v>
      </c>
      <c r="AE6" s="887">
        <f>IF(Producción_Ganadera[[#This Row],[Mov. Stock]]="(+)",Producción_Ganadera[[#This Row],[Cabezas]],IF(Producción_Ganadera[[#This Row],[Mov. Stock]]="(-)",-Producción_Ganadera[[#This Row],[Cabezas]],0))</f>
        <v>0</v>
      </c>
      <c r="AF6" s="888" t="str">
        <f>IFERROR(INDEX(Produccion_Ganadera_Cuentas[],MATCH(Producción_Ganadera[[#This Row],[Cuenta Contable]],Produccion_Ganadera_Cuentas[Cuenta Contable],0),5),0)</f>
        <v>(+)</v>
      </c>
      <c r="AG6" s="889" t="str">
        <f>IF(Producción_Ganadera[[#This Row],[Cuenta Contable]]=Configuración!$AC$9,"Si","No")</f>
        <v>No</v>
      </c>
      <c r="AH6" s="887" t="str">
        <f>IFERROR(INDEX(Tabla9[],MATCH(Producción_Ganadera[[#This Row],[Movimiento]],Tabla9[Movimientos],0),2),0)</f>
        <v>No</v>
      </c>
      <c r="AI6" s="888" t="str">
        <f>IFERROR(INDEX(Tabla9[],MATCH(Producción_Ganadera[[#This Row],[Movimiento]],Tabla9[Movimientos],0),3),0)</f>
        <v>(-)</v>
      </c>
      <c r="AJ6" s="890">
        <f>IF(Producción_Ganadera[[#This Row],[Fecha Económico]]=0,0,MONTH(Producción_Ganadera[[#This Row],[Fecha Económico]]))</f>
        <v>7</v>
      </c>
      <c r="AK6" s="890">
        <f>IF(Producción_Ganadera[[#This Row],[Fecha Económico]]=0,0,YEAR(Producción_Ganadera[[#This Row],[Fecha Económico]]))</f>
        <v>2018</v>
      </c>
      <c r="AL6" s="891">
        <f>SUMPRODUCT((Producción_Ganadera[[#This Row],[Mes Económico]]=Tipo_Cambio[Mes])*(Producción_Ganadera[[#This Row],[Año Económico]]=Tipo_Cambio[Año])*(Tipo_Cambio[$/U$S]))</f>
        <v>22</v>
      </c>
      <c r="AM6" s="891">
        <f>SUMPRODUCT((Producción_Ganadera[[#This Row],[Mes Económico]]=Tipo_Cambio[Mes])*(Producción_Ganadera[[#This Row],[Año Económico]]=Tipo_Cambio[Año])*(Tipo_Cambio[Actualización]))</f>
        <v>1</v>
      </c>
      <c r="AN6" s="890">
        <f>IF(ISNUMBER(Producción_Ganadera[[#This Row],[Fecha Financiero]])=TRUE,MONTH(Producción_Ganadera[[#This Row],[Fecha Financiero]]),0)</f>
        <v>0</v>
      </c>
      <c r="AO6" s="890">
        <f>IF(ISNUMBER(Producción_Ganadera[[#This Row],[Fecha Financiero]])=TRUE,YEAR(Producción_Ganadera[[#This Row],[Fecha Financiero]]),0)</f>
        <v>0</v>
      </c>
      <c r="AP6" s="891">
        <f>SUMPRODUCT((Producción_Ganadera[[#This Row],[Mes Financiero]]=Tipo_Cambio[Mes])*(Producción_Ganadera[[#This Row],[Año Financiero]]=Tipo_Cambio[Año])*(Tipo_Cambio[$/U$S]))</f>
        <v>0</v>
      </c>
      <c r="AQ6" s="891">
        <f>SUMPRODUCT((Producción_Ganadera[[#This Row],[Mes Financiero]]=Tipo_Cambio[Mes])*(Producción_Ganadera[[#This Row],[Año Financiero]]=Tipo_Cambio[Año])*(Tipo_Cambio[Actualización]))</f>
        <v>0</v>
      </c>
      <c r="AR6" s="892">
        <f>SUMPRODUCT((Producción_Ganadera[[#This Row],[Centro de Costo]]=Tabla19[Centro de Costo])*(Tabla19[Superficie])*(Producción_Ganadera[[#This Row],[Campaña]]=Tabla19[Campaña]))</f>
        <v>0</v>
      </c>
      <c r="AS6" s="891">
        <f>IFERROR(Producción_Ganadera[[#This Row],[Económico $Corrientes]]/Producción_Ganadera[[#This Row],[Superficie]],0)</f>
        <v>0</v>
      </c>
      <c r="AT6" s="891">
        <f>IFERROR(Producción_Ganadera[[#This Row],[Económico $Constantes]]/Producción_Ganadera[[#This Row],[Superficie]],0)</f>
        <v>0</v>
      </c>
      <c r="AU6" s="891">
        <f>IFERROR(Producción_Ganadera[[#This Row],[Económico U$S Dólares]]/Producción_Ganadera[[#This Row],[Superficie]],0)</f>
        <v>0</v>
      </c>
      <c r="AV6" s="887" t="str">
        <f>IF(Económico!$F$4=0,0,Producción_Ganadera[[#This Row],[Centro de Costo]])</f>
        <v>Campo 1</v>
      </c>
    </row>
    <row r="7" spans="2:48" x14ac:dyDescent="0.25">
      <c r="B7" s="1136"/>
      <c r="D7" s="478">
        <f>DATE(LEFT(Producción_Ganadera[[#This Row],[Campaña]],4),7,1)</f>
        <v>43282</v>
      </c>
      <c r="E7" s="478"/>
      <c r="F7" s="866" t="str">
        <f t="shared" si="0"/>
        <v>2018-2019</v>
      </c>
      <c r="G7" s="481" t="str">
        <f t="shared" si="1"/>
        <v>Stock Inicio</v>
      </c>
      <c r="H7" s="481" t="s">
        <v>2</v>
      </c>
      <c r="I7" s="481" t="s">
        <v>221</v>
      </c>
      <c r="J7" s="549"/>
      <c r="K7" s="481"/>
      <c r="L7" s="520"/>
      <c r="M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7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-450</v>
      </c>
      <c r="O7" s="483">
        <v>1</v>
      </c>
      <c r="P7" s="491" t="s">
        <v>140</v>
      </c>
      <c r="Q7" s="875">
        <f>IF(ISNUMBER(Producción_Ganadera[[#This Row],[Cabezas]])=TRUE,Producción_Ganadera[[#This Row],[Cabezas]]*Producción_Ganadera[[#This Row],[Cantidad]],Producción_Ganadera[[#This Row],[Cantidad]])</f>
        <v>1</v>
      </c>
      <c r="R7" s="491"/>
      <c r="S7" s="483" t="s">
        <v>48</v>
      </c>
      <c r="T7" s="485"/>
      <c r="U7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7" s="881">
        <f>IFERROR(Producción_Ganadera[[#This Row],[Económico $Corrientes]]/Producción_Ganadera[[#This Row],[Indexación Económico]],0)</f>
        <v>0</v>
      </c>
      <c r="W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7" s="881">
        <f>IFERROR(Producción_Ganadera[[#This Row],[Financiero $Corrientes]]/Producción_Ganadera[[#This Row],[Indexación Financiero]],0)</f>
        <v>0</v>
      </c>
      <c r="Z7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7" s="885">
        <f>IFERROR(Producción_Ganadera[[#This Row],[Intereses $Corrientes]]/Producción_Ganadera[[#This Row],[Indexación Financiero]],0)</f>
        <v>0</v>
      </c>
      <c r="AC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7" s="886" t="str">
        <f>IFERROR(INDEX(Produccion_Ganadera_Cuentas[],MATCH(Producción_Ganadera[[#This Row],[Cuenta Contable]],Produccion_Ganadera_Cuentas[Cuenta Contable],0),2),0)</f>
        <v>Stock Inicio</v>
      </c>
      <c r="AE7" s="887">
        <f>IF(Producción_Ganadera[[#This Row],[Mov. Stock]]="(+)",Producción_Ganadera[[#This Row],[Cabezas]],IF(Producción_Ganadera[[#This Row],[Mov. Stock]]="(-)",-Producción_Ganadera[[#This Row],[Cabezas]],0))</f>
        <v>0</v>
      </c>
      <c r="AF7" s="888" t="str">
        <f>IFERROR(INDEX(Produccion_Ganadera_Cuentas[],MATCH(Producción_Ganadera[[#This Row],[Cuenta Contable]],Produccion_Ganadera_Cuentas[Cuenta Contable],0),5),0)</f>
        <v>(+)</v>
      </c>
      <c r="AG7" s="889" t="str">
        <f>IF(Producción_Ganadera[[#This Row],[Cuenta Contable]]=Configuración!$AC$9,"Si","No")</f>
        <v>No</v>
      </c>
      <c r="AH7" s="887" t="str">
        <f>IFERROR(INDEX(Tabla9[],MATCH(Producción_Ganadera[[#This Row],[Movimiento]],Tabla9[Movimientos],0),2),0)</f>
        <v>No</v>
      </c>
      <c r="AI7" s="888" t="str">
        <f>IFERROR(INDEX(Tabla9[],MATCH(Producción_Ganadera[[#This Row],[Movimiento]],Tabla9[Movimientos],0),3),0)</f>
        <v>(-)</v>
      </c>
      <c r="AJ7" s="890">
        <f>IF(Producción_Ganadera[[#This Row],[Fecha Económico]]=0,0,MONTH(Producción_Ganadera[[#This Row],[Fecha Económico]]))</f>
        <v>7</v>
      </c>
      <c r="AK7" s="890">
        <f>IF(Producción_Ganadera[[#This Row],[Fecha Económico]]=0,0,YEAR(Producción_Ganadera[[#This Row],[Fecha Económico]]))</f>
        <v>2018</v>
      </c>
      <c r="AL7" s="891">
        <f>SUMPRODUCT((Producción_Ganadera[[#This Row],[Mes Económico]]=Tipo_Cambio[Mes])*(Producción_Ganadera[[#This Row],[Año Económico]]=Tipo_Cambio[Año])*(Tipo_Cambio[$/U$S]))</f>
        <v>22</v>
      </c>
      <c r="AM7" s="891">
        <f>SUMPRODUCT((Producción_Ganadera[[#This Row],[Mes Económico]]=Tipo_Cambio[Mes])*(Producción_Ganadera[[#This Row],[Año Económico]]=Tipo_Cambio[Año])*(Tipo_Cambio[Actualización]))</f>
        <v>1</v>
      </c>
      <c r="AN7" s="890">
        <f>IF(ISNUMBER(Producción_Ganadera[[#This Row],[Fecha Financiero]])=TRUE,MONTH(Producción_Ganadera[[#This Row],[Fecha Financiero]]),0)</f>
        <v>0</v>
      </c>
      <c r="AO7" s="890">
        <f>IF(ISNUMBER(Producción_Ganadera[[#This Row],[Fecha Financiero]])=TRUE,YEAR(Producción_Ganadera[[#This Row],[Fecha Financiero]]),0)</f>
        <v>0</v>
      </c>
      <c r="AP7" s="891">
        <f>SUMPRODUCT((Producción_Ganadera[[#This Row],[Mes Financiero]]=Tipo_Cambio[Mes])*(Producción_Ganadera[[#This Row],[Año Financiero]]=Tipo_Cambio[Año])*(Tipo_Cambio[$/U$S]))</f>
        <v>0</v>
      </c>
      <c r="AQ7" s="891">
        <f>SUMPRODUCT((Producción_Ganadera[[#This Row],[Mes Financiero]]=Tipo_Cambio[Mes])*(Producción_Ganadera[[#This Row],[Año Financiero]]=Tipo_Cambio[Año])*(Tipo_Cambio[Actualización]))</f>
        <v>0</v>
      </c>
      <c r="AR7" s="892">
        <f>SUMPRODUCT((Producción_Ganadera[[#This Row],[Centro de Costo]]=Tabla19[Centro de Costo])*(Tabla19[Superficie])*(Producción_Ganadera[[#This Row],[Campaña]]=Tabla19[Campaña]))</f>
        <v>0</v>
      </c>
      <c r="AS7" s="891">
        <f>IFERROR(Producción_Ganadera[[#This Row],[Económico $Corrientes]]/Producción_Ganadera[[#This Row],[Superficie]],0)</f>
        <v>0</v>
      </c>
      <c r="AT7" s="891">
        <f>IFERROR(Producción_Ganadera[[#This Row],[Económico $Constantes]]/Producción_Ganadera[[#This Row],[Superficie]],0)</f>
        <v>0</v>
      </c>
      <c r="AU7" s="891">
        <f>IFERROR(Producción_Ganadera[[#This Row],[Económico U$S Dólares]]/Producción_Ganadera[[#This Row],[Superficie]],0)</f>
        <v>0</v>
      </c>
      <c r="AV7" s="887" t="str">
        <f>IF(Económico!$F$4=0,0,Producción_Ganadera[[#This Row],[Centro de Costo]])</f>
        <v>Campo 1</v>
      </c>
    </row>
    <row r="8" spans="2:48" x14ac:dyDescent="0.25">
      <c r="D8" s="478">
        <f>DATE(LEFT(Producción_Ganadera[[#This Row],[Campaña]],4),7,1)</f>
        <v>43282</v>
      </c>
      <c r="E8" s="478"/>
      <c r="F8" s="866" t="str">
        <f t="shared" si="0"/>
        <v>2018-2019</v>
      </c>
      <c r="G8" s="481" t="str">
        <f t="shared" si="1"/>
        <v>Stock Inicio</v>
      </c>
      <c r="H8" s="481" t="s">
        <v>2</v>
      </c>
      <c r="I8" s="481" t="str">
        <f>Configuración!AZ8</f>
        <v>Vaquillona Preñada</v>
      </c>
      <c r="J8" s="549"/>
      <c r="K8" s="481"/>
      <c r="L8" s="520"/>
      <c r="M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8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-400</v>
      </c>
      <c r="O8" s="483">
        <v>1</v>
      </c>
      <c r="P8" s="491" t="s">
        <v>140</v>
      </c>
      <c r="Q8" s="875">
        <f>IF(ISNUMBER(Producción_Ganadera[[#This Row],[Cabezas]])=TRUE,Producción_Ganadera[[#This Row],[Cabezas]]*Producción_Ganadera[[#This Row],[Cantidad]],Producción_Ganadera[[#This Row],[Cantidad]])</f>
        <v>1</v>
      </c>
      <c r="R8" s="491"/>
      <c r="S8" s="483" t="s">
        <v>48</v>
      </c>
      <c r="T8" s="485"/>
      <c r="U8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8" s="881">
        <f>IFERROR(Producción_Ganadera[[#This Row],[Económico $Corrientes]]/Producción_Ganadera[[#This Row],[Indexación Económico]],0)</f>
        <v>0</v>
      </c>
      <c r="W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8" s="881">
        <f>IFERROR(Producción_Ganadera[[#This Row],[Financiero $Corrientes]]/Producción_Ganadera[[#This Row],[Indexación Financiero]],0)</f>
        <v>0</v>
      </c>
      <c r="Z8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8" s="885">
        <f>IFERROR(Producción_Ganadera[[#This Row],[Intereses $Corrientes]]/Producción_Ganadera[[#This Row],[Indexación Financiero]],0)</f>
        <v>0</v>
      </c>
      <c r="AC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8" s="886" t="str">
        <f>IFERROR(INDEX(Produccion_Ganadera_Cuentas[],MATCH(Producción_Ganadera[[#This Row],[Cuenta Contable]],Produccion_Ganadera_Cuentas[Cuenta Contable],0),2),0)</f>
        <v>Stock Inicio</v>
      </c>
      <c r="AE8" s="887">
        <f>IF(Producción_Ganadera[[#This Row],[Mov. Stock]]="(+)",Producción_Ganadera[[#This Row],[Cabezas]],IF(Producción_Ganadera[[#This Row],[Mov. Stock]]="(-)",-Producción_Ganadera[[#This Row],[Cabezas]],0))</f>
        <v>0</v>
      </c>
      <c r="AF8" s="888" t="str">
        <f>IFERROR(INDEX(Produccion_Ganadera_Cuentas[],MATCH(Producción_Ganadera[[#This Row],[Cuenta Contable]],Produccion_Ganadera_Cuentas[Cuenta Contable],0),5),0)</f>
        <v>(+)</v>
      </c>
      <c r="AG8" s="889" t="str">
        <f>IF(Producción_Ganadera[[#This Row],[Cuenta Contable]]=Configuración!$AC$9,"Si","No")</f>
        <v>No</v>
      </c>
      <c r="AH8" s="887" t="str">
        <f>IFERROR(INDEX(Tabla9[],MATCH(Producción_Ganadera[[#This Row],[Movimiento]],Tabla9[Movimientos],0),2),0)</f>
        <v>No</v>
      </c>
      <c r="AI8" s="888" t="str">
        <f>IFERROR(INDEX(Tabla9[],MATCH(Producción_Ganadera[[#This Row],[Movimiento]],Tabla9[Movimientos],0),3),0)</f>
        <v>(-)</v>
      </c>
      <c r="AJ8" s="890">
        <f>IF(Producción_Ganadera[[#This Row],[Fecha Económico]]=0,0,MONTH(Producción_Ganadera[[#This Row],[Fecha Económico]]))</f>
        <v>7</v>
      </c>
      <c r="AK8" s="890">
        <f>IF(Producción_Ganadera[[#This Row],[Fecha Económico]]=0,0,YEAR(Producción_Ganadera[[#This Row],[Fecha Económico]]))</f>
        <v>2018</v>
      </c>
      <c r="AL8" s="891">
        <f>SUMPRODUCT((Producción_Ganadera[[#This Row],[Mes Económico]]=Tipo_Cambio[Mes])*(Producción_Ganadera[[#This Row],[Año Económico]]=Tipo_Cambio[Año])*(Tipo_Cambio[$/U$S]))</f>
        <v>22</v>
      </c>
      <c r="AM8" s="891">
        <f>SUMPRODUCT((Producción_Ganadera[[#This Row],[Mes Económico]]=Tipo_Cambio[Mes])*(Producción_Ganadera[[#This Row],[Año Económico]]=Tipo_Cambio[Año])*(Tipo_Cambio[Actualización]))</f>
        <v>1</v>
      </c>
      <c r="AN8" s="890">
        <f>IF(ISNUMBER(Producción_Ganadera[[#This Row],[Fecha Financiero]])=TRUE,MONTH(Producción_Ganadera[[#This Row],[Fecha Financiero]]),0)</f>
        <v>0</v>
      </c>
      <c r="AO8" s="890">
        <f>IF(ISNUMBER(Producción_Ganadera[[#This Row],[Fecha Financiero]])=TRUE,YEAR(Producción_Ganadera[[#This Row],[Fecha Financiero]]),0)</f>
        <v>0</v>
      </c>
      <c r="AP8" s="891">
        <f>SUMPRODUCT((Producción_Ganadera[[#This Row],[Mes Financiero]]=Tipo_Cambio[Mes])*(Producción_Ganadera[[#This Row],[Año Financiero]]=Tipo_Cambio[Año])*(Tipo_Cambio[$/U$S]))</f>
        <v>0</v>
      </c>
      <c r="AQ8" s="891">
        <f>SUMPRODUCT((Producción_Ganadera[[#This Row],[Mes Financiero]]=Tipo_Cambio[Mes])*(Producción_Ganadera[[#This Row],[Año Financiero]]=Tipo_Cambio[Año])*(Tipo_Cambio[Actualización]))</f>
        <v>0</v>
      </c>
      <c r="AR8" s="892">
        <f>SUMPRODUCT((Producción_Ganadera[[#This Row],[Centro de Costo]]=Tabla19[Centro de Costo])*(Tabla19[Superficie])*(Producción_Ganadera[[#This Row],[Campaña]]=Tabla19[Campaña]))</f>
        <v>0</v>
      </c>
      <c r="AS8" s="891">
        <f>IFERROR(Producción_Ganadera[[#This Row],[Económico $Corrientes]]/Producción_Ganadera[[#This Row],[Superficie]],0)</f>
        <v>0</v>
      </c>
      <c r="AT8" s="891">
        <f>IFERROR(Producción_Ganadera[[#This Row],[Económico $Constantes]]/Producción_Ganadera[[#This Row],[Superficie]],0)</f>
        <v>0</v>
      </c>
      <c r="AU8" s="891">
        <f>IFERROR(Producción_Ganadera[[#This Row],[Económico U$S Dólares]]/Producción_Ganadera[[#This Row],[Superficie]],0)</f>
        <v>0</v>
      </c>
      <c r="AV8" s="887" t="str">
        <f>IF(Económico!$F$4=0,0,Producción_Ganadera[[#This Row],[Centro de Costo]])</f>
        <v>Campo 1</v>
      </c>
    </row>
    <row r="9" spans="2:48" x14ac:dyDescent="0.25">
      <c r="D9" s="478">
        <f>DATE(LEFT(Producción_Ganadera[[#This Row],[Campaña]],4),7,1)</f>
        <v>43282</v>
      </c>
      <c r="E9" s="478"/>
      <c r="F9" s="866" t="str">
        <f t="shared" si="0"/>
        <v>2018-2019</v>
      </c>
      <c r="G9" s="481" t="str">
        <f t="shared" si="1"/>
        <v>Stock Inicio</v>
      </c>
      <c r="H9" s="481" t="s">
        <v>2</v>
      </c>
      <c r="I9" s="481" t="str">
        <f>Configuración!AZ9</f>
        <v>Vaquillona 06-15</v>
      </c>
      <c r="J9" s="549"/>
      <c r="K9" s="481"/>
      <c r="L9" s="520"/>
      <c r="M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9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-200</v>
      </c>
      <c r="O9" s="483">
        <v>1</v>
      </c>
      <c r="P9" s="491" t="s">
        <v>140</v>
      </c>
      <c r="Q9" s="875">
        <f>IF(ISNUMBER(Producción_Ganadera[[#This Row],[Cabezas]])=TRUE,Producción_Ganadera[[#This Row],[Cabezas]]*Producción_Ganadera[[#This Row],[Cantidad]],Producción_Ganadera[[#This Row],[Cantidad]])</f>
        <v>1</v>
      </c>
      <c r="R9" s="491"/>
      <c r="S9" s="483" t="s">
        <v>48</v>
      </c>
      <c r="T9" s="485"/>
      <c r="U9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9" s="881">
        <f>IFERROR(Producción_Ganadera[[#This Row],[Económico $Corrientes]]/Producción_Ganadera[[#This Row],[Indexación Económico]],0)</f>
        <v>0</v>
      </c>
      <c r="W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9" s="881">
        <f>IFERROR(Producción_Ganadera[[#This Row],[Financiero $Corrientes]]/Producción_Ganadera[[#This Row],[Indexación Financiero]],0)</f>
        <v>0</v>
      </c>
      <c r="Z9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9" s="885">
        <f>IFERROR(Producción_Ganadera[[#This Row],[Intereses $Corrientes]]/Producción_Ganadera[[#This Row],[Indexación Financiero]],0)</f>
        <v>0</v>
      </c>
      <c r="AC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9" s="886" t="str">
        <f>IFERROR(INDEX(Produccion_Ganadera_Cuentas[],MATCH(Producción_Ganadera[[#This Row],[Cuenta Contable]],Produccion_Ganadera_Cuentas[Cuenta Contable],0),2),0)</f>
        <v>Stock Inicio</v>
      </c>
      <c r="AE9" s="887">
        <f>IF(Producción_Ganadera[[#This Row],[Mov. Stock]]="(+)",Producción_Ganadera[[#This Row],[Cabezas]],IF(Producción_Ganadera[[#This Row],[Mov. Stock]]="(-)",-Producción_Ganadera[[#This Row],[Cabezas]],0))</f>
        <v>0</v>
      </c>
      <c r="AF9" s="888" t="str">
        <f>IFERROR(INDEX(Produccion_Ganadera_Cuentas[],MATCH(Producción_Ganadera[[#This Row],[Cuenta Contable]],Produccion_Ganadera_Cuentas[Cuenta Contable],0),5),0)</f>
        <v>(+)</v>
      </c>
      <c r="AG9" s="889" t="str">
        <f>IF(Producción_Ganadera[[#This Row],[Cuenta Contable]]=Configuración!$AC$9,"Si","No")</f>
        <v>No</v>
      </c>
      <c r="AH9" s="887" t="str">
        <f>IFERROR(INDEX(Tabla9[],MATCH(Producción_Ganadera[[#This Row],[Movimiento]],Tabla9[Movimientos],0),2),0)</f>
        <v>No</v>
      </c>
      <c r="AI9" s="888" t="str">
        <f>IFERROR(INDEX(Tabla9[],MATCH(Producción_Ganadera[[#This Row],[Movimiento]],Tabla9[Movimientos],0),3),0)</f>
        <v>(-)</v>
      </c>
      <c r="AJ9" s="890">
        <f>IF(Producción_Ganadera[[#This Row],[Fecha Económico]]=0,0,MONTH(Producción_Ganadera[[#This Row],[Fecha Económico]]))</f>
        <v>7</v>
      </c>
      <c r="AK9" s="890">
        <f>IF(Producción_Ganadera[[#This Row],[Fecha Económico]]=0,0,YEAR(Producción_Ganadera[[#This Row],[Fecha Económico]]))</f>
        <v>2018</v>
      </c>
      <c r="AL9" s="891">
        <f>SUMPRODUCT((Producción_Ganadera[[#This Row],[Mes Económico]]=Tipo_Cambio[Mes])*(Producción_Ganadera[[#This Row],[Año Económico]]=Tipo_Cambio[Año])*(Tipo_Cambio[$/U$S]))</f>
        <v>22</v>
      </c>
      <c r="AM9" s="891">
        <f>SUMPRODUCT((Producción_Ganadera[[#This Row],[Mes Económico]]=Tipo_Cambio[Mes])*(Producción_Ganadera[[#This Row],[Año Económico]]=Tipo_Cambio[Año])*(Tipo_Cambio[Actualización]))</f>
        <v>1</v>
      </c>
      <c r="AN9" s="890">
        <f>IF(ISNUMBER(Producción_Ganadera[[#This Row],[Fecha Financiero]])=TRUE,MONTH(Producción_Ganadera[[#This Row],[Fecha Financiero]]),0)</f>
        <v>0</v>
      </c>
      <c r="AO9" s="890">
        <f>IF(ISNUMBER(Producción_Ganadera[[#This Row],[Fecha Financiero]])=TRUE,YEAR(Producción_Ganadera[[#This Row],[Fecha Financiero]]),0)</f>
        <v>0</v>
      </c>
      <c r="AP9" s="891">
        <f>SUMPRODUCT((Producción_Ganadera[[#This Row],[Mes Financiero]]=Tipo_Cambio[Mes])*(Producción_Ganadera[[#This Row],[Año Financiero]]=Tipo_Cambio[Año])*(Tipo_Cambio[$/U$S]))</f>
        <v>0</v>
      </c>
      <c r="AQ9" s="891">
        <f>SUMPRODUCT((Producción_Ganadera[[#This Row],[Mes Financiero]]=Tipo_Cambio[Mes])*(Producción_Ganadera[[#This Row],[Año Financiero]]=Tipo_Cambio[Año])*(Tipo_Cambio[Actualización]))</f>
        <v>0</v>
      </c>
      <c r="AR9" s="892">
        <f>SUMPRODUCT((Producción_Ganadera[[#This Row],[Centro de Costo]]=Tabla19[Centro de Costo])*(Tabla19[Superficie])*(Producción_Ganadera[[#This Row],[Campaña]]=Tabla19[Campaña]))</f>
        <v>0</v>
      </c>
      <c r="AS9" s="891">
        <f>IFERROR(Producción_Ganadera[[#This Row],[Económico $Corrientes]]/Producción_Ganadera[[#This Row],[Superficie]],0)</f>
        <v>0</v>
      </c>
      <c r="AT9" s="891">
        <f>IFERROR(Producción_Ganadera[[#This Row],[Económico $Constantes]]/Producción_Ganadera[[#This Row],[Superficie]],0)</f>
        <v>0</v>
      </c>
      <c r="AU9" s="891">
        <f>IFERROR(Producción_Ganadera[[#This Row],[Económico U$S Dólares]]/Producción_Ganadera[[#This Row],[Superficie]],0)</f>
        <v>0</v>
      </c>
      <c r="AV9" s="887" t="str">
        <f>IF(Económico!$F$4=0,0,Producción_Ganadera[[#This Row],[Centro de Costo]])</f>
        <v>Campo 1</v>
      </c>
    </row>
    <row r="10" spans="2:48" x14ac:dyDescent="0.25">
      <c r="D10" s="478">
        <f>DATE(LEFT(Producción_Ganadera[[#This Row],[Campaña]],4),7,1)</f>
        <v>43282</v>
      </c>
      <c r="E10" s="478"/>
      <c r="F10" s="866" t="str">
        <f t="shared" si="0"/>
        <v>2018-2019</v>
      </c>
      <c r="G10" s="481" t="str">
        <f t="shared" si="1"/>
        <v>Stock Inicio</v>
      </c>
      <c r="H10" s="481" t="s">
        <v>2</v>
      </c>
      <c r="I10" s="481" t="str">
        <f>Configuración!AZ10</f>
        <v>Vaquillona 15-27</v>
      </c>
      <c r="J10" s="549"/>
      <c r="K10" s="481"/>
      <c r="L10" s="520"/>
      <c r="M1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0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-300</v>
      </c>
      <c r="O10" s="483">
        <v>1</v>
      </c>
      <c r="P10" s="491" t="s">
        <v>140</v>
      </c>
      <c r="Q10" s="875">
        <f>IF(ISNUMBER(Producción_Ganadera[[#This Row],[Cabezas]])=TRUE,Producción_Ganadera[[#This Row],[Cabezas]]*Producción_Ganadera[[#This Row],[Cantidad]],Producción_Ganadera[[#This Row],[Cantidad]])</f>
        <v>1</v>
      </c>
      <c r="R10" s="491"/>
      <c r="S10" s="483" t="s">
        <v>48</v>
      </c>
      <c r="T10" s="485"/>
      <c r="U10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0" s="881">
        <f>IFERROR(Producción_Ganadera[[#This Row],[Económico $Corrientes]]/Producción_Ganadera[[#This Row],[Indexación Económico]],0)</f>
        <v>0</v>
      </c>
      <c r="W1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0" s="881">
        <f>IFERROR(Producción_Ganadera[[#This Row],[Financiero $Corrientes]]/Producción_Ganadera[[#This Row],[Indexación Financiero]],0)</f>
        <v>0</v>
      </c>
      <c r="Z10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0" s="885">
        <f>IFERROR(Producción_Ganadera[[#This Row],[Intereses $Corrientes]]/Producción_Ganadera[[#This Row],[Indexación Financiero]],0)</f>
        <v>0</v>
      </c>
      <c r="AC1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0" s="886" t="str">
        <f>IFERROR(INDEX(Produccion_Ganadera_Cuentas[],MATCH(Producción_Ganadera[[#This Row],[Cuenta Contable]],Produccion_Ganadera_Cuentas[Cuenta Contable],0),2),0)</f>
        <v>Stock Inicio</v>
      </c>
      <c r="AE10" s="887">
        <f>IF(Producción_Ganadera[[#This Row],[Mov. Stock]]="(+)",Producción_Ganadera[[#This Row],[Cabezas]],IF(Producción_Ganadera[[#This Row],[Mov. Stock]]="(-)",-Producción_Ganadera[[#This Row],[Cabezas]],0))</f>
        <v>0</v>
      </c>
      <c r="AF10" s="888" t="str">
        <f>IFERROR(INDEX(Produccion_Ganadera_Cuentas[],MATCH(Producción_Ganadera[[#This Row],[Cuenta Contable]],Produccion_Ganadera_Cuentas[Cuenta Contable],0),5),0)</f>
        <v>(+)</v>
      </c>
      <c r="AG10" s="889" t="str">
        <f>IF(Producción_Ganadera[[#This Row],[Cuenta Contable]]=Configuración!$AC$9,"Si","No")</f>
        <v>No</v>
      </c>
      <c r="AH10" s="887" t="str">
        <f>IFERROR(INDEX(Tabla9[],MATCH(Producción_Ganadera[[#This Row],[Movimiento]],Tabla9[Movimientos],0),2),0)</f>
        <v>No</v>
      </c>
      <c r="AI10" s="888" t="str">
        <f>IFERROR(INDEX(Tabla9[],MATCH(Producción_Ganadera[[#This Row],[Movimiento]],Tabla9[Movimientos],0),3),0)</f>
        <v>(-)</v>
      </c>
      <c r="AJ10" s="890">
        <f>IF(Producción_Ganadera[[#This Row],[Fecha Económico]]=0,0,MONTH(Producción_Ganadera[[#This Row],[Fecha Económico]]))</f>
        <v>7</v>
      </c>
      <c r="AK10" s="890">
        <f>IF(Producción_Ganadera[[#This Row],[Fecha Económico]]=0,0,YEAR(Producción_Ganadera[[#This Row],[Fecha Económico]]))</f>
        <v>2018</v>
      </c>
      <c r="AL10" s="891">
        <f>SUMPRODUCT((Producción_Ganadera[[#This Row],[Mes Económico]]=Tipo_Cambio[Mes])*(Producción_Ganadera[[#This Row],[Año Económico]]=Tipo_Cambio[Año])*(Tipo_Cambio[$/U$S]))</f>
        <v>22</v>
      </c>
      <c r="AM10" s="891">
        <f>SUMPRODUCT((Producción_Ganadera[[#This Row],[Mes Económico]]=Tipo_Cambio[Mes])*(Producción_Ganadera[[#This Row],[Año Económico]]=Tipo_Cambio[Año])*(Tipo_Cambio[Actualización]))</f>
        <v>1</v>
      </c>
      <c r="AN10" s="890">
        <f>IF(ISNUMBER(Producción_Ganadera[[#This Row],[Fecha Financiero]])=TRUE,MONTH(Producción_Ganadera[[#This Row],[Fecha Financiero]]),0)</f>
        <v>0</v>
      </c>
      <c r="AO10" s="890">
        <f>IF(ISNUMBER(Producción_Ganadera[[#This Row],[Fecha Financiero]])=TRUE,YEAR(Producción_Ganadera[[#This Row],[Fecha Financiero]]),0)</f>
        <v>0</v>
      </c>
      <c r="AP10" s="891">
        <f>SUMPRODUCT((Producción_Ganadera[[#This Row],[Mes Financiero]]=Tipo_Cambio[Mes])*(Producción_Ganadera[[#This Row],[Año Financiero]]=Tipo_Cambio[Año])*(Tipo_Cambio[$/U$S]))</f>
        <v>0</v>
      </c>
      <c r="AQ10" s="891">
        <f>SUMPRODUCT((Producción_Ganadera[[#This Row],[Mes Financiero]]=Tipo_Cambio[Mes])*(Producción_Ganadera[[#This Row],[Año Financiero]]=Tipo_Cambio[Año])*(Tipo_Cambio[Actualización]))</f>
        <v>0</v>
      </c>
      <c r="AR10" s="892">
        <f>SUMPRODUCT((Producción_Ganadera[[#This Row],[Centro de Costo]]=Tabla19[Centro de Costo])*(Tabla19[Superficie])*(Producción_Ganadera[[#This Row],[Campaña]]=Tabla19[Campaña]))</f>
        <v>0</v>
      </c>
      <c r="AS10" s="891">
        <f>IFERROR(Producción_Ganadera[[#This Row],[Económico $Corrientes]]/Producción_Ganadera[[#This Row],[Superficie]],0)</f>
        <v>0</v>
      </c>
      <c r="AT10" s="891">
        <f>IFERROR(Producción_Ganadera[[#This Row],[Económico $Constantes]]/Producción_Ganadera[[#This Row],[Superficie]],0)</f>
        <v>0</v>
      </c>
      <c r="AU10" s="891">
        <f>IFERROR(Producción_Ganadera[[#This Row],[Económico U$S Dólares]]/Producción_Ganadera[[#This Row],[Superficie]],0)</f>
        <v>0</v>
      </c>
      <c r="AV10" s="887" t="str">
        <f>IF(Económico!$F$4=0,0,Producción_Ganadera[[#This Row],[Centro de Costo]])</f>
        <v>Campo 1</v>
      </c>
    </row>
    <row r="11" spans="2:48" x14ac:dyDescent="0.25">
      <c r="D11" s="478">
        <f>DATE(LEFT(Producción_Ganadera[[#This Row],[Campaña]],4),7,1)</f>
        <v>43282</v>
      </c>
      <c r="E11" s="478"/>
      <c r="F11" s="866" t="str">
        <f t="shared" si="0"/>
        <v>2018-2019</v>
      </c>
      <c r="G11" s="481" t="str">
        <f t="shared" si="1"/>
        <v>Stock Inicio</v>
      </c>
      <c r="H11" s="481" t="s">
        <v>2</v>
      </c>
      <c r="I11" s="481" t="str">
        <f>Configuración!AZ11</f>
        <v>Ternera</v>
      </c>
      <c r="J11" s="549"/>
      <c r="K11" s="481"/>
      <c r="L11" s="520"/>
      <c r="M1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1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-80</v>
      </c>
      <c r="O11" s="483">
        <v>1</v>
      </c>
      <c r="P11" s="491" t="s">
        <v>140</v>
      </c>
      <c r="Q11" s="875">
        <f>IF(ISNUMBER(Producción_Ganadera[[#This Row],[Cabezas]])=TRUE,Producción_Ganadera[[#This Row],[Cabezas]]*Producción_Ganadera[[#This Row],[Cantidad]],Producción_Ganadera[[#This Row],[Cantidad]])</f>
        <v>1</v>
      </c>
      <c r="R11" s="491"/>
      <c r="S11" s="483" t="s">
        <v>48</v>
      </c>
      <c r="T11" s="485"/>
      <c r="U11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1" s="881">
        <f>IFERROR(Producción_Ganadera[[#This Row],[Económico $Corrientes]]/Producción_Ganadera[[#This Row],[Indexación Económico]],0)</f>
        <v>0</v>
      </c>
      <c r="W1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1" s="881">
        <f>IFERROR(Producción_Ganadera[[#This Row],[Financiero $Corrientes]]/Producción_Ganadera[[#This Row],[Indexación Financiero]],0)</f>
        <v>0</v>
      </c>
      <c r="Z11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1" s="885">
        <f>IFERROR(Producción_Ganadera[[#This Row],[Intereses $Corrientes]]/Producción_Ganadera[[#This Row],[Indexación Financiero]],0)</f>
        <v>0</v>
      </c>
      <c r="AC1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1" s="886" t="str">
        <f>IFERROR(INDEX(Produccion_Ganadera_Cuentas[],MATCH(Producción_Ganadera[[#This Row],[Cuenta Contable]],Produccion_Ganadera_Cuentas[Cuenta Contable],0),2),0)</f>
        <v>Stock Inicio</v>
      </c>
      <c r="AE11" s="887">
        <f>IF(Producción_Ganadera[[#This Row],[Mov. Stock]]="(+)",Producción_Ganadera[[#This Row],[Cabezas]],IF(Producción_Ganadera[[#This Row],[Mov. Stock]]="(-)",-Producción_Ganadera[[#This Row],[Cabezas]],0))</f>
        <v>0</v>
      </c>
      <c r="AF11" s="888" t="str">
        <f>IFERROR(INDEX(Produccion_Ganadera_Cuentas[],MATCH(Producción_Ganadera[[#This Row],[Cuenta Contable]],Produccion_Ganadera_Cuentas[Cuenta Contable],0),5),0)</f>
        <v>(+)</v>
      </c>
      <c r="AG11" s="889" t="str">
        <f>IF(Producción_Ganadera[[#This Row],[Cuenta Contable]]=Configuración!$AC$9,"Si","No")</f>
        <v>No</v>
      </c>
      <c r="AH11" s="887" t="str">
        <f>IFERROR(INDEX(Tabla9[],MATCH(Producción_Ganadera[[#This Row],[Movimiento]],Tabla9[Movimientos],0),2),0)</f>
        <v>No</v>
      </c>
      <c r="AI11" s="888" t="str">
        <f>IFERROR(INDEX(Tabla9[],MATCH(Producción_Ganadera[[#This Row],[Movimiento]],Tabla9[Movimientos],0),3),0)</f>
        <v>(-)</v>
      </c>
      <c r="AJ11" s="890">
        <f>IF(Producción_Ganadera[[#This Row],[Fecha Económico]]=0,0,MONTH(Producción_Ganadera[[#This Row],[Fecha Económico]]))</f>
        <v>7</v>
      </c>
      <c r="AK11" s="890">
        <f>IF(Producción_Ganadera[[#This Row],[Fecha Económico]]=0,0,YEAR(Producción_Ganadera[[#This Row],[Fecha Económico]]))</f>
        <v>2018</v>
      </c>
      <c r="AL11" s="891">
        <f>SUMPRODUCT((Producción_Ganadera[[#This Row],[Mes Económico]]=Tipo_Cambio[Mes])*(Producción_Ganadera[[#This Row],[Año Económico]]=Tipo_Cambio[Año])*(Tipo_Cambio[$/U$S]))</f>
        <v>22</v>
      </c>
      <c r="AM11" s="891">
        <f>SUMPRODUCT((Producción_Ganadera[[#This Row],[Mes Económico]]=Tipo_Cambio[Mes])*(Producción_Ganadera[[#This Row],[Año Económico]]=Tipo_Cambio[Año])*(Tipo_Cambio[Actualización]))</f>
        <v>1</v>
      </c>
      <c r="AN11" s="890">
        <f>IF(ISNUMBER(Producción_Ganadera[[#This Row],[Fecha Financiero]])=TRUE,MONTH(Producción_Ganadera[[#This Row],[Fecha Financiero]]),0)</f>
        <v>0</v>
      </c>
      <c r="AO11" s="890">
        <f>IF(ISNUMBER(Producción_Ganadera[[#This Row],[Fecha Financiero]])=TRUE,YEAR(Producción_Ganadera[[#This Row],[Fecha Financiero]]),0)</f>
        <v>0</v>
      </c>
      <c r="AP11" s="891">
        <f>SUMPRODUCT((Producción_Ganadera[[#This Row],[Mes Financiero]]=Tipo_Cambio[Mes])*(Producción_Ganadera[[#This Row],[Año Financiero]]=Tipo_Cambio[Año])*(Tipo_Cambio[$/U$S]))</f>
        <v>0</v>
      </c>
      <c r="AQ11" s="891">
        <f>SUMPRODUCT((Producción_Ganadera[[#This Row],[Mes Financiero]]=Tipo_Cambio[Mes])*(Producción_Ganadera[[#This Row],[Año Financiero]]=Tipo_Cambio[Año])*(Tipo_Cambio[Actualización]))</f>
        <v>0</v>
      </c>
      <c r="AR11" s="892">
        <f>SUMPRODUCT((Producción_Ganadera[[#This Row],[Centro de Costo]]=Tabla19[Centro de Costo])*(Tabla19[Superficie])*(Producción_Ganadera[[#This Row],[Campaña]]=Tabla19[Campaña]))</f>
        <v>0</v>
      </c>
      <c r="AS11" s="891">
        <f>IFERROR(Producción_Ganadera[[#This Row],[Económico $Corrientes]]/Producción_Ganadera[[#This Row],[Superficie]],0)</f>
        <v>0</v>
      </c>
      <c r="AT11" s="891">
        <f>IFERROR(Producción_Ganadera[[#This Row],[Económico $Constantes]]/Producción_Ganadera[[#This Row],[Superficie]],0)</f>
        <v>0</v>
      </c>
      <c r="AU11" s="891">
        <f>IFERROR(Producción_Ganadera[[#This Row],[Económico U$S Dólares]]/Producción_Ganadera[[#This Row],[Superficie]],0)</f>
        <v>0</v>
      </c>
      <c r="AV11" s="887" t="str">
        <f>IF(Económico!$F$4=0,0,Producción_Ganadera[[#This Row],[Centro de Costo]])</f>
        <v>Campo 1</v>
      </c>
    </row>
    <row r="12" spans="2:48" x14ac:dyDescent="0.25">
      <c r="D12" s="478">
        <f>DATE(LEFT(Producción_Ganadera[[#This Row],[Campaña]],4),7,1)</f>
        <v>43282</v>
      </c>
      <c r="E12" s="478"/>
      <c r="F12" s="866" t="str">
        <f t="shared" si="0"/>
        <v>2018-2019</v>
      </c>
      <c r="G12" s="481" t="str">
        <f t="shared" si="1"/>
        <v>Stock Inicio</v>
      </c>
      <c r="H12" s="481" t="s">
        <v>2</v>
      </c>
      <c r="I12" s="481" t="str">
        <f>Configuración!AZ12</f>
        <v>Ternero</v>
      </c>
      <c r="J12" s="549"/>
      <c r="K12" s="481"/>
      <c r="L12" s="520"/>
      <c r="M1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2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-80</v>
      </c>
      <c r="O12" s="483">
        <v>1</v>
      </c>
      <c r="P12" s="491" t="s">
        <v>140</v>
      </c>
      <c r="Q12" s="875">
        <f>IF(ISNUMBER(Producción_Ganadera[[#This Row],[Cabezas]])=TRUE,Producción_Ganadera[[#This Row],[Cabezas]]*Producción_Ganadera[[#This Row],[Cantidad]],Producción_Ganadera[[#This Row],[Cantidad]])</f>
        <v>1</v>
      </c>
      <c r="R12" s="491"/>
      <c r="S12" s="483" t="s">
        <v>48</v>
      </c>
      <c r="T12" s="485"/>
      <c r="U12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2" s="881">
        <f>IFERROR(Producción_Ganadera[[#This Row],[Económico $Corrientes]]/Producción_Ganadera[[#This Row],[Indexación Económico]],0)</f>
        <v>0</v>
      </c>
      <c r="W1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2" s="881">
        <f>IFERROR(Producción_Ganadera[[#This Row],[Financiero $Corrientes]]/Producción_Ganadera[[#This Row],[Indexación Financiero]],0)</f>
        <v>0</v>
      </c>
      <c r="Z12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2" s="885">
        <f>IFERROR(Producción_Ganadera[[#This Row],[Intereses $Corrientes]]/Producción_Ganadera[[#This Row],[Indexación Financiero]],0)</f>
        <v>0</v>
      </c>
      <c r="AC1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2" s="886" t="str">
        <f>IFERROR(INDEX(Produccion_Ganadera_Cuentas[],MATCH(Producción_Ganadera[[#This Row],[Cuenta Contable]],Produccion_Ganadera_Cuentas[Cuenta Contable],0),2),0)</f>
        <v>Stock Inicio</v>
      </c>
      <c r="AE12" s="887">
        <f>IF(Producción_Ganadera[[#This Row],[Mov. Stock]]="(+)",Producción_Ganadera[[#This Row],[Cabezas]],IF(Producción_Ganadera[[#This Row],[Mov. Stock]]="(-)",-Producción_Ganadera[[#This Row],[Cabezas]],0))</f>
        <v>0</v>
      </c>
      <c r="AF12" s="888" t="str">
        <f>IFERROR(INDEX(Produccion_Ganadera_Cuentas[],MATCH(Producción_Ganadera[[#This Row],[Cuenta Contable]],Produccion_Ganadera_Cuentas[Cuenta Contable],0),5),0)</f>
        <v>(+)</v>
      </c>
      <c r="AG12" s="889" t="str">
        <f>IF(Producción_Ganadera[[#This Row],[Cuenta Contable]]=Configuración!$AC$9,"Si","No")</f>
        <v>No</v>
      </c>
      <c r="AH12" s="887" t="str">
        <f>IFERROR(INDEX(Tabla9[],MATCH(Producción_Ganadera[[#This Row],[Movimiento]],Tabla9[Movimientos],0),2),0)</f>
        <v>No</v>
      </c>
      <c r="AI12" s="888" t="str">
        <f>IFERROR(INDEX(Tabla9[],MATCH(Producción_Ganadera[[#This Row],[Movimiento]],Tabla9[Movimientos],0),3),0)</f>
        <v>(-)</v>
      </c>
      <c r="AJ12" s="890">
        <f>IF(Producción_Ganadera[[#This Row],[Fecha Económico]]=0,0,MONTH(Producción_Ganadera[[#This Row],[Fecha Económico]]))</f>
        <v>7</v>
      </c>
      <c r="AK12" s="890">
        <f>IF(Producción_Ganadera[[#This Row],[Fecha Económico]]=0,0,YEAR(Producción_Ganadera[[#This Row],[Fecha Económico]]))</f>
        <v>2018</v>
      </c>
      <c r="AL12" s="891">
        <f>SUMPRODUCT((Producción_Ganadera[[#This Row],[Mes Económico]]=Tipo_Cambio[Mes])*(Producción_Ganadera[[#This Row],[Año Económico]]=Tipo_Cambio[Año])*(Tipo_Cambio[$/U$S]))</f>
        <v>22</v>
      </c>
      <c r="AM12" s="891">
        <f>SUMPRODUCT((Producción_Ganadera[[#This Row],[Mes Económico]]=Tipo_Cambio[Mes])*(Producción_Ganadera[[#This Row],[Año Económico]]=Tipo_Cambio[Año])*(Tipo_Cambio[Actualización]))</f>
        <v>1</v>
      </c>
      <c r="AN12" s="890">
        <f>IF(ISNUMBER(Producción_Ganadera[[#This Row],[Fecha Financiero]])=TRUE,MONTH(Producción_Ganadera[[#This Row],[Fecha Financiero]]),0)</f>
        <v>0</v>
      </c>
      <c r="AO12" s="890">
        <f>IF(ISNUMBER(Producción_Ganadera[[#This Row],[Fecha Financiero]])=TRUE,YEAR(Producción_Ganadera[[#This Row],[Fecha Financiero]]),0)</f>
        <v>0</v>
      </c>
      <c r="AP12" s="891">
        <f>SUMPRODUCT((Producción_Ganadera[[#This Row],[Mes Financiero]]=Tipo_Cambio[Mes])*(Producción_Ganadera[[#This Row],[Año Financiero]]=Tipo_Cambio[Año])*(Tipo_Cambio[$/U$S]))</f>
        <v>0</v>
      </c>
      <c r="AQ12" s="891">
        <f>SUMPRODUCT((Producción_Ganadera[[#This Row],[Mes Financiero]]=Tipo_Cambio[Mes])*(Producción_Ganadera[[#This Row],[Año Financiero]]=Tipo_Cambio[Año])*(Tipo_Cambio[Actualización]))</f>
        <v>0</v>
      </c>
      <c r="AR12" s="892">
        <f>SUMPRODUCT((Producción_Ganadera[[#This Row],[Centro de Costo]]=Tabla19[Centro de Costo])*(Tabla19[Superficie])*(Producción_Ganadera[[#This Row],[Campaña]]=Tabla19[Campaña]))</f>
        <v>0</v>
      </c>
      <c r="AS12" s="891">
        <f>IFERROR(Producción_Ganadera[[#This Row],[Económico $Corrientes]]/Producción_Ganadera[[#This Row],[Superficie]],0)</f>
        <v>0</v>
      </c>
      <c r="AT12" s="891">
        <f>IFERROR(Producción_Ganadera[[#This Row],[Económico $Constantes]]/Producción_Ganadera[[#This Row],[Superficie]],0)</f>
        <v>0</v>
      </c>
      <c r="AU12" s="891">
        <f>IFERROR(Producción_Ganadera[[#This Row],[Económico U$S Dólares]]/Producción_Ganadera[[#This Row],[Superficie]],0)</f>
        <v>0</v>
      </c>
      <c r="AV12" s="887" t="str">
        <f>IF(Económico!$F$4=0,0,Producción_Ganadera[[#This Row],[Centro de Costo]])</f>
        <v>Campo 1</v>
      </c>
    </row>
    <row r="13" spans="2:48" x14ac:dyDescent="0.25">
      <c r="D13" s="478">
        <f>DATE(LEFT(Producción_Ganadera[[#This Row],[Campaña]],4),7,1)</f>
        <v>43282</v>
      </c>
      <c r="E13" s="478"/>
      <c r="F13" s="866" t="str">
        <f t="shared" si="0"/>
        <v>2018-2019</v>
      </c>
      <c r="G13" s="481" t="str">
        <f t="shared" si="1"/>
        <v>Stock Inicio</v>
      </c>
      <c r="H13" s="481" t="s">
        <v>2</v>
      </c>
      <c r="I13" s="481" t="str">
        <f>Configuración!AZ13</f>
        <v>Toro</v>
      </c>
      <c r="J13" s="549"/>
      <c r="K13" s="481"/>
      <c r="L13" s="520"/>
      <c r="M1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3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-600</v>
      </c>
      <c r="O13" s="483">
        <v>1</v>
      </c>
      <c r="P13" s="491" t="s">
        <v>140</v>
      </c>
      <c r="Q13" s="875">
        <f>IF(ISNUMBER(Producción_Ganadera[[#This Row],[Cabezas]])=TRUE,Producción_Ganadera[[#This Row],[Cabezas]]*Producción_Ganadera[[#This Row],[Cantidad]],Producción_Ganadera[[#This Row],[Cantidad]])</f>
        <v>1</v>
      </c>
      <c r="R13" s="491"/>
      <c r="S13" s="483" t="s">
        <v>48</v>
      </c>
      <c r="T13" s="485"/>
      <c r="U13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3" s="881">
        <f>IFERROR(Producción_Ganadera[[#This Row],[Económico $Corrientes]]/Producción_Ganadera[[#This Row],[Indexación Económico]],0)</f>
        <v>0</v>
      </c>
      <c r="W1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3" s="881">
        <f>IFERROR(Producción_Ganadera[[#This Row],[Financiero $Corrientes]]/Producción_Ganadera[[#This Row],[Indexación Financiero]],0)</f>
        <v>0</v>
      </c>
      <c r="Z13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3" s="885">
        <f>IFERROR(Producción_Ganadera[[#This Row],[Intereses $Corrientes]]/Producción_Ganadera[[#This Row],[Indexación Financiero]],0)</f>
        <v>0</v>
      </c>
      <c r="AC1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3" s="886" t="str">
        <f>IFERROR(INDEX(Produccion_Ganadera_Cuentas[],MATCH(Producción_Ganadera[[#This Row],[Cuenta Contable]],Produccion_Ganadera_Cuentas[Cuenta Contable],0),2),0)</f>
        <v>Stock Inicio</v>
      </c>
      <c r="AE13" s="887">
        <f>IF(Producción_Ganadera[[#This Row],[Mov. Stock]]="(+)",Producción_Ganadera[[#This Row],[Cabezas]],IF(Producción_Ganadera[[#This Row],[Mov. Stock]]="(-)",-Producción_Ganadera[[#This Row],[Cabezas]],0))</f>
        <v>0</v>
      </c>
      <c r="AF13" s="888" t="str">
        <f>IFERROR(INDEX(Produccion_Ganadera_Cuentas[],MATCH(Producción_Ganadera[[#This Row],[Cuenta Contable]],Produccion_Ganadera_Cuentas[Cuenta Contable],0),5),0)</f>
        <v>(+)</v>
      </c>
      <c r="AG13" s="889" t="str">
        <f>IF(Producción_Ganadera[[#This Row],[Cuenta Contable]]=Configuración!$AC$9,"Si","No")</f>
        <v>No</v>
      </c>
      <c r="AH13" s="887" t="str">
        <f>IFERROR(INDEX(Tabla9[],MATCH(Producción_Ganadera[[#This Row],[Movimiento]],Tabla9[Movimientos],0),2),0)</f>
        <v>No</v>
      </c>
      <c r="AI13" s="888" t="str">
        <f>IFERROR(INDEX(Tabla9[],MATCH(Producción_Ganadera[[#This Row],[Movimiento]],Tabla9[Movimientos],0),3),0)</f>
        <v>(-)</v>
      </c>
      <c r="AJ13" s="890">
        <f>IF(Producción_Ganadera[[#This Row],[Fecha Económico]]=0,0,MONTH(Producción_Ganadera[[#This Row],[Fecha Económico]]))</f>
        <v>7</v>
      </c>
      <c r="AK13" s="890">
        <f>IF(Producción_Ganadera[[#This Row],[Fecha Económico]]=0,0,YEAR(Producción_Ganadera[[#This Row],[Fecha Económico]]))</f>
        <v>2018</v>
      </c>
      <c r="AL13" s="891">
        <f>SUMPRODUCT((Producción_Ganadera[[#This Row],[Mes Económico]]=Tipo_Cambio[Mes])*(Producción_Ganadera[[#This Row],[Año Económico]]=Tipo_Cambio[Año])*(Tipo_Cambio[$/U$S]))</f>
        <v>22</v>
      </c>
      <c r="AM13" s="891">
        <f>SUMPRODUCT((Producción_Ganadera[[#This Row],[Mes Económico]]=Tipo_Cambio[Mes])*(Producción_Ganadera[[#This Row],[Año Económico]]=Tipo_Cambio[Año])*(Tipo_Cambio[Actualización]))</f>
        <v>1</v>
      </c>
      <c r="AN13" s="890">
        <f>IF(ISNUMBER(Producción_Ganadera[[#This Row],[Fecha Financiero]])=TRUE,MONTH(Producción_Ganadera[[#This Row],[Fecha Financiero]]),0)</f>
        <v>0</v>
      </c>
      <c r="AO13" s="890">
        <f>IF(ISNUMBER(Producción_Ganadera[[#This Row],[Fecha Financiero]])=TRUE,YEAR(Producción_Ganadera[[#This Row],[Fecha Financiero]]),0)</f>
        <v>0</v>
      </c>
      <c r="AP13" s="891">
        <f>SUMPRODUCT((Producción_Ganadera[[#This Row],[Mes Financiero]]=Tipo_Cambio[Mes])*(Producción_Ganadera[[#This Row],[Año Financiero]]=Tipo_Cambio[Año])*(Tipo_Cambio[$/U$S]))</f>
        <v>0</v>
      </c>
      <c r="AQ13" s="891">
        <f>SUMPRODUCT((Producción_Ganadera[[#This Row],[Mes Financiero]]=Tipo_Cambio[Mes])*(Producción_Ganadera[[#This Row],[Año Financiero]]=Tipo_Cambio[Año])*(Tipo_Cambio[Actualización]))</f>
        <v>0</v>
      </c>
      <c r="AR13" s="892">
        <f>SUMPRODUCT((Producción_Ganadera[[#This Row],[Centro de Costo]]=Tabla19[Centro de Costo])*(Tabla19[Superficie])*(Producción_Ganadera[[#This Row],[Campaña]]=Tabla19[Campaña]))</f>
        <v>0</v>
      </c>
      <c r="AS13" s="891">
        <f>IFERROR(Producción_Ganadera[[#This Row],[Económico $Corrientes]]/Producción_Ganadera[[#This Row],[Superficie]],0)</f>
        <v>0</v>
      </c>
      <c r="AT13" s="891">
        <f>IFERROR(Producción_Ganadera[[#This Row],[Económico $Constantes]]/Producción_Ganadera[[#This Row],[Superficie]],0)</f>
        <v>0</v>
      </c>
      <c r="AU13" s="891">
        <f>IFERROR(Producción_Ganadera[[#This Row],[Económico U$S Dólares]]/Producción_Ganadera[[#This Row],[Superficie]],0)</f>
        <v>0</v>
      </c>
      <c r="AV13" s="887" t="str">
        <f>IF(Económico!$F$4=0,0,Producción_Ganadera[[#This Row],[Centro de Costo]])</f>
        <v>Campo 1</v>
      </c>
    </row>
    <row r="14" spans="2:48" x14ac:dyDescent="0.25">
      <c r="D14" s="478">
        <f>DATE(LEFT(Producción_Ganadera[[#This Row],[Campaña]],4),7,1)</f>
        <v>43282</v>
      </c>
      <c r="E14" s="478"/>
      <c r="F14" s="866" t="str">
        <f t="shared" si="0"/>
        <v>2018-2019</v>
      </c>
      <c r="G14" s="481" t="str">
        <f t="shared" si="1"/>
        <v>Stock Inicio</v>
      </c>
      <c r="H14" s="481" t="s">
        <v>2</v>
      </c>
      <c r="I14" s="481" t="str">
        <f>Configuración!AZ14</f>
        <v>Toro Descarte</v>
      </c>
      <c r="J14" s="549"/>
      <c r="K14" s="481"/>
      <c r="L14" s="520"/>
      <c r="M1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4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-600</v>
      </c>
      <c r="O14" s="483">
        <v>1</v>
      </c>
      <c r="P14" s="491" t="s">
        <v>140</v>
      </c>
      <c r="Q14" s="875">
        <f>IF(ISNUMBER(Producción_Ganadera[[#This Row],[Cabezas]])=TRUE,Producción_Ganadera[[#This Row],[Cabezas]]*Producción_Ganadera[[#This Row],[Cantidad]],Producción_Ganadera[[#This Row],[Cantidad]])</f>
        <v>1</v>
      </c>
      <c r="R14" s="491"/>
      <c r="S14" s="483" t="s">
        <v>48</v>
      </c>
      <c r="T14" s="485"/>
      <c r="U14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4" s="881">
        <f>IFERROR(Producción_Ganadera[[#This Row],[Económico $Corrientes]]/Producción_Ganadera[[#This Row],[Indexación Económico]],0)</f>
        <v>0</v>
      </c>
      <c r="W1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4" s="881">
        <f>IFERROR(Producción_Ganadera[[#This Row],[Financiero $Corrientes]]/Producción_Ganadera[[#This Row],[Indexación Financiero]],0)</f>
        <v>0</v>
      </c>
      <c r="Z14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4" s="885">
        <f>IFERROR(Producción_Ganadera[[#This Row],[Intereses $Corrientes]]/Producción_Ganadera[[#This Row],[Indexación Financiero]],0)</f>
        <v>0</v>
      </c>
      <c r="AC1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4" s="886" t="str">
        <f>IFERROR(INDEX(Produccion_Ganadera_Cuentas[],MATCH(Producción_Ganadera[[#This Row],[Cuenta Contable]],Produccion_Ganadera_Cuentas[Cuenta Contable],0),2),0)</f>
        <v>Stock Inicio</v>
      </c>
      <c r="AE14" s="887">
        <f>IF(Producción_Ganadera[[#This Row],[Mov. Stock]]="(+)",Producción_Ganadera[[#This Row],[Cabezas]],IF(Producción_Ganadera[[#This Row],[Mov. Stock]]="(-)",-Producción_Ganadera[[#This Row],[Cabezas]],0))</f>
        <v>0</v>
      </c>
      <c r="AF14" s="888" t="str">
        <f>IFERROR(INDEX(Produccion_Ganadera_Cuentas[],MATCH(Producción_Ganadera[[#This Row],[Cuenta Contable]],Produccion_Ganadera_Cuentas[Cuenta Contable],0),5),0)</f>
        <v>(+)</v>
      </c>
      <c r="AG14" s="889" t="str">
        <f>IF(Producción_Ganadera[[#This Row],[Cuenta Contable]]=Configuración!$AC$9,"Si","No")</f>
        <v>No</v>
      </c>
      <c r="AH14" s="887" t="str">
        <f>IFERROR(INDEX(Tabla9[],MATCH(Producción_Ganadera[[#This Row],[Movimiento]],Tabla9[Movimientos],0),2),0)</f>
        <v>No</v>
      </c>
      <c r="AI14" s="888" t="str">
        <f>IFERROR(INDEX(Tabla9[],MATCH(Producción_Ganadera[[#This Row],[Movimiento]],Tabla9[Movimientos],0),3),0)</f>
        <v>(-)</v>
      </c>
      <c r="AJ14" s="890">
        <f>IF(Producción_Ganadera[[#This Row],[Fecha Económico]]=0,0,MONTH(Producción_Ganadera[[#This Row],[Fecha Económico]]))</f>
        <v>7</v>
      </c>
      <c r="AK14" s="890">
        <f>IF(Producción_Ganadera[[#This Row],[Fecha Económico]]=0,0,YEAR(Producción_Ganadera[[#This Row],[Fecha Económico]]))</f>
        <v>2018</v>
      </c>
      <c r="AL14" s="891">
        <f>SUMPRODUCT((Producción_Ganadera[[#This Row],[Mes Económico]]=Tipo_Cambio[Mes])*(Producción_Ganadera[[#This Row],[Año Económico]]=Tipo_Cambio[Año])*(Tipo_Cambio[$/U$S]))</f>
        <v>22</v>
      </c>
      <c r="AM14" s="891">
        <f>SUMPRODUCT((Producción_Ganadera[[#This Row],[Mes Económico]]=Tipo_Cambio[Mes])*(Producción_Ganadera[[#This Row],[Año Económico]]=Tipo_Cambio[Año])*(Tipo_Cambio[Actualización]))</f>
        <v>1</v>
      </c>
      <c r="AN14" s="890">
        <f>IF(ISNUMBER(Producción_Ganadera[[#This Row],[Fecha Financiero]])=TRUE,MONTH(Producción_Ganadera[[#This Row],[Fecha Financiero]]),0)</f>
        <v>0</v>
      </c>
      <c r="AO14" s="890">
        <f>IF(ISNUMBER(Producción_Ganadera[[#This Row],[Fecha Financiero]])=TRUE,YEAR(Producción_Ganadera[[#This Row],[Fecha Financiero]]),0)</f>
        <v>0</v>
      </c>
      <c r="AP14" s="891">
        <f>SUMPRODUCT((Producción_Ganadera[[#This Row],[Mes Financiero]]=Tipo_Cambio[Mes])*(Producción_Ganadera[[#This Row],[Año Financiero]]=Tipo_Cambio[Año])*(Tipo_Cambio[$/U$S]))</f>
        <v>0</v>
      </c>
      <c r="AQ14" s="891">
        <f>SUMPRODUCT((Producción_Ganadera[[#This Row],[Mes Financiero]]=Tipo_Cambio[Mes])*(Producción_Ganadera[[#This Row],[Año Financiero]]=Tipo_Cambio[Año])*(Tipo_Cambio[Actualización]))</f>
        <v>0</v>
      </c>
      <c r="AR14" s="892">
        <f>SUMPRODUCT((Producción_Ganadera[[#This Row],[Centro de Costo]]=Tabla19[Centro de Costo])*(Tabla19[Superficie])*(Producción_Ganadera[[#This Row],[Campaña]]=Tabla19[Campaña]))</f>
        <v>0</v>
      </c>
      <c r="AS14" s="891">
        <f>IFERROR(Producción_Ganadera[[#This Row],[Económico $Corrientes]]/Producción_Ganadera[[#This Row],[Superficie]],0)</f>
        <v>0</v>
      </c>
      <c r="AT14" s="891">
        <f>IFERROR(Producción_Ganadera[[#This Row],[Económico $Constantes]]/Producción_Ganadera[[#This Row],[Superficie]],0)</f>
        <v>0</v>
      </c>
      <c r="AU14" s="891">
        <f>IFERROR(Producción_Ganadera[[#This Row],[Económico U$S Dólares]]/Producción_Ganadera[[#This Row],[Superficie]],0)</f>
        <v>0</v>
      </c>
      <c r="AV14" s="887" t="str">
        <f>IF(Económico!$F$4=0,0,Producción_Ganadera[[#This Row],[Centro de Costo]])</f>
        <v>Campo 1</v>
      </c>
    </row>
    <row r="15" spans="2:48" x14ac:dyDescent="0.25">
      <c r="D15" s="478">
        <f>DATE(LEFT(Producción_Ganadera[[#This Row],[Campaña]],4),7,1)</f>
        <v>43282</v>
      </c>
      <c r="E15" s="478"/>
      <c r="F15" s="866" t="str">
        <f t="shared" si="0"/>
        <v>2018-2019</v>
      </c>
      <c r="G15" s="481" t="str">
        <f t="shared" si="1"/>
        <v>Stock Inicio</v>
      </c>
      <c r="H15" s="481" t="s">
        <v>2</v>
      </c>
      <c r="I15" s="481" t="str">
        <f>Configuración!AZ15</f>
        <v>Novillo 06-15</v>
      </c>
      <c r="J15" s="549"/>
      <c r="K15" s="481"/>
      <c r="L15" s="520"/>
      <c r="M1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5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-200</v>
      </c>
      <c r="O15" s="483">
        <v>1</v>
      </c>
      <c r="P15" s="491" t="s">
        <v>140</v>
      </c>
      <c r="Q15" s="875">
        <f>IF(ISNUMBER(Producción_Ganadera[[#This Row],[Cabezas]])=TRUE,Producción_Ganadera[[#This Row],[Cabezas]]*Producción_Ganadera[[#This Row],[Cantidad]],Producción_Ganadera[[#This Row],[Cantidad]])</f>
        <v>1</v>
      </c>
      <c r="R15" s="491"/>
      <c r="S15" s="483" t="s">
        <v>48</v>
      </c>
      <c r="T15" s="485"/>
      <c r="U15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5" s="881">
        <f>IFERROR(Producción_Ganadera[[#This Row],[Económico $Corrientes]]/Producción_Ganadera[[#This Row],[Indexación Económico]],0)</f>
        <v>0</v>
      </c>
      <c r="W1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5" s="881">
        <f>IFERROR(Producción_Ganadera[[#This Row],[Financiero $Corrientes]]/Producción_Ganadera[[#This Row],[Indexación Financiero]],0)</f>
        <v>0</v>
      </c>
      <c r="Z15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5" s="885">
        <f>IFERROR(Producción_Ganadera[[#This Row],[Intereses $Corrientes]]/Producción_Ganadera[[#This Row],[Indexación Financiero]],0)</f>
        <v>0</v>
      </c>
      <c r="AC1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5" s="886" t="str">
        <f>IFERROR(INDEX(Produccion_Ganadera_Cuentas[],MATCH(Producción_Ganadera[[#This Row],[Cuenta Contable]],Produccion_Ganadera_Cuentas[Cuenta Contable],0),2),0)</f>
        <v>Stock Inicio</v>
      </c>
      <c r="AE15" s="887">
        <f>IF(Producción_Ganadera[[#This Row],[Mov. Stock]]="(+)",Producción_Ganadera[[#This Row],[Cabezas]],IF(Producción_Ganadera[[#This Row],[Mov. Stock]]="(-)",-Producción_Ganadera[[#This Row],[Cabezas]],0))</f>
        <v>0</v>
      </c>
      <c r="AF15" s="888" t="str">
        <f>IFERROR(INDEX(Produccion_Ganadera_Cuentas[],MATCH(Producción_Ganadera[[#This Row],[Cuenta Contable]],Produccion_Ganadera_Cuentas[Cuenta Contable],0),5),0)</f>
        <v>(+)</v>
      </c>
      <c r="AG15" s="889" t="str">
        <f>IF(Producción_Ganadera[[#This Row],[Cuenta Contable]]=Configuración!$AC$9,"Si","No")</f>
        <v>No</v>
      </c>
      <c r="AH15" s="887" t="str">
        <f>IFERROR(INDEX(Tabla9[],MATCH(Producción_Ganadera[[#This Row],[Movimiento]],Tabla9[Movimientos],0),2),0)</f>
        <v>No</v>
      </c>
      <c r="AI15" s="888" t="str">
        <f>IFERROR(INDEX(Tabla9[],MATCH(Producción_Ganadera[[#This Row],[Movimiento]],Tabla9[Movimientos],0),3),0)</f>
        <v>(-)</v>
      </c>
      <c r="AJ15" s="890">
        <f>IF(Producción_Ganadera[[#This Row],[Fecha Económico]]=0,0,MONTH(Producción_Ganadera[[#This Row],[Fecha Económico]]))</f>
        <v>7</v>
      </c>
      <c r="AK15" s="890">
        <f>IF(Producción_Ganadera[[#This Row],[Fecha Económico]]=0,0,YEAR(Producción_Ganadera[[#This Row],[Fecha Económico]]))</f>
        <v>2018</v>
      </c>
      <c r="AL15" s="891">
        <f>SUMPRODUCT((Producción_Ganadera[[#This Row],[Mes Económico]]=Tipo_Cambio[Mes])*(Producción_Ganadera[[#This Row],[Año Económico]]=Tipo_Cambio[Año])*(Tipo_Cambio[$/U$S]))</f>
        <v>22</v>
      </c>
      <c r="AM15" s="891">
        <f>SUMPRODUCT((Producción_Ganadera[[#This Row],[Mes Económico]]=Tipo_Cambio[Mes])*(Producción_Ganadera[[#This Row],[Año Económico]]=Tipo_Cambio[Año])*(Tipo_Cambio[Actualización]))</f>
        <v>1</v>
      </c>
      <c r="AN15" s="890">
        <f>IF(ISNUMBER(Producción_Ganadera[[#This Row],[Fecha Financiero]])=TRUE,MONTH(Producción_Ganadera[[#This Row],[Fecha Financiero]]),0)</f>
        <v>0</v>
      </c>
      <c r="AO15" s="890">
        <f>IF(ISNUMBER(Producción_Ganadera[[#This Row],[Fecha Financiero]])=TRUE,YEAR(Producción_Ganadera[[#This Row],[Fecha Financiero]]),0)</f>
        <v>0</v>
      </c>
      <c r="AP15" s="891">
        <f>SUMPRODUCT((Producción_Ganadera[[#This Row],[Mes Financiero]]=Tipo_Cambio[Mes])*(Producción_Ganadera[[#This Row],[Año Financiero]]=Tipo_Cambio[Año])*(Tipo_Cambio[$/U$S]))</f>
        <v>0</v>
      </c>
      <c r="AQ15" s="891">
        <f>SUMPRODUCT((Producción_Ganadera[[#This Row],[Mes Financiero]]=Tipo_Cambio[Mes])*(Producción_Ganadera[[#This Row],[Año Financiero]]=Tipo_Cambio[Año])*(Tipo_Cambio[Actualización]))</f>
        <v>0</v>
      </c>
      <c r="AR15" s="892">
        <f>SUMPRODUCT((Producción_Ganadera[[#This Row],[Centro de Costo]]=Tabla19[Centro de Costo])*(Tabla19[Superficie])*(Producción_Ganadera[[#This Row],[Campaña]]=Tabla19[Campaña]))</f>
        <v>0</v>
      </c>
      <c r="AS15" s="891">
        <f>IFERROR(Producción_Ganadera[[#This Row],[Económico $Corrientes]]/Producción_Ganadera[[#This Row],[Superficie]],0)</f>
        <v>0</v>
      </c>
      <c r="AT15" s="891">
        <f>IFERROR(Producción_Ganadera[[#This Row],[Económico $Constantes]]/Producción_Ganadera[[#This Row],[Superficie]],0)</f>
        <v>0</v>
      </c>
      <c r="AU15" s="891">
        <f>IFERROR(Producción_Ganadera[[#This Row],[Económico U$S Dólares]]/Producción_Ganadera[[#This Row],[Superficie]],0)</f>
        <v>0</v>
      </c>
      <c r="AV15" s="887" t="str">
        <f>IF(Económico!$F$4=0,0,Producción_Ganadera[[#This Row],[Centro de Costo]])</f>
        <v>Campo 1</v>
      </c>
    </row>
    <row r="16" spans="2:48" x14ac:dyDescent="0.25">
      <c r="D16" s="535">
        <f>DATE(LEFT(Producción_Ganadera[[#This Row],[Campaña]],4),7,1)</f>
        <v>43282</v>
      </c>
      <c r="E16" s="535"/>
      <c r="F16" s="867" t="str">
        <f t="shared" si="0"/>
        <v>2018-2019</v>
      </c>
      <c r="G16" s="538" t="str">
        <f t="shared" si="1"/>
        <v>Stock Inicio</v>
      </c>
      <c r="H16" s="538" t="s">
        <v>2</v>
      </c>
      <c r="I16" s="538" t="str">
        <f>Configuración!AZ16</f>
        <v>Novillo 15-27</v>
      </c>
      <c r="J16" s="584"/>
      <c r="K16" s="538"/>
      <c r="L16" s="585"/>
      <c r="M16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6" s="867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-300</v>
      </c>
      <c r="O16" s="602">
        <v>1</v>
      </c>
      <c r="P16" s="538" t="s">
        <v>140</v>
      </c>
      <c r="Q16" s="876">
        <f>IF(ISNUMBER(Producción_Ganadera[[#This Row],[Cabezas]])=TRUE,Producción_Ganadera[[#This Row],[Cabezas]]*Producción_Ganadera[[#This Row],[Cantidad]],Producción_Ganadera[[#This Row],[Cantidad]])</f>
        <v>1</v>
      </c>
      <c r="R16" s="538"/>
      <c r="S16" s="602" t="s">
        <v>48</v>
      </c>
      <c r="T16" s="541"/>
      <c r="U16" s="89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6" s="893">
        <f>IFERROR(Producción_Ganadera[[#This Row],[Económico $Corrientes]]/Producción_Ganadera[[#This Row],[Indexación Económico]],0)</f>
        <v>0</v>
      </c>
      <c r="W16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6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6" s="893">
        <f>IFERROR(Producción_Ganadera[[#This Row],[Financiero $Corrientes]]/Producción_Ganadera[[#This Row],[Indexación Financiero]],0)</f>
        <v>0</v>
      </c>
      <c r="Z16" s="893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6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6" s="897">
        <f>IFERROR(Producción_Ganadera[[#This Row],[Intereses $Corrientes]]/Producción_Ganadera[[#This Row],[Indexación Financiero]],0)</f>
        <v>0</v>
      </c>
      <c r="AC16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6" s="898" t="str">
        <f>IFERROR(INDEX(Produccion_Ganadera_Cuentas[],MATCH(Producción_Ganadera[[#This Row],[Cuenta Contable]],Produccion_Ganadera_Cuentas[Cuenta Contable],0),2),0)</f>
        <v>Stock Inicio</v>
      </c>
      <c r="AE16" s="899">
        <f>IF(Producción_Ganadera[[#This Row],[Mov. Stock]]="(+)",Producción_Ganadera[[#This Row],[Cabezas]],IF(Producción_Ganadera[[#This Row],[Mov. Stock]]="(-)",-Producción_Ganadera[[#This Row],[Cabezas]],0))</f>
        <v>0</v>
      </c>
      <c r="AF16" s="900" t="str">
        <f>IFERROR(INDEX(Produccion_Ganadera_Cuentas[],MATCH(Producción_Ganadera[[#This Row],[Cuenta Contable]],Produccion_Ganadera_Cuentas[Cuenta Contable],0),5),0)</f>
        <v>(+)</v>
      </c>
      <c r="AG16" s="901" t="str">
        <f>IF(Producción_Ganadera[[#This Row],[Cuenta Contable]]=Configuración!$AC$9,"Si","No")</f>
        <v>No</v>
      </c>
      <c r="AH16" s="899" t="str">
        <f>IFERROR(INDEX(Tabla9[],MATCH(Producción_Ganadera[[#This Row],[Movimiento]],Tabla9[Movimientos],0),2),0)</f>
        <v>No</v>
      </c>
      <c r="AI16" s="900" t="str">
        <f>IFERROR(INDEX(Tabla9[],MATCH(Producción_Ganadera[[#This Row],[Movimiento]],Tabla9[Movimientos],0),3),0)</f>
        <v>(-)</v>
      </c>
      <c r="AJ16" s="897">
        <f>IF(Producción_Ganadera[[#This Row],[Fecha Económico]]=0,0,MONTH(Producción_Ganadera[[#This Row],[Fecha Económico]]))</f>
        <v>7</v>
      </c>
      <c r="AK16" s="897">
        <f>IF(Producción_Ganadera[[#This Row],[Fecha Económico]]=0,0,YEAR(Producción_Ganadera[[#This Row],[Fecha Económico]]))</f>
        <v>2018</v>
      </c>
      <c r="AL16" s="901">
        <f>SUMPRODUCT((Producción_Ganadera[[#This Row],[Mes Económico]]=Tipo_Cambio[Mes])*(Producción_Ganadera[[#This Row],[Año Económico]]=Tipo_Cambio[Año])*(Tipo_Cambio[$/U$S]))</f>
        <v>22</v>
      </c>
      <c r="AM16" s="901">
        <f>SUMPRODUCT((Producción_Ganadera[[#This Row],[Mes Económico]]=Tipo_Cambio[Mes])*(Producción_Ganadera[[#This Row],[Año Económico]]=Tipo_Cambio[Año])*(Tipo_Cambio[Actualización]))</f>
        <v>1</v>
      </c>
      <c r="AN16" s="897">
        <f>IF(ISNUMBER(Producción_Ganadera[[#This Row],[Fecha Financiero]])=TRUE,MONTH(Producción_Ganadera[[#This Row],[Fecha Financiero]]),0)</f>
        <v>0</v>
      </c>
      <c r="AO16" s="897">
        <f>IF(ISNUMBER(Producción_Ganadera[[#This Row],[Fecha Financiero]])=TRUE,YEAR(Producción_Ganadera[[#This Row],[Fecha Financiero]]),0)</f>
        <v>0</v>
      </c>
      <c r="AP16" s="901">
        <f>SUMPRODUCT((Producción_Ganadera[[#This Row],[Mes Financiero]]=Tipo_Cambio[Mes])*(Producción_Ganadera[[#This Row],[Año Financiero]]=Tipo_Cambio[Año])*(Tipo_Cambio[$/U$S]))</f>
        <v>0</v>
      </c>
      <c r="AQ16" s="901">
        <f>SUMPRODUCT((Producción_Ganadera[[#This Row],[Mes Financiero]]=Tipo_Cambio[Mes])*(Producción_Ganadera[[#This Row],[Año Financiero]]=Tipo_Cambio[Año])*(Tipo_Cambio[Actualización]))</f>
        <v>0</v>
      </c>
      <c r="AR16" s="902">
        <f>SUMPRODUCT((Producción_Ganadera[[#This Row],[Centro de Costo]]=Tabla19[Centro de Costo])*(Tabla19[Superficie])*(Producción_Ganadera[[#This Row],[Campaña]]=Tabla19[Campaña]))</f>
        <v>0</v>
      </c>
      <c r="AS16" s="901">
        <f>IFERROR(Producción_Ganadera[[#This Row],[Económico $Corrientes]]/Producción_Ganadera[[#This Row],[Superficie]],0)</f>
        <v>0</v>
      </c>
      <c r="AT16" s="901">
        <f>IFERROR(Producción_Ganadera[[#This Row],[Económico $Constantes]]/Producción_Ganadera[[#This Row],[Superficie]],0)</f>
        <v>0</v>
      </c>
      <c r="AU16" s="901">
        <f>IFERROR(Producción_Ganadera[[#This Row],[Económico U$S Dólares]]/Producción_Ganadera[[#This Row],[Superficie]],0)</f>
        <v>0</v>
      </c>
      <c r="AV16" s="899" t="str">
        <f>IF(Económico!$F$4=0,0,Producción_Ganadera[[#This Row],[Centro de Costo]])</f>
        <v>Campo 1</v>
      </c>
    </row>
    <row r="17" spans="1:48" x14ac:dyDescent="0.25">
      <c r="D17" s="478">
        <f>DATE(LEFT(Producción_Ganadera[[#This Row],[Campaña]],4),7,1)</f>
        <v>43282</v>
      </c>
      <c r="E17" s="478"/>
      <c r="F17" s="866" t="str">
        <f t="shared" si="0"/>
        <v>2018-2019</v>
      </c>
      <c r="G17" s="481" t="str">
        <f t="shared" si="1"/>
        <v>Stock Inicio</v>
      </c>
      <c r="H17" s="481" t="s">
        <v>8</v>
      </c>
      <c r="I17" s="481" t="str">
        <f>Configuración!AZ5</f>
        <v>Vaca CUT</v>
      </c>
      <c r="J17" s="549"/>
      <c r="K17" s="481"/>
      <c r="L17" s="520"/>
      <c r="M1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7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-450</v>
      </c>
      <c r="O17" s="483">
        <v>1</v>
      </c>
      <c r="P17" s="491" t="s">
        <v>140</v>
      </c>
      <c r="Q17" s="875">
        <f>IF(ISNUMBER(Producción_Ganadera[[#This Row],[Cabezas]])=TRUE,Producción_Ganadera[[#This Row],[Cabezas]]*Producción_Ganadera[[#This Row],[Cantidad]],Producción_Ganadera[[#This Row],[Cantidad]])</f>
        <v>1</v>
      </c>
      <c r="R17" s="491"/>
      <c r="S17" s="483" t="s">
        <v>48</v>
      </c>
      <c r="T17" s="485"/>
      <c r="U17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7" s="881">
        <f>IFERROR(Producción_Ganadera[[#This Row],[Económico $Corrientes]]/Producción_Ganadera[[#This Row],[Indexación Económico]],0)</f>
        <v>0</v>
      </c>
      <c r="W1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7" s="881">
        <f>IFERROR(Producción_Ganadera[[#This Row],[Financiero $Corrientes]]/Producción_Ganadera[[#This Row],[Indexación Financiero]],0)</f>
        <v>0</v>
      </c>
      <c r="Z17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7" s="885">
        <f>IFERROR(Producción_Ganadera[[#This Row],[Intereses $Corrientes]]/Producción_Ganadera[[#This Row],[Indexación Financiero]],0)</f>
        <v>0</v>
      </c>
      <c r="AC1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7" s="886" t="str">
        <f>IFERROR(INDEX(Produccion_Ganadera_Cuentas[],MATCH(Producción_Ganadera[[#This Row],[Cuenta Contable]],Produccion_Ganadera_Cuentas[Cuenta Contable],0),2),0)</f>
        <v>Stock Inicio</v>
      </c>
      <c r="AE17" s="887">
        <f>IF(Producción_Ganadera[[#This Row],[Mov. Stock]]="(+)",Producción_Ganadera[[#This Row],[Cabezas]],IF(Producción_Ganadera[[#This Row],[Mov. Stock]]="(-)",-Producción_Ganadera[[#This Row],[Cabezas]],0))</f>
        <v>0</v>
      </c>
      <c r="AF17" s="888" t="str">
        <f>IFERROR(INDEX(Produccion_Ganadera_Cuentas[],MATCH(Producción_Ganadera[[#This Row],[Cuenta Contable]],Produccion_Ganadera_Cuentas[Cuenta Contable],0),5),0)</f>
        <v>(+)</v>
      </c>
      <c r="AG17" s="889" t="str">
        <f>IF(Producción_Ganadera[[#This Row],[Cuenta Contable]]=Configuración!$AC$9,"Si","No")</f>
        <v>No</v>
      </c>
      <c r="AH17" s="887" t="str">
        <f>IFERROR(INDEX(Tabla9[],MATCH(Producción_Ganadera[[#This Row],[Movimiento]],Tabla9[Movimientos],0),2),0)</f>
        <v>No</v>
      </c>
      <c r="AI17" s="888" t="str">
        <f>IFERROR(INDEX(Tabla9[],MATCH(Producción_Ganadera[[#This Row],[Movimiento]],Tabla9[Movimientos],0),3),0)</f>
        <v>(-)</v>
      </c>
      <c r="AJ17" s="890">
        <f>IF(Producción_Ganadera[[#This Row],[Fecha Económico]]=0,0,MONTH(Producción_Ganadera[[#This Row],[Fecha Económico]]))</f>
        <v>7</v>
      </c>
      <c r="AK17" s="890">
        <f>IF(Producción_Ganadera[[#This Row],[Fecha Económico]]=0,0,YEAR(Producción_Ganadera[[#This Row],[Fecha Económico]]))</f>
        <v>2018</v>
      </c>
      <c r="AL17" s="891">
        <f>SUMPRODUCT((Producción_Ganadera[[#This Row],[Mes Económico]]=Tipo_Cambio[Mes])*(Producción_Ganadera[[#This Row],[Año Económico]]=Tipo_Cambio[Año])*(Tipo_Cambio[$/U$S]))</f>
        <v>22</v>
      </c>
      <c r="AM17" s="891">
        <f>SUMPRODUCT((Producción_Ganadera[[#This Row],[Mes Económico]]=Tipo_Cambio[Mes])*(Producción_Ganadera[[#This Row],[Año Económico]]=Tipo_Cambio[Año])*(Tipo_Cambio[Actualización]))</f>
        <v>1</v>
      </c>
      <c r="AN17" s="890">
        <f>IF(ISNUMBER(Producción_Ganadera[[#This Row],[Fecha Financiero]])=TRUE,MONTH(Producción_Ganadera[[#This Row],[Fecha Financiero]]),0)</f>
        <v>0</v>
      </c>
      <c r="AO17" s="890">
        <f>IF(ISNUMBER(Producción_Ganadera[[#This Row],[Fecha Financiero]])=TRUE,YEAR(Producción_Ganadera[[#This Row],[Fecha Financiero]]),0)</f>
        <v>0</v>
      </c>
      <c r="AP17" s="891">
        <f>SUMPRODUCT((Producción_Ganadera[[#This Row],[Mes Financiero]]=Tipo_Cambio[Mes])*(Producción_Ganadera[[#This Row],[Año Financiero]]=Tipo_Cambio[Año])*(Tipo_Cambio[$/U$S]))</f>
        <v>0</v>
      </c>
      <c r="AQ17" s="891">
        <f>SUMPRODUCT((Producción_Ganadera[[#This Row],[Mes Financiero]]=Tipo_Cambio[Mes])*(Producción_Ganadera[[#This Row],[Año Financiero]]=Tipo_Cambio[Año])*(Tipo_Cambio[Actualización]))</f>
        <v>0</v>
      </c>
      <c r="AR17" s="892">
        <f>SUMPRODUCT((Producción_Ganadera[[#This Row],[Centro de Costo]]=Tabla19[Centro de Costo])*(Tabla19[Superficie])*(Producción_Ganadera[[#This Row],[Campaña]]=Tabla19[Campaña]))</f>
        <v>0</v>
      </c>
      <c r="AS17" s="891">
        <f>IFERROR(Producción_Ganadera[[#This Row],[Económico $Corrientes]]/Producción_Ganadera[[#This Row],[Superficie]],0)</f>
        <v>0</v>
      </c>
      <c r="AT17" s="891">
        <f>IFERROR(Producción_Ganadera[[#This Row],[Económico $Constantes]]/Producción_Ganadera[[#This Row],[Superficie]],0)</f>
        <v>0</v>
      </c>
      <c r="AU17" s="891">
        <f>IFERROR(Producción_Ganadera[[#This Row],[Económico U$S Dólares]]/Producción_Ganadera[[#This Row],[Superficie]],0)</f>
        <v>0</v>
      </c>
      <c r="AV17" s="887" t="str">
        <f>IF(Económico!$F$4=0,0,Producción_Ganadera[[#This Row],[Centro de Costo]])</f>
        <v>Campo 2</v>
      </c>
    </row>
    <row r="18" spans="1:48" x14ac:dyDescent="0.25">
      <c r="D18" s="478">
        <f>DATE(LEFT(Producción_Ganadera[[#This Row],[Campaña]],4),7,1)</f>
        <v>43282</v>
      </c>
      <c r="E18" s="478"/>
      <c r="F18" s="866" t="str">
        <f t="shared" si="0"/>
        <v>2018-2019</v>
      </c>
      <c r="G18" s="481" t="str">
        <f t="shared" si="1"/>
        <v>Stock Inicio</v>
      </c>
      <c r="H18" s="481" t="s">
        <v>8</v>
      </c>
      <c r="I18" s="481" t="str">
        <f>Configuración!AZ6</f>
        <v>Vaca Preñada</v>
      </c>
      <c r="J18" s="549"/>
      <c r="K18" s="481"/>
      <c r="L18" s="520"/>
      <c r="M1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8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-450</v>
      </c>
      <c r="O18" s="483">
        <v>1</v>
      </c>
      <c r="P18" s="491" t="s">
        <v>140</v>
      </c>
      <c r="Q18" s="875">
        <f>IF(ISNUMBER(Producción_Ganadera[[#This Row],[Cabezas]])=TRUE,Producción_Ganadera[[#This Row],[Cabezas]]*Producción_Ganadera[[#This Row],[Cantidad]],Producción_Ganadera[[#This Row],[Cantidad]])</f>
        <v>1</v>
      </c>
      <c r="R18" s="491"/>
      <c r="S18" s="483" t="s">
        <v>48</v>
      </c>
      <c r="T18" s="485"/>
      <c r="U18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8" s="881">
        <f>IFERROR(Producción_Ganadera[[#This Row],[Económico $Corrientes]]/Producción_Ganadera[[#This Row],[Indexación Económico]],0)</f>
        <v>0</v>
      </c>
      <c r="W1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8" s="881">
        <f>IFERROR(Producción_Ganadera[[#This Row],[Financiero $Corrientes]]/Producción_Ganadera[[#This Row],[Indexación Financiero]],0)</f>
        <v>0</v>
      </c>
      <c r="Z18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8" s="885">
        <f>IFERROR(Producción_Ganadera[[#This Row],[Intereses $Corrientes]]/Producción_Ganadera[[#This Row],[Indexación Financiero]],0)</f>
        <v>0</v>
      </c>
      <c r="AC1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8" s="886" t="str">
        <f>IFERROR(INDEX(Produccion_Ganadera_Cuentas[],MATCH(Producción_Ganadera[[#This Row],[Cuenta Contable]],Produccion_Ganadera_Cuentas[Cuenta Contable],0),2),0)</f>
        <v>Stock Inicio</v>
      </c>
      <c r="AE18" s="887">
        <f>IF(Producción_Ganadera[[#This Row],[Mov. Stock]]="(+)",Producción_Ganadera[[#This Row],[Cabezas]],IF(Producción_Ganadera[[#This Row],[Mov. Stock]]="(-)",-Producción_Ganadera[[#This Row],[Cabezas]],0))</f>
        <v>0</v>
      </c>
      <c r="AF18" s="888" t="str">
        <f>IFERROR(INDEX(Produccion_Ganadera_Cuentas[],MATCH(Producción_Ganadera[[#This Row],[Cuenta Contable]],Produccion_Ganadera_Cuentas[Cuenta Contable],0),5),0)</f>
        <v>(+)</v>
      </c>
      <c r="AG18" s="889" t="str">
        <f>IF(Producción_Ganadera[[#This Row],[Cuenta Contable]]=Configuración!$AC$9,"Si","No")</f>
        <v>No</v>
      </c>
      <c r="AH18" s="887" t="str">
        <f>IFERROR(INDEX(Tabla9[],MATCH(Producción_Ganadera[[#This Row],[Movimiento]],Tabla9[Movimientos],0),2),0)</f>
        <v>No</v>
      </c>
      <c r="AI18" s="888" t="str">
        <f>IFERROR(INDEX(Tabla9[],MATCH(Producción_Ganadera[[#This Row],[Movimiento]],Tabla9[Movimientos],0),3),0)</f>
        <v>(-)</v>
      </c>
      <c r="AJ18" s="890">
        <f>IF(Producción_Ganadera[[#This Row],[Fecha Económico]]=0,0,MONTH(Producción_Ganadera[[#This Row],[Fecha Económico]]))</f>
        <v>7</v>
      </c>
      <c r="AK18" s="890">
        <f>IF(Producción_Ganadera[[#This Row],[Fecha Económico]]=0,0,YEAR(Producción_Ganadera[[#This Row],[Fecha Económico]]))</f>
        <v>2018</v>
      </c>
      <c r="AL18" s="891">
        <f>SUMPRODUCT((Producción_Ganadera[[#This Row],[Mes Económico]]=Tipo_Cambio[Mes])*(Producción_Ganadera[[#This Row],[Año Económico]]=Tipo_Cambio[Año])*(Tipo_Cambio[$/U$S]))</f>
        <v>22</v>
      </c>
      <c r="AM18" s="891">
        <f>SUMPRODUCT((Producción_Ganadera[[#This Row],[Mes Económico]]=Tipo_Cambio[Mes])*(Producción_Ganadera[[#This Row],[Año Económico]]=Tipo_Cambio[Año])*(Tipo_Cambio[Actualización]))</f>
        <v>1</v>
      </c>
      <c r="AN18" s="890">
        <f>IF(ISNUMBER(Producción_Ganadera[[#This Row],[Fecha Financiero]])=TRUE,MONTH(Producción_Ganadera[[#This Row],[Fecha Financiero]]),0)</f>
        <v>0</v>
      </c>
      <c r="AO18" s="890">
        <f>IF(ISNUMBER(Producción_Ganadera[[#This Row],[Fecha Financiero]])=TRUE,YEAR(Producción_Ganadera[[#This Row],[Fecha Financiero]]),0)</f>
        <v>0</v>
      </c>
      <c r="AP18" s="891">
        <f>SUMPRODUCT((Producción_Ganadera[[#This Row],[Mes Financiero]]=Tipo_Cambio[Mes])*(Producción_Ganadera[[#This Row],[Año Financiero]]=Tipo_Cambio[Año])*(Tipo_Cambio[$/U$S]))</f>
        <v>0</v>
      </c>
      <c r="AQ18" s="891">
        <f>SUMPRODUCT((Producción_Ganadera[[#This Row],[Mes Financiero]]=Tipo_Cambio[Mes])*(Producción_Ganadera[[#This Row],[Año Financiero]]=Tipo_Cambio[Año])*(Tipo_Cambio[Actualización]))</f>
        <v>0</v>
      </c>
      <c r="AR18" s="892">
        <f>SUMPRODUCT((Producción_Ganadera[[#This Row],[Centro de Costo]]=Tabla19[Centro de Costo])*(Tabla19[Superficie])*(Producción_Ganadera[[#This Row],[Campaña]]=Tabla19[Campaña]))</f>
        <v>0</v>
      </c>
      <c r="AS18" s="891">
        <f>IFERROR(Producción_Ganadera[[#This Row],[Económico $Corrientes]]/Producción_Ganadera[[#This Row],[Superficie]],0)</f>
        <v>0</v>
      </c>
      <c r="AT18" s="891">
        <f>IFERROR(Producción_Ganadera[[#This Row],[Económico $Constantes]]/Producción_Ganadera[[#This Row],[Superficie]],0)</f>
        <v>0</v>
      </c>
      <c r="AU18" s="891">
        <f>IFERROR(Producción_Ganadera[[#This Row],[Económico U$S Dólares]]/Producción_Ganadera[[#This Row],[Superficie]],0)</f>
        <v>0</v>
      </c>
      <c r="AV18" s="887" t="str">
        <f>IF(Económico!$F$4=0,0,Producción_Ganadera[[#This Row],[Centro de Costo]])</f>
        <v>Campo 2</v>
      </c>
    </row>
    <row r="19" spans="1:48" x14ac:dyDescent="0.25">
      <c r="D19" s="478">
        <f>DATE(LEFT(Producción_Ganadera[[#This Row],[Campaña]],4),7,1)</f>
        <v>43282</v>
      </c>
      <c r="E19" s="478"/>
      <c r="F19" s="866" t="str">
        <f t="shared" si="0"/>
        <v>2018-2019</v>
      </c>
      <c r="G19" s="481" t="str">
        <f t="shared" si="1"/>
        <v>Stock Inicio</v>
      </c>
      <c r="H19" s="481" t="s">
        <v>8</v>
      </c>
      <c r="I19" s="481" t="str">
        <f>Configuración!AZ7</f>
        <v>Vaca Vacía</v>
      </c>
      <c r="J19" s="549"/>
      <c r="K19" s="481"/>
      <c r="L19" s="520"/>
      <c r="M1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9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-450</v>
      </c>
      <c r="O19" s="483">
        <v>1</v>
      </c>
      <c r="P19" s="491" t="s">
        <v>140</v>
      </c>
      <c r="Q19" s="875">
        <f>IF(ISNUMBER(Producción_Ganadera[[#This Row],[Cabezas]])=TRUE,Producción_Ganadera[[#This Row],[Cabezas]]*Producción_Ganadera[[#This Row],[Cantidad]],Producción_Ganadera[[#This Row],[Cantidad]])</f>
        <v>1</v>
      </c>
      <c r="R19" s="491"/>
      <c r="S19" s="483" t="s">
        <v>48</v>
      </c>
      <c r="T19" s="485"/>
      <c r="U19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9" s="881">
        <f>IFERROR(Producción_Ganadera[[#This Row],[Económico $Corrientes]]/Producción_Ganadera[[#This Row],[Indexación Económico]],0)</f>
        <v>0</v>
      </c>
      <c r="W1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9" s="881">
        <f>IFERROR(Producción_Ganadera[[#This Row],[Financiero $Corrientes]]/Producción_Ganadera[[#This Row],[Indexación Financiero]],0)</f>
        <v>0</v>
      </c>
      <c r="Z19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9" s="885">
        <f>IFERROR(Producción_Ganadera[[#This Row],[Intereses $Corrientes]]/Producción_Ganadera[[#This Row],[Indexación Financiero]],0)</f>
        <v>0</v>
      </c>
      <c r="AC1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9" s="886" t="str">
        <f>IFERROR(INDEX(Produccion_Ganadera_Cuentas[],MATCH(Producción_Ganadera[[#This Row],[Cuenta Contable]],Produccion_Ganadera_Cuentas[Cuenta Contable],0),2),0)</f>
        <v>Stock Inicio</v>
      </c>
      <c r="AE19" s="887">
        <f>IF(Producción_Ganadera[[#This Row],[Mov. Stock]]="(+)",Producción_Ganadera[[#This Row],[Cabezas]],IF(Producción_Ganadera[[#This Row],[Mov. Stock]]="(-)",-Producción_Ganadera[[#This Row],[Cabezas]],0))</f>
        <v>0</v>
      </c>
      <c r="AF19" s="888" t="str">
        <f>IFERROR(INDEX(Produccion_Ganadera_Cuentas[],MATCH(Producción_Ganadera[[#This Row],[Cuenta Contable]],Produccion_Ganadera_Cuentas[Cuenta Contable],0),5),0)</f>
        <v>(+)</v>
      </c>
      <c r="AG19" s="889" t="str">
        <f>IF(Producción_Ganadera[[#This Row],[Cuenta Contable]]=Configuración!$AC$9,"Si","No")</f>
        <v>No</v>
      </c>
      <c r="AH19" s="887" t="str">
        <f>IFERROR(INDEX(Tabla9[],MATCH(Producción_Ganadera[[#This Row],[Movimiento]],Tabla9[Movimientos],0),2),0)</f>
        <v>No</v>
      </c>
      <c r="AI19" s="888" t="str">
        <f>IFERROR(INDEX(Tabla9[],MATCH(Producción_Ganadera[[#This Row],[Movimiento]],Tabla9[Movimientos],0),3),0)</f>
        <v>(-)</v>
      </c>
      <c r="AJ19" s="890">
        <f>IF(Producción_Ganadera[[#This Row],[Fecha Económico]]=0,0,MONTH(Producción_Ganadera[[#This Row],[Fecha Económico]]))</f>
        <v>7</v>
      </c>
      <c r="AK19" s="890">
        <f>IF(Producción_Ganadera[[#This Row],[Fecha Económico]]=0,0,YEAR(Producción_Ganadera[[#This Row],[Fecha Económico]]))</f>
        <v>2018</v>
      </c>
      <c r="AL19" s="891">
        <f>SUMPRODUCT((Producción_Ganadera[[#This Row],[Mes Económico]]=Tipo_Cambio[Mes])*(Producción_Ganadera[[#This Row],[Año Económico]]=Tipo_Cambio[Año])*(Tipo_Cambio[$/U$S]))</f>
        <v>22</v>
      </c>
      <c r="AM19" s="891">
        <f>SUMPRODUCT((Producción_Ganadera[[#This Row],[Mes Económico]]=Tipo_Cambio[Mes])*(Producción_Ganadera[[#This Row],[Año Económico]]=Tipo_Cambio[Año])*(Tipo_Cambio[Actualización]))</f>
        <v>1</v>
      </c>
      <c r="AN19" s="890">
        <f>IF(ISNUMBER(Producción_Ganadera[[#This Row],[Fecha Financiero]])=TRUE,MONTH(Producción_Ganadera[[#This Row],[Fecha Financiero]]),0)</f>
        <v>0</v>
      </c>
      <c r="AO19" s="890">
        <f>IF(ISNUMBER(Producción_Ganadera[[#This Row],[Fecha Financiero]])=TRUE,YEAR(Producción_Ganadera[[#This Row],[Fecha Financiero]]),0)</f>
        <v>0</v>
      </c>
      <c r="AP19" s="891">
        <f>SUMPRODUCT((Producción_Ganadera[[#This Row],[Mes Financiero]]=Tipo_Cambio[Mes])*(Producción_Ganadera[[#This Row],[Año Financiero]]=Tipo_Cambio[Año])*(Tipo_Cambio[$/U$S]))</f>
        <v>0</v>
      </c>
      <c r="AQ19" s="891">
        <f>SUMPRODUCT((Producción_Ganadera[[#This Row],[Mes Financiero]]=Tipo_Cambio[Mes])*(Producción_Ganadera[[#This Row],[Año Financiero]]=Tipo_Cambio[Año])*(Tipo_Cambio[Actualización]))</f>
        <v>0</v>
      </c>
      <c r="AR19" s="892">
        <f>SUMPRODUCT((Producción_Ganadera[[#This Row],[Centro de Costo]]=Tabla19[Centro de Costo])*(Tabla19[Superficie])*(Producción_Ganadera[[#This Row],[Campaña]]=Tabla19[Campaña]))</f>
        <v>0</v>
      </c>
      <c r="AS19" s="891">
        <f>IFERROR(Producción_Ganadera[[#This Row],[Económico $Corrientes]]/Producción_Ganadera[[#This Row],[Superficie]],0)</f>
        <v>0</v>
      </c>
      <c r="AT19" s="891">
        <f>IFERROR(Producción_Ganadera[[#This Row],[Económico $Constantes]]/Producción_Ganadera[[#This Row],[Superficie]],0)</f>
        <v>0</v>
      </c>
      <c r="AU19" s="891">
        <f>IFERROR(Producción_Ganadera[[#This Row],[Económico U$S Dólares]]/Producción_Ganadera[[#This Row],[Superficie]],0)</f>
        <v>0</v>
      </c>
      <c r="AV19" s="887" t="str">
        <f>IF(Económico!$F$4=0,0,Producción_Ganadera[[#This Row],[Centro de Costo]])</f>
        <v>Campo 2</v>
      </c>
    </row>
    <row r="20" spans="1:48" x14ac:dyDescent="0.25">
      <c r="D20" s="478">
        <f>DATE(LEFT(Producción_Ganadera[[#This Row],[Campaña]],4),7,1)</f>
        <v>43282</v>
      </c>
      <c r="E20" s="478"/>
      <c r="F20" s="866" t="str">
        <f t="shared" si="0"/>
        <v>2018-2019</v>
      </c>
      <c r="G20" s="481" t="str">
        <f t="shared" si="1"/>
        <v>Stock Inicio</v>
      </c>
      <c r="H20" s="481" t="s">
        <v>8</v>
      </c>
      <c r="I20" s="481" t="str">
        <f>Configuración!AZ8</f>
        <v>Vaquillona Preñada</v>
      </c>
      <c r="J20" s="549"/>
      <c r="K20" s="481"/>
      <c r="L20" s="520"/>
      <c r="M2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0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-400</v>
      </c>
      <c r="O20" s="483">
        <v>1</v>
      </c>
      <c r="P20" s="491" t="s">
        <v>140</v>
      </c>
      <c r="Q20" s="875">
        <f>IF(ISNUMBER(Producción_Ganadera[[#This Row],[Cabezas]])=TRUE,Producción_Ganadera[[#This Row],[Cabezas]]*Producción_Ganadera[[#This Row],[Cantidad]],Producción_Ganadera[[#This Row],[Cantidad]])</f>
        <v>1</v>
      </c>
      <c r="R20" s="491"/>
      <c r="S20" s="483" t="s">
        <v>48</v>
      </c>
      <c r="T20" s="485"/>
      <c r="U20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0" s="881">
        <f>IFERROR(Producción_Ganadera[[#This Row],[Económico $Corrientes]]/Producción_Ganadera[[#This Row],[Indexación Económico]],0)</f>
        <v>0</v>
      </c>
      <c r="W2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0" s="881">
        <f>IFERROR(Producción_Ganadera[[#This Row],[Financiero $Corrientes]]/Producción_Ganadera[[#This Row],[Indexación Financiero]],0)</f>
        <v>0</v>
      </c>
      <c r="Z20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0" s="885">
        <f>IFERROR(Producción_Ganadera[[#This Row],[Intereses $Corrientes]]/Producción_Ganadera[[#This Row],[Indexación Financiero]],0)</f>
        <v>0</v>
      </c>
      <c r="AC2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0" s="886" t="str">
        <f>IFERROR(INDEX(Produccion_Ganadera_Cuentas[],MATCH(Producción_Ganadera[[#This Row],[Cuenta Contable]],Produccion_Ganadera_Cuentas[Cuenta Contable],0),2),0)</f>
        <v>Stock Inicio</v>
      </c>
      <c r="AE20" s="887">
        <f>IF(Producción_Ganadera[[#This Row],[Mov. Stock]]="(+)",Producción_Ganadera[[#This Row],[Cabezas]],IF(Producción_Ganadera[[#This Row],[Mov. Stock]]="(-)",-Producción_Ganadera[[#This Row],[Cabezas]],0))</f>
        <v>0</v>
      </c>
      <c r="AF20" s="888" t="str">
        <f>IFERROR(INDEX(Produccion_Ganadera_Cuentas[],MATCH(Producción_Ganadera[[#This Row],[Cuenta Contable]],Produccion_Ganadera_Cuentas[Cuenta Contable],0),5),0)</f>
        <v>(+)</v>
      </c>
      <c r="AG20" s="889" t="str">
        <f>IF(Producción_Ganadera[[#This Row],[Cuenta Contable]]=Configuración!$AC$9,"Si","No")</f>
        <v>No</v>
      </c>
      <c r="AH20" s="887" t="str">
        <f>IFERROR(INDEX(Tabla9[],MATCH(Producción_Ganadera[[#This Row],[Movimiento]],Tabla9[Movimientos],0),2),0)</f>
        <v>No</v>
      </c>
      <c r="AI20" s="888" t="str">
        <f>IFERROR(INDEX(Tabla9[],MATCH(Producción_Ganadera[[#This Row],[Movimiento]],Tabla9[Movimientos],0),3),0)</f>
        <v>(-)</v>
      </c>
      <c r="AJ20" s="890">
        <f>IF(Producción_Ganadera[[#This Row],[Fecha Económico]]=0,0,MONTH(Producción_Ganadera[[#This Row],[Fecha Económico]]))</f>
        <v>7</v>
      </c>
      <c r="AK20" s="890">
        <f>IF(Producción_Ganadera[[#This Row],[Fecha Económico]]=0,0,YEAR(Producción_Ganadera[[#This Row],[Fecha Económico]]))</f>
        <v>2018</v>
      </c>
      <c r="AL20" s="891">
        <f>SUMPRODUCT((Producción_Ganadera[[#This Row],[Mes Económico]]=Tipo_Cambio[Mes])*(Producción_Ganadera[[#This Row],[Año Económico]]=Tipo_Cambio[Año])*(Tipo_Cambio[$/U$S]))</f>
        <v>22</v>
      </c>
      <c r="AM20" s="891">
        <f>SUMPRODUCT((Producción_Ganadera[[#This Row],[Mes Económico]]=Tipo_Cambio[Mes])*(Producción_Ganadera[[#This Row],[Año Económico]]=Tipo_Cambio[Año])*(Tipo_Cambio[Actualización]))</f>
        <v>1</v>
      </c>
      <c r="AN20" s="890">
        <f>IF(ISNUMBER(Producción_Ganadera[[#This Row],[Fecha Financiero]])=TRUE,MONTH(Producción_Ganadera[[#This Row],[Fecha Financiero]]),0)</f>
        <v>0</v>
      </c>
      <c r="AO20" s="890">
        <f>IF(ISNUMBER(Producción_Ganadera[[#This Row],[Fecha Financiero]])=TRUE,YEAR(Producción_Ganadera[[#This Row],[Fecha Financiero]]),0)</f>
        <v>0</v>
      </c>
      <c r="AP20" s="891">
        <f>SUMPRODUCT((Producción_Ganadera[[#This Row],[Mes Financiero]]=Tipo_Cambio[Mes])*(Producción_Ganadera[[#This Row],[Año Financiero]]=Tipo_Cambio[Año])*(Tipo_Cambio[$/U$S]))</f>
        <v>0</v>
      </c>
      <c r="AQ20" s="891">
        <f>SUMPRODUCT((Producción_Ganadera[[#This Row],[Mes Financiero]]=Tipo_Cambio[Mes])*(Producción_Ganadera[[#This Row],[Año Financiero]]=Tipo_Cambio[Año])*(Tipo_Cambio[Actualización]))</f>
        <v>0</v>
      </c>
      <c r="AR20" s="892">
        <f>SUMPRODUCT((Producción_Ganadera[[#This Row],[Centro de Costo]]=Tabla19[Centro de Costo])*(Tabla19[Superficie])*(Producción_Ganadera[[#This Row],[Campaña]]=Tabla19[Campaña]))</f>
        <v>0</v>
      </c>
      <c r="AS20" s="891">
        <f>IFERROR(Producción_Ganadera[[#This Row],[Económico $Corrientes]]/Producción_Ganadera[[#This Row],[Superficie]],0)</f>
        <v>0</v>
      </c>
      <c r="AT20" s="891">
        <f>IFERROR(Producción_Ganadera[[#This Row],[Económico $Constantes]]/Producción_Ganadera[[#This Row],[Superficie]],0)</f>
        <v>0</v>
      </c>
      <c r="AU20" s="891">
        <f>IFERROR(Producción_Ganadera[[#This Row],[Económico U$S Dólares]]/Producción_Ganadera[[#This Row],[Superficie]],0)</f>
        <v>0</v>
      </c>
      <c r="AV20" s="887" t="str">
        <f>IF(Económico!$F$4=0,0,Producción_Ganadera[[#This Row],[Centro de Costo]])</f>
        <v>Campo 2</v>
      </c>
    </row>
    <row r="21" spans="1:48" x14ac:dyDescent="0.25">
      <c r="D21" s="478">
        <f>DATE(LEFT(Producción_Ganadera[[#This Row],[Campaña]],4),7,1)</f>
        <v>43282</v>
      </c>
      <c r="E21" s="478"/>
      <c r="F21" s="866" t="str">
        <f t="shared" si="0"/>
        <v>2018-2019</v>
      </c>
      <c r="G21" s="481" t="str">
        <f t="shared" si="1"/>
        <v>Stock Inicio</v>
      </c>
      <c r="H21" s="481" t="s">
        <v>8</v>
      </c>
      <c r="I21" s="481" t="str">
        <f>Configuración!AZ9</f>
        <v>Vaquillona 06-15</v>
      </c>
      <c r="J21" s="549"/>
      <c r="K21" s="481"/>
      <c r="L21" s="520"/>
      <c r="M2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1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-200</v>
      </c>
      <c r="O21" s="483">
        <v>1</v>
      </c>
      <c r="P21" s="491" t="s">
        <v>140</v>
      </c>
      <c r="Q21" s="875">
        <f>IF(ISNUMBER(Producción_Ganadera[[#This Row],[Cabezas]])=TRUE,Producción_Ganadera[[#This Row],[Cabezas]]*Producción_Ganadera[[#This Row],[Cantidad]],Producción_Ganadera[[#This Row],[Cantidad]])</f>
        <v>1</v>
      </c>
      <c r="R21" s="491"/>
      <c r="S21" s="483" t="s">
        <v>48</v>
      </c>
      <c r="T21" s="485"/>
      <c r="U21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1" s="881">
        <f>IFERROR(Producción_Ganadera[[#This Row],[Económico $Corrientes]]/Producción_Ganadera[[#This Row],[Indexación Económico]],0)</f>
        <v>0</v>
      </c>
      <c r="W2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1" s="881">
        <f>IFERROR(Producción_Ganadera[[#This Row],[Financiero $Corrientes]]/Producción_Ganadera[[#This Row],[Indexación Financiero]],0)</f>
        <v>0</v>
      </c>
      <c r="Z21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1" s="885">
        <f>IFERROR(Producción_Ganadera[[#This Row],[Intereses $Corrientes]]/Producción_Ganadera[[#This Row],[Indexación Financiero]],0)</f>
        <v>0</v>
      </c>
      <c r="AC2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1" s="886" t="str">
        <f>IFERROR(INDEX(Produccion_Ganadera_Cuentas[],MATCH(Producción_Ganadera[[#This Row],[Cuenta Contable]],Produccion_Ganadera_Cuentas[Cuenta Contable],0),2),0)</f>
        <v>Stock Inicio</v>
      </c>
      <c r="AE21" s="887">
        <f>IF(Producción_Ganadera[[#This Row],[Mov. Stock]]="(+)",Producción_Ganadera[[#This Row],[Cabezas]],IF(Producción_Ganadera[[#This Row],[Mov. Stock]]="(-)",-Producción_Ganadera[[#This Row],[Cabezas]],0))</f>
        <v>0</v>
      </c>
      <c r="AF21" s="888" t="str">
        <f>IFERROR(INDEX(Produccion_Ganadera_Cuentas[],MATCH(Producción_Ganadera[[#This Row],[Cuenta Contable]],Produccion_Ganadera_Cuentas[Cuenta Contable],0),5),0)</f>
        <v>(+)</v>
      </c>
      <c r="AG21" s="889" t="str">
        <f>IF(Producción_Ganadera[[#This Row],[Cuenta Contable]]=Configuración!$AC$9,"Si","No")</f>
        <v>No</v>
      </c>
      <c r="AH21" s="887" t="str">
        <f>IFERROR(INDEX(Tabla9[],MATCH(Producción_Ganadera[[#This Row],[Movimiento]],Tabla9[Movimientos],0),2),0)</f>
        <v>No</v>
      </c>
      <c r="AI21" s="888" t="str">
        <f>IFERROR(INDEX(Tabla9[],MATCH(Producción_Ganadera[[#This Row],[Movimiento]],Tabla9[Movimientos],0),3),0)</f>
        <v>(-)</v>
      </c>
      <c r="AJ21" s="890">
        <f>IF(Producción_Ganadera[[#This Row],[Fecha Económico]]=0,0,MONTH(Producción_Ganadera[[#This Row],[Fecha Económico]]))</f>
        <v>7</v>
      </c>
      <c r="AK21" s="890">
        <f>IF(Producción_Ganadera[[#This Row],[Fecha Económico]]=0,0,YEAR(Producción_Ganadera[[#This Row],[Fecha Económico]]))</f>
        <v>2018</v>
      </c>
      <c r="AL21" s="891">
        <f>SUMPRODUCT((Producción_Ganadera[[#This Row],[Mes Económico]]=Tipo_Cambio[Mes])*(Producción_Ganadera[[#This Row],[Año Económico]]=Tipo_Cambio[Año])*(Tipo_Cambio[$/U$S]))</f>
        <v>22</v>
      </c>
      <c r="AM21" s="891">
        <f>SUMPRODUCT((Producción_Ganadera[[#This Row],[Mes Económico]]=Tipo_Cambio[Mes])*(Producción_Ganadera[[#This Row],[Año Económico]]=Tipo_Cambio[Año])*(Tipo_Cambio[Actualización]))</f>
        <v>1</v>
      </c>
      <c r="AN21" s="890">
        <f>IF(ISNUMBER(Producción_Ganadera[[#This Row],[Fecha Financiero]])=TRUE,MONTH(Producción_Ganadera[[#This Row],[Fecha Financiero]]),0)</f>
        <v>0</v>
      </c>
      <c r="AO21" s="890">
        <f>IF(ISNUMBER(Producción_Ganadera[[#This Row],[Fecha Financiero]])=TRUE,YEAR(Producción_Ganadera[[#This Row],[Fecha Financiero]]),0)</f>
        <v>0</v>
      </c>
      <c r="AP21" s="891">
        <f>SUMPRODUCT((Producción_Ganadera[[#This Row],[Mes Financiero]]=Tipo_Cambio[Mes])*(Producción_Ganadera[[#This Row],[Año Financiero]]=Tipo_Cambio[Año])*(Tipo_Cambio[$/U$S]))</f>
        <v>0</v>
      </c>
      <c r="AQ21" s="891">
        <f>SUMPRODUCT((Producción_Ganadera[[#This Row],[Mes Financiero]]=Tipo_Cambio[Mes])*(Producción_Ganadera[[#This Row],[Año Financiero]]=Tipo_Cambio[Año])*(Tipo_Cambio[Actualización]))</f>
        <v>0</v>
      </c>
      <c r="AR21" s="892">
        <f>SUMPRODUCT((Producción_Ganadera[[#This Row],[Centro de Costo]]=Tabla19[Centro de Costo])*(Tabla19[Superficie])*(Producción_Ganadera[[#This Row],[Campaña]]=Tabla19[Campaña]))</f>
        <v>0</v>
      </c>
      <c r="AS21" s="891">
        <f>IFERROR(Producción_Ganadera[[#This Row],[Económico $Corrientes]]/Producción_Ganadera[[#This Row],[Superficie]],0)</f>
        <v>0</v>
      </c>
      <c r="AT21" s="891">
        <f>IFERROR(Producción_Ganadera[[#This Row],[Económico $Constantes]]/Producción_Ganadera[[#This Row],[Superficie]],0)</f>
        <v>0</v>
      </c>
      <c r="AU21" s="891">
        <f>IFERROR(Producción_Ganadera[[#This Row],[Económico U$S Dólares]]/Producción_Ganadera[[#This Row],[Superficie]],0)</f>
        <v>0</v>
      </c>
      <c r="AV21" s="887" t="str">
        <f>IF(Económico!$F$4=0,0,Producción_Ganadera[[#This Row],[Centro de Costo]])</f>
        <v>Campo 2</v>
      </c>
    </row>
    <row r="22" spans="1:48" x14ac:dyDescent="0.25">
      <c r="D22" s="478">
        <f>DATE(LEFT(Producción_Ganadera[[#This Row],[Campaña]],4),7,1)</f>
        <v>43282</v>
      </c>
      <c r="E22" s="478"/>
      <c r="F22" s="866" t="str">
        <f t="shared" si="0"/>
        <v>2018-2019</v>
      </c>
      <c r="G22" s="481" t="str">
        <f t="shared" si="1"/>
        <v>Stock Inicio</v>
      </c>
      <c r="H22" s="481" t="s">
        <v>8</v>
      </c>
      <c r="I22" s="481" t="str">
        <f>Configuración!AZ10</f>
        <v>Vaquillona 15-27</v>
      </c>
      <c r="J22" s="549"/>
      <c r="K22" s="481"/>
      <c r="L22" s="520"/>
      <c r="M2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2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-300</v>
      </c>
      <c r="O22" s="483">
        <v>1</v>
      </c>
      <c r="P22" s="491" t="s">
        <v>140</v>
      </c>
      <c r="Q22" s="875">
        <f>IF(ISNUMBER(Producción_Ganadera[[#This Row],[Cabezas]])=TRUE,Producción_Ganadera[[#This Row],[Cabezas]]*Producción_Ganadera[[#This Row],[Cantidad]],Producción_Ganadera[[#This Row],[Cantidad]])</f>
        <v>1</v>
      </c>
      <c r="R22" s="491"/>
      <c r="S22" s="483" t="s">
        <v>48</v>
      </c>
      <c r="T22" s="485"/>
      <c r="U22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2" s="881">
        <f>IFERROR(Producción_Ganadera[[#This Row],[Económico $Corrientes]]/Producción_Ganadera[[#This Row],[Indexación Económico]],0)</f>
        <v>0</v>
      </c>
      <c r="W2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2" s="881">
        <f>IFERROR(Producción_Ganadera[[#This Row],[Financiero $Corrientes]]/Producción_Ganadera[[#This Row],[Indexación Financiero]],0)</f>
        <v>0</v>
      </c>
      <c r="Z22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2" s="885">
        <f>IFERROR(Producción_Ganadera[[#This Row],[Intereses $Corrientes]]/Producción_Ganadera[[#This Row],[Indexación Financiero]],0)</f>
        <v>0</v>
      </c>
      <c r="AC2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2" s="886" t="str">
        <f>IFERROR(INDEX(Produccion_Ganadera_Cuentas[],MATCH(Producción_Ganadera[[#This Row],[Cuenta Contable]],Produccion_Ganadera_Cuentas[Cuenta Contable],0),2),0)</f>
        <v>Stock Inicio</v>
      </c>
      <c r="AE22" s="887">
        <f>IF(Producción_Ganadera[[#This Row],[Mov. Stock]]="(+)",Producción_Ganadera[[#This Row],[Cabezas]],IF(Producción_Ganadera[[#This Row],[Mov. Stock]]="(-)",-Producción_Ganadera[[#This Row],[Cabezas]],0))</f>
        <v>0</v>
      </c>
      <c r="AF22" s="888" t="str">
        <f>IFERROR(INDEX(Produccion_Ganadera_Cuentas[],MATCH(Producción_Ganadera[[#This Row],[Cuenta Contable]],Produccion_Ganadera_Cuentas[Cuenta Contable],0),5),0)</f>
        <v>(+)</v>
      </c>
      <c r="AG22" s="889" t="str">
        <f>IF(Producción_Ganadera[[#This Row],[Cuenta Contable]]=Configuración!$AC$9,"Si","No")</f>
        <v>No</v>
      </c>
      <c r="AH22" s="887" t="str">
        <f>IFERROR(INDEX(Tabla9[],MATCH(Producción_Ganadera[[#This Row],[Movimiento]],Tabla9[Movimientos],0),2),0)</f>
        <v>No</v>
      </c>
      <c r="AI22" s="888" t="str">
        <f>IFERROR(INDEX(Tabla9[],MATCH(Producción_Ganadera[[#This Row],[Movimiento]],Tabla9[Movimientos],0),3),0)</f>
        <v>(-)</v>
      </c>
      <c r="AJ22" s="890">
        <f>IF(Producción_Ganadera[[#This Row],[Fecha Económico]]=0,0,MONTH(Producción_Ganadera[[#This Row],[Fecha Económico]]))</f>
        <v>7</v>
      </c>
      <c r="AK22" s="890">
        <f>IF(Producción_Ganadera[[#This Row],[Fecha Económico]]=0,0,YEAR(Producción_Ganadera[[#This Row],[Fecha Económico]]))</f>
        <v>2018</v>
      </c>
      <c r="AL22" s="891">
        <f>SUMPRODUCT((Producción_Ganadera[[#This Row],[Mes Económico]]=Tipo_Cambio[Mes])*(Producción_Ganadera[[#This Row],[Año Económico]]=Tipo_Cambio[Año])*(Tipo_Cambio[$/U$S]))</f>
        <v>22</v>
      </c>
      <c r="AM22" s="891">
        <f>SUMPRODUCT((Producción_Ganadera[[#This Row],[Mes Económico]]=Tipo_Cambio[Mes])*(Producción_Ganadera[[#This Row],[Año Económico]]=Tipo_Cambio[Año])*(Tipo_Cambio[Actualización]))</f>
        <v>1</v>
      </c>
      <c r="AN22" s="890">
        <f>IF(ISNUMBER(Producción_Ganadera[[#This Row],[Fecha Financiero]])=TRUE,MONTH(Producción_Ganadera[[#This Row],[Fecha Financiero]]),0)</f>
        <v>0</v>
      </c>
      <c r="AO22" s="890">
        <f>IF(ISNUMBER(Producción_Ganadera[[#This Row],[Fecha Financiero]])=TRUE,YEAR(Producción_Ganadera[[#This Row],[Fecha Financiero]]),0)</f>
        <v>0</v>
      </c>
      <c r="AP22" s="891">
        <f>SUMPRODUCT((Producción_Ganadera[[#This Row],[Mes Financiero]]=Tipo_Cambio[Mes])*(Producción_Ganadera[[#This Row],[Año Financiero]]=Tipo_Cambio[Año])*(Tipo_Cambio[$/U$S]))</f>
        <v>0</v>
      </c>
      <c r="AQ22" s="891">
        <f>SUMPRODUCT((Producción_Ganadera[[#This Row],[Mes Financiero]]=Tipo_Cambio[Mes])*(Producción_Ganadera[[#This Row],[Año Financiero]]=Tipo_Cambio[Año])*(Tipo_Cambio[Actualización]))</f>
        <v>0</v>
      </c>
      <c r="AR22" s="892">
        <f>SUMPRODUCT((Producción_Ganadera[[#This Row],[Centro de Costo]]=Tabla19[Centro de Costo])*(Tabla19[Superficie])*(Producción_Ganadera[[#This Row],[Campaña]]=Tabla19[Campaña]))</f>
        <v>0</v>
      </c>
      <c r="AS22" s="891">
        <f>IFERROR(Producción_Ganadera[[#This Row],[Económico $Corrientes]]/Producción_Ganadera[[#This Row],[Superficie]],0)</f>
        <v>0</v>
      </c>
      <c r="AT22" s="891">
        <f>IFERROR(Producción_Ganadera[[#This Row],[Económico $Constantes]]/Producción_Ganadera[[#This Row],[Superficie]],0)</f>
        <v>0</v>
      </c>
      <c r="AU22" s="891">
        <f>IFERROR(Producción_Ganadera[[#This Row],[Económico U$S Dólares]]/Producción_Ganadera[[#This Row],[Superficie]],0)</f>
        <v>0</v>
      </c>
      <c r="AV22" s="887" t="str">
        <f>IF(Económico!$F$4=0,0,Producción_Ganadera[[#This Row],[Centro de Costo]])</f>
        <v>Campo 2</v>
      </c>
    </row>
    <row r="23" spans="1:48" x14ac:dyDescent="0.25">
      <c r="D23" s="478">
        <f>DATE(LEFT(Producción_Ganadera[[#This Row],[Campaña]],4),7,1)</f>
        <v>43282</v>
      </c>
      <c r="E23" s="478"/>
      <c r="F23" s="866" t="str">
        <f t="shared" si="0"/>
        <v>2018-2019</v>
      </c>
      <c r="G23" s="481" t="str">
        <f t="shared" si="1"/>
        <v>Stock Inicio</v>
      </c>
      <c r="H23" s="481" t="s">
        <v>8</v>
      </c>
      <c r="I23" s="481" t="str">
        <f>Configuración!AZ11</f>
        <v>Ternera</v>
      </c>
      <c r="J23" s="549"/>
      <c r="K23" s="481"/>
      <c r="L23" s="520"/>
      <c r="M2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3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-80</v>
      </c>
      <c r="O23" s="483">
        <v>1</v>
      </c>
      <c r="P23" s="491" t="s">
        <v>140</v>
      </c>
      <c r="Q23" s="875">
        <f>IF(ISNUMBER(Producción_Ganadera[[#This Row],[Cabezas]])=TRUE,Producción_Ganadera[[#This Row],[Cabezas]]*Producción_Ganadera[[#This Row],[Cantidad]],Producción_Ganadera[[#This Row],[Cantidad]])</f>
        <v>1</v>
      </c>
      <c r="R23" s="491"/>
      <c r="S23" s="483" t="s">
        <v>48</v>
      </c>
      <c r="T23" s="485"/>
      <c r="U23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3" s="881">
        <f>IFERROR(Producción_Ganadera[[#This Row],[Económico $Corrientes]]/Producción_Ganadera[[#This Row],[Indexación Económico]],0)</f>
        <v>0</v>
      </c>
      <c r="W2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3" s="881">
        <f>IFERROR(Producción_Ganadera[[#This Row],[Financiero $Corrientes]]/Producción_Ganadera[[#This Row],[Indexación Financiero]],0)</f>
        <v>0</v>
      </c>
      <c r="Z23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3" s="885">
        <f>IFERROR(Producción_Ganadera[[#This Row],[Intereses $Corrientes]]/Producción_Ganadera[[#This Row],[Indexación Financiero]],0)</f>
        <v>0</v>
      </c>
      <c r="AC2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3" s="886" t="str">
        <f>IFERROR(INDEX(Produccion_Ganadera_Cuentas[],MATCH(Producción_Ganadera[[#This Row],[Cuenta Contable]],Produccion_Ganadera_Cuentas[Cuenta Contable],0),2),0)</f>
        <v>Stock Inicio</v>
      </c>
      <c r="AE23" s="887">
        <f>IF(Producción_Ganadera[[#This Row],[Mov. Stock]]="(+)",Producción_Ganadera[[#This Row],[Cabezas]],IF(Producción_Ganadera[[#This Row],[Mov. Stock]]="(-)",-Producción_Ganadera[[#This Row],[Cabezas]],0))</f>
        <v>0</v>
      </c>
      <c r="AF23" s="888" t="str">
        <f>IFERROR(INDEX(Produccion_Ganadera_Cuentas[],MATCH(Producción_Ganadera[[#This Row],[Cuenta Contable]],Produccion_Ganadera_Cuentas[Cuenta Contable],0),5),0)</f>
        <v>(+)</v>
      </c>
      <c r="AG23" s="889" t="str">
        <f>IF(Producción_Ganadera[[#This Row],[Cuenta Contable]]=Configuración!$AC$9,"Si","No")</f>
        <v>No</v>
      </c>
      <c r="AH23" s="887" t="str">
        <f>IFERROR(INDEX(Tabla9[],MATCH(Producción_Ganadera[[#This Row],[Movimiento]],Tabla9[Movimientos],0),2),0)</f>
        <v>No</v>
      </c>
      <c r="AI23" s="888" t="str">
        <f>IFERROR(INDEX(Tabla9[],MATCH(Producción_Ganadera[[#This Row],[Movimiento]],Tabla9[Movimientos],0),3),0)</f>
        <v>(-)</v>
      </c>
      <c r="AJ23" s="890">
        <f>IF(Producción_Ganadera[[#This Row],[Fecha Económico]]=0,0,MONTH(Producción_Ganadera[[#This Row],[Fecha Económico]]))</f>
        <v>7</v>
      </c>
      <c r="AK23" s="890">
        <f>IF(Producción_Ganadera[[#This Row],[Fecha Económico]]=0,0,YEAR(Producción_Ganadera[[#This Row],[Fecha Económico]]))</f>
        <v>2018</v>
      </c>
      <c r="AL23" s="891">
        <f>SUMPRODUCT((Producción_Ganadera[[#This Row],[Mes Económico]]=Tipo_Cambio[Mes])*(Producción_Ganadera[[#This Row],[Año Económico]]=Tipo_Cambio[Año])*(Tipo_Cambio[$/U$S]))</f>
        <v>22</v>
      </c>
      <c r="AM23" s="891">
        <f>SUMPRODUCT((Producción_Ganadera[[#This Row],[Mes Económico]]=Tipo_Cambio[Mes])*(Producción_Ganadera[[#This Row],[Año Económico]]=Tipo_Cambio[Año])*(Tipo_Cambio[Actualización]))</f>
        <v>1</v>
      </c>
      <c r="AN23" s="890">
        <f>IF(ISNUMBER(Producción_Ganadera[[#This Row],[Fecha Financiero]])=TRUE,MONTH(Producción_Ganadera[[#This Row],[Fecha Financiero]]),0)</f>
        <v>0</v>
      </c>
      <c r="AO23" s="890">
        <f>IF(ISNUMBER(Producción_Ganadera[[#This Row],[Fecha Financiero]])=TRUE,YEAR(Producción_Ganadera[[#This Row],[Fecha Financiero]]),0)</f>
        <v>0</v>
      </c>
      <c r="AP23" s="891">
        <f>SUMPRODUCT((Producción_Ganadera[[#This Row],[Mes Financiero]]=Tipo_Cambio[Mes])*(Producción_Ganadera[[#This Row],[Año Financiero]]=Tipo_Cambio[Año])*(Tipo_Cambio[$/U$S]))</f>
        <v>0</v>
      </c>
      <c r="AQ23" s="891">
        <f>SUMPRODUCT((Producción_Ganadera[[#This Row],[Mes Financiero]]=Tipo_Cambio[Mes])*(Producción_Ganadera[[#This Row],[Año Financiero]]=Tipo_Cambio[Año])*(Tipo_Cambio[Actualización]))</f>
        <v>0</v>
      </c>
      <c r="AR23" s="892">
        <f>SUMPRODUCT((Producción_Ganadera[[#This Row],[Centro de Costo]]=Tabla19[Centro de Costo])*(Tabla19[Superficie])*(Producción_Ganadera[[#This Row],[Campaña]]=Tabla19[Campaña]))</f>
        <v>0</v>
      </c>
      <c r="AS23" s="891">
        <f>IFERROR(Producción_Ganadera[[#This Row],[Económico $Corrientes]]/Producción_Ganadera[[#This Row],[Superficie]],0)</f>
        <v>0</v>
      </c>
      <c r="AT23" s="891">
        <f>IFERROR(Producción_Ganadera[[#This Row],[Económico $Constantes]]/Producción_Ganadera[[#This Row],[Superficie]],0)</f>
        <v>0</v>
      </c>
      <c r="AU23" s="891">
        <f>IFERROR(Producción_Ganadera[[#This Row],[Económico U$S Dólares]]/Producción_Ganadera[[#This Row],[Superficie]],0)</f>
        <v>0</v>
      </c>
      <c r="AV23" s="887" t="str">
        <f>IF(Económico!$F$4=0,0,Producción_Ganadera[[#This Row],[Centro de Costo]])</f>
        <v>Campo 2</v>
      </c>
    </row>
    <row r="24" spans="1:48" x14ac:dyDescent="0.25">
      <c r="D24" s="478">
        <f>DATE(LEFT(Producción_Ganadera[[#This Row],[Campaña]],4),7,1)</f>
        <v>43282</v>
      </c>
      <c r="E24" s="478"/>
      <c r="F24" s="866" t="str">
        <f t="shared" si="0"/>
        <v>2018-2019</v>
      </c>
      <c r="G24" s="481" t="str">
        <f t="shared" si="1"/>
        <v>Stock Inicio</v>
      </c>
      <c r="H24" s="481" t="s">
        <v>8</v>
      </c>
      <c r="I24" s="481" t="str">
        <f>Configuración!AZ12</f>
        <v>Ternero</v>
      </c>
      <c r="J24" s="549"/>
      <c r="K24" s="481"/>
      <c r="L24" s="520"/>
      <c r="M2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4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-80</v>
      </c>
      <c r="O24" s="483">
        <v>1</v>
      </c>
      <c r="P24" s="491" t="s">
        <v>140</v>
      </c>
      <c r="Q24" s="875">
        <f>IF(ISNUMBER(Producción_Ganadera[[#This Row],[Cabezas]])=TRUE,Producción_Ganadera[[#This Row],[Cabezas]]*Producción_Ganadera[[#This Row],[Cantidad]],Producción_Ganadera[[#This Row],[Cantidad]])</f>
        <v>1</v>
      </c>
      <c r="R24" s="491"/>
      <c r="S24" s="483" t="s">
        <v>48</v>
      </c>
      <c r="T24" s="485"/>
      <c r="U24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4" s="881">
        <f>IFERROR(Producción_Ganadera[[#This Row],[Económico $Corrientes]]/Producción_Ganadera[[#This Row],[Indexación Económico]],0)</f>
        <v>0</v>
      </c>
      <c r="W2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4" s="881">
        <f>IFERROR(Producción_Ganadera[[#This Row],[Financiero $Corrientes]]/Producción_Ganadera[[#This Row],[Indexación Financiero]],0)</f>
        <v>0</v>
      </c>
      <c r="Z24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4" s="885">
        <f>IFERROR(Producción_Ganadera[[#This Row],[Intereses $Corrientes]]/Producción_Ganadera[[#This Row],[Indexación Financiero]],0)</f>
        <v>0</v>
      </c>
      <c r="AC2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4" s="886" t="str">
        <f>IFERROR(INDEX(Produccion_Ganadera_Cuentas[],MATCH(Producción_Ganadera[[#This Row],[Cuenta Contable]],Produccion_Ganadera_Cuentas[Cuenta Contable],0),2),0)</f>
        <v>Stock Inicio</v>
      </c>
      <c r="AE24" s="887">
        <f>IF(Producción_Ganadera[[#This Row],[Mov. Stock]]="(+)",Producción_Ganadera[[#This Row],[Cabezas]],IF(Producción_Ganadera[[#This Row],[Mov. Stock]]="(-)",-Producción_Ganadera[[#This Row],[Cabezas]],0))</f>
        <v>0</v>
      </c>
      <c r="AF24" s="888" t="str">
        <f>IFERROR(INDEX(Produccion_Ganadera_Cuentas[],MATCH(Producción_Ganadera[[#This Row],[Cuenta Contable]],Produccion_Ganadera_Cuentas[Cuenta Contable],0),5),0)</f>
        <v>(+)</v>
      </c>
      <c r="AG24" s="889" t="str">
        <f>IF(Producción_Ganadera[[#This Row],[Cuenta Contable]]=Configuración!$AC$9,"Si","No")</f>
        <v>No</v>
      </c>
      <c r="AH24" s="887" t="str">
        <f>IFERROR(INDEX(Tabla9[],MATCH(Producción_Ganadera[[#This Row],[Movimiento]],Tabla9[Movimientos],0),2),0)</f>
        <v>No</v>
      </c>
      <c r="AI24" s="888" t="str">
        <f>IFERROR(INDEX(Tabla9[],MATCH(Producción_Ganadera[[#This Row],[Movimiento]],Tabla9[Movimientos],0),3),0)</f>
        <v>(-)</v>
      </c>
      <c r="AJ24" s="890">
        <f>IF(Producción_Ganadera[[#This Row],[Fecha Económico]]=0,0,MONTH(Producción_Ganadera[[#This Row],[Fecha Económico]]))</f>
        <v>7</v>
      </c>
      <c r="AK24" s="890">
        <f>IF(Producción_Ganadera[[#This Row],[Fecha Económico]]=0,0,YEAR(Producción_Ganadera[[#This Row],[Fecha Económico]]))</f>
        <v>2018</v>
      </c>
      <c r="AL24" s="891">
        <f>SUMPRODUCT((Producción_Ganadera[[#This Row],[Mes Económico]]=Tipo_Cambio[Mes])*(Producción_Ganadera[[#This Row],[Año Económico]]=Tipo_Cambio[Año])*(Tipo_Cambio[$/U$S]))</f>
        <v>22</v>
      </c>
      <c r="AM24" s="891">
        <f>SUMPRODUCT((Producción_Ganadera[[#This Row],[Mes Económico]]=Tipo_Cambio[Mes])*(Producción_Ganadera[[#This Row],[Año Económico]]=Tipo_Cambio[Año])*(Tipo_Cambio[Actualización]))</f>
        <v>1</v>
      </c>
      <c r="AN24" s="890">
        <f>IF(ISNUMBER(Producción_Ganadera[[#This Row],[Fecha Financiero]])=TRUE,MONTH(Producción_Ganadera[[#This Row],[Fecha Financiero]]),0)</f>
        <v>0</v>
      </c>
      <c r="AO24" s="890">
        <f>IF(ISNUMBER(Producción_Ganadera[[#This Row],[Fecha Financiero]])=TRUE,YEAR(Producción_Ganadera[[#This Row],[Fecha Financiero]]),0)</f>
        <v>0</v>
      </c>
      <c r="AP24" s="891">
        <f>SUMPRODUCT((Producción_Ganadera[[#This Row],[Mes Financiero]]=Tipo_Cambio[Mes])*(Producción_Ganadera[[#This Row],[Año Financiero]]=Tipo_Cambio[Año])*(Tipo_Cambio[$/U$S]))</f>
        <v>0</v>
      </c>
      <c r="AQ24" s="891">
        <f>SUMPRODUCT((Producción_Ganadera[[#This Row],[Mes Financiero]]=Tipo_Cambio[Mes])*(Producción_Ganadera[[#This Row],[Año Financiero]]=Tipo_Cambio[Año])*(Tipo_Cambio[Actualización]))</f>
        <v>0</v>
      </c>
      <c r="AR24" s="892">
        <f>SUMPRODUCT((Producción_Ganadera[[#This Row],[Centro de Costo]]=Tabla19[Centro de Costo])*(Tabla19[Superficie])*(Producción_Ganadera[[#This Row],[Campaña]]=Tabla19[Campaña]))</f>
        <v>0</v>
      </c>
      <c r="AS24" s="891">
        <f>IFERROR(Producción_Ganadera[[#This Row],[Económico $Corrientes]]/Producción_Ganadera[[#This Row],[Superficie]],0)</f>
        <v>0</v>
      </c>
      <c r="AT24" s="891">
        <f>IFERROR(Producción_Ganadera[[#This Row],[Económico $Constantes]]/Producción_Ganadera[[#This Row],[Superficie]],0)</f>
        <v>0</v>
      </c>
      <c r="AU24" s="891">
        <f>IFERROR(Producción_Ganadera[[#This Row],[Económico U$S Dólares]]/Producción_Ganadera[[#This Row],[Superficie]],0)</f>
        <v>0</v>
      </c>
      <c r="AV24" s="887" t="str">
        <f>IF(Económico!$F$4=0,0,Producción_Ganadera[[#This Row],[Centro de Costo]])</f>
        <v>Campo 2</v>
      </c>
    </row>
    <row r="25" spans="1:48" x14ac:dyDescent="0.25">
      <c r="D25" s="478">
        <f>DATE(LEFT(Producción_Ganadera[[#This Row],[Campaña]],4),7,1)</f>
        <v>43282</v>
      </c>
      <c r="E25" s="478"/>
      <c r="F25" s="866" t="str">
        <f t="shared" si="0"/>
        <v>2018-2019</v>
      </c>
      <c r="G25" s="481" t="str">
        <f t="shared" si="1"/>
        <v>Stock Inicio</v>
      </c>
      <c r="H25" s="481" t="s">
        <v>8</v>
      </c>
      <c r="I25" s="481" t="str">
        <f>Configuración!AZ13</f>
        <v>Toro</v>
      </c>
      <c r="J25" s="549"/>
      <c r="K25" s="481"/>
      <c r="L25" s="520"/>
      <c r="M2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5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-600</v>
      </c>
      <c r="O25" s="483">
        <v>1</v>
      </c>
      <c r="P25" s="491" t="s">
        <v>140</v>
      </c>
      <c r="Q25" s="875">
        <f>IF(ISNUMBER(Producción_Ganadera[[#This Row],[Cabezas]])=TRUE,Producción_Ganadera[[#This Row],[Cabezas]]*Producción_Ganadera[[#This Row],[Cantidad]],Producción_Ganadera[[#This Row],[Cantidad]])</f>
        <v>1</v>
      </c>
      <c r="R25" s="491"/>
      <c r="S25" s="483" t="s">
        <v>48</v>
      </c>
      <c r="T25" s="485"/>
      <c r="U25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5" s="881">
        <f>IFERROR(Producción_Ganadera[[#This Row],[Económico $Corrientes]]/Producción_Ganadera[[#This Row],[Indexación Económico]],0)</f>
        <v>0</v>
      </c>
      <c r="W2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5" s="881">
        <f>IFERROR(Producción_Ganadera[[#This Row],[Financiero $Corrientes]]/Producción_Ganadera[[#This Row],[Indexación Financiero]],0)</f>
        <v>0</v>
      </c>
      <c r="Z25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5" s="885">
        <f>IFERROR(Producción_Ganadera[[#This Row],[Intereses $Corrientes]]/Producción_Ganadera[[#This Row],[Indexación Financiero]],0)</f>
        <v>0</v>
      </c>
      <c r="AC2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5" s="886" t="str">
        <f>IFERROR(INDEX(Produccion_Ganadera_Cuentas[],MATCH(Producción_Ganadera[[#This Row],[Cuenta Contable]],Produccion_Ganadera_Cuentas[Cuenta Contable],0),2),0)</f>
        <v>Stock Inicio</v>
      </c>
      <c r="AE25" s="887">
        <f>IF(Producción_Ganadera[[#This Row],[Mov. Stock]]="(+)",Producción_Ganadera[[#This Row],[Cabezas]],IF(Producción_Ganadera[[#This Row],[Mov. Stock]]="(-)",-Producción_Ganadera[[#This Row],[Cabezas]],0))</f>
        <v>0</v>
      </c>
      <c r="AF25" s="888" t="str">
        <f>IFERROR(INDEX(Produccion_Ganadera_Cuentas[],MATCH(Producción_Ganadera[[#This Row],[Cuenta Contable]],Produccion_Ganadera_Cuentas[Cuenta Contable],0),5),0)</f>
        <v>(+)</v>
      </c>
      <c r="AG25" s="889" t="str">
        <f>IF(Producción_Ganadera[[#This Row],[Cuenta Contable]]=Configuración!$AC$9,"Si","No")</f>
        <v>No</v>
      </c>
      <c r="AH25" s="887" t="str">
        <f>IFERROR(INDEX(Tabla9[],MATCH(Producción_Ganadera[[#This Row],[Movimiento]],Tabla9[Movimientos],0),2),0)</f>
        <v>No</v>
      </c>
      <c r="AI25" s="888" t="str">
        <f>IFERROR(INDEX(Tabla9[],MATCH(Producción_Ganadera[[#This Row],[Movimiento]],Tabla9[Movimientos],0),3),0)</f>
        <v>(-)</v>
      </c>
      <c r="AJ25" s="890">
        <f>IF(Producción_Ganadera[[#This Row],[Fecha Económico]]=0,0,MONTH(Producción_Ganadera[[#This Row],[Fecha Económico]]))</f>
        <v>7</v>
      </c>
      <c r="AK25" s="890">
        <f>IF(Producción_Ganadera[[#This Row],[Fecha Económico]]=0,0,YEAR(Producción_Ganadera[[#This Row],[Fecha Económico]]))</f>
        <v>2018</v>
      </c>
      <c r="AL25" s="891">
        <f>SUMPRODUCT((Producción_Ganadera[[#This Row],[Mes Económico]]=Tipo_Cambio[Mes])*(Producción_Ganadera[[#This Row],[Año Económico]]=Tipo_Cambio[Año])*(Tipo_Cambio[$/U$S]))</f>
        <v>22</v>
      </c>
      <c r="AM25" s="891">
        <f>SUMPRODUCT((Producción_Ganadera[[#This Row],[Mes Económico]]=Tipo_Cambio[Mes])*(Producción_Ganadera[[#This Row],[Año Económico]]=Tipo_Cambio[Año])*(Tipo_Cambio[Actualización]))</f>
        <v>1</v>
      </c>
      <c r="AN25" s="890">
        <f>IF(ISNUMBER(Producción_Ganadera[[#This Row],[Fecha Financiero]])=TRUE,MONTH(Producción_Ganadera[[#This Row],[Fecha Financiero]]),0)</f>
        <v>0</v>
      </c>
      <c r="AO25" s="890">
        <f>IF(ISNUMBER(Producción_Ganadera[[#This Row],[Fecha Financiero]])=TRUE,YEAR(Producción_Ganadera[[#This Row],[Fecha Financiero]]),0)</f>
        <v>0</v>
      </c>
      <c r="AP25" s="891">
        <f>SUMPRODUCT((Producción_Ganadera[[#This Row],[Mes Financiero]]=Tipo_Cambio[Mes])*(Producción_Ganadera[[#This Row],[Año Financiero]]=Tipo_Cambio[Año])*(Tipo_Cambio[$/U$S]))</f>
        <v>0</v>
      </c>
      <c r="AQ25" s="891">
        <f>SUMPRODUCT((Producción_Ganadera[[#This Row],[Mes Financiero]]=Tipo_Cambio[Mes])*(Producción_Ganadera[[#This Row],[Año Financiero]]=Tipo_Cambio[Año])*(Tipo_Cambio[Actualización]))</f>
        <v>0</v>
      </c>
      <c r="AR25" s="892">
        <f>SUMPRODUCT((Producción_Ganadera[[#This Row],[Centro de Costo]]=Tabla19[Centro de Costo])*(Tabla19[Superficie])*(Producción_Ganadera[[#This Row],[Campaña]]=Tabla19[Campaña]))</f>
        <v>0</v>
      </c>
      <c r="AS25" s="891">
        <f>IFERROR(Producción_Ganadera[[#This Row],[Económico $Corrientes]]/Producción_Ganadera[[#This Row],[Superficie]],0)</f>
        <v>0</v>
      </c>
      <c r="AT25" s="891">
        <f>IFERROR(Producción_Ganadera[[#This Row],[Económico $Constantes]]/Producción_Ganadera[[#This Row],[Superficie]],0)</f>
        <v>0</v>
      </c>
      <c r="AU25" s="891">
        <f>IFERROR(Producción_Ganadera[[#This Row],[Económico U$S Dólares]]/Producción_Ganadera[[#This Row],[Superficie]],0)</f>
        <v>0</v>
      </c>
      <c r="AV25" s="887" t="str">
        <f>IF(Económico!$F$4=0,0,Producción_Ganadera[[#This Row],[Centro de Costo]])</f>
        <v>Campo 2</v>
      </c>
    </row>
    <row r="26" spans="1:48" x14ac:dyDescent="0.25">
      <c r="D26" s="478">
        <f>DATE(LEFT(Producción_Ganadera[[#This Row],[Campaña]],4),7,1)</f>
        <v>43282</v>
      </c>
      <c r="E26" s="478"/>
      <c r="F26" s="866" t="str">
        <f t="shared" si="0"/>
        <v>2018-2019</v>
      </c>
      <c r="G26" s="481" t="str">
        <f t="shared" si="1"/>
        <v>Stock Inicio</v>
      </c>
      <c r="H26" s="481" t="s">
        <v>8</v>
      </c>
      <c r="I26" s="481" t="str">
        <f>Configuración!AZ14</f>
        <v>Toro Descarte</v>
      </c>
      <c r="J26" s="549"/>
      <c r="K26" s="481"/>
      <c r="L26" s="520"/>
      <c r="M2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6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-600</v>
      </c>
      <c r="O26" s="483">
        <v>1</v>
      </c>
      <c r="P26" s="491" t="s">
        <v>140</v>
      </c>
      <c r="Q26" s="875">
        <f>IF(ISNUMBER(Producción_Ganadera[[#This Row],[Cabezas]])=TRUE,Producción_Ganadera[[#This Row],[Cabezas]]*Producción_Ganadera[[#This Row],[Cantidad]],Producción_Ganadera[[#This Row],[Cantidad]])</f>
        <v>1</v>
      </c>
      <c r="R26" s="491"/>
      <c r="S26" s="483" t="s">
        <v>48</v>
      </c>
      <c r="T26" s="485"/>
      <c r="U26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6" s="881">
        <f>IFERROR(Producción_Ganadera[[#This Row],[Económico $Corrientes]]/Producción_Ganadera[[#This Row],[Indexación Económico]],0)</f>
        <v>0</v>
      </c>
      <c r="W2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6" s="881">
        <f>IFERROR(Producción_Ganadera[[#This Row],[Financiero $Corrientes]]/Producción_Ganadera[[#This Row],[Indexación Financiero]],0)</f>
        <v>0</v>
      </c>
      <c r="Z26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6" s="885">
        <f>IFERROR(Producción_Ganadera[[#This Row],[Intereses $Corrientes]]/Producción_Ganadera[[#This Row],[Indexación Financiero]],0)</f>
        <v>0</v>
      </c>
      <c r="AC2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6" s="886" t="str">
        <f>IFERROR(INDEX(Produccion_Ganadera_Cuentas[],MATCH(Producción_Ganadera[[#This Row],[Cuenta Contable]],Produccion_Ganadera_Cuentas[Cuenta Contable],0),2),0)</f>
        <v>Stock Inicio</v>
      </c>
      <c r="AE26" s="887">
        <f>IF(Producción_Ganadera[[#This Row],[Mov. Stock]]="(+)",Producción_Ganadera[[#This Row],[Cabezas]],IF(Producción_Ganadera[[#This Row],[Mov. Stock]]="(-)",-Producción_Ganadera[[#This Row],[Cabezas]],0))</f>
        <v>0</v>
      </c>
      <c r="AF26" s="888" t="str">
        <f>IFERROR(INDEX(Produccion_Ganadera_Cuentas[],MATCH(Producción_Ganadera[[#This Row],[Cuenta Contable]],Produccion_Ganadera_Cuentas[Cuenta Contable],0),5),0)</f>
        <v>(+)</v>
      </c>
      <c r="AG26" s="889" t="str">
        <f>IF(Producción_Ganadera[[#This Row],[Cuenta Contable]]=Configuración!$AC$9,"Si","No")</f>
        <v>No</v>
      </c>
      <c r="AH26" s="887" t="str">
        <f>IFERROR(INDEX(Tabla9[],MATCH(Producción_Ganadera[[#This Row],[Movimiento]],Tabla9[Movimientos],0),2),0)</f>
        <v>No</v>
      </c>
      <c r="AI26" s="888" t="str">
        <f>IFERROR(INDEX(Tabla9[],MATCH(Producción_Ganadera[[#This Row],[Movimiento]],Tabla9[Movimientos],0),3),0)</f>
        <v>(-)</v>
      </c>
      <c r="AJ26" s="890">
        <f>IF(Producción_Ganadera[[#This Row],[Fecha Económico]]=0,0,MONTH(Producción_Ganadera[[#This Row],[Fecha Económico]]))</f>
        <v>7</v>
      </c>
      <c r="AK26" s="890">
        <f>IF(Producción_Ganadera[[#This Row],[Fecha Económico]]=0,0,YEAR(Producción_Ganadera[[#This Row],[Fecha Económico]]))</f>
        <v>2018</v>
      </c>
      <c r="AL26" s="891">
        <f>SUMPRODUCT((Producción_Ganadera[[#This Row],[Mes Económico]]=Tipo_Cambio[Mes])*(Producción_Ganadera[[#This Row],[Año Económico]]=Tipo_Cambio[Año])*(Tipo_Cambio[$/U$S]))</f>
        <v>22</v>
      </c>
      <c r="AM26" s="891">
        <f>SUMPRODUCT((Producción_Ganadera[[#This Row],[Mes Económico]]=Tipo_Cambio[Mes])*(Producción_Ganadera[[#This Row],[Año Económico]]=Tipo_Cambio[Año])*(Tipo_Cambio[Actualización]))</f>
        <v>1</v>
      </c>
      <c r="AN26" s="890">
        <f>IF(ISNUMBER(Producción_Ganadera[[#This Row],[Fecha Financiero]])=TRUE,MONTH(Producción_Ganadera[[#This Row],[Fecha Financiero]]),0)</f>
        <v>0</v>
      </c>
      <c r="AO26" s="890">
        <f>IF(ISNUMBER(Producción_Ganadera[[#This Row],[Fecha Financiero]])=TRUE,YEAR(Producción_Ganadera[[#This Row],[Fecha Financiero]]),0)</f>
        <v>0</v>
      </c>
      <c r="AP26" s="891">
        <f>SUMPRODUCT((Producción_Ganadera[[#This Row],[Mes Financiero]]=Tipo_Cambio[Mes])*(Producción_Ganadera[[#This Row],[Año Financiero]]=Tipo_Cambio[Año])*(Tipo_Cambio[$/U$S]))</f>
        <v>0</v>
      </c>
      <c r="AQ26" s="891">
        <f>SUMPRODUCT((Producción_Ganadera[[#This Row],[Mes Financiero]]=Tipo_Cambio[Mes])*(Producción_Ganadera[[#This Row],[Año Financiero]]=Tipo_Cambio[Año])*(Tipo_Cambio[Actualización]))</f>
        <v>0</v>
      </c>
      <c r="AR26" s="892">
        <f>SUMPRODUCT((Producción_Ganadera[[#This Row],[Centro de Costo]]=Tabla19[Centro de Costo])*(Tabla19[Superficie])*(Producción_Ganadera[[#This Row],[Campaña]]=Tabla19[Campaña]))</f>
        <v>0</v>
      </c>
      <c r="AS26" s="891">
        <f>IFERROR(Producción_Ganadera[[#This Row],[Económico $Corrientes]]/Producción_Ganadera[[#This Row],[Superficie]],0)</f>
        <v>0</v>
      </c>
      <c r="AT26" s="891">
        <f>IFERROR(Producción_Ganadera[[#This Row],[Económico $Constantes]]/Producción_Ganadera[[#This Row],[Superficie]],0)</f>
        <v>0</v>
      </c>
      <c r="AU26" s="891">
        <f>IFERROR(Producción_Ganadera[[#This Row],[Económico U$S Dólares]]/Producción_Ganadera[[#This Row],[Superficie]],0)</f>
        <v>0</v>
      </c>
      <c r="AV26" s="887" t="str">
        <f>IF(Económico!$F$4=0,0,Producción_Ganadera[[#This Row],[Centro de Costo]])</f>
        <v>Campo 2</v>
      </c>
    </row>
    <row r="27" spans="1:48" x14ac:dyDescent="0.25">
      <c r="D27" s="478">
        <f>DATE(LEFT(Producción_Ganadera[[#This Row],[Campaña]],4),7,1)</f>
        <v>43282</v>
      </c>
      <c r="E27" s="478"/>
      <c r="F27" s="866" t="str">
        <f t="shared" si="0"/>
        <v>2018-2019</v>
      </c>
      <c r="G27" s="481" t="str">
        <f t="shared" si="1"/>
        <v>Stock Inicio</v>
      </c>
      <c r="H27" s="481" t="s">
        <v>8</v>
      </c>
      <c r="I27" s="481" t="str">
        <f>Configuración!AZ15</f>
        <v>Novillo 06-15</v>
      </c>
      <c r="J27" s="549"/>
      <c r="K27" s="481"/>
      <c r="L27" s="520"/>
      <c r="M2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7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-200</v>
      </c>
      <c r="O27" s="483">
        <v>1</v>
      </c>
      <c r="P27" s="491" t="s">
        <v>140</v>
      </c>
      <c r="Q27" s="875">
        <f>IF(ISNUMBER(Producción_Ganadera[[#This Row],[Cabezas]])=TRUE,Producción_Ganadera[[#This Row],[Cabezas]]*Producción_Ganadera[[#This Row],[Cantidad]],Producción_Ganadera[[#This Row],[Cantidad]])</f>
        <v>1</v>
      </c>
      <c r="R27" s="491"/>
      <c r="S27" s="483" t="s">
        <v>48</v>
      </c>
      <c r="T27" s="485"/>
      <c r="U27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7" s="881">
        <f>IFERROR(Producción_Ganadera[[#This Row],[Económico $Corrientes]]/Producción_Ganadera[[#This Row],[Indexación Económico]],0)</f>
        <v>0</v>
      </c>
      <c r="W2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7" s="881">
        <f>IFERROR(Producción_Ganadera[[#This Row],[Financiero $Corrientes]]/Producción_Ganadera[[#This Row],[Indexación Financiero]],0)</f>
        <v>0</v>
      </c>
      <c r="Z27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7" s="885">
        <f>IFERROR(Producción_Ganadera[[#This Row],[Intereses $Corrientes]]/Producción_Ganadera[[#This Row],[Indexación Financiero]],0)</f>
        <v>0</v>
      </c>
      <c r="AC2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7" s="886" t="str">
        <f>IFERROR(INDEX(Produccion_Ganadera_Cuentas[],MATCH(Producción_Ganadera[[#This Row],[Cuenta Contable]],Produccion_Ganadera_Cuentas[Cuenta Contable],0),2),0)</f>
        <v>Stock Inicio</v>
      </c>
      <c r="AE27" s="887">
        <f>IF(Producción_Ganadera[[#This Row],[Mov. Stock]]="(+)",Producción_Ganadera[[#This Row],[Cabezas]],IF(Producción_Ganadera[[#This Row],[Mov. Stock]]="(-)",-Producción_Ganadera[[#This Row],[Cabezas]],0))</f>
        <v>0</v>
      </c>
      <c r="AF27" s="888" t="str">
        <f>IFERROR(INDEX(Produccion_Ganadera_Cuentas[],MATCH(Producción_Ganadera[[#This Row],[Cuenta Contable]],Produccion_Ganadera_Cuentas[Cuenta Contable],0),5),0)</f>
        <v>(+)</v>
      </c>
      <c r="AG27" s="889" t="str">
        <f>IF(Producción_Ganadera[[#This Row],[Cuenta Contable]]=Configuración!$AC$9,"Si","No")</f>
        <v>No</v>
      </c>
      <c r="AH27" s="887" t="str">
        <f>IFERROR(INDEX(Tabla9[],MATCH(Producción_Ganadera[[#This Row],[Movimiento]],Tabla9[Movimientos],0),2),0)</f>
        <v>No</v>
      </c>
      <c r="AI27" s="888" t="str">
        <f>IFERROR(INDEX(Tabla9[],MATCH(Producción_Ganadera[[#This Row],[Movimiento]],Tabla9[Movimientos],0),3),0)</f>
        <v>(-)</v>
      </c>
      <c r="AJ27" s="890">
        <f>IF(Producción_Ganadera[[#This Row],[Fecha Económico]]=0,0,MONTH(Producción_Ganadera[[#This Row],[Fecha Económico]]))</f>
        <v>7</v>
      </c>
      <c r="AK27" s="890">
        <f>IF(Producción_Ganadera[[#This Row],[Fecha Económico]]=0,0,YEAR(Producción_Ganadera[[#This Row],[Fecha Económico]]))</f>
        <v>2018</v>
      </c>
      <c r="AL27" s="891">
        <f>SUMPRODUCT((Producción_Ganadera[[#This Row],[Mes Económico]]=Tipo_Cambio[Mes])*(Producción_Ganadera[[#This Row],[Año Económico]]=Tipo_Cambio[Año])*(Tipo_Cambio[$/U$S]))</f>
        <v>22</v>
      </c>
      <c r="AM27" s="891">
        <f>SUMPRODUCT((Producción_Ganadera[[#This Row],[Mes Económico]]=Tipo_Cambio[Mes])*(Producción_Ganadera[[#This Row],[Año Económico]]=Tipo_Cambio[Año])*(Tipo_Cambio[Actualización]))</f>
        <v>1</v>
      </c>
      <c r="AN27" s="890">
        <f>IF(ISNUMBER(Producción_Ganadera[[#This Row],[Fecha Financiero]])=TRUE,MONTH(Producción_Ganadera[[#This Row],[Fecha Financiero]]),0)</f>
        <v>0</v>
      </c>
      <c r="AO27" s="890">
        <f>IF(ISNUMBER(Producción_Ganadera[[#This Row],[Fecha Financiero]])=TRUE,YEAR(Producción_Ganadera[[#This Row],[Fecha Financiero]]),0)</f>
        <v>0</v>
      </c>
      <c r="AP27" s="891">
        <f>SUMPRODUCT((Producción_Ganadera[[#This Row],[Mes Financiero]]=Tipo_Cambio[Mes])*(Producción_Ganadera[[#This Row],[Año Financiero]]=Tipo_Cambio[Año])*(Tipo_Cambio[$/U$S]))</f>
        <v>0</v>
      </c>
      <c r="AQ27" s="891">
        <f>SUMPRODUCT((Producción_Ganadera[[#This Row],[Mes Financiero]]=Tipo_Cambio[Mes])*(Producción_Ganadera[[#This Row],[Año Financiero]]=Tipo_Cambio[Año])*(Tipo_Cambio[Actualización]))</f>
        <v>0</v>
      </c>
      <c r="AR27" s="892">
        <f>SUMPRODUCT((Producción_Ganadera[[#This Row],[Centro de Costo]]=Tabla19[Centro de Costo])*(Tabla19[Superficie])*(Producción_Ganadera[[#This Row],[Campaña]]=Tabla19[Campaña]))</f>
        <v>0</v>
      </c>
      <c r="AS27" s="891">
        <f>IFERROR(Producción_Ganadera[[#This Row],[Económico $Corrientes]]/Producción_Ganadera[[#This Row],[Superficie]],0)</f>
        <v>0</v>
      </c>
      <c r="AT27" s="891">
        <f>IFERROR(Producción_Ganadera[[#This Row],[Económico $Constantes]]/Producción_Ganadera[[#This Row],[Superficie]],0)</f>
        <v>0</v>
      </c>
      <c r="AU27" s="891">
        <f>IFERROR(Producción_Ganadera[[#This Row],[Económico U$S Dólares]]/Producción_Ganadera[[#This Row],[Superficie]],0)</f>
        <v>0</v>
      </c>
      <c r="AV27" s="887" t="str">
        <f>IF(Económico!$F$4=0,0,Producción_Ganadera[[#This Row],[Centro de Costo]])</f>
        <v>Campo 2</v>
      </c>
    </row>
    <row r="28" spans="1:48" x14ac:dyDescent="0.25">
      <c r="D28" s="478">
        <f>DATE(LEFT(Producción_Ganadera[[#This Row],[Campaña]],4),7,1)</f>
        <v>43282</v>
      </c>
      <c r="E28" s="478"/>
      <c r="F28" s="866" t="str">
        <f t="shared" si="0"/>
        <v>2018-2019</v>
      </c>
      <c r="G28" s="491" t="str">
        <f t="shared" si="1"/>
        <v>Stock Inicio</v>
      </c>
      <c r="H28" s="481" t="s">
        <v>8</v>
      </c>
      <c r="I28" s="481" t="str">
        <f>Configuración!AZ16</f>
        <v>Novillo 15-27</v>
      </c>
      <c r="J28" s="549"/>
      <c r="K28" s="491"/>
      <c r="L28" s="520"/>
      <c r="M2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8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-300</v>
      </c>
      <c r="O28" s="483">
        <v>1</v>
      </c>
      <c r="P28" s="491" t="s">
        <v>140</v>
      </c>
      <c r="Q28" s="875">
        <f>IF(ISNUMBER(Producción_Ganadera[[#This Row],[Cabezas]])=TRUE,Producción_Ganadera[[#This Row],[Cabezas]]*Producción_Ganadera[[#This Row],[Cantidad]],Producción_Ganadera[[#This Row],[Cantidad]])</f>
        <v>1</v>
      </c>
      <c r="R28" s="491"/>
      <c r="S28" s="483" t="s">
        <v>48</v>
      </c>
      <c r="T28" s="485"/>
      <c r="U28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8" s="881">
        <f>IFERROR(Producción_Ganadera[[#This Row],[Económico $Corrientes]]/Producción_Ganadera[[#This Row],[Indexación Económico]],0)</f>
        <v>0</v>
      </c>
      <c r="W2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8" s="881">
        <f>IFERROR(Producción_Ganadera[[#This Row],[Financiero $Corrientes]]/Producción_Ganadera[[#This Row],[Indexación Financiero]],0)</f>
        <v>0</v>
      </c>
      <c r="Z28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8" s="885">
        <f>IFERROR(Producción_Ganadera[[#This Row],[Intereses $Corrientes]]/Producción_Ganadera[[#This Row],[Indexación Financiero]],0)</f>
        <v>0</v>
      </c>
      <c r="AC2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8" s="886" t="str">
        <f>IFERROR(INDEX(Produccion_Ganadera_Cuentas[],MATCH(Producción_Ganadera[[#This Row],[Cuenta Contable]],Produccion_Ganadera_Cuentas[Cuenta Contable],0),2),0)</f>
        <v>Stock Inicio</v>
      </c>
      <c r="AE28" s="887">
        <f>IF(Producción_Ganadera[[#This Row],[Mov. Stock]]="(+)",Producción_Ganadera[[#This Row],[Cabezas]],IF(Producción_Ganadera[[#This Row],[Mov. Stock]]="(-)",-Producción_Ganadera[[#This Row],[Cabezas]],0))</f>
        <v>0</v>
      </c>
      <c r="AF28" s="888" t="str">
        <f>IFERROR(INDEX(Produccion_Ganadera_Cuentas[],MATCH(Producción_Ganadera[[#This Row],[Cuenta Contable]],Produccion_Ganadera_Cuentas[Cuenta Contable],0),5),0)</f>
        <v>(+)</v>
      </c>
      <c r="AG28" s="889" t="str">
        <f>IF(Producción_Ganadera[[#This Row],[Cuenta Contable]]=Configuración!$AC$9,"Si","No")</f>
        <v>No</v>
      </c>
      <c r="AH28" s="887" t="str">
        <f>IFERROR(INDEX(Tabla9[],MATCH(Producción_Ganadera[[#This Row],[Movimiento]],Tabla9[Movimientos],0),2),0)</f>
        <v>No</v>
      </c>
      <c r="AI28" s="888" t="str">
        <f>IFERROR(INDEX(Tabla9[],MATCH(Producción_Ganadera[[#This Row],[Movimiento]],Tabla9[Movimientos],0),3),0)</f>
        <v>(-)</v>
      </c>
      <c r="AJ28" s="885">
        <f>IF(Producción_Ganadera[[#This Row],[Fecha Económico]]=0,0,MONTH(Producción_Ganadera[[#This Row],[Fecha Económico]]))</f>
        <v>7</v>
      </c>
      <c r="AK28" s="885">
        <f>IF(Producción_Ganadera[[#This Row],[Fecha Económico]]=0,0,YEAR(Producción_Ganadera[[#This Row],[Fecha Económico]]))</f>
        <v>2018</v>
      </c>
      <c r="AL28" s="889">
        <f>SUMPRODUCT((Producción_Ganadera[[#This Row],[Mes Económico]]=Tipo_Cambio[Mes])*(Producción_Ganadera[[#This Row],[Año Económico]]=Tipo_Cambio[Año])*(Tipo_Cambio[$/U$S]))</f>
        <v>22</v>
      </c>
      <c r="AM28" s="889">
        <f>SUMPRODUCT((Producción_Ganadera[[#This Row],[Mes Económico]]=Tipo_Cambio[Mes])*(Producción_Ganadera[[#This Row],[Año Económico]]=Tipo_Cambio[Año])*(Tipo_Cambio[Actualización]))</f>
        <v>1</v>
      </c>
      <c r="AN28" s="885">
        <f>IF(ISNUMBER(Producción_Ganadera[[#This Row],[Fecha Financiero]])=TRUE,MONTH(Producción_Ganadera[[#This Row],[Fecha Financiero]]),0)</f>
        <v>0</v>
      </c>
      <c r="AO28" s="885">
        <f>IF(ISNUMBER(Producción_Ganadera[[#This Row],[Fecha Financiero]])=TRUE,YEAR(Producción_Ganadera[[#This Row],[Fecha Financiero]]),0)</f>
        <v>0</v>
      </c>
      <c r="AP28" s="889">
        <f>SUMPRODUCT((Producción_Ganadera[[#This Row],[Mes Financiero]]=Tipo_Cambio[Mes])*(Producción_Ganadera[[#This Row],[Año Financiero]]=Tipo_Cambio[Año])*(Tipo_Cambio[$/U$S]))</f>
        <v>0</v>
      </c>
      <c r="AQ28" s="889">
        <f>SUMPRODUCT((Producción_Ganadera[[#This Row],[Mes Financiero]]=Tipo_Cambio[Mes])*(Producción_Ganadera[[#This Row],[Año Financiero]]=Tipo_Cambio[Año])*(Tipo_Cambio[Actualización]))</f>
        <v>0</v>
      </c>
      <c r="AR28" s="892">
        <f>SUMPRODUCT((Producción_Ganadera[[#This Row],[Centro de Costo]]=Tabla19[Centro de Costo])*(Tabla19[Superficie])*(Producción_Ganadera[[#This Row],[Campaña]]=Tabla19[Campaña]))</f>
        <v>0</v>
      </c>
      <c r="AS28" s="891">
        <f>IFERROR(Producción_Ganadera[[#This Row],[Económico $Corrientes]]/Producción_Ganadera[[#This Row],[Superficie]],0)</f>
        <v>0</v>
      </c>
      <c r="AT28" s="891">
        <f>IFERROR(Producción_Ganadera[[#This Row],[Económico $Constantes]]/Producción_Ganadera[[#This Row],[Superficie]],0)</f>
        <v>0</v>
      </c>
      <c r="AU28" s="891">
        <f>IFERROR(Producción_Ganadera[[#This Row],[Económico U$S Dólares]]/Producción_Ganadera[[#This Row],[Superficie]],0)</f>
        <v>0</v>
      </c>
      <c r="AV28" s="887" t="str">
        <f>IF(Económico!$F$4=0,0,Producción_Ganadera[[#This Row],[Centro de Costo]])</f>
        <v>Campo 2</v>
      </c>
    </row>
    <row r="29" spans="1:48" ht="15.75" thickBot="1" x14ac:dyDescent="0.3">
      <c r="B29" s="372" t="s">
        <v>101</v>
      </c>
      <c r="C29" s="70"/>
      <c r="D29" s="603">
        <f>DATE(LEFT(Producción_Ganadera[[#This Row],[Campaña]],4),7,1)</f>
        <v>43282</v>
      </c>
      <c r="E29" s="603"/>
      <c r="F29" s="868" t="str">
        <f t="shared" si="0"/>
        <v>2018-2019</v>
      </c>
      <c r="G29" s="605" t="str">
        <f t="shared" si="1"/>
        <v>Stock Inicio</v>
      </c>
      <c r="H29" s="605"/>
      <c r="I29" s="605"/>
      <c r="J29" s="606"/>
      <c r="K29" s="605"/>
      <c r="L29" s="607"/>
      <c r="M29" s="604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9" s="868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9" s="608"/>
      <c r="P29" s="605"/>
      <c r="Q29" s="877">
        <f>IF(ISNUMBER(Producción_Ganadera[[#This Row],[Cabezas]])=TRUE,Producción_Ganadera[[#This Row],[Cabezas]]*Producción_Ganadera[[#This Row],[Cantidad]],Producción_Ganadera[[#This Row],[Cantidad]])</f>
        <v>0</v>
      </c>
      <c r="R29" s="605"/>
      <c r="S29" s="608" t="s">
        <v>48</v>
      </c>
      <c r="T29" s="609"/>
      <c r="U29" s="90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9" s="903">
        <f>IFERROR(Producción_Ganadera[[#This Row],[Económico $Corrientes]]/Producción_Ganadera[[#This Row],[Indexación Económico]],0)</f>
        <v>0</v>
      </c>
      <c r="W29" s="90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9" s="90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9" s="903">
        <f>IFERROR(Producción_Ganadera[[#This Row],[Financiero $Corrientes]]/Producción_Ganadera[[#This Row],[Indexación Financiero]],0)</f>
        <v>0</v>
      </c>
      <c r="Z29" s="903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9" s="90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9" s="907">
        <f>IFERROR(Producción_Ganadera[[#This Row],[Intereses $Corrientes]]/Producción_Ganadera[[#This Row],[Indexación Financiero]],0)</f>
        <v>0</v>
      </c>
      <c r="AC29" s="90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9" s="908" t="str">
        <f>IFERROR(INDEX(Produccion_Ganadera_Cuentas[],MATCH(Producción_Ganadera[[#This Row],[Cuenta Contable]],Produccion_Ganadera_Cuentas[Cuenta Contable],0),2),0)</f>
        <v>Stock Inicio</v>
      </c>
      <c r="AE29" s="909">
        <f>IF(Producción_Ganadera[[#This Row],[Mov. Stock]]="(+)",Producción_Ganadera[[#This Row],[Cabezas]],IF(Producción_Ganadera[[#This Row],[Mov. Stock]]="(-)",-Producción_Ganadera[[#This Row],[Cabezas]],0))</f>
        <v>0</v>
      </c>
      <c r="AF29" s="910" t="str">
        <f>IFERROR(INDEX(Produccion_Ganadera_Cuentas[],MATCH(Producción_Ganadera[[#This Row],[Cuenta Contable]],Produccion_Ganadera_Cuentas[Cuenta Contable],0),5),0)</f>
        <v>(+)</v>
      </c>
      <c r="AG29" s="911" t="str">
        <f>IF(Producción_Ganadera[[#This Row],[Cuenta Contable]]=Configuración!$AC$9,"Si","No")</f>
        <v>No</v>
      </c>
      <c r="AH29" s="909" t="str">
        <f>IFERROR(INDEX(Tabla9[],MATCH(Producción_Ganadera[[#This Row],[Movimiento]],Tabla9[Movimientos],0),2),0)</f>
        <v>No</v>
      </c>
      <c r="AI29" s="910" t="str">
        <f>IFERROR(INDEX(Tabla9[],MATCH(Producción_Ganadera[[#This Row],[Movimiento]],Tabla9[Movimientos],0),3),0)</f>
        <v>(-)</v>
      </c>
      <c r="AJ29" s="907">
        <f>IF(Producción_Ganadera[[#This Row],[Fecha Económico]]=0,0,MONTH(Producción_Ganadera[[#This Row],[Fecha Económico]]))</f>
        <v>7</v>
      </c>
      <c r="AK29" s="907">
        <f>IF(Producción_Ganadera[[#This Row],[Fecha Económico]]=0,0,YEAR(Producción_Ganadera[[#This Row],[Fecha Económico]]))</f>
        <v>2018</v>
      </c>
      <c r="AL29" s="911">
        <f>SUMPRODUCT((Producción_Ganadera[[#This Row],[Mes Económico]]=Tipo_Cambio[Mes])*(Producción_Ganadera[[#This Row],[Año Económico]]=Tipo_Cambio[Año])*(Tipo_Cambio[$/U$S]))</f>
        <v>22</v>
      </c>
      <c r="AM29" s="911">
        <f>SUMPRODUCT((Producción_Ganadera[[#This Row],[Mes Económico]]=Tipo_Cambio[Mes])*(Producción_Ganadera[[#This Row],[Año Económico]]=Tipo_Cambio[Año])*(Tipo_Cambio[Actualización]))</f>
        <v>1</v>
      </c>
      <c r="AN29" s="907">
        <f>IF(ISNUMBER(Producción_Ganadera[[#This Row],[Fecha Financiero]])=TRUE,MONTH(Producción_Ganadera[[#This Row],[Fecha Financiero]]),0)</f>
        <v>0</v>
      </c>
      <c r="AO29" s="907">
        <f>IF(ISNUMBER(Producción_Ganadera[[#This Row],[Fecha Financiero]])=TRUE,YEAR(Producción_Ganadera[[#This Row],[Fecha Financiero]]),0)</f>
        <v>0</v>
      </c>
      <c r="AP29" s="911">
        <f>SUMPRODUCT((Producción_Ganadera[[#This Row],[Mes Financiero]]=Tipo_Cambio[Mes])*(Producción_Ganadera[[#This Row],[Año Financiero]]=Tipo_Cambio[Año])*(Tipo_Cambio[$/U$S]))</f>
        <v>0</v>
      </c>
      <c r="AQ29" s="911">
        <f>SUMPRODUCT((Producción_Ganadera[[#This Row],[Mes Financiero]]=Tipo_Cambio[Mes])*(Producción_Ganadera[[#This Row],[Año Financiero]]=Tipo_Cambio[Año])*(Tipo_Cambio[Actualización]))</f>
        <v>0</v>
      </c>
      <c r="AR29" s="912">
        <f>SUMPRODUCT((Producción_Ganadera[[#This Row],[Centro de Costo]]=Tabla19[Centro de Costo])*(Tabla19[Superficie])*(Producción_Ganadera[[#This Row],[Campaña]]=Tabla19[Campaña]))</f>
        <v>0</v>
      </c>
      <c r="AS29" s="911">
        <f>IFERROR(Producción_Ganadera[[#This Row],[Económico $Corrientes]]/Producción_Ganadera[[#This Row],[Superficie]],0)</f>
        <v>0</v>
      </c>
      <c r="AT29" s="911">
        <f>IFERROR(Producción_Ganadera[[#This Row],[Económico $Constantes]]/Producción_Ganadera[[#This Row],[Superficie]],0)</f>
        <v>0</v>
      </c>
      <c r="AU29" s="911">
        <f>IFERROR(Producción_Ganadera[[#This Row],[Económico U$S Dólares]]/Producción_Ganadera[[#This Row],[Superficie]],0)</f>
        <v>0</v>
      </c>
      <c r="AV29" s="909">
        <f>IF(Económico!$F$4=0,0,Producción_Ganadera[[#This Row],[Centro de Costo]])</f>
        <v>0</v>
      </c>
    </row>
    <row r="30" spans="1:48" ht="15.75" thickTop="1" x14ac:dyDescent="0.25">
      <c r="A30" s="86"/>
      <c r="B30" s="1136" t="s">
        <v>170</v>
      </c>
      <c r="C30" s="86"/>
      <c r="D30" s="528"/>
      <c r="E30" s="522"/>
      <c r="F30" s="866" t="str">
        <f t="shared" si="0"/>
        <v>2018-2019</v>
      </c>
      <c r="G30" s="481" t="s">
        <v>170</v>
      </c>
      <c r="H30" s="481" t="s">
        <v>8</v>
      </c>
      <c r="I30" s="481" t="s">
        <v>132</v>
      </c>
      <c r="J30" s="549"/>
      <c r="K30" s="481"/>
      <c r="L30" s="520">
        <v>0</v>
      </c>
      <c r="M3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0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0" s="483"/>
      <c r="P30" s="491"/>
      <c r="Q30" s="875">
        <f>IF(ISNUMBER(Producción_Ganadera[[#This Row],[Cabezas]])=TRUE,Producción_Ganadera[[#This Row],[Cabezas]]*Producción_Ganadera[[#This Row],[Cantidad]],Producción_Ganadera[[#This Row],[Cantidad]])</f>
        <v>0</v>
      </c>
      <c r="R30" s="491"/>
      <c r="S30" s="552"/>
      <c r="T30" s="553"/>
      <c r="U3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0" s="913">
        <f>IFERROR(Producción_Ganadera[[#This Row],[Económico $Corrientes]]/Producción_Ganadera[[#This Row],[Indexación Económico]],0)</f>
        <v>0</v>
      </c>
      <c r="W3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0" s="913">
        <f>IFERROR(Producción_Ganadera[[#This Row],[Financiero $Corrientes]]/Producción_Ganadera[[#This Row],[Indexación Financiero]],0)</f>
        <v>0</v>
      </c>
      <c r="Z3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0" s="885">
        <f>IFERROR(Producción_Ganadera[[#This Row],[Intereses $Corrientes]]/Producción_Ganadera[[#This Row],[Indexación Financiero]],0)</f>
        <v>0</v>
      </c>
      <c r="AC3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0" s="915" t="str">
        <f>IFERROR(INDEX(Produccion_Ganadera_Cuentas[],MATCH(Producción_Ganadera[[#This Row],[Cuenta Contable]],Produccion_Ganadera_Cuentas[Cuenta Contable],0),2),0)</f>
        <v>Egreso</v>
      </c>
      <c r="AE30" s="916">
        <f>IF(Producción_Ganadera[[#This Row],[Mov. Stock]]="(+)",Producción_Ganadera[[#This Row],[Cabezas]],IF(Producción_Ganadera[[#This Row],[Mov. Stock]]="(-)",-Producción_Ganadera[[#This Row],[Cabezas]],0))</f>
        <v>0</v>
      </c>
      <c r="AF30" s="917" t="str">
        <f>IFERROR(INDEX(Produccion_Ganadera_Cuentas[],MATCH(Producción_Ganadera[[#This Row],[Cuenta Contable]],Produccion_Ganadera_Cuentas[Cuenta Contable],0),5),0)</f>
        <v>(+)</v>
      </c>
      <c r="AG30" s="918" t="str">
        <f>IF(Producción_Ganadera[[#This Row],[Cuenta Contable]]=Configuración!$AC$9,"Si","No")</f>
        <v>No</v>
      </c>
      <c r="AH30" s="887" t="str">
        <f>IFERROR(INDEX(Tabla9[],MATCH(Producción_Ganadera[[#This Row],[Movimiento]],Tabla9[Movimientos],0),2),0)</f>
        <v>Si</v>
      </c>
      <c r="AI30" s="888" t="str">
        <f>IFERROR(INDEX(Tabla9[],MATCH(Producción_Ganadera[[#This Row],[Movimiento]],Tabla9[Movimientos],0),3),0)</f>
        <v>(-)</v>
      </c>
      <c r="AJ30" s="890">
        <f>IF(Producción_Ganadera[[#This Row],[Fecha Económico]]=0,0,MONTH(Producción_Ganadera[[#This Row],[Fecha Económico]]))</f>
        <v>0</v>
      </c>
      <c r="AK30" s="890">
        <f>IF(Producción_Ganadera[[#This Row],[Fecha Económico]]=0,0,YEAR(Producción_Ganadera[[#This Row],[Fecha Económico]]))</f>
        <v>0</v>
      </c>
      <c r="AL30" s="891">
        <f>SUMPRODUCT((Producción_Ganadera[[#This Row],[Mes Económico]]=Tipo_Cambio[Mes])*(Producción_Ganadera[[#This Row],[Año Económico]]=Tipo_Cambio[Año])*(Tipo_Cambio[$/U$S]))</f>
        <v>0</v>
      </c>
      <c r="AM30" s="891">
        <f>SUMPRODUCT((Producción_Ganadera[[#This Row],[Mes Económico]]=Tipo_Cambio[Mes])*(Producción_Ganadera[[#This Row],[Año Económico]]=Tipo_Cambio[Año])*(Tipo_Cambio[Actualización]))</f>
        <v>0</v>
      </c>
      <c r="AN30" s="890">
        <f>IF(ISNUMBER(Producción_Ganadera[[#This Row],[Fecha Financiero]])=TRUE,MONTH(Producción_Ganadera[[#This Row],[Fecha Financiero]]),0)</f>
        <v>0</v>
      </c>
      <c r="AO30" s="890">
        <f>IF(ISNUMBER(Producción_Ganadera[[#This Row],[Fecha Financiero]])=TRUE,YEAR(Producción_Ganadera[[#This Row],[Fecha Financiero]]),0)</f>
        <v>0</v>
      </c>
      <c r="AP30" s="891">
        <f>SUMPRODUCT((Producción_Ganadera[[#This Row],[Mes Financiero]]=Tipo_Cambio[Mes])*(Producción_Ganadera[[#This Row],[Año Financiero]]=Tipo_Cambio[Año])*(Tipo_Cambio[$/U$S]))</f>
        <v>0</v>
      </c>
      <c r="AQ30" s="891">
        <f>SUMPRODUCT((Producción_Ganadera[[#This Row],[Mes Financiero]]=Tipo_Cambio[Mes])*(Producción_Ganadera[[#This Row],[Año Financiero]]=Tipo_Cambio[Año])*(Tipo_Cambio[Actualización]))</f>
        <v>0</v>
      </c>
      <c r="AR30" s="892">
        <f>SUMPRODUCT((Producción_Ganadera[[#This Row],[Centro de Costo]]=Tabla19[Centro de Costo])*(Tabla19[Superficie])*(Producción_Ganadera[[#This Row],[Campaña]]=Tabla19[Campaña]))</f>
        <v>0</v>
      </c>
      <c r="AS30" s="891">
        <f>IFERROR(Producción_Ganadera[[#This Row],[Económico $Corrientes]]/Producción_Ganadera[[#This Row],[Superficie]],0)</f>
        <v>0</v>
      </c>
      <c r="AT30" s="891">
        <f>IFERROR(Producción_Ganadera[[#This Row],[Económico $Constantes]]/Producción_Ganadera[[#This Row],[Superficie]],0)</f>
        <v>0</v>
      </c>
      <c r="AU30" s="891">
        <f>IFERROR(Producción_Ganadera[[#This Row],[Económico U$S Dólares]]/Producción_Ganadera[[#This Row],[Superficie]],0)</f>
        <v>0</v>
      </c>
      <c r="AV30" s="887" t="str">
        <f>IF(Económico!$F$4=0,0,Producción_Ganadera[[#This Row],[Centro de Costo]])</f>
        <v>Campo 2</v>
      </c>
    </row>
    <row r="31" spans="1:48" x14ac:dyDescent="0.25">
      <c r="A31" s="86"/>
      <c r="B31" s="1136"/>
      <c r="C31" s="86"/>
      <c r="D31" s="528"/>
      <c r="E31" s="522"/>
      <c r="F31" s="866" t="str">
        <f t="shared" si="0"/>
        <v>2018-2019</v>
      </c>
      <c r="G31" s="481" t="s">
        <v>170</v>
      </c>
      <c r="H31" s="481"/>
      <c r="I31" s="481" t="s">
        <v>133</v>
      </c>
      <c r="J31" s="549"/>
      <c r="K31" s="481"/>
      <c r="L31" s="520"/>
      <c r="M3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1" s="563"/>
      <c r="P31" s="491"/>
      <c r="Q31" s="875">
        <f>IF(ISNUMBER(Producción_Ganadera[[#This Row],[Cabezas]])=TRUE,Producción_Ganadera[[#This Row],[Cabezas]]*Producción_Ganadera[[#This Row],[Cantidad]],Producción_Ganadera[[#This Row],[Cantidad]])</f>
        <v>0</v>
      </c>
      <c r="R31" s="491"/>
      <c r="S31" s="552"/>
      <c r="T31" s="553"/>
      <c r="U3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1" s="913">
        <f>IFERROR(Producción_Ganadera[[#This Row],[Económico $Corrientes]]/Producción_Ganadera[[#This Row],[Indexación Económico]],0)</f>
        <v>0</v>
      </c>
      <c r="W3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1" s="913">
        <f>IFERROR(Producción_Ganadera[[#This Row],[Financiero $Corrientes]]/Producción_Ganadera[[#This Row],[Indexación Financiero]],0)</f>
        <v>0</v>
      </c>
      <c r="Z3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1" s="885">
        <f>IFERROR(Producción_Ganadera[[#This Row],[Intereses $Corrientes]]/Producción_Ganadera[[#This Row],[Indexación Financiero]],0)</f>
        <v>0</v>
      </c>
      <c r="AC3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1" s="915" t="str">
        <f>IFERROR(INDEX(Produccion_Ganadera_Cuentas[],MATCH(Producción_Ganadera[[#This Row],[Cuenta Contable]],Produccion_Ganadera_Cuentas[Cuenta Contable],0),2),0)</f>
        <v>Egreso</v>
      </c>
      <c r="AE31" s="916">
        <f>IF(Producción_Ganadera[[#This Row],[Mov. Stock]]="(+)",Producción_Ganadera[[#This Row],[Cabezas]],IF(Producción_Ganadera[[#This Row],[Mov. Stock]]="(-)",-Producción_Ganadera[[#This Row],[Cabezas]],0))</f>
        <v>0</v>
      </c>
      <c r="AF31" s="917" t="str">
        <f>IFERROR(INDEX(Produccion_Ganadera_Cuentas[],MATCH(Producción_Ganadera[[#This Row],[Cuenta Contable]],Produccion_Ganadera_Cuentas[Cuenta Contable],0),5),0)</f>
        <v>(+)</v>
      </c>
      <c r="AG31" s="918" t="str">
        <f>IF(Producción_Ganadera[[#This Row],[Cuenta Contable]]=Configuración!$AC$9,"Si","No")</f>
        <v>No</v>
      </c>
      <c r="AH31" s="887" t="str">
        <f>IFERROR(INDEX(Tabla9[],MATCH(Producción_Ganadera[[#This Row],[Movimiento]],Tabla9[Movimientos],0),2),0)</f>
        <v>Si</v>
      </c>
      <c r="AI31" s="888" t="str">
        <f>IFERROR(INDEX(Tabla9[],MATCH(Producción_Ganadera[[#This Row],[Movimiento]],Tabla9[Movimientos],0),3),0)</f>
        <v>(-)</v>
      </c>
      <c r="AJ31" s="890">
        <f>IF(Producción_Ganadera[[#This Row],[Fecha Económico]]=0,0,MONTH(Producción_Ganadera[[#This Row],[Fecha Económico]]))</f>
        <v>0</v>
      </c>
      <c r="AK31" s="890">
        <f>IF(Producción_Ganadera[[#This Row],[Fecha Económico]]=0,0,YEAR(Producción_Ganadera[[#This Row],[Fecha Económico]]))</f>
        <v>0</v>
      </c>
      <c r="AL31" s="891">
        <f>SUMPRODUCT((Producción_Ganadera[[#This Row],[Mes Económico]]=Tipo_Cambio[Mes])*(Producción_Ganadera[[#This Row],[Año Económico]]=Tipo_Cambio[Año])*(Tipo_Cambio[$/U$S]))</f>
        <v>0</v>
      </c>
      <c r="AM31" s="891">
        <f>SUMPRODUCT((Producción_Ganadera[[#This Row],[Mes Económico]]=Tipo_Cambio[Mes])*(Producción_Ganadera[[#This Row],[Año Económico]]=Tipo_Cambio[Año])*(Tipo_Cambio[Actualización]))</f>
        <v>0</v>
      </c>
      <c r="AN31" s="890">
        <f>IF(ISNUMBER(Producción_Ganadera[[#This Row],[Fecha Financiero]])=TRUE,MONTH(Producción_Ganadera[[#This Row],[Fecha Financiero]]),0)</f>
        <v>0</v>
      </c>
      <c r="AO31" s="890">
        <f>IF(ISNUMBER(Producción_Ganadera[[#This Row],[Fecha Financiero]])=TRUE,YEAR(Producción_Ganadera[[#This Row],[Fecha Financiero]]),0)</f>
        <v>0</v>
      </c>
      <c r="AP31" s="891">
        <f>SUMPRODUCT((Producción_Ganadera[[#This Row],[Mes Financiero]]=Tipo_Cambio[Mes])*(Producción_Ganadera[[#This Row],[Año Financiero]]=Tipo_Cambio[Año])*(Tipo_Cambio[$/U$S]))</f>
        <v>0</v>
      </c>
      <c r="AQ31" s="891">
        <f>SUMPRODUCT((Producción_Ganadera[[#This Row],[Mes Financiero]]=Tipo_Cambio[Mes])*(Producción_Ganadera[[#This Row],[Año Financiero]]=Tipo_Cambio[Año])*(Tipo_Cambio[Actualización]))</f>
        <v>0</v>
      </c>
      <c r="AR31" s="919">
        <f>SUMPRODUCT((Producción_Ganadera[[#This Row],[Centro de Costo]]=Tabla19[Centro de Costo])*(Tabla19[Superficie])*(Producción_Ganadera[[#This Row],[Campaña]]=Tabla19[Campaña]))</f>
        <v>0</v>
      </c>
      <c r="AS31" s="920">
        <f>IFERROR(Producción_Ganadera[[#This Row],[Económico $Corrientes]]/Producción_Ganadera[[#This Row],[Superficie]],0)</f>
        <v>0</v>
      </c>
      <c r="AT31" s="920">
        <f>IFERROR(Producción_Ganadera[[#This Row],[Económico $Constantes]]/Producción_Ganadera[[#This Row],[Superficie]],0)</f>
        <v>0</v>
      </c>
      <c r="AU31" s="920">
        <f>IFERROR(Producción_Ganadera[[#This Row],[Económico U$S Dólares]]/Producción_Ganadera[[#This Row],[Superficie]],0)</f>
        <v>0</v>
      </c>
      <c r="AV31" s="916">
        <f>IF(Económico!$F$4=0,0,Producción_Ganadera[[#This Row],[Centro de Costo]])</f>
        <v>0</v>
      </c>
    </row>
    <row r="32" spans="1:48" x14ac:dyDescent="0.25">
      <c r="A32" s="86"/>
      <c r="B32" s="1136"/>
      <c r="C32" s="86"/>
      <c r="D32" s="528"/>
      <c r="E32" s="522"/>
      <c r="F32" s="866" t="str">
        <f t="shared" si="0"/>
        <v>2018-2019</v>
      </c>
      <c r="G32" s="481" t="s">
        <v>126</v>
      </c>
      <c r="H32" s="481"/>
      <c r="I32" s="481"/>
      <c r="J32" s="549"/>
      <c r="K32" s="481"/>
      <c r="L32" s="520"/>
      <c r="M3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2" s="563"/>
      <c r="P32" s="491"/>
      <c r="Q32" s="875">
        <f>IF(ISNUMBER(Producción_Ganadera[[#This Row],[Cabezas]])=TRUE,Producción_Ganadera[[#This Row],[Cabezas]]*Producción_Ganadera[[#This Row],[Cantidad]],Producción_Ganadera[[#This Row],[Cantidad]])</f>
        <v>0</v>
      </c>
      <c r="R32" s="491"/>
      <c r="S32" s="552"/>
      <c r="T32" s="553"/>
      <c r="U3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2" s="913">
        <f>IFERROR(Producción_Ganadera[[#This Row],[Económico $Corrientes]]/Producción_Ganadera[[#This Row],[Indexación Económico]],0)</f>
        <v>0</v>
      </c>
      <c r="W3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2" s="913">
        <f>IFERROR(Producción_Ganadera[[#This Row],[Financiero $Corrientes]]/Producción_Ganadera[[#This Row],[Indexación Financiero]],0)</f>
        <v>0</v>
      </c>
      <c r="Z3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2" s="885">
        <f>IFERROR(Producción_Ganadera[[#This Row],[Intereses $Corrientes]]/Producción_Ganadera[[#This Row],[Indexación Financiero]],0)</f>
        <v>0</v>
      </c>
      <c r="AC3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2" s="915" t="str">
        <f>IFERROR(INDEX(Produccion_Ganadera_Cuentas[],MATCH(Producción_Ganadera[[#This Row],[Cuenta Contable]],Produccion_Ganadera_Cuentas[Cuenta Contable],0),2),0)</f>
        <v>Egreso</v>
      </c>
      <c r="AE32" s="916">
        <f>IF(Producción_Ganadera[[#This Row],[Mov. Stock]]="(+)",Producción_Ganadera[[#This Row],[Cabezas]],IF(Producción_Ganadera[[#This Row],[Mov. Stock]]="(-)",-Producción_Ganadera[[#This Row],[Cabezas]],0))</f>
        <v>0</v>
      </c>
      <c r="AF32" s="917">
        <f>IFERROR(INDEX(Produccion_Ganadera_Cuentas[],MATCH(Producción_Ganadera[[#This Row],[Cuenta Contable]],Produccion_Ganadera_Cuentas[Cuenta Contable],0),5),0)</f>
        <v>0</v>
      </c>
      <c r="AG32" s="918" t="str">
        <f>IF(Producción_Ganadera[[#This Row],[Cuenta Contable]]=Configuración!$AC$9,"Si","No")</f>
        <v>No</v>
      </c>
      <c r="AH32" s="887" t="str">
        <f>IFERROR(INDEX(Tabla9[],MATCH(Producción_Ganadera[[#This Row],[Movimiento]],Tabla9[Movimientos],0),2),0)</f>
        <v>Si</v>
      </c>
      <c r="AI32" s="888" t="str">
        <f>IFERROR(INDEX(Tabla9[],MATCH(Producción_Ganadera[[#This Row],[Movimiento]],Tabla9[Movimientos],0),3),0)</f>
        <v>(-)</v>
      </c>
      <c r="AJ32" s="890">
        <f>IF(Producción_Ganadera[[#This Row],[Fecha Económico]]=0,0,MONTH(Producción_Ganadera[[#This Row],[Fecha Económico]]))</f>
        <v>0</v>
      </c>
      <c r="AK32" s="890">
        <f>IF(Producción_Ganadera[[#This Row],[Fecha Económico]]=0,0,YEAR(Producción_Ganadera[[#This Row],[Fecha Económico]]))</f>
        <v>0</v>
      </c>
      <c r="AL32" s="891">
        <f>SUMPRODUCT((Producción_Ganadera[[#This Row],[Mes Económico]]=Tipo_Cambio[Mes])*(Producción_Ganadera[[#This Row],[Año Económico]]=Tipo_Cambio[Año])*(Tipo_Cambio[$/U$S]))</f>
        <v>0</v>
      </c>
      <c r="AM32" s="891">
        <f>SUMPRODUCT((Producción_Ganadera[[#This Row],[Mes Económico]]=Tipo_Cambio[Mes])*(Producción_Ganadera[[#This Row],[Año Económico]]=Tipo_Cambio[Año])*(Tipo_Cambio[Actualización]))</f>
        <v>0</v>
      </c>
      <c r="AN32" s="890">
        <f>IF(ISNUMBER(Producción_Ganadera[[#This Row],[Fecha Financiero]])=TRUE,MONTH(Producción_Ganadera[[#This Row],[Fecha Financiero]]),0)</f>
        <v>0</v>
      </c>
      <c r="AO32" s="890">
        <f>IF(ISNUMBER(Producción_Ganadera[[#This Row],[Fecha Financiero]])=TRUE,YEAR(Producción_Ganadera[[#This Row],[Fecha Financiero]]),0)</f>
        <v>0</v>
      </c>
      <c r="AP32" s="891">
        <f>SUMPRODUCT((Producción_Ganadera[[#This Row],[Mes Financiero]]=Tipo_Cambio[Mes])*(Producción_Ganadera[[#This Row],[Año Financiero]]=Tipo_Cambio[Año])*(Tipo_Cambio[$/U$S]))</f>
        <v>0</v>
      </c>
      <c r="AQ32" s="891">
        <f>SUMPRODUCT((Producción_Ganadera[[#This Row],[Mes Financiero]]=Tipo_Cambio[Mes])*(Producción_Ganadera[[#This Row],[Año Financiero]]=Tipo_Cambio[Año])*(Tipo_Cambio[Actualización]))</f>
        <v>0</v>
      </c>
      <c r="AR32" s="919">
        <f>SUMPRODUCT((Producción_Ganadera[[#This Row],[Centro de Costo]]=Tabla19[Centro de Costo])*(Tabla19[Superficie])*(Producción_Ganadera[[#This Row],[Campaña]]=Tabla19[Campaña]))</f>
        <v>0</v>
      </c>
      <c r="AS32" s="920">
        <f>IFERROR(Producción_Ganadera[[#This Row],[Económico $Corrientes]]/Producción_Ganadera[[#This Row],[Superficie]],0)</f>
        <v>0</v>
      </c>
      <c r="AT32" s="920">
        <f>IFERROR(Producción_Ganadera[[#This Row],[Económico $Constantes]]/Producción_Ganadera[[#This Row],[Superficie]],0)</f>
        <v>0</v>
      </c>
      <c r="AU32" s="920">
        <f>IFERROR(Producción_Ganadera[[#This Row],[Económico U$S Dólares]]/Producción_Ganadera[[#This Row],[Superficie]],0)</f>
        <v>0</v>
      </c>
      <c r="AV32" s="916">
        <f>IF(Económico!$F$4=0,0,Producción_Ganadera[[#This Row],[Centro de Costo]])</f>
        <v>0</v>
      </c>
    </row>
    <row r="33" spans="1:48" x14ac:dyDescent="0.25">
      <c r="A33" s="86"/>
      <c r="B33" s="376"/>
      <c r="C33" s="86"/>
      <c r="D33" s="535"/>
      <c r="E33" s="610"/>
      <c r="F33" s="867" t="str">
        <f t="shared" si="0"/>
        <v>2018-2019</v>
      </c>
      <c r="G33" s="538" t="s">
        <v>126</v>
      </c>
      <c r="H33" s="538"/>
      <c r="I33" s="538"/>
      <c r="J33" s="584"/>
      <c r="K33" s="538"/>
      <c r="L33" s="585"/>
      <c r="M33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3" s="870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3" s="586"/>
      <c r="P33" s="538"/>
      <c r="Q33" s="876">
        <f>IF(ISNUMBER(Producción_Ganadera[[#This Row],[Cabezas]])=TRUE,Producción_Ganadera[[#This Row],[Cabezas]]*Producción_Ganadera[[#This Row],[Cantidad]],Producción_Ganadera[[#This Row],[Cantidad]])</f>
        <v>0</v>
      </c>
      <c r="R33" s="538"/>
      <c r="S33" s="588"/>
      <c r="T33" s="589"/>
      <c r="U33" s="895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3" s="893">
        <f>IFERROR(Producción_Ganadera[[#This Row],[Económico $Corrientes]]/Producción_Ganadera[[#This Row],[Indexación Económico]],0)</f>
        <v>0</v>
      </c>
      <c r="W33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3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3" s="893">
        <f>IFERROR(Producción_Ganadera[[#This Row],[Financiero $Corrientes]]/Producción_Ganadera[[#This Row],[Indexación Financiero]],0)</f>
        <v>0</v>
      </c>
      <c r="Z33" s="92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3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3" s="897">
        <f>IFERROR(Producción_Ganadera[[#This Row],[Intereses $Corrientes]]/Producción_Ganadera[[#This Row],[Indexación Financiero]],0)</f>
        <v>0</v>
      </c>
      <c r="AC33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3" s="922" t="str">
        <f>IFERROR(INDEX(Produccion_Ganadera_Cuentas[],MATCH(Producción_Ganadera[[#This Row],[Cuenta Contable]],Produccion_Ganadera_Cuentas[Cuenta Contable],0),2),0)</f>
        <v>Egreso</v>
      </c>
      <c r="AE33" s="923">
        <f>IF(Producción_Ganadera[[#This Row],[Mov. Stock]]="(+)",Producción_Ganadera[[#This Row],[Cabezas]],IF(Producción_Ganadera[[#This Row],[Mov. Stock]]="(-)",-Producción_Ganadera[[#This Row],[Cabezas]],0))</f>
        <v>0</v>
      </c>
      <c r="AF33" s="924">
        <f>IFERROR(INDEX(Produccion_Ganadera_Cuentas[],MATCH(Producción_Ganadera[[#This Row],[Cuenta Contable]],Produccion_Ganadera_Cuentas[Cuenta Contable],0),5),0)</f>
        <v>0</v>
      </c>
      <c r="AG33" s="925" t="str">
        <f>IF(Producción_Ganadera[[#This Row],[Cuenta Contable]]=Configuración!$AC$9,"Si","No")</f>
        <v>No</v>
      </c>
      <c r="AH33" s="899" t="str">
        <f>IFERROR(INDEX(Tabla9[],MATCH(Producción_Ganadera[[#This Row],[Movimiento]],Tabla9[Movimientos],0),2),0)</f>
        <v>Si</v>
      </c>
      <c r="AI33" s="900" t="str">
        <f>IFERROR(INDEX(Tabla9[],MATCH(Producción_Ganadera[[#This Row],[Movimiento]],Tabla9[Movimientos],0),3),0)</f>
        <v>(-)</v>
      </c>
      <c r="AJ33" s="897">
        <f>IF(Producción_Ganadera[[#This Row],[Fecha Económico]]=0,0,MONTH(Producción_Ganadera[[#This Row],[Fecha Económico]]))</f>
        <v>0</v>
      </c>
      <c r="AK33" s="897">
        <f>IF(Producción_Ganadera[[#This Row],[Fecha Económico]]=0,0,YEAR(Producción_Ganadera[[#This Row],[Fecha Económico]]))</f>
        <v>0</v>
      </c>
      <c r="AL33" s="901">
        <f>SUMPRODUCT((Producción_Ganadera[[#This Row],[Mes Económico]]=Tipo_Cambio[Mes])*(Producción_Ganadera[[#This Row],[Año Económico]]=Tipo_Cambio[Año])*(Tipo_Cambio[$/U$S]))</f>
        <v>0</v>
      </c>
      <c r="AM33" s="901">
        <f>SUMPRODUCT((Producción_Ganadera[[#This Row],[Mes Económico]]=Tipo_Cambio[Mes])*(Producción_Ganadera[[#This Row],[Año Económico]]=Tipo_Cambio[Año])*(Tipo_Cambio[Actualización]))</f>
        <v>0</v>
      </c>
      <c r="AN33" s="897">
        <f>IF(ISNUMBER(Producción_Ganadera[[#This Row],[Fecha Financiero]])=TRUE,MONTH(Producción_Ganadera[[#This Row],[Fecha Financiero]]),0)</f>
        <v>0</v>
      </c>
      <c r="AO33" s="897">
        <f>IF(ISNUMBER(Producción_Ganadera[[#This Row],[Fecha Financiero]])=TRUE,YEAR(Producción_Ganadera[[#This Row],[Fecha Financiero]]),0)</f>
        <v>0</v>
      </c>
      <c r="AP33" s="901">
        <f>SUMPRODUCT((Producción_Ganadera[[#This Row],[Mes Financiero]]=Tipo_Cambio[Mes])*(Producción_Ganadera[[#This Row],[Año Financiero]]=Tipo_Cambio[Año])*(Tipo_Cambio[$/U$S]))</f>
        <v>0</v>
      </c>
      <c r="AQ33" s="901">
        <f>SUMPRODUCT((Producción_Ganadera[[#This Row],[Mes Financiero]]=Tipo_Cambio[Mes])*(Producción_Ganadera[[#This Row],[Año Financiero]]=Tipo_Cambio[Año])*(Tipo_Cambio[Actualización]))</f>
        <v>0</v>
      </c>
      <c r="AR33" s="926">
        <f>SUMPRODUCT((Producción_Ganadera[[#This Row],[Centro de Costo]]=Tabla19[Centro de Costo])*(Tabla19[Superficie])*(Producción_Ganadera[[#This Row],[Campaña]]=Tabla19[Campaña]))</f>
        <v>0</v>
      </c>
      <c r="AS33" s="925">
        <f>IFERROR(Producción_Ganadera[[#This Row],[Económico $Corrientes]]/Producción_Ganadera[[#This Row],[Superficie]],0)</f>
        <v>0</v>
      </c>
      <c r="AT33" s="925">
        <f>IFERROR(Producción_Ganadera[[#This Row],[Económico $Constantes]]/Producción_Ganadera[[#This Row],[Superficie]],0)</f>
        <v>0</v>
      </c>
      <c r="AU33" s="925">
        <f>IFERROR(Producción_Ganadera[[#This Row],[Económico U$S Dólares]]/Producción_Ganadera[[#This Row],[Superficie]],0)</f>
        <v>0</v>
      </c>
      <c r="AV33" s="923">
        <f>IF(Económico!$F$4=0,0,Producción_Ganadera[[#This Row],[Centro de Costo]])</f>
        <v>0</v>
      </c>
    </row>
    <row r="34" spans="1:48" x14ac:dyDescent="0.25">
      <c r="A34" s="86"/>
      <c r="B34" s="376"/>
      <c r="C34" s="86"/>
      <c r="D34" s="478"/>
      <c r="E34" s="522"/>
      <c r="F34" s="869" t="str">
        <f t="shared" si="0"/>
        <v>2018-2019</v>
      </c>
      <c r="G34" s="481" t="s">
        <v>170</v>
      </c>
      <c r="H34" s="481"/>
      <c r="I34" s="481"/>
      <c r="J34" s="549"/>
      <c r="K34" s="491"/>
      <c r="L34" s="520"/>
      <c r="M3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4" s="611"/>
      <c r="P34" s="484"/>
      <c r="Q34" s="875">
        <f>IF(ISNUMBER(Producción_Ganadera[[#This Row],[Cabezas]])=TRUE,Producción_Ganadera[[#This Row],[Cabezas]]*Producción_Ganadera[[#This Row],[Cantidad]],Producción_Ganadera[[#This Row],[Cantidad]])</f>
        <v>0</v>
      </c>
      <c r="R34" s="482"/>
      <c r="S34" s="552"/>
      <c r="T34" s="553"/>
      <c r="U3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4" s="881">
        <f>IFERROR(Producción_Ganadera[[#This Row],[Económico $Corrientes]]/Producción_Ganadera[[#This Row],[Indexación Económico]],0)</f>
        <v>0</v>
      </c>
      <c r="W3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4" s="881">
        <f>IFERROR(Producción_Ganadera[[#This Row],[Financiero $Corrientes]]/Producción_Ganadera[[#This Row],[Indexación Financiero]],0)</f>
        <v>0</v>
      </c>
      <c r="Z3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4" s="885">
        <f>IFERROR(Producción_Ganadera[[#This Row],[Intereses $Corrientes]]/Producción_Ganadera[[#This Row],[Indexación Financiero]],0)</f>
        <v>0</v>
      </c>
      <c r="AC3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4" s="915" t="str">
        <f>IFERROR(INDEX(Produccion_Ganadera_Cuentas[],MATCH(Producción_Ganadera[[#This Row],[Cuenta Contable]],Produccion_Ganadera_Cuentas[Cuenta Contable],0),2),0)</f>
        <v>Egreso</v>
      </c>
      <c r="AE34" s="916">
        <f>IF(Producción_Ganadera[[#This Row],[Mov. Stock]]="(+)",Producción_Ganadera[[#This Row],[Cabezas]],IF(Producción_Ganadera[[#This Row],[Mov. Stock]]="(-)",-Producción_Ganadera[[#This Row],[Cabezas]],0))</f>
        <v>0</v>
      </c>
      <c r="AF34" s="917" t="str">
        <f>IFERROR(INDEX(Produccion_Ganadera_Cuentas[],MATCH(Producción_Ganadera[[#This Row],[Cuenta Contable]],Produccion_Ganadera_Cuentas[Cuenta Contable],0),5),0)</f>
        <v>(+)</v>
      </c>
      <c r="AG34" s="918" t="str">
        <f>IF(Producción_Ganadera[[#This Row],[Cuenta Contable]]=Configuración!$AC$9,"Si","No")</f>
        <v>No</v>
      </c>
      <c r="AH34" s="887" t="str">
        <f>IFERROR(INDEX(Tabla9[],MATCH(Producción_Ganadera[[#This Row],[Movimiento]],Tabla9[Movimientos],0),2),0)</f>
        <v>Si</v>
      </c>
      <c r="AI34" s="888" t="str">
        <f>IFERROR(INDEX(Tabla9[],MATCH(Producción_Ganadera[[#This Row],[Movimiento]],Tabla9[Movimientos],0),3),0)</f>
        <v>(-)</v>
      </c>
      <c r="AJ34" s="885">
        <f>IF(Producción_Ganadera[[#This Row],[Fecha Económico]]=0,0,MONTH(Producción_Ganadera[[#This Row],[Fecha Económico]]))</f>
        <v>0</v>
      </c>
      <c r="AK34" s="885">
        <f>IF(Producción_Ganadera[[#This Row],[Fecha Económico]]=0,0,YEAR(Producción_Ganadera[[#This Row],[Fecha Económico]]))</f>
        <v>0</v>
      </c>
      <c r="AL34" s="889">
        <f>SUMPRODUCT((Producción_Ganadera[[#This Row],[Mes Económico]]=Tipo_Cambio[Mes])*(Producción_Ganadera[[#This Row],[Año Económico]]=Tipo_Cambio[Año])*(Tipo_Cambio[$/U$S]))</f>
        <v>0</v>
      </c>
      <c r="AM34" s="889">
        <f>SUMPRODUCT((Producción_Ganadera[[#This Row],[Mes Económico]]=Tipo_Cambio[Mes])*(Producción_Ganadera[[#This Row],[Año Económico]]=Tipo_Cambio[Año])*(Tipo_Cambio[Actualización]))</f>
        <v>0</v>
      </c>
      <c r="AN34" s="885">
        <f>IF(ISNUMBER(Producción_Ganadera[[#This Row],[Fecha Financiero]])=TRUE,MONTH(Producción_Ganadera[[#This Row],[Fecha Financiero]]),0)</f>
        <v>0</v>
      </c>
      <c r="AO34" s="885">
        <f>IF(ISNUMBER(Producción_Ganadera[[#This Row],[Fecha Financiero]])=TRUE,YEAR(Producción_Ganadera[[#This Row],[Fecha Financiero]]),0)</f>
        <v>0</v>
      </c>
      <c r="AP34" s="889">
        <f>SUMPRODUCT((Producción_Ganadera[[#This Row],[Mes Financiero]]=Tipo_Cambio[Mes])*(Producción_Ganadera[[#This Row],[Año Financiero]]=Tipo_Cambio[Año])*(Tipo_Cambio[$/U$S]))</f>
        <v>0</v>
      </c>
      <c r="AQ34" s="889">
        <f>SUMPRODUCT((Producción_Ganadera[[#This Row],[Mes Financiero]]=Tipo_Cambio[Mes])*(Producción_Ganadera[[#This Row],[Año Financiero]]=Tipo_Cambio[Año])*(Tipo_Cambio[Actualización]))</f>
        <v>0</v>
      </c>
      <c r="AR34" s="919">
        <f>SUMPRODUCT((Producción_Ganadera[[#This Row],[Centro de Costo]]=Tabla19[Centro de Costo])*(Tabla19[Superficie])*(Producción_Ganadera[[#This Row],[Campaña]]=Tabla19[Campaña]))</f>
        <v>0</v>
      </c>
      <c r="AS34" s="918">
        <f>IFERROR(Producción_Ganadera[[#This Row],[Económico $Corrientes]]/Producción_Ganadera[[#This Row],[Superficie]],0)</f>
        <v>0</v>
      </c>
      <c r="AT34" s="918">
        <f>IFERROR(Producción_Ganadera[[#This Row],[Económico $Constantes]]/Producción_Ganadera[[#This Row],[Superficie]],0)</f>
        <v>0</v>
      </c>
      <c r="AU34" s="918">
        <f>IFERROR(Producción_Ganadera[[#This Row],[Económico U$S Dólares]]/Producción_Ganadera[[#This Row],[Superficie]],0)</f>
        <v>0</v>
      </c>
      <c r="AV34" s="916">
        <f>IF(Económico!$F$4=0,0,Producción_Ganadera[[#This Row],[Centro de Costo]])</f>
        <v>0</v>
      </c>
    </row>
    <row r="35" spans="1:48" x14ac:dyDescent="0.25">
      <c r="A35" s="86"/>
      <c r="B35" s="376"/>
      <c r="C35" s="86"/>
      <c r="D35" s="478"/>
      <c r="E35" s="522"/>
      <c r="F35" s="869" t="str">
        <f t="shared" si="0"/>
        <v>2018-2019</v>
      </c>
      <c r="G35" s="481" t="s">
        <v>170</v>
      </c>
      <c r="H35" s="481"/>
      <c r="I35" s="481"/>
      <c r="J35" s="549"/>
      <c r="K35" s="491"/>
      <c r="L35" s="520"/>
      <c r="M3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5" s="611"/>
      <c r="P35" s="484"/>
      <c r="Q35" s="875">
        <f>IF(ISNUMBER(Producción_Ganadera[[#This Row],[Cabezas]])=TRUE,Producción_Ganadera[[#This Row],[Cabezas]]*Producción_Ganadera[[#This Row],[Cantidad]],Producción_Ganadera[[#This Row],[Cantidad]])</f>
        <v>0</v>
      </c>
      <c r="R35" s="482"/>
      <c r="S35" s="552"/>
      <c r="T35" s="553"/>
      <c r="U3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5" s="881">
        <f>IFERROR(Producción_Ganadera[[#This Row],[Económico $Corrientes]]/Producción_Ganadera[[#This Row],[Indexación Económico]],0)</f>
        <v>0</v>
      </c>
      <c r="W3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5" s="881">
        <f>IFERROR(Producción_Ganadera[[#This Row],[Financiero $Corrientes]]/Producción_Ganadera[[#This Row],[Indexación Financiero]],0)</f>
        <v>0</v>
      </c>
      <c r="Z3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5" s="885">
        <f>IFERROR(Producción_Ganadera[[#This Row],[Intereses $Corrientes]]/Producción_Ganadera[[#This Row],[Indexación Financiero]],0)</f>
        <v>0</v>
      </c>
      <c r="AC3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5" s="915" t="str">
        <f>IFERROR(INDEX(Produccion_Ganadera_Cuentas[],MATCH(Producción_Ganadera[[#This Row],[Cuenta Contable]],Produccion_Ganadera_Cuentas[Cuenta Contable],0),2),0)</f>
        <v>Egreso</v>
      </c>
      <c r="AE35" s="916">
        <f>IF(Producción_Ganadera[[#This Row],[Mov. Stock]]="(+)",Producción_Ganadera[[#This Row],[Cabezas]],IF(Producción_Ganadera[[#This Row],[Mov. Stock]]="(-)",-Producción_Ganadera[[#This Row],[Cabezas]],0))</f>
        <v>0</v>
      </c>
      <c r="AF35" s="917" t="str">
        <f>IFERROR(INDEX(Produccion_Ganadera_Cuentas[],MATCH(Producción_Ganadera[[#This Row],[Cuenta Contable]],Produccion_Ganadera_Cuentas[Cuenta Contable],0),5),0)</f>
        <v>(+)</v>
      </c>
      <c r="AG35" s="918" t="str">
        <f>IF(Producción_Ganadera[[#This Row],[Cuenta Contable]]=Configuración!$AC$9,"Si","No")</f>
        <v>No</v>
      </c>
      <c r="AH35" s="887" t="str">
        <f>IFERROR(INDEX(Tabla9[],MATCH(Producción_Ganadera[[#This Row],[Movimiento]],Tabla9[Movimientos],0),2),0)</f>
        <v>Si</v>
      </c>
      <c r="AI35" s="888" t="str">
        <f>IFERROR(INDEX(Tabla9[],MATCH(Producción_Ganadera[[#This Row],[Movimiento]],Tabla9[Movimientos],0),3),0)</f>
        <v>(-)</v>
      </c>
      <c r="AJ35" s="885">
        <f>IF(Producción_Ganadera[[#This Row],[Fecha Económico]]=0,0,MONTH(Producción_Ganadera[[#This Row],[Fecha Económico]]))</f>
        <v>0</v>
      </c>
      <c r="AK35" s="885">
        <f>IF(Producción_Ganadera[[#This Row],[Fecha Económico]]=0,0,YEAR(Producción_Ganadera[[#This Row],[Fecha Económico]]))</f>
        <v>0</v>
      </c>
      <c r="AL35" s="889">
        <f>SUMPRODUCT((Producción_Ganadera[[#This Row],[Mes Económico]]=Tipo_Cambio[Mes])*(Producción_Ganadera[[#This Row],[Año Económico]]=Tipo_Cambio[Año])*(Tipo_Cambio[$/U$S]))</f>
        <v>0</v>
      </c>
      <c r="AM35" s="889">
        <f>SUMPRODUCT((Producción_Ganadera[[#This Row],[Mes Económico]]=Tipo_Cambio[Mes])*(Producción_Ganadera[[#This Row],[Año Económico]]=Tipo_Cambio[Año])*(Tipo_Cambio[Actualización]))</f>
        <v>0</v>
      </c>
      <c r="AN35" s="885">
        <f>IF(ISNUMBER(Producción_Ganadera[[#This Row],[Fecha Financiero]])=TRUE,MONTH(Producción_Ganadera[[#This Row],[Fecha Financiero]]),0)</f>
        <v>0</v>
      </c>
      <c r="AO35" s="885">
        <f>IF(ISNUMBER(Producción_Ganadera[[#This Row],[Fecha Financiero]])=TRUE,YEAR(Producción_Ganadera[[#This Row],[Fecha Financiero]]),0)</f>
        <v>0</v>
      </c>
      <c r="AP35" s="889">
        <f>SUMPRODUCT((Producción_Ganadera[[#This Row],[Mes Financiero]]=Tipo_Cambio[Mes])*(Producción_Ganadera[[#This Row],[Año Financiero]]=Tipo_Cambio[Año])*(Tipo_Cambio[$/U$S]))</f>
        <v>0</v>
      </c>
      <c r="AQ35" s="889">
        <f>SUMPRODUCT((Producción_Ganadera[[#This Row],[Mes Financiero]]=Tipo_Cambio[Mes])*(Producción_Ganadera[[#This Row],[Año Financiero]]=Tipo_Cambio[Año])*(Tipo_Cambio[Actualización]))</f>
        <v>0</v>
      </c>
      <c r="AR35" s="919">
        <f>SUMPRODUCT((Producción_Ganadera[[#This Row],[Centro de Costo]]=Tabla19[Centro de Costo])*(Tabla19[Superficie])*(Producción_Ganadera[[#This Row],[Campaña]]=Tabla19[Campaña]))</f>
        <v>0</v>
      </c>
      <c r="AS35" s="918">
        <f>IFERROR(Producción_Ganadera[[#This Row],[Económico $Corrientes]]/Producción_Ganadera[[#This Row],[Superficie]],0)</f>
        <v>0</v>
      </c>
      <c r="AT35" s="918">
        <f>IFERROR(Producción_Ganadera[[#This Row],[Económico $Constantes]]/Producción_Ganadera[[#This Row],[Superficie]],0)</f>
        <v>0</v>
      </c>
      <c r="AU35" s="918">
        <f>IFERROR(Producción_Ganadera[[#This Row],[Económico U$S Dólares]]/Producción_Ganadera[[#This Row],[Superficie]],0)</f>
        <v>0</v>
      </c>
      <c r="AV35" s="916">
        <f>IF(Económico!$F$4=0,0,Producción_Ganadera[[#This Row],[Centro de Costo]])</f>
        <v>0</v>
      </c>
    </row>
    <row r="36" spans="1:48" x14ac:dyDescent="0.25">
      <c r="A36" s="86"/>
      <c r="B36" s="376"/>
      <c r="C36" s="86"/>
      <c r="D36" s="478"/>
      <c r="E36" s="522"/>
      <c r="F36" s="869" t="str">
        <f t="shared" si="0"/>
        <v>2018-2019</v>
      </c>
      <c r="G36" s="481" t="s">
        <v>126</v>
      </c>
      <c r="H36" s="481"/>
      <c r="I36" s="481"/>
      <c r="J36" s="549"/>
      <c r="K36" s="491"/>
      <c r="L36" s="520"/>
      <c r="M3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6" s="611"/>
      <c r="P36" s="484"/>
      <c r="Q36" s="875">
        <f>IF(ISNUMBER(Producción_Ganadera[[#This Row],[Cabezas]])=TRUE,Producción_Ganadera[[#This Row],[Cabezas]]*Producción_Ganadera[[#This Row],[Cantidad]],Producción_Ganadera[[#This Row],[Cantidad]])</f>
        <v>0</v>
      </c>
      <c r="R36" s="482"/>
      <c r="S36" s="552"/>
      <c r="T36" s="553"/>
      <c r="U3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6" s="881">
        <f>IFERROR(Producción_Ganadera[[#This Row],[Económico $Corrientes]]/Producción_Ganadera[[#This Row],[Indexación Económico]],0)</f>
        <v>0</v>
      </c>
      <c r="W3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6" s="881">
        <f>IFERROR(Producción_Ganadera[[#This Row],[Financiero $Corrientes]]/Producción_Ganadera[[#This Row],[Indexación Financiero]],0)</f>
        <v>0</v>
      </c>
      <c r="Z3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6" s="885">
        <f>IFERROR(Producción_Ganadera[[#This Row],[Intereses $Corrientes]]/Producción_Ganadera[[#This Row],[Indexación Financiero]],0)</f>
        <v>0</v>
      </c>
      <c r="AC3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6" s="915" t="str">
        <f>IFERROR(INDEX(Produccion_Ganadera_Cuentas[],MATCH(Producción_Ganadera[[#This Row],[Cuenta Contable]],Produccion_Ganadera_Cuentas[Cuenta Contable],0),2),0)</f>
        <v>Egreso</v>
      </c>
      <c r="AE36" s="916">
        <f>IF(Producción_Ganadera[[#This Row],[Mov. Stock]]="(+)",Producción_Ganadera[[#This Row],[Cabezas]],IF(Producción_Ganadera[[#This Row],[Mov. Stock]]="(-)",-Producción_Ganadera[[#This Row],[Cabezas]],0))</f>
        <v>0</v>
      </c>
      <c r="AF36" s="917">
        <f>IFERROR(INDEX(Produccion_Ganadera_Cuentas[],MATCH(Producción_Ganadera[[#This Row],[Cuenta Contable]],Produccion_Ganadera_Cuentas[Cuenta Contable],0),5),0)</f>
        <v>0</v>
      </c>
      <c r="AG36" s="918" t="str">
        <f>IF(Producción_Ganadera[[#This Row],[Cuenta Contable]]=Configuración!$AC$9,"Si","No")</f>
        <v>No</v>
      </c>
      <c r="AH36" s="887" t="str">
        <f>IFERROR(INDEX(Tabla9[],MATCH(Producción_Ganadera[[#This Row],[Movimiento]],Tabla9[Movimientos],0),2),0)</f>
        <v>Si</v>
      </c>
      <c r="AI36" s="888" t="str">
        <f>IFERROR(INDEX(Tabla9[],MATCH(Producción_Ganadera[[#This Row],[Movimiento]],Tabla9[Movimientos],0),3),0)</f>
        <v>(-)</v>
      </c>
      <c r="AJ36" s="885">
        <f>IF(Producción_Ganadera[[#This Row],[Fecha Económico]]=0,0,MONTH(Producción_Ganadera[[#This Row],[Fecha Económico]]))</f>
        <v>0</v>
      </c>
      <c r="AK36" s="885">
        <f>IF(Producción_Ganadera[[#This Row],[Fecha Económico]]=0,0,YEAR(Producción_Ganadera[[#This Row],[Fecha Económico]]))</f>
        <v>0</v>
      </c>
      <c r="AL36" s="889">
        <f>SUMPRODUCT((Producción_Ganadera[[#This Row],[Mes Económico]]=Tipo_Cambio[Mes])*(Producción_Ganadera[[#This Row],[Año Económico]]=Tipo_Cambio[Año])*(Tipo_Cambio[$/U$S]))</f>
        <v>0</v>
      </c>
      <c r="AM36" s="889">
        <f>SUMPRODUCT((Producción_Ganadera[[#This Row],[Mes Económico]]=Tipo_Cambio[Mes])*(Producción_Ganadera[[#This Row],[Año Económico]]=Tipo_Cambio[Año])*(Tipo_Cambio[Actualización]))</f>
        <v>0</v>
      </c>
      <c r="AN36" s="885">
        <f>IF(ISNUMBER(Producción_Ganadera[[#This Row],[Fecha Financiero]])=TRUE,MONTH(Producción_Ganadera[[#This Row],[Fecha Financiero]]),0)</f>
        <v>0</v>
      </c>
      <c r="AO36" s="885">
        <f>IF(ISNUMBER(Producción_Ganadera[[#This Row],[Fecha Financiero]])=TRUE,YEAR(Producción_Ganadera[[#This Row],[Fecha Financiero]]),0)</f>
        <v>0</v>
      </c>
      <c r="AP36" s="889">
        <f>SUMPRODUCT((Producción_Ganadera[[#This Row],[Mes Financiero]]=Tipo_Cambio[Mes])*(Producción_Ganadera[[#This Row],[Año Financiero]]=Tipo_Cambio[Año])*(Tipo_Cambio[$/U$S]))</f>
        <v>0</v>
      </c>
      <c r="AQ36" s="889">
        <f>SUMPRODUCT((Producción_Ganadera[[#This Row],[Mes Financiero]]=Tipo_Cambio[Mes])*(Producción_Ganadera[[#This Row],[Año Financiero]]=Tipo_Cambio[Año])*(Tipo_Cambio[Actualización]))</f>
        <v>0</v>
      </c>
      <c r="AR36" s="919">
        <f>SUMPRODUCT((Producción_Ganadera[[#This Row],[Centro de Costo]]=Tabla19[Centro de Costo])*(Tabla19[Superficie])*(Producción_Ganadera[[#This Row],[Campaña]]=Tabla19[Campaña]))</f>
        <v>0</v>
      </c>
      <c r="AS36" s="918">
        <f>IFERROR(Producción_Ganadera[[#This Row],[Económico $Corrientes]]/Producción_Ganadera[[#This Row],[Superficie]],0)</f>
        <v>0</v>
      </c>
      <c r="AT36" s="918">
        <f>IFERROR(Producción_Ganadera[[#This Row],[Económico $Constantes]]/Producción_Ganadera[[#This Row],[Superficie]],0)</f>
        <v>0</v>
      </c>
      <c r="AU36" s="918">
        <f>IFERROR(Producción_Ganadera[[#This Row],[Económico U$S Dólares]]/Producción_Ganadera[[#This Row],[Superficie]],0)</f>
        <v>0</v>
      </c>
      <c r="AV36" s="916">
        <f>IF(Económico!$F$4=0,0,Producción_Ganadera[[#This Row],[Centro de Costo]])</f>
        <v>0</v>
      </c>
    </row>
    <row r="37" spans="1:48" x14ac:dyDescent="0.25">
      <c r="A37" s="86"/>
      <c r="B37" s="376"/>
      <c r="C37" s="86"/>
      <c r="D37" s="535"/>
      <c r="E37" s="610"/>
      <c r="F37" s="870" t="str">
        <f t="shared" ref="F37:F145" si="2">Campaña_Actual</f>
        <v>2018-2019</v>
      </c>
      <c r="G37" s="538" t="s">
        <v>126</v>
      </c>
      <c r="H37" s="538"/>
      <c r="I37" s="538"/>
      <c r="J37" s="584"/>
      <c r="K37" s="538"/>
      <c r="L37" s="585"/>
      <c r="M37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7" s="870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7" s="612"/>
      <c r="P37" s="540"/>
      <c r="Q37" s="876">
        <f>IF(ISNUMBER(Producción_Ganadera[[#This Row],[Cabezas]])=TRUE,Producción_Ganadera[[#This Row],[Cabezas]]*Producción_Ganadera[[#This Row],[Cantidad]],Producción_Ganadera[[#This Row],[Cantidad]])</f>
        <v>0</v>
      </c>
      <c r="R37" s="613"/>
      <c r="S37" s="588"/>
      <c r="T37" s="589"/>
      <c r="U37" s="895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7" s="893">
        <f>IFERROR(Producción_Ganadera[[#This Row],[Económico $Corrientes]]/Producción_Ganadera[[#This Row],[Indexación Económico]],0)</f>
        <v>0</v>
      </c>
      <c r="W37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7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7" s="893">
        <f>IFERROR(Producción_Ganadera[[#This Row],[Financiero $Corrientes]]/Producción_Ganadera[[#This Row],[Indexación Financiero]],0)</f>
        <v>0</v>
      </c>
      <c r="Z37" s="92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7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7" s="897">
        <f>IFERROR(Producción_Ganadera[[#This Row],[Intereses $Corrientes]]/Producción_Ganadera[[#This Row],[Indexación Financiero]],0)</f>
        <v>0</v>
      </c>
      <c r="AC37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7" s="922" t="str">
        <f>IFERROR(INDEX(Produccion_Ganadera_Cuentas[],MATCH(Producción_Ganadera[[#This Row],[Cuenta Contable]],Produccion_Ganadera_Cuentas[Cuenta Contable],0),2),0)</f>
        <v>Egreso</v>
      </c>
      <c r="AE37" s="923">
        <f>IF(Producción_Ganadera[[#This Row],[Mov. Stock]]="(+)",Producción_Ganadera[[#This Row],[Cabezas]],IF(Producción_Ganadera[[#This Row],[Mov. Stock]]="(-)",-Producción_Ganadera[[#This Row],[Cabezas]],0))</f>
        <v>0</v>
      </c>
      <c r="AF37" s="924">
        <f>IFERROR(INDEX(Produccion_Ganadera_Cuentas[],MATCH(Producción_Ganadera[[#This Row],[Cuenta Contable]],Produccion_Ganadera_Cuentas[Cuenta Contable],0),5),0)</f>
        <v>0</v>
      </c>
      <c r="AG37" s="925" t="str">
        <f>IF(Producción_Ganadera[[#This Row],[Cuenta Contable]]=Configuración!$AC$9,"Si","No")</f>
        <v>No</v>
      </c>
      <c r="AH37" s="899" t="str">
        <f>IFERROR(INDEX(Tabla9[],MATCH(Producción_Ganadera[[#This Row],[Movimiento]],Tabla9[Movimientos],0),2),0)</f>
        <v>Si</v>
      </c>
      <c r="AI37" s="900" t="str">
        <f>IFERROR(INDEX(Tabla9[],MATCH(Producción_Ganadera[[#This Row],[Movimiento]],Tabla9[Movimientos],0),3),0)</f>
        <v>(-)</v>
      </c>
      <c r="AJ37" s="897">
        <f>IF(Producción_Ganadera[[#This Row],[Fecha Económico]]=0,0,MONTH(Producción_Ganadera[[#This Row],[Fecha Económico]]))</f>
        <v>0</v>
      </c>
      <c r="AK37" s="897">
        <f>IF(Producción_Ganadera[[#This Row],[Fecha Económico]]=0,0,YEAR(Producción_Ganadera[[#This Row],[Fecha Económico]]))</f>
        <v>0</v>
      </c>
      <c r="AL37" s="901">
        <f>SUMPRODUCT((Producción_Ganadera[[#This Row],[Mes Económico]]=Tipo_Cambio[Mes])*(Producción_Ganadera[[#This Row],[Año Económico]]=Tipo_Cambio[Año])*(Tipo_Cambio[$/U$S]))</f>
        <v>0</v>
      </c>
      <c r="AM37" s="901">
        <f>SUMPRODUCT((Producción_Ganadera[[#This Row],[Mes Económico]]=Tipo_Cambio[Mes])*(Producción_Ganadera[[#This Row],[Año Económico]]=Tipo_Cambio[Año])*(Tipo_Cambio[Actualización]))</f>
        <v>0</v>
      </c>
      <c r="AN37" s="897">
        <f>IF(ISNUMBER(Producción_Ganadera[[#This Row],[Fecha Financiero]])=TRUE,MONTH(Producción_Ganadera[[#This Row],[Fecha Financiero]]),0)</f>
        <v>0</v>
      </c>
      <c r="AO37" s="897">
        <f>IF(ISNUMBER(Producción_Ganadera[[#This Row],[Fecha Financiero]])=TRUE,YEAR(Producción_Ganadera[[#This Row],[Fecha Financiero]]),0)</f>
        <v>0</v>
      </c>
      <c r="AP37" s="901">
        <f>SUMPRODUCT((Producción_Ganadera[[#This Row],[Mes Financiero]]=Tipo_Cambio[Mes])*(Producción_Ganadera[[#This Row],[Año Financiero]]=Tipo_Cambio[Año])*(Tipo_Cambio[$/U$S]))</f>
        <v>0</v>
      </c>
      <c r="AQ37" s="901">
        <f>SUMPRODUCT((Producción_Ganadera[[#This Row],[Mes Financiero]]=Tipo_Cambio[Mes])*(Producción_Ganadera[[#This Row],[Año Financiero]]=Tipo_Cambio[Año])*(Tipo_Cambio[Actualización]))</f>
        <v>0</v>
      </c>
      <c r="AR37" s="926">
        <f>SUMPRODUCT((Producción_Ganadera[[#This Row],[Centro de Costo]]=Tabla19[Centro de Costo])*(Tabla19[Superficie])*(Producción_Ganadera[[#This Row],[Campaña]]=Tabla19[Campaña]))</f>
        <v>0</v>
      </c>
      <c r="AS37" s="925">
        <f>IFERROR(Producción_Ganadera[[#This Row],[Económico $Corrientes]]/Producción_Ganadera[[#This Row],[Superficie]],0)</f>
        <v>0</v>
      </c>
      <c r="AT37" s="925">
        <f>IFERROR(Producción_Ganadera[[#This Row],[Económico $Constantes]]/Producción_Ganadera[[#This Row],[Superficie]],0)</f>
        <v>0</v>
      </c>
      <c r="AU37" s="925">
        <f>IFERROR(Producción_Ganadera[[#This Row],[Económico U$S Dólares]]/Producción_Ganadera[[#This Row],[Superficie]],0)</f>
        <v>0</v>
      </c>
      <c r="AV37" s="923">
        <f>IF(Económico!$F$4=0,0,Producción_Ganadera[[#This Row],[Centro de Costo]])</f>
        <v>0</v>
      </c>
    </row>
    <row r="38" spans="1:48" x14ac:dyDescent="0.25">
      <c r="A38" s="86"/>
      <c r="B38" s="376"/>
      <c r="C38" s="86"/>
      <c r="D38" s="478"/>
      <c r="E38" s="522"/>
      <c r="F38" s="869" t="str">
        <f t="shared" si="2"/>
        <v>2018-2019</v>
      </c>
      <c r="G38" s="481" t="s">
        <v>170</v>
      </c>
      <c r="H38" s="481"/>
      <c r="I38" s="481"/>
      <c r="J38" s="549"/>
      <c r="K38" s="491"/>
      <c r="L38" s="520"/>
      <c r="M3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8" s="611"/>
      <c r="P38" s="484"/>
      <c r="Q38" s="875">
        <f>IF(ISNUMBER(Producción_Ganadera[[#This Row],[Cabezas]])=TRUE,Producción_Ganadera[[#This Row],[Cabezas]]*Producción_Ganadera[[#This Row],[Cantidad]],Producción_Ganadera[[#This Row],[Cantidad]])</f>
        <v>0</v>
      </c>
      <c r="R38" s="482"/>
      <c r="S38" s="552"/>
      <c r="T38" s="553"/>
      <c r="U3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8" s="881">
        <f>IFERROR(Producción_Ganadera[[#This Row],[Económico $Corrientes]]/Producción_Ganadera[[#This Row],[Indexación Económico]],0)</f>
        <v>0</v>
      </c>
      <c r="W3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8" s="881">
        <f>IFERROR(Producción_Ganadera[[#This Row],[Financiero $Corrientes]]/Producción_Ganadera[[#This Row],[Indexación Financiero]],0)</f>
        <v>0</v>
      </c>
      <c r="Z3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8" s="885">
        <f>IFERROR(Producción_Ganadera[[#This Row],[Intereses $Corrientes]]/Producción_Ganadera[[#This Row],[Indexación Financiero]],0)</f>
        <v>0</v>
      </c>
      <c r="AC3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8" s="915" t="str">
        <f>IFERROR(INDEX(Produccion_Ganadera_Cuentas[],MATCH(Producción_Ganadera[[#This Row],[Cuenta Contable]],Produccion_Ganadera_Cuentas[Cuenta Contable],0),2),0)</f>
        <v>Egreso</v>
      </c>
      <c r="AE38" s="916">
        <f>IF(Producción_Ganadera[[#This Row],[Mov. Stock]]="(+)",Producción_Ganadera[[#This Row],[Cabezas]],IF(Producción_Ganadera[[#This Row],[Mov. Stock]]="(-)",-Producción_Ganadera[[#This Row],[Cabezas]],0))</f>
        <v>0</v>
      </c>
      <c r="AF38" s="917" t="str">
        <f>IFERROR(INDEX(Produccion_Ganadera_Cuentas[],MATCH(Producción_Ganadera[[#This Row],[Cuenta Contable]],Produccion_Ganadera_Cuentas[Cuenta Contable],0),5),0)</f>
        <v>(+)</v>
      </c>
      <c r="AG38" s="918" t="str">
        <f>IF(Producción_Ganadera[[#This Row],[Cuenta Contable]]=Configuración!$AC$9,"Si","No")</f>
        <v>No</v>
      </c>
      <c r="AH38" s="887" t="str">
        <f>IFERROR(INDEX(Tabla9[],MATCH(Producción_Ganadera[[#This Row],[Movimiento]],Tabla9[Movimientos],0),2),0)</f>
        <v>Si</v>
      </c>
      <c r="AI38" s="888" t="str">
        <f>IFERROR(INDEX(Tabla9[],MATCH(Producción_Ganadera[[#This Row],[Movimiento]],Tabla9[Movimientos],0),3),0)</f>
        <v>(-)</v>
      </c>
      <c r="AJ38" s="885">
        <f>IF(Producción_Ganadera[[#This Row],[Fecha Económico]]=0,0,MONTH(Producción_Ganadera[[#This Row],[Fecha Económico]]))</f>
        <v>0</v>
      </c>
      <c r="AK38" s="885">
        <f>IF(Producción_Ganadera[[#This Row],[Fecha Económico]]=0,0,YEAR(Producción_Ganadera[[#This Row],[Fecha Económico]]))</f>
        <v>0</v>
      </c>
      <c r="AL38" s="889">
        <f>SUMPRODUCT((Producción_Ganadera[[#This Row],[Mes Económico]]=Tipo_Cambio[Mes])*(Producción_Ganadera[[#This Row],[Año Económico]]=Tipo_Cambio[Año])*(Tipo_Cambio[$/U$S]))</f>
        <v>0</v>
      </c>
      <c r="AM38" s="889">
        <f>SUMPRODUCT((Producción_Ganadera[[#This Row],[Mes Económico]]=Tipo_Cambio[Mes])*(Producción_Ganadera[[#This Row],[Año Económico]]=Tipo_Cambio[Año])*(Tipo_Cambio[Actualización]))</f>
        <v>0</v>
      </c>
      <c r="AN38" s="885">
        <f>IF(ISNUMBER(Producción_Ganadera[[#This Row],[Fecha Financiero]])=TRUE,MONTH(Producción_Ganadera[[#This Row],[Fecha Financiero]]),0)</f>
        <v>0</v>
      </c>
      <c r="AO38" s="885">
        <f>IF(ISNUMBER(Producción_Ganadera[[#This Row],[Fecha Financiero]])=TRUE,YEAR(Producción_Ganadera[[#This Row],[Fecha Financiero]]),0)</f>
        <v>0</v>
      </c>
      <c r="AP38" s="889">
        <f>SUMPRODUCT((Producción_Ganadera[[#This Row],[Mes Financiero]]=Tipo_Cambio[Mes])*(Producción_Ganadera[[#This Row],[Año Financiero]]=Tipo_Cambio[Año])*(Tipo_Cambio[$/U$S]))</f>
        <v>0</v>
      </c>
      <c r="AQ38" s="889">
        <f>SUMPRODUCT((Producción_Ganadera[[#This Row],[Mes Financiero]]=Tipo_Cambio[Mes])*(Producción_Ganadera[[#This Row],[Año Financiero]]=Tipo_Cambio[Año])*(Tipo_Cambio[Actualización]))</f>
        <v>0</v>
      </c>
      <c r="AR38" s="919">
        <f>SUMPRODUCT((Producción_Ganadera[[#This Row],[Centro de Costo]]=Tabla19[Centro de Costo])*(Tabla19[Superficie])*(Producción_Ganadera[[#This Row],[Campaña]]=Tabla19[Campaña]))</f>
        <v>0</v>
      </c>
      <c r="AS38" s="918">
        <f>IFERROR(Producción_Ganadera[[#This Row],[Económico $Corrientes]]/Producción_Ganadera[[#This Row],[Superficie]],0)</f>
        <v>0</v>
      </c>
      <c r="AT38" s="918">
        <f>IFERROR(Producción_Ganadera[[#This Row],[Económico $Constantes]]/Producción_Ganadera[[#This Row],[Superficie]],0)</f>
        <v>0</v>
      </c>
      <c r="AU38" s="918">
        <f>IFERROR(Producción_Ganadera[[#This Row],[Económico U$S Dólares]]/Producción_Ganadera[[#This Row],[Superficie]],0)</f>
        <v>0</v>
      </c>
      <c r="AV38" s="916">
        <f>IF(Económico!$F$4=0,0,Producción_Ganadera[[#This Row],[Centro de Costo]])</f>
        <v>0</v>
      </c>
    </row>
    <row r="39" spans="1:48" x14ac:dyDescent="0.25">
      <c r="A39" s="86"/>
      <c r="B39" s="376"/>
      <c r="C39" s="86"/>
      <c r="D39" s="478"/>
      <c r="E39" s="522"/>
      <c r="F39" s="869" t="str">
        <f t="shared" si="2"/>
        <v>2018-2019</v>
      </c>
      <c r="G39" s="481" t="s">
        <v>170</v>
      </c>
      <c r="H39" s="481"/>
      <c r="I39" s="481"/>
      <c r="J39" s="549"/>
      <c r="K39" s="491"/>
      <c r="L39" s="520"/>
      <c r="M3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9" s="611"/>
      <c r="P39" s="484"/>
      <c r="Q39" s="875">
        <f>IF(ISNUMBER(Producción_Ganadera[[#This Row],[Cabezas]])=TRUE,Producción_Ganadera[[#This Row],[Cabezas]]*Producción_Ganadera[[#This Row],[Cantidad]],Producción_Ganadera[[#This Row],[Cantidad]])</f>
        <v>0</v>
      </c>
      <c r="R39" s="482"/>
      <c r="S39" s="552"/>
      <c r="T39" s="553"/>
      <c r="U3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9" s="881">
        <f>IFERROR(Producción_Ganadera[[#This Row],[Económico $Corrientes]]/Producción_Ganadera[[#This Row],[Indexación Económico]],0)</f>
        <v>0</v>
      </c>
      <c r="W3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9" s="881">
        <f>IFERROR(Producción_Ganadera[[#This Row],[Financiero $Corrientes]]/Producción_Ganadera[[#This Row],[Indexación Financiero]],0)</f>
        <v>0</v>
      </c>
      <c r="Z3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9" s="885">
        <f>IFERROR(Producción_Ganadera[[#This Row],[Intereses $Corrientes]]/Producción_Ganadera[[#This Row],[Indexación Financiero]],0)</f>
        <v>0</v>
      </c>
      <c r="AC3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9" s="915" t="str">
        <f>IFERROR(INDEX(Produccion_Ganadera_Cuentas[],MATCH(Producción_Ganadera[[#This Row],[Cuenta Contable]],Produccion_Ganadera_Cuentas[Cuenta Contable],0),2),0)</f>
        <v>Egreso</v>
      </c>
      <c r="AE39" s="916">
        <f>IF(Producción_Ganadera[[#This Row],[Mov. Stock]]="(+)",Producción_Ganadera[[#This Row],[Cabezas]],IF(Producción_Ganadera[[#This Row],[Mov. Stock]]="(-)",-Producción_Ganadera[[#This Row],[Cabezas]],0))</f>
        <v>0</v>
      </c>
      <c r="AF39" s="917" t="str">
        <f>IFERROR(INDEX(Produccion_Ganadera_Cuentas[],MATCH(Producción_Ganadera[[#This Row],[Cuenta Contable]],Produccion_Ganadera_Cuentas[Cuenta Contable],0),5),0)</f>
        <v>(+)</v>
      </c>
      <c r="AG39" s="918" t="str">
        <f>IF(Producción_Ganadera[[#This Row],[Cuenta Contable]]=Configuración!$AC$9,"Si","No")</f>
        <v>No</v>
      </c>
      <c r="AH39" s="887" t="str">
        <f>IFERROR(INDEX(Tabla9[],MATCH(Producción_Ganadera[[#This Row],[Movimiento]],Tabla9[Movimientos],0),2),0)</f>
        <v>Si</v>
      </c>
      <c r="AI39" s="888" t="str">
        <f>IFERROR(INDEX(Tabla9[],MATCH(Producción_Ganadera[[#This Row],[Movimiento]],Tabla9[Movimientos],0),3),0)</f>
        <v>(-)</v>
      </c>
      <c r="AJ39" s="885">
        <f>IF(Producción_Ganadera[[#This Row],[Fecha Económico]]=0,0,MONTH(Producción_Ganadera[[#This Row],[Fecha Económico]]))</f>
        <v>0</v>
      </c>
      <c r="AK39" s="885">
        <f>IF(Producción_Ganadera[[#This Row],[Fecha Económico]]=0,0,YEAR(Producción_Ganadera[[#This Row],[Fecha Económico]]))</f>
        <v>0</v>
      </c>
      <c r="AL39" s="889">
        <f>SUMPRODUCT((Producción_Ganadera[[#This Row],[Mes Económico]]=Tipo_Cambio[Mes])*(Producción_Ganadera[[#This Row],[Año Económico]]=Tipo_Cambio[Año])*(Tipo_Cambio[$/U$S]))</f>
        <v>0</v>
      </c>
      <c r="AM39" s="889">
        <f>SUMPRODUCT((Producción_Ganadera[[#This Row],[Mes Económico]]=Tipo_Cambio[Mes])*(Producción_Ganadera[[#This Row],[Año Económico]]=Tipo_Cambio[Año])*(Tipo_Cambio[Actualización]))</f>
        <v>0</v>
      </c>
      <c r="AN39" s="885">
        <f>IF(ISNUMBER(Producción_Ganadera[[#This Row],[Fecha Financiero]])=TRUE,MONTH(Producción_Ganadera[[#This Row],[Fecha Financiero]]),0)</f>
        <v>0</v>
      </c>
      <c r="AO39" s="885">
        <f>IF(ISNUMBER(Producción_Ganadera[[#This Row],[Fecha Financiero]])=TRUE,YEAR(Producción_Ganadera[[#This Row],[Fecha Financiero]]),0)</f>
        <v>0</v>
      </c>
      <c r="AP39" s="889">
        <f>SUMPRODUCT((Producción_Ganadera[[#This Row],[Mes Financiero]]=Tipo_Cambio[Mes])*(Producción_Ganadera[[#This Row],[Año Financiero]]=Tipo_Cambio[Año])*(Tipo_Cambio[$/U$S]))</f>
        <v>0</v>
      </c>
      <c r="AQ39" s="889">
        <f>SUMPRODUCT((Producción_Ganadera[[#This Row],[Mes Financiero]]=Tipo_Cambio[Mes])*(Producción_Ganadera[[#This Row],[Año Financiero]]=Tipo_Cambio[Año])*(Tipo_Cambio[Actualización]))</f>
        <v>0</v>
      </c>
      <c r="AR39" s="919">
        <f>SUMPRODUCT((Producción_Ganadera[[#This Row],[Centro de Costo]]=Tabla19[Centro de Costo])*(Tabla19[Superficie])*(Producción_Ganadera[[#This Row],[Campaña]]=Tabla19[Campaña]))</f>
        <v>0</v>
      </c>
      <c r="AS39" s="918">
        <f>IFERROR(Producción_Ganadera[[#This Row],[Económico $Corrientes]]/Producción_Ganadera[[#This Row],[Superficie]],0)</f>
        <v>0</v>
      </c>
      <c r="AT39" s="918">
        <f>IFERROR(Producción_Ganadera[[#This Row],[Económico $Constantes]]/Producción_Ganadera[[#This Row],[Superficie]],0)</f>
        <v>0</v>
      </c>
      <c r="AU39" s="918">
        <f>IFERROR(Producción_Ganadera[[#This Row],[Económico U$S Dólares]]/Producción_Ganadera[[#This Row],[Superficie]],0)</f>
        <v>0</v>
      </c>
      <c r="AV39" s="916">
        <f>IF(Económico!$F$4=0,0,Producción_Ganadera[[#This Row],[Centro de Costo]])</f>
        <v>0</v>
      </c>
    </row>
    <row r="40" spans="1:48" x14ac:dyDescent="0.25">
      <c r="A40" s="86"/>
      <c r="B40" s="376"/>
      <c r="C40" s="86"/>
      <c r="D40" s="478"/>
      <c r="E40" s="522"/>
      <c r="F40" s="869" t="str">
        <f t="shared" si="2"/>
        <v>2018-2019</v>
      </c>
      <c r="G40" s="481" t="s">
        <v>126</v>
      </c>
      <c r="H40" s="481"/>
      <c r="I40" s="481"/>
      <c r="J40" s="549"/>
      <c r="K40" s="491"/>
      <c r="L40" s="520"/>
      <c r="M4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4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40" s="611"/>
      <c r="P40" s="484"/>
      <c r="Q40" s="875">
        <f>IF(ISNUMBER(Producción_Ganadera[[#This Row],[Cabezas]])=TRUE,Producción_Ganadera[[#This Row],[Cabezas]]*Producción_Ganadera[[#This Row],[Cantidad]],Producción_Ganadera[[#This Row],[Cantidad]])</f>
        <v>0</v>
      </c>
      <c r="R40" s="482"/>
      <c r="S40" s="552"/>
      <c r="T40" s="553"/>
      <c r="U4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40" s="881">
        <f>IFERROR(Producción_Ganadera[[#This Row],[Económico $Corrientes]]/Producción_Ganadera[[#This Row],[Indexación Económico]],0)</f>
        <v>0</v>
      </c>
      <c r="W4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4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40" s="881">
        <f>IFERROR(Producción_Ganadera[[#This Row],[Financiero $Corrientes]]/Producción_Ganadera[[#This Row],[Indexación Financiero]],0)</f>
        <v>0</v>
      </c>
      <c r="Z4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4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40" s="885">
        <f>IFERROR(Producción_Ganadera[[#This Row],[Intereses $Corrientes]]/Producción_Ganadera[[#This Row],[Indexación Financiero]],0)</f>
        <v>0</v>
      </c>
      <c r="AC4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40" s="915" t="str">
        <f>IFERROR(INDEX(Produccion_Ganadera_Cuentas[],MATCH(Producción_Ganadera[[#This Row],[Cuenta Contable]],Produccion_Ganadera_Cuentas[Cuenta Contable],0),2),0)</f>
        <v>Egreso</v>
      </c>
      <c r="AE40" s="916">
        <f>IF(Producción_Ganadera[[#This Row],[Mov. Stock]]="(+)",Producción_Ganadera[[#This Row],[Cabezas]],IF(Producción_Ganadera[[#This Row],[Mov. Stock]]="(-)",-Producción_Ganadera[[#This Row],[Cabezas]],0))</f>
        <v>0</v>
      </c>
      <c r="AF40" s="917">
        <f>IFERROR(INDEX(Produccion_Ganadera_Cuentas[],MATCH(Producción_Ganadera[[#This Row],[Cuenta Contable]],Produccion_Ganadera_Cuentas[Cuenta Contable],0),5),0)</f>
        <v>0</v>
      </c>
      <c r="AG40" s="918" t="str">
        <f>IF(Producción_Ganadera[[#This Row],[Cuenta Contable]]=Configuración!$AC$9,"Si","No")</f>
        <v>No</v>
      </c>
      <c r="AH40" s="887" t="str">
        <f>IFERROR(INDEX(Tabla9[],MATCH(Producción_Ganadera[[#This Row],[Movimiento]],Tabla9[Movimientos],0),2),0)</f>
        <v>Si</v>
      </c>
      <c r="AI40" s="888" t="str">
        <f>IFERROR(INDEX(Tabla9[],MATCH(Producción_Ganadera[[#This Row],[Movimiento]],Tabla9[Movimientos],0),3),0)</f>
        <v>(-)</v>
      </c>
      <c r="AJ40" s="885">
        <f>IF(Producción_Ganadera[[#This Row],[Fecha Económico]]=0,0,MONTH(Producción_Ganadera[[#This Row],[Fecha Económico]]))</f>
        <v>0</v>
      </c>
      <c r="AK40" s="885">
        <f>IF(Producción_Ganadera[[#This Row],[Fecha Económico]]=0,0,YEAR(Producción_Ganadera[[#This Row],[Fecha Económico]]))</f>
        <v>0</v>
      </c>
      <c r="AL40" s="889">
        <f>SUMPRODUCT((Producción_Ganadera[[#This Row],[Mes Económico]]=Tipo_Cambio[Mes])*(Producción_Ganadera[[#This Row],[Año Económico]]=Tipo_Cambio[Año])*(Tipo_Cambio[$/U$S]))</f>
        <v>0</v>
      </c>
      <c r="AM40" s="889">
        <f>SUMPRODUCT((Producción_Ganadera[[#This Row],[Mes Económico]]=Tipo_Cambio[Mes])*(Producción_Ganadera[[#This Row],[Año Económico]]=Tipo_Cambio[Año])*(Tipo_Cambio[Actualización]))</f>
        <v>0</v>
      </c>
      <c r="AN40" s="885">
        <f>IF(ISNUMBER(Producción_Ganadera[[#This Row],[Fecha Financiero]])=TRUE,MONTH(Producción_Ganadera[[#This Row],[Fecha Financiero]]),0)</f>
        <v>0</v>
      </c>
      <c r="AO40" s="885">
        <f>IF(ISNUMBER(Producción_Ganadera[[#This Row],[Fecha Financiero]])=TRUE,YEAR(Producción_Ganadera[[#This Row],[Fecha Financiero]]),0)</f>
        <v>0</v>
      </c>
      <c r="AP40" s="889">
        <f>SUMPRODUCT((Producción_Ganadera[[#This Row],[Mes Financiero]]=Tipo_Cambio[Mes])*(Producción_Ganadera[[#This Row],[Año Financiero]]=Tipo_Cambio[Año])*(Tipo_Cambio[$/U$S]))</f>
        <v>0</v>
      </c>
      <c r="AQ40" s="889">
        <f>SUMPRODUCT((Producción_Ganadera[[#This Row],[Mes Financiero]]=Tipo_Cambio[Mes])*(Producción_Ganadera[[#This Row],[Año Financiero]]=Tipo_Cambio[Año])*(Tipo_Cambio[Actualización]))</f>
        <v>0</v>
      </c>
      <c r="AR40" s="919">
        <f>SUMPRODUCT((Producción_Ganadera[[#This Row],[Centro de Costo]]=Tabla19[Centro de Costo])*(Tabla19[Superficie])*(Producción_Ganadera[[#This Row],[Campaña]]=Tabla19[Campaña]))</f>
        <v>0</v>
      </c>
      <c r="AS40" s="918">
        <f>IFERROR(Producción_Ganadera[[#This Row],[Económico $Corrientes]]/Producción_Ganadera[[#This Row],[Superficie]],0)</f>
        <v>0</v>
      </c>
      <c r="AT40" s="918">
        <f>IFERROR(Producción_Ganadera[[#This Row],[Económico $Constantes]]/Producción_Ganadera[[#This Row],[Superficie]],0)</f>
        <v>0</v>
      </c>
      <c r="AU40" s="918">
        <f>IFERROR(Producción_Ganadera[[#This Row],[Económico U$S Dólares]]/Producción_Ganadera[[#This Row],[Superficie]],0)</f>
        <v>0</v>
      </c>
      <c r="AV40" s="916">
        <f>IF(Económico!$F$4=0,0,Producción_Ganadera[[#This Row],[Centro de Costo]])</f>
        <v>0</v>
      </c>
    </row>
    <row r="41" spans="1:48" x14ac:dyDescent="0.25">
      <c r="A41" s="86"/>
      <c r="B41" s="376"/>
      <c r="C41" s="86"/>
      <c r="D41" s="535"/>
      <c r="E41" s="610"/>
      <c r="F41" s="870" t="str">
        <f t="shared" si="2"/>
        <v>2018-2019</v>
      </c>
      <c r="G41" s="538" t="s">
        <v>126</v>
      </c>
      <c r="H41" s="538"/>
      <c r="I41" s="538"/>
      <c r="J41" s="584"/>
      <c r="K41" s="538"/>
      <c r="L41" s="585"/>
      <c r="M41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41" s="870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41" s="612"/>
      <c r="P41" s="540"/>
      <c r="Q41" s="876">
        <f>IF(ISNUMBER(Producción_Ganadera[[#This Row],[Cabezas]])=TRUE,Producción_Ganadera[[#This Row],[Cabezas]]*Producción_Ganadera[[#This Row],[Cantidad]],Producción_Ganadera[[#This Row],[Cantidad]])</f>
        <v>0</v>
      </c>
      <c r="R41" s="613"/>
      <c r="S41" s="588"/>
      <c r="T41" s="589"/>
      <c r="U41" s="895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41" s="893">
        <f>IFERROR(Producción_Ganadera[[#This Row],[Económico $Corrientes]]/Producción_Ganadera[[#This Row],[Indexación Económico]],0)</f>
        <v>0</v>
      </c>
      <c r="W41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41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41" s="893">
        <f>IFERROR(Producción_Ganadera[[#This Row],[Financiero $Corrientes]]/Producción_Ganadera[[#This Row],[Indexación Financiero]],0)</f>
        <v>0</v>
      </c>
      <c r="Z41" s="92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41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41" s="897">
        <f>IFERROR(Producción_Ganadera[[#This Row],[Intereses $Corrientes]]/Producción_Ganadera[[#This Row],[Indexación Financiero]],0)</f>
        <v>0</v>
      </c>
      <c r="AC41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41" s="922" t="str">
        <f>IFERROR(INDEX(Produccion_Ganadera_Cuentas[],MATCH(Producción_Ganadera[[#This Row],[Cuenta Contable]],Produccion_Ganadera_Cuentas[Cuenta Contable],0),2),0)</f>
        <v>Egreso</v>
      </c>
      <c r="AE41" s="923">
        <f>IF(Producción_Ganadera[[#This Row],[Mov. Stock]]="(+)",Producción_Ganadera[[#This Row],[Cabezas]],IF(Producción_Ganadera[[#This Row],[Mov. Stock]]="(-)",-Producción_Ganadera[[#This Row],[Cabezas]],0))</f>
        <v>0</v>
      </c>
      <c r="AF41" s="924">
        <f>IFERROR(INDEX(Produccion_Ganadera_Cuentas[],MATCH(Producción_Ganadera[[#This Row],[Cuenta Contable]],Produccion_Ganadera_Cuentas[Cuenta Contable],0),5),0)</f>
        <v>0</v>
      </c>
      <c r="AG41" s="925" t="str">
        <f>IF(Producción_Ganadera[[#This Row],[Cuenta Contable]]=Configuración!$AC$9,"Si","No")</f>
        <v>No</v>
      </c>
      <c r="AH41" s="899" t="str">
        <f>IFERROR(INDEX(Tabla9[],MATCH(Producción_Ganadera[[#This Row],[Movimiento]],Tabla9[Movimientos],0),2),0)</f>
        <v>Si</v>
      </c>
      <c r="AI41" s="900" t="str">
        <f>IFERROR(INDEX(Tabla9[],MATCH(Producción_Ganadera[[#This Row],[Movimiento]],Tabla9[Movimientos],0),3),0)</f>
        <v>(-)</v>
      </c>
      <c r="AJ41" s="897">
        <f>IF(Producción_Ganadera[[#This Row],[Fecha Económico]]=0,0,MONTH(Producción_Ganadera[[#This Row],[Fecha Económico]]))</f>
        <v>0</v>
      </c>
      <c r="AK41" s="897">
        <f>IF(Producción_Ganadera[[#This Row],[Fecha Económico]]=0,0,YEAR(Producción_Ganadera[[#This Row],[Fecha Económico]]))</f>
        <v>0</v>
      </c>
      <c r="AL41" s="901">
        <f>SUMPRODUCT((Producción_Ganadera[[#This Row],[Mes Económico]]=Tipo_Cambio[Mes])*(Producción_Ganadera[[#This Row],[Año Económico]]=Tipo_Cambio[Año])*(Tipo_Cambio[$/U$S]))</f>
        <v>0</v>
      </c>
      <c r="AM41" s="901">
        <f>SUMPRODUCT((Producción_Ganadera[[#This Row],[Mes Económico]]=Tipo_Cambio[Mes])*(Producción_Ganadera[[#This Row],[Año Económico]]=Tipo_Cambio[Año])*(Tipo_Cambio[Actualización]))</f>
        <v>0</v>
      </c>
      <c r="AN41" s="897">
        <f>IF(ISNUMBER(Producción_Ganadera[[#This Row],[Fecha Financiero]])=TRUE,MONTH(Producción_Ganadera[[#This Row],[Fecha Financiero]]),0)</f>
        <v>0</v>
      </c>
      <c r="AO41" s="897">
        <f>IF(ISNUMBER(Producción_Ganadera[[#This Row],[Fecha Financiero]])=TRUE,YEAR(Producción_Ganadera[[#This Row],[Fecha Financiero]]),0)</f>
        <v>0</v>
      </c>
      <c r="AP41" s="901">
        <f>SUMPRODUCT((Producción_Ganadera[[#This Row],[Mes Financiero]]=Tipo_Cambio[Mes])*(Producción_Ganadera[[#This Row],[Año Financiero]]=Tipo_Cambio[Año])*(Tipo_Cambio[$/U$S]))</f>
        <v>0</v>
      </c>
      <c r="AQ41" s="901">
        <f>SUMPRODUCT((Producción_Ganadera[[#This Row],[Mes Financiero]]=Tipo_Cambio[Mes])*(Producción_Ganadera[[#This Row],[Año Financiero]]=Tipo_Cambio[Año])*(Tipo_Cambio[Actualización]))</f>
        <v>0</v>
      </c>
      <c r="AR41" s="926">
        <f>SUMPRODUCT((Producción_Ganadera[[#This Row],[Centro de Costo]]=Tabla19[Centro de Costo])*(Tabla19[Superficie])*(Producción_Ganadera[[#This Row],[Campaña]]=Tabla19[Campaña]))</f>
        <v>0</v>
      </c>
      <c r="AS41" s="925">
        <f>IFERROR(Producción_Ganadera[[#This Row],[Económico $Corrientes]]/Producción_Ganadera[[#This Row],[Superficie]],0)</f>
        <v>0</v>
      </c>
      <c r="AT41" s="925">
        <f>IFERROR(Producción_Ganadera[[#This Row],[Económico $Constantes]]/Producción_Ganadera[[#This Row],[Superficie]],0)</f>
        <v>0</v>
      </c>
      <c r="AU41" s="925">
        <f>IFERROR(Producción_Ganadera[[#This Row],[Económico U$S Dólares]]/Producción_Ganadera[[#This Row],[Superficie]],0)</f>
        <v>0</v>
      </c>
      <c r="AV41" s="923">
        <f>IF(Económico!$F$4=0,0,Producción_Ganadera[[#This Row],[Centro de Costo]])</f>
        <v>0</v>
      </c>
    </row>
    <row r="42" spans="1:48" x14ac:dyDescent="0.25">
      <c r="A42" s="86"/>
      <c r="B42" s="376"/>
      <c r="C42" s="86"/>
      <c r="D42" s="478"/>
      <c r="E42" s="522"/>
      <c r="F42" s="869" t="str">
        <f t="shared" si="2"/>
        <v>2018-2019</v>
      </c>
      <c r="G42" s="481" t="s">
        <v>170</v>
      </c>
      <c r="H42" s="481"/>
      <c r="I42" s="491"/>
      <c r="J42" s="549"/>
      <c r="K42" s="491"/>
      <c r="L42" s="520"/>
      <c r="M4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4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42" s="611"/>
      <c r="P42" s="484"/>
      <c r="Q42" s="875">
        <f>IF(ISNUMBER(Producción_Ganadera[[#This Row],[Cabezas]])=TRUE,Producción_Ganadera[[#This Row],[Cabezas]]*Producción_Ganadera[[#This Row],[Cantidad]],Producción_Ganadera[[#This Row],[Cantidad]])</f>
        <v>0</v>
      </c>
      <c r="R42" s="482"/>
      <c r="S42" s="552"/>
      <c r="T42" s="553"/>
      <c r="U4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42" s="881">
        <f>IFERROR(Producción_Ganadera[[#This Row],[Económico $Corrientes]]/Producción_Ganadera[[#This Row],[Indexación Económico]],0)</f>
        <v>0</v>
      </c>
      <c r="W4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4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42" s="881">
        <f>IFERROR(Producción_Ganadera[[#This Row],[Financiero $Corrientes]]/Producción_Ganadera[[#This Row],[Indexación Financiero]],0)</f>
        <v>0</v>
      </c>
      <c r="Z4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4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42" s="885">
        <f>IFERROR(Producción_Ganadera[[#This Row],[Intereses $Corrientes]]/Producción_Ganadera[[#This Row],[Indexación Financiero]],0)</f>
        <v>0</v>
      </c>
      <c r="AC4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42" s="915" t="str">
        <f>IFERROR(INDEX(Produccion_Ganadera_Cuentas[],MATCH(Producción_Ganadera[[#This Row],[Cuenta Contable]],Produccion_Ganadera_Cuentas[Cuenta Contable],0),2),0)</f>
        <v>Egreso</v>
      </c>
      <c r="AE42" s="916">
        <f>IF(Producción_Ganadera[[#This Row],[Mov. Stock]]="(+)",Producción_Ganadera[[#This Row],[Cabezas]],IF(Producción_Ganadera[[#This Row],[Mov. Stock]]="(-)",-Producción_Ganadera[[#This Row],[Cabezas]],0))</f>
        <v>0</v>
      </c>
      <c r="AF42" s="917" t="str">
        <f>IFERROR(INDEX(Produccion_Ganadera_Cuentas[],MATCH(Producción_Ganadera[[#This Row],[Cuenta Contable]],Produccion_Ganadera_Cuentas[Cuenta Contable],0),5),0)</f>
        <v>(+)</v>
      </c>
      <c r="AG42" s="918" t="str">
        <f>IF(Producción_Ganadera[[#This Row],[Cuenta Contable]]=Configuración!$AC$9,"Si","No")</f>
        <v>No</v>
      </c>
      <c r="AH42" s="887" t="str">
        <f>IFERROR(INDEX(Tabla9[],MATCH(Producción_Ganadera[[#This Row],[Movimiento]],Tabla9[Movimientos],0),2),0)</f>
        <v>Si</v>
      </c>
      <c r="AI42" s="888" t="str">
        <f>IFERROR(INDEX(Tabla9[],MATCH(Producción_Ganadera[[#This Row],[Movimiento]],Tabla9[Movimientos],0),3),0)</f>
        <v>(-)</v>
      </c>
      <c r="AJ42" s="885">
        <f>IF(Producción_Ganadera[[#This Row],[Fecha Económico]]=0,0,MONTH(Producción_Ganadera[[#This Row],[Fecha Económico]]))</f>
        <v>0</v>
      </c>
      <c r="AK42" s="885">
        <f>IF(Producción_Ganadera[[#This Row],[Fecha Económico]]=0,0,YEAR(Producción_Ganadera[[#This Row],[Fecha Económico]]))</f>
        <v>0</v>
      </c>
      <c r="AL42" s="889">
        <f>SUMPRODUCT((Producción_Ganadera[[#This Row],[Mes Económico]]=Tipo_Cambio[Mes])*(Producción_Ganadera[[#This Row],[Año Económico]]=Tipo_Cambio[Año])*(Tipo_Cambio[$/U$S]))</f>
        <v>0</v>
      </c>
      <c r="AM42" s="889">
        <f>SUMPRODUCT((Producción_Ganadera[[#This Row],[Mes Económico]]=Tipo_Cambio[Mes])*(Producción_Ganadera[[#This Row],[Año Económico]]=Tipo_Cambio[Año])*(Tipo_Cambio[Actualización]))</f>
        <v>0</v>
      </c>
      <c r="AN42" s="885">
        <f>IF(ISNUMBER(Producción_Ganadera[[#This Row],[Fecha Financiero]])=TRUE,MONTH(Producción_Ganadera[[#This Row],[Fecha Financiero]]),0)</f>
        <v>0</v>
      </c>
      <c r="AO42" s="885">
        <f>IF(ISNUMBER(Producción_Ganadera[[#This Row],[Fecha Financiero]])=TRUE,YEAR(Producción_Ganadera[[#This Row],[Fecha Financiero]]),0)</f>
        <v>0</v>
      </c>
      <c r="AP42" s="889">
        <f>SUMPRODUCT((Producción_Ganadera[[#This Row],[Mes Financiero]]=Tipo_Cambio[Mes])*(Producción_Ganadera[[#This Row],[Año Financiero]]=Tipo_Cambio[Año])*(Tipo_Cambio[$/U$S]))</f>
        <v>0</v>
      </c>
      <c r="AQ42" s="889">
        <f>SUMPRODUCT((Producción_Ganadera[[#This Row],[Mes Financiero]]=Tipo_Cambio[Mes])*(Producción_Ganadera[[#This Row],[Año Financiero]]=Tipo_Cambio[Año])*(Tipo_Cambio[Actualización]))</f>
        <v>0</v>
      </c>
      <c r="AR42" s="919">
        <f>SUMPRODUCT((Producción_Ganadera[[#This Row],[Centro de Costo]]=Tabla19[Centro de Costo])*(Tabla19[Superficie])*(Producción_Ganadera[[#This Row],[Campaña]]=Tabla19[Campaña]))</f>
        <v>0</v>
      </c>
      <c r="AS42" s="918">
        <f>IFERROR(Producción_Ganadera[[#This Row],[Económico $Corrientes]]/Producción_Ganadera[[#This Row],[Superficie]],0)</f>
        <v>0</v>
      </c>
      <c r="AT42" s="918">
        <f>IFERROR(Producción_Ganadera[[#This Row],[Económico $Constantes]]/Producción_Ganadera[[#This Row],[Superficie]],0)</f>
        <v>0</v>
      </c>
      <c r="AU42" s="918">
        <f>IFERROR(Producción_Ganadera[[#This Row],[Económico U$S Dólares]]/Producción_Ganadera[[#This Row],[Superficie]],0)</f>
        <v>0</v>
      </c>
      <c r="AV42" s="916">
        <f>IF(Económico!$F$4=0,0,Producción_Ganadera[[#This Row],[Centro de Costo]])</f>
        <v>0</v>
      </c>
    </row>
    <row r="43" spans="1:48" x14ac:dyDescent="0.25">
      <c r="A43" s="86"/>
      <c r="B43" s="376"/>
      <c r="C43" s="86"/>
      <c r="D43" s="478"/>
      <c r="E43" s="522"/>
      <c r="F43" s="869" t="str">
        <f t="shared" si="2"/>
        <v>2018-2019</v>
      </c>
      <c r="G43" s="481" t="s">
        <v>170</v>
      </c>
      <c r="H43" s="481"/>
      <c r="I43" s="491"/>
      <c r="J43" s="549"/>
      <c r="K43" s="491"/>
      <c r="L43" s="520"/>
      <c r="M4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4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43" s="611"/>
      <c r="P43" s="484"/>
      <c r="Q43" s="875">
        <f>IF(ISNUMBER(Producción_Ganadera[[#This Row],[Cabezas]])=TRUE,Producción_Ganadera[[#This Row],[Cabezas]]*Producción_Ganadera[[#This Row],[Cantidad]],Producción_Ganadera[[#This Row],[Cantidad]])</f>
        <v>0</v>
      </c>
      <c r="R43" s="482"/>
      <c r="S43" s="552"/>
      <c r="T43" s="553"/>
      <c r="U4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43" s="881">
        <f>IFERROR(Producción_Ganadera[[#This Row],[Económico $Corrientes]]/Producción_Ganadera[[#This Row],[Indexación Económico]],0)</f>
        <v>0</v>
      </c>
      <c r="W4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4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43" s="881">
        <f>IFERROR(Producción_Ganadera[[#This Row],[Financiero $Corrientes]]/Producción_Ganadera[[#This Row],[Indexación Financiero]],0)</f>
        <v>0</v>
      </c>
      <c r="Z4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4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43" s="885">
        <f>IFERROR(Producción_Ganadera[[#This Row],[Intereses $Corrientes]]/Producción_Ganadera[[#This Row],[Indexación Financiero]],0)</f>
        <v>0</v>
      </c>
      <c r="AC4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43" s="915" t="str">
        <f>IFERROR(INDEX(Produccion_Ganadera_Cuentas[],MATCH(Producción_Ganadera[[#This Row],[Cuenta Contable]],Produccion_Ganadera_Cuentas[Cuenta Contable],0),2),0)</f>
        <v>Egreso</v>
      </c>
      <c r="AE43" s="916">
        <f>IF(Producción_Ganadera[[#This Row],[Mov. Stock]]="(+)",Producción_Ganadera[[#This Row],[Cabezas]],IF(Producción_Ganadera[[#This Row],[Mov. Stock]]="(-)",-Producción_Ganadera[[#This Row],[Cabezas]],0))</f>
        <v>0</v>
      </c>
      <c r="AF43" s="917" t="str">
        <f>IFERROR(INDEX(Produccion_Ganadera_Cuentas[],MATCH(Producción_Ganadera[[#This Row],[Cuenta Contable]],Produccion_Ganadera_Cuentas[Cuenta Contable],0),5),0)</f>
        <v>(+)</v>
      </c>
      <c r="AG43" s="918" t="str">
        <f>IF(Producción_Ganadera[[#This Row],[Cuenta Contable]]=Configuración!$AC$9,"Si","No")</f>
        <v>No</v>
      </c>
      <c r="AH43" s="887" t="str">
        <f>IFERROR(INDEX(Tabla9[],MATCH(Producción_Ganadera[[#This Row],[Movimiento]],Tabla9[Movimientos],0),2),0)</f>
        <v>Si</v>
      </c>
      <c r="AI43" s="888" t="str">
        <f>IFERROR(INDEX(Tabla9[],MATCH(Producción_Ganadera[[#This Row],[Movimiento]],Tabla9[Movimientos],0),3),0)</f>
        <v>(-)</v>
      </c>
      <c r="AJ43" s="885">
        <f>IF(Producción_Ganadera[[#This Row],[Fecha Económico]]=0,0,MONTH(Producción_Ganadera[[#This Row],[Fecha Económico]]))</f>
        <v>0</v>
      </c>
      <c r="AK43" s="885">
        <f>IF(Producción_Ganadera[[#This Row],[Fecha Económico]]=0,0,YEAR(Producción_Ganadera[[#This Row],[Fecha Económico]]))</f>
        <v>0</v>
      </c>
      <c r="AL43" s="889">
        <f>SUMPRODUCT((Producción_Ganadera[[#This Row],[Mes Económico]]=Tipo_Cambio[Mes])*(Producción_Ganadera[[#This Row],[Año Económico]]=Tipo_Cambio[Año])*(Tipo_Cambio[$/U$S]))</f>
        <v>0</v>
      </c>
      <c r="AM43" s="889">
        <f>SUMPRODUCT((Producción_Ganadera[[#This Row],[Mes Económico]]=Tipo_Cambio[Mes])*(Producción_Ganadera[[#This Row],[Año Económico]]=Tipo_Cambio[Año])*(Tipo_Cambio[Actualización]))</f>
        <v>0</v>
      </c>
      <c r="AN43" s="885">
        <f>IF(ISNUMBER(Producción_Ganadera[[#This Row],[Fecha Financiero]])=TRUE,MONTH(Producción_Ganadera[[#This Row],[Fecha Financiero]]),0)</f>
        <v>0</v>
      </c>
      <c r="AO43" s="885">
        <f>IF(ISNUMBER(Producción_Ganadera[[#This Row],[Fecha Financiero]])=TRUE,YEAR(Producción_Ganadera[[#This Row],[Fecha Financiero]]),0)</f>
        <v>0</v>
      </c>
      <c r="AP43" s="889">
        <f>SUMPRODUCT((Producción_Ganadera[[#This Row],[Mes Financiero]]=Tipo_Cambio[Mes])*(Producción_Ganadera[[#This Row],[Año Financiero]]=Tipo_Cambio[Año])*(Tipo_Cambio[$/U$S]))</f>
        <v>0</v>
      </c>
      <c r="AQ43" s="889">
        <f>SUMPRODUCT((Producción_Ganadera[[#This Row],[Mes Financiero]]=Tipo_Cambio[Mes])*(Producción_Ganadera[[#This Row],[Año Financiero]]=Tipo_Cambio[Año])*(Tipo_Cambio[Actualización]))</f>
        <v>0</v>
      </c>
      <c r="AR43" s="919">
        <f>SUMPRODUCT((Producción_Ganadera[[#This Row],[Centro de Costo]]=Tabla19[Centro de Costo])*(Tabla19[Superficie])*(Producción_Ganadera[[#This Row],[Campaña]]=Tabla19[Campaña]))</f>
        <v>0</v>
      </c>
      <c r="AS43" s="918">
        <f>IFERROR(Producción_Ganadera[[#This Row],[Económico $Corrientes]]/Producción_Ganadera[[#This Row],[Superficie]],0)</f>
        <v>0</v>
      </c>
      <c r="AT43" s="918">
        <f>IFERROR(Producción_Ganadera[[#This Row],[Económico $Constantes]]/Producción_Ganadera[[#This Row],[Superficie]],0)</f>
        <v>0</v>
      </c>
      <c r="AU43" s="918">
        <f>IFERROR(Producción_Ganadera[[#This Row],[Económico U$S Dólares]]/Producción_Ganadera[[#This Row],[Superficie]],0)</f>
        <v>0</v>
      </c>
      <c r="AV43" s="916">
        <f>IF(Económico!$F$4=0,0,Producción_Ganadera[[#This Row],[Centro de Costo]])</f>
        <v>0</v>
      </c>
    </row>
    <row r="44" spans="1:48" x14ac:dyDescent="0.25">
      <c r="A44" s="86"/>
      <c r="B44" s="376"/>
      <c r="C44" s="86"/>
      <c r="D44" s="478"/>
      <c r="E44" s="522"/>
      <c r="F44" s="869" t="str">
        <f t="shared" si="2"/>
        <v>2018-2019</v>
      </c>
      <c r="G44" s="481" t="s">
        <v>126</v>
      </c>
      <c r="H44" s="481"/>
      <c r="I44" s="491"/>
      <c r="J44" s="549"/>
      <c r="K44" s="491"/>
      <c r="L44" s="520"/>
      <c r="M4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4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44" s="611"/>
      <c r="P44" s="484"/>
      <c r="Q44" s="875">
        <f>IF(ISNUMBER(Producción_Ganadera[[#This Row],[Cabezas]])=TRUE,Producción_Ganadera[[#This Row],[Cabezas]]*Producción_Ganadera[[#This Row],[Cantidad]],Producción_Ganadera[[#This Row],[Cantidad]])</f>
        <v>0</v>
      </c>
      <c r="R44" s="482"/>
      <c r="S44" s="552"/>
      <c r="T44" s="553"/>
      <c r="U4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44" s="881">
        <f>IFERROR(Producción_Ganadera[[#This Row],[Económico $Corrientes]]/Producción_Ganadera[[#This Row],[Indexación Económico]],0)</f>
        <v>0</v>
      </c>
      <c r="W4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4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44" s="881">
        <f>IFERROR(Producción_Ganadera[[#This Row],[Financiero $Corrientes]]/Producción_Ganadera[[#This Row],[Indexación Financiero]],0)</f>
        <v>0</v>
      </c>
      <c r="Z4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4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44" s="885">
        <f>IFERROR(Producción_Ganadera[[#This Row],[Intereses $Corrientes]]/Producción_Ganadera[[#This Row],[Indexación Financiero]],0)</f>
        <v>0</v>
      </c>
      <c r="AC4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44" s="915" t="str">
        <f>IFERROR(INDEX(Produccion_Ganadera_Cuentas[],MATCH(Producción_Ganadera[[#This Row],[Cuenta Contable]],Produccion_Ganadera_Cuentas[Cuenta Contable],0),2),0)</f>
        <v>Egreso</v>
      </c>
      <c r="AE44" s="916">
        <f>IF(Producción_Ganadera[[#This Row],[Mov. Stock]]="(+)",Producción_Ganadera[[#This Row],[Cabezas]],IF(Producción_Ganadera[[#This Row],[Mov. Stock]]="(-)",-Producción_Ganadera[[#This Row],[Cabezas]],0))</f>
        <v>0</v>
      </c>
      <c r="AF44" s="917">
        <f>IFERROR(INDEX(Produccion_Ganadera_Cuentas[],MATCH(Producción_Ganadera[[#This Row],[Cuenta Contable]],Produccion_Ganadera_Cuentas[Cuenta Contable],0),5),0)</f>
        <v>0</v>
      </c>
      <c r="AG44" s="918" t="str">
        <f>IF(Producción_Ganadera[[#This Row],[Cuenta Contable]]=Configuración!$AC$9,"Si","No")</f>
        <v>No</v>
      </c>
      <c r="AH44" s="887" t="str">
        <f>IFERROR(INDEX(Tabla9[],MATCH(Producción_Ganadera[[#This Row],[Movimiento]],Tabla9[Movimientos],0),2),0)</f>
        <v>Si</v>
      </c>
      <c r="AI44" s="888" t="str">
        <f>IFERROR(INDEX(Tabla9[],MATCH(Producción_Ganadera[[#This Row],[Movimiento]],Tabla9[Movimientos],0),3),0)</f>
        <v>(-)</v>
      </c>
      <c r="AJ44" s="885">
        <f>IF(Producción_Ganadera[[#This Row],[Fecha Económico]]=0,0,MONTH(Producción_Ganadera[[#This Row],[Fecha Económico]]))</f>
        <v>0</v>
      </c>
      <c r="AK44" s="885">
        <f>IF(Producción_Ganadera[[#This Row],[Fecha Económico]]=0,0,YEAR(Producción_Ganadera[[#This Row],[Fecha Económico]]))</f>
        <v>0</v>
      </c>
      <c r="AL44" s="889">
        <f>SUMPRODUCT((Producción_Ganadera[[#This Row],[Mes Económico]]=Tipo_Cambio[Mes])*(Producción_Ganadera[[#This Row],[Año Económico]]=Tipo_Cambio[Año])*(Tipo_Cambio[$/U$S]))</f>
        <v>0</v>
      </c>
      <c r="AM44" s="889">
        <f>SUMPRODUCT((Producción_Ganadera[[#This Row],[Mes Económico]]=Tipo_Cambio[Mes])*(Producción_Ganadera[[#This Row],[Año Económico]]=Tipo_Cambio[Año])*(Tipo_Cambio[Actualización]))</f>
        <v>0</v>
      </c>
      <c r="AN44" s="885">
        <f>IF(ISNUMBER(Producción_Ganadera[[#This Row],[Fecha Financiero]])=TRUE,MONTH(Producción_Ganadera[[#This Row],[Fecha Financiero]]),0)</f>
        <v>0</v>
      </c>
      <c r="AO44" s="885">
        <f>IF(ISNUMBER(Producción_Ganadera[[#This Row],[Fecha Financiero]])=TRUE,YEAR(Producción_Ganadera[[#This Row],[Fecha Financiero]]),0)</f>
        <v>0</v>
      </c>
      <c r="AP44" s="889">
        <f>SUMPRODUCT((Producción_Ganadera[[#This Row],[Mes Financiero]]=Tipo_Cambio[Mes])*(Producción_Ganadera[[#This Row],[Año Financiero]]=Tipo_Cambio[Año])*(Tipo_Cambio[$/U$S]))</f>
        <v>0</v>
      </c>
      <c r="AQ44" s="889">
        <f>SUMPRODUCT((Producción_Ganadera[[#This Row],[Mes Financiero]]=Tipo_Cambio[Mes])*(Producción_Ganadera[[#This Row],[Año Financiero]]=Tipo_Cambio[Año])*(Tipo_Cambio[Actualización]))</f>
        <v>0</v>
      </c>
      <c r="AR44" s="919">
        <f>SUMPRODUCT((Producción_Ganadera[[#This Row],[Centro de Costo]]=Tabla19[Centro de Costo])*(Tabla19[Superficie])*(Producción_Ganadera[[#This Row],[Campaña]]=Tabla19[Campaña]))</f>
        <v>0</v>
      </c>
      <c r="AS44" s="918">
        <f>IFERROR(Producción_Ganadera[[#This Row],[Económico $Corrientes]]/Producción_Ganadera[[#This Row],[Superficie]],0)</f>
        <v>0</v>
      </c>
      <c r="AT44" s="918">
        <f>IFERROR(Producción_Ganadera[[#This Row],[Económico $Constantes]]/Producción_Ganadera[[#This Row],[Superficie]],0)</f>
        <v>0</v>
      </c>
      <c r="AU44" s="918">
        <f>IFERROR(Producción_Ganadera[[#This Row],[Económico U$S Dólares]]/Producción_Ganadera[[#This Row],[Superficie]],0)</f>
        <v>0</v>
      </c>
      <c r="AV44" s="916">
        <f>IF(Económico!$F$4=0,0,Producción_Ganadera[[#This Row],[Centro de Costo]])</f>
        <v>0</v>
      </c>
    </row>
    <row r="45" spans="1:48" x14ac:dyDescent="0.25">
      <c r="A45" s="86"/>
      <c r="B45" s="376"/>
      <c r="C45" s="86"/>
      <c r="D45" s="535"/>
      <c r="E45" s="610"/>
      <c r="F45" s="870" t="str">
        <f t="shared" si="2"/>
        <v>2018-2019</v>
      </c>
      <c r="G45" s="538" t="s">
        <v>126</v>
      </c>
      <c r="H45" s="538"/>
      <c r="I45" s="538"/>
      <c r="J45" s="584"/>
      <c r="K45" s="538"/>
      <c r="L45" s="585"/>
      <c r="M45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45" s="870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45" s="612"/>
      <c r="P45" s="540"/>
      <c r="Q45" s="876">
        <f>IF(ISNUMBER(Producción_Ganadera[[#This Row],[Cabezas]])=TRUE,Producción_Ganadera[[#This Row],[Cabezas]]*Producción_Ganadera[[#This Row],[Cantidad]],Producción_Ganadera[[#This Row],[Cantidad]])</f>
        <v>0</v>
      </c>
      <c r="R45" s="613"/>
      <c r="S45" s="588"/>
      <c r="T45" s="589"/>
      <c r="U45" s="895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45" s="893">
        <f>IFERROR(Producción_Ganadera[[#This Row],[Económico $Corrientes]]/Producción_Ganadera[[#This Row],[Indexación Económico]],0)</f>
        <v>0</v>
      </c>
      <c r="W45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45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45" s="893">
        <f>IFERROR(Producción_Ganadera[[#This Row],[Financiero $Corrientes]]/Producción_Ganadera[[#This Row],[Indexación Financiero]],0)</f>
        <v>0</v>
      </c>
      <c r="Z45" s="92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45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45" s="897">
        <f>IFERROR(Producción_Ganadera[[#This Row],[Intereses $Corrientes]]/Producción_Ganadera[[#This Row],[Indexación Financiero]],0)</f>
        <v>0</v>
      </c>
      <c r="AC45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45" s="922" t="str">
        <f>IFERROR(INDEX(Produccion_Ganadera_Cuentas[],MATCH(Producción_Ganadera[[#This Row],[Cuenta Contable]],Produccion_Ganadera_Cuentas[Cuenta Contable],0),2),0)</f>
        <v>Egreso</v>
      </c>
      <c r="AE45" s="923">
        <f>IF(Producción_Ganadera[[#This Row],[Mov. Stock]]="(+)",Producción_Ganadera[[#This Row],[Cabezas]],IF(Producción_Ganadera[[#This Row],[Mov. Stock]]="(-)",-Producción_Ganadera[[#This Row],[Cabezas]],0))</f>
        <v>0</v>
      </c>
      <c r="AF45" s="924">
        <f>IFERROR(INDEX(Produccion_Ganadera_Cuentas[],MATCH(Producción_Ganadera[[#This Row],[Cuenta Contable]],Produccion_Ganadera_Cuentas[Cuenta Contable],0),5),0)</f>
        <v>0</v>
      </c>
      <c r="AG45" s="925" t="str">
        <f>IF(Producción_Ganadera[[#This Row],[Cuenta Contable]]=Configuración!$AC$9,"Si","No")</f>
        <v>No</v>
      </c>
      <c r="AH45" s="899" t="str">
        <f>IFERROR(INDEX(Tabla9[],MATCH(Producción_Ganadera[[#This Row],[Movimiento]],Tabla9[Movimientos],0),2),0)</f>
        <v>Si</v>
      </c>
      <c r="AI45" s="900" t="str">
        <f>IFERROR(INDEX(Tabla9[],MATCH(Producción_Ganadera[[#This Row],[Movimiento]],Tabla9[Movimientos],0),3),0)</f>
        <v>(-)</v>
      </c>
      <c r="AJ45" s="897">
        <f>IF(Producción_Ganadera[[#This Row],[Fecha Económico]]=0,0,MONTH(Producción_Ganadera[[#This Row],[Fecha Económico]]))</f>
        <v>0</v>
      </c>
      <c r="AK45" s="897">
        <f>IF(Producción_Ganadera[[#This Row],[Fecha Económico]]=0,0,YEAR(Producción_Ganadera[[#This Row],[Fecha Económico]]))</f>
        <v>0</v>
      </c>
      <c r="AL45" s="901">
        <f>SUMPRODUCT((Producción_Ganadera[[#This Row],[Mes Económico]]=Tipo_Cambio[Mes])*(Producción_Ganadera[[#This Row],[Año Económico]]=Tipo_Cambio[Año])*(Tipo_Cambio[$/U$S]))</f>
        <v>0</v>
      </c>
      <c r="AM45" s="901">
        <f>SUMPRODUCT((Producción_Ganadera[[#This Row],[Mes Económico]]=Tipo_Cambio[Mes])*(Producción_Ganadera[[#This Row],[Año Económico]]=Tipo_Cambio[Año])*(Tipo_Cambio[Actualización]))</f>
        <v>0</v>
      </c>
      <c r="AN45" s="897">
        <f>IF(ISNUMBER(Producción_Ganadera[[#This Row],[Fecha Financiero]])=TRUE,MONTH(Producción_Ganadera[[#This Row],[Fecha Financiero]]),0)</f>
        <v>0</v>
      </c>
      <c r="AO45" s="897">
        <f>IF(ISNUMBER(Producción_Ganadera[[#This Row],[Fecha Financiero]])=TRUE,YEAR(Producción_Ganadera[[#This Row],[Fecha Financiero]]),0)</f>
        <v>0</v>
      </c>
      <c r="AP45" s="901">
        <f>SUMPRODUCT((Producción_Ganadera[[#This Row],[Mes Financiero]]=Tipo_Cambio[Mes])*(Producción_Ganadera[[#This Row],[Año Financiero]]=Tipo_Cambio[Año])*(Tipo_Cambio[$/U$S]))</f>
        <v>0</v>
      </c>
      <c r="AQ45" s="901">
        <f>SUMPRODUCT((Producción_Ganadera[[#This Row],[Mes Financiero]]=Tipo_Cambio[Mes])*(Producción_Ganadera[[#This Row],[Año Financiero]]=Tipo_Cambio[Año])*(Tipo_Cambio[Actualización]))</f>
        <v>0</v>
      </c>
      <c r="AR45" s="926">
        <f>SUMPRODUCT((Producción_Ganadera[[#This Row],[Centro de Costo]]=Tabla19[Centro de Costo])*(Tabla19[Superficie])*(Producción_Ganadera[[#This Row],[Campaña]]=Tabla19[Campaña]))</f>
        <v>0</v>
      </c>
      <c r="AS45" s="925">
        <f>IFERROR(Producción_Ganadera[[#This Row],[Económico $Corrientes]]/Producción_Ganadera[[#This Row],[Superficie]],0)</f>
        <v>0</v>
      </c>
      <c r="AT45" s="925">
        <f>IFERROR(Producción_Ganadera[[#This Row],[Económico $Constantes]]/Producción_Ganadera[[#This Row],[Superficie]],0)</f>
        <v>0</v>
      </c>
      <c r="AU45" s="925">
        <f>IFERROR(Producción_Ganadera[[#This Row],[Económico U$S Dólares]]/Producción_Ganadera[[#This Row],[Superficie]],0)</f>
        <v>0</v>
      </c>
      <c r="AV45" s="923">
        <f>IF(Económico!$F$4=0,0,Producción_Ganadera[[#This Row],[Centro de Costo]])</f>
        <v>0</v>
      </c>
    </row>
    <row r="46" spans="1:48" x14ac:dyDescent="0.25">
      <c r="A46" s="86"/>
      <c r="B46" s="376"/>
      <c r="C46" s="86"/>
      <c r="D46" s="478"/>
      <c r="E46" s="522"/>
      <c r="F46" s="869" t="str">
        <f t="shared" si="2"/>
        <v>2018-2019</v>
      </c>
      <c r="G46" s="481" t="s">
        <v>170</v>
      </c>
      <c r="H46" s="481"/>
      <c r="I46" s="491"/>
      <c r="J46" s="549"/>
      <c r="K46" s="491"/>
      <c r="L46" s="520"/>
      <c r="M4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4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46" s="611"/>
      <c r="P46" s="484"/>
      <c r="Q46" s="875">
        <f>IF(ISNUMBER(Producción_Ganadera[[#This Row],[Cabezas]])=TRUE,Producción_Ganadera[[#This Row],[Cabezas]]*Producción_Ganadera[[#This Row],[Cantidad]],Producción_Ganadera[[#This Row],[Cantidad]])</f>
        <v>0</v>
      </c>
      <c r="R46" s="482"/>
      <c r="S46" s="552"/>
      <c r="T46" s="553"/>
      <c r="U4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46" s="881">
        <f>IFERROR(Producción_Ganadera[[#This Row],[Económico $Corrientes]]/Producción_Ganadera[[#This Row],[Indexación Económico]],0)</f>
        <v>0</v>
      </c>
      <c r="W4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4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46" s="881">
        <f>IFERROR(Producción_Ganadera[[#This Row],[Financiero $Corrientes]]/Producción_Ganadera[[#This Row],[Indexación Financiero]],0)</f>
        <v>0</v>
      </c>
      <c r="Z4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4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46" s="885">
        <f>IFERROR(Producción_Ganadera[[#This Row],[Intereses $Corrientes]]/Producción_Ganadera[[#This Row],[Indexación Financiero]],0)</f>
        <v>0</v>
      </c>
      <c r="AC4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46" s="915" t="str">
        <f>IFERROR(INDEX(Produccion_Ganadera_Cuentas[],MATCH(Producción_Ganadera[[#This Row],[Cuenta Contable]],Produccion_Ganadera_Cuentas[Cuenta Contable],0),2),0)</f>
        <v>Egreso</v>
      </c>
      <c r="AE46" s="916">
        <f>IF(Producción_Ganadera[[#This Row],[Mov. Stock]]="(+)",Producción_Ganadera[[#This Row],[Cabezas]],IF(Producción_Ganadera[[#This Row],[Mov. Stock]]="(-)",-Producción_Ganadera[[#This Row],[Cabezas]],0))</f>
        <v>0</v>
      </c>
      <c r="AF46" s="917" t="str">
        <f>IFERROR(INDEX(Produccion_Ganadera_Cuentas[],MATCH(Producción_Ganadera[[#This Row],[Cuenta Contable]],Produccion_Ganadera_Cuentas[Cuenta Contable],0),5),0)</f>
        <v>(+)</v>
      </c>
      <c r="AG46" s="918" t="str">
        <f>IF(Producción_Ganadera[[#This Row],[Cuenta Contable]]=Configuración!$AC$9,"Si","No")</f>
        <v>No</v>
      </c>
      <c r="AH46" s="887" t="str">
        <f>IFERROR(INDEX(Tabla9[],MATCH(Producción_Ganadera[[#This Row],[Movimiento]],Tabla9[Movimientos],0),2),0)</f>
        <v>Si</v>
      </c>
      <c r="AI46" s="888" t="str">
        <f>IFERROR(INDEX(Tabla9[],MATCH(Producción_Ganadera[[#This Row],[Movimiento]],Tabla9[Movimientos],0),3),0)</f>
        <v>(-)</v>
      </c>
      <c r="AJ46" s="885">
        <f>IF(Producción_Ganadera[[#This Row],[Fecha Económico]]=0,0,MONTH(Producción_Ganadera[[#This Row],[Fecha Económico]]))</f>
        <v>0</v>
      </c>
      <c r="AK46" s="885">
        <f>IF(Producción_Ganadera[[#This Row],[Fecha Económico]]=0,0,YEAR(Producción_Ganadera[[#This Row],[Fecha Económico]]))</f>
        <v>0</v>
      </c>
      <c r="AL46" s="889">
        <f>SUMPRODUCT((Producción_Ganadera[[#This Row],[Mes Económico]]=Tipo_Cambio[Mes])*(Producción_Ganadera[[#This Row],[Año Económico]]=Tipo_Cambio[Año])*(Tipo_Cambio[$/U$S]))</f>
        <v>0</v>
      </c>
      <c r="AM46" s="889">
        <f>SUMPRODUCT((Producción_Ganadera[[#This Row],[Mes Económico]]=Tipo_Cambio[Mes])*(Producción_Ganadera[[#This Row],[Año Económico]]=Tipo_Cambio[Año])*(Tipo_Cambio[Actualización]))</f>
        <v>0</v>
      </c>
      <c r="AN46" s="885">
        <f>IF(ISNUMBER(Producción_Ganadera[[#This Row],[Fecha Financiero]])=TRUE,MONTH(Producción_Ganadera[[#This Row],[Fecha Financiero]]),0)</f>
        <v>0</v>
      </c>
      <c r="AO46" s="885">
        <f>IF(ISNUMBER(Producción_Ganadera[[#This Row],[Fecha Financiero]])=TRUE,YEAR(Producción_Ganadera[[#This Row],[Fecha Financiero]]),0)</f>
        <v>0</v>
      </c>
      <c r="AP46" s="889">
        <f>SUMPRODUCT((Producción_Ganadera[[#This Row],[Mes Financiero]]=Tipo_Cambio[Mes])*(Producción_Ganadera[[#This Row],[Año Financiero]]=Tipo_Cambio[Año])*(Tipo_Cambio[$/U$S]))</f>
        <v>0</v>
      </c>
      <c r="AQ46" s="889">
        <f>SUMPRODUCT((Producción_Ganadera[[#This Row],[Mes Financiero]]=Tipo_Cambio[Mes])*(Producción_Ganadera[[#This Row],[Año Financiero]]=Tipo_Cambio[Año])*(Tipo_Cambio[Actualización]))</f>
        <v>0</v>
      </c>
      <c r="AR46" s="919">
        <f>SUMPRODUCT((Producción_Ganadera[[#This Row],[Centro de Costo]]=Tabla19[Centro de Costo])*(Tabla19[Superficie])*(Producción_Ganadera[[#This Row],[Campaña]]=Tabla19[Campaña]))</f>
        <v>0</v>
      </c>
      <c r="AS46" s="918">
        <f>IFERROR(Producción_Ganadera[[#This Row],[Económico $Corrientes]]/Producción_Ganadera[[#This Row],[Superficie]],0)</f>
        <v>0</v>
      </c>
      <c r="AT46" s="918">
        <f>IFERROR(Producción_Ganadera[[#This Row],[Económico $Constantes]]/Producción_Ganadera[[#This Row],[Superficie]],0)</f>
        <v>0</v>
      </c>
      <c r="AU46" s="918">
        <f>IFERROR(Producción_Ganadera[[#This Row],[Económico U$S Dólares]]/Producción_Ganadera[[#This Row],[Superficie]],0)</f>
        <v>0</v>
      </c>
      <c r="AV46" s="916">
        <f>IF(Económico!$F$4=0,0,Producción_Ganadera[[#This Row],[Centro de Costo]])</f>
        <v>0</v>
      </c>
    </row>
    <row r="47" spans="1:48" x14ac:dyDescent="0.25">
      <c r="A47" s="86"/>
      <c r="B47" s="376"/>
      <c r="C47" s="86"/>
      <c r="D47" s="478"/>
      <c r="E47" s="522"/>
      <c r="F47" s="869" t="str">
        <f t="shared" si="2"/>
        <v>2018-2019</v>
      </c>
      <c r="G47" s="481" t="s">
        <v>170</v>
      </c>
      <c r="H47" s="481"/>
      <c r="I47" s="491"/>
      <c r="J47" s="549"/>
      <c r="K47" s="491"/>
      <c r="L47" s="520"/>
      <c r="M4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4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47" s="611"/>
      <c r="P47" s="484"/>
      <c r="Q47" s="875">
        <f>IF(ISNUMBER(Producción_Ganadera[[#This Row],[Cabezas]])=TRUE,Producción_Ganadera[[#This Row],[Cabezas]]*Producción_Ganadera[[#This Row],[Cantidad]],Producción_Ganadera[[#This Row],[Cantidad]])</f>
        <v>0</v>
      </c>
      <c r="R47" s="482"/>
      <c r="S47" s="552"/>
      <c r="T47" s="553"/>
      <c r="U4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47" s="881">
        <f>IFERROR(Producción_Ganadera[[#This Row],[Económico $Corrientes]]/Producción_Ganadera[[#This Row],[Indexación Económico]],0)</f>
        <v>0</v>
      </c>
      <c r="W4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4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47" s="881">
        <f>IFERROR(Producción_Ganadera[[#This Row],[Financiero $Corrientes]]/Producción_Ganadera[[#This Row],[Indexación Financiero]],0)</f>
        <v>0</v>
      </c>
      <c r="Z4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4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47" s="885">
        <f>IFERROR(Producción_Ganadera[[#This Row],[Intereses $Corrientes]]/Producción_Ganadera[[#This Row],[Indexación Financiero]],0)</f>
        <v>0</v>
      </c>
      <c r="AC4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47" s="915" t="str">
        <f>IFERROR(INDEX(Produccion_Ganadera_Cuentas[],MATCH(Producción_Ganadera[[#This Row],[Cuenta Contable]],Produccion_Ganadera_Cuentas[Cuenta Contable],0),2),0)</f>
        <v>Egreso</v>
      </c>
      <c r="AE47" s="916">
        <f>IF(Producción_Ganadera[[#This Row],[Mov. Stock]]="(+)",Producción_Ganadera[[#This Row],[Cabezas]],IF(Producción_Ganadera[[#This Row],[Mov. Stock]]="(-)",-Producción_Ganadera[[#This Row],[Cabezas]],0))</f>
        <v>0</v>
      </c>
      <c r="AF47" s="917" t="str">
        <f>IFERROR(INDEX(Produccion_Ganadera_Cuentas[],MATCH(Producción_Ganadera[[#This Row],[Cuenta Contable]],Produccion_Ganadera_Cuentas[Cuenta Contable],0),5),0)</f>
        <v>(+)</v>
      </c>
      <c r="AG47" s="918" t="str">
        <f>IF(Producción_Ganadera[[#This Row],[Cuenta Contable]]=Configuración!$AC$9,"Si","No")</f>
        <v>No</v>
      </c>
      <c r="AH47" s="887" t="str">
        <f>IFERROR(INDEX(Tabla9[],MATCH(Producción_Ganadera[[#This Row],[Movimiento]],Tabla9[Movimientos],0),2),0)</f>
        <v>Si</v>
      </c>
      <c r="AI47" s="888" t="str">
        <f>IFERROR(INDEX(Tabla9[],MATCH(Producción_Ganadera[[#This Row],[Movimiento]],Tabla9[Movimientos],0),3),0)</f>
        <v>(-)</v>
      </c>
      <c r="AJ47" s="885">
        <f>IF(Producción_Ganadera[[#This Row],[Fecha Económico]]=0,0,MONTH(Producción_Ganadera[[#This Row],[Fecha Económico]]))</f>
        <v>0</v>
      </c>
      <c r="AK47" s="885">
        <f>IF(Producción_Ganadera[[#This Row],[Fecha Económico]]=0,0,YEAR(Producción_Ganadera[[#This Row],[Fecha Económico]]))</f>
        <v>0</v>
      </c>
      <c r="AL47" s="889">
        <f>SUMPRODUCT((Producción_Ganadera[[#This Row],[Mes Económico]]=Tipo_Cambio[Mes])*(Producción_Ganadera[[#This Row],[Año Económico]]=Tipo_Cambio[Año])*(Tipo_Cambio[$/U$S]))</f>
        <v>0</v>
      </c>
      <c r="AM47" s="889">
        <f>SUMPRODUCT((Producción_Ganadera[[#This Row],[Mes Económico]]=Tipo_Cambio[Mes])*(Producción_Ganadera[[#This Row],[Año Económico]]=Tipo_Cambio[Año])*(Tipo_Cambio[Actualización]))</f>
        <v>0</v>
      </c>
      <c r="AN47" s="885">
        <f>IF(ISNUMBER(Producción_Ganadera[[#This Row],[Fecha Financiero]])=TRUE,MONTH(Producción_Ganadera[[#This Row],[Fecha Financiero]]),0)</f>
        <v>0</v>
      </c>
      <c r="AO47" s="885">
        <f>IF(ISNUMBER(Producción_Ganadera[[#This Row],[Fecha Financiero]])=TRUE,YEAR(Producción_Ganadera[[#This Row],[Fecha Financiero]]),0)</f>
        <v>0</v>
      </c>
      <c r="AP47" s="889">
        <f>SUMPRODUCT((Producción_Ganadera[[#This Row],[Mes Financiero]]=Tipo_Cambio[Mes])*(Producción_Ganadera[[#This Row],[Año Financiero]]=Tipo_Cambio[Año])*(Tipo_Cambio[$/U$S]))</f>
        <v>0</v>
      </c>
      <c r="AQ47" s="889">
        <f>SUMPRODUCT((Producción_Ganadera[[#This Row],[Mes Financiero]]=Tipo_Cambio[Mes])*(Producción_Ganadera[[#This Row],[Año Financiero]]=Tipo_Cambio[Año])*(Tipo_Cambio[Actualización]))</f>
        <v>0</v>
      </c>
      <c r="AR47" s="919">
        <f>SUMPRODUCT((Producción_Ganadera[[#This Row],[Centro de Costo]]=Tabla19[Centro de Costo])*(Tabla19[Superficie])*(Producción_Ganadera[[#This Row],[Campaña]]=Tabla19[Campaña]))</f>
        <v>0</v>
      </c>
      <c r="AS47" s="918">
        <f>IFERROR(Producción_Ganadera[[#This Row],[Económico $Corrientes]]/Producción_Ganadera[[#This Row],[Superficie]],0)</f>
        <v>0</v>
      </c>
      <c r="AT47" s="918">
        <f>IFERROR(Producción_Ganadera[[#This Row],[Económico $Constantes]]/Producción_Ganadera[[#This Row],[Superficie]],0)</f>
        <v>0</v>
      </c>
      <c r="AU47" s="918">
        <f>IFERROR(Producción_Ganadera[[#This Row],[Económico U$S Dólares]]/Producción_Ganadera[[#This Row],[Superficie]],0)</f>
        <v>0</v>
      </c>
      <c r="AV47" s="916">
        <f>IF(Económico!$F$4=0,0,Producción_Ganadera[[#This Row],[Centro de Costo]])</f>
        <v>0</v>
      </c>
    </row>
    <row r="48" spans="1:48" x14ac:dyDescent="0.25">
      <c r="A48" s="86"/>
      <c r="B48" s="376"/>
      <c r="C48" s="86"/>
      <c r="D48" s="478"/>
      <c r="E48" s="522"/>
      <c r="F48" s="869" t="str">
        <f t="shared" si="2"/>
        <v>2018-2019</v>
      </c>
      <c r="G48" s="481" t="s">
        <v>126</v>
      </c>
      <c r="H48" s="481"/>
      <c r="I48" s="491"/>
      <c r="J48" s="549"/>
      <c r="K48" s="491"/>
      <c r="L48" s="520"/>
      <c r="M4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4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48" s="611"/>
      <c r="P48" s="484"/>
      <c r="Q48" s="875">
        <f>IF(ISNUMBER(Producción_Ganadera[[#This Row],[Cabezas]])=TRUE,Producción_Ganadera[[#This Row],[Cabezas]]*Producción_Ganadera[[#This Row],[Cantidad]],Producción_Ganadera[[#This Row],[Cantidad]])</f>
        <v>0</v>
      </c>
      <c r="R48" s="482"/>
      <c r="S48" s="552"/>
      <c r="T48" s="553"/>
      <c r="U4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48" s="881">
        <f>IFERROR(Producción_Ganadera[[#This Row],[Económico $Corrientes]]/Producción_Ganadera[[#This Row],[Indexación Económico]],0)</f>
        <v>0</v>
      </c>
      <c r="W4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4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48" s="881">
        <f>IFERROR(Producción_Ganadera[[#This Row],[Financiero $Corrientes]]/Producción_Ganadera[[#This Row],[Indexación Financiero]],0)</f>
        <v>0</v>
      </c>
      <c r="Z4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4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48" s="885">
        <f>IFERROR(Producción_Ganadera[[#This Row],[Intereses $Corrientes]]/Producción_Ganadera[[#This Row],[Indexación Financiero]],0)</f>
        <v>0</v>
      </c>
      <c r="AC4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48" s="915" t="str">
        <f>IFERROR(INDEX(Produccion_Ganadera_Cuentas[],MATCH(Producción_Ganadera[[#This Row],[Cuenta Contable]],Produccion_Ganadera_Cuentas[Cuenta Contable],0),2),0)</f>
        <v>Egreso</v>
      </c>
      <c r="AE48" s="916">
        <f>IF(Producción_Ganadera[[#This Row],[Mov. Stock]]="(+)",Producción_Ganadera[[#This Row],[Cabezas]],IF(Producción_Ganadera[[#This Row],[Mov. Stock]]="(-)",-Producción_Ganadera[[#This Row],[Cabezas]],0))</f>
        <v>0</v>
      </c>
      <c r="AF48" s="917">
        <f>IFERROR(INDEX(Produccion_Ganadera_Cuentas[],MATCH(Producción_Ganadera[[#This Row],[Cuenta Contable]],Produccion_Ganadera_Cuentas[Cuenta Contable],0),5),0)</f>
        <v>0</v>
      </c>
      <c r="AG48" s="918" t="str">
        <f>IF(Producción_Ganadera[[#This Row],[Cuenta Contable]]=Configuración!$AC$9,"Si","No")</f>
        <v>No</v>
      </c>
      <c r="AH48" s="887" t="str">
        <f>IFERROR(INDEX(Tabla9[],MATCH(Producción_Ganadera[[#This Row],[Movimiento]],Tabla9[Movimientos],0),2),0)</f>
        <v>Si</v>
      </c>
      <c r="AI48" s="888" t="str">
        <f>IFERROR(INDEX(Tabla9[],MATCH(Producción_Ganadera[[#This Row],[Movimiento]],Tabla9[Movimientos],0),3),0)</f>
        <v>(-)</v>
      </c>
      <c r="AJ48" s="885">
        <f>IF(Producción_Ganadera[[#This Row],[Fecha Económico]]=0,0,MONTH(Producción_Ganadera[[#This Row],[Fecha Económico]]))</f>
        <v>0</v>
      </c>
      <c r="AK48" s="885">
        <f>IF(Producción_Ganadera[[#This Row],[Fecha Económico]]=0,0,YEAR(Producción_Ganadera[[#This Row],[Fecha Económico]]))</f>
        <v>0</v>
      </c>
      <c r="AL48" s="889">
        <f>SUMPRODUCT((Producción_Ganadera[[#This Row],[Mes Económico]]=Tipo_Cambio[Mes])*(Producción_Ganadera[[#This Row],[Año Económico]]=Tipo_Cambio[Año])*(Tipo_Cambio[$/U$S]))</f>
        <v>0</v>
      </c>
      <c r="AM48" s="889">
        <f>SUMPRODUCT((Producción_Ganadera[[#This Row],[Mes Económico]]=Tipo_Cambio[Mes])*(Producción_Ganadera[[#This Row],[Año Económico]]=Tipo_Cambio[Año])*(Tipo_Cambio[Actualización]))</f>
        <v>0</v>
      </c>
      <c r="AN48" s="885">
        <f>IF(ISNUMBER(Producción_Ganadera[[#This Row],[Fecha Financiero]])=TRUE,MONTH(Producción_Ganadera[[#This Row],[Fecha Financiero]]),0)</f>
        <v>0</v>
      </c>
      <c r="AO48" s="885">
        <f>IF(ISNUMBER(Producción_Ganadera[[#This Row],[Fecha Financiero]])=TRUE,YEAR(Producción_Ganadera[[#This Row],[Fecha Financiero]]),0)</f>
        <v>0</v>
      </c>
      <c r="AP48" s="889">
        <f>SUMPRODUCT((Producción_Ganadera[[#This Row],[Mes Financiero]]=Tipo_Cambio[Mes])*(Producción_Ganadera[[#This Row],[Año Financiero]]=Tipo_Cambio[Año])*(Tipo_Cambio[$/U$S]))</f>
        <v>0</v>
      </c>
      <c r="AQ48" s="889">
        <f>SUMPRODUCT((Producción_Ganadera[[#This Row],[Mes Financiero]]=Tipo_Cambio[Mes])*(Producción_Ganadera[[#This Row],[Año Financiero]]=Tipo_Cambio[Año])*(Tipo_Cambio[Actualización]))</f>
        <v>0</v>
      </c>
      <c r="AR48" s="919">
        <f>SUMPRODUCT((Producción_Ganadera[[#This Row],[Centro de Costo]]=Tabla19[Centro de Costo])*(Tabla19[Superficie])*(Producción_Ganadera[[#This Row],[Campaña]]=Tabla19[Campaña]))</f>
        <v>0</v>
      </c>
      <c r="AS48" s="918">
        <f>IFERROR(Producción_Ganadera[[#This Row],[Económico $Corrientes]]/Producción_Ganadera[[#This Row],[Superficie]],0)</f>
        <v>0</v>
      </c>
      <c r="AT48" s="918">
        <f>IFERROR(Producción_Ganadera[[#This Row],[Económico $Constantes]]/Producción_Ganadera[[#This Row],[Superficie]],0)</f>
        <v>0</v>
      </c>
      <c r="AU48" s="918">
        <f>IFERROR(Producción_Ganadera[[#This Row],[Económico U$S Dólares]]/Producción_Ganadera[[#This Row],[Superficie]],0)</f>
        <v>0</v>
      </c>
      <c r="AV48" s="916">
        <f>IF(Económico!$F$4=0,0,Producción_Ganadera[[#This Row],[Centro de Costo]])</f>
        <v>0</v>
      </c>
    </row>
    <row r="49" spans="1:48" ht="15.75" thickBot="1" x14ac:dyDescent="0.3">
      <c r="A49" s="86"/>
      <c r="B49" s="373" t="s">
        <v>101</v>
      </c>
      <c r="C49" s="86"/>
      <c r="D49" s="478"/>
      <c r="E49" s="522"/>
      <c r="F49" s="869" t="str">
        <f t="shared" si="2"/>
        <v>2018-2019</v>
      </c>
      <c r="G49" s="491" t="s">
        <v>126</v>
      </c>
      <c r="H49" s="491"/>
      <c r="I49" s="491"/>
      <c r="J49" s="549"/>
      <c r="K49" s="491"/>
      <c r="L49" s="520"/>
      <c r="M4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4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49" s="611"/>
      <c r="P49" s="484"/>
      <c r="Q49" s="875">
        <f>IF(ISNUMBER(Producción_Ganadera[[#This Row],[Cabezas]])=TRUE,Producción_Ganadera[[#This Row],[Cabezas]]*Producción_Ganadera[[#This Row],[Cantidad]],Producción_Ganadera[[#This Row],[Cantidad]])</f>
        <v>0</v>
      </c>
      <c r="R49" s="482"/>
      <c r="S49" s="552"/>
      <c r="T49" s="553"/>
      <c r="U4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49" s="881">
        <f>IFERROR(Producción_Ganadera[[#This Row],[Económico $Corrientes]]/Producción_Ganadera[[#This Row],[Indexación Económico]],0)</f>
        <v>0</v>
      </c>
      <c r="W4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4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49" s="881">
        <f>IFERROR(Producción_Ganadera[[#This Row],[Financiero $Corrientes]]/Producción_Ganadera[[#This Row],[Indexación Financiero]],0)</f>
        <v>0</v>
      </c>
      <c r="Z4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4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49" s="885">
        <f>IFERROR(Producción_Ganadera[[#This Row],[Intereses $Corrientes]]/Producción_Ganadera[[#This Row],[Indexación Financiero]],0)</f>
        <v>0</v>
      </c>
      <c r="AC4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49" s="915" t="str">
        <f>IFERROR(INDEX(Produccion_Ganadera_Cuentas[],MATCH(Producción_Ganadera[[#This Row],[Cuenta Contable]],Produccion_Ganadera_Cuentas[Cuenta Contable],0),2),0)</f>
        <v>Egreso</v>
      </c>
      <c r="AE49" s="916">
        <f>IF(Producción_Ganadera[[#This Row],[Mov. Stock]]="(+)",Producción_Ganadera[[#This Row],[Cabezas]],IF(Producción_Ganadera[[#This Row],[Mov. Stock]]="(-)",-Producción_Ganadera[[#This Row],[Cabezas]],0))</f>
        <v>0</v>
      </c>
      <c r="AF49" s="917">
        <f>IFERROR(INDEX(Produccion_Ganadera_Cuentas[],MATCH(Producción_Ganadera[[#This Row],[Cuenta Contable]],Produccion_Ganadera_Cuentas[Cuenta Contable],0),5),0)</f>
        <v>0</v>
      </c>
      <c r="AG49" s="918" t="str">
        <f>IF(Producción_Ganadera[[#This Row],[Cuenta Contable]]=Configuración!$AC$9,"Si","No")</f>
        <v>No</v>
      </c>
      <c r="AH49" s="887" t="str">
        <f>IFERROR(INDEX(Tabla9[],MATCH(Producción_Ganadera[[#This Row],[Movimiento]],Tabla9[Movimientos],0),2),0)</f>
        <v>Si</v>
      </c>
      <c r="AI49" s="888" t="str">
        <f>IFERROR(INDEX(Tabla9[],MATCH(Producción_Ganadera[[#This Row],[Movimiento]],Tabla9[Movimientos],0),3),0)</f>
        <v>(-)</v>
      </c>
      <c r="AJ49" s="885">
        <f>IF(Producción_Ganadera[[#This Row],[Fecha Económico]]=0,0,MONTH(Producción_Ganadera[[#This Row],[Fecha Económico]]))</f>
        <v>0</v>
      </c>
      <c r="AK49" s="885">
        <f>IF(Producción_Ganadera[[#This Row],[Fecha Económico]]=0,0,YEAR(Producción_Ganadera[[#This Row],[Fecha Económico]]))</f>
        <v>0</v>
      </c>
      <c r="AL49" s="889">
        <f>SUMPRODUCT((Producción_Ganadera[[#This Row],[Mes Económico]]=Tipo_Cambio[Mes])*(Producción_Ganadera[[#This Row],[Año Económico]]=Tipo_Cambio[Año])*(Tipo_Cambio[$/U$S]))</f>
        <v>0</v>
      </c>
      <c r="AM49" s="889">
        <f>SUMPRODUCT((Producción_Ganadera[[#This Row],[Mes Económico]]=Tipo_Cambio[Mes])*(Producción_Ganadera[[#This Row],[Año Económico]]=Tipo_Cambio[Año])*(Tipo_Cambio[Actualización]))</f>
        <v>0</v>
      </c>
      <c r="AN49" s="885">
        <f>IF(ISNUMBER(Producción_Ganadera[[#This Row],[Fecha Financiero]])=TRUE,MONTH(Producción_Ganadera[[#This Row],[Fecha Financiero]]),0)</f>
        <v>0</v>
      </c>
      <c r="AO49" s="885">
        <f>IF(ISNUMBER(Producción_Ganadera[[#This Row],[Fecha Financiero]])=TRUE,YEAR(Producción_Ganadera[[#This Row],[Fecha Financiero]]),0)</f>
        <v>0</v>
      </c>
      <c r="AP49" s="889">
        <f>SUMPRODUCT((Producción_Ganadera[[#This Row],[Mes Financiero]]=Tipo_Cambio[Mes])*(Producción_Ganadera[[#This Row],[Año Financiero]]=Tipo_Cambio[Año])*(Tipo_Cambio[$/U$S]))</f>
        <v>0</v>
      </c>
      <c r="AQ49" s="889">
        <f>SUMPRODUCT((Producción_Ganadera[[#This Row],[Mes Financiero]]=Tipo_Cambio[Mes])*(Producción_Ganadera[[#This Row],[Año Financiero]]=Tipo_Cambio[Año])*(Tipo_Cambio[Actualización]))</f>
        <v>0</v>
      </c>
      <c r="AR49" s="919">
        <f>SUMPRODUCT((Producción_Ganadera[[#This Row],[Centro de Costo]]=Tabla19[Centro de Costo])*(Tabla19[Superficie])*(Producción_Ganadera[[#This Row],[Campaña]]=Tabla19[Campaña]))</f>
        <v>0</v>
      </c>
      <c r="AS49" s="918">
        <f>IFERROR(Producción_Ganadera[[#This Row],[Económico $Corrientes]]/Producción_Ganadera[[#This Row],[Superficie]],0)</f>
        <v>0</v>
      </c>
      <c r="AT49" s="918">
        <f>IFERROR(Producción_Ganadera[[#This Row],[Económico $Constantes]]/Producción_Ganadera[[#This Row],[Superficie]],0)</f>
        <v>0</v>
      </c>
      <c r="AU49" s="918">
        <f>IFERROR(Producción_Ganadera[[#This Row],[Económico U$S Dólares]]/Producción_Ganadera[[#This Row],[Superficie]],0)</f>
        <v>0</v>
      </c>
      <c r="AV49" s="916">
        <f>IF(Económico!$F$4=0,0,Producción_Ganadera[[#This Row],[Centro de Costo]])</f>
        <v>0</v>
      </c>
    </row>
    <row r="50" spans="1:48" ht="15.75" thickTop="1" x14ac:dyDescent="0.25">
      <c r="A50" s="86"/>
      <c r="B50" s="1136" t="s">
        <v>145</v>
      </c>
      <c r="C50" s="86"/>
      <c r="D50" s="614"/>
      <c r="E50" s="615"/>
      <c r="F50" s="871" t="str">
        <f t="shared" si="2"/>
        <v>2018-2019</v>
      </c>
      <c r="G50" s="616" t="str">
        <f t="shared" ref="G50:G57" si="3">GAN_Tralado_Entrada</f>
        <v>Entrada Traslados</v>
      </c>
      <c r="H50" s="616"/>
      <c r="I50" s="616"/>
      <c r="J50" s="617"/>
      <c r="K50" s="616"/>
      <c r="L50" s="618"/>
      <c r="M50" s="61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50" s="871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50" s="620"/>
      <c r="P50" s="621"/>
      <c r="Q50" s="878">
        <f>IF(ISNUMBER(Producción_Ganadera[[#This Row],[Cabezas]])=TRUE,Producción_Ganadera[[#This Row],[Cabezas]]*Producción_Ganadera[[#This Row],[Cantidad]],Producción_Ganadera[[#This Row],[Cantidad]])</f>
        <v>0</v>
      </c>
      <c r="R50" s="622"/>
      <c r="S50" s="623"/>
      <c r="T50" s="624"/>
      <c r="U50" s="927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50" s="928">
        <f>IFERROR(Producción_Ganadera[[#This Row],[Económico $Corrientes]]/Producción_Ganadera[[#This Row],[Indexación Económico]],0)</f>
        <v>0</v>
      </c>
      <c r="W50" s="929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50" s="927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50" s="928">
        <f>IFERROR(Producción_Ganadera[[#This Row],[Financiero $Corrientes]]/Producción_Ganadera[[#This Row],[Indexación Financiero]],0)</f>
        <v>0</v>
      </c>
      <c r="Z50" s="930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50" s="93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50" s="932">
        <f>IFERROR(Producción_Ganadera[[#This Row],[Intereses $Corrientes]]/Producción_Ganadera[[#This Row],[Indexación Financiero]],0)</f>
        <v>0</v>
      </c>
      <c r="AC50" s="93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50" s="933" t="str">
        <f>IFERROR(INDEX(Produccion_Ganadera_Cuentas[],MATCH(Producción_Ganadera[[#This Row],[Cuenta Contable]],Produccion_Ganadera_Cuentas[Cuenta Contable],0),2),0)</f>
        <v>Mov. Hacienda</v>
      </c>
      <c r="AE50" s="934">
        <f>IF(Producción_Ganadera[[#This Row],[Mov. Stock]]="(+)",Producción_Ganadera[[#This Row],[Cabezas]],IF(Producción_Ganadera[[#This Row],[Mov. Stock]]="(-)",-Producción_Ganadera[[#This Row],[Cabezas]],0))</f>
        <v>0</v>
      </c>
      <c r="AF50" s="935" t="str">
        <f>IFERROR(INDEX(Produccion_Ganadera_Cuentas[],MATCH(Producción_Ganadera[[#This Row],[Cuenta Contable]],Produccion_Ganadera_Cuentas[Cuenta Contable],0),5),0)</f>
        <v>(+)</v>
      </c>
      <c r="AG50" s="936" t="str">
        <f>IF(Producción_Ganadera[[#This Row],[Cuenta Contable]]=Configuración!$AC$9,"Si","No")</f>
        <v>No</v>
      </c>
      <c r="AH50" s="937" t="str">
        <f>IFERROR(INDEX(Tabla9[],MATCH(Producción_Ganadera[[#This Row],[Movimiento]],Tabla9[Movimientos],0),2),0)</f>
        <v>No</v>
      </c>
      <c r="AI50" s="938">
        <f>IFERROR(INDEX(Tabla9[],MATCH(Producción_Ganadera[[#This Row],[Movimiento]],Tabla9[Movimientos],0),3),0)</f>
        <v>0</v>
      </c>
      <c r="AJ50" s="932">
        <f>IF(Producción_Ganadera[[#This Row],[Fecha Económico]]=0,0,MONTH(Producción_Ganadera[[#This Row],[Fecha Económico]]))</f>
        <v>0</v>
      </c>
      <c r="AK50" s="932">
        <f>IF(Producción_Ganadera[[#This Row],[Fecha Económico]]=0,0,YEAR(Producción_Ganadera[[#This Row],[Fecha Económico]]))</f>
        <v>0</v>
      </c>
      <c r="AL50" s="939">
        <f>SUMPRODUCT((Producción_Ganadera[[#This Row],[Mes Económico]]=Tipo_Cambio[Mes])*(Producción_Ganadera[[#This Row],[Año Económico]]=Tipo_Cambio[Año])*(Tipo_Cambio[$/U$S]))</f>
        <v>0</v>
      </c>
      <c r="AM50" s="939">
        <f>SUMPRODUCT((Producción_Ganadera[[#This Row],[Mes Económico]]=Tipo_Cambio[Mes])*(Producción_Ganadera[[#This Row],[Año Económico]]=Tipo_Cambio[Año])*(Tipo_Cambio[Actualización]))</f>
        <v>0</v>
      </c>
      <c r="AN50" s="932">
        <f>IF(ISNUMBER(Producción_Ganadera[[#This Row],[Fecha Financiero]])=TRUE,MONTH(Producción_Ganadera[[#This Row],[Fecha Financiero]]),0)</f>
        <v>0</v>
      </c>
      <c r="AO50" s="932">
        <f>IF(ISNUMBER(Producción_Ganadera[[#This Row],[Fecha Financiero]])=TRUE,YEAR(Producción_Ganadera[[#This Row],[Fecha Financiero]]),0)</f>
        <v>0</v>
      </c>
      <c r="AP50" s="939">
        <f>SUMPRODUCT((Producción_Ganadera[[#This Row],[Mes Financiero]]=Tipo_Cambio[Mes])*(Producción_Ganadera[[#This Row],[Año Financiero]]=Tipo_Cambio[Año])*(Tipo_Cambio[$/U$S]))</f>
        <v>0</v>
      </c>
      <c r="AQ50" s="939">
        <f>SUMPRODUCT((Producción_Ganadera[[#This Row],[Mes Financiero]]=Tipo_Cambio[Mes])*(Producción_Ganadera[[#This Row],[Año Financiero]]=Tipo_Cambio[Año])*(Tipo_Cambio[Actualización]))</f>
        <v>0</v>
      </c>
      <c r="AR50" s="940">
        <f>SUMPRODUCT((Producción_Ganadera[[#This Row],[Centro de Costo]]=Tabla19[Centro de Costo])*(Tabla19[Superficie])*(Producción_Ganadera[[#This Row],[Campaña]]=Tabla19[Campaña]))</f>
        <v>0</v>
      </c>
      <c r="AS50" s="936">
        <f>IFERROR(Producción_Ganadera[[#This Row],[Económico $Corrientes]]/Producción_Ganadera[[#This Row],[Superficie]],0)</f>
        <v>0</v>
      </c>
      <c r="AT50" s="936">
        <f>IFERROR(Producción_Ganadera[[#This Row],[Económico $Constantes]]/Producción_Ganadera[[#This Row],[Superficie]],0)</f>
        <v>0</v>
      </c>
      <c r="AU50" s="936">
        <f>IFERROR(Producción_Ganadera[[#This Row],[Económico U$S Dólares]]/Producción_Ganadera[[#This Row],[Superficie]],0)</f>
        <v>0</v>
      </c>
      <c r="AV50" s="934">
        <f>IF(Económico!$F$4=0,0,Producción_Ganadera[[#This Row],[Centro de Costo]])</f>
        <v>0</v>
      </c>
    </row>
    <row r="51" spans="1:48" x14ac:dyDescent="0.25">
      <c r="A51" s="86"/>
      <c r="B51" s="1136"/>
      <c r="C51" s="86"/>
      <c r="D51" s="478"/>
      <c r="E51" s="522"/>
      <c r="F51" s="869" t="str">
        <f t="shared" si="2"/>
        <v>2018-2019</v>
      </c>
      <c r="G51" s="491" t="str">
        <f>GAN_Tralado_Entrada</f>
        <v>Entrada Traslados</v>
      </c>
      <c r="H51" s="491"/>
      <c r="I51" s="491"/>
      <c r="J51" s="549"/>
      <c r="K51" s="491"/>
      <c r="L51" s="520"/>
      <c r="M5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5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51" s="611"/>
      <c r="P51" s="484"/>
      <c r="Q51" s="875">
        <f>IF(ISNUMBER(Producción_Ganadera[[#This Row],[Cabezas]])=TRUE,Producción_Ganadera[[#This Row],[Cabezas]]*Producción_Ganadera[[#This Row],[Cantidad]],Producción_Ganadera[[#This Row],[Cantidad]])</f>
        <v>0</v>
      </c>
      <c r="R51" s="482"/>
      <c r="S51" s="552"/>
      <c r="T51" s="553"/>
      <c r="U5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51" s="881">
        <f>IFERROR(Producción_Ganadera[[#This Row],[Económico $Corrientes]]/Producción_Ganadera[[#This Row],[Indexación Económico]],0)</f>
        <v>0</v>
      </c>
      <c r="W5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5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51" s="881">
        <f>IFERROR(Producción_Ganadera[[#This Row],[Financiero $Corrientes]]/Producción_Ganadera[[#This Row],[Indexación Financiero]],0)</f>
        <v>0</v>
      </c>
      <c r="Z5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5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51" s="885">
        <f>IFERROR(Producción_Ganadera[[#This Row],[Intereses $Corrientes]]/Producción_Ganadera[[#This Row],[Indexación Financiero]],0)</f>
        <v>0</v>
      </c>
      <c r="AC5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51" s="915" t="str">
        <f>IFERROR(INDEX(Produccion_Ganadera_Cuentas[],MATCH(Producción_Ganadera[[#This Row],[Cuenta Contable]],Produccion_Ganadera_Cuentas[Cuenta Contable],0),2),0)</f>
        <v>Mov. Hacienda</v>
      </c>
      <c r="AE51" s="916">
        <f>IF(Producción_Ganadera[[#This Row],[Mov. Stock]]="(+)",Producción_Ganadera[[#This Row],[Cabezas]],IF(Producción_Ganadera[[#This Row],[Mov. Stock]]="(-)",-Producción_Ganadera[[#This Row],[Cabezas]],0))</f>
        <v>0</v>
      </c>
      <c r="AF51" s="917" t="str">
        <f>IFERROR(INDEX(Produccion_Ganadera_Cuentas[],MATCH(Producción_Ganadera[[#This Row],[Cuenta Contable]],Produccion_Ganadera_Cuentas[Cuenta Contable],0),5),0)</f>
        <v>(+)</v>
      </c>
      <c r="AG51" s="918" t="str">
        <f>IF(Producción_Ganadera[[#This Row],[Cuenta Contable]]=Configuración!$AC$9,"Si","No")</f>
        <v>No</v>
      </c>
      <c r="AH51" s="887" t="str">
        <f>IFERROR(INDEX(Tabla9[],MATCH(Producción_Ganadera[[#This Row],[Movimiento]],Tabla9[Movimientos],0),2),0)</f>
        <v>No</v>
      </c>
      <c r="AI51" s="888">
        <f>IFERROR(INDEX(Tabla9[],MATCH(Producción_Ganadera[[#This Row],[Movimiento]],Tabla9[Movimientos],0),3),0)</f>
        <v>0</v>
      </c>
      <c r="AJ51" s="885">
        <f>IF(Producción_Ganadera[[#This Row],[Fecha Económico]]=0,0,MONTH(Producción_Ganadera[[#This Row],[Fecha Económico]]))</f>
        <v>0</v>
      </c>
      <c r="AK51" s="885">
        <f>IF(Producción_Ganadera[[#This Row],[Fecha Económico]]=0,0,YEAR(Producción_Ganadera[[#This Row],[Fecha Económico]]))</f>
        <v>0</v>
      </c>
      <c r="AL51" s="889">
        <f>SUMPRODUCT((Producción_Ganadera[[#This Row],[Mes Económico]]=Tipo_Cambio[Mes])*(Producción_Ganadera[[#This Row],[Año Económico]]=Tipo_Cambio[Año])*(Tipo_Cambio[$/U$S]))</f>
        <v>0</v>
      </c>
      <c r="AM51" s="889">
        <f>SUMPRODUCT((Producción_Ganadera[[#This Row],[Mes Económico]]=Tipo_Cambio[Mes])*(Producción_Ganadera[[#This Row],[Año Económico]]=Tipo_Cambio[Año])*(Tipo_Cambio[Actualización]))</f>
        <v>0</v>
      </c>
      <c r="AN51" s="885">
        <f>IF(ISNUMBER(Producción_Ganadera[[#This Row],[Fecha Financiero]])=TRUE,MONTH(Producción_Ganadera[[#This Row],[Fecha Financiero]]),0)</f>
        <v>0</v>
      </c>
      <c r="AO51" s="885">
        <f>IF(ISNUMBER(Producción_Ganadera[[#This Row],[Fecha Financiero]])=TRUE,YEAR(Producción_Ganadera[[#This Row],[Fecha Financiero]]),0)</f>
        <v>0</v>
      </c>
      <c r="AP51" s="889">
        <f>SUMPRODUCT((Producción_Ganadera[[#This Row],[Mes Financiero]]=Tipo_Cambio[Mes])*(Producción_Ganadera[[#This Row],[Año Financiero]]=Tipo_Cambio[Año])*(Tipo_Cambio[$/U$S]))</f>
        <v>0</v>
      </c>
      <c r="AQ51" s="889">
        <f>SUMPRODUCT((Producción_Ganadera[[#This Row],[Mes Financiero]]=Tipo_Cambio[Mes])*(Producción_Ganadera[[#This Row],[Año Financiero]]=Tipo_Cambio[Año])*(Tipo_Cambio[Actualización]))</f>
        <v>0</v>
      </c>
      <c r="AR51" s="919">
        <f>SUMPRODUCT((Producción_Ganadera[[#This Row],[Centro de Costo]]=Tabla19[Centro de Costo])*(Tabla19[Superficie])*(Producción_Ganadera[[#This Row],[Campaña]]=Tabla19[Campaña]))</f>
        <v>0</v>
      </c>
      <c r="AS51" s="918">
        <f>IFERROR(Producción_Ganadera[[#This Row],[Económico $Corrientes]]/Producción_Ganadera[[#This Row],[Superficie]],0)</f>
        <v>0</v>
      </c>
      <c r="AT51" s="918">
        <f>IFERROR(Producción_Ganadera[[#This Row],[Económico $Constantes]]/Producción_Ganadera[[#This Row],[Superficie]],0)</f>
        <v>0</v>
      </c>
      <c r="AU51" s="918">
        <f>IFERROR(Producción_Ganadera[[#This Row],[Económico U$S Dólares]]/Producción_Ganadera[[#This Row],[Superficie]],0)</f>
        <v>0</v>
      </c>
      <c r="AV51" s="916">
        <f>IF(Económico!$F$4=0,0,Producción_Ganadera[[#This Row],[Centro de Costo]])</f>
        <v>0</v>
      </c>
    </row>
    <row r="52" spans="1:48" x14ac:dyDescent="0.25">
      <c r="A52" s="86"/>
      <c r="B52" s="1136"/>
      <c r="C52" s="86"/>
      <c r="D52" s="478"/>
      <c r="E52" s="522"/>
      <c r="F52" s="869" t="str">
        <f t="shared" si="2"/>
        <v>2018-2019</v>
      </c>
      <c r="G52" s="491" t="str">
        <f t="shared" si="3"/>
        <v>Entrada Traslados</v>
      </c>
      <c r="H52" s="491"/>
      <c r="I52" s="491"/>
      <c r="J52" s="549"/>
      <c r="K52" s="491"/>
      <c r="L52" s="520"/>
      <c r="M5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5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52" s="611"/>
      <c r="P52" s="484"/>
      <c r="Q52" s="875">
        <f>IF(ISNUMBER(Producción_Ganadera[[#This Row],[Cabezas]])=TRUE,Producción_Ganadera[[#This Row],[Cabezas]]*Producción_Ganadera[[#This Row],[Cantidad]],Producción_Ganadera[[#This Row],[Cantidad]])</f>
        <v>0</v>
      </c>
      <c r="R52" s="482"/>
      <c r="S52" s="552"/>
      <c r="T52" s="553"/>
      <c r="U5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52" s="881">
        <f>IFERROR(Producción_Ganadera[[#This Row],[Económico $Corrientes]]/Producción_Ganadera[[#This Row],[Indexación Económico]],0)</f>
        <v>0</v>
      </c>
      <c r="W5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5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52" s="881">
        <f>IFERROR(Producción_Ganadera[[#This Row],[Financiero $Corrientes]]/Producción_Ganadera[[#This Row],[Indexación Financiero]],0)</f>
        <v>0</v>
      </c>
      <c r="Z5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5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52" s="885">
        <f>IFERROR(Producción_Ganadera[[#This Row],[Intereses $Corrientes]]/Producción_Ganadera[[#This Row],[Indexación Financiero]],0)</f>
        <v>0</v>
      </c>
      <c r="AC5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52" s="915" t="str">
        <f>IFERROR(INDEX(Produccion_Ganadera_Cuentas[],MATCH(Producción_Ganadera[[#This Row],[Cuenta Contable]],Produccion_Ganadera_Cuentas[Cuenta Contable],0),2),0)</f>
        <v>Mov. Hacienda</v>
      </c>
      <c r="AE52" s="916">
        <f>IF(Producción_Ganadera[[#This Row],[Mov. Stock]]="(+)",Producción_Ganadera[[#This Row],[Cabezas]],IF(Producción_Ganadera[[#This Row],[Mov. Stock]]="(-)",-Producción_Ganadera[[#This Row],[Cabezas]],0))</f>
        <v>0</v>
      </c>
      <c r="AF52" s="917" t="str">
        <f>IFERROR(INDEX(Produccion_Ganadera_Cuentas[],MATCH(Producción_Ganadera[[#This Row],[Cuenta Contable]],Produccion_Ganadera_Cuentas[Cuenta Contable],0),5),0)</f>
        <v>(+)</v>
      </c>
      <c r="AG52" s="918" t="str">
        <f>IF(Producción_Ganadera[[#This Row],[Cuenta Contable]]=Configuración!$AC$9,"Si","No")</f>
        <v>No</v>
      </c>
      <c r="AH52" s="887" t="str">
        <f>IFERROR(INDEX(Tabla9[],MATCH(Producción_Ganadera[[#This Row],[Movimiento]],Tabla9[Movimientos],0),2),0)</f>
        <v>No</v>
      </c>
      <c r="AI52" s="888">
        <f>IFERROR(INDEX(Tabla9[],MATCH(Producción_Ganadera[[#This Row],[Movimiento]],Tabla9[Movimientos],0),3),0)</f>
        <v>0</v>
      </c>
      <c r="AJ52" s="885">
        <f>IF(Producción_Ganadera[[#This Row],[Fecha Económico]]=0,0,MONTH(Producción_Ganadera[[#This Row],[Fecha Económico]]))</f>
        <v>0</v>
      </c>
      <c r="AK52" s="885">
        <f>IF(Producción_Ganadera[[#This Row],[Fecha Económico]]=0,0,YEAR(Producción_Ganadera[[#This Row],[Fecha Económico]]))</f>
        <v>0</v>
      </c>
      <c r="AL52" s="889">
        <f>SUMPRODUCT((Producción_Ganadera[[#This Row],[Mes Económico]]=Tipo_Cambio[Mes])*(Producción_Ganadera[[#This Row],[Año Económico]]=Tipo_Cambio[Año])*(Tipo_Cambio[$/U$S]))</f>
        <v>0</v>
      </c>
      <c r="AM52" s="889">
        <f>SUMPRODUCT((Producción_Ganadera[[#This Row],[Mes Económico]]=Tipo_Cambio[Mes])*(Producción_Ganadera[[#This Row],[Año Económico]]=Tipo_Cambio[Año])*(Tipo_Cambio[Actualización]))</f>
        <v>0</v>
      </c>
      <c r="AN52" s="885">
        <f>IF(ISNUMBER(Producción_Ganadera[[#This Row],[Fecha Financiero]])=TRUE,MONTH(Producción_Ganadera[[#This Row],[Fecha Financiero]]),0)</f>
        <v>0</v>
      </c>
      <c r="AO52" s="885">
        <f>IF(ISNUMBER(Producción_Ganadera[[#This Row],[Fecha Financiero]])=TRUE,YEAR(Producción_Ganadera[[#This Row],[Fecha Financiero]]),0)</f>
        <v>0</v>
      </c>
      <c r="AP52" s="889">
        <f>SUMPRODUCT((Producción_Ganadera[[#This Row],[Mes Financiero]]=Tipo_Cambio[Mes])*(Producción_Ganadera[[#This Row],[Año Financiero]]=Tipo_Cambio[Año])*(Tipo_Cambio[$/U$S]))</f>
        <v>0</v>
      </c>
      <c r="AQ52" s="889">
        <f>SUMPRODUCT((Producción_Ganadera[[#This Row],[Mes Financiero]]=Tipo_Cambio[Mes])*(Producción_Ganadera[[#This Row],[Año Financiero]]=Tipo_Cambio[Año])*(Tipo_Cambio[Actualización]))</f>
        <v>0</v>
      </c>
      <c r="AR52" s="919">
        <f>SUMPRODUCT((Producción_Ganadera[[#This Row],[Centro de Costo]]=Tabla19[Centro de Costo])*(Tabla19[Superficie])*(Producción_Ganadera[[#This Row],[Campaña]]=Tabla19[Campaña]))</f>
        <v>0</v>
      </c>
      <c r="AS52" s="918">
        <f>IFERROR(Producción_Ganadera[[#This Row],[Económico $Corrientes]]/Producción_Ganadera[[#This Row],[Superficie]],0)</f>
        <v>0</v>
      </c>
      <c r="AT52" s="918">
        <f>IFERROR(Producción_Ganadera[[#This Row],[Económico $Constantes]]/Producción_Ganadera[[#This Row],[Superficie]],0)</f>
        <v>0</v>
      </c>
      <c r="AU52" s="918">
        <f>IFERROR(Producción_Ganadera[[#This Row],[Económico U$S Dólares]]/Producción_Ganadera[[#This Row],[Superficie]],0)</f>
        <v>0</v>
      </c>
      <c r="AV52" s="916">
        <f>IF(Económico!$F$4=0,0,Producción_Ganadera[[#This Row],[Centro de Costo]])</f>
        <v>0</v>
      </c>
    </row>
    <row r="53" spans="1:48" x14ac:dyDescent="0.25">
      <c r="A53" s="86"/>
      <c r="B53" s="376"/>
      <c r="C53" s="86"/>
      <c r="D53" s="478"/>
      <c r="E53" s="522"/>
      <c r="F53" s="869" t="str">
        <f t="shared" si="2"/>
        <v>2018-2019</v>
      </c>
      <c r="G53" s="491" t="str">
        <f t="shared" si="3"/>
        <v>Entrada Traslados</v>
      </c>
      <c r="H53" s="491"/>
      <c r="I53" s="491"/>
      <c r="J53" s="549"/>
      <c r="K53" s="491"/>
      <c r="L53" s="520"/>
      <c r="M5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5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53" s="611"/>
      <c r="P53" s="484"/>
      <c r="Q53" s="875">
        <f>IF(ISNUMBER(Producción_Ganadera[[#This Row],[Cabezas]])=TRUE,Producción_Ganadera[[#This Row],[Cabezas]]*Producción_Ganadera[[#This Row],[Cantidad]],Producción_Ganadera[[#This Row],[Cantidad]])</f>
        <v>0</v>
      </c>
      <c r="R53" s="482"/>
      <c r="S53" s="552"/>
      <c r="T53" s="553"/>
      <c r="U5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53" s="881">
        <f>IFERROR(Producción_Ganadera[[#This Row],[Económico $Corrientes]]/Producción_Ganadera[[#This Row],[Indexación Económico]],0)</f>
        <v>0</v>
      </c>
      <c r="W5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5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53" s="881">
        <f>IFERROR(Producción_Ganadera[[#This Row],[Financiero $Corrientes]]/Producción_Ganadera[[#This Row],[Indexación Financiero]],0)</f>
        <v>0</v>
      </c>
      <c r="Z5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5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53" s="885">
        <f>IFERROR(Producción_Ganadera[[#This Row],[Intereses $Corrientes]]/Producción_Ganadera[[#This Row],[Indexación Financiero]],0)</f>
        <v>0</v>
      </c>
      <c r="AC5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53" s="915" t="str">
        <f>IFERROR(INDEX(Produccion_Ganadera_Cuentas[],MATCH(Producción_Ganadera[[#This Row],[Cuenta Contable]],Produccion_Ganadera_Cuentas[Cuenta Contable],0),2),0)</f>
        <v>Mov. Hacienda</v>
      </c>
      <c r="AE53" s="916">
        <f>IF(Producción_Ganadera[[#This Row],[Mov. Stock]]="(+)",Producción_Ganadera[[#This Row],[Cabezas]],IF(Producción_Ganadera[[#This Row],[Mov. Stock]]="(-)",-Producción_Ganadera[[#This Row],[Cabezas]],0))</f>
        <v>0</v>
      </c>
      <c r="AF53" s="917" t="str">
        <f>IFERROR(INDEX(Produccion_Ganadera_Cuentas[],MATCH(Producción_Ganadera[[#This Row],[Cuenta Contable]],Produccion_Ganadera_Cuentas[Cuenta Contable],0),5),0)</f>
        <v>(+)</v>
      </c>
      <c r="AG53" s="918" t="str">
        <f>IF(Producción_Ganadera[[#This Row],[Cuenta Contable]]=Configuración!$AC$9,"Si","No")</f>
        <v>No</v>
      </c>
      <c r="AH53" s="887" t="str">
        <f>IFERROR(INDEX(Tabla9[],MATCH(Producción_Ganadera[[#This Row],[Movimiento]],Tabla9[Movimientos],0),2),0)</f>
        <v>No</v>
      </c>
      <c r="AI53" s="888">
        <f>IFERROR(INDEX(Tabla9[],MATCH(Producción_Ganadera[[#This Row],[Movimiento]],Tabla9[Movimientos],0),3),0)</f>
        <v>0</v>
      </c>
      <c r="AJ53" s="885">
        <f>IF(Producción_Ganadera[[#This Row],[Fecha Económico]]=0,0,MONTH(Producción_Ganadera[[#This Row],[Fecha Económico]]))</f>
        <v>0</v>
      </c>
      <c r="AK53" s="885">
        <f>IF(Producción_Ganadera[[#This Row],[Fecha Económico]]=0,0,YEAR(Producción_Ganadera[[#This Row],[Fecha Económico]]))</f>
        <v>0</v>
      </c>
      <c r="AL53" s="889">
        <f>SUMPRODUCT((Producción_Ganadera[[#This Row],[Mes Económico]]=Tipo_Cambio[Mes])*(Producción_Ganadera[[#This Row],[Año Económico]]=Tipo_Cambio[Año])*(Tipo_Cambio[$/U$S]))</f>
        <v>0</v>
      </c>
      <c r="AM53" s="889">
        <f>SUMPRODUCT((Producción_Ganadera[[#This Row],[Mes Económico]]=Tipo_Cambio[Mes])*(Producción_Ganadera[[#This Row],[Año Económico]]=Tipo_Cambio[Año])*(Tipo_Cambio[Actualización]))</f>
        <v>0</v>
      </c>
      <c r="AN53" s="885">
        <f>IF(ISNUMBER(Producción_Ganadera[[#This Row],[Fecha Financiero]])=TRUE,MONTH(Producción_Ganadera[[#This Row],[Fecha Financiero]]),0)</f>
        <v>0</v>
      </c>
      <c r="AO53" s="885">
        <f>IF(ISNUMBER(Producción_Ganadera[[#This Row],[Fecha Financiero]])=TRUE,YEAR(Producción_Ganadera[[#This Row],[Fecha Financiero]]),0)</f>
        <v>0</v>
      </c>
      <c r="AP53" s="889">
        <f>SUMPRODUCT((Producción_Ganadera[[#This Row],[Mes Financiero]]=Tipo_Cambio[Mes])*(Producción_Ganadera[[#This Row],[Año Financiero]]=Tipo_Cambio[Año])*(Tipo_Cambio[$/U$S]))</f>
        <v>0</v>
      </c>
      <c r="AQ53" s="889">
        <f>SUMPRODUCT((Producción_Ganadera[[#This Row],[Mes Financiero]]=Tipo_Cambio[Mes])*(Producción_Ganadera[[#This Row],[Año Financiero]]=Tipo_Cambio[Año])*(Tipo_Cambio[Actualización]))</f>
        <v>0</v>
      </c>
      <c r="AR53" s="919">
        <f>SUMPRODUCT((Producción_Ganadera[[#This Row],[Centro de Costo]]=Tabla19[Centro de Costo])*(Tabla19[Superficie])*(Producción_Ganadera[[#This Row],[Campaña]]=Tabla19[Campaña]))</f>
        <v>0</v>
      </c>
      <c r="AS53" s="918">
        <f>IFERROR(Producción_Ganadera[[#This Row],[Económico $Corrientes]]/Producción_Ganadera[[#This Row],[Superficie]],0)</f>
        <v>0</v>
      </c>
      <c r="AT53" s="918">
        <f>IFERROR(Producción_Ganadera[[#This Row],[Económico $Constantes]]/Producción_Ganadera[[#This Row],[Superficie]],0)</f>
        <v>0</v>
      </c>
      <c r="AU53" s="918">
        <f>IFERROR(Producción_Ganadera[[#This Row],[Económico U$S Dólares]]/Producción_Ganadera[[#This Row],[Superficie]],0)</f>
        <v>0</v>
      </c>
      <c r="AV53" s="916">
        <f>IF(Económico!$F$4=0,0,Producción_Ganadera[[#This Row],[Centro de Costo]])</f>
        <v>0</v>
      </c>
    </row>
    <row r="54" spans="1:48" x14ac:dyDescent="0.25">
      <c r="A54" s="86"/>
      <c r="B54" s="376"/>
      <c r="C54" s="86"/>
      <c r="D54" s="478"/>
      <c r="E54" s="522"/>
      <c r="F54" s="869" t="str">
        <f t="shared" si="2"/>
        <v>2018-2019</v>
      </c>
      <c r="G54" s="491" t="str">
        <f t="shared" si="3"/>
        <v>Entrada Traslados</v>
      </c>
      <c r="H54" s="491"/>
      <c r="I54" s="491"/>
      <c r="J54" s="549"/>
      <c r="K54" s="491"/>
      <c r="L54" s="520"/>
      <c r="M5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5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54" s="611"/>
      <c r="P54" s="484"/>
      <c r="Q54" s="875">
        <f>IF(ISNUMBER(Producción_Ganadera[[#This Row],[Cabezas]])=TRUE,Producción_Ganadera[[#This Row],[Cabezas]]*Producción_Ganadera[[#This Row],[Cantidad]],Producción_Ganadera[[#This Row],[Cantidad]])</f>
        <v>0</v>
      </c>
      <c r="R54" s="482"/>
      <c r="S54" s="552"/>
      <c r="T54" s="553"/>
      <c r="U5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54" s="881">
        <f>IFERROR(Producción_Ganadera[[#This Row],[Económico $Corrientes]]/Producción_Ganadera[[#This Row],[Indexación Económico]],0)</f>
        <v>0</v>
      </c>
      <c r="W5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5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54" s="881">
        <f>IFERROR(Producción_Ganadera[[#This Row],[Financiero $Corrientes]]/Producción_Ganadera[[#This Row],[Indexación Financiero]],0)</f>
        <v>0</v>
      </c>
      <c r="Z5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5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54" s="885">
        <f>IFERROR(Producción_Ganadera[[#This Row],[Intereses $Corrientes]]/Producción_Ganadera[[#This Row],[Indexación Financiero]],0)</f>
        <v>0</v>
      </c>
      <c r="AC5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54" s="915" t="str">
        <f>IFERROR(INDEX(Produccion_Ganadera_Cuentas[],MATCH(Producción_Ganadera[[#This Row],[Cuenta Contable]],Produccion_Ganadera_Cuentas[Cuenta Contable],0),2),0)</f>
        <v>Mov. Hacienda</v>
      </c>
      <c r="AE54" s="916">
        <f>IF(Producción_Ganadera[[#This Row],[Mov. Stock]]="(+)",Producción_Ganadera[[#This Row],[Cabezas]],IF(Producción_Ganadera[[#This Row],[Mov. Stock]]="(-)",-Producción_Ganadera[[#This Row],[Cabezas]],0))</f>
        <v>0</v>
      </c>
      <c r="AF54" s="917" t="str">
        <f>IFERROR(INDEX(Produccion_Ganadera_Cuentas[],MATCH(Producción_Ganadera[[#This Row],[Cuenta Contable]],Produccion_Ganadera_Cuentas[Cuenta Contable],0),5),0)</f>
        <v>(+)</v>
      </c>
      <c r="AG54" s="918" t="str">
        <f>IF(Producción_Ganadera[[#This Row],[Cuenta Contable]]=Configuración!$AC$9,"Si","No")</f>
        <v>No</v>
      </c>
      <c r="AH54" s="887" t="str">
        <f>IFERROR(INDEX(Tabla9[],MATCH(Producción_Ganadera[[#This Row],[Movimiento]],Tabla9[Movimientos],0),2),0)</f>
        <v>No</v>
      </c>
      <c r="AI54" s="888">
        <f>IFERROR(INDEX(Tabla9[],MATCH(Producción_Ganadera[[#This Row],[Movimiento]],Tabla9[Movimientos],0),3),0)</f>
        <v>0</v>
      </c>
      <c r="AJ54" s="885">
        <f>IF(Producción_Ganadera[[#This Row],[Fecha Económico]]=0,0,MONTH(Producción_Ganadera[[#This Row],[Fecha Económico]]))</f>
        <v>0</v>
      </c>
      <c r="AK54" s="885">
        <f>IF(Producción_Ganadera[[#This Row],[Fecha Económico]]=0,0,YEAR(Producción_Ganadera[[#This Row],[Fecha Económico]]))</f>
        <v>0</v>
      </c>
      <c r="AL54" s="889">
        <f>SUMPRODUCT((Producción_Ganadera[[#This Row],[Mes Económico]]=Tipo_Cambio[Mes])*(Producción_Ganadera[[#This Row],[Año Económico]]=Tipo_Cambio[Año])*(Tipo_Cambio[$/U$S]))</f>
        <v>0</v>
      </c>
      <c r="AM54" s="889">
        <f>SUMPRODUCT((Producción_Ganadera[[#This Row],[Mes Económico]]=Tipo_Cambio[Mes])*(Producción_Ganadera[[#This Row],[Año Económico]]=Tipo_Cambio[Año])*(Tipo_Cambio[Actualización]))</f>
        <v>0</v>
      </c>
      <c r="AN54" s="885">
        <f>IF(ISNUMBER(Producción_Ganadera[[#This Row],[Fecha Financiero]])=TRUE,MONTH(Producción_Ganadera[[#This Row],[Fecha Financiero]]),0)</f>
        <v>0</v>
      </c>
      <c r="AO54" s="885">
        <f>IF(ISNUMBER(Producción_Ganadera[[#This Row],[Fecha Financiero]])=TRUE,YEAR(Producción_Ganadera[[#This Row],[Fecha Financiero]]),0)</f>
        <v>0</v>
      </c>
      <c r="AP54" s="889">
        <f>SUMPRODUCT((Producción_Ganadera[[#This Row],[Mes Financiero]]=Tipo_Cambio[Mes])*(Producción_Ganadera[[#This Row],[Año Financiero]]=Tipo_Cambio[Año])*(Tipo_Cambio[$/U$S]))</f>
        <v>0</v>
      </c>
      <c r="AQ54" s="889">
        <f>SUMPRODUCT((Producción_Ganadera[[#This Row],[Mes Financiero]]=Tipo_Cambio[Mes])*(Producción_Ganadera[[#This Row],[Año Financiero]]=Tipo_Cambio[Año])*(Tipo_Cambio[Actualización]))</f>
        <v>0</v>
      </c>
      <c r="AR54" s="919">
        <f>SUMPRODUCT((Producción_Ganadera[[#This Row],[Centro de Costo]]=Tabla19[Centro de Costo])*(Tabla19[Superficie])*(Producción_Ganadera[[#This Row],[Campaña]]=Tabla19[Campaña]))</f>
        <v>0</v>
      </c>
      <c r="AS54" s="918">
        <f>IFERROR(Producción_Ganadera[[#This Row],[Económico $Corrientes]]/Producción_Ganadera[[#This Row],[Superficie]],0)</f>
        <v>0</v>
      </c>
      <c r="AT54" s="918">
        <f>IFERROR(Producción_Ganadera[[#This Row],[Económico $Constantes]]/Producción_Ganadera[[#This Row],[Superficie]],0)</f>
        <v>0</v>
      </c>
      <c r="AU54" s="918">
        <f>IFERROR(Producción_Ganadera[[#This Row],[Económico U$S Dólares]]/Producción_Ganadera[[#This Row],[Superficie]],0)</f>
        <v>0</v>
      </c>
      <c r="AV54" s="916">
        <f>IF(Económico!$F$4=0,0,Producción_Ganadera[[#This Row],[Centro de Costo]])</f>
        <v>0</v>
      </c>
    </row>
    <row r="55" spans="1:48" x14ac:dyDescent="0.25">
      <c r="A55" s="86"/>
      <c r="B55" s="376"/>
      <c r="C55" s="86"/>
      <c r="D55" s="478"/>
      <c r="E55" s="522"/>
      <c r="F55" s="869" t="str">
        <f t="shared" si="2"/>
        <v>2018-2019</v>
      </c>
      <c r="G55" s="491" t="str">
        <f t="shared" si="3"/>
        <v>Entrada Traslados</v>
      </c>
      <c r="H55" s="491"/>
      <c r="I55" s="491"/>
      <c r="J55" s="549"/>
      <c r="K55" s="491"/>
      <c r="L55" s="520"/>
      <c r="M5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5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55" s="611"/>
      <c r="P55" s="484"/>
      <c r="Q55" s="875">
        <f>IF(ISNUMBER(Producción_Ganadera[[#This Row],[Cabezas]])=TRUE,Producción_Ganadera[[#This Row],[Cabezas]]*Producción_Ganadera[[#This Row],[Cantidad]],Producción_Ganadera[[#This Row],[Cantidad]])</f>
        <v>0</v>
      </c>
      <c r="R55" s="482"/>
      <c r="S55" s="552"/>
      <c r="T55" s="553"/>
      <c r="U5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55" s="881">
        <f>IFERROR(Producción_Ganadera[[#This Row],[Económico $Corrientes]]/Producción_Ganadera[[#This Row],[Indexación Económico]],0)</f>
        <v>0</v>
      </c>
      <c r="W5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5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55" s="881">
        <f>IFERROR(Producción_Ganadera[[#This Row],[Financiero $Corrientes]]/Producción_Ganadera[[#This Row],[Indexación Financiero]],0)</f>
        <v>0</v>
      </c>
      <c r="Z5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5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55" s="885">
        <f>IFERROR(Producción_Ganadera[[#This Row],[Intereses $Corrientes]]/Producción_Ganadera[[#This Row],[Indexación Financiero]],0)</f>
        <v>0</v>
      </c>
      <c r="AC5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55" s="915" t="str">
        <f>IFERROR(INDEX(Produccion_Ganadera_Cuentas[],MATCH(Producción_Ganadera[[#This Row],[Cuenta Contable]],Produccion_Ganadera_Cuentas[Cuenta Contable],0),2),0)</f>
        <v>Mov. Hacienda</v>
      </c>
      <c r="AE55" s="916">
        <f>IF(Producción_Ganadera[[#This Row],[Mov. Stock]]="(+)",Producción_Ganadera[[#This Row],[Cabezas]],IF(Producción_Ganadera[[#This Row],[Mov. Stock]]="(-)",-Producción_Ganadera[[#This Row],[Cabezas]],0))</f>
        <v>0</v>
      </c>
      <c r="AF55" s="917" t="str">
        <f>IFERROR(INDEX(Produccion_Ganadera_Cuentas[],MATCH(Producción_Ganadera[[#This Row],[Cuenta Contable]],Produccion_Ganadera_Cuentas[Cuenta Contable],0),5),0)</f>
        <v>(+)</v>
      </c>
      <c r="AG55" s="918" t="str">
        <f>IF(Producción_Ganadera[[#This Row],[Cuenta Contable]]=Configuración!$AC$9,"Si","No")</f>
        <v>No</v>
      </c>
      <c r="AH55" s="887" t="str">
        <f>IFERROR(INDEX(Tabla9[],MATCH(Producción_Ganadera[[#This Row],[Movimiento]],Tabla9[Movimientos],0),2),0)</f>
        <v>No</v>
      </c>
      <c r="AI55" s="888">
        <f>IFERROR(INDEX(Tabla9[],MATCH(Producción_Ganadera[[#This Row],[Movimiento]],Tabla9[Movimientos],0),3),0)</f>
        <v>0</v>
      </c>
      <c r="AJ55" s="885">
        <f>IF(Producción_Ganadera[[#This Row],[Fecha Económico]]=0,0,MONTH(Producción_Ganadera[[#This Row],[Fecha Económico]]))</f>
        <v>0</v>
      </c>
      <c r="AK55" s="885">
        <f>IF(Producción_Ganadera[[#This Row],[Fecha Económico]]=0,0,YEAR(Producción_Ganadera[[#This Row],[Fecha Económico]]))</f>
        <v>0</v>
      </c>
      <c r="AL55" s="889">
        <f>SUMPRODUCT((Producción_Ganadera[[#This Row],[Mes Económico]]=Tipo_Cambio[Mes])*(Producción_Ganadera[[#This Row],[Año Económico]]=Tipo_Cambio[Año])*(Tipo_Cambio[$/U$S]))</f>
        <v>0</v>
      </c>
      <c r="AM55" s="889">
        <f>SUMPRODUCT((Producción_Ganadera[[#This Row],[Mes Económico]]=Tipo_Cambio[Mes])*(Producción_Ganadera[[#This Row],[Año Económico]]=Tipo_Cambio[Año])*(Tipo_Cambio[Actualización]))</f>
        <v>0</v>
      </c>
      <c r="AN55" s="885">
        <f>IF(ISNUMBER(Producción_Ganadera[[#This Row],[Fecha Financiero]])=TRUE,MONTH(Producción_Ganadera[[#This Row],[Fecha Financiero]]),0)</f>
        <v>0</v>
      </c>
      <c r="AO55" s="885">
        <f>IF(ISNUMBER(Producción_Ganadera[[#This Row],[Fecha Financiero]])=TRUE,YEAR(Producción_Ganadera[[#This Row],[Fecha Financiero]]),0)</f>
        <v>0</v>
      </c>
      <c r="AP55" s="889">
        <f>SUMPRODUCT((Producción_Ganadera[[#This Row],[Mes Financiero]]=Tipo_Cambio[Mes])*(Producción_Ganadera[[#This Row],[Año Financiero]]=Tipo_Cambio[Año])*(Tipo_Cambio[$/U$S]))</f>
        <v>0</v>
      </c>
      <c r="AQ55" s="889">
        <f>SUMPRODUCT((Producción_Ganadera[[#This Row],[Mes Financiero]]=Tipo_Cambio[Mes])*(Producción_Ganadera[[#This Row],[Año Financiero]]=Tipo_Cambio[Año])*(Tipo_Cambio[Actualización]))</f>
        <v>0</v>
      </c>
      <c r="AR55" s="919">
        <f>SUMPRODUCT((Producción_Ganadera[[#This Row],[Centro de Costo]]=Tabla19[Centro de Costo])*(Tabla19[Superficie])*(Producción_Ganadera[[#This Row],[Campaña]]=Tabla19[Campaña]))</f>
        <v>0</v>
      </c>
      <c r="AS55" s="918">
        <f>IFERROR(Producción_Ganadera[[#This Row],[Económico $Corrientes]]/Producción_Ganadera[[#This Row],[Superficie]],0)</f>
        <v>0</v>
      </c>
      <c r="AT55" s="918">
        <f>IFERROR(Producción_Ganadera[[#This Row],[Económico $Constantes]]/Producción_Ganadera[[#This Row],[Superficie]],0)</f>
        <v>0</v>
      </c>
      <c r="AU55" s="918">
        <f>IFERROR(Producción_Ganadera[[#This Row],[Económico U$S Dólares]]/Producción_Ganadera[[#This Row],[Superficie]],0)</f>
        <v>0</v>
      </c>
      <c r="AV55" s="916">
        <f>IF(Económico!$F$4=0,0,Producción_Ganadera[[#This Row],[Centro de Costo]])</f>
        <v>0</v>
      </c>
    </row>
    <row r="56" spans="1:48" x14ac:dyDescent="0.25">
      <c r="A56" s="86"/>
      <c r="B56" s="376"/>
      <c r="C56" s="86"/>
      <c r="D56" s="478"/>
      <c r="E56" s="522"/>
      <c r="F56" s="869" t="str">
        <f t="shared" si="2"/>
        <v>2018-2019</v>
      </c>
      <c r="G56" s="491" t="str">
        <f t="shared" si="3"/>
        <v>Entrada Traslados</v>
      </c>
      <c r="H56" s="491"/>
      <c r="I56" s="491"/>
      <c r="J56" s="549"/>
      <c r="K56" s="491"/>
      <c r="L56" s="520"/>
      <c r="M5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5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56" s="611"/>
      <c r="P56" s="484"/>
      <c r="Q56" s="875">
        <f>IF(ISNUMBER(Producción_Ganadera[[#This Row],[Cabezas]])=TRUE,Producción_Ganadera[[#This Row],[Cabezas]]*Producción_Ganadera[[#This Row],[Cantidad]],Producción_Ganadera[[#This Row],[Cantidad]])</f>
        <v>0</v>
      </c>
      <c r="R56" s="482"/>
      <c r="S56" s="552"/>
      <c r="T56" s="553"/>
      <c r="U5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56" s="881">
        <f>IFERROR(Producción_Ganadera[[#This Row],[Económico $Corrientes]]/Producción_Ganadera[[#This Row],[Indexación Económico]],0)</f>
        <v>0</v>
      </c>
      <c r="W5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5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56" s="881">
        <f>IFERROR(Producción_Ganadera[[#This Row],[Financiero $Corrientes]]/Producción_Ganadera[[#This Row],[Indexación Financiero]],0)</f>
        <v>0</v>
      </c>
      <c r="Z5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5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56" s="885">
        <f>IFERROR(Producción_Ganadera[[#This Row],[Intereses $Corrientes]]/Producción_Ganadera[[#This Row],[Indexación Financiero]],0)</f>
        <v>0</v>
      </c>
      <c r="AC5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56" s="915" t="str">
        <f>IFERROR(INDEX(Produccion_Ganadera_Cuentas[],MATCH(Producción_Ganadera[[#This Row],[Cuenta Contable]],Produccion_Ganadera_Cuentas[Cuenta Contable],0),2),0)</f>
        <v>Mov. Hacienda</v>
      </c>
      <c r="AE56" s="916">
        <f>IF(Producción_Ganadera[[#This Row],[Mov. Stock]]="(+)",Producción_Ganadera[[#This Row],[Cabezas]],IF(Producción_Ganadera[[#This Row],[Mov. Stock]]="(-)",-Producción_Ganadera[[#This Row],[Cabezas]],0))</f>
        <v>0</v>
      </c>
      <c r="AF56" s="917" t="str">
        <f>IFERROR(INDEX(Produccion_Ganadera_Cuentas[],MATCH(Producción_Ganadera[[#This Row],[Cuenta Contable]],Produccion_Ganadera_Cuentas[Cuenta Contable],0),5),0)</f>
        <v>(+)</v>
      </c>
      <c r="AG56" s="918" t="str">
        <f>IF(Producción_Ganadera[[#This Row],[Cuenta Contable]]=Configuración!$AC$9,"Si","No")</f>
        <v>No</v>
      </c>
      <c r="AH56" s="887" t="str">
        <f>IFERROR(INDEX(Tabla9[],MATCH(Producción_Ganadera[[#This Row],[Movimiento]],Tabla9[Movimientos],0),2),0)</f>
        <v>No</v>
      </c>
      <c r="AI56" s="888">
        <f>IFERROR(INDEX(Tabla9[],MATCH(Producción_Ganadera[[#This Row],[Movimiento]],Tabla9[Movimientos],0),3),0)</f>
        <v>0</v>
      </c>
      <c r="AJ56" s="885">
        <f>IF(Producción_Ganadera[[#This Row],[Fecha Económico]]=0,0,MONTH(Producción_Ganadera[[#This Row],[Fecha Económico]]))</f>
        <v>0</v>
      </c>
      <c r="AK56" s="885">
        <f>IF(Producción_Ganadera[[#This Row],[Fecha Económico]]=0,0,YEAR(Producción_Ganadera[[#This Row],[Fecha Económico]]))</f>
        <v>0</v>
      </c>
      <c r="AL56" s="889">
        <f>SUMPRODUCT((Producción_Ganadera[[#This Row],[Mes Económico]]=Tipo_Cambio[Mes])*(Producción_Ganadera[[#This Row],[Año Económico]]=Tipo_Cambio[Año])*(Tipo_Cambio[$/U$S]))</f>
        <v>0</v>
      </c>
      <c r="AM56" s="889">
        <f>SUMPRODUCT((Producción_Ganadera[[#This Row],[Mes Económico]]=Tipo_Cambio[Mes])*(Producción_Ganadera[[#This Row],[Año Económico]]=Tipo_Cambio[Año])*(Tipo_Cambio[Actualización]))</f>
        <v>0</v>
      </c>
      <c r="AN56" s="885">
        <f>IF(ISNUMBER(Producción_Ganadera[[#This Row],[Fecha Financiero]])=TRUE,MONTH(Producción_Ganadera[[#This Row],[Fecha Financiero]]),0)</f>
        <v>0</v>
      </c>
      <c r="AO56" s="885">
        <f>IF(ISNUMBER(Producción_Ganadera[[#This Row],[Fecha Financiero]])=TRUE,YEAR(Producción_Ganadera[[#This Row],[Fecha Financiero]]),0)</f>
        <v>0</v>
      </c>
      <c r="AP56" s="889">
        <f>SUMPRODUCT((Producción_Ganadera[[#This Row],[Mes Financiero]]=Tipo_Cambio[Mes])*(Producción_Ganadera[[#This Row],[Año Financiero]]=Tipo_Cambio[Año])*(Tipo_Cambio[$/U$S]))</f>
        <v>0</v>
      </c>
      <c r="AQ56" s="889">
        <f>SUMPRODUCT((Producción_Ganadera[[#This Row],[Mes Financiero]]=Tipo_Cambio[Mes])*(Producción_Ganadera[[#This Row],[Año Financiero]]=Tipo_Cambio[Año])*(Tipo_Cambio[Actualización]))</f>
        <v>0</v>
      </c>
      <c r="AR56" s="919">
        <f>SUMPRODUCT((Producción_Ganadera[[#This Row],[Centro de Costo]]=Tabla19[Centro de Costo])*(Tabla19[Superficie])*(Producción_Ganadera[[#This Row],[Campaña]]=Tabla19[Campaña]))</f>
        <v>0</v>
      </c>
      <c r="AS56" s="918">
        <f>IFERROR(Producción_Ganadera[[#This Row],[Económico $Corrientes]]/Producción_Ganadera[[#This Row],[Superficie]],0)</f>
        <v>0</v>
      </c>
      <c r="AT56" s="918">
        <f>IFERROR(Producción_Ganadera[[#This Row],[Económico $Constantes]]/Producción_Ganadera[[#This Row],[Superficie]],0)</f>
        <v>0</v>
      </c>
      <c r="AU56" s="918">
        <f>IFERROR(Producción_Ganadera[[#This Row],[Económico U$S Dólares]]/Producción_Ganadera[[#This Row],[Superficie]],0)</f>
        <v>0</v>
      </c>
      <c r="AV56" s="916">
        <f>IF(Económico!$F$4=0,0,Producción_Ganadera[[#This Row],[Centro de Costo]])</f>
        <v>0</v>
      </c>
    </row>
    <row r="57" spans="1:48" ht="15.75" thickBot="1" x14ac:dyDescent="0.3">
      <c r="A57" s="86"/>
      <c r="B57" s="373" t="s">
        <v>101</v>
      </c>
      <c r="C57" s="86"/>
      <c r="D57" s="478"/>
      <c r="E57" s="522"/>
      <c r="F57" s="869" t="str">
        <f t="shared" si="2"/>
        <v>2018-2019</v>
      </c>
      <c r="G57" s="491" t="str">
        <f t="shared" si="3"/>
        <v>Entrada Traslados</v>
      </c>
      <c r="H57" s="491"/>
      <c r="I57" s="491"/>
      <c r="J57" s="549"/>
      <c r="K57" s="491"/>
      <c r="L57" s="520"/>
      <c r="M5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5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57" s="611"/>
      <c r="P57" s="484"/>
      <c r="Q57" s="875">
        <f>IF(ISNUMBER(Producción_Ganadera[[#This Row],[Cabezas]])=TRUE,Producción_Ganadera[[#This Row],[Cabezas]]*Producción_Ganadera[[#This Row],[Cantidad]],Producción_Ganadera[[#This Row],[Cantidad]])</f>
        <v>0</v>
      </c>
      <c r="R57" s="482"/>
      <c r="S57" s="552"/>
      <c r="T57" s="553"/>
      <c r="U5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57" s="881">
        <f>IFERROR(Producción_Ganadera[[#This Row],[Económico $Corrientes]]/Producción_Ganadera[[#This Row],[Indexación Económico]],0)</f>
        <v>0</v>
      </c>
      <c r="W5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5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57" s="881">
        <f>IFERROR(Producción_Ganadera[[#This Row],[Financiero $Corrientes]]/Producción_Ganadera[[#This Row],[Indexación Financiero]],0)</f>
        <v>0</v>
      </c>
      <c r="Z5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5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57" s="885">
        <f>IFERROR(Producción_Ganadera[[#This Row],[Intereses $Corrientes]]/Producción_Ganadera[[#This Row],[Indexación Financiero]],0)</f>
        <v>0</v>
      </c>
      <c r="AC5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57" s="915" t="str">
        <f>IFERROR(INDEX(Produccion_Ganadera_Cuentas[],MATCH(Producción_Ganadera[[#This Row],[Cuenta Contable]],Produccion_Ganadera_Cuentas[Cuenta Contable],0),2),0)</f>
        <v>Mov. Hacienda</v>
      </c>
      <c r="AE57" s="916">
        <f>IF(Producción_Ganadera[[#This Row],[Mov. Stock]]="(+)",Producción_Ganadera[[#This Row],[Cabezas]],IF(Producción_Ganadera[[#This Row],[Mov. Stock]]="(-)",-Producción_Ganadera[[#This Row],[Cabezas]],0))</f>
        <v>0</v>
      </c>
      <c r="AF57" s="917" t="str">
        <f>IFERROR(INDEX(Produccion_Ganadera_Cuentas[],MATCH(Producción_Ganadera[[#This Row],[Cuenta Contable]],Produccion_Ganadera_Cuentas[Cuenta Contable],0),5),0)</f>
        <v>(+)</v>
      </c>
      <c r="AG57" s="918" t="str">
        <f>IF(Producción_Ganadera[[#This Row],[Cuenta Contable]]=Configuración!$AC$9,"Si","No")</f>
        <v>No</v>
      </c>
      <c r="AH57" s="887" t="str">
        <f>IFERROR(INDEX(Tabla9[],MATCH(Producción_Ganadera[[#This Row],[Movimiento]],Tabla9[Movimientos],0),2),0)</f>
        <v>No</v>
      </c>
      <c r="AI57" s="888">
        <f>IFERROR(INDEX(Tabla9[],MATCH(Producción_Ganadera[[#This Row],[Movimiento]],Tabla9[Movimientos],0),3),0)</f>
        <v>0</v>
      </c>
      <c r="AJ57" s="885">
        <f>IF(Producción_Ganadera[[#This Row],[Fecha Económico]]=0,0,MONTH(Producción_Ganadera[[#This Row],[Fecha Económico]]))</f>
        <v>0</v>
      </c>
      <c r="AK57" s="885">
        <f>IF(Producción_Ganadera[[#This Row],[Fecha Económico]]=0,0,YEAR(Producción_Ganadera[[#This Row],[Fecha Económico]]))</f>
        <v>0</v>
      </c>
      <c r="AL57" s="889">
        <f>SUMPRODUCT((Producción_Ganadera[[#This Row],[Mes Económico]]=Tipo_Cambio[Mes])*(Producción_Ganadera[[#This Row],[Año Económico]]=Tipo_Cambio[Año])*(Tipo_Cambio[$/U$S]))</f>
        <v>0</v>
      </c>
      <c r="AM57" s="889">
        <f>SUMPRODUCT((Producción_Ganadera[[#This Row],[Mes Económico]]=Tipo_Cambio[Mes])*(Producción_Ganadera[[#This Row],[Año Económico]]=Tipo_Cambio[Año])*(Tipo_Cambio[Actualización]))</f>
        <v>0</v>
      </c>
      <c r="AN57" s="885">
        <f>IF(ISNUMBER(Producción_Ganadera[[#This Row],[Fecha Financiero]])=TRUE,MONTH(Producción_Ganadera[[#This Row],[Fecha Financiero]]),0)</f>
        <v>0</v>
      </c>
      <c r="AO57" s="885">
        <f>IF(ISNUMBER(Producción_Ganadera[[#This Row],[Fecha Financiero]])=TRUE,YEAR(Producción_Ganadera[[#This Row],[Fecha Financiero]]),0)</f>
        <v>0</v>
      </c>
      <c r="AP57" s="889">
        <f>SUMPRODUCT((Producción_Ganadera[[#This Row],[Mes Financiero]]=Tipo_Cambio[Mes])*(Producción_Ganadera[[#This Row],[Año Financiero]]=Tipo_Cambio[Año])*(Tipo_Cambio[$/U$S]))</f>
        <v>0</v>
      </c>
      <c r="AQ57" s="889">
        <f>SUMPRODUCT((Producción_Ganadera[[#This Row],[Mes Financiero]]=Tipo_Cambio[Mes])*(Producción_Ganadera[[#This Row],[Año Financiero]]=Tipo_Cambio[Año])*(Tipo_Cambio[Actualización]))</f>
        <v>0</v>
      </c>
      <c r="AR57" s="919">
        <f>SUMPRODUCT((Producción_Ganadera[[#This Row],[Centro de Costo]]=Tabla19[Centro de Costo])*(Tabla19[Superficie])*(Producción_Ganadera[[#This Row],[Campaña]]=Tabla19[Campaña]))</f>
        <v>0</v>
      </c>
      <c r="AS57" s="918">
        <f>IFERROR(Producción_Ganadera[[#This Row],[Económico $Corrientes]]/Producción_Ganadera[[#This Row],[Superficie]],0)</f>
        <v>0</v>
      </c>
      <c r="AT57" s="918">
        <f>IFERROR(Producción_Ganadera[[#This Row],[Económico $Constantes]]/Producción_Ganadera[[#This Row],[Superficie]],0)</f>
        <v>0</v>
      </c>
      <c r="AU57" s="918">
        <f>IFERROR(Producción_Ganadera[[#This Row],[Económico U$S Dólares]]/Producción_Ganadera[[#This Row],[Superficie]],0)</f>
        <v>0</v>
      </c>
      <c r="AV57" s="916">
        <f>IF(Económico!$F$4=0,0,Producción_Ganadera[[#This Row],[Centro de Costo]])</f>
        <v>0</v>
      </c>
    </row>
    <row r="58" spans="1:48" ht="15.75" thickTop="1" x14ac:dyDescent="0.25">
      <c r="A58" s="86"/>
      <c r="B58" s="1136" t="s">
        <v>141</v>
      </c>
      <c r="C58" s="86"/>
      <c r="D58" s="614"/>
      <c r="E58" s="615"/>
      <c r="F58" s="871" t="str">
        <f t="shared" si="2"/>
        <v>2018-2019</v>
      </c>
      <c r="G58" s="616" t="str">
        <f t="shared" ref="G58:G65" si="4">GAN_Traslados_Salida</f>
        <v>Salida Traslados</v>
      </c>
      <c r="H58" s="616"/>
      <c r="I58" s="616"/>
      <c r="J58" s="617"/>
      <c r="K58" s="616"/>
      <c r="L58" s="618"/>
      <c r="M58" s="61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58" s="871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58" s="620"/>
      <c r="P58" s="621"/>
      <c r="Q58" s="878">
        <f>IF(ISNUMBER(Producción_Ganadera[[#This Row],[Cabezas]])=TRUE,Producción_Ganadera[[#This Row],[Cabezas]]*Producción_Ganadera[[#This Row],[Cantidad]],Producción_Ganadera[[#This Row],[Cantidad]])</f>
        <v>0</v>
      </c>
      <c r="R58" s="622"/>
      <c r="S58" s="623"/>
      <c r="T58" s="624"/>
      <c r="U58" s="927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58" s="928">
        <f>IFERROR(Producción_Ganadera[[#This Row],[Económico $Corrientes]]/Producción_Ganadera[[#This Row],[Indexación Económico]],0)</f>
        <v>0</v>
      </c>
      <c r="W58" s="929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58" s="927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58" s="928">
        <f>IFERROR(Producción_Ganadera[[#This Row],[Financiero $Corrientes]]/Producción_Ganadera[[#This Row],[Indexación Financiero]],0)</f>
        <v>0</v>
      </c>
      <c r="Z58" s="930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58" s="93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58" s="932">
        <f>IFERROR(Producción_Ganadera[[#This Row],[Intereses $Corrientes]]/Producción_Ganadera[[#This Row],[Indexación Financiero]],0)</f>
        <v>0</v>
      </c>
      <c r="AC58" s="93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58" s="933" t="str">
        <f>IFERROR(INDEX(Produccion_Ganadera_Cuentas[],MATCH(Producción_Ganadera[[#This Row],[Cuenta Contable]],Produccion_Ganadera_Cuentas[Cuenta Contable],0),2),0)</f>
        <v>Mov. Hacienda</v>
      </c>
      <c r="AE58" s="934">
        <f>IF(Producción_Ganadera[[#This Row],[Mov. Stock]]="(+)",Producción_Ganadera[[#This Row],[Cabezas]],IF(Producción_Ganadera[[#This Row],[Mov. Stock]]="(-)",-Producción_Ganadera[[#This Row],[Cabezas]],0))</f>
        <v>0</v>
      </c>
      <c r="AF58" s="935" t="str">
        <f>IFERROR(INDEX(Produccion_Ganadera_Cuentas[],MATCH(Producción_Ganadera[[#This Row],[Cuenta Contable]],Produccion_Ganadera_Cuentas[Cuenta Contable],0),5),0)</f>
        <v>(-)</v>
      </c>
      <c r="AG58" s="936" t="str">
        <f>IF(Producción_Ganadera[[#This Row],[Cuenta Contable]]=Configuración!$AC$9,"Si","No")</f>
        <v>No</v>
      </c>
      <c r="AH58" s="937" t="str">
        <f>IFERROR(INDEX(Tabla9[],MATCH(Producción_Ganadera[[#This Row],[Movimiento]],Tabla9[Movimientos],0),2),0)</f>
        <v>No</v>
      </c>
      <c r="AI58" s="938">
        <f>IFERROR(INDEX(Tabla9[],MATCH(Producción_Ganadera[[#This Row],[Movimiento]],Tabla9[Movimientos],0),3),0)</f>
        <v>0</v>
      </c>
      <c r="AJ58" s="932">
        <f>IF(Producción_Ganadera[[#This Row],[Fecha Económico]]=0,0,MONTH(Producción_Ganadera[[#This Row],[Fecha Económico]]))</f>
        <v>0</v>
      </c>
      <c r="AK58" s="932">
        <f>IF(Producción_Ganadera[[#This Row],[Fecha Económico]]=0,0,YEAR(Producción_Ganadera[[#This Row],[Fecha Económico]]))</f>
        <v>0</v>
      </c>
      <c r="AL58" s="939">
        <f>SUMPRODUCT((Producción_Ganadera[[#This Row],[Mes Económico]]=Tipo_Cambio[Mes])*(Producción_Ganadera[[#This Row],[Año Económico]]=Tipo_Cambio[Año])*(Tipo_Cambio[$/U$S]))</f>
        <v>0</v>
      </c>
      <c r="AM58" s="939">
        <f>SUMPRODUCT((Producción_Ganadera[[#This Row],[Mes Económico]]=Tipo_Cambio[Mes])*(Producción_Ganadera[[#This Row],[Año Económico]]=Tipo_Cambio[Año])*(Tipo_Cambio[Actualización]))</f>
        <v>0</v>
      </c>
      <c r="AN58" s="932">
        <f>IF(ISNUMBER(Producción_Ganadera[[#This Row],[Fecha Financiero]])=TRUE,MONTH(Producción_Ganadera[[#This Row],[Fecha Financiero]]),0)</f>
        <v>0</v>
      </c>
      <c r="AO58" s="932">
        <f>IF(ISNUMBER(Producción_Ganadera[[#This Row],[Fecha Financiero]])=TRUE,YEAR(Producción_Ganadera[[#This Row],[Fecha Financiero]]),0)</f>
        <v>0</v>
      </c>
      <c r="AP58" s="939">
        <f>SUMPRODUCT((Producción_Ganadera[[#This Row],[Mes Financiero]]=Tipo_Cambio[Mes])*(Producción_Ganadera[[#This Row],[Año Financiero]]=Tipo_Cambio[Año])*(Tipo_Cambio[$/U$S]))</f>
        <v>0</v>
      </c>
      <c r="AQ58" s="939">
        <f>SUMPRODUCT((Producción_Ganadera[[#This Row],[Mes Financiero]]=Tipo_Cambio[Mes])*(Producción_Ganadera[[#This Row],[Año Financiero]]=Tipo_Cambio[Año])*(Tipo_Cambio[Actualización]))</f>
        <v>0</v>
      </c>
      <c r="AR58" s="940">
        <f>SUMPRODUCT((Producción_Ganadera[[#This Row],[Centro de Costo]]=Tabla19[Centro de Costo])*(Tabla19[Superficie])*(Producción_Ganadera[[#This Row],[Campaña]]=Tabla19[Campaña]))</f>
        <v>0</v>
      </c>
      <c r="AS58" s="936">
        <f>IFERROR(Producción_Ganadera[[#This Row],[Económico $Corrientes]]/Producción_Ganadera[[#This Row],[Superficie]],0)</f>
        <v>0</v>
      </c>
      <c r="AT58" s="936">
        <f>IFERROR(Producción_Ganadera[[#This Row],[Económico $Constantes]]/Producción_Ganadera[[#This Row],[Superficie]],0)</f>
        <v>0</v>
      </c>
      <c r="AU58" s="936">
        <f>IFERROR(Producción_Ganadera[[#This Row],[Económico U$S Dólares]]/Producción_Ganadera[[#This Row],[Superficie]],0)</f>
        <v>0</v>
      </c>
      <c r="AV58" s="934">
        <f>IF(Económico!$F$4=0,0,Producción_Ganadera[[#This Row],[Centro de Costo]])</f>
        <v>0</v>
      </c>
    </row>
    <row r="59" spans="1:48" x14ac:dyDescent="0.25">
      <c r="A59" s="86"/>
      <c r="B59" s="1136"/>
      <c r="C59" s="86"/>
      <c r="D59" s="478"/>
      <c r="E59" s="522"/>
      <c r="F59" s="869" t="str">
        <f t="shared" si="2"/>
        <v>2018-2019</v>
      </c>
      <c r="G59" s="491" t="str">
        <f t="shared" si="4"/>
        <v>Salida Traslados</v>
      </c>
      <c r="H59" s="491"/>
      <c r="I59" s="491"/>
      <c r="J59" s="549"/>
      <c r="K59" s="491"/>
      <c r="L59" s="520"/>
      <c r="M5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5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59" s="611"/>
      <c r="P59" s="484"/>
      <c r="Q59" s="875">
        <f>IF(ISNUMBER(Producción_Ganadera[[#This Row],[Cabezas]])=TRUE,Producción_Ganadera[[#This Row],[Cabezas]]*Producción_Ganadera[[#This Row],[Cantidad]],Producción_Ganadera[[#This Row],[Cantidad]])</f>
        <v>0</v>
      </c>
      <c r="R59" s="482"/>
      <c r="S59" s="552"/>
      <c r="T59" s="553"/>
      <c r="U5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59" s="881">
        <f>IFERROR(Producción_Ganadera[[#This Row],[Económico $Corrientes]]/Producción_Ganadera[[#This Row],[Indexación Económico]],0)</f>
        <v>0</v>
      </c>
      <c r="W5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5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59" s="881">
        <f>IFERROR(Producción_Ganadera[[#This Row],[Financiero $Corrientes]]/Producción_Ganadera[[#This Row],[Indexación Financiero]],0)</f>
        <v>0</v>
      </c>
      <c r="Z5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5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59" s="885">
        <f>IFERROR(Producción_Ganadera[[#This Row],[Intereses $Corrientes]]/Producción_Ganadera[[#This Row],[Indexación Financiero]],0)</f>
        <v>0</v>
      </c>
      <c r="AC5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59" s="915" t="str">
        <f>IFERROR(INDEX(Produccion_Ganadera_Cuentas[],MATCH(Producción_Ganadera[[#This Row],[Cuenta Contable]],Produccion_Ganadera_Cuentas[Cuenta Contable],0),2),0)</f>
        <v>Mov. Hacienda</v>
      </c>
      <c r="AE59" s="916">
        <f>IF(Producción_Ganadera[[#This Row],[Mov. Stock]]="(+)",Producción_Ganadera[[#This Row],[Cabezas]],IF(Producción_Ganadera[[#This Row],[Mov. Stock]]="(-)",-Producción_Ganadera[[#This Row],[Cabezas]],0))</f>
        <v>0</v>
      </c>
      <c r="AF59" s="917" t="str">
        <f>IFERROR(INDEX(Produccion_Ganadera_Cuentas[],MATCH(Producción_Ganadera[[#This Row],[Cuenta Contable]],Produccion_Ganadera_Cuentas[Cuenta Contable],0),5),0)</f>
        <v>(-)</v>
      </c>
      <c r="AG59" s="918" t="str">
        <f>IF(Producción_Ganadera[[#This Row],[Cuenta Contable]]=Configuración!$AC$9,"Si","No")</f>
        <v>No</v>
      </c>
      <c r="AH59" s="887" t="str">
        <f>IFERROR(INDEX(Tabla9[],MATCH(Producción_Ganadera[[#This Row],[Movimiento]],Tabla9[Movimientos],0),2),0)</f>
        <v>No</v>
      </c>
      <c r="AI59" s="888">
        <f>IFERROR(INDEX(Tabla9[],MATCH(Producción_Ganadera[[#This Row],[Movimiento]],Tabla9[Movimientos],0),3),0)</f>
        <v>0</v>
      </c>
      <c r="AJ59" s="885">
        <f>IF(Producción_Ganadera[[#This Row],[Fecha Económico]]=0,0,MONTH(Producción_Ganadera[[#This Row],[Fecha Económico]]))</f>
        <v>0</v>
      </c>
      <c r="AK59" s="885">
        <f>IF(Producción_Ganadera[[#This Row],[Fecha Económico]]=0,0,YEAR(Producción_Ganadera[[#This Row],[Fecha Económico]]))</f>
        <v>0</v>
      </c>
      <c r="AL59" s="889">
        <f>SUMPRODUCT((Producción_Ganadera[[#This Row],[Mes Económico]]=Tipo_Cambio[Mes])*(Producción_Ganadera[[#This Row],[Año Económico]]=Tipo_Cambio[Año])*(Tipo_Cambio[$/U$S]))</f>
        <v>0</v>
      </c>
      <c r="AM59" s="889">
        <f>SUMPRODUCT((Producción_Ganadera[[#This Row],[Mes Económico]]=Tipo_Cambio[Mes])*(Producción_Ganadera[[#This Row],[Año Económico]]=Tipo_Cambio[Año])*(Tipo_Cambio[Actualización]))</f>
        <v>0</v>
      </c>
      <c r="AN59" s="885">
        <f>IF(ISNUMBER(Producción_Ganadera[[#This Row],[Fecha Financiero]])=TRUE,MONTH(Producción_Ganadera[[#This Row],[Fecha Financiero]]),0)</f>
        <v>0</v>
      </c>
      <c r="AO59" s="885">
        <f>IF(ISNUMBER(Producción_Ganadera[[#This Row],[Fecha Financiero]])=TRUE,YEAR(Producción_Ganadera[[#This Row],[Fecha Financiero]]),0)</f>
        <v>0</v>
      </c>
      <c r="AP59" s="889">
        <f>SUMPRODUCT((Producción_Ganadera[[#This Row],[Mes Financiero]]=Tipo_Cambio[Mes])*(Producción_Ganadera[[#This Row],[Año Financiero]]=Tipo_Cambio[Año])*(Tipo_Cambio[$/U$S]))</f>
        <v>0</v>
      </c>
      <c r="AQ59" s="889">
        <f>SUMPRODUCT((Producción_Ganadera[[#This Row],[Mes Financiero]]=Tipo_Cambio[Mes])*(Producción_Ganadera[[#This Row],[Año Financiero]]=Tipo_Cambio[Año])*(Tipo_Cambio[Actualización]))</f>
        <v>0</v>
      </c>
      <c r="AR59" s="919">
        <f>SUMPRODUCT((Producción_Ganadera[[#This Row],[Centro de Costo]]=Tabla19[Centro de Costo])*(Tabla19[Superficie])*(Producción_Ganadera[[#This Row],[Campaña]]=Tabla19[Campaña]))</f>
        <v>0</v>
      </c>
      <c r="AS59" s="918">
        <f>IFERROR(Producción_Ganadera[[#This Row],[Económico $Corrientes]]/Producción_Ganadera[[#This Row],[Superficie]],0)</f>
        <v>0</v>
      </c>
      <c r="AT59" s="918">
        <f>IFERROR(Producción_Ganadera[[#This Row],[Económico $Constantes]]/Producción_Ganadera[[#This Row],[Superficie]],0)</f>
        <v>0</v>
      </c>
      <c r="AU59" s="918">
        <f>IFERROR(Producción_Ganadera[[#This Row],[Económico U$S Dólares]]/Producción_Ganadera[[#This Row],[Superficie]],0)</f>
        <v>0</v>
      </c>
      <c r="AV59" s="916">
        <f>IF(Económico!$F$4=0,0,Producción_Ganadera[[#This Row],[Centro de Costo]])</f>
        <v>0</v>
      </c>
    </row>
    <row r="60" spans="1:48" x14ac:dyDescent="0.25">
      <c r="A60" s="86"/>
      <c r="B60" s="1136"/>
      <c r="C60" s="86"/>
      <c r="D60" s="478"/>
      <c r="E60" s="522"/>
      <c r="F60" s="869" t="str">
        <f t="shared" si="2"/>
        <v>2018-2019</v>
      </c>
      <c r="G60" s="491" t="str">
        <f t="shared" si="4"/>
        <v>Salida Traslados</v>
      </c>
      <c r="H60" s="491"/>
      <c r="I60" s="491"/>
      <c r="J60" s="549"/>
      <c r="K60" s="491"/>
      <c r="L60" s="520"/>
      <c r="M6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6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60" s="611"/>
      <c r="P60" s="484"/>
      <c r="Q60" s="875">
        <f>IF(ISNUMBER(Producción_Ganadera[[#This Row],[Cabezas]])=TRUE,Producción_Ganadera[[#This Row],[Cabezas]]*Producción_Ganadera[[#This Row],[Cantidad]],Producción_Ganadera[[#This Row],[Cantidad]])</f>
        <v>0</v>
      </c>
      <c r="R60" s="482"/>
      <c r="S60" s="552"/>
      <c r="T60" s="553"/>
      <c r="U6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60" s="881">
        <f>IFERROR(Producción_Ganadera[[#This Row],[Económico $Corrientes]]/Producción_Ganadera[[#This Row],[Indexación Económico]],0)</f>
        <v>0</v>
      </c>
      <c r="W6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6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60" s="881">
        <f>IFERROR(Producción_Ganadera[[#This Row],[Financiero $Corrientes]]/Producción_Ganadera[[#This Row],[Indexación Financiero]],0)</f>
        <v>0</v>
      </c>
      <c r="Z6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6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60" s="885">
        <f>IFERROR(Producción_Ganadera[[#This Row],[Intereses $Corrientes]]/Producción_Ganadera[[#This Row],[Indexación Financiero]],0)</f>
        <v>0</v>
      </c>
      <c r="AC6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60" s="915" t="str">
        <f>IFERROR(INDEX(Produccion_Ganadera_Cuentas[],MATCH(Producción_Ganadera[[#This Row],[Cuenta Contable]],Produccion_Ganadera_Cuentas[Cuenta Contable],0),2),0)</f>
        <v>Mov. Hacienda</v>
      </c>
      <c r="AE60" s="916">
        <f>IF(Producción_Ganadera[[#This Row],[Mov. Stock]]="(+)",Producción_Ganadera[[#This Row],[Cabezas]],IF(Producción_Ganadera[[#This Row],[Mov. Stock]]="(-)",-Producción_Ganadera[[#This Row],[Cabezas]],0))</f>
        <v>0</v>
      </c>
      <c r="AF60" s="917" t="str">
        <f>IFERROR(INDEX(Produccion_Ganadera_Cuentas[],MATCH(Producción_Ganadera[[#This Row],[Cuenta Contable]],Produccion_Ganadera_Cuentas[Cuenta Contable],0),5),0)</f>
        <v>(-)</v>
      </c>
      <c r="AG60" s="918" t="str">
        <f>IF(Producción_Ganadera[[#This Row],[Cuenta Contable]]=Configuración!$AC$9,"Si","No")</f>
        <v>No</v>
      </c>
      <c r="AH60" s="887" t="str">
        <f>IFERROR(INDEX(Tabla9[],MATCH(Producción_Ganadera[[#This Row],[Movimiento]],Tabla9[Movimientos],0),2),0)</f>
        <v>No</v>
      </c>
      <c r="AI60" s="888">
        <f>IFERROR(INDEX(Tabla9[],MATCH(Producción_Ganadera[[#This Row],[Movimiento]],Tabla9[Movimientos],0),3),0)</f>
        <v>0</v>
      </c>
      <c r="AJ60" s="885">
        <f>IF(Producción_Ganadera[[#This Row],[Fecha Económico]]=0,0,MONTH(Producción_Ganadera[[#This Row],[Fecha Económico]]))</f>
        <v>0</v>
      </c>
      <c r="AK60" s="885">
        <f>IF(Producción_Ganadera[[#This Row],[Fecha Económico]]=0,0,YEAR(Producción_Ganadera[[#This Row],[Fecha Económico]]))</f>
        <v>0</v>
      </c>
      <c r="AL60" s="889">
        <f>SUMPRODUCT((Producción_Ganadera[[#This Row],[Mes Económico]]=Tipo_Cambio[Mes])*(Producción_Ganadera[[#This Row],[Año Económico]]=Tipo_Cambio[Año])*(Tipo_Cambio[$/U$S]))</f>
        <v>0</v>
      </c>
      <c r="AM60" s="889">
        <f>SUMPRODUCT((Producción_Ganadera[[#This Row],[Mes Económico]]=Tipo_Cambio[Mes])*(Producción_Ganadera[[#This Row],[Año Económico]]=Tipo_Cambio[Año])*(Tipo_Cambio[Actualización]))</f>
        <v>0</v>
      </c>
      <c r="AN60" s="885">
        <f>IF(ISNUMBER(Producción_Ganadera[[#This Row],[Fecha Financiero]])=TRUE,MONTH(Producción_Ganadera[[#This Row],[Fecha Financiero]]),0)</f>
        <v>0</v>
      </c>
      <c r="AO60" s="885">
        <f>IF(ISNUMBER(Producción_Ganadera[[#This Row],[Fecha Financiero]])=TRUE,YEAR(Producción_Ganadera[[#This Row],[Fecha Financiero]]),0)</f>
        <v>0</v>
      </c>
      <c r="AP60" s="889">
        <f>SUMPRODUCT((Producción_Ganadera[[#This Row],[Mes Financiero]]=Tipo_Cambio[Mes])*(Producción_Ganadera[[#This Row],[Año Financiero]]=Tipo_Cambio[Año])*(Tipo_Cambio[$/U$S]))</f>
        <v>0</v>
      </c>
      <c r="AQ60" s="889">
        <f>SUMPRODUCT((Producción_Ganadera[[#This Row],[Mes Financiero]]=Tipo_Cambio[Mes])*(Producción_Ganadera[[#This Row],[Año Financiero]]=Tipo_Cambio[Año])*(Tipo_Cambio[Actualización]))</f>
        <v>0</v>
      </c>
      <c r="AR60" s="919">
        <f>SUMPRODUCT((Producción_Ganadera[[#This Row],[Centro de Costo]]=Tabla19[Centro de Costo])*(Tabla19[Superficie])*(Producción_Ganadera[[#This Row],[Campaña]]=Tabla19[Campaña]))</f>
        <v>0</v>
      </c>
      <c r="AS60" s="918">
        <f>IFERROR(Producción_Ganadera[[#This Row],[Económico $Corrientes]]/Producción_Ganadera[[#This Row],[Superficie]],0)</f>
        <v>0</v>
      </c>
      <c r="AT60" s="918">
        <f>IFERROR(Producción_Ganadera[[#This Row],[Económico $Constantes]]/Producción_Ganadera[[#This Row],[Superficie]],0)</f>
        <v>0</v>
      </c>
      <c r="AU60" s="918">
        <f>IFERROR(Producción_Ganadera[[#This Row],[Económico U$S Dólares]]/Producción_Ganadera[[#This Row],[Superficie]],0)</f>
        <v>0</v>
      </c>
      <c r="AV60" s="916">
        <f>IF(Económico!$F$4=0,0,Producción_Ganadera[[#This Row],[Centro de Costo]])</f>
        <v>0</v>
      </c>
    </row>
    <row r="61" spans="1:48" x14ac:dyDescent="0.25">
      <c r="A61" s="86"/>
      <c r="B61" s="376"/>
      <c r="C61" s="86"/>
      <c r="D61" s="478"/>
      <c r="E61" s="522"/>
      <c r="F61" s="869" t="str">
        <f t="shared" si="2"/>
        <v>2018-2019</v>
      </c>
      <c r="G61" s="491" t="str">
        <f t="shared" si="4"/>
        <v>Salida Traslados</v>
      </c>
      <c r="H61" s="491"/>
      <c r="I61" s="491"/>
      <c r="J61" s="549"/>
      <c r="K61" s="491"/>
      <c r="L61" s="520"/>
      <c r="M6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6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61" s="611"/>
      <c r="P61" s="484"/>
      <c r="Q61" s="875">
        <f>IF(ISNUMBER(Producción_Ganadera[[#This Row],[Cabezas]])=TRUE,Producción_Ganadera[[#This Row],[Cabezas]]*Producción_Ganadera[[#This Row],[Cantidad]],Producción_Ganadera[[#This Row],[Cantidad]])</f>
        <v>0</v>
      </c>
      <c r="R61" s="482"/>
      <c r="S61" s="552"/>
      <c r="T61" s="553"/>
      <c r="U6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61" s="881">
        <f>IFERROR(Producción_Ganadera[[#This Row],[Económico $Corrientes]]/Producción_Ganadera[[#This Row],[Indexación Económico]],0)</f>
        <v>0</v>
      </c>
      <c r="W6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6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61" s="881">
        <f>IFERROR(Producción_Ganadera[[#This Row],[Financiero $Corrientes]]/Producción_Ganadera[[#This Row],[Indexación Financiero]],0)</f>
        <v>0</v>
      </c>
      <c r="Z6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6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61" s="885">
        <f>IFERROR(Producción_Ganadera[[#This Row],[Intereses $Corrientes]]/Producción_Ganadera[[#This Row],[Indexación Financiero]],0)</f>
        <v>0</v>
      </c>
      <c r="AC6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61" s="915" t="str">
        <f>IFERROR(INDEX(Produccion_Ganadera_Cuentas[],MATCH(Producción_Ganadera[[#This Row],[Cuenta Contable]],Produccion_Ganadera_Cuentas[Cuenta Contable],0),2),0)</f>
        <v>Mov. Hacienda</v>
      </c>
      <c r="AE61" s="916">
        <f>IF(Producción_Ganadera[[#This Row],[Mov. Stock]]="(+)",Producción_Ganadera[[#This Row],[Cabezas]],IF(Producción_Ganadera[[#This Row],[Mov. Stock]]="(-)",-Producción_Ganadera[[#This Row],[Cabezas]],0))</f>
        <v>0</v>
      </c>
      <c r="AF61" s="917" t="str">
        <f>IFERROR(INDEX(Produccion_Ganadera_Cuentas[],MATCH(Producción_Ganadera[[#This Row],[Cuenta Contable]],Produccion_Ganadera_Cuentas[Cuenta Contable],0),5),0)</f>
        <v>(-)</v>
      </c>
      <c r="AG61" s="918" t="str">
        <f>IF(Producción_Ganadera[[#This Row],[Cuenta Contable]]=Configuración!$AC$9,"Si","No")</f>
        <v>No</v>
      </c>
      <c r="AH61" s="887" t="str">
        <f>IFERROR(INDEX(Tabla9[],MATCH(Producción_Ganadera[[#This Row],[Movimiento]],Tabla9[Movimientos],0),2),0)</f>
        <v>No</v>
      </c>
      <c r="AI61" s="888">
        <f>IFERROR(INDEX(Tabla9[],MATCH(Producción_Ganadera[[#This Row],[Movimiento]],Tabla9[Movimientos],0),3),0)</f>
        <v>0</v>
      </c>
      <c r="AJ61" s="885">
        <f>IF(Producción_Ganadera[[#This Row],[Fecha Económico]]=0,0,MONTH(Producción_Ganadera[[#This Row],[Fecha Económico]]))</f>
        <v>0</v>
      </c>
      <c r="AK61" s="885">
        <f>IF(Producción_Ganadera[[#This Row],[Fecha Económico]]=0,0,YEAR(Producción_Ganadera[[#This Row],[Fecha Económico]]))</f>
        <v>0</v>
      </c>
      <c r="AL61" s="889">
        <f>SUMPRODUCT((Producción_Ganadera[[#This Row],[Mes Económico]]=Tipo_Cambio[Mes])*(Producción_Ganadera[[#This Row],[Año Económico]]=Tipo_Cambio[Año])*(Tipo_Cambio[$/U$S]))</f>
        <v>0</v>
      </c>
      <c r="AM61" s="889">
        <f>SUMPRODUCT((Producción_Ganadera[[#This Row],[Mes Económico]]=Tipo_Cambio[Mes])*(Producción_Ganadera[[#This Row],[Año Económico]]=Tipo_Cambio[Año])*(Tipo_Cambio[Actualización]))</f>
        <v>0</v>
      </c>
      <c r="AN61" s="885">
        <f>IF(ISNUMBER(Producción_Ganadera[[#This Row],[Fecha Financiero]])=TRUE,MONTH(Producción_Ganadera[[#This Row],[Fecha Financiero]]),0)</f>
        <v>0</v>
      </c>
      <c r="AO61" s="885">
        <f>IF(ISNUMBER(Producción_Ganadera[[#This Row],[Fecha Financiero]])=TRUE,YEAR(Producción_Ganadera[[#This Row],[Fecha Financiero]]),0)</f>
        <v>0</v>
      </c>
      <c r="AP61" s="889">
        <f>SUMPRODUCT((Producción_Ganadera[[#This Row],[Mes Financiero]]=Tipo_Cambio[Mes])*(Producción_Ganadera[[#This Row],[Año Financiero]]=Tipo_Cambio[Año])*(Tipo_Cambio[$/U$S]))</f>
        <v>0</v>
      </c>
      <c r="AQ61" s="889">
        <f>SUMPRODUCT((Producción_Ganadera[[#This Row],[Mes Financiero]]=Tipo_Cambio[Mes])*(Producción_Ganadera[[#This Row],[Año Financiero]]=Tipo_Cambio[Año])*(Tipo_Cambio[Actualización]))</f>
        <v>0</v>
      </c>
      <c r="AR61" s="919">
        <f>SUMPRODUCT((Producción_Ganadera[[#This Row],[Centro de Costo]]=Tabla19[Centro de Costo])*(Tabla19[Superficie])*(Producción_Ganadera[[#This Row],[Campaña]]=Tabla19[Campaña]))</f>
        <v>0</v>
      </c>
      <c r="AS61" s="918">
        <f>IFERROR(Producción_Ganadera[[#This Row],[Económico $Corrientes]]/Producción_Ganadera[[#This Row],[Superficie]],0)</f>
        <v>0</v>
      </c>
      <c r="AT61" s="918">
        <f>IFERROR(Producción_Ganadera[[#This Row],[Económico $Constantes]]/Producción_Ganadera[[#This Row],[Superficie]],0)</f>
        <v>0</v>
      </c>
      <c r="AU61" s="918">
        <f>IFERROR(Producción_Ganadera[[#This Row],[Económico U$S Dólares]]/Producción_Ganadera[[#This Row],[Superficie]],0)</f>
        <v>0</v>
      </c>
      <c r="AV61" s="916">
        <f>IF(Económico!$F$4=0,0,Producción_Ganadera[[#This Row],[Centro de Costo]])</f>
        <v>0</v>
      </c>
    </row>
    <row r="62" spans="1:48" x14ac:dyDescent="0.25">
      <c r="A62" s="86"/>
      <c r="B62" s="376"/>
      <c r="C62" s="86"/>
      <c r="D62" s="478"/>
      <c r="E62" s="522"/>
      <c r="F62" s="869" t="str">
        <f t="shared" si="2"/>
        <v>2018-2019</v>
      </c>
      <c r="G62" s="491" t="str">
        <f t="shared" si="4"/>
        <v>Salida Traslados</v>
      </c>
      <c r="H62" s="491"/>
      <c r="I62" s="491"/>
      <c r="J62" s="549"/>
      <c r="K62" s="491"/>
      <c r="L62" s="520"/>
      <c r="M6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6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62" s="611"/>
      <c r="P62" s="484"/>
      <c r="Q62" s="875">
        <f>IF(ISNUMBER(Producción_Ganadera[[#This Row],[Cabezas]])=TRUE,Producción_Ganadera[[#This Row],[Cabezas]]*Producción_Ganadera[[#This Row],[Cantidad]],Producción_Ganadera[[#This Row],[Cantidad]])</f>
        <v>0</v>
      </c>
      <c r="R62" s="482"/>
      <c r="S62" s="552"/>
      <c r="T62" s="553"/>
      <c r="U6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62" s="881">
        <f>IFERROR(Producción_Ganadera[[#This Row],[Económico $Corrientes]]/Producción_Ganadera[[#This Row],[Indexación Económico]],0)</f>
        <v>0</v>
      </c>
      <c r="W6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6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62" s="881">
        <f>IFERROR(Producción_Ganadera[[#This Row],[Financiero $Corrientes]]/Producción_Ganadera[[#This Row],[Indexación Financiero]],0)</f>
        <v>0</v>
      </c>
      <c r="Z6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6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62" s="885">
        <f>IFERROR(Producción_Ganadera[[#This Row],[Intereses $Corrientes]]/Producción_Ganadera[[#This Row],[Indexación Financiero]],0)</f>
        <v>0</v>
      </c>
      <c r="AC6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62" s="915" t="str">
        <f>IFERROR(INDEX(Produccion_Ganadera_Cuentas[],MATCH(Producción_Ganadera[[#This Row],[Cuenta Contable]],Produccion_Ganadera_Cuentas[Cuenta Contable],0),2),0)</f>
        <v>Mov. Hacienda</v>
      </c>
      <c r="AE62" s="916">
        <f>IF(Producción_Ganadera[[#This Row],[Mov. Stock]]="(+)",Producción_Ganadera[[#This Row],[Cabezas]],IF(Producción_Ganadera[[#This Row],[Mov. Stock]]="(-)",-Producción_Ganadera[[#This Row],[Cabezas]],0))</f>
        <v>0</v>
      </c>
      <c r="AF62" s="917" t="str">
        <f>IFERROR(INDEX(Produccion_Ganadera_Cuentas[],MATCH(Producción_Ganadera[[#This Row],[Cuenta Contable]],Produccion_Ganadera_Cuentas[Cuenta Contable],0),5),0)</f>
        <v>(-)</v>
      </c>
      <c r="AG62" s="918" t="str">
        <f>IF(Producción_Ganadera[[#This Row],[Cuenta Contable]]=Configuración!$AC$9,"Si","No")</f>
        <v>No</v>
      </c>
      <c r="AH62" s="887" t="str">
        <f>IFERROR(INDEX(Tabla9[],MATCH(Producción_Ganadera[[#This Row],[Movimiento]],Tabla9[Movimientos],0),2),0)</f>
        <v>No</v>
      </c>
      <c r="AI62" s="888">
        <f>IFERROR(INDEX(Tabla9[],MATCH(Producción_Ganadera[[#This Row],[Movimiento]],Tabla9[Movimientos],0),3),0)</f>
        <v>0</v>
      </c>
      <c r="AJ62" s="885">
        <f>IF(Producción_Ganadera[[#This Row],[Fecha Económico]]=0,0,MONTH(Producción_Ganadera[[#This Row],[Fecha Económico]]))</f>
        <v>0</v>
      </c>
      <c r="AK62" s="885">
        <f>IF(Producción_Ganadera[[#This Row],[Fecha Económico]]=0,0,YEAR(Producción_Ganadera[[#This Row],[Fecha Económico]]))</f>
        <v>0</v>
      </c>
      <c r="AL62" s="889">
        <f>SUMPRODUCT((Producción_Ganadera[[#This Row],[Mes Económico]]=Tipo_Cambio[Mes])*(Producción_Ganadera[[#This Row],[Año Económico]]=Tipo_Cambio[Año])*(Tipo_Cambio[$/U$S]))</f>
        <v>0</v>
      </c>
      <c r="AM62" s="889">
        <f>SUMPRODUCT((Producción_Ganadera[[#This Row],[Mes Económico]]=Tipo_Cambio[Mes])*(Producción_Ganadera[[#This Row],[Año Económico]]=Tipo_Cambio[Año])*(Tipo_Cambio[Actualización]))</f>
        <v>0</v>
      </c>
      <c r="AN62" s="885">
        <f>IF(ISNUMBER(Producción_Ganadera[[#This Row],[Fecha Financiero]])=TRUE,MONTH(Producción_Ganadera[[#This Row],[Fecha Financiero]]),0)</f>
        <v>0</v>
      </c>
      <c r="AO62" s="885">
        <f>IF(ISNUMBER(Producción_Ganadera[[#This Row],[Fecha Financiero]])=TRUE,YEAR(Producción_Ganadera[[#This Row],[Fecha Financiero]]),0)</f>
        <v>0</v>
      </c>
      <c r="AP62" s="889">
        <f>SUMPRODUCT((Producción_Ganadera[[#This Row],[Mes Financiero]]=Tipo_Cambio[Mes])*(Producción_Ganadera[[#This Row],[Año Financiero]]=Tipo_Cambio[Año])*(Tipo_Cambio[$/U$S]))</f>
        <v>0</v>
      </c>
      <c r="AQ62" s="889">
        <f>SUMPRODUCT((Producción_Ganadera[[#This Row],[Mes Financiero]]=Tipo_Cambio[Mes])*(Producción_Ganadera[[#This Row],[Año Financiero]]=Tipo_Cambio[Año])*(Tipo_Cambio[Actualización]))</f>
        <v>0</v>
      </c>
      <c r="AR62" s="919">
        <f>SUMPRODUCT((Producción_Ganadera[[#This Row],[Centro de Costo]]=Tabla19[Centro de Costo])*(Tabla19[Superficie])*(Producción_Ganadera[[#This Row],[Campaña]]=Tabla19[Campaña]))</f>
        <v>0</v>
      </c>
      <c r="AS62" s="918">
        <f>IFERROR(Producción_Ganadera[[#This Row],[Económico $Corrientes]]/Producción_Ganadera[[#This Row],[Superficie]],0)</f>
        <v>0</v>
      </c>
      <c r="AT62" s="918">
        <f>IFERROR(Producción_Ganadera[[#This Row],[Económico $Constantes]]/Producción_Ganadera[[#This Row],[Superficie]],0)</f>
        <v>0</v>
      </c>
      <c r="AU62" s="918">
        <f>IFERROR(Producción_Ganadera[[#This Row],[Económico U$S Dólares]]/Producción_Ganadera[[#This Row],[Superficie]],0)</f>
        <v>0</v>
      </c>
      <c r="AV62" s="916">
        <f>IF(Económico!$F$4=0,0,Producción_Ganadera[[#This Row],[Centro de Costo]])</f>
        <v>0</v>
      </c>
    </row>
    <row r="63" spans="1:48" x14ac:dyDescent="0.25">
      <c r="A63" s="86"/>
      <c r="B63" s="376"/>
      <c r="C63" s="86"/>
      <c r="D63" s="478"/>
      <c r="E63" s="522"/>
      <c r="F63" s="869" t="str">
        <f t="shared" si="2"/>
        <v>2018-2019</v>
      </c>
      <c r="G63" s="491" t="str">
        <f t="shared" si="4"/>
        <v>Salida Traslados</v>
      </c>
      <c r="H63" s="491"/>
      <c r="I63" s="491"/>
      <c r="J63" s="549"/>
      <c r="K63" s="491"/>
      <c r="L63" s="520"/>
      <c r="M6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6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63" s="611"/>
      <c r="P63" s="484"/>
      <c r="Q63" s="875">
        <f>IF(ISNUMBER(Producción_Ganadera[[#This Row],[Cabezas]])=TRUE,Producción_Ganadera[[#This Row],[Cabezas]]*Producción_Ganadera[[#This Row],[Cantidad]],Producción_Ganadera[[#This Row],[Cantidad]])</f>
        <v>0</v>
      </c>
      <c r="R63" s="482"/>
      <c r="S63" s="552"/>
      <c r="T63" s="553"/>
      <c r="U6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63" s="881">
        <f>IFERROR(Producción_Ganadera[[#This Row],[Económico $Corrientes]]/Producción_Ganadera[[#This Row],[Indexación Económico]],0)</f>
        <v>0</v>
      </c>
      <c r="W6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6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63" s="881">
        <f>IFERROR(Producción_Ganadera[[#This Row],[Financiero $Corrientes]]/Producción_Ganadera[[#This Row],[Indexación Financiero]],0)</f>
        <v>0</v>
      </c>
      <c r="Z6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6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63" s="885">
        <f>IFERROR(Producción_Ganadera[[#This Row],[Intereses $Corrientes]]/Producción_Ganadera[[#This Row],[Indexación Financiero]],0)</f>
        <v>0</v>
      </c>
      <c r="AC6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63" s="915" t="str">
        <f>IFERROR(INDEX(Produccion_Ganadera_Cuentas[],MATCH(Producción_Ganadera[[#This Row],[Cuenta Contable]],Produccion_Ganadera_Cuentas[Cuenta Contable],0),2),0)</f>
        <v>Mov. Hacienda</v>
      </c>
      <c r="AE63" s="916">
        <f>IF(Producción_Ganadera[[#This Row],[Mov. Stock]]="(+)",Producción_Ganadera[[#This Row],[Cabezas]],IF(Producción_Ganadera[[#This Row],[Mov. Stock]]="(-)",-Producción_Ganadera[[#This Row],[Cabezas]],0))</f>
        <v>0</v>
      </c>
      <c r="AF63" s="917" t="str">
        <f>IFERROR(INDEX(Produccion_Ganadera_Cuentas[],MATCH(Producción_Ganadera[[#This Row],[Cuenta Contable]],Produccion_Ganadera_Cuentas[Cuenta Contable],0),5),0)</f>
        <v>(-)</v>
      </c>
      <c r="AG63" s="918" t="str">
        <f>IF(Producción_Ganadera[[#This Row],[Cuenta Contable]]=Configuración!$AC$9,"Si","No")</f>
        <v>No</v>
      </c>
      <c r="AH63" s="887" t="str">
        <f>IFERROR(INDEX(Tabla9[],MATCH(Producción_Ganadera[[#This Row],[Movimiento]],Tabla9[Movimientos],0),2),0)</f>
        <v>No</v>
      </c>
      <c r="AI63" s="888">
        <f>IFERROR(INDEX(Tabla9[],MATCH(Producción_Ganadera[[#This Row],[Movimiento]],Tabla9[Movimientos],0),3),0)</f>
        <v>0</v>
      </c>
      <c r="AJ63" s="885">
        <f>IF(Producción_Ganadera[[#This Row],[Fecha Económico]]=0,0,MONTH(Producción_Ganadera[[#This Row],[Fecha Económico]]))</f>
        <v>0</v>
      </c>
      <c r="AK63" s="885">
        <f>IF(Producción_Ganadera[[#This Row],[Fecha Económico]]=0,0,YEAR(Producción_Ganadera[[#This Row],[Fecha Económico]]))</f>
        <v>0</v>
      </c>
      <c r="AL63" s="889">
        <f>SUMPRODUCT((Producción_Ganadera[[#This Row],[Mes Económico]]=Tipo_Cambio[Mes])*(Producción_Ganadera[[#This Row],[Año Económico]]=Tipo_Cambio[Año])*(Tipo_Cambio[$/U$S]))</f>
        <v>0</v>
      </c>
      <c r="AM63" s="889">
        <f>SUMPRODUCT((Producción_Ganadera[[#This Row],[Mes Económico]]=Tipo_Cambio[Mes])*(Producción_Ganadera[[#This Row],[Año Económico]]=Tipo_Cambio[Año])*(Tipo_Cambio[Actualización]))</f>
        <v>0</v>
      </c>
      <c r="AN63" s="885">
        <f>IF(ISNUMBER(Producción_Ganadera[[#This Row],[Fecha Financiero]])=TRUE,MONTH(Producción_Ganadera[[#This Row],[Fecha Financiero]]),0)</f>
        <v>0</v>
      </c>
      <c r="AO63" s="885">
        <f>IF(ISNUMBER(Producción_Ganadera[[#This Row],[Fecha Financiero]])=TRUE,YEAR(Producción_Ganadera[[#This Row],[Fecha Financiero]]),0)</f>
        <v>0</v>
      </c>
      <c r="AP63" s="889">
        <f>SUMPRODUCT((Producción_Ganadera[[#This Row],[Mes Financiero]]=Tipo_Cambio[Mes])*(Producción_Ganadera[[#This Row],[Año Financiero]]=Tipo_Cambio[Año])*(Tipo_Cambio[$/U$S]))</f>
        <v>0</v>
      </c>
      <c r="AQ63" s="889">
        <f>SUMPRODUCT((Producción_Ganadera[[#This Row],[Mes Financiero]]=Tipo_Cambio[Mes])*(Producción_Ganadera[[#This Row],[Año Financiero]]=Tipo_Cambio[Año])*(Tipo_Cambio[Actualización]))</f>
        <v>0</v>
      </c>
      <c r="AR63" s="919">
        <f>SUMPRODUCT((Producción_Ganadera[[#This Row],[Centro de Costo]]=Tabla19[Centro de Costo])*(Tabla19[Superficie])*(Producción_Ganadera[[#This Row],[Campaña]]=Tabla19[Campaña]))</f>
        <v>0</v>
      </c>
      <c r="AS63" s="918">
        <f>IFERROR(Producción_Ganadera[[#This Row],[Económico $Corrientes]]/Producción_Ganadera[[#This Row],[Superficie]],0)</f>
        <v>0</v>
      </c>
      <c r="AT63" s="918">
        <f>IFERROR(Producción_Ganadera[[#This Row],[Económico $Constantes]]/Producción_Ganadera[[#This Row],[Superficie]],0)</f>
        <v>0</v>
      </c>
      <c r="AU63" s="918">
        <f>IFERROR(Producción_Ganadera[[#This Row],[Económico U$S Dólares]]/Producción_Ganadera[[#This Row],[Superficie]],0)</f>
        <v>0</v>
      </c>
      <c r="AV63" s="916">
        <f>IF(Económico!$F$4=0,0,Producción_Ganadera[[#This Row],[Centro de Costo]])</f>
        <v>0</v>
      </c>
    </row>
    <row r="64" spans="1:48" x14ac:dyDescent="0.25">
      <c r="A64" s="86"/>
      <c r="B64" s="376"/>
      <c r="C64" s="86"/>
      <c r="D64" s="478"/>
      <c r="E64" s="522"/>
      <c r="F64" s="869" t="str">
        <f t="shared" si="2"/>
        <v>2018-2019</v>
      </c>
      <c r="G64" s="491" t="str">
        <f t="shared" si="4"/>
        <v>Salida Traslados</v>
      </c>
      <c r="H64" s="491"/>
      <c r="I64" s="491"/>
      <c r="J64" s="549"/>
      <c r="K64" s="491"/>
      <c r="L64" s="520"/>
      <c r="M6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6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64" s="611"/>
      <c r="P64" s="484"/>
      <c r="Q64" s="875">
        <f>IF(ISNUMBER(Producción_Ganadera[[#This Row],[Cabezas]])=TRUE,Producción_Ganadera[[#This Row],[Cabezas]]*Producción_Ganadera[[#This Row],[Cantidad]],Producción_Ganadera[[#This Row],[Cantidad]])</f>
        <v>0</v>
      </c>
      <c r="R64" s="482"/>
      <c r="S64" s="552"/>
      <c r="T64" s="553"/>
      <c r="U6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64" s="881">
        <f>IFERROR(Producción_Ganadera[[#This Row],[Económico $Corrientes]]/Producción_Ganadera[[#This Row],[Indexación Económico]],0)</f>
        <v>0</v>
      </c>
      <c r="W6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6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64" s="881">
        <f>IFERROR(Producción_Ganadera[[#This Row],[Financiero $Corrientes]]/Producción_Ganadera[[#This Row],[Indexación Financiero]],0)</f>
        <v>0</v>
      </c>
      <c r="Z6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6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64" s="885">
        <f>IFERROR(Producción_Ganadera[[#This Row],[Intereses $Corrientes]]/Producción_Ganadera[[#This Row],[Indexación Financiero]],0)</f>
        <v>0</v>
      </c>
      <c r="AC6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64" s="915" t="str">
        <f>IFERROR(INDEX(Produccion_Ganadera_Cuentas[],MATCH(Producción_Ganadera[[#This Row],[Cuenta Contable]],Produccion_Ganadera_Cuentas[Cuenta Contable],0),2),0)</f>
        <v>Mov. Hacienda</v>
      </c>
      <c r="AE64" s="916">
        <f>IF(Producción_Ganadera[[#This Row],[Mov. Stock]]="(+)",Producción_Ganadera[[#This Row],[Cabezas]],IF(Producción_Ganadera[[#This Row],[Mov. Stock]]="(-)",-Producción_Ganadera[[#This Row],[Cabezas]],0))</f>
        <v>0</v>
      </c>
      <c r="AF64" s="917" t="str">
        <f>IFERROR(INDEX(Produccion_Ganadera_Cuentas[],MATCH(Producción_Ganadera[[#This Row],[Cuenta Contable]],Produccion_Ganadera_Cuentas[Cuenta Contable],0),5),0)</f>
        <v>(-)</v>
      </c>
      <c r="AG64" s="918" t="str">
        <f>IF(Producción_Ganadera[[#This Row],[Cuenta Contable]]=Configuración!$AC$9,"Si","No")</f>
        <v>No</v>
      </c>
      <c r="AH64" s="887" t="str">
        <f>IFERROR(INDEX(Tabla9[],MATCH(Producción_Ganadera[[#This Row],[Movimiento]],Tabla9[Movimientos],0),2),0)</f>
        <v>No</v>
      </c>
      <c r="AI64" s="888">
        <f>IFERROR(INDEX(Tabla9[],MATCH(Producción_Ganadera[[#This Row],[Movimiento]],Tabla9[Movimientos],0),3),0)</f>
        <v>0</v>
      </c>
      <c r="AJ64" s="885">
        <f>IF(Producción_Ganadera[[#This Row],[Fecha Económico]]=0,0,MONTH(Producción_Ganadera[[#This Row],[Fecha Económico]]))</f>
        <v>0</v>
      </c>
      <c r="AK64" s="885">
        <f>IF(Producción_Ganadera[[#This Row],[Fecha Económico]]=0,0,YEAR(Producción_Ganadera[[#This Row],[Fecha Económico]]))</f>
        <v>0</v>
      </c>
      <c r="AL64" s="889">
        <f>SUMPRODUCT((Producción_Ganadera[[#This Row],[Mes Económico]]=Tipo_Cambio[Mes])*(Producción_Ganadera[[#This Row],[Año Económico]]=Tipo_Cambio[Año])*(Tipo_Cambio[$/U$S]))</f>
        <v>0</v>
      </c>
      <c r="AM64" s="889">
        <f>SUMPRODUCT((Producción_Ganadera[[#This Row],[Mes Económico]]=Tipo_Cambio[Mes])*(Producción_Ganadera[[#This Row],[Año Económico]]=Tipo_Cambio[Año])*(Tipo_Cambio[Actualización]))</f>
        <v>0</v>
      </c>
      <c r="AN64" s="885">
        <f>IF(ISNUMBER(Producción_Ganadera[[#This Row],[Fecha Financiero]])=TRUE,MONTH(Producción_Ganadera[[#This Row],[Fecha Financiero]]),0)</f>
        <v>0</v>
      </c>
      <c r="AO64" s="885">
        <f>IF(ISNUMBER(Producción_Ganadera[[#This Row],[Fecha Financiero]])=TRUE,YEAR(Producción_Ganadera[[#This Row],[Fecha Financiero]]),0)</f>
        <v>0</v>
      </c>
      <c r="AP64" s="889">
        <f>SUMPRODUCT((Producción_Ganadera[[#This Row],[Mes Financiero]]=Tipo_Cambio[Mes])*(Producción_Ganadera[[#This Row],[Año Financiero]]=Tipo_Cambio[Año])*(Tipo_Cambio[$/U$S]))</f>
        <v>0</v>
      </c>
      <c r="AQ64" s="889">
        <f>SUMPRODUCT((Producción_Ganadera[[#This Row],[Mes Financiero]]=Tipo_Cambio[Mes])*(Producción_Ganadera[[#This Row],[Año Financiero]]=Tipo_Cambio[Año])*(Tipo_Cambio[Actualización]))</f>
        <v>0</v>
      </c>
      <c r="AR64" s="919">
        <f>SUMPRODUCT((Producción_Ganadera[[#This Row],[Centro de Costo]]=Tabla19[Centro de Costo])*(Tabla19[Superficie])*(Producción_Ganadera[[#This Row],[Campaña]]=Tabla19[Campaña]))</f>
        <v>0</v>
      </c>
      <c r="AS64" s="918">
        <f>IFERROR(Producción_Ganadera[[#This Row],[Económico $Corrientes]]/Producción_Ganadera[[#This Row],[Superficie]],0)</f>
        <v>0</v>
      </c>
      <c r="AT64" s="918">
        <f>IFERROR(Producción_Ganadera[[#This Row],[Económico $Constantes]]/Producción_Ganadera[[#This Row],[Superficie]],0)</f>
        <v>0</v>
      </c>
      <c r="AU64" s="918">
        <f>IFERROR(Producción_Ganadera[[#This Row],[Económico U$S Dólares]]/Producción_Ganadera[[#This Row],[Superficie]],0)</f>
        <v>0</v>
      </c>
      <c r="AV64" s="916">
        <f>IF(Económico!$F$4=0,0,Producción_Ganadera[[#This Row],[Centro de Costo]])</f>
        <v>0</v>
      </c>
    </row>
    <row r="65" spans="1:48" ht="15.75" thickBot="1" x14ac:dyDescent="0.3">
      <c r="A65" s="86"/>
      <c r="B65" s="373" t="s">
        <v>101</v>
      </c>
      <c r="C65" s="86"/>
      <c r="D65" s="478"/>
      <c r="E65" s="522"/>
      <c r="F65" s="869" t="str">
        <f t="shared" si="2"/>
        <v>2018-2019</v>
      </c>
      <c r="G65" s="491" t="str">
        <f t="shared" si="4"/>
        <v>Salida Traslados</v>
      </c>
      <c r="H65" s="491"/>
      <c r="I65" s="491"/>
      <c r="J65" s="549"/>
      <c r="K65" s="491"/>
      <c r="L65" s="520"/>
      <c r="M6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6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65" s="611"/>
      <c r="P65" s="484"/>
      <c r="Q65" s="875">
        <f>IF(ISNUMBER(Producción_Ganadera[[#This Row],[Cabezas]])=TRUE,Producción_Ganadera[[#This Row],[Cabezas]]*Producción_Ganadera[[#This Row],[Cantidad]],Producción_Ganadera[[#This Row],[Cantidad]])</f>
        <v>0</v>
      </c>
      <c r="R65" s="482"/>
      <c r="S65" s="552"/>
      <c r="T65" s="553"/>
      <c r="U6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65" s="881">
        <f>IFERROR(Producción_Ganadera[[#This Row],[Económico $Corrientes]]/Producción_Ganadera[[#This Row],[Indexación Económico]],0)</f>
        <v>0</v>
      </c>
      <c r="W6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6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65" s="881">
        <f>IFERROR(Producción_Ganadera[[#This Row],[Financiero $Corrientes]]/Producción_Ganadera[[#This Row],[Indexación Financiero]],0)</f>
        <v>0</v>
      </c>
      <c r="Z6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6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65" s="885">
        <f>IFERROR(Producción_Ganadera[[#This Row],[Intereses $Corrientes]]/Producción_Ganadera[[#This Row],[Indexación Financiero]],0)</f>
        <v>0</v>
      </c>
      <c r="AC6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65" s="915" t="str">
        <f>IFERROR(INDEX(Produccion_Ganadera_Cuentas[],MATCH(Producción_Ganadera[[#This Row],[Cuenta Contable]],Produccion_Ganadera_Cuentas[Cuenta Contable],0),2),0)</f>
        <v>Mov. Hacienda</v>
      </c>
      <c r="AE65" s="916">
        <f>IF(Producción_Ganadera[[#This Row],[Mov. Stock]]="(+)",Producción_Ganadera[[#This Row],[Cabezas]],IF(Producción_Ganadera[[#This Row],[Mov. Stock]]="(-)",-Producción_Ganadera[[#This Row],[Cabezas]],0))</f>
        <v>0</v>
      </c>
      <c r="AF65" s="917" t="str">
        <f>IFERROR(INDEX(Produccion_Ganadera_Cuentas[],MATCH(Producción_Ganadera[[#This Row],[Cuenta Contable]],Produccion_Ganadera_Cuentas[Cuenta Contable],0),5),0)</f>
        <v>(-)</v>
      </c>
      <c r="AG65" s="918" t="str">
        <f>IF(Producción_Ganadera[[#This Row],[Cuenta Contable]]=Configuración!$AC$9,"Si","No")</f>
        <v>No</v>
      </c>
      <c r="AH65" s="887" t="str">
        <f>IFERROR(INDEX(Tabla9[],MATCH(Producción_Ganadera[[#This Row],[Movimiento]],Tabla9[Movimientos],0),2),0)</f>
        <v>No</v>
      </c>
      <c r="AI65" s="888">
        <f>IFERROR(INDEX(Tabla9[],MATCH(Producción_Ganadera[[#This Row],[Movimiento]],Tabla9[Movimientos],0),3),0)</f>
        <v>0</v>
      </c>
      <c r="AJ65" s="885">
        <f>IF(Producción_Ganadera[[#This Row],[Fecha Económico]]=0,0,MONTH(Producción_Ganadera[[#This Row],[Fecha Económico]]))</f>
        <v>0</v>
      </c>
      <c r="AK65" s="885">
        <f>IF(Producción_Ganadera[[#This Row],[Fecha Económico]]=0,0,YEAR(Producción_Ganadera[[#This Row],[Fecha Económico]]))</f>
        <v>0</v>
      </c>
      <c r="AL65" s="889">
        <f>SUMPRODUCT((Producción_Ganadera[[#This Row],[Mes Económico]]=Tipo_Cambio[Mes])*(Producción_Ganadera[[#This Row],[Año Económico]]=Tipo_Cambio[Año])*(Tipo_Cambio[$/U$S]))</f>
        <v>0</v>
      </c>
      <c r="AM65" s="889">
        <f>SUMPRODUCT((Producción_Ganadera[[#This Row],[Mes Económico]]=Tipo_Cambio[Mes])*(Producción_Ganadera[[#This Row],[Año Económico]]=Tipo_Cambio[Año])*(Tipo_Cambio[Actualización]))</f>
        <v>0</v>
      </c>
      <c r="AN65" s="885">
        <f>IF(ISNUMBER(Producción_Ganadera[[#This Row],[Fecha Financiero]])=TRUE,MONTH(Producción_Ganadera[[#This Row],[Fecha Financiero]]),0)</f>
        <v>0</v>
      </c>
      <c r="AO65" s="885">
        <f>IF(ISNUMBER(Producción_Ganadera[[#This Row],[Fecha Financiero]])=TRUE,YEAR(Producción_Ganadera[[#This Row],[Fecha Financiero]]),0)</f>
        <v>0</v>
      </c>
      <c r="AP65" s="889">
        <f>SUMPRODUCT((Producción_Ganadera[[#This Row],[Mes Financiero]]=Tipo_Cambio[Mes])*(Producción_Ganadera[[#This Row],[Año Financiero]]=Tipo_Cambio[Año])*(Tipo_Cambio[$/U$S]))</f>
        <v>0</v>
      </c>
      <c r="AQ65" s="889">
        <f>SUMPRODUCT((Producción_Ganadera[[#This Row],[Mes Financiero]]=Tipo_Cambio[Mes])*(Producción_Ganadera[[#This Row],[Año Financiero]]=Tipo_Cambio[Año])*(Tipo_Cambio[Actualización]))</f>
        <v>0</v>
      </c>
      <c r="AR65" s="919">
        <f>SUMPRODUCT((Producción_Ganadera[[#This Row],[Centro de Costo]]=Tabla19[Centro de Costo])*(Tabla19[Superficie])*(Producción_Ganadera[[#This Row],[Campaña]]=Tabla19[Campaña]))</f>
        <v>0</v>
      </c>
      <c r="AS65" s="918">
        <f>IFERROR(Producción_Ganadera[[#This Row],[Económico $Corrientes]]/Producción_Ganadera[[#This Row],[Superficie]],0)</f>
        <v>0</v>
      </c>
      <c r="AT65" s="918">
        <f>IFERROR(Producción_Ganadera[[#This Row],[Económico $Constantes]]/Producción_Ganadera[[#This Row],[Superficie]],0)</f>
        <v>0</v>
      </c>
      <c r="AU65" s="918">
        <f>IFERROR(Producción_Ganadera[[#This Row],[Económico U$S Dólares]]/Producción_Ganadera[[#This Row],[Superficie]],0)</f>
        <v>0</v>
      </c>
      <c r="AV65" s="916">
        <f>IF(Económico!$F$4=0,0,Producción_Ganadera[[#This Row],[Centro de Costo]])</f>
        <v>0</v>
      </c>
    </row>
    <row r="66" spans="1:48" ht="15.75" customHeight="1" thickTop="1" x14ac:dyDescent="0.25">
      <c r="A66" s="86"/>
      <c r="B66" s="1136" t="s">
        <v>143</v>
      </c>
      <c r="C66" s="86"/>
      <c r="D66" s="614"/>
      <c r="E66" s="615"/>
      <c r="F66" s="872" t="str">
        <f t="shared" si="2"/>
        <v>2018-2019</v>
      </c>
      <c r="G66" s="616" t="str">
        <f t="shared" ref="G66:G73" si="5">GAN_Nacimientos</f>
        <v>Entrada Nacimientos</v>
      </c>
      <c r="H66" s="616"/>
      <c r="I66" s="616" t="s">
        <v>131</v>
      </c>
      <c r="J66" s="617"/>
      <c r="K66" s="616"/>
      <c r="L66" s="618"/>
      <c r="M66" s="61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66" s="871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66" s="625"/>
      <c r="P66" s="616"/>
      <c r="Q66" s="878">
        <f>IF(ISNUMBER(Producción_Ganadera[[#This Row],[Cabezas]])=TRUE,Producción_Ganadera[[#This Row],[Cabezas]]*Producción_Ganadera[[#This Row],[Cantidad]],Producción_Ganadera[[#This Row],[Cantidad]])</f>
        <v>0</v>
      </c>
      <c r="R66" s="616"/>
      <c r="S66" s="623"/>
      <c r="T66" s="624"/>
      <c r="U66" s="927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66" s="928">
        <f>IFERROR(Producción_Ganadera[[#This Row],[Económico $Corrientes]]/Producción_Ganadera[[#This Row],[Indexación Económico]],0)</f>
        <v>0</v>
      </c>
      <c r="W66" s="929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66" s="927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66" s="928">
        <f>IFERROR(Producción_Ganadera[[#This Row],[Financiero $Corrientes]]/Producción_Ganadera[[#This Row],[Indexación Financiero]],0)</f>
        <v>0</v>
      </c>
      <c r="Z66" s="930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66" s="93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66" s="932">
        <f>IFERROR(Producción_Ganadera[[#This Row],[Intereses $Corrientes]]/Producción_Ganadera[[#This Row],[Indexación Financiero]],0)</f>
        <v>0</v>
      </c>
      <c r="AC66" s="93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66" s="933" t="str">
        <f>IFERROR(INDEX(Produccion_Ganadera_Cuentas[],MATCH(Producción_Ganadera[[#This Row],[Cuenta Contable]],Produccion_Ganadera_Cuentas[Cuenta Contable],0),2),0)</f>
        <v>Mov. Hacienda</v>
      </c>
      <c r="AE66" s="934">
        <f>IF(Producción_Ganadera[[#This Row],[Mov. Stock]]="(+)",Producción_Ganadera[[#This Row],[Cabezas]],IF(Producción_Ganadera[[#This Row],[Mov. Stock]]="(-)",-Producción_Ganadera[[#This Row],[Cabezas]],0))</f>
        <v>0</v>
      </c>
      <c r="AF66" s="935" t="str">
        <f>IFERROR(INDEX(Produccion_Ganadera_Cuentas[],MATCH(Producción_Ganadera[[#This Row],[Cuenta Contable]],Produccion_Ganadera_Cuentas[Cuenta Contable],0),5),0)</f>
        <v>(+)</v>
      </c>
      <c r="AG66" s="936" t="str">
        <f>IF(Producción_Ganadera[[#This Row],[Cuenta Contable]]=Configuración!$AC$9,"Si","No")</f>
        <v>No</v>
      </c>
      <c r="AH66" s="937" t="str">
        <f>IFERROR(INDEX(Tabla9[],MATCH(Producción_Ganadera[[#This Row],[Movimiento]],Tabla9[Movimientos],0),2),0)</f>
        <v>No</v>
      </c>
      <c r="AI66" s="938">
        <f>IFERROR(INDEX(Tabla9[],MATCH(Producción_Ganadera[[#This Row],[Movimiento]],Tabla9[Movimientos],0),3),0)</f>
        <v>0</v>
      </c>
      <c r="AJ66" s="932">
        <f>IF(Producción_Ganadera[[#This Row],[Fecha Económico]]=0,0,MONTH(Producción_Ganadera[[#This Row],[Fecha Económico]]))</f>
        <v>0</v>
      </c>
      <c r="AK66" s="932">
        <f>IF(Producción_Ganadera[[#This Row],[Fecha Económico]]=0,0,YEAR(Producción_Ganadera[[#This Row],[Fecha Económico]]))</f>
        <v>0</v>
      </c>
      <c r="AL66" s="939">
        <f>SUMPRODUCT((Producción_Ganadera[[#This Row],[Mes Económico]]=Tipo_Cambio[Mes])*(Producción_Ganadera[[#This Row],[Año Económico]]=Tipo_Cambio[Año])*(Tipo_Cambio[$/U$S]))</f>
        <v>0</v>
      </c>
      <c r="AM66" s="939">
        <f>SUMPRODUCT((Producción_Ganadera[[#This Row],[Mes Económico]]=Tipo_Cambio[Mes])*(Producción_Ganadera[[#This Row],[Año Económico]]=Tipo_Cambio[Año])*(Tipo_Cambio[Actualización]))</f>
        <v>0</v>
      </c>
      <c r="AN66" s="932">
        <f>IF(ISNUMBER(Producción_Ganadera[[#This Row],[Fecha Financiero]])=TRUE,MONTH(Producción_Ganadera[[#This Row],[Fecha Financiero]]),0)</f>
        <v>0</v>
      </c>
      <c r="AO66" s="932">
        <f>IF(ISNUMBER(Producción_Ganadera[[#This Row],[Fecha Financiero]])=TRUE,YEAR(Producción_Ganadera[[#This Row],[Fecha Financiero]]),0)</f>
        <v>0</v>
      </c>
      <c r="AP66" s="939">
        <f>SUMPRODUCT((Producción_Ganadera[[#This Row],[Mes Financiero]]=Tipo_Cambio[Mes])*(Producción_Ganadera[[#This Row],[Año Financiero]]=Tipo_Cambio[Año])*(Tipo_Cambio[$/U$S]))</f>
        <v>0</v>
      </c>
      <c r="AQ66" s="939">
        <f>SUMPRODUCT((Producción_Ganadera[[#This Row],[Mes Financiero]]=Tipo_Cambio[Mes])*(Producción_Ganadera[[#This Row],[Año Financiero]]=Tipo_Cambio[Año])*(Tipo_Cambio[Actualización]))</f>
        <v>0</v>
      </c>
      <c r="AR66" s="940">
        <f>SUMPRODUCT((Producción_Ganadera[[#This Row],[Centro de Costo]]=Tabla19[Centro de Costo])*(Tabla19[Superficie])*(Producción_Ganadera[[#This Row],[Campaña]]=Tabla19[Campaña]))</f>
        <v>0</v>
      </c>
      <c r="AS66" s="936">
        <f>IFERROR(Producción_Ganadera[[#This Row],[Económico $Corrientes]]/Producción_Ganadera[[#This Row],[Superficie]],0)</f>
        <v>0</v>
      </c>
      <c r="AT66" s="936">
        <f>IFERROR(Producción_Ganadera[[#This Row],[Económico $Constantes]]/Producción_Ganadera[[#This Row],[Superficie]],0)</f>
        <v>0</v>
      </c>
      <c r="AU66" s="936">
        <f>IFERROR(Producción_Ganadera[[#This Row],[Económico U$S Dólares]]/Producción_Ganadera[[#This Row],[Superficie]],0)</f>
        <v>0</v>
      </c>
      <c r="AV66" s="934">
        <f>IF(Económico!$F$4=0,0,Producción_Ganadera[[#This Row],[Centro de Costo]])</f>
        <v>0</v>
      </c>
    </row>
    <row r="67" spans="1:48" x14ac:dyDescent="0.25">
      <c r="A67" s="86"/>
      <c r="B67" s="1136"/>
      <c r="C67" s="86"/>
      <c r="D67" s="528"/>
      <c r="E67" s="522"/>
      <c r="F67" s="866" t="str">
        <f t="shared" si="2"/>
        <v>2018-2019</v>
      </c>
      <c r="G67" s="481" t="str">
        <f t="shared" si="5"/>
        <v>Entrada Nacimientos</v>
      </c>
      <c r="H67" s="481"/>
      <c r="I67" s="481" t="s">
        <v>130</v>
      </c>
      <c r="J67" s="549"/>
      <c r="K67" s="481"/>
      <c r="L67" s="520"/>
      <c r="M6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6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67" s="563"/>
      <c r="P67" s="491"/>
      <c r="Q67" s="875">
        <f>IF(ISNUMBER(Producción_Ganadera[[#This Row],[Cabezas]])=TRUE,Producción_Ganadera[[#This Row],[Cabezas]]*Producción_Ganadera[[#This Row],[Cantidad]],Producción_Ganadera[[#This Row],[Cantidad]])</f>
        <v>0</v>
      </c>
      <c r="R67" s="491"/>
      <c r="S67" s="552"/>
      <c r="T67" s="553"/>
      <c r="U6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67" s="913">
        <f>IFERROR(Producción_Ganadera[[#This Row],[Económico $Corrientes]]/Producción_Ganadera[[#This Row],[Indexación Económico]],0)</f>
        <v>0</v>
      </c>
      <c r="W6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6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67" s="913">
        <f>IFERROR(Producción_Ganadera[[#This Row],[Financiero $Corrientes]]/Producción_Ganadera[[#This Row],[Indexación Financiero]],0)</f>
        <v>0</v>
      </c>
      <c r="Z6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6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67" s="885">
        <f>IFERROR(Producción_Ganadera[[#This Row],[Intereses $Corrientes]]/Producción_Ganadera[[#This Row],[Indexación Financiero]],0)</f>
        <v>0</v>
      </c>
      <c r="AC6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67" s="915" t="str">
        <f>IFERROR(INDEX(Produccion_Ganadera_Cuentas[],MATCH(Producción_Ganadera[[#This Row],[Cuenta Contable]],Produccion_Ganadera_Cuentas[Cuenta Contable],0),2),0)</f>
        <v>Mov. Hacienda</v>
      </c>
      <c r="AE67" s="916">
        <f>IF(Producción_Ganadera[[#This Row],[Mov. Stock]]="(+)",Producción_Ganadera[[#This Row],[Cabezas]],IF(Producción_Ganadera[[#This Row],[Mov. Stock]]="(-)",-Producción_Ganadera[[#This Row],[Cabezas]],0))</f>
        <v>0</v>
      </c>
      <c r="AF67" s="917" t="str">
        <f>IFERROR(INDEX(Produccion_Ganadera_Cuentas[],MATCH(Producción_Ganadera[[#This Row],[Cuenta Contable]],Produccion_Ganadera_Cuentas[Cuenta Contable],0),5),0)</f>
        <v>(+)</v>
      </c>
      <c r="AG67" s="918" t="str">
        <f>IF(Producción_Ganadera[[#This Row],[Cuenta Contable]]=Configuración!$AC$9,"Si","No")</f>
        <v>No</v>
      </c>
      <c r="AH67" s="887" t="str">
        <f>IFERROR(INDEX(Tabla9[],MATCH(Producción_Ganadera[[#This Row],[Movimiento]],Tabla9[Movimientos],0),2),0)</f>
        <v>No</v>
      </c>
      <c r="AI67" s="888">
        <f>IFERROR(INDEX(Tabla9[],MATCH(Producción_Ganadera[[#This Row],[Movimiento]],Tabla9[Movimientos],0),3),0)</f>
        <v>0</v>
      </c>
      <c r="AJ67" s="890">
        <f>IF(Producción_Ganadera[[#This Row],[Fecha Económico]]=0,0,MONTH(Producción_Ganadera[[#This Row],[Fecha Económico]]))</f>
        <v>0</v>
      </c>
      <c r="AK67" s="890">
        <f>IF(Producción_Ganadera[[#This Row],[Fecha Económico]]=0,0,YEAR(Producción_Ganadera[[#This Row],[Fecha Económico]]))</f>
        <v>0</v>
      </c>
      <c r="AL67" s="891">
        <f>SUMPRODUCT((Producción_Ganadera[[#This Row],[Mes Económico]]=Tipo_Cambio[Mes])*(Producción_Ganadera[[#This Row],[Año Económico]]=Tipo_Cambio[Año])*(Tipo_Cambio[$/U$S]))</f>
        <v>0</v>
      </c>
      <c r="AM67" s="891">
        <f>SUMPRODUCT((Producción_Ganadera[[#This Row],[Mes Económico]]=Tipo_Cambio[Mes])*(Producción_Ganadera[[#This Row],[Año Económico]]=Tipo_Cambio[Año])*(Tipo_Cambio[Actualización]))</f>
        <v>0</v>
      </c>
      <c r="AN67" s="890">
        <f>IF(ISNUMBER(Producción_Ganadera[[#This Row],[Fecha Financiero]])=TRUE,MONTH(Producción_Ganadera[[#This Row],[Fecha Financiero]]),0)</f>
        <v>0</v>
      </c>
      <c r="AO67" s="890">
        <f>IF(ISNUMBER(Producción_Ganadera[[#This Row],[Fecha Financiero]])=TRUE,YEAR(Producción_Ganadera[[#This Row],[Fecha Financiero]]),0)</f>
        <v>0</v>
      </c>
      <c r="AP67" s="891">
        <f>SUMPRODUCT((Producción_Ganadera[[#This Row],[Mes Financiero]]=Tipo_Cambio[Mes])*(Producción_Ganadera[[#This Row],[Año Financiero]]=Tipo_Cambio[Año])*(Tipo_Cambio[$/U$S]))</f>
        <v>0</v>
      </c>
      <c r="AQ67" s="891">
        <f>SUMPRODUCT((Producción_Ganadera[[#This Row],[Mes Financiero]]=Tipo_Cambio[Mes])*(Producción_Ganadera[[#This Row],[Año Financiero]]=Tipo_Cambio[Año])*(Tipo_Cambio[Actualización]))</f>
        <v>0</v>
      </c>
      <c r="AR67" s="919">
        <f>SUMPRODUCT((Producción_Ganadera[[#This Row],[Centro de Costo]]=Tabla19[Centro de Costo])*(Tabla19[Superficie])*(Producción_Ganadera[[#This Row],[Campaña]]=Tabla19[Campaña]))</f>
        <v>0</v>
      </c>
      <c r="AS67" s="920">
        <f>IFERROR(Producción_Ganadera[[#This Row],[Económico $Corrientes]]/Producción_Ganadera[[#This Row],[Superficie]],0)</f>
        <v>0</v>
      </c>
      <c r="AT67" s="920">
        <f>IFERROR(Producción_Ganadera[[#This Row],[Económico $Constantes]]/Producción_Ganadera[[#This Row],[Superficie]],0)</f>
        <v>0</v>
      </c>
      <c r="AU67" s="920">
        <f>IFERROR(Producción_Ganadera[[#This Row],[Económico U$S Dólares]]/Producción_Ganadera[[#This Row],[Superficie]],0)</f>
        <v>0</v>
      </c>
      <c r="AV67" s="916">
        <f>IF(Económico!$F$4=0,0,Producción_Ganadera[[#This Row],[Centro de Costo]])</f>
        <v>0</v>
      </c>
    </row>
    <row r="68" spans="1:48" x14ac:dyDescent="0.25">
      <c r="A68" s="86"/>
      <c r="B68" s="1136"/>
      <c r="C68" s="86"/>
      <c r="D68" s="528"/>
      <c r="E68" s="522"/>
      <c r="F68" s="866" t="str">
        <f t="shared" si="2"/>
        <v>2018-2019</v>
      </c>
      <c r="G68" s="481" t="str">
        <f t="shared" si="5"/>
        <v>Entrada Nacimientos</v>
      </c>
      <c r="H68" s="481"/>
      <c r="I68" s="481" t="s">
        <v>131</v>
      </c>
      <c r="J68" s="549"/>
      <c r="K68" s="481"/>
      <c r="L68" s="520"/>
      <c r="M6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6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68" s="563"/>
      <c r="P68" s="491"/>
      <c r="Q68" s="875">
        <f>IF(ISNUMBER(Producción_Ganadera[[#This Row],[Cabezas]])=TRUE,Producción_Ganadera[[#This Row],[Cabezas]]*Producción_Ganadera[[#This Row],[Cantidad]],Producción_Ganadera[[#This Row],[Cantidad]])</f>
        <v>0</v>
      </c>
      <c r="R68" s="491"/>
      <c r="S68" s="552"/>
      <c r="T68" s="553"/>
      <c r="U6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68" s="913">
        <f>IFERROR(Producción_Ganadera[[#This Row],[Económico $Corrientes]]/Producción_Ganadera[[#This Row],[Indexación Económico]],0)</f>
        <v>0</v>
      </c>
      <c r="W6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6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68" s="913">
        <f>IFERROR(Producción_Ganadera[[#This Row],[Financiero $Corrientes]]/Producción_Ganadera[[#This Row],[Indexación Financiero]],0)</f>
        <v>0</v>
      </c>
      <c r="Z6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6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68" s="885">
        <f>IFERROR(Producción_Ganadera[[#This Row],[Intereses $Corrientes]]/Producción_Ganadera[[#This Row],[Indexación Financiero]],0)</f>
        <v>0</v>
      </c>
      <c r="AC6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68" s="915" t="str">
        <f>IFERROR(INDEX(Produccion_Ganadera_Cuentas[],MATCH(Producción_Ganadera[[#This Row],[Cuenta Contable]],Produccion_Ganadera_Cuentas[Cuenta Contable],0),2),0)</f>
        <v>Mov. Hacienda</v>
      </c>
      <c r="AE68" s="916">
        <f>IF(Producción_Ganadera[[#This Row],[Mov. Stock]]="(+)",Producción_Ganadera[[#This Row],[Cabezas]],IF(Producción_Ganadera[[#This Row],[Mov. Stock]]="(-)",-Producción_Ganadera[[#This Row],[Cabezas]],0))</f>
        <v>0</v>
      </c>
      <c r="AF68" s="917" t="str">
        <f>IFERROR(INDEX(Produccion_Ganadera_Cuentas[],MATCH(Producción_Ganadera[[#This Row],[Cuenta Contable]],Produccion_Ganadera_Cuentas[Cuenta Contable],0),5),0)</f>
        <v>(+)</v>
      </c>
      <c r="AG68" s="918" t="str">
        <f>IF(Producción_Ganadera[[#This Row],[Cuenta Contable]]=Configuración!$AC$9,"Si","No")</f>
        <v>No</v>
      </c>
      <c r="AH68" s="887" t="str">
        <f>IFERROR(INDEX(Tabla9[],MATCH(Producción_Ganadera[[#This Row],[Movimiento]],Tabla9[Movimientos],0),2),0)</f>
        <v>No</v>
      </c>
      <c r="AI68" s="888">
        <f>IFERROR(INDEX(Tabla9[],MATCH(Producción_Ganadera[[#This Row],[Movimiento]],Tabla9[Movimientos],0),3),0)</f>
        <v>0</v>
      </c>
      <c r="AJ68" s="890">
        <f>IF(Producción_Ganadera[[#This Row],[Fecha Económico]]=0,0,MONTH(Producción_Ganadera[[#This Row],[Fecha Económico]]))</f>
        <v>0</v>
      </c>
      <c r="AK68" s="890">
        <f>IF(Producción_Ganadera[[#This Row],[Fecha Económico]]=0,0,YEAR(Producción_Ganadera[[#This Row],[Fecha Económico]]))</f>
        <v>0</v>
      </c>
      <c r="AL68" s="891">
        <f>SUMPRODUCT((Producción_Ganadera[[#This Row],[Mes Económico]]=Tipo_Cambio[Mes])*(Producción_Ganadera[[#This Row],[Año Económico]]=Tipo_Cambio[Año])*(Tipo_Cambio[$/U$S]))</f>
        <v>0</v>
      </c>
      <c r="AM68" s="891">
        <f>SUMPRODUCT((Producción_Ganadera[[#This Row],[Mes Económico]]=Tipo_Cambio[Mes])*(Producción_Ganadera[[#This Row],[Año Económico]]=Tipo_Cambio[Año])*(Tipo_Cambio[Actualización]))</f>
        <v>0</v>
      </c>
      <c r="AN68" s="890">
        <f>IF(ISNUMBER(Producción_Ganadera[[#This Row],[Fecha Financiero]])=TRUE,MONTH(Producción_Ganadera[[#This Row],[Fecha Financiero]]),0)</f>
        <v>0</v>
      </c>
      <c r="AO68" s="890">
        <f>IF(ISNUMBER(Producción_Ganadera[[#This Row],[Fecha Financiero]])=TRUE,YEAR(Producción_Ganadera[[#This Row],[Fecha Financiero]]),0)</f>
        <v>0</v>
      </c>
      <c r="AP68" s="891">
        <f>SUMPRODUCT((Producción_Ganadera[[#This Row],[Mes Financiero]]=Tipo_Cambio[Mes])*(Producción_Ganadera[[#This Row],[Año Financiero]]=Tipo_Cambio[Año])*(Tipo_Cambio[$/U$S]))</f>
        <v>0</v>
      </c>
      <c r="AQ68" s="891">
        <f>SUMPRODUCT((Producción_Ganadera[[#This Row],[Mes Financiero]]=Tipo_Cambio[Mes])*(Producción_Ganadera[[#This Row],[Año Financiero]]=Tipo_Cambio[Año])*(Tipo_Cambio[Actualización]))</f>
        <v>0</v>
      </c>
      <c r="AR68" s="919">
        <f>SUMPRODUCT((Producción_Ganadera[[#This Row],[Centro de Costo]]=Tabla19[Centro de Costo])*(Tabla19[Superficie])*(Producción_Ganadera[[#This Row],[Campaña]]=Tabla19[Campaña]))</f>
        <v>0</v>
      </c>
      <c r="AS68" s="920">
        <f>IFERROR(Producción_Ganadera[[#This Row],[Económico $Corrientes]]/Producción_Ganadera[[#This Row],[Superficie]],0)</f>
        <v>0</v>
      </c>
      <c r="AT68" s="920">
        <f>IFERROR(Producción_Ganadera[[#This Row],[Económico $Constantes]]/Producción_Ganadera[[#This Row],[Superficie]],0)</f>
        <v>0</v>
      </c>
      <c r="AU68" s="920">
        <f>IFERROR(Producción_Ganadera[[#This Row],[Económico U$S Dólares]]/Producción_Ganadera[[#This Row],[Superficie]],0)</f>
        <v>0</v>
      </c>
      <c r="AV68" s="916">
        <f>IF(Económico!$F$4=0,0,Producción_Ganadera[[#This Row],[Centro de Costo]])</f>
        <v>0</v>
      </c>
    </row>
    <row r="69" spans="1:48" x14ac:dyDescent="0.25">
      <c r="A69" s="86"/>
      <c r="B69" s="376"/>
      <c r="C69" s="86"/>
      <c r="D69" s="528"/>
      <c r="E69" s="522"/>
      <c r="F69" s="869" t="str">
        <f>Campaña_Actual</f>
        <v>2018-2019</v>
      </c>
      <c r="G69" s="481" t="str">
        <f t="shared" si="5"/>
        <v>Entrada Nacimientos</v>
      </c>
      <c r="H69" s="481"/>
      <c r="I69" s="481" t="s">
        <v>130</v>
      </c>
      <c r="J69" s="626"/>
      <c r="K69" s="481"/>
      <c r="L69" s="520"/>
      <c r="M6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69" s="874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69" s="611"/>
      <c r="P69" s="484"/>
      <c r="Q69" s="879">
        <f>IF(ISNUMBER(Producción_Ganadera[[#This Row],[Cabezas]])=TRUE,Producción_Ganadera[[#This Row],[Cabezas]]*Producción_Ganadera[[#This Row],[Cantidad]],Producción_Ganadera[[#This Row],[Cantidad]])</f>
        <v>0</v>
      </c>
      <c r="R69" s="482"/>
      <c r="S69" s="552"/>
      <c r="T69" s="553"/>
      <c r="U6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69" s="913">
        <f>IFERROR(Producción_Ganadera[[#This Row],[Económico $Corrientes]]/Producción_Ganadera[[#This Row],[Indexación Económico]],0)</f>
        <v>0</v>
      </c>
      <c r="W6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6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69" s="913">
        <f>IFERROR(Producción_Ganadera[[#This Row],[Financiero $Corrientes]]/Producción_Ganadera[[#This Row],[Indexación Financiero]],0)</f>
        <v>0</v>
      </c>
      <c r="Z6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69" s="94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69" s="942">
        <f>IFERROR(Producción_Ganadera[[#This Row],[Intereses $Corrientes]]/Producción_Ganadera[[#This Row],[Indexación Financiero]],0)</f>
        <v>0</v>
      </c>
      <c r="AC69" s="94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69" s="943" t="str">
        <f>IFERROR(INDEX(Produccion_Ganadera_Cuentas[],MATCH(Producción_Ganadera[[#This Row],[Cuenta Contable]],Produccion_Ganadera_Cuentas[Cuenta Contable],0),2),0)</f>
        <v>Mov. Hacienda</v>
      </c>
      <c r="AE69" s="944">
        <f>IF(Producción_Ganadera[[#This Row],[Mov. Stock]]="(+)",Producción_Ganadera[[#This Row],[Cabezas]],IF(Producción_Ganadera[[#This Row],[Mov. Stock]]="(-)",-Producción_Ganadera[[#This Row],[Cabezas]],0))</f>
        <v>0</v>
      </c>
      <c r="AF69" s="945" t="str">
        <f>IFERROR(INDEX(Produccion_Ganadera_Cuentas[],MATCH(Producción_Ganadera[[#This Row],[Cuenta Contable]],Produccion_Ganadera_Cuentas[Cuenta Contable],0),5),0)</f>
        <v>(+)</v>
      </c>
      <c r="AG69" s="946" t="str">
        <f>IF(Producción_Ganadera[[#This Row],[Cuenta Contable]]=Configuración!$AC$9,"Si","No")</f>
        <v>No</v>
      </c>
      <c r="AH69" s="947" t="str">
        <f>IFERROR(INDEX(Tabla9[],MATCH(Producción_Ganadera[[#This Row],[Movimiento]],Tabla9[Movimientos],0),2),0)</f>
        <v>No</v>
      </c>
      <c r="AI69" s="948">
        <f>IFERROR(INDEX(Tabla9[],MATCH(Producción_Ganadera[[#This Row],[Movimiento]],Tabla9[Movimientos],0),3),0)</f>
        <v>0</v>
      </c>
      <c r="AJ69" s="890">
        <f>IF(Producción_Ganadera[[#This Row],[Fecha Económico]]=0,0,MONTH(Producción_Ganadera[[#This Row],[Fecha Económico]]))</f>
        <v>0</v>
      </c>
      <c r="AK69" s="890">
        <f>IF(Producción_Ganadera[[#This Row],[Fecha Económico]]=0,0,YEAR(Producción_Ganadera[[#This Row],[Fecha Económico]]))</f>
        <v>0</v>
      </c>
      <c r="AL69" s="891">
        <f>SUMPRODUCT((Producción_Ganadera[[#This Row],[Mes Económico]]=Tipo_Cambio[Mes])*(Producción_Ganadera[[#This Row],[Año Económico]]=Tipo_Cambio[Año])*(Tipo_Cambio[$/U$S]))</f>
        <v>0</v>
      </c>
      <c r="AM69" s="891">
        <f>SUMPRODUCT((Producción_Ganadera[[#This Row],[Mes Económico]]=Tipo_Cambio[Mes])*(Producción_Ganadera[[#This Row],[Año Económico]]=Tipo_Cambio[Año])*(Tipo_Cambio[Actualización]))</f>
        <v>0</v>
      </c>
      <c r="AN69" s="890">
        <f>IF(ISNUMBER(Producción_Ganadera[[#This Row],[Fecha Financiero]])=TRUE,MONTH(Producción_Ganadera[[#This Row],[Fecha Financiero]]),0)</f>
        <v>0</v>
      </c>
      <c r="AO69" s="890">
        <f>IF(ISNUMBER(Producción_Ganadera[[#This Row],[Fecha Financiero]])=TRUE,YEAR(Producción_Ganadera[[#This Row],[Fecha Financiero]]),0)</f>
        <v>0</v>
      </c>
      <c r="AP69" s="891">
        <f>SUMPRODUCT((Producción_Ganadera[[#This Row],[Mes Financiero]]=Tipo_Cambio[Mes])*(Producción_Ganadera[[#This Row],[Año Financiero]]=Tipo_Cambio[Año])*(Tipo_Cambio[$/U$S]))</f>
        <v>0</v>
      </c>
      <c r="AQ69" s="891">
        <f>SUMPRODUCT((Producción_Ganadera[[#This Row],[Mes Financiero]]=Tipo_Cambio[Mes])*(Producción_Ganadera[[#This Row],[Año Financiero]]=Tipo_Cambio[Año])*(Tipo_Cambio[Actualización]))</f>
        <v>0</v>
      </c>
      <c r="AR69" s="919">
        <f>SUMPRODUCT((Producción_Ganadera[[#This Row],[Centro de Costo]]=Tabla19[Centro de Costo])*(Tabla19[Superficie])*(Producción_Ganadera[[#This Row],[Campaña]]=Tabla19[Campaña]))</f>
        <v>0</v>
      </c>
      <c r="AS69" s="920">
        <f>IFERROR(Producción_Ganadera[[#This Row],[Económico $Corrientes]]/Producción_Ganadera[[#This Row],[Superficie]],0)</f>
        <v>0</v>
      </c>
      <c r="AT69" s="920">
        <f>IFERROR(Producción_Ganadera[[#This Row],[Económico $Constantes]]/Producción_Ganadera[[#This Row],[Superficie]],0)</f>
        <v>0</v>
      </c>
      <c r="AU69" s="920">
        <f>IFERROR(Producción_Ganadera[[#This Row],[Económico U$S Dólares]]/Producción_Ganadera[[#This Row],[Superficie]],0)</f>
        <v>0</v>
      </c>
      <c r="AV69" s="916">
        <f>IF(Económico!$F$4=0,0,Producción_Ganadera[[#This Row],[Centro de Costo]])</f>
        <v>0</v>
      </c>
    </row>
    <row r="70" spans="1:48" x14ac:dyDescent="0.25">
      <c r="A70" s="86"/>
      <c r="B70" s="376"/>
      <c r="C70" s="86"/>
      <c r="D70" s="528"/>
      <c r="E70" s="522"/>
      <c r="F70" s="869" t="str">
        <f>Campaña_Actual</f>
        <v>2018-2019</v>
      </c>
      <c r="G70" s="481" t="str">
        <f t="shared" si="5"/>
        <v>Entrada Nacimientos</v>
      </c>
      <c r="H70" s="481"/>
      <c r="I70" s="481" t="s">
        <v>131</v>
      </c>
      <c r="J70" s="626"/>
      <c r="K70" s="481"/>
      <c r="L70" s="520"/>
      <c r="M7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70" s="874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70" s="611"/>
      <c r="P70" s="484"/>
      <c r="Q70" s="879">
        <f>IF(ISNUMBER(Producción_Ganadera[[#This Row],[Cabezas]])=TRUE,Producción_Ganadera[[#This Row],[Cabezas]]*Producción_Ganadera[[#This Row],[Cantidad]],Producción_Ganadera[[#This Row],[Cantidad]])</f>
        <v>0</v>
      </c>
      <c r="R70" s="482"/>
      <c r="S70" s="552"/>
      <c r="T70" s="553"/>
      <c r="U7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70" s="913">
        <f>IFERROR(Producción_Ganadera[[#This Row],[Económico $Corrientes]]/Producción_Ganadera[[#This Row],[Indexación Económico]],0)</f>
        <v>0</v>
      </c>
      <c r="W7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7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70" s="913">
        <f>IFERROR(Producción_Ganadera[[#This Row],[Financiero $Corrientes]]/Producción_Ganadera[[#This Row],[Indexación Financiero]],0)</f>
        <v>0</v>
      </c>
      <c r="Z7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70" s="94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70" s="942">
        <f>IFERROR(Producción_Ganadera[[#This Row],[Intereses $Corrientes]]/Producción_Ganadera[[#This Row],[Indexación Financiero]],0)</f>
        <v>0</v>
      </c>
      <c r="AC70" s="94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70" s="943" t="str">
        <f>IFERROR(INDEX(Produccion_Ganadera_Cuentas[],MATCH(Producción_Ganadera[[#This Row],[Cuenta Contable]],Produccion_Ganadera_Cuentas[Cuenta Contable],0),2),0)</f>
        <v>Mov. Hacienda</v>
      </c>
      <c r="AE70" s="944">
        <f>IF(Producción_Ganadera[[#This Row],[Mov. Stock]]="(+)",Producción_Ganadera[[#This Row],[Cabezas]],IF(Producción_Ganadera[[#This Row],[Mov. Stock]]="(-)",-Producción_Ganadera[[#This Row],[Cabezas]],0))</f>
        <v>0</v>
      </c>
      <c r="AF70" s="945" t="str">
        <f>IFERROR(INDEX(Produccion_Ganadera_Cuentas[],MATCH(Producción_Ganadera[[#This Row],[Cuenta Contable]],Produccion_Ganadera_Cuentas[Cuenta Contable],0),5),0)</f>
        <v>(+)</v>
      </c>
      <c r="AG70" s="946" t="str">
        <f>IF(Producción_Ganadera[[#This Row],[Cuenta Contable]]=Configuración!$AC$9,"Si","No")</f>
        <v>No</v>
      </c>
      <c r="AH70" s="947" t="str">
        <f>IFERROR(INDEX(Tabla9[],MATCH(Producción_Ganadera[[#This Row],[Movimiento]],Tabla9[Movimientos],0),2),0)</f>
        <v>No</v>
      </c>
      <c r="AI70" s="948">
        <f>IFERROR(INDEX(Tabla9[],MATCH(Producción_Ganadera[[#This Row],[Movimiento]],Tabla9[Movimientos],0),3),0)</f>
        <v>0</v>
      </c>
      <c r="AJ70" s="890">
        <f>IF(Producción_Ganadera[[#This Row],[Fecha Económico]]=0,0,MONTH(Producción_Ganadera[[#This Row],[Fecha Económico]]))</f>
        <v>0</v>
      </c>
      <c r="AK70" s="890">
        <f>IF(Producción_Ganadera[[#This Row],[Fecha Económico]]=0,0,YEAR(Producción_Ganadera[[#This Row],[Fecha Económico]]))</f>
        <v>0</v>
      </c>
      <c r="AL70" s="891">
        <f>SUMPRODUCT((Producción_Ganadera[[#This Row],[Mes Económico]]=Tipo_Cambio[Mes])*(Producción_Ganadera[[#This Row],[Año Económico]]=Tipo_Cambio[Año])*(Tipo_Cambio[$/U$S]))</f>
        <v>0</v>
      </c>
      <c r="AM70" s="891">
        <f>SUMPRODUCT((Producción_Ganadera[[#This Row],[Mes Económico]]=Tipo_Cambio[Mes])*(Producción_Ganadera[[#This Row],[Año Económico]]=Tipo_Cambio[Año])*(Tipo_Cambio[Actualización]))</f>
        <v>0</v>
      </c>
      <c r="AN70" s="890">
        <f>IF(ISNUMBER(Producción_Ganadera[[#This Row],[Fecha Financiero]])=TRUE,MONTH(Producción_Ganadera[[#This Row],[Fecha Financiero]]),0)</f>
        <v>0</v>
      </c>
      <c r="AO70" s="890">
        <f>IF(ISNUMBER(Producción_Ganadera[[#This Row],[Fecha Financiero]])=TRUE,YEAR(Producción_Ganadera[[#This Row],[Fecha Financiero]]),0)</f>
        <v>0</v>
      </c>
      <c r="AP70" s="891">
        <f>SUMPRODUCT((Producción_Ganadera[[#This Row],[Mes Financiero]]=Tipo_Cambio[Mes])*(Producción_Ganadera[[#This Row],[Año Financiero]]=Tipo_Cambio[Año])*(Tipo_Cambio[$/U$S]))</f>
        <v>0</v>
      </c>
      <c r="AQ70" s="891">
        <f>SUMPRODUCT((Producción_Ganadera[[#This Row],[Mes Financiero]]=Tipo_Cambio[Mes])*(Producción_Ganadera[[#This Row],[Año Financiero]]=Tipo_Cambio[Año])*(Tipo_Cambio[Actualización]))</f>
        <v>0</v>
      </c>
      <c r="AR70" s="919">
        <f>SUMPRODUCT((Producción_Ganadera[[#This Row],[Centro de Costo]]=Tabla19[Centro de Costo])*(Tabla19[Superficie])*(Producción_Ganadera[[#This Row],[Campaña]]=Tabla19[Campaña]))</f>
        <v>0</v>
      </c>
      <c r="AS70" s="920">
        <f>IFERROR(Producción_Ganadera[[#This Row],[Económico $Corrientes]]/Producción_Ganadera[[#This Row],[Superficie]],0)</f>
        <v>0</v>
      </c>
      <c r="AT70" s="920">
        <f>IFERROR(Producción_Ganadera[[#This Row],[Económico $Constantes]]/Producción_Ganadera[[#This Row],[Superficie]],0)</f>
        <v>0</v>
      </c>
      <c r="AU70" s="920">
        <f>IFERROR(Producción_Ganadera[[#This Row],[Económico U$S Dólares]]/Producción_Ganadera[[#This Row],[Superficie]],0)</f>
        <v>0</v>
      </c>
      <c r="AV70" s="916">
        <f>IF(Económico!$F$4=0,0,Producción_Ganadera[[#This Row],[Centro de Costo]])</f>
        <v>0</v>
      </c>
    </row>
    <row r="71" spans="1:48" x14ac:dyDescent="0.25">
      <c r="A71" s="86"/>
      <c r="B71" s="376"/>
      <c r="C71" s="86"/>
      <c r="D71" s="528"/>
      <c r="E71" s="522"/>
      <c r="F71" s="869" t="str">
        <f>Campaña_Actual</f>
        <v>2018-2019</v>
      </c>
      <c r="G71" s="481" t="str">
        <f t="shared" si="5"/>
        <v>Entrada Nacimientos</v>
      </c>
      <c r="H71" s="481"/>
      <c r="I71" s="481" t="s">
        <v>130</v>
      </c>
      <c r="J71" s="626"/>
      <c r="K71" s="481"/>
      <c r="L71" s="520"/>
      <c r="M7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71" s="874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71" s="611"/>
      <c r="P71" s="484"/>
      <c r="Q71" s="879">
        <f>IF(ISNUMBER(Producción_Ganadera[[#This Row],[Cabezas]])=TRUE,Producción_Ganadera[[#This Row],[Cabezas]]*Producción_Ganadera[[#This Row],[Cantidad]],Producción_Ganadera[[#This Row],[Cantidad]])</f>
        <v>0</v>
      </c>
      <c r="R71" s="482"/>
      <c r="S71" s="552"/>
      <c r="T71" s="553"/>
      <c r="U7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71" s="913">
        <f>IFERROR(Producción_Ganadera[[#This Row],[Económico $Corrientes]]/Producción_Ganadera[[#This Row],[Indexación Económico]],0)</f>
        <v>0</v>
      </c>
      <c r="W7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7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71" s="913">
        <f>IFERROR(Producción_Ganadera[[#This Row],[Financiero $Corrientes]]/Producción_Ganadera[[#This Row],[Indexación Financiero]],0)</f>
        <v>0</v>
      </c>
      <c r="Z7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71" s="94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71" s="942">
        <f>IFERROR(Producción_Ganadera[[#This Row],[Intereses $Corrientes]]/Producción_Ganadera[[#This Row],[Indexación Financiero]],0)</f>
        <v>0</v>
      </c>
      <c r="AC71" s="94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71" s="943" t="str">
        <f>IFERROR(INDEX(Produccion_Ganadera_Cuentas[],MATCH(Producción_Ganadera[[#This Row],[Cuenta Contable]],Produccion_Ganadera_Cuentas[Cuenta Contable],0),2),0)</f>
        <v>Mov. Hacienda</v>
      </c>
      <c r="AE71" s="944">
        <f>IF(Producción_Ganadera[[#This Row],[Mov. Stock]]="(+)",Producción_Ganadera[[#This Row],[Cabezas]],IF(Producción_Ganadera[[#This Row],[Mov. Stock]]="(-)",-Producción_Ganadera[[#This Row],[Cabezas]],0))</f>
        <v>0</v>
      </c>
      <c r="AF71" s="945" t="str">
        <f>IFERROR(INDEX(Produccion_Ganadera_Cuentas[],MATCH(Producción_Ganadera[[#This Row],[Cuenta Contable]],Produccion_Ganadera_Cuentas[Cuenta Contable],0),5),0)</f>
        <v>(+)</v>
      </c>
      <c r="AG71" s="946" t="str">
        <f>IF(Producción_Ganadera[[#This Row],[Cuenta Contable]]=Configuración!$AC$9,"Si","No")</f>
        <v>No</v>
      </c>
      <c r="AH71" s="947" t="str">
        <f>IFERROR(INDEX(Tabla9[],MATCH(Producción_Ganadera[[#This Row],[Movimiento]],Tabla9[Movimientos],0),2),0)</f>
        <v>No</v>
      </c>
      <c r="AI71" s="948">
        <f>IFERROR(INDEX(Tabla9[],MATCH(Producción_Ganadera[[#This Row],[Movimiento]],Tabla9[Movimientos],0),3),0)</f>
        <v>0</v>
      </c>
      <c r="AJ71" s="890">
        <f>IF(Producción_Ganadera[[#This Row],[Fecha Económico]]=0,0,MONTH(Producción_Ganadera[[#This Row],[Fecha Económico]]))</f>
        <v>0</v>
      </c>
      <c r="AK71" s="890">
        <f>IF(Producción_Ganadera[[#This Row],[Fecha Económico]]=0,0,YEAR(Producción_Ganadera[[#This Row],[Fecha Económico]]))</f>
        <v>0</v>
      </c>
      <c r="AL71" s="891">
        <f>SUMPRODUCT((Producción_Ganadera[[#This Row],[Mes Económico]]=Tipo_Cambio[Mes])*(Producción_Ganadera[[#This Row],[Año Económico]]=Tipo_Cambio[Año])*(Tipo_Cambio[$/U$S]))</f>
        <v>0</v>
      </c>
      <c r="AM71" s="891">
        <f>SUMPRODUCT((Producción_Ganadera[[#This Row],[Mes Económico]]=Tipo_Cambio[Mes])*(Producción_Ganadera[[#This Row],[Año Económico]]=Tipo_Cambio[Año])*(Tipo_Cambio[Actualización]))</f>
        <v>0</v>
      </c>
      <c r="AN71" s="890">
        <f>IF(ISNUMBER(Producción_Ganadera[[#This Row],[Fecha Financiero]])=TRUE,MONTH(Producción_Ganadera[[#This Row],[Fecha Financiero]]),0)</f>
        <v>0</v>
      </c>
      <c r="AO71" s="890">
        <f>IF(ISNUMBER(Producción_Ganadera[[#This Row],[Fecha Financiero]])=TRUE,YEAR(Producción_Ganadera[[#This Row],[Fecha Financiero]]),0)</f>
        <v>0</v>
      </c>
      <c r="AP71" s="891">
        <f>SUMPRODUCT((Producción_Ganadera[[#This Row],[Mes Financiero]]=Tipo_Cambio[Mes])*(Producción_Ganadera[[#This Row],[Año Financiero]]=Tipo_Cambio[Año])*(Tipo_Cambio[$/U$S]))</f>
        <v>0</v>
      </c>
      <c r="AQ71" s="891">
        <f>SUMPRODUCT((Producción_Ganadera[[#This Row],[Mes Financiero]]=Tipo_Cambio[Mes])*(Producción_Ganadera[[#This Row],[Año Financiero]]=Tipo_Cambio[Año])*(Tipo_Cambio[Actualización]))</f>
        <v>0</v>
      </c>
      <c r="AR71" s="919">
        <f>SUMPRODUCT((Producción_Ganadera[[#This Row],[Centro de Costo]]=Tabla19[Centro de Costo])*(Tabla19[Superficie])*(Producción_Ganadera[[#This Row],[Campaña]]=Tabla19[Campaña]))</f>
        <v>0</v>
      </c>
      <c r="AS71" s="920">
        <f>IFERROR(Producción_Ganadera[[#This Row],[Económico $Corrientes]]/Producción_Ganadera[[#This Row],[Superficie]],0)</f>
        <v>0</v>
      </c>
      <c r="AT71" s="920">
        <f>IFERROR(Producción_Ganadera[[#This Row],[Económico $Constantes]]/Producción_Ganadera[[#This Row],[Superficie]],0)</f>
        <v>0</v>
      </c>
      <c r="AU71" s="920">
        <f>IFERROR(Producción_Ganadera[[#This Row],[Económico U$S Dólares]]/Producción_Ganadera[[#This Row],[Superficie]],0)</f>
        <v>0</v>
      </c>
      <c r="AV71" s="916">
        <f>IF(Económico!$F$4=0,0,Producción_Ganadera[[#This Row],[Centro de Costo]])</f>
        <v>0</v>
      </c>
    </row>
    <row r="72" spans="1:48" x14ac:dyDescent="0.25">
      <c r="A72" s="86"/>
      <c r="B72" s="376"/>
      <c r="C72" s="86"/>
      <c r="D72" s="528"/>
      <c r="E72" s="522"/>
      <c r="F72" s="869" t="str">
        <f>Campaña_Actual</f>
        <v>2018-2019</v>
      </c>
      <c r="G72" s="481" t="str">
        <f t="shared" si="5"/>
        <v>Entrada Nacimientos</v>
      </c>
      <c r="H72" s="481"/>
      <c r="I72" s="481" t="s">
        <v>131</v>
      </c>
      <c r="J72" s="626"/>
      <c r="K72" s="481"/>
      <c r="L72" s="520"/>
      <c r="M7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72" s="874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72" s="611"/>
      <c r="P72" s="484"/>
      <c r="Q72" s="879">
        <f>IF(ISNUMBER(Producción_Ganadera[[#This Row],[Cabezas]])=TRUE,Producción_Ganadera[[#This Row],[Cabezas]]*Producción_Ganadera[[#This Row],[Cantidad]],Producción_Ganadera[[#This Row],[Cantidad]])</f>
        <v>0</v>
      </c>
      <c r="R72" s="482"/>
      <c r="S72" s="552"/>
      <c r="T72" s="553"/>
      <c r="U7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72" s="913">
        <f>IFERROR(Producción_Ganadera[[#This Row],[Económico $Corrientes]]/Producción_Ganadera[[#This Row],[Indexación Económico]],0)</f>
        <v>0</v>
      </c>
      <c r="W7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7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72" s="913">
        <f>IFERROR(Producción_Ganadera[[#This Row],[Financiero $Corrientes]]/Producción_Ganadera[[#This Row],[Indexación Financiero]],0)</f>
        <v>0</v>
      </c>
      <c r="Z7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72" s="94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72" s="942">
        <f>IFERROR(Producción_Ganadera[[#This Row],[Intereses $Corrientes]]/Producción_Ganadera[[#This Row],[Indexación Financiero]],0)</f>
        <v>0</v>
      </c>
      <c r="AC72" s="94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72" s="943" t="str">
        <f>IFERROR(INDEX(Produccion_Ganadera_Cuentas[],MATCH(Producción_Ganadera[[#This Row],[Cuenta Contable]],Produccion_Ganadera_Cuentas[Cuenta Contable],0),2),0)</f>
        <v>Mov. Hacienda</v>
      </c>
      <c r="AE72" s="944">
        <f>IF(Producción_Ganadera[[#This Row],[Mov. Stock]]="(+)",Producción_Ganadera[[#This Row],[Cabezas]],IF(Producción_Ganadera[[#This Row],[Mov. Stock]]="(-)",-Producción_Ganadera[[#This Row],[Cabezas]],0))</f>
        <v>0</v>
      </c>
      <c r="AF72" s="945" t="str">
        <f>IFERROR(INDEX(Produccion_Ganadera_Cuentas[],MATCH(Producción_Ganadera[[#This Row],[Cuenta Contable]],Produccion_Ganadera_Cuentas[Cuenta Contable],0),5),0)</f>
        <v>(+)</v>
      </c>
      <c r="AG72" s="946" t="str">
        <f>IF(Producción_Ganadera[[#This Row],[Cuenta Contable]]=Configuración!$AC$9,"Si","No")</f>
        <v>No</v>
      </c>
      <c r="AH72" s="947" t="str">
        <f>IFERROR(INDEX(Tabla9[],MATCH(Producción_Ganadera[[#This Row],[Movimiento]],Tabla9[Movimientos],0),2),0)</f>
        <v>No</v>
      </c>
      <c r="AI72" s="948">
        <f>IFERROR(INDEX(Tabla9[],MATCH(Producción_Ganadera[[#This Row],[Movimiento]],Tabla9[Movimientos],0),3),0)</f>
        <v>0</v>
      </c>
      <c r="AJ72" s="890">
        <f>IF(Producción_Ganadera[[#This Row],[Fecha Económico]]=0,0,MONTH(Producción_Ganadera[[#This Row],[Fecha Económico]]))</f>
        <v>0</v>
      </c>
      <c r="AK72" s="890">
        <f>IF(Producción_Ganadera[[#This Row],[Fecha Económico]]=0,0,YEAR(Producción_Ganadera[[#This Row],[Fecha Económico]]))</f>
        <v>0</v>
      </c>
      <c r="AL72" s="891">
        <f>SUMPRODUCT((Producción_Ganadera[[#This Row],[Mes Económico]]=Tipo_Cambio[Mes])*(Producción_Ganadera[[#This Row],[Año Económico]]=Tipo_Cambio[Año])*(Tipo_Cambio[$/U$S]))</f>
        <v>0</v>
      </c>
      <c r="AM72" s="891">
        <f>SUMPRODUCT((Producción_Ganadera[[#This Row],[Mes Económico]]=Tipo_Cambio[Mes])*(Producción_Ganadera[[#This Row],[Año Económico]]=Tipo_Cambio[Año])*(Tipo_Cambio[Actualización]))</f>
        <v>0</v>
      </c>
      <c r="AN72" s="890">
        <f>IF(ISNUMBER(Producción_Ganadera[[#This Row],[Fecha Financiero]])=TRUE,MONTH(Producción_Ganadera[[#This Row],[Fecha Financiero]]),0)</f>
        <v>0</v>
      </c>
      <c r="AO72" s="890">
        <f>IF(ISNUMBER(Producción_Ganadera[[#This Row],[Fecha Financiero]])=TRUE,YEAR(Producción_Ganadera[[#This Row],[Fecha Financiero]]),0)</f>
        <v>0</v>
      </c>
      <c r="AP72" s="891">
        <f>SUMPRODUCT((Producción_Ganadera[[#This Row],[Mes Financiero]]=Tipo_Cambio[Mes])*(Producción_Ganadera[[#This Row],[Año Financiero]]=Tipo_Cambio[Año])*(Tipo_Cambio[$/U$S]))</f>
        <v>0</v>
      </c>
      <c r="AQ72" s="891">
        <f>SUMPRODUCT((Producción_Ganadera[[#This Row],[Mes Financiero]]=Tipo_Cambio[Mes])*(Producción_Ganadera[[#This Row],[Año Financiero]]=Tipo_Cambio[Año])*(Tipo_Cambio[Actualización]))</f>
        <v>0</v>
      </c>
      <c r="AR72" s="919">
        <f>SUMPRODUCT((Producción_Ganadera[[#This Row],[Centro de Costo]]=Tabla19[Centro de Costo])*(Tabla19[Superficie])*(Producción_Ganadera[[#This Row],[Campaña]]=Tabla19[Campaña]))</f>
        <v>0</v>
      </c>
      <c r="AS72" s="920">
        <f>IFERROR(Producción_Ganadera[[#This Row],[Económico $Corrientes]]/Producción_Ganadera[[#This Row],[Superficie]],0)</f>
        <v>0</v>
      </c>
      <c r="AT72" s="920">
        <f>IFERROR(Producción_Ganadera[[#This Row],[Económico $Constantes]]/Producción_Ganadera[[#This Row],[Superficie]],0)</f>
        <v>0</v>
      </c>
      <c r="AU72" s="920">
        <f>IFERROR(Producción_Ganadera[[#This Row],[Económico U$S Dólares]]/Producción_Ganadera[[#This Row],[Superficie]],0)</f>
        <v>0</v>
      </c>
      <c r="AV72" s="916">
        <f>IF(Económico!$F$4=0,0,Producción_Ganadera[[#This Row],[Centro de Costo]])</f>
        <v>0</v>
      </c>
    </row>
    <row r="73" spans="1:48" ht="15.75" thickBot="1" x14ac:dyDescent="0.3">
      <c r="A73" s="86"/>
      <c r="B73" s="373" t="s">
        <v>101</v>
      </c>
      <c r="C73" s="86"/>
      <c r="D73" s="478"/>
      <c r="E73" s="522"/>
      <c r="F73" s="866" t="str">
        <f t="shared" si="2"/>
        <v>2018-2019</v>
      </c>
      <c r="G73" s="491" t="str">
        <f t="shared" si="5"/>
        <v>Entrada Nacimientos</v>
      </c>
      <c r="H73" s="491"/>
      <c r="I73" s="491" t="s">
        <v>130</v>
      </c>
      <c r="J73" s="549"/>
      <c r="K73" s="491"/>
      <c r="L73" s="520"/>
      <c r="M7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7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73" s="563"/>
      <c r="P73" s="491"/>
      <c r="Q73" s="875">
        <f>IF(ISNUMBER(Producción_Ganadera[[#This Row],[Cabezas]])=TRUE,Producción_Ganadera[[#This Row],[Cabezas]]*Producción_Ganadera[[#This Row],[Cantidad]],Producción_Ganadera[[#This Row],[Cantidad]])</f>
        <v>0</v>
      </c>
      <c r="R73" s="491"/>
      <c r="S73" s="552"/>
      <c r="T73" s="553"/>
      <c r="U7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73" s="881">
        <f>IFERROR(Producción_Ganadera[[#This Row],[Económico $Corrientes]]/Producción_Ganadera[[#This Row],[Indexación Económico]],0)</f>
        <v>0</v>
      </c>
      <c r="W7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7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73" s="881">
        <f>IFERROR(Producción_Ganadera[[#This Row],[Financiero $Corrientes]]/Producción_Ganadera[[#This Row],[Indexación Financiero]],0)</f>
        <v>0</v>
      </c>
      <c r="Z7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7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73" s="885">
        <f>IFERROR(Producción_Ganadera[[#This Row],[Intereses $Corrientes]]/Producción_Ganadera[[#This Row],[Indexación Financiero]],0)</f>
        <v>0</v>
      </c>
      <c r="AC7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73" s="915" t="str">
        <f>IFERROR(INDEX(Produccion_Ganadera_Cuentas[],MATCH(Producción_Ganadera[[#This Row],[Cuenta Contable]],Produccion_Ganadera_Cuentas[Cuenta Contable],0),2),0)</f>
        <v>Mov. Hacienda</v>
      </c>
      <c r="AE73" s="916">
        <f>IF(Producción_Ganadera[[#This Row],[Mov. Stock]]="(+)",Producción_Ganadera[[#This Row],[Cabezas]],IF(Producción_Ganadera[[#This Row],[Mov. Stock]]="(-)",-Producción_Ganadera[[#This Row],[Cabezas]],0))</f>
        <v>0</v>
      </c>
      <c r="AF73" s="917" t="str">
        <f>IFERROR(INDEX(Produccion_Ganadera_Cuentas[],MATCH(Producción_Ganadera[[#This Row],[Cuenta Contable]],Produccion_Ganadera_Cuentas[Cuenta Contable],0),5),0)</f>
        <v>(+)</v>
      </c>
      <c r="AG73" s="918" t="str">
        <f>IF(Producción_Ganadera[[#This Row],[Cuenta Contable]]=Configuración!$AC$9,"Si","No")</f>
        <v>No</v>
      </c>
      <c r="AH73" s="887" t="str">
        <f>IFERROR(INDEX(Tabla9[],MATCH(Producción_Ganadera[[#This Row],[Movimiento]],Tabla9[Movimientos],0),2),0)</f>
        <v>No</v>
      </c>
      <c r="AI73" s="888">
        <f>IFERROR(INDEX(Tabla9[],MATCH(Producción_Ganadera[[#This Row],[Movimiento]],Tabla9[Movimientos],0),3),0)</f>
        <v>0</v>
      </c>
      <c r="AJ73" s="885">
        <f>IF(Producción_Ganadera[[#This Row],[Fecha Económico]]=0,0,MONTH(Producción_Ganadera[[#This Row],[Fecha Económico]]))</f>
        <v>0</v>
      </c>
      <c r="AK73" s="885">
        <f>IF(Producción_Ganadera[[#This Row],[Fecha Económico]]=0,0,YEAR(Producción_Ganadera[[#This Row],[Fecha Económico]]))</f>
        <v>0</v>
      </c>
      <c r="AL73" s="889">
        <f>SUMPRODUCT((Producción_Ganadera[[#This Row],[Mes Económico]]=Tipo_Cambio[Mes])*(Producción_Ganadera[[#This Row],[Año Económico]]=Tipo_Cambio[Año])*(Tipo_Cambio[$/U$S]))</f>
        <v>0</v>
      </c>
      <c r="AM73" s="889">
        <f>SUMPRODUCT((Producción_Ganadera[[#This Row],[Mes Económico]]=Tipo_Cambio[Mes])*(Producción_Ganadera[[#This Row],[Año Económico]]=Tipo_Cambio[Año])*(Tipo_Cambio[Actualización]))</f>
        <v>0</v>
      </c>
      <c r="AN73" s="885">
        <f>IF(ISNUMBER(Producción_Ganadera[[#This Row],[Fecha Financiero]])=TRUE,MONTH(Producción_Ganadera[[#This Row],[Fecha Financiero]]),0)</f>
        <v>0</v>
      </c>
      <c r="AO73" s="885">
        <f>IF(ISNUMBER(Producción_Ganadera[[#This Row],[Fecha Financiero]])=TRUE,YEAR(Producción_Ganadera[[#This Row],[Fecha Financiero]]),0)</f>
        <v>0</v>
      </c>
      <c r="AP73" s="889">
        <f>SUMPRODUCT((Producción_Ganadera[[#This Row],[Mes Financiero]]=Tipo_Cambio[Mes])*(Producción_Ganadera[[#This Row],[Año Financiero]]=Tipo_Cambio[Año])*(Tipo_Cambio[$/U$S]))</f>
        <v>0</v>
      </c>
      <c r="AQ73" s="889">
        <f>SUMPRODUCT((Producción_Ganadera[[#This Row],[Mes Financiero]]=Tipo_Cambio[Mes])*(Producción_Ganadera[[#This Row],[Año Financiero]]=Tipo_Cambio[Año])*(Tipo_Cambio[Actualización]))</f>
        <v>0</v>
      </c>
      <c r="AR73" s="919">
        <f>SUMPRODUCT((Producción_Ganadera[[#This Row],[Centro de Costo]]=Tabla19[Centro de Costo])*(Tabla19[Superficie])*(Producción_Ganadera[[#This Row],[Campaña]]=Tabla19[Campaña]))</f>
        <v>0</v>
      </c>
      <c r="AS73" s="918">
        <f>IFERROR(Producción_Ganadera[[#This Row],[Económico $Corrientes]]/Producción_Ganadera[[#This Row],[Superficie]],0)</f>
        <v>0</v>
      </c>
      <c r="AT73" s="918">
        <f>IFERROR(Producción_Ganadera[[#This Row],[Económico $Constantes]]/Producción_Ganadera[[#This Row],[Superficie]],0)</f>
        <v>0</v>
      </c>
      <c r="AU73" s="918">
        <f>IFERROR(Producción_Ganadera[[#This Row],[Económico U$S Dólares]]/Producción_Ganadera[[#This Row],[Superficie]],0)</f>
        <v>0</v>
      </c>
      <c r="AV73" s="916">
        <f>IF(Económico!$F$4=0,0,Producción_Ganadera[[#This Row],[Centro de Costo]])</f>
        <v>0</v>
      </c>
    </row>
    <row r="74" spans="1:48" ht="15.75" thickTop="1" x14ac:dyDescent="0.25">
      <c r="A74" s="86"/>
      <c r="B74" s="1136" t="s">
        <v>169</v>
      </c>
      <c r="C74" s="86"/>
      <c r="D74" s="614">
        <v>43466</v>
      </c>
      <c r="E74" s="615">
        <v>43466</v>
      </c>
      <c r="F74" s="872" t="str">
        <f t="shared" si="2"/>
        <v>2018-2019</v>
      </c>
      <c r="G74" s="616" t="str">
        <f>GAN_Ventas</f>
        <v>Venta Hacienda</v>
      </c>
      <c r="H74" s="616" t="s">
        <v>2</v>
      </c>
      <c r="I74" s="616" t="s">
        <v>132</v>
      </c>
      <c r="J74" s="617"/>
      <c r="K74" s="616"/>
      <c r="L74" s="618">
        <v>0</v>
      </c>
      <c r="M74" s="61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74" s="872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450</v>
      </c>
      <c r="O74" s="627">
        <v>1</v>
      </c>
      <c r="P74" s="616" t="s">
        <v>140</v>
      </c>
      <c r="Q74" s="878">
        <f>IF(ISNUMBER(Producción_Ganadera[[#This Row],[Cabezas]])=TRUE,Producción_Ganadera[[#This Row],[Cabezas]]*Producción_Ganadera[[#This Row],[Cantidad]],Producción_Ganadera[[#This Row],[Cantidad]])</f>
        <v>0</v>
      </c>
      <c r="R74" s="616">
        <v>0</v>
      </c>
      <c r="S74" s="623" t="s">
        <v>48</v>
      </c>
      <c r="T74" s="624"/>
      <c r="U74" s="927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74" s="928">
        <f>IFERROR(Producción_Ganadera[[#This Row],[Económico $Corrientes]]/Producción_Ganadera[[#This Row],[Indexación Económico]],0)</f>
        <v>0</v>
      </c>
      <c r="W74" s="929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74" s="927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74" s="928">
        <f>IFERROR(Producción_Ganadera[[#This Row],[Financiero $Corrientes]]/Producción_Ganadera[[#This Row],[Indexación Financiero]],0)</f>
        <v>0</v>
      </c>
      <c r="Z74" s="930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74" s="93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74" s="932">
        <f>IFERROR(Producción_Ganadera[[#This Row],[Intereses $Corrientes]]/Producción_Ganadera[[#This Row],[Indexación Financiero]],0)</f>
        <v>0</v>
      </c>
      <c r="AC74" s="93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74" s="933" t="str">
        <f>IFERROR(INDEX(Produccion_Ganadera_Cuentas[],MATCH(Producción_Ganadera[[#This Row],[Cuenta Contable]],Produccion_Ganadera_Cuentas[Cuenta Contable],0),2),0)</f>
        <v>Ingreso</v>
      </c>
      <c r="AE74" s="934">
        <f>IF(Producción_Ganadera[[#This Row],[Mov. Stock]]="(+)",Producción_Ganadera[[#This Row],[Cabezas]],IF(Producción_Ganadera[[#This Row],[Mov. Stock]]="(-)",-Producción_Ganadera[[#This Row],[Cabezas]],0))</f>
        <v>0</v>
      </c>
      <c r="AF74" s="935" t="str">
        <f>IFERROR(INDEX(Produccion_Ganadera_Cuentas[],MATCH(Producción_Ganadera[[#This Row],[Cuenta Contable]],Produccion_Ganadera_Cuentas[Cuenta Contable],0),5),0)</f>
        <v>(-)</v>
      </c>
      <c r="AG74" s="936" t="str">
        <f>IF(Producción_Ganadera[[#This Row],[Cuenta Contable]]=Configuración!$AC$9,"Si","No")</f>
        <v>No</v>
      </c>
      <c r="AH74" s="937" t="str">
        <f>IFERROR(INDEX(Tabla9[],MATCH(Producción_Ganadera[[#This Row],[Movimiento]],Tabla9[Movimientos],0),2),0)</f>
        <v>Si</v>
      </c>
      <c r="AI74" s="938" t="str">
        <f>IFERROR(INDEX(Tabla9[],MATCH(Producción_Ganadera[[#This Row],[Movimiento]],Tabla9[Movimientos],0),3),0)</f>
        <v>(+)</v>
      </c>
      <c r="AJ74" s="932">
        <f>IF(Producción_Ganadera[[#This Row],[Fecha Económico]]=0,0,MONTH(Producción_Ganadera[[#This Row],[Fecha Económico]]))</f>
        <v>1</v>
      </c>
      <c r="AK74" s="932">
        <f>IF(Producción_Ganadera[[#This Row],[Fecha Económico]]=0,0,YEAR(Producción_Ganadera[[#This Row],[Fecha Económico]]))</f>
        <v>2019</v>
      </c>
      <c r="AL74" s="939">
        <f>SUMPRODUCT((Producción_Ganadera[[#This Row],[Mes Económico]]=Tipo_Cambio[Mes])*(Producción_Ganadera[[#This Row],[Año Económico]]=Tipo_Cambio[Año])*(Tipo_Cambio[$/U$S]))</f>
        <v>23.353443313221998</v>
      </c>
      <c r="AM74" s="939">
        <f>SUMPRODUCT((Producción_Ganadera[[#This Row],[Mes Económico]]=Tipo_Cambio[Mes])*(Producción_Ganadera[[#This Row],[Año Económico]]=Tipo_Cambio[Año])*(Tipo_Cambio[Actualización]))</f>
        <v>1.1261624192640001</v>
      </c>
      <c r="AN74" s="932">
        <f>IF(ISNUMBER(Producción_Ganadera[[#This Row],[Fecha Financiero]])=TRUE,MONTH(Producción_Ganadera[[#This Row],[Fecha Financiero]]),0)</f>
        <v>1</v>
      </c>
      <c r="AO74" s="932">
        <f>IF(ISNUMBER(Producción_Ganadera[[#This Row],[Fecha Financiero]])=TRUE,YEAR(Producción_Ganadera[[#This Row],[Fecha Financiero]]),0)</f>
        <v>2019</v>
      </c>
      <c r="AP74" s="939">
        <f>SUMPRODUCT((Producción_Ganadera[[#This Row],[Mes Financiero]]=Tipo_Cambio[Mes])*(Producción_Ganadera[[#This Row],[Año Financiero]]=Tipo_Cambio[Año])*(Tipo_Cambio[$/U$S]))</f>
        <v>23.353443313221998</v>
      </c>
      <c r="AQ74" s="939">
        <f>SUMPRODUCT((Producción_Ganadera[[#This Row],[Mes Financiero]]=Tipo_Cambio[Mes])*(Producción_Ganadera[[#This Row],[Año Financiero]]=Tipo_Cambio[Año])*(Tipo_Cambio[Actualización]))</f>
        <v>1.1261624192640001</v>
      </c>
      <c r="AR74" s="949">
        <f>SUMPRODUCT((Producción_Ganadera[[#This Row],[Centro de Costo]]=Tabla19[Centro de Costo])*(Tabla19[Superficie])*(Producción_Ganadera[[#This Row],[Campaña]]=Tabla19[Campaña]))</f>
        <v>0</v>
      </c>
      <c r="AS74" s="939">
        <f>IFERROR(Producción_Ganadera[[#This Row],[Económico $Corrientes]]/Producción_Ganadera[[#This Row],[Superficie]],0)</f>
        <v>0</v>
      </c>
      <c r="AT74" s="939">
        <f>IFERROR(Producción_Ganadera[[#This Row],[Económico $Constantes]]/Producción_Ganadera[[#This Row],[Superficie]],0)</f>
        <v>0</v>
      </c>
      <c r="AU74" s="939">
        <f>IFERROR(Producción_Ganadera[[#This Row],[Económico U$S Dólares]]/Producción_Ganadera[[#This Row],[Superficie]],0)</f>
        <v>0</v>
      </c>
      <c r="AV74" s="937" t="str">
        <f>IF(Económico!$F$4=0,0,Producción_Ganadera[[#This Row],[Centro de Costo]])</f>
        <v>Campo 1</v>
      </c>
    </row>
    <row r="75" spans="1:48" x14ac:dyDescent="0.25">
      <c r="A75" s="86"/>
      <c r="B75" s="1136"/>
      <c r="C75" s="86"/>
      <c r="D75" s="528"/>
      <c r="E75" s="522"/>
      <c r="F75" s="869" t="str">
        <f t="shared" si="2"/>
        <v>2018-2019</v>
      </c>
      <c r="G75" s="481" t="str">
        <f>GAN_Ventas</f>
        <v>Venta Hacienda</v>
      </c>
      <c r="H75" s="481"/>
      <c r="I75" s="481"/>
      <c r="J75" s="549"/>
      <c r="K75" s="481"/>
      <c r="L75" s="520"/>
      <c r="M7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7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75" s="611"/>
      <c r="P75" s="484"/>
      <c r="Q75" s="875">
        <f>IF(ISNUMBER(Producción_Ganadera[[#This Row],[Cabezas]])=TRUE,Producción_Ganadera[[#This Row],[Cabezas]]*Producción_Ganadera[[#This Row],[Cantidad]],Producción_Ganadera[[#This Row],[Cantidad]])</f>
        <v>0</v>
      </c>
      <c r="R75" s="482"/>
      <c r="S75" s="552"/>
      <c r="T75" s="553"/>
      <c r="U7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75" s="913">
        <f>IFERROR(Producción_Ganadera[[#This Row],[Económico $Corrientes]]/Producción_Ganadera[[#This Row],[Indexación Económico]],0)</f>
        <v>0</v>
      </c>
      <c r="W7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7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75" s="913">
        <f>IFERROR(Producción_Ganadera[[#This Row],[Financiero $Corrientes]]/Producción_Ganadera[[#This Row],[Indexación Financiero]],0)</f>
        <v>0</v>
      </c>
      <c r="Z7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7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75" s="885">
        <f>IFERROR(Producción_Ganadera[[#This Row],[Intereses $Corrientes]]/Producción_Ganadera[[#This Row],[Indexación Financiero]],0)</f>
        <v>0</v>
      </c>
      <c r="AC7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75" s="915" t="str">
        <f>IFERROR(INDEX(Produccion_Ganadera_Cuentas[],MATCH(Producción_Ganadera[[#This Row],[Cuenta Contable]],Produccion_Ganadera_Cuentas[Cuenta Contable],0),2),0)</f>
        <v>Ingreso</v>
      </c>
      <c r="AE75" s="916">
        <f>IF(Producción_Ganadera[[#This Row],[Mov. Stock]]="(+)",Producción_Ganadera[[#This Row],[Cabezas]],IF(Producción_Ganadera[[#This Row],[Mov. Stock]]="(-)",-Producción_Ganadera[[#This Row],[Cabezas]],0))</f>
        <v>0</v>
      </c>
      <c r="AF75" s="917" t="str">
        <f>IFERROR(INDEX(Produccion_Ganadera_Cuentas[],MATCH(Producción_Ganadera[[#This Row],[Cuenta Contable]],Produccion_Ganadera_Cuentas[Cuenta Contable],0),5),0)</f>
        <v>(-)</v>
      </c>
      <c r="AG75" s="918" t="str">
        <f>IF(Producción_Ganadera[[#This Row],[Cuenta Contable]]=Configuración!$AC$9,"Si","No")</f>
        <v>No</v>
      </c>
      <c r="AH75" s="887" t="str">
        <f>IFERROR(INDEX(Tabla9[],MATCH(Producción_Ganadera[[#This Row],[Movimiento]],Tabla9[Movimientos],0),2),0)</f>
        <v>Si</v>
      </c>
      <c r="AI75" s="888" t="str">
        <f>IFERROR(INDEX(Tabla9[],MATCH(Producción_Ganadera[[#This Row],[Movimiento]],Tabla9[Movimientos],0),3),0)</f>
        <v>(+)</v>
      </c>
      <c r="AJ75" s="890">
        <f>IF(Producción_Ganadera[[#This Row],[Fecha Económico]]=0,0,MONTH(Producción_Ganadera[[#This Row],[Fecha Económico]]))</f>
        <v>0</v>
      </c>
      <c r="AK75" s="890">
        <f>IF(Producción_Ganadera[[#This Row],[Fecha Económico]]=0,0,YEAR(Producción_Ganadera[[#This Row],[Fecha Económico]]))</f>
        <v>0</v>
      </c>
      <c r="AL75" s="891">
        <f>SUMPRODUCT((Producción_Ganadera[[#This Row],[Mes Económico]]=Tipo_Cambio[Mes])*(Producción_Ganadera[[#This Row],[Año Económico]]=Tipo_Cambio[Año])*(Tipo_Cambio[$/U$S]))</f>
        <v>0</v>
      </c>
      <c r="AM75" s="891">
        <f>SUMPRODUCT((Producción_Ganadera[[#This Row],[Mes Económico]]=Tipo_Cambio[Mes])*(Producción_Ganadera[[#This Row],[Año Económico]]=Tipo_Cambio[Año])*(Tipo_Cambio[Actualización]))</f>
        <v>0</v>
      </c>
      <c r="AN75" s="890">
        <f>IF(ISNUMBER(Producción_Ganadera[[#This Row],[Fecha Financiero]])=TRUE,MONTH(Producción_Ganadera[[#This Row],[Fecha Financiero]]),0)</f>
        <v>0</v>
      </c>
      <c r="AO75" s="890">
        <f>IF(ISNUMBER(Producción_Ganadera[[#This Row],[Fecha Financiero]])=TRUE,YEAR(Producción_Ganadera[[#This Row],[Fecha Financiero]]),0)</f>
        <v>0</v>
      </c>
      <c r="AP75" s="891">
        <f>SUMPRODUCT((Producción_Ganadera[[#This Row],[Mes Financiero]]=Tipo_Cambio[Mes])*(Producción_Ganadera[[#This Row],[Año Financiero]]=Tipo_Cambio[Año])*(Tipo_Cambio[$/U$S]))</f>
        <v>0</v>
      </c>
      <c r="AQ75" s="891">
        <f>SUMPRODUCT((Producción_Ganadera[[#This Row],[Mes Financiero]]=Tipo_Cambio[Mes])*(Producción_Ganadera[[#This Row],[Año Financiero]]=Tipo_Cambio[Año])*(Tipo_Cambio[Actualización]))</f>
        <v>0</v>
      </c>
      <c r="AR75" s="919">
        <f>SUMPRODUCT((Producción_Ganadera[[#This Row],[Centro de Costo]]=Tabla19[Centro de Costo])*(Tabla19[Superficie])*(Producción_Ganadera[[#This Row],[Campaña]]=Tabla19[Campaña]))</f>
        <v>0</v>
      </c>
      <c r="AS75" s="920">
        <f>IFERROR(Producción_Ganadera[[#This Row],[Económico $Corrientes]]/Producción_Ganadera[[#This Row],[Superficie]],0)</f>
        <v>0</v>
      </c>
      <c r="AT75" s="920">
        <f>IFERROR(Producción_Ganadera[[#This Row],[Económico $Constantes]]/Producción_Ganadera[[#This Row],[Superficie]],0)</f>
        <v>0</v>
      </c>
      <c r="AU75" s="920">
        <f>IFERROR(Producción_Ganadera[[#This Row],[Económico U$S Dólares]]/Producción_Ganadera[[#This Row],[Superficie]],0)</f>
        <v>0</v>
      </c>
      <c r="AV75" s="916">
        <f>IF(Económico!$F$4=0,0,Producción_Ganadera[[#This Row],[Centro de Costo]])</f>
        <v>0</v>
      </c>
    </row>
    <row r="76" spans="1:48" x14ac:dyDescent="0.25">
      <c r="A76" s="86"/>
      <c r="B76" s="1136"/>
      <c r="C76" s="86"/>
      <c r="D76" s="528"/>
      <c r="E76" s="522"/>
      <c r="F76" s="866" t="str">
        <f t="shared" si="2"/>
        <v>2018-2019</v>
      </c>
      <c r="G76" s="481" t="s">
        <v>127</v>
      </c>
      <c r="H76" s="481"/>
      <c r="I76" s="481"/>
      <c r="J76" s="549"/>
      <c r="K76" s="481"/>
      <c r="L76" s="520"/>
      <c r="M7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76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76" s="483"/>
      <c r="P76" s="491"/>
      <c r="Q76" s="875">
        <f>IF(ISNUMBER(Producción_Ganadera[[#This Row],[Cabezas]])=TRUE,Producción_Ganadera[[#This Row],[Cabezas]]*Producción_Ganadera[[#This Row],[Cantidad]],Producción_Ganadera[[#This Row],[Cantidad]])</f>
        <v>0</v>
      </c>
      <c r="R76" s="491"/>
      <c r="S76" s="552"/>
      <c r="T76" s="553"/>
      <c r="U7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76" s="913">
        <f>IFERROR(Producción_Ganadera[[#This Row],[Económico $Corrientes]]/Producción_Ganadera[[#This Row],[Indexación Económico]],0)</f>
        <v>0</v>
      </c>
      <c r="W7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7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76" s="913">
        <f>IFERROR(Producción_Ganadera[[#This Row],[Financiero $Corrientes]]/Producción_Ganadera[[#This Row],[Indexación Financiero]],0)</f>
        <v>0</v>
      </c>
      <c r="Z7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7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76" s="885">
        <f>IFERROR(Producción_Ganadera[[#This Row],[Intereses $Corrientes]]/Producción_Ganadera[[#This Row],[Indexación Financiero]],0)</f>
        <v>0</v>
      </c>
      <c r="AC7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76" s="915" t="str">
        <f>IFERROR(INDEX(Produccion_Ganadera_Cuentas[],MATCH(Producción_Ganadera[[#This Row],[Cuenta Contable]],Produccion_Ganadera_Cuentas[Cuenta Contable],0),2),0)</f>
        <v>Egreso</v>
      </c>
      <c r="AE76" s="916">
        <f>IF(Producción_Ganadera[[#This Row],[Mov. Stock]]="(+)",Producción_Ganadera[[#This Row],[Cabezas]],IF(Producción_Ganadera[[#This Row],[Mov. Stock]]="(-)",-Producción_Ganadera[[#This Row],[Cabezas]],0))</f>
        <v>0</v>
      </c>
      <c r="AF76" s="917">
        <f>IFERROR(INDEX(Produccion_Ganadera_Cuentas[],MATCH(Producción_Ganadera[[#This Row],[Cuenta Contable]],Produccion_Ganadera_Cuentas[Cuenta Contable],0),5),0)</f>
        <v>0</v>
      </c>
      <c r="AG76" s="918" t="str">
        <f>IF(Producción_Ganadera[[#This Row],[Cuenta Contable]]=Configuración!$AC$9,"Si","No")</f>
        <v>No</v>
      </c>
      <c r="AH76" s="887" t="str">
        <f>IFERROR(INDEX(Tabla9[],MATCH(Producción_Ganadera[[#This Row],[Movimiento]],Tabla9[Movimientos],0),2),0)</f>
        <v>Si</v>
      </c>
      <c r="AI76" s="888" t="str">
        <f>IFERROR(INDEX(Tabla9[],MATCH(Producción_Ganadera[[#This Row],[Movimiento]],Tabla9[Movimientos],0),3),0)</f>
        <v>(-)</v>
      </c>
      <c r="AJ76" s="890">
        <f>IF(Producción_Ganadera[[#This Row],[Fecha Económico]]=0,0,MONTH(Producción_Ganadera[[#This Row],[Fecha Económico]]))</f>
        <v>0</v>
      </c>
      <c r="AK76" s="890">
        <f>IF(Producción_Ganadera[[#This Row],[Fecha Económico]]=0,0,YEAR(Producción_Ganadera[[#This Row],[Fecha Económico]]))</f>
        <v>0</v>
      </c>
      <c r="AL76" s="891">
        <f>SUMPRODUCT((Producción_Ganadera[[#This Row],[Mes Económico]]=Tipo_Cambio[Mes])*(Producción_Ganadera[[#This Row],[Año Económico]]=Tipo_Cambio[Año])*(Tipo_Cambio[$/U$S]))</f>
        <v>0</v>
      </c>
      <c r="AM76" s="891">
        <f>SUMPRODUCT((Producción_Ganadera[[#This Row],[Mes Económico]]=Tipo_Cambio[Mes])*(Producción_Ganadera[[#This Row],[Año Económico]]=Tipo_Cambio[Año])*(Tipo_Cambio[Actualización]))</f>
        <v>0</v>
      </c>
      <c r="AN76" s="890">
        <f>IF(ISNUMBER(Producción_Ganadera[[#This Row],[Fecha Financiero]])=TRUE,MONTH(Producción_Ganadera[[#This Row],[Fecha Financiero]]),0)</f>
        <v>0</v>
      </c>
      <c r="AO76" s="890">
        <f>IF(ISNUMBER(Producción_Ganadera[[#This Row],[Fecha Financiero]])=TRUE,YEAR(Producción_Ganadera[[#This Row],[Fecha Financiero]]),0)</f>
        <v>0</v>
      </c>
      <c r="AP76" s="891">
        <f>SUMPRODUCT((Producción_Ganadera[[#This Row],[Mes Financiero]]=Tipo_Cambio[Mes])*(Producción_Ganadera[[#This Row],[Año Financiero]]=Tipo_Cambio[Año])*(Tipo_Cambio[$/U$S]))</f>
        <v>0</v>
      </c>
      <c r="AQ76" s="891">
        <f>SUMPRODUCT((Producción_Ganadera[[#This Row],[Mes Financiero]]=Tipo_Cambio[Mes])*(Producción_Ganadera[[#This Row],[Año Financiero]]=Tipo_Cambio[Año])*(Tipo_Cambio[Actualización]))</f>
        <v>0</v>
      </c>
      <c r="AR76" s="892">
        <f>SUMPRODUCT((Producción_Ganadera[[#This Row],[Centro de Costo]]=Tabla19[Centro de Costo])*(Tabla19[Superficie])*(Producción_Ganadera[[#This Row],[Campaña]]=Tabla19[Campaña]))</f>
        <v>0</v>
      </c>
      <c r="AS76" s="891">
        <f>IFERROR(Producción_Ganadera[[#This Row],[Económico $Corrientes]]/Producción_Ganadera[[#This Row],[Superficie]],0)</f>
        <v>0</v>
      </c>
      <c r="AT76" s="891">
        <f>IFERROR(Producción_Ganadera[[#This Row],[Económico $Constantes]]/Producción_Ganadera[[#This Row],[Superficie]],0)</f>
        <v>0</v>
      </c>
      <c r="AU76" s="891">
        <f>IFERROR(Producción_Ganadera[[#This Row],[Económico U$S Dólares]]/Producción_Ganadera[[#This Row],[Superficie]],0)</f>
        <v>0</v>
      </c>
      <c r="AV76" s="887">
        <f>IF(Económico!$F$4=0,0,Producción_Ganadera[[#This Row],[Centro de Costo]])</f>
        <v>0</v>
      </c>
    </row>
    <row r="77" spans="1:48" x14ac:dyDescent="0.25">
      <c r="A77" s="86"/>
      <c r="B77" s="376"/>
      <c r="C77" s="86"/>
      <c r="D77" s="535"/>
      <c r="E77" s="610"/>
      <c r="F77" s="870" t="str">
        <f t="shared" ref="F77:F101" si="6">Campaña_Actual</f>
        <v>2018-2019</v>
      </c>
      <c r="G77" s="538" t="s">
        <v>127</v>
      </c>
      <c r="H77" s="538"/>
      <c r="I77" s="538"/>
      <c r="J77" s="584"/>
      <c r="K77" s="538"/>
      <c r="L77" s="585"/>
      <c r="M77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77" s="870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77" s="612"/>
      <c r="P77" s="540"/>
      <c r="Q77" s="876">
        <f>IF(ISNUMBER(Producción_Ganadera[[#This Row],[Cabezas]])=TRUE,Producción_Ganadera[[#This Row],[Cabezas]]*Producción_Ganadera[[#This Row],[Cantidad]],Producción_Ganadera[[#This Row],[Cantidad]])</f>
        <v>0</v>
      </c>
      <c r="R77" s="613"/>
      <c r="S77" s="588"/>
      <c r="T77" s="589"/>
      <c r="U77" s="895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77" s="893">
        <f>IFERROR(Producción_Ganadera[[#This Row],[Económico $Corrientes]]/Producción_Ganadera[[#This Row],[Indexación Económico]],0)</f>
        <v>0</v>
      </c>
      <c r="W77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77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77" s="893">
        <f>IFERROR(Producción_Ganadera[[#This Row],[Financiero $Corrientes]]/Producción_Ganadera[[#This Row],[Indexación Financiero]],0)</f>
        <v>0</v>
      </c>
      <c r="Z77" s="92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77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77" s="897">
        <f>IFERROR(Producción_Ganadera[[#This Row],[Intereses $Corrientes]]/Producción_Ganadera[[#This Row],[Indexación Financiero]],0)</f>
        <v>0</v>
      </c>
      <c r="AC77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77" s="922" t="str">
        <f>IFERROR(INDEX(Produccion_Ganadera_Cuentas[],MATCH(Producción_Ganadera[[#This Row],[Cuenta Contable]],Produccion_Ganadera_Cuentas[Cuenta Contable],0),2),0)</f>
        <v>Egreso</v>
      </c>
      <c r="AE77" s="923">
        <f>IF(Producción_Ganadera[[#This Row],[Mov. Stock]]="(+)",Producción_Ganadera[[#This Row],[Cabezas]],IF(Producción_Ganadera[[#This Row],[Mov. Stock]]="(-)",-Producción_Ganadera[[#This Row],[Cabezas]],0))</f>
        <v>0</v>
      </c>
      <c r="AF77" s="924">
        <f>IFERROR(INDEX(Produccion_Ganadera_Cuentas[],MATCH(Producción_Ganadera[[#This Row],[Cuenta Contable]],Produccion_Ganadera_Cuentas[Cuenta Contable],0),5),0)</f>
        <v>0</v>
      </c>
      <c r="AG77" s="925" t="str">
        <f>IF(Producción_Ganadera[[#This Row],[Cuenta Contable]]=Configuración!$AC$9,"Si","No")</f>
        <v>No</v>
      </c>
      <c r="AH77" s="899" t="str">
        <f>IFERROR(INDEX(Tabla9[],MATCH(Producción_Ganadera[[#This Row],[Movimiento]],Tabla9[Movimientos],0),2),0)</f>
        <v>Si</v>
      </c>
      <c r="AI77" s="900" t="str">
        <f>IFERROR(INDEX(Tabla9[],MATCH(Producción_Ganadera[[#This Row],[Movimiento]],Tabla9[Movimientos],0),3),0)</f>
        <v>(-)</v>
      </c>
      <c r="AJ77" s="897">
        <f>IF(Producción_Ganadera[[#This Row],[Fecha Económico]]=0,0,MONTH(Producción_Ganadera[[#This Row],[Fecha Económico]]))</f>
        <v>0</v>
      </c>
      <c r="AK77" s="897">
        <f>IF(Producción_Ganadera[[#This Row],[Fecha Económico]]=0,0,YEAR(Producción_Ganadera[[#This Row],[Fecha Económico]]))</f>
        <v>0</v>
      </c>
      <c r="AL77" s="901">
        <f>SUMPRODUCT((Producción_Ganadera[[#This Row],[Mes Económico]]=Tipo_Cambio[Mes])*(Producción_Ganadera[[#This Row],[Año Económico]]=Tipo_Cambio[Año])*(Tipo_Cambio[$/U$S]))</f>
        <v>0</v>
      </c>
      <c r="AM77" s="901">
        <f>SUMPRODUCT((Producción_Ganadera[[#This Row],[Mes Económico]]=Tipo_Cambio[Mes])*(Producción_Ganadera[[#This Row],[Año Económico]]=Tipo_Cambio[Año])*(Tipo_Cambio[Actualización]))</f>
        <v>0</v>
      </c>
      <c r="AN77" s="897">
        <f>IF(ISNUMBER(Producción_Ganadera[[#This Row],[Fecha Financiero]])=TRUE,MONTH(Producción_Ganadera[[#This Row],[Fecha Financiero]]),0)</f>
        <v>0</v>
      </c>
      <c r="AO77" s="897">
        <f>IF(ISNUMBER(Producción_Ganadera[[#This Row],[Fecha Financiero]])=TRUE,YEAR(Producción_Ganadera[[#This Row],[Fecha Financiero]]),0)</f>
        <v>0</v>
      </c>
      <c r="AP77" s="901">
        <f>SUMPRODUCT((Producción_Ganadera[[#This Row],[Mes Financiero]]=Tipo_Cambio[Mes])*(Producción_Ganadera[[#This Row],[Año Financiero]]=Tipo_Cambio[Año])*(Tipo_Cambio[$/U$S]))</f>
        <v>0</v>
      </c>
      <c r="AQ77" s="901">
        <f>SUMPRODUCT((Producción_Ganadera[[#This Row],[Mes Financiero]]=Tipo_Cambio[Mes])*(Producción_Ganadera[[#This Row],[Año Financiero]]=Tipo_Cambio[Año])*(Tipo_Cambio[Actualización]))</f>
        <v>0</v>
      </c>
      <c r="AR77" s="926">
        <f>SUMPRODUCT((Producción_Ganadera[[#This Row],[Centro de Costo]]=Tabla19[Centro de Costo])*(Tabla19[Superficie])*(Producción_Ganadera[[#This Row],[Campaña]]=Tabla19[Campaña]))</f>
        <v>0</v>
      </c>
      <c r="AS77" s="925">
        <f>IFERROR(Producción_Ganadera[[#This Row],[Económico $Corrientes]]/Producción_Ganadera[[#This Row],[Superficie]],0)</f>
        <v>0</v>
      </c>
      <c r="AT77" s="925">
        <f>IFERROR(Producción_Ganadera[[#This Row],[Económico $Constantes]]/Producción_Ganadera[[#This Row],[Superficie]],0)</f>
        <v>0</v>
      </c>
      <c r="AU77" s="925">
        <f>IFERROR(Producción_Ganadera[[#This Row],[Económico U$S Dólares]]/Producción_Ganadera[[#This Row],[Superficie]],0)</f>
        <v>0</v>
      </c>
      <c r="AV77" s="923">
        <f>IF(Económico!$F$4=0,0,Producción_Ganadera[[#This Row],[Centro de Costo]])</f>
        <v>0</v>
      </c>
    </row>
    <row r="78" spans="1:48" x14ac:dyDescent="0.25">
      <c r="A78" s="86"/>
      <c r="B78" s="376"/>
      <c r="C78" s="86"/>
      <c r="D78" s="528"/>
      <c r="E78" s="522"/>
      <c r="F78" s="869" t="str">
        <f t="shared" si="6"/>
        <v>2018-2019</v>
      </c>
      <c r="G78" s="491" t="str">
        <f>GAN_Ventas</f>
        <v>Venta Hacienda</v>
      </c>
      <c r="H78" s="481"/>
      <c r="I78" s="481"/>
      <c r="J78" s="549"/>
      <c r="K78" s="481"/>
      <c r="L78" s="520"/>
      <c r="M7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7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78" s="611"/>
      <c r="P78" s="484"/>
      <c r="Q78" s="875">
        <f>IF(ISNUMBER(Producción_Ganadera[[#This Row],[Cabezas]])=TRUE,Producción_Ganadera[[#This Row],[Cabezas]]*Producción_Ganadera[[#This Row],[Cantidad]],Producción_Ganadera[[#This Row],[Cantidad]])</f>
        <v>0</v>
      </c>
      <c r="R78" s="482"/>
      <c r="S78" s="552"/>
      <c r="T78" s="553"/>
      <c r="U7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78" s="913">
        <f>IFERROR(Producción_Ganadera[[#This Row],[Económico $Corrientes]]/Producción_Ganadera[[#This Row],[Indexación Económico]],0)</f>
        <v>0</v>
      </c>
      <c r="W7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7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78" s="913">
        <f>IFERROR(Producción_Ganadera[[#This Row],[Financiero $Corrientes]]/Producción_Ganadera[[#This Row],[Indexación Financiero]],0)</f>
        <v>0</v>
      </c>
      <c r="Z7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7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78" s="885">
        <f>IFERROR(Producción_Ganadera[[#This Row],[Intereses $Corrientes]]/Producción_Ganadera[[#This Row],[Indexación Financiero]],0)</f>
        <v>0</v>
      </c>
      <c r="AC7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78" s="915" t="str">
        <f>IFERROR(INDEX(Produccion_Ganadera_Cuentas[],MATCH(Producción_Ganadera[[#This Row],[Cuenta Contable]],Produccion_Ganadera_Cuentas[Cuenta Contable],0),2),0)</f>
        <v>Ingreso</v>
      </c>
      <c r="AE78" s="916">
        <f>IF(Producción_Ganadera[[#This Row],[Mov. Stock]]="(+)",Producción_Ganadera[[#This Row],[Cabezas]],IF(Producción_Ganadera[[#This Row],[Mov. Stock]]="(-)",-Producción_Ganadera[[#This Row],[Cabezas]],0))</f>
        <v>0</v>
      </c>
      <c r="AF78" s="917" t="str">
        <f>IFERROR(INDEX(Produccion_Ganadera_Cuentas[],MATCH(Producción_Ganadera[[#This Row],[Cuenta Contable]],Produccion_Ganadera_Cuentas[Cuenta Contable],0),5),0)</f>
        <v>(-)</v>
      </c>
      <c r="AG78" s="918" t="str">
        <f>IF(Producción_Ganadera[[#This Row],[Cuenta Contable]]=Configuración!$AC$9,"Si","No")</f>
        <v>No</v>
      </c>
      <c r="AH78" s="887" t="str">
        <f>IFERROR(INDEX(Tabla9[],MATCH(Producción_Ganadera[[#This Row],[Movimiento]],Tabla9[Movimientos],0),2),0)</f>
        <v>Si</v>
      </c>
      <c r="AI78" s="888" t="str">
        <f>IFERROR(INDEX(Tabla9[],MATCH(Producción_Ganadera[[#This Row],[Movimiento]],Tabla9[Movimientos],0),3),0)</f>
        <v>(+)</v>
      </c>
      <c r="AJ78" s="890">
        <f>IF(Producción_Ganadera[[#This Row],[Fecha Económico]]=0,0,MONTH(Producción_Ganadera[[#This Row],[Fecha Económico]]))</f>
        <v>0</v>
      </c>
      <c r="AK78" s="890">
        <f>IF(Producción_Ganadera[[#This Row],[Fecha Económico]]=0,0,YEAR(Producción_Ganadera[[#This Row],[Fecha Económico]]))</f>
        <v>0</v>
      </c>
      <c r="AL78" s="891">
        <f>SUMPRODUCT((Producción_Ganadera[[#This Row],[Mes Económico]]=Tipo_Cambio[Mes])*(Producción_Ganadera[[#This Row],[Año Económico]]=Tipo_Cambio[Año])*(Tipo_Cambio[$/U$S]))</f>
        <v>0</v>
      </c>
      <c r="AM78" s="891">
        <f>SUMPRODUCT((Producción_Ganadera[[#This Row],[Mes Económico]]=Tipo_Cambio[Mes])*(Producción_Ganadera[[#This Row],[Año Económico]]=Tipo_Cambio[Año])*(Tipo_Cambio[Actualización]))</f>
        <v>0</v>
      </c>
      <c r="AN78" s="890">
        <f>IF(ISNUMBER(Producción_Ganadera[[#This Row],[Fecha Financiero]])=TRUE,MONTH(Producción_Ganadera[[#This Row],[Fecha Financiero]]),0)</f>
        <v>0</v>
      </c>
      <c r="AO78" s="890">
        <f>IF(ISNUMBER(Producción_Ganadera[[#This Row],[Fecha Financiero]])=TRUE,YEAR(Producción_Ganadera[[#This Row],[Fecha Financiero]]),0)</f>
        <v>0</v>
      </c>
      <c r="AP78" s="891">
        <f>SUMPRODUCT((Producción_Ganadera[[#This Row],[Mes Financiero]]=Tipo_Cambio[Mes])*(Producción_Ganadera[[#This Row],[Año Financiero]]=Tipo_Cambio[Año])*(Tipo_Cambio[$/U$S]))</f>
        <v>0</v>
      </c>
      <c r="AQ78" s="891">
        <f>SUMPRODUCT((Producción_Ganadera[[#This Row],[Mes Financiero]]=Tipo_Cambio[Mes])*(Producción_Ganadera[[#This Row],[Año Financiero]]=Tipo_Cambio[Año])*(Tipo_Cambio[Actualización]))</f>
        <v>0</v>
      </c>
      <c r="AR78" s="919">
        <f>SUMPRODUCT((Producción_Ganadera[[#This Row],[Centro de Costo]]=Tabla19[Centro de Costo])*(Tabla19[Superficie])*(Producción_Ganadera[[#This Row],[Campaña]]=Tabla19[Campaña]))</f>
        <v>0</v>
      </c>
      <c r="AS78" s="920">
        <f>IFERROR(Producción_Ganadera[[#This Row],[Económico $Corrientes]]/Producción_Ganadera[[#This Row],[Superficie]],0)</f>
        <v>0</v>
      </c>
      <c r="AT78" s="920">
        <f>IFERROR(Producción_Ganadera[[#This Row],[Económico $Constantes]]/Producción_Ganadera[[#This Row],[Superficie]],0)</f>
        <v>0</v>
      </c>
      <c r="AU78" s="920">
        <f>IFERROR(Producción_Ganadera[[#This Row],[Económico U$S Dólares]]/Producción_Ganadera[[#This Row],[Superficie]],0)</f>
        <v>0</v>
      </c>
      <c r="AV78" s="916">
        <f>IF(Económico!$F$4=0,0,Producción_Ganadera[[#This Row],[Centro de Costo]])</f>
        <v>0</v>
      </c>
    </row>
    <row r="79" spans="1:48" x14ac:dyDescent="0.25">
      <c r="A79" s="86"/>
      <c r="B79" s="376"/>
      <c r="C79" s="86"/>
      <c r="D79" s="528"/>
      <c r="E79" s="522"/>
      <c r="F79" s="869" t="str">
        <f t="shared" si="6"/>
        <v>2018-2019</v>
      </c>
      <c r="G79" s="481" t="str">
        <f>GAN_Ventas</f>
        <v>Venta Hacienda</v>
      </c>
      <c r="H79" s="481"/>
      <c r="I79" s="481"/>
      <c r="J79" s="549"/>
      <c r="K79" s="481"/>
      <c r="L79" s="520"/>
      <c r="M7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7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79" s="611"/>
      <c r="P79" s="484"/>
      <c r="Q79" s="875">
        <f>IF(ISNUMBER(Producción_Ganadera[[#This Row],[Cabezas]])=TRUE,Producción_Ganadera[[#This Row],[Cabezas]]*Producción_Ganadera[[#This Row],[Cantidad]],Producción_Ganadera[[#This Row],[Cantidad]])</f>
        <v>0</v>
      </c>
      <c r="R79" s="482"/>
      <c r="S79" s="552"/>
      <c r="T79" s="553"/>
      <c r="U7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79" s="913">
        <f>IFERROR(Producción_Ganadera[[#This Row],[Económico $Corrientes]]/Producción_Ganadera[[#This Row],[Indexación Económico]],0)</f>
        <v>0</v>
      </c>
      <c r="W7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7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79" s="913">
        <f>IFERROR(Producción_Ganadera[[#This Row],[Financiero $Corrientes]]/Producción_Ganadera[[#This Row],[Indexación Financiero]],0)</f>
        <v>0</v>
      </c>
      <c r="Z7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7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79" s="885">
        <f>IFERROR(Producción_Ganadera[[#This Row],[Intereses $Corrientes]]/Producción_Ganadera[[#This Row],[Indexación Financiero]],0)</f>
        <v>0</v>
      </c>
      <c r="AC7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79" s="915" t="str">
        <f>IFERROR(INDEX(Produccion_Ganadera_Cuentas[],MATCH(Producción_Ganadera[[#This Row],[Cuenta Contable]],Produccion_Ganadera_Cuentas[Cuenta Contable],0),2),0)</f>
        <v>Ingreso</v>
      </c>
      <c r="AE79" s="916">
        <f>IF(Producción_Ganadera[[#This Row],[Mov. Stock]]="(+)",Producción_Ganadera[[#This Row],[Cabezas]],IF(Producción_Ganadera[[#This Row],[Mov. Stock]]="(-)",-Producción_Ganadera[[#This Row],[Cabezas]],0))</f>
        <v>0</v>
      </c>
      <c r="AF79" s="917" t="str">
        <f>IFERROR(INDEX(Produccion_Ganadera_Cuentas[],MATCH(Producción_Ganadera[[#This Row],[Cuenta Contable]],Produccion_Ganadera_Cuentas[Cuenta Contable],0),5),0)</f>
        <v>(-)</v>
      </c>
      <c r="AG79" s="918" t="str">
        <f>IF(Producción_Ganadera[[#This Row],[Cuenta Contable]]=Configuración!$AC$9,"Si","No")</f>
        <v>No</v>
      </c>
      <c r="AH79" s="887" t="str">
        <f>IFERROR(INDEX(Tabla9[],MATCH(Producción_Ganadera[[#This Row],[Movimiento]],Tabla9[Movimientos],0),2),0)</f>
        <v>Si</v>
      </c>
      <c r="AI79" s="888" t="str">
        <f>IFERROR(INDEX(Tabla9[],MATCH(Producción_Ganadera[[#This Row],[Movimiento]],Tabla9[Movimientos],0),3),0)</f>
        <v>(+)</v>
      </c>
      <c r="AJ79" s="890">
        <f>IF(Producción_Ganadera[[#This Row],[Fecha Económico]]=0,0,MONTH(Producción_Ganadera[[#This Row],[Fecha Económico]]))</f>
        <v>0</v>
      </c>
      <c r="AK79" s="890">
        <f>IF(Producción_Ganadera[[#This Row],[Fecha Económico]]=0,0,YEAR(Producción_Ganadera[[#This Row],[Fecha Económico]]))</f>
        <v>0</v>
      </c>
      <c r="AL79" s="891">
        <f>SUMPRODUCT((Producción_Ganadera[[#This Row],[Mes Económico]]=Tipo_Cambio[Mes])*(Producción_Ganadera[[#This Row],[Año Económico]]=Tipo_Cambio[Año])*(Tipo_Cambio[$/U$S]))</f>
        <v>0</v>
      </c>
      <c r="AM79" s="891">
        <f>SUMPRODUCT((Producción_Ganadera[[#This Row],[Mes Económico]]=Tipo_Cambio[Mes])*(Producción_Ganadera[[#This Row],[Año Económico]]=Tipo_Cambio[Año])*(Tipo_Cambio[Actualización]))</f>
        <v>0</v>
      </c>
      <c r="AN79" s="890">
        <f>IF(ISNUMBER(Producción_Ganadera[[#This Row],[Fecha Financiero]])=TRUE,MONTH(Producción_Ganadera[[#This Row],[Fecha Financiero]]),0)</f>
        <v>0</v>
      </c>
      <c r="AO79" s="890">
        <f>IF(ISNUMBER(Producción_Ganadera[[#This Row],[Fecha Financiero]])=TRUE,YEAR(Producción_Ganadera[[#This Row],[Fecha Financiero]]),0)</f>
        <v>0</v>
      </c>
      <c r="AP79" s="891">
        <f>SUMPRODUCT((Producción_Ganadera[[#This Row],[Mes Financiero]]=Tipo_Cambio[Mes])*(Producción_Ganadera[[#This Row],[Año Financiero]]=Tipo_Cambio[Año])*(Tipo_Cambio[$/U$S]))</f>
        <v>0</v>
      </c>
      <c r="AQ79" s="891">
        <f>SUMPRODUCT((Producción_Ganadera[[#This Row],[Mes Financiero]]=Tipo_Cambio[Mes])*(Producción_Ganadera[[#This Row],[Año Financiero]]=Tipo_Cambio[Año])*(Tipo_Cambio[Actualización]))</f>
        <v>0</v>
      </c>
      <c r="AR79" s="919">
        <f>SUMPRODUCT((Producción_Ganadera[[#This Row],[Centro de Costo]]=Tabla19[Centro de Costo])*(Tabla19[Superficie])*(Producción_Ganadera[[#This Row],[Campaña]]=Tabla19[Campaña]))</f>
        <v>0</v>
      </c>
      <c r="AS79" s="920">
        <f>IFERROR(Producción_Ganadera[[#This Row],[Económico $Corrientes]]/Producción_Ganadera[[#This Row],[Superficie]],0)</f>
        <v>0</v>
      </c>
      <c r="AT79" s="920">
        <f>IFERROR(Producción_Ganadera[[#This Row],[Económico $Constantes]]/Producción_Ganadera[[#This Row],[Superficie]],0)</f>
        <v>0</v>
      </c>
      <c r="AU79" s="920">
        <f>IFERROR(Producción_Ganadera[[#This Row],[Económico U$S Dólares]]/Producción_Ganadera[[#This Row],[Superficie]],0)</f>
        <v>0</v>
      </c>
      <c r="AV79" s="916">
        <f>IF(Económico!$F$4=0,0,Producción_Ganadera[[#This Row],[Centro de Costo]])</f>
        <v>0</v>
      </c>
    </row>
    <row r="80" spans="1:48" x14ac:dyDescent="0.25">
      <c r="A80" s="86"/>
      <c r="B80" s="376"/>
      <c r="C80" s="86"/>
      <c r="D80" s="528"/>
      <c r="E80" s="522"/>
      <c r="F80" s="869" t="str">
        <f t="shared" si="6"/>
        <v>2018-2019</v>
      </c>
      <c r="G80" s="481" t="s">
        <v>127</v>
      </c>
      <c r="H80" s="481"/>
      <c r="I80" s="481"/>
      <c r="J80" s="549"/>
      <c r="K80" s="481"/>
      <c r="L80" s="520"/>
      <c r="M8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8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80" s="611"/>
      <c r="P80" s="484"/>
      <c r="Q80" s="875">
        <f>IF(ISNUMBER(Producción_Ganadera[[#This Row],[Cabezas]])=TRUE,Producción_Ganadera[[#This Row],[Cabezas]]*Producción_Ganadera[[#This Row],[Cantidad]],Producción_Ganadera[[#This Row],[Cantidad]])</f>
        <v>0</v>
      </c>
      <c r="R80" s="482"/>
      <c r="S80" s="552"/>
      <c r="T80" s="553"/>
      <c r="U8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80" s="913">
        <f>IFERROR(Producción_Ganadera[[#This Row],[Económico $Corrientes]]/Producción_Ganadera[[#This Row],[Indexación Económico]],0)</f>
        <v>0</v>
      </c>
      <c r="W8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8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80" s="913">
        <f>IFERROR(Producción_Ganadera[[#This Row],[Financiero $Corrientes]]/Producción_Ganadera[[#This Row],[Indexación Financiero]],0)</f>
        <v>0</v>
      </c>
      <c r="Z8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8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80" s="885">
        <f>IFERROR(Producción_Ganadera[[#This Row],[Intereses $Corrientes]]/Producción_Ganadera[[#This Row],[Indexación Financiero]],0)</f>
        <v>0</v>
      </c>
      <c r="AC8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80" s="915" t="str">
        <f>IFERROR(INDEX(Produccion_Ganadera_Cuentas[],MATCH(Producción_Ganadera[[#This Row],[Cuenta Contable]],Produccion_Ganadera_Cuentas[Cuenta Contable],0),2),0)</f>
        <v>Egreso</v>
      </c>
      <c r="AE80" s="916">
        <f>IF(Producción_Ganadera[[#This Row],[Mov. Stock]]="(+)",Producción_Ganadera[[#This Row],[Cabezas]],IF(Producción_Ganadera[[#This Row],[Mov. Stock]]="(-)",-Producción_Ganadera[[#This Row],[Cabezas]],0))</f>
        <v>0</v>
      </c>
      <c r="AF80" s="917">
        <f>IFERROR(INDEX(Produccion_Ganadera_Cuentas[],MATCH(Producción_Ganadera[[#This Row],[Cuenta Contable]],Produccion_Ganadera_Cuentas[Cuenta Contable],0),5),0)</f>
        <v>0</v>
      </c>
      <c r="AG80" s="918" t="str">
        <f>IF(Producción_Ganadera[[#This Row],[Cuenta Contable]]=Configuración!$AC$9,"Si","No")</f>
        <v>No</v>
      </c>
      <c r="AH80" s="887" t="str">
        <f>IFERROR(INDEX(Tabla9[],MATCH(Producción_Ganadera[[#This Row],[Movimiento]],Tabla9[Movimientos],0),2),0)</f>
        <v>Si</v>
      </c>
      <c r="AI80" s="888" t="str">
        <f>IFERROR(INDEX(Tabla9[],MATCH(Producción_Ganadera[[#This Row],[Movimiento]],Tabla9[Movimientos],0),3),0)</f>
        <v>(-)</v>
      </c>
      <c r="AJ80" s="890">
        <f>IF(Producción_Ganadera[[#This Row],[Fecha Económico]]=0,0,MONTH(Producción_Ganadera[[#This Row],[Fecha Económico]]))</f>
        <v>0</v>
      </c>
      <c r="AK80" s="890">
        <f>IF(Producción_Ganadera[[#This Row],[Fecha Económico]]=0,0,YEAR(Producción_Ganadera[[#This Row],[Fecha Económico]]))</f>
        <v>0</v>
      </c>
      <c r="AL80" s="891">
        <f>SUMPRODUCT((Producción_Ganadera[[#This Row],[Mes Económico]]=Tipo_Cambio[Mes])*(Producción_Ganadera[[#This Row],[Año Económico]]=Tipo_Cambio[Año])*(Tipo_Cambio[$/U$S]))</f>
        <v>0</v>
      </c>
      <c r="AM80" s="891">
        <f>SUMPRODUCT((Producción_Ganadera[[#This Row],[Mes Económico]]=Tipo_Cambio[Mes])*(Producción_Ganadera[[#This Row],[Año Económico]]=Tipo_Cambio[Año])*(Tipo_Cambio[Actualización]))</f>
        <v>0</v>
      </c>
      <c r="AN80" s="890">
        <f>IF(ISNUMBER(Producción_Ganadera[[#This Row],[Fecha Financiero]])=TRUE,MONTH(Producción_Ganadera[[#This Row],[Fecha Financiero]]),0)</f>
        <v>0</v>
      </c>
      <c r="AO80" s="890">
        <f>IF(ISNUMBER(Producción_Ganadera[[#This Row],[Fecha Financiero]])=TRUE,YEAR(Producción_Ganadera[[#This Row],[Fecha Financiero]]),0)</f>
        <v>0</v>
      </c>
      <c r="AP80" s="891">
        <f>SUMPRODUCT((Producción_Ganadera[[#This Row],[Mes Financiero]]=Tipo_Cambio[Mes])*(Producción_Ganadera[[#This Row],[Año Financiero]]=Tipo_Cambio[Año])*(Tipo_Cambio[$/U$S]))</f>
        <v>0</v>
      </c>
      <c r="AQ80" s="891">
        <f>SUMPRODUCT((Producción_Ganadera[[#This Row],[Mes Financiero]]=Tipo_Cambio[Mes])*(Producción_Ganadera[[#This Row],[Año Financiero]]=Tipo_Cambio[Año])*(Tipo_Cambio[Actualización]))</f>
        <v>0</v>
      </c>
      <c r="AR80" s="919">
        <f>SUMPRODUCT((Producción_Ganadera[[#This Row],[Centro de Costo]]=Tabla19[Centro de Costo])*(Tabla19[Superficie])*(Producción_Ganadera[[#This Row],[Campaña]]=Tabla19[Campaña]))</f>
        <v>0</v>
      </c>
      <c r="AS80" s="920">
        <f>IFERROR(Producción_Ganadera[[#This Row],[Económico $Corrientes]]/Producción_Ganadera[[#This Row],[Superficie]],0)</f>
        <v>0</v>
      </c>
      <c r="AT80" s="920">
        <f>IFERROR(Producción_Ganadera[[#This Row],[Económico $Constantes]]/Producción_Ganadera[[#This Row],[Superficie]],0)</f>
        <v>0</v>
      </c>
      <c r="AU80" s="920">
        <f>IFERROR(Producción_Ganadera[[#This Row],[Económico U$S Dólares]]/Producción_Ganadera[[#This Row],[Superficie]],0)</f>
        <v>0</v>
      </c>
      <c r="AV80" s="916">
        <f>IF(Económico!$F$4=0,0,Producción_Ganadera[[#This Row],[Centro de Costo]])</f>
        <v>0</v>
      </c>
    </row>
    <row r="81" spans="1:48" x14ac:dyDescent="0.25">
      <c r="A81" s="86"/>
      <c r="B81" s="376"/>
      <c r="C81" s="86"/>
      <c r="D81" s="535"/>
      <c r="E81" s="610"/>
      <c r="F81" s="870" t="str">
        <f t="shared" si="6"/>
        <v>2018-2019</v>
      </c>
      <c r="G81" s="538" t="s">
        <v>127</v>
      </c>
      <c r="H81" s="538"/>
      <c r="I81" s="538"/>
      <c r="J81" s="584"/>
      <c r="K81" s="538"/>
      <c r="L81" s="585"/>
      <c r="M81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81" s="870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81" s="612"/>
      <c r="P81" s="540"/>
      <c r="Q81" s="876">
        <f>IF(ISNUMBER(Producción_Ganadera[[#This Row],[Cabezas]])=TRUE,Producción_Ganadera[[#This Row],[Cabezas]]*Producción_Ganadera[[#This Row],[Cantidad]],Producción_Ganadera[[#This Row],[Cantidad]])</f>
        <v>0</v>
      </c>
      <c r="R81" s="613"/>
      <c r="S81" s="588"/>
      <c r="T81" s="589"/>
      <c r="U81" s="895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81" s="893">
        <f>IFERROR(Producción_Ganadera[[#This Row],[Económico $Corrientes]]/Producción_Ganadera[[#This Row],[Indexación Económico]],0)</f>
        <v>0</v>
      </c>
      <c r="W81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81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81" s="893">
        <f>IFERROR(Producción_Ganadera[[#This Row],[Financiero $Corrientes]]/Producción_Ganadera[[#This Row],[Indexación Financiero]],0)</f>
        <v>0</v>
      </c>
      <c r="Z81" s="92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81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81" s="897">
        <f>IFERROR(Producción_Ganadera[[#This Row],[Intereses $Corrientes]]/Producción_Ganadera[[#This Row],[Indexación Financiero]],0)</f>
        <v>0</v>
      </c>
      <c r="AC81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81" s="922" t="str">
        <f>IFERROR(INDEX(Produccion_Ganadera_Cuentas[],MATCH(Producción_Ganadera[[#This Row],[Cuenta Contable]],Produccion_Ganadera_Cuentas[Cuenta Contable],0),2),0)</f>
        <v>Egreso</v>
      </c>
      <c r="AE81" s="923">
        <f>IF(Producción_Ganadera[[#This Row],[Mov. Stock]]="(+)",Producción_Ganadera[[#This Row],[Cabezas]],IF(Producción_Ganadera[[#This Row],[Mov. Stock]]="(-)",-Producción_Ganadera[[#This Row],[Cabezas]],0))</f>
        <v>0</v>
      </c>
      <c r="AF81" s="924">
        <f>IFERROR(INDEX(Produccion_Ganadera_Cuentas[],MATCH(Producción_Ganadera[[#This Row],[Cuenta Contable]],Produccion_Ganadera_Cuentas[Cuenta Contable],0),5),0)</f>
        <v>0</v>
      </c>
      <c r="AG81" s="925" t="str">
        <f>IF(Producción_Ganadera[[#This Row],[Cuenta Contable]]=Configuración!$AC$9,"Si","No")</f>
        <v>No</v>
      </c>
      <c r="AH81" s="899" t="str">
        <f>IFERROR(INDEX(Tabla9[],MATCH(Producción_Ganadera[[#This Row],[Movimiento]],Tabla9[Movimientos],0),2),0)</f>
        <v>Si</v>
      </c>
      <c r="AI81" s="900" t="str">
        <f>IFERROR(INDEX(Tabla9[],MATCH(Producción_Ganadera[[#This Row],[Movimiento]],Tabla9[Movimientos],0),3),0)</f>
        <v>(-)</v>
      </c>
      <c r="AJ81" s="897">
        <f>IF(Producción_Ganadera[[#This Row],[Fecha Económico]]=0,0,MONTH(Producción_Ganadera[[#This Row],[Fecha Económico]]))</f>
        <v>0</v>
      </c>
      <c r="AK81" s="897">
        <f>IF(Producción_Ganadera[[#This Row],[Fecha Económico]]=0,0,YEAR(Producción_Ganadera[[#This Row],[Fecha Económico]]))</f>
        <v>0</v>
      </c>
      <c r="AL81" s="901">
        <f>SUMPRODUCT((Producción_Ganadera[[#This Row],[Mes Económico]]=Tipo_Cambio[Mes])*(Producción_Ganadera[[#This Row],[Año Económico]]=Tipo_Cambio[Año])*(Tipo_Cambio[$/U$S]))</f>
        <v>0</v>
      </c>
      <c r="AM81" s="901">
        <f>SUMPRODUCT((Producción_Ganadera[[#This Row],[Mes Económico]]=Tipo_Cambio[Mes])*(Producción_Ganadera[[#This Row],[Año Económico]]=Tipo_Cambio[Año])*(Tipo_Cambio[Actualización]))</f>
        <v>0</v>
      </c>
      <c r="AN81" s="897">
        <f>IF(ISNUMBER(Producción_Ganadera[[#This Row],[Fecha Financiero]])=TRUE,MONTH(Producción_Ganadera[[#This Row],[Fecha Financiero]]),0)</f>
        <v>0</v>
      </c>
      <c r="AO81" s="897">
        <f>IF(ISNUMBER(Producción_Ganadera[[#This Row],[Fecha Financiero]])=TRUE,YEAR(Producción_Ganadera[[#This Row],[Fecha Financiero]]),0)</f>
        <v>0</v>
      </c>
      <c r="AP81" s="901">
        <f>SUMPRODUCT((Producción_Ganadera[[#This Row],[Mes Financiero]]=Tipo_Cambio[Mes])*(Producción_Ganadera[[#This Row],[Año Financiero]]=Tipo_Cambio[Año])*(Tipo_Cambio[$/U$S]))</f>
        <v>0</v>
      </c>
      <c r="AQ81" s="901">
        <f>SUMPRODUCT((Producción_Ganadera[[#This Row],[Mes Financiero]]=Tipo_Cambio[Mes])*(Producción_Ganadera[[#This Row],[Año Financiero]]=Tipo_Cambio[Año])*(Tipo_Cambio[Actualización]))</f>
        <v>0</v>
      </c>
      <c r="AR81" s="926">
        <f>SUMPRODUCT((Producción_Ganadera[[#This Row],[Centro de Costo]]=Tabla19[Centro de Costo])*(Tabla19[Superficie])*(Producción_Ganadera[[#This Row],[Campaña]]=Tabla19[Campaña]))</f>
        <v>0</v>
      </c>
      <c r="AS81" s="925">
        <f>IFERROR(Producción_Ganadera[[#This Row],[Económico $Corrientes]]/Producción_Ganadera[[#This Row],[Superficie]],0)</f>
        <v>0</v>
      </c>
      <c r="AT81" s="925">
        <f>IFERROR(Producción_Ganadera[[#This Row],[Económico $Constantes]]/Producción_Ganadera[[#This Row],[Superficie]],0)</f>
        <v>0</v>
      </c>
      <c r="AU81" s="925">
        <f>IFERROR(Producción_Ganadera[[#This Row],[Económico U$S Dólares]]/Producción_Ganadera[[#This Row],[Superficie]],0)</f>
        <v>0</v>
      </c>
      <c r="AV81" s="923">
        <f>IF(Económico!$F$4=0,0,Producción_Ganadera[[#This Row],[Centro de Costo]])</f>
        <v>0</v>
      </c>
    </row>
    <row r="82" spans="1:48" x14ac:dyDescent="0.25">
      <c r="A82" s="86"/>
      <c r="B82" s="376"/>
      <c r="C82" s="86"/>
      <c r="D82" s="528"/>
      <c r="E82" s="522"/>
      <c r="F82" s="869" t="str">
        <f t="shared" si="6"/>
        <v>2018-2019</v>
      </c>
      <c r="G82" s="491" t="str">
        <f>GAN_Ventas</f>
        <v>Venta Hacienda</v>
      </c>
      <c r="H82" s="481"/>
      <c r="I82" s="481"/>
      <c r="J82" s="549"/>
      <c r="K82" s="481"/>
      <c r="L82" s="520"/>
      <c r="M8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8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82" s="611"/>
      <c r="P82" s="484"/>
      <c r="Q82" s="875">
        <f>IF(ISNUMBER(Producción_Ganadera[[#This Row],[Cabezas]])=TRUE,Producción_Ganadera[[#This Row],[Cabezas]]*Producción_Ganadera[[#This Row],[Cantidad]],Producción_Ganadera[[#This Row],[Cantidad]])</f>
        <v>0</v>
      </c>
      <c r="R82" s="482"/>
      <c r="S82" s="552"/>
      <c r="T82" s="553"/>
      <c r="U8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82" s="913">
        <f>IFERROR(Producción_Ganadera[[#This Row],[Económico $Corrientes]]/Producción_Ganadera[[#This Row],[Indexación Económico]],0)</f>
        <v>0</v>
      </c>
      <c r="W8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8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82" s="913">
        <f>IFERROR(Producción_Ganadera[[#This Row],[Financiero $Corrientes]]/Producción_Ganadera[[#This Row],[Indexación Financiero]],0)</f>
        <v>0</v>
      </c>
      <c r="Z8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8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82" s="885">
        <f>IFERROR(Producción_Ganadera[[#This Row],[Intereses $Corrientes]]/Producción_Ganadera[[#This Row],[Indexación Financiero]],0)</f>
        <v>0</v>
      </c>
      <c r="AC8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82" s="915" t="str">
        <f>IFERROR(INDEX(Produccion_Ganadera_Cuentas[],MATCH(Producción_Ganadera[[#This Row],[Cuenta Contable]],Produccion_Ganadera_Cuentas[Cuenta Contable],0),2),0)</f>
        <v>Ingreso</v>
      </c>
      <c r="AE82" s="916">
        <f>IF(Producción_Ganadera[[#This Row],[Mov. Stock]]="(+)",Producción_Ganadera[[#This Row],[Cabezas]],IF(Producción_Ganadera[[#This Row],[Mov. Stock]]="(-)",-Producción_Ganadera[[#This Row],[Cabezas]],0))</f>
        <v>0</v>
      </c>
      <c r="AF82" s="917" t="str">
        <f>IFERROR(INDEX(Produccion_Ganadera_Cuentas[],MATCH(Producción_Ganadera[[#This Row],[Cuenta Contable]],Produccion_Ganadera_Cuentas[Cuenta Contable],0),5),0)</f>
        <v>(-)</v>
      </c>
      <c r="AG82" s="918" t="str">
        <f>IF(Producción_Ganadera[[#This Row],[Cuenta Contable]]=Configuración!$AC$9,"Si","No")</f>
        <v>No</v>
      </c>
      <c r="AH82" s="887" t="str">
        <f>IFERROR(INDEX(Tabla9[],MATCH(Producción_Ganadera[[#This Row],[Movimiento]],Tabla9[Movimientos],0),2),0)</f>
        <v>Si</v>
      </c>
      <c r="AI82" s="888" t="str">
        <f>IFERROR(INDEX(Tabla9[],MATCH(Producción_Ganadera[[#This Row],[Movimiento]],Tabla9[Movimientos],0),3),0)</f>
        <v>(+)</v>
      </c>
      <c r="AJ82" s="890">
        <f>IF(Producción_Ganadera[[#This Row],[Fecha Económico]]=0,0,MONTH(Producción_Ganadera[[#This Row],[Fecha Económico]]))</f>
        <v>0</v>
      </c>
      <c r="AK82" s="890">
        <f>IF(Producción_Ganadera[[#This Row],[Fecha Económico]]=0,0,YEAR(Producción_Ganadera[[#This Row],[Fecha Económico]]))</f>
        <v>0</v>
      </c>
      <c r="AL82" s="891">
        <f>SUMPRODUCT((Producción_Ganadera[[#This Row],[Mes Económico]]=Tipo_Cambio[Mes])*(Producción_Ganadera[[#This Row],[Año Económico]]=Tipo_Cambio[Año])*(Tipo_Cambio[$/U$S]))</f>
        <v>0</v>
      </c>
      <c r="AM82" s="891">
        <f>SUMPRODUCT((Producción_Ganadera[[#This Row],[Mes Económico]]=Tipo_Cambio[Mes])*(Producción_Ganadera[[#This Row],[Año Económico]]=Tipo_Cambio[Año])*(Tipo_Cambio[Actualización]))</f>
        <v>0</v>
      </c>
      <c r="AN82" s="890">
        <f>IF(ISNUMBER(Producción_Ganadera[[#This Row],[Fecha Financiero]])=TRUE,MONTH(Producción_Ganadera[[#This Row],[Fecha Financiero]]),0)</f>
        <v>0</v>
      </c>
      <c r="AO82" s="890">
        <f>IF(ISNUMBER(Producción_Ganadera[[#This Row],[Fecha Financiero]])=TRUE,YEAR(Producción_Ganadera[[#This Row],[Fecha Financiero]]),0)</f>
        <v>0</v>
      </c>
      <c r="AP82" s="891">
        <f>SUMPRODUCT((Producción_Ganadera[[#This Row],[Mes Financiero]]=Tipo_Cambio[Mes])*(Producción_Ganadera[[#This Row],[Año Financiero]]=Tipo_Cambio[Año])*(Tipo_Cambio[$/U$S]))</f>
        <v>0</v>
      </c>
      <c r="AQ82" s="891">
        <f>SUMPRODUCT((Producción_Ganadera[[#This Row],[Mes Financiero]]=Tipo_Cambio[Mes])*(Producción_Ganadera[[#This Row],[Año Financiero]]=Tipo_Cambio[Año])*(Tipo_Cambio[Actualización]))</f>
        <v>0</v>
      </c>
      <c r="AR82" s="919">
        <f>SUMPRODUCT((Producción_Ganadera[[#This Row],[Centro de Costo]]=Tabla19[Centro de Costo])*(Tabla19[Superficie])*(Producción_Ganadera[[#This Row],[Campaña]]=Tabla19[Campaña]))</f>
        <v>0</v>
      </c>
      <c r="AS82" s="920">
        <f>IFERROR(Producción_Ganadera[[#This Row],[Económico $Corrientes]]/Producción_Ganadera[[#This Row],[Superficie]],0)</f>
        <v>0</v>
      </c>
      <c r="AT82" s="920">
        <f>IFERROR(Producción_Ganadera[[#This Row],[Económico $Constantes]]/Producción_Ganadera[[#This Row],[Superficie]],0)</f>
        <v>0</v>
      </c>
      <c r="AU82" s="920">
        <f>IFERROR(Producción_Ganadera[[#This Row],[Económico U$S Dólares]]/Producción_Ganadera[[#This Row],[Superficie]],0)</f>
        <v>0</v>
      </c>
      <c r="AV82" s="916">
        <f>IF(Económico!$F$4=0,0,Producción_Ganadera[[#This Row],[Centro de Costo]])</f>
        <v>0</v>
      </c>
    </row>
    <row r="83" spans="1:48" x14ac:dyDescent="0.25">
      <c r="A83" s="86"/>
      <c r="B83" s="376"/>
      <c r="C83" s="86"/>
      <c r="D83" s="528"/>
      <c r="E83" s="522"/>
      <c r="F83" s="869" t="str">
        <f t="shared" si="6"/>
        <v>2018-2019</v>
      </c>
      <c r="G83" s="481" t="str">
        <f>GAN_Ventas</f>
        <v>Venta Hacienda</v>
      </c>
      <c r="H83" s="481"/>
      <c r="I83" s="481"/>
      <c r="J83" s="549"/>
      <c r="K83" s="481"/>
      <c r="L83" s="520"/>
      <c r="M8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8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83" s="611"/>
      <c r="P83" s="484"/>
      <c r="Q83" s="875">
        <f>IF(ISNUMBER(Producción_Ganadera[[#This Row],[Cabezas]])=TRUE,Producción_Ganadera[[#This Row],[Cabezas]]*Producción_Ganadera[[#This Row],[Cantidad]],Producción_Ganadera[[#This Row],[Cantidad]])</f>
        <v>0</v>
      </c>
      <c r="R83" s="482"/>
      <c r="S83" s="552"/>
      <c r="T83" s="553"/>
      <c r="U8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83" s="913">
        <f>IFERROR(Producción_Ganadera[[#This Row],[Económico $Corrientes]]/Producción_Ganadera[[#This Row],[Indexación Económico]],0)</f>
        <v>0</v>
      </c>
      <c r="W8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8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83" s="913">
        <f>IFERROR(Producción_Ganadera[[#This Row],[Financiero $Corrientes]]/Producción_Ganadera[[#This Row],[Indexación Financiero]],0)</f>
        <v>0</v>
      </c>
      <c r="Z8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8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83" s="885">
        <f>IFERROR(Producción_Ganadera[[#This Row],[Intereses $Corrientes]]/Producción_Ganadera[[#This Row],[Indexación Financiero]],0)</f>
        <v>0</v>
      </c>
      <c r="AC8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83" s="915" t="str">
        <f>IFERROR(INDEX(Produccion_Ganadera_Cuentas[],MATCH(Producción_Ganadera[[#This Row],[Cuenta Contable]],Produccion_Ganadera_Cuentas[Cuenta Contable],0),2),0)</f>
        <v>Ingreso</v>
      </c>
      <c r="AE83" s="916">
        <f>IF(Producción_Ganadera[[#This Row],[Mov. Stock]]="(+)",Producción_Ganadera[[#This Row],[Cabezas]],IF(Producción_Ganadera[[#This Row],[Mov. Stock]]="(-)",-Producción_Ganadera[[#This Row],[Cabezas]],0))</f>
        <v>0</v>
      </c>
      <c r="AF83" s="917" t="str">
        <f>IFERROR(INDEX(Produccion_Ganadera_Cuentas[],MATCH(Producción_Ganadera[[#This Row],[Cuenta Contable]],Produccion_Ganadera_Cuentas[Cuenta Contable],0),5),0)</f>
        <v>(-)</v>
      </c>
      <c r="AG83" s="918" t="str">
        <f>IF(Producción_Ganadera[[#This Row],[Cuenta Contable]]=Configuración!$AC$9,"Si","No")</f>
        <v>No</v>
      </c>
      <c r="AH83" s="887" t="str">
        <f>IFERROR(INDEX(Tabla9[],MATCH(Producción_Ganadera[[#This Row],[Movimiento]],Tabla9[Movimientos],0),2),0)</f>
        <v>Si</v>
      </c>
      <c r="AI83" s="888" t="str">
        <f>IFERROR(INDEX(Tabla9[],MATCH(Producción_Ganadera[[#This Row],[Movimiento]],Tabla9[Movimientos],0),3),0)</f>
        <v>(+)</v>
      </c>
      <c r="AJ83" s="890">
        <f>IF(Producción_Ganadera[[#This Row],[Fecha Económico]]=0,0,MONTH(Producción_Ganadera[[#This Row],[Fecha Económico]]))</f>
        <v>0</v>
      </c>
      <c r="AK83" s="890">
        <f>IF(Producción_Ganadera[[#This Row],[Fecha Económico]]=0,0,YEAR(Producción_Ganadera[[#This Row],[Fecha Económico]]))</f>
        <v>0</v>
      </c>
      <c r="AL83" s="891">
        <f>SUMPRODUCT((Producción_Ganadera[[#This Row],[Mes Económico]]=Tipo_Cambio[Mes])*(Producción_Ganadera[[#This Row],[Año Económico]]=Tipo_Cambio[Año])*(Tipo_Cambio[$/U$S]))</f>
        <v>0</v>
      </c>
      <c r="AM83" s="891">
        <f>SUMPRODUCT((Producción_Ganadera[[#This Row],[Mes Económico]]=Tipo_Cambio[Mes])*(Producción_Ganadera[[#This Row],[Año Económico]]=Tipo_Cambio[Año])*(Tipo_Cambio[Actualización]))</f>
        <v>0</v>
      </c>
      <c r="AN83" s="890">
        <f>IF(ISNUMBER(Producción_Ganadera[[#This Row],[Fecha Financiero]])=TRUE,MONTH(Producción_Ganadera[[#This Row],[Fecha Financiero]]),0)</f>
        <v>0</v>
      </c>
      <c r="AO83" s="890">
        <f>IF(ISNUMBER(Producción_Ganadera[[#This Row],[Fecha Financiero]])=TRUE,YEAR(Producción_Ganadera[[#This Row],[Fecha Financiero]]),0)</f>
        <v>0</v>
      </c>
      <c r="AP83" s="891">
        <f>SUMPRODUCT((Producción_Ganadera[[#This Row],[Mes Financiero]]=Tipo_Cambio[Mes])*(Producción_Ganadera[[#This Row],[Año Financiero]]=Tipo_Cambio[Año])*(Tipo_Cambio[$/U$S]))</f>
        <v>0</v>
      </c>
      <c r="AQ83" s="891">
        <f>SUMPRODUCT((Producción_Ganadera[[#This Row],[Mes Financiero]]=Tipo_Cambio[Mes])*(Producción_Ganadera[[#This Row],[Año Financiero]]=Tipo_Cambio[Año])*(Tipo_Cambio[Actualización]))</f>
        <v>0</v>
      </c>
      <c r="AR83" s="919">
        <f>SUMPRODUCT((Producción_Ganadera[[#This Row],[Centro de Costo]]=Tabla19[Centro de Costo])*(Tabla19[Superficie])*(Producción_Ganadera[[#This Row],[Campaña]]=Tabla19[Campaña]))</f>
        <v>0</v>
      </c>
      <c r="AS83" s="920">
        <f>IFERROR(Producción_Ganadera[[#This Row],[Económico $Corrientes]]/Producción_Ganadera[[#This Row],[Superficie]],0)</f>
        <v>0</v>
      </c>
      <c r="AT83" s="920">
        <f>IFERROR(Producción_Ganadera[[#This Row],[Económico $Constantes]]/Producción_Ganadera[[#This Row],[Superficie]],0)</f>
        <v>0</v>
      </c>
      <c r="AU83" s="920">
        <f>IFERROR(Producción_Ganadera[[#This Row],[Económico U$S Dólares]]/Producción_Ganadera[[#This Row],[Superficie]],0)</f>
        <v>0</v>
      </c>
      <c r="AV83" s="916">
        <f>IF(Económico!$F$4=0,0,Producción_Ganadera[[#This Row],[Centro de Costo]])</f>
        <v>0</v>
      </c>
    </row>
    <row r="84" spans="1:48" x14ac:dyDescent="0.25">
      <c r="A84" s="86"/>
      <c r="B84" s="376"/>
      <c r="C84" s="86"/>
      <c r="D84" s="528"/>
      <c r="E84" s="522"/>
      <c r="F84" s="869" t="str">
        <f t="shared" si="6"/>
        <v>2018-2019</v>
      </c>
      <c r="G84" s="481" t="s">
        <v>127</v>
      </c>
      <c r="H84" s="481"/>
      <c r="I84" s="481"/>
      <c r="J84" s="549"/>
      <c r="K84" s="481"/>
      <c r="L84" s="520"/>
      <c r="M8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8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84" s="611"/>
      <c r="P84" s="484"/>
      <c r="Q84" s="875">
        <f>IF(ISNUMBER(Producción_Ganadera[[#This Row],[Cabezas]])=TRUE,Producción_Ganadera[[#This Row],[Cabezas]]*Producción_Ganadera[[#This Row],[Cantidad]],Producción_Ganadera[[#This Row],[Cantidad]])</f>
        <v>0</v>
      </c>
      <c r="R84" s="482"/>
      <c r="S84" s="552"/>
      <c r="T84" s="553"/>
      <c r="U8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84" s="913">
        <f>IFERROR(Producción_Ganadera[[#This Row],[Económico $Corrientes]]/Producción_Ganadera[[#This Row],[Indexación Económico]],0)</f>
        <v>0</v>
      </c>
      <c r="W8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8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84" s="913">
        <f>IFERROR(Producción_Ganadera[[#This Row],[Financiero $Corrientes]]/Producción_Ganadera[[#This Row],[Indexación Financiero]],0)</f>
        <v>0</v>
      </c>
      <c r="Z8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8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84" s="885">
        <f>IFERROR(Producción_Ganadera[[#This Row],[Intereses $Corrientes]]/Producción_Ganadera[[#This Row],[Indexación Financiero]],0)</f>
        <v>0</v>
      </c>
      <c r="AC8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84" s="915" t="str">
        <f>IFERROR(INDEX(Produccion_Ganadera_Cuentas[],MATCH(Producción_Ganadera[[#This Row],[Cuenta Contable]],Produccion_Ganadera_Cuentas[Cuenta Contable],0),2),0)</f>
        <v>Egreso</v>
      </c>
      <c r="AE84" s="916">
        <f>IF(Producción_Ganadera[[#This Row],[Mov. Stock]]="(+)",Producción_Ganadera[[#This Row],[Cabezas]],IF(Producción_Ganadera[[#This Row],[Mov. Stock]]="(-)",-Producción_Ganadera[[#This Row],[Cabezas]],0))</f>
        <v>0</v>
      </c>
      <c r="AF84" s="917">
        <f>IFERROR(INDEX(Produccion_Ganadera_Cuentas[],MATCH(Producción_Ganadera[[#This Row],[Cuenta Contable]],Produccion_Ganadera_Cuentas[Cuenta Contable],0),5),0)</f>
        <v>0</v>
      </c>
      <c r="AG84" s="918" t="str">
        <f>IF(Producción_Ganadera[[#This Row],[Cuenta Contable]]=Configuración!$AC$9,"Si","No")</f>
        <v>No</v>
      </c>
      <c r="AH84" s="887" t="str">
        <f>IFERROR(INDEX(Tabla9[],MATCH(Producción_Ganadera[[#This Row],[Movimiento]],Tabla9[Movimientos],0),2),0)</f>
        <v>Si</v>
      </c>
      <c r="AI84" s="888" t="str">
        <f>IFERROR(INDEX(Tabla9[],MATCH(Producción_Ganadera[[#This Row],[Movimiento]],Tabla9[Movimientos],0),3),0)</f>
        <v>(-)</v>
      </c>
      <c r="AJ84" s="890">
        <f>IF(Producción_Ganadera[[#This Row],[Fecha Económico]]=0,0,MONTH(Producción_Ganadera[[#This Row],[Fecha Económico]]))</f>
        <v>0</v>
      </c>
      <c r="AK84" s="890">
        <f>IF(Producción_Ganadera[[#This Row],[Fecha Económico]]=0,0,YEAR(Producción_Ganadera[[#This Row],[Fecha Económico]]))</f>
        <v>0</v>
      </c>
      <c r="AL84" s="891">
        <f>SUMPRODUCT((Producción_Ganadera[[#This Row],[Mes Económico]]=Tipo_Cambio[Mes])*(Producción_Ganadera[[#This Row],[Año Económico]]=Tipo_Cambio[Año])*(Tipo_Cambio[$/U$S]))</f>
        <v>0</v>
      </c>
      <c r="AM84" s="891">
        <f>SUMPRODUCT((Producción_Ganadera[[#This Row],[Mes Económico]]=Tipo_Cambio[Mes])*(Producción_Ganadera[[#This Row],[Año Económico]]=Tipo_Cambio[Año])*(Tipo_Cambio[Actualización]))</f>
        <v>0</v>
      </c>
      <c r="AN84" s="890">
        <f>IF(ISNUMBER(Producción_Ganadera[[#This Row],[Fecha Financiero]])=TRUE,MONTH(Producción_Ganadera[[#This Row],[Fecha Financiero]]),0)</f>
        <v>0</v>
      </c>
      <c r="AO84" s="890">
        <f>IF(ISNUMBER(Producción_Ganadera[[#This Row],[Fecha Financiero]])=TRUE,YEAR(Producción_Ganadera[[#This Row],[Fecha Financiero]]),0)</f>
        <v>0</v>
      </c>
      <c r="AP84" s="891">
        <f>SUMPRODUCT((Producción_Ganadera[[#This Row],[Mes Financiero]]=Tipo_Cambio[Mes])*(Producción_Ganadera[[#This Row],[Año Financiero]]=Tipo_Cambio[Año])*(Tipo_Cambio[$/U$S]))</f>
        <v>0</v>
      </c>
      <c r="AQ84" s="891">
        <f>SUMPRODUCT((Producción_Ganadera[[#This Row],[Mes Financiero]]=Tipo_Cambio[Mes])*(Producción_Ganadera[[#This Row],[Año Financiero]]=Tipo_Cambio[Año])*(Tipo_Cambio[Actualización]))</f>
        <v>0</v>
      </c>
      <c r="AR84" s="919">
        <f>SUMPRODUCT((Producción_Ganadera[[#This Row],[Centro de Costo]]=Tabla19[Centro de Costo])*(Tabla19[Superficie])*(Producción_Ganadera[[#This Row],[Campaña]]=Tabla19[Campaña]))</f>
        <v>0</v>
      </c>
      <c r="AS84" s="920">
        <f>IFERROR(Producción_Ganadera[[#This Row],[Económico $Corrientes]]/Producción_Ganadera[[#This Row],[Superficie]],0)</f>
        <v>0</v>
      </c>
      <c r="AT84" s="920">
        <f>IFERROR(Producción_Ganadera[[#This Row],[Económico $Constantes]]/Producción_Ganadera[[#This Row],[Superficie]],0)</f>
        <v>0</v>
      </c>
      <c r="AU84" s="920">
        <f>IFERROR(Producción_Ganadera[[#This Row],[Económico U$S Dólares]]/Producción_Ganadera[[#This Row],[Superficie]],0)</f>
        <v>0</v>
      </c>
      <c r="AV84" s="916">
        <f>IF(Económico!$F$4=0,0,Producción_Ganadera[[#This Row],[Centro de Costo]])</f>
        <v>0</v>
      </c>
    </row>
    <row r="85" spans="1:48" x14ac:dyDescent="0.25">
      <c r="A85" s="86"/>
      <c r="B85" s="376"/>
      <c r="C85" s="86"/>
      <c r="D85" s="535"/>
      <c r="E85" s="610"/>
      <c r="F85" s="870" t="str">
        <f t="shared" si="6"/>
        <v>2018-2019</v>
      </c>
      <c r="G85" s="538" t="s">
        <v>127</v>
      </c>
      <c r="H85" s="538"/>
      <c r="I85" s="540"/>
      <c r="J85" s="584"/>
      <c r="K85" s="538"/>
      <c r="L85" s="585"/>
      <c r="M85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85" s="870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85" s="612"/>
      <c r="P85" s="540"/>
      <c r="Q85" s="876">
        <f>IF(ISNUMBER(Producción_Ganadera[[#This Row],[Cabezas]])=TRUE,Producción_Ganadera[[#This Row],[Cabezas]]*Producción_Ganadera[[#This Row],[Cantidad]],Producción_Ganadera[[#This Row],[Cantidad]])</f>
        <v>0</v>
      </c>
      <c r="R85" s="613"/>
      <c r="S85" s="588"/>
      <c r="T85" s="589"/>
      <c r="U85" s="895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85" s="893">
        <f>IFERROR(Producción_Ganadera[[#This Row],[Económico $Corrientes]]/Producción_Ganadera[[#This Row],[Indexación Económico]],0)</f>
        <v>0</v>
      </c>
      <c r="W85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85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85" s="893">
        <f>IFERROR(Producción_Ganadera[[#This Row],[Financiero $Corrientes]]/Producción_Ganadera[[#This Row],[Indexación Financiero]],0)</f>
        <v>0</v>
      </c>
      <c r="Z85" s="92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85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85" s="897">
        <f>IFERROR(Producción_Ganadera[[#This Row],[Intereses $Corrientes]]/Producción_Ganadera[[#This Row],[Indexación Financiero]],0)</f>
        <v>0</v>
      </c>
      <c r="AC85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85" s="922" t="str">
        <f>IFERROR(INDEX(Produccion_Ganadera_Cuentas[],MATCH(Producción_Ganadera[[#This Row],[Cuenta Contable]],Produccion_Ganadera_Cuentas[Cuenta Contable],0),2),0)</f>
        <v>Egreso</v>
      </c>
      <c r="AE85" s="923">
        <f>IF(Producción_Ganadera[[#This Row],[Mov. Stock]]="(+)",Producción_Ganadera[[#This Row],[Cabezas]],IF(Producción_Ganadera[[#This Row],[Mov. Stock]]="(-)",-Producción_Ganadera[[#This Row],[Cabezas]],0))</f>
        <v>0</v>
      </c>
      <c r="AF85" s="924">
        <f>IFERROR(INDEX(Produccion_Ganadera_Cuentas[],MATCH(Producción_Ganadera[[#This Row],[Cuenta Contable]],Produccion_Ganadera_Cuentas[Cuenta Contable],0),5),0)</f>
        <v>0</v>
      </c>
      <c r="AG85" s="925" t="str">
        <f>IF(Producción_Ganadera[[#This Row],[Cuenta Contable]]=Configuración!$AC$9,"Si","No")</f>
        <v>No</v>
      </c>
      <c r="AH85" s="899" t="str">
        <f>IFERROR(INDEX(Tabla9[],MATCH(Producción_Ganadera[[#This Row],[Movimiento]],Tabla9[Movimientos],0),2),0)</f>
        <v>Si</v>
      </c>
      <c r="AI85" s="900" t="str">
        <f>IFERROR(INDEX(Tabla9[],MATCH(Producción_Ganadera[[#This Row],[Movimiento]],Tabla9[Movimientos],0),3),0)</f>
        <v>(-)</v>
      </c>
      <c r="AJ85" s="897">
        <f>IF(Producción_Ganadera[[#This Row],[Fecha Económico]]=0,0,MONTH(Producción_Ganadera[[#This Row],[Fecha Económico]]))</f>
        <v>0</v>
      </c>
      <c r="AK85" s="897">
        <f>IF(Producción_Ganadera[[#This Row],[Fecha Económico]]=0,0,YEAR(Producción_Ganadera[[#This Row],[Fecha Económico]]))</f>
        <v>0</v>
      </c>
      <c r="AL85" s="901">
        <f>SUMPRODUCT((Producción_Ganadera[[#This Row],[Mes Económico]]=Tipo_Cambio[Mes])*(Producción_Ganadera[[#This Row],[Año Económico]]=Tipo_Cambio[Año])*(Tipo_Cambio[$/U$S]))</f>
        <v>0</v>
      </c>
      <c r="AM85" s="901">
        <f>SUMPRODUCT((Producción_Ganadera[[#This Row],[Mes Económico]]=Tipo_Cambio[Mes])*(Producción_Ganadera[[#This Row],[Año Económico]]=Tipo_Cambio[Año])*(Tipo_Cambio[Actualización]))</f>
        <v>0</v>
      </c>
      <c r="AN85" s="897">
        <f>IF(ISNUMBER(Producción_Ganadera[[#This Row],[Fecha Financiero]])=TRUE,MONTH(Producción_Ganadera[[#This Row],[Fecha Financiero]]),0)</f>
        <v>0</v>
      </c>
      <c r="AO85" s="897">
        <f>IF(ISNUMBER(Producción_Ganadera[[#This Row],[Fecha Financiero]])=TRUE,YEAR(Producción_Ganadera[[#This Row],[Fecha Financiero]]),0)</f>
        <v>0</v>
      </c>
      <c r="AP85" s="901">
        <f>SUMPRODUCT((Producción_Ganadera[[#This Row],[Mes Financiero]]=Tipo_Cambio[Mes])*(Producción_Ganadera[[#This Row],[Año Financiero]]=Tipo_Cambio[Año])*(Tipo_Cambio[$/U$S]))</f>
        <v>0</v>
      </c>
      <c r="AQ85" s="901">
        <f>SUMPRODUCT((Producción_Ganadera[[#This Row],[Mes Financiero]]=Tipo_Cambio[Mes])*(Producción_Ganadera[[#This Row],[Año Financiero]]=Tipo_Cambio[Año])*(Tipo_Cambio[Actualización]))</f>
        <v>0</v>
      </c>
      <c r="AR85" s="926">
        <f>SUMPRODUCT((Producción_Ganadera[[#This Row],[Centro de Costo]]=Tabla19[Centro de Costo])*(Tabla19[Superficie])*(Producción_Ganadera[[#This Row],[Campaña]]=Tabla19[Campaña]))</f>
        <v>0</v>
      </c>
      <c r="AS85" s="925">
        <f>IFERROR(Producción_Ganadera[[#This Row],[Económico $Corrientes]]/Producción_Ganadera[[#This Row],[Superficie]],0)</f>
        <v>0</v>
      </c>
      <c r="AT85" s="925">
        <f>IFERROR(Producción_Ganadera[[#This Row],[Económico $Constantes]]/Producción_Ganadera[[#This Row],[Superficie]],0)</f>
        <v>0</v>
      </c>
      <c r="AU85" s="925">
        <f>IFERROR(Producción_Ganadera[[#This Row],[Económico U$S Dólares]]/Producción_Ganadera[[#This Row],[Superficie]],0)</f>
        <v>0</v>
      </c>
      <c r="AV85" s="923">
        <f>IF(Económico!$F$4=0,0,Producción_Ganadera[[#This Row],[Centro de Costo]])</f>
        <v>0</v>
      </c>
    </row>
    <row r="86" spans="1:48" x14ac:dyDescent="0.25">
      <c r="A86" s="86"/>
      <c r="B86" s="376"/>
      <c r="C86" s="86"/>
      <c r="D86" s="528"/>
      <c r="E86" s="522"/>
      <c r="F86" s="869" t="str">
        <f t="shared" si="6"/>
        <v>2018-2019</v>
      </c>
      <c r="G86" s="491" t="str">
        <f>GAN_Ventas</f>
        <v>Venta Hacienda</v>
      </c>
      <c r="H86" s="481"/>
      <c r="I86" s="481"/>
      <c r="J86" s="549"/>
      <c r="K86" s="481"/>
      <c r="L86" s="520"/>
      <c r="M8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8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86" s="611"/>
      <c r="P86" s="484"/>
      <c r="Q86" s="875">
        <f>IF(ISNUMBER(Producción_Ganadera[[#This Row],[Cabezas]])=TRUE,Producción_Ganadera[[#This Row],[Cabezas]]*Producción_Ganadera[[#This Row],[Cantidad]],Producción_Ganadera[[#This Row],[Cantidad]])</f>
        <v>0</v>
      </c>
      <c r="R86" s="482"/>
      <c r="S86" s="552"/>
      <c r="T86" s="553"/>
      <c r="U8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86" s="913">
        <f>IFERROR(Producción_Ganadera[[#This Row],[Económico $Corrientes]]/Producción_Ganadera[[#This Row],[Indexación Económico]],0)</f>
        <v>0</v>
      </c>
      <c r="W8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8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86" s="913">
        <f>IFERROR(Producción_Ganadera[[#This Row],[Financiero $Corrientes]]/Producción_Ganadera[[#This Row],[Indexación Financiero]],0)</f>
        <v>0</v>
      </c>
      <c r="Z8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8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86" s="885">
        <f>IFERROR(Producción_Ganadera[[#This Row],[Intereses $Corrientes]]/Producción_Ganadera[[#This Row],[Indexación Financiero]],0)</f>
        <v>0</v>
      </c>
      <c r="AC8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86" s="915" t="str">
        <f>IFERROR(INDEX(Produccion_Ganadera_Cuentas[],MATCH(Producción_Ganadera[[#This Row],[Cuenta Contable]],Produccion_Ganadera_Cuentas[Cuenta Contable],0),2),0)</f>
        <v>Ingreso</v>
      </c>
      <c r="AE86" s="916">
        <f>IF(Producción_Ganadera[[#This Row],[Mov. Stock]]="(+)",Producción_Ganadera[[#This Row],[Cabezas]],IF(Producción_Ganadera[[#This Row],[Mov. Stock]]="(-)",-Producción_Ganadera[[#This Row],[Cabezas]],0))</f>
        <v>0</v>
      </c>
      <c r="AF86" s="917" t="str">
        <f>IFERROR(INDEX(Produccion_Ganadera_Cuentas[],MATCH(Producción_Ganadera[[#This Row],[Cuenta Contable]],Produccion_Ganadera_Cuentas[Cuenta Contable],0),5),0)</f>
        <v>(-)</v>
      </c>
      <c r="AG86" s="918" t="str">
        <f>IF(Producción_Ganadera[[#This Row],[Cuenta Contable]]=Configuración!$AC$9,"Si","No")</f>
        <v>No</v>
      </c>
      <c r="AH86" s="887" t="str">
        <f>IFERROR(INDEX(Tabla9[],MATCH(Producción_Ganadera[[#This Row],[Movimiento]],Tabla9[Movimientos],0),2),0)</f>
        <v>Si</v>
      </c>
      <c r="AI86" s="888" t="str">
        <f>IFERROR(INDEX(Tabla9[],MATCH(Producción_Ganadera[[#This Row],[Movimiento]],Tabla9[Movimientos],0),3),0)</f>
        <v>(+)</v>
      </c>
      <c r="AJ86" s="890">
        <f>IF(Producción_Ganadera[[#This Row],[Fecha Económico]]=0,0,MONTH(Producción_Ganadera[[#This Row],[Fecha Económico]]))</f>
        <v>0</v>
      </c>
      <c r="AK86" s="890">
        <f>IF(Producción_Ganadera[[#This Row],[Fecha Económico]]=0,0,YEAR(Producción_Ganadera[[#This Row],[Fecha Económico]]))</f>
        <v>0</v>
      </c>
      <c r="AL86" s="891">
        <f>SUMPRODUCT((Producción_Ganadera[[#This Row],[Mes Económico]]=Tipo_Cambio[Mes])*(Producción_Ganadera[[#This Row],[Año Económico]]=Tipo_Cambio[Año])*(Tipo_Cambio[$/U$S]))</f>
        <v>0</v>
      </c>
      <c r="AM86" s="891">
        <f>SUMPRODUCT((Producción_Ganadera[[#This Row],[Mes Económico]]=Tipo_Cambio[Mes])*(Producción_Ganadera[[#This Row],[Año Económico]]=Tipo_Cambio[Año])*(Tipo_Cambio[Actualización]))</f>
        <v>0</v>
      </c>
      <c r="AN86" s="890">
        <f>IF(ISNUMBER(Producción_Ganadera[[#This Row],[Fecha Financiero]])=TRUE,MONTH(Producción_Ganadera[[#This Row],[Fecha Financiero]]),0)</f>
        <v>0</v>
      </c>
      <c r="AO86" s="890">
        <f>IF(ISNUMBER(Producción_Ganadera[[#This Row],[Fecha Financiero]])=TRUE,YEAR(Producción_Ganadera[[#This Row],[Fecha Financiero]]),0)</f>
        <v>0</v>
      </c>
      <c r="AP86" s="891">
        <f>SUMPRODUCT((Producción_Ganadera[[#This Row],[Mes Financiero]]=Tipo_Cambio[Mes])*(Producción_Ganadera[[#This Row],[Año Financiero]]=Tipo_Cambio[Año])*(Tipo_Cambio[$/U$S]))</f>
        <v>0</v>
      </c>
      <c r="AQ86" s="891">
        <f>SUMPRODUCT((Producción_Ganadera[[#This Row],[Mes Financiero]]=Tipo_Cambio[Mes])*(Producción_Ganadera[[#This Row],[Año Financiero]]=Tipo_Cambio[Año])*(Tipo_Cambio[Actualización]))</f>
        <v>0</v>
      </c>
      <c r="AR86" s="919">
        <f>SUMPRODUCT((Producción_Ganadera[[#This Row],[Centro de Costo]]=Tabla19[Centro de Costo])*(Tabla19[Superficie])*(Producción_Ganadera[[#This Row],[Campaña]]=Tabla19[Campaña]))</f>
        <v>0</v>
      </c>
      <c r="AS86" s="920">
        <f>IFERROR(Producción_Ganadera[[#This Row],[Económico $Corrientes]]/Producción_Ganadera[[#This Row],[Superficie]],0)</f>
        <v>0</v>
      </c>
      <c r="AT86" s="920">
        <f>IFERROR(Producción_Ganadera[[#This Row],[Económico $Constantes]]/Producción_Ganadera[[#This Row],[Superficie]],0)</f>
        <v>0</v>
      </c>
      <c r="AU86" s="920">
        <f>IFERROR(Producción_Ganadera[[#This Row],[Económico U$S Dólares]]/Producción_Ganadera[[#This Row],[Superficie]],0)</f>
        <v>0</v>
      </c>
      <c r="AV86" s="916">
        <f>IF(Económico!$F$4=0,0,Producción_Ganadera[[#This Row],[Centro de Costo]])</f>
        <v>0</v>
      </c>
    </row>
    <row r="87" spans="1:48" x14ac:dyDescent="0.25">
      <c r="A87" s="86"/>
      <c r="B87" s="376"/>
      <c r="C87" s="86"/>
      <c r="D87" s="528"/>
      <c r="E87" s="522"/>
      <c r="F87" s="869" t="str">
        <f t="shared" si="6"/>
        <v>2018-2019</v>
      </c>
      <c r="G87" s="481" t="str">
        <f>GAN_Ventas</f>
        <v>Venta Hacienda</v>
      </c>
      <c r="H87" s="481"/>
      <c r="I87" s="481"/>
      <c r="J87" s="549"/>
      <c r="K87" s="481"/>
      <c r="L87" s="520"/>
      <c r="M8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8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87" s="611"/>
      <c r="P87" s="484"/>
      <c r="Q87" s="875">
        <f>IF(ISNUMBER(Producción_Ganadera[[#This Row],[Cabezas]])=TRUE,Producción_Ganadera[[#This Row],[Cabezas]]*Producción_Ganadera[[#This Row],[Cantidad]],Producción_Ganadera[[#This Row],[Cantidad]])</f>
        <v>0</v>
      </c>
      <c r="R87" s="482"/>
      <c r="S87" s="552"/>
      <c r="T87" s="553"/>
      <c r="U8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87" s="913">
        <f>IFERROR(Producción_Ganadera[[#This Row],[Económico $Corrientes]]/Producción_Ganadera[[#This Row],[Indexación Económico]],0)</f>
        <v>0</v>
      </c>
      <c r="W8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8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87" s="913">
        <f>IFERROR(Producción_Ganadera[[#This Row],[Financiero $Corrientes]]/Producción_Ganadera[[#This Row],[Indexación Financiero]],0)</f>
        <v>0</v>
      </c>
      <c r="Z8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8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87" s="885">
        <f>IFERROR(Producción_Ganadera[[#This Row],[Intereses $Corrientes]]/Producción_Ganadera[[#This Row],[Indexación Financiero]],0)</f>
        <v>0</v>
      </c>
      <c r="AC8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87" s="915" t="str">
        <f>IFERROR(INDEX(Produccion_Ganadera_Cuentas[],MATCH(Producción_Ganadera[[#This Row],[Cuenta Contable]],Produccion_Ganadera_Cuentas[Cuenta Contable],0),2),0)</f>
        <v>Ingreso</v>
      </c>
      <c r="AE87" s="916">
        <f>IF(Producción_Ganadera[[#This Row],[Mov. Stock]]="(+)",Producción_Ganadera[[#This Row],[Cabezas]],IF(Producción_Ganadera[[#This Row],[Mov. Stock]]="(-)",-Producción_Ganadera[[#This Row],[Cabezas]],0))</f>
        <v>0</v>
      </c>
      <c r="AF87" s="917" t="str">
        <f>IFERROR(INDEX(Produccion_Ganadera_Cuentas[],MATCH(Producción_Ganadera[[#This Row],[Cuenta Contable]],Produccion_Ganadera_Cuentas[Cuenta Contable],0),5),0)</f>
        <v>(-)</v>
      </c>
      <c r="AG87" s="918" t="str">
        <f>IF(Producción_Ganadera[[#This Row],[Cuenta Contable]]=Configuración!$AC$9,"Si","No")</f>
        <v>No</v>
      </c>
      <c r="AH87" s="887" t="str">
        <f>IFERROR(INDEX(Tabla9[],MATCH(Producción_Ganadera[[#This Row],[Movimiento]],Tabla9[Movimientos],0),2),0)</f>
        <v>Si</v>
      </c>
      <c r="AI87" s="888" t="str">
        <f>IFERROR(INDEX(Tabla9[],MATCH(Producción_Ganadera[[#This Row],[Movimiento]],Tabla9[Movimientos],0),3),0)</f>
        <v>(+)</v>
      </c>
      <c r="AJ87" s="890">
        <f>IF(Producción_Ganadera[[#This Row],[Fecha Económico]]=0,0,MONTH(Producción_Ganadera[[#This Row],[Fecha Económico]]))</f>
        <v>0</v>
      </c>
      <c r="AK87" s="890">
        <f>IF(Producción_Ganadera[[#This Row],[Fecha Económico]]=0,0,YEAR(Producción_Ganadera[[#This Row],[Fecha Económico]]))</f>
        <v>0</v>
      </c>
      <c r="AL87" s="891">
        <f>SUMPRODUCT((Producción_Ganadera[[#This Row],[Mes Económico]]=Tipo_Cambio[Mes])*(Producción_Ganadera[[#This Row],[Año Económico]]=Tipo_Cambio[Año])*(Tipo_Cambio[$/U$S]))</f>
        <v>0</v>
      </c>
      <c r="AM87" s="891">
        <f>SUMPRODUCT((Producción_Ganadera[[#This Row],[Mes Económico]]=Tipo_Cambio[Mes])*(Producción_Ganadera[[#This Row],[Año Económico]]=Tipo_Cambio[Año])*(Tipo_Cambio[Actualización]))</f>
        <v>0</v>
      </c>
      <c r="AN87" s="890">
        <f>IF(ISNUMBER(Producción_Ganadera[[#This Row],[Fecha Financiero]])=TRUE,MONTH(Producción_Ganadera[[#This Row],[Fecha Financiero]]),0)</f>
        <v>0</v>
      </c>
      <c r="AO87" s="890">
        <f>IF(ISNUMBER(Producción_Ganadera[[#This Row],[Fecha Financiero]])=TRUE,YEAR(Producción_Ganadera[[#This Row],[Fecha Financiero]]),0)</f>
        <v>0</v>
      </c>
      <c r="AP87" s="891">
        <f>SUMPRODUCT((Producción_Ganadera[[#This Row],[Mes Financiero]]=Tipo_Cambio[Mes])*(Producción_Ganadera[[#This Row],[Año Financiero]]=Tipo_Cambio[Año])*(Tipo_Cambio[$/U$S]))</f>
        <v>0</v>
      </c>
      <c r="AQ87" s="891">
        <f>SUMPRODUCT((Producción_Ganadera[[#This Row],[Mes Financiero]]=Tipo_Cambio[Mes])*(Producción_Ganadera[[#This Row],[Año Financiero]]=Tipo_Cambio[Año])*(Tipo_Cambio[Actualización]))</f>
        <v>0</v>
      </c>
      <c r="AR87" s="919">
        <f>SUMPRODUCT((Producción_Ganadera[[#This Row],[Centro de Costo]]=Tabla19[Centro de Costo])*(Tabla19[Superficie])*(Producción_Ganadera[[#This Row],[Campaña]]=Tabla19[Campaña]))</f>
        <v>0</v>
      </c>
      <c r="AS87" s="920">
        <f>IFERROR(Producción_Ganadera[[#This Row],[Económico $Corrientes]]/Producción_Ganadera[[#This Row],[Superficie]],0)</f>
        <v>0</v>
      </c>
      <c r="AT87" s="920">
        <f>IFERROR(Producción_Ganadera[[#This Row],[Económico $Constantes]]/Producción_Ganadera[[#This Row],[Superficie]],0)</f>
        <v>0</v>
      </c>
      <c r="AU87" s="920">
        <f>IFERROR(Producción_Ganadera[[#This Row],[Económico U$S Dólares]]/Producción_Ganadera[[#This Row],[Superficie]],0)</f>
        <v>0</v>
      </c>
      <c r="AV87" s="916">
        <f>IF(Económico!$F$4=0,0,Producción_Ganadera[[#This Row],[Centro de Costo]])</f>
        <v>0</v>
      </c>
    </row>
    <row r="88" spans="1:48" x14ac:dyDescent="0.25">
      <c r="A88" s="86"/>
      <c r="B88" s="376"/>
      <c r="C88" s="86"/>
      <c r="D88" s="528"/>
      <c r="E88" s="522"/>
      <c r="F88" s="869" t="str">
        <f t="shared" si="6"/>
        <v>2018-2019</v>
      </c>
      <c r="G88" s="481" t="s">
        <v>127</v>
      </c>
      <c r="H88" s="481"/>
      <c r="I88" s="481"/>
      <c r="J88" s="549"/>
      <c r="K88" s="481"/>
      <c r="L88" s="520"/>
      <c r="M8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8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88" s="611"/>
      <c r="P88" s="484"/>
      <c r="Q88" s="875">
        <f>IF(ISNUMBER(Producción_Ganadera[[#This Row],[Cabezas]])=TRUE,Producción_Ganadera[[#This Row],[Cabezas]]*Producción_Ganadera[[#This Row],[Cantidad]],Producción_Ganadera[[#This Row],[Cantidad]])</f>
        <v>0</v>
      </c>
      <c r="R88" s="482"/>
      <c r="S88" s="552"/>
      <c r="T88" s="553"/>
      <c r="U8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88" s="913">
        <f>IFERROR(Producción_Ganadera[[#This Row],[Económico $Corrientes]]/Producción_Ganadera[[#This Row],[Indexación Económico]],0)</f>
        <v>0</v>
      </c>
      <c r="W8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8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88" s="913">
        <f>IFERROR(Producción_Ganadera[[#This Row],[Financiero $Corrientes]]/Producción_Ganadera[[#This Row],[Indexación Financiero]],0)</f>
        <v>0</v>
      </c>
      <c r="Z8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8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88" s="885">
        <f>IFERROR(Producción_Ganadera[[#This Row],[Intereses $Corrientes]]/Producción_Ganadera[[#This Row],[Indexación Financiero]],0)</f>
        <v>0</v>
      </c>
      <c r="AC8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88" s="915" t="str">
        <f>IFERROR(INDEX(Produccion_Ganadera_Cuentas[],MATCH(Producción_Ganadera[[#This Row],[Cuenta Contable]],Produccion_Ganadera_Cuentas[Cuenta Contable],0),2),0)</f>
        <v>Egreso</v>
      </c>
      <c r="AE88" s="916">
        <f>IF(Producción_Ganadera[[#This Row],[Mov. Stock]]="(+)",Producción_Ganadera[[#This Row],[Cabezas]],IF(Producción_Ganadera[[#This Row],[Mov. Stock]]="(-)",-Producción_Ganadera[[#This Row],[Cabezas]],0))</f>
        <v>0</v>
      </c>
      <c r="AF88" s="917">
        <f>IFERROR(INDEX(Produccion_Ganadera_Cuentas[],MATCH(Producción_Ganadera[[#This Row],[Cuenta Contable]],Produccion_Ganadera_Cuentas[Cuenta Contable],0),5),0)</f>
        <v>0</v>
      </c>
      <c r="AG88" s="918" t="str">
        <f>IF(Producción_Ganadera[[#This Row],[Cuenta Contable]]=Configuración!$AC$9,"Si","No")</f>
        <v>No</v>
      </c>
      <c r="AH88" s="887" t="str">
        <f>IFERROR(INDEX(Tabla9[],MATCH(Producción_Ganadera[[#This Row],[Movimiento]],Tabla9[Movimientos],0),2),0)</f>
        <v>Si</v>
      </c>
      <c r="AI88" s="888" t="str">
        <f>IFERROR(INDEX(Tabla9[],MATCH(Producción_Ganadera[[#This Row],[Movimiento]],Tabla9[Movimientos],0),3),0)</f>
        <v>(-)</v>
      </c>
      <c r="AJ88" s="890">
        <f>IF(Producción_Ganadera[[#This Row],[Fecha Económico]]=0,0,MONTH(Producción_Ganadera[[#This Row],[Fecha Económico]]))</f>
        <v>0</v>
      </c>
      <c r="AK88" s="890">
        <f>IF(Producción_Ganadera[[#This Row],[Fecha Económico]]=0,0,YEAR(Producción_Ganadera[[#This Row],[Fecha Económico]]))</f>
        <v>0</v>
      </c>
      <c r="AL88" s="891">
        <f>SUMPRODUCT((Producción_Ganadera[[#This Row],[Mes Económico]]=Tipo_Cambio[Mes])*(Producción_Ganadera[[#This Row],[Año Económico]]=Tipo_Cambio[Año])*(Tipo_Cambio[$/U$S]))</f>
        <v>0</v>
      </c>
      <c r="AM88" s="891">
        <f>SUMPRODUCT((Producción_Ganadera[[#This Row],[Mes Económico]]=Tipo_Cambio[Mes])*(Producción_Ganadera[[#This Row],[Año Económico]]=Tipo_Cambio[Año])*(Tipo_Cambio[Actualización]))</f>
        <v>0</v>
      </c>
      <c r="AN88" s="890">
        <f>IF(ISNUMBER(Producción_Ganadera[[#This Row],[Fecha Financiero]])=TRUE,MONTH(Producción_Ganadera[[#This Row],[Fecha Financiero]]),0)</f>
        <v>0</v>
      </c>
      <c r="AO88" s="890">
        <f>IF(ISNUMBER(Producción_Ganadera[[#This Row],[Fecha Financiero]])=TRUE,YEAR(Producción_Ganadera[[#This Row],[Fecha Financiero]]),0)</f>
        <v>0</v>
      </c>
      <c r="AP88" s="891">
        <f>SUMPRODUCT((Producción_Ganadera[[#This Row],[Mes Financiero]]=Tipo_Cambio[Mes])*(Producción_Ganadera[[#This Row],[Año Financiero]]=Tipo_Cambio[Año])*(Tipo_Cambio[$/U$S]))</f>
        <v>0</v>
      </c>
      <c r="AQ88" s="891">
        <f>SUMPRODUCT((Producción_Ganadera[[#This Row],[Mes Financiero]]=Tipo_Cambio[Mes])*(Producción_Ganadera[[#This Row],[Año Financiero]]=Tipo_Cambio[Año])*(Tipo_Cambio[Actualización]))</f>
        <v>0</v>
      </c>
      <c r="AR88" s="919">
        <f>SUMPRODUCT((Producción_Ganadera[[#This Row],[Centro de Costo]]=Tabla19[Centro de Costo])*(Tabla19[Superficie])*(Producción_Ganadera[[#This Row],[Campaña]]=Tabla19[Campaña]))</f>
        <v>0</v>
      </c>
      <c r="AS88" s="920">
        <f>IFERROR(Producción_Ganadera[[#This Row],[Económico $Corrientes]]/Producción_Ganadera[[#This Row],[Superficie]],0)</f>
        <v>0</v>
      </c>
      <c r="AT88" s="920">
        <f>IFERROR(Producción_Ganadera[[#This Row],[Económico $Constantes]]/Producción_Ganadera[[#This Row],[Superficie]],0)</f>
        <v>0</v>
      </c>
      <c r="AU88" s="920">
        <f>IFERROR(Producción_Ganadera[[#This Row],[Económico U$S Dólares]]/Producción_Ganadera[[#This Row],[Superficie]],0)</f>
        <v>0</v>
      </c>
      <c r="AV88" s="916">
        <f>IF(Económico!$F$4=0,0,Producción_Ganadera[[#This Row],[Centro de Costo]])</f>
        <v>0</v>
      </c>
    </row>
    <row r="89" spans="1:48" x14ac:dyDescent="0.25">
      <c r="A89" s="86"/>
      <c r="B89" s="376"/>
      <c r="C89" s="86"/>
      <c r="D89" s="535"/>
      <c r="E89" s="610"/>
      <c r="F89" s="870" t="str">
        <f t="shared" si="6"/>
        <v>2018-2019</v>
      </c>
      <c r="G89" s="538" t="s">
        <v>127</v>
      </c>
      <c r="H89" s="538"/>
      <c r="I89" s="540"/>
      <c r="J89" s="584"/>
      <c r="K89" s="538"/>
      <c r="L89" s="585"/>
      <c r="M89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89" s="870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89" s="612"/>
      <c r="P89" s="540"/>
      <c r="Q89" s="876">
        <f>IF(ISNUMBER(Producción_Ganadera[[#This Row],[Cabezas]])=TRUE,Producción_Ganadera[[#This Row],[Cabezas]]*Producción_Ganadera[[#This Row],[Cantidad]],Producción_Ganadera[[#This Row],[Cantidad]])</f>
        <v>0</v>
      </c>
      <c r="R89" s="613"/>
      <c r="S89" s="588"/>
      <c r="T89" s="589"/>
      <c r="U89" s="895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89" s="893">
        <f>IFERROR(Producción_Ganadera[[#This Row],[Económico $Corrientes]]/Producción_Ganadera[[#This Row],[Indexación Económico]],0)</f>
        <v>0</v>
      </c>
      <c r="W89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89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89" s="893">
        <f>IFERROR(Producción_Ganadera[[#This Row],[Financiero $Corrientes]]/Producción_Ganadera[[#This Row],[Indexación Financiero]],0)</f>
        <v>0</v>
      </c>
      <c r="Z89" s="92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89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89" s="897">
        <f>IFERROR(Producción_Ganadera[[#This Row],[Intereses $Corrientes]]/Producción_Ganadera[[#This Row],[Indexación Financiero]],0)</f>
        <v>0</v>
      </c>
      <c r="AC89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89" s="922" t="str">
        <f>IFERROR(INDEX(Produccion_Ganadera_Cuentas[],MATCH(Producción_Ganadera[[#This Row],[Cuenta Contable]],Produccion_Ganadera_Cuentas[Cuenta Contable],0),2),0)</f>
        <v>Egreso</v>
      </c>
      <c r="AE89" s="923">
        <f>IF(Producción_Ganadera[[#This Row],[Mov. Stock]]="(+)",Producción_Ganadera[[#This Row],[Cabezas]],IF(Producción_Ganadera[[#This Row],[Mov. Stock]]="(-)",-Producción_Ganadera[[#This Row],[Cabezas]],0))</f>
        <v>0</v>
      </c>
      <c r="AF89" s="924">
        <f>IFERROR(INDEX(Produccion_Ganadera_Cuentas[],MATCH(Producción_Ganadera[[#This Row],[Cuenta Contable]],Produccion_Ganadera_Cuentas[Cuenta Contable],0),5),0)</f>
        <v>0</v>
      </c>
      <c r="AG89" s="925" t="str">
        <f>IF(Producción_Ganadera[[#This Row],[Cuenta Contable]]=Configuración!$AC$9,"Si","No")</f>
        <v>No</v>
      </c>
      <c r="AH89" s="899" t="str">
        <f>IFERROR(INDEX(Tabla9[],MATCH(Producción_Ganadera[[#This Row],[Movimiento]],Tabla9[Movimientos],0),2),0)</f>
        <v>Si</v>
      </c>
      <c r="AI89" s="900" t="str">
        <f>IFERROR(INDEX(Tabla9[],MATCH(Producción_Ganadera[[#This Row],[Movimiento]],Tabla9[Movimientos],0),3),0)</f>
        <v>(-)</v>
      </c>
      <c r="AJ89" s="897">
        <f>IF(Producción_Ganadera[[#This Row],[Fecha Económico]]=0,0,MONTH(Producción_Ganadera[[#This Row],[Fecha Económico]]))</f>
        <v>0</v>
      </c>
      <c r="AK89" s="897">
        <f>IF(Producción_Ganadera[[#This Row],[Fecha Económico]]=0,0,YEAR(Producción_Ganadera[[#This Row],[Fecha Económico]]))</f>
        <v>0</v>
      </c>
      <c r="AL89" s="901">
        <f>SUMPRODUCT((Producción_Ganadera[[#This Row],[Mes Económico]]=Tipo_Cambio[Mes])*(Producción_Ganadera[[#This Row],[Año Económico]]=Tipo_Cambio[Año])*(Tipo_Cambio[$/U$S]))</f>
        <v>0</v>
      </c>
      <c r="AM89" s="901">
        <f>SUMPRODUCT((Producción_Ganadera[[#This Row],[Mes Económico]]=Tipo_Cambio[Mes])*(Producción_Ganadera[[#This Row],[Año Económico]]=Tipo_Cambio[Año])*(Tipo_Cambio[Actualización]))</f>
        <v>0</v>
      </c>
      <c r="AN89" s="897">
        <f>IF(ISNUMBER(Producción_Ganadera[[#This Row],[Fecha Financiero]])=TRUE,MONTH(Producción_Ganadera[[#This Row],[Fecha Financiero]]),0)</f>
        <v>0</v>
      </c>
      <c r="AO89" s="897">
        <f>IF(ISNUMBER(Producción_Ganadera[[#This Row],[Fecha Financiero]])=TRUE,YEAR(Producción_Ganadera[[#This Row],[Fecha Financiero]]),0)</f>
        <v>0</v>
      </c>
      <c r="AP89" s="901">
        <f>SUMPRODUCT((Producción_Ganadera[[#This Row],[Mes Financiero]]=Tipo_Cambio[Mes])*(Producción_Ganadera[[#This Row],[Año Financiero]]=Tipo_Cambio[Año])*(Tipo_Cambio[$/U$S]))</f>
        <v>0</v>
      </c>
      <c r="AQ89" s="901">
        <f>SUMPRODUCT((Producción_Ganadera[[#This Row],[Mes Financiero]]=Tipo_Cambio[Mes])*(Producción_Ganadera[[#This Row],[Año Financiero]]=Tipo_Cambio[Año])*(Tipo_Cambio[Actualización]))</f>
        <v>0</v>
      </c>
      <c r="AR89" s="926">
        <f>SUMPRODUCT((Producción_Ganadera[[#This Row],[Centro de Costo]]=Tabla19[Centro de Costo])*(Tabla19[Superficie])*(Producción_Ganadera[[#This Row],[Campaña]]=Tabla19[Campaña]))</f>
        <v>0</v>
      </c>
      <c r="AS89" s="925">
        <f>IFERROR(Producción_Ganadera[[#This Row],[Económico $Corrientes]]/Producción_Ganadera[[#This Row],[Superficie]],0)</f>
        <v>0</v>
      </c>
      <c r="AT89" s="925">
        <f>IFERROR(Producción_Ganadera[[#This Row],[Económico $Constantes]]/Producción_Ganadera[[#This Row],[Superficie]],0)</f>
        <v>0</v>
      </c>
      <c r="AU89" s="925">
        <f>IFERROR(Producción_Ganadera[[#This Row],[Económico U$S Dólares]]/Producción_Ganadera[[#This Row],[Superficie]],0)</f>
        <v>0</v>
      </c>
      <c r="AV89" s="923">
        <f>IF(Económico!$F$4=0,0,Producción_Ganadera[[#This Row],[Centro de Costo]])</f>
        <v>0</v>
      </c>
    </row>
    <row r="90" spans="1:48" x14ac:dyDescent="0.25">
      <c r="A90" s="86"/>
      <c r="B90" s="376"/>
      <c r="C90" s="86"/>
      <c r="D90" s="528"/>
      <c r="E90" s="522"/>
      <c r="F90" s="869" t="str">
        <f t="shared" si="6"/>
        <v>2018-2019</v>
      </c>
      <c r="G90" s="491" t="str">
        <f>GAN_Ventas</f>
        <v>Venta Hacienda</v>
      </c>
      <c r="H90" s="481"/>
      <c r="I90" s="481"/>
      <c r="J90" s="549"/>
      <c r="K90" s="481"/>
      <c r="L90" s="520"/>
      <c r="M9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9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90" s="611"/>
      <c r="P90" s="484"/>
      <c r="Q90" s="875">
        <f>IF(ISNUMBER(Producción_Ganadera[[#This Row],[Cabezas]])=TRUE,Producción_Ganadera[[#This Row],[Cabezas]]*Producción_Ganadera[[#This Row],[Cantidad]],Producción_Ganadera[[#This Row],[Cantidad]])</f>
        <v>0</v>
      </c>
      <c r="R90" s="482"/>
      <c r="S90" s="552"/>
      <c r="T90" s="553"/>
      <c r="U9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90" s="913">
        <f>IFERROR(Producción_Ganadera[[#This Row],[Económico $Corrientes]]/Producción_Ganadera[[#This Row],[Indexación Económico]],0)</f>
        <v>0</v>
      </c>
      <c r="W9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9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90" s="913">
        <f>IFERROR(Producción_Ganadera[[#This Row],[Financiero $Corrientes]]/Producción_Ganadera[[#This Row],[Indexación Financiero]],0)</f>
        <v>0</v>
      </c>
      <c r="Z9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9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90" s="885">
        <f>IFERROR(Producción_Ganadera[[#This Row],[Intereses $Corrientes]]/Producción_Ganadera[[#This Row],[Indexación Financiero]],0)</f>
        <v>0</v>
      </c>
      <c r="AC9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90" s="915" t="str">
        <f>IFERROR(INDEX(Produccion_Ganadera_Cuentas[],MATCH(Producción_Ganadera[[#This Row],[Cuenta Contable]],Produccion_Ganadera_Cuentas[Cuenta Contable],0),2),0)</f>
        <v>Ingreso</v>
      </c>
      <c r="AE90" s="916">
        <f>IF(Producción_Ganadera[[#This Row],[Mov. Stock]]="(+)",Producción_Ganadera[[#This Row],[Cabezas]],IF(Producción_Ganadera[[#This Row],[Mov. Stock]]="(-)",-Producción_Ganadera[[#This Row],[Cabezas]],0))</f>
        <v>0</v>
      </c>
      <c r="AF90" s="917" t="str">
        <f>IFERROR(INDEX(Produccion_Ganadera_Cuentas[],MATCH(Producción_Ganadera[[#This Row],[Cuenta Contable]],Produccion_Ganadera_Cuentas[Cuenta Contable],0),5),0)</f>
        <v>(-)</v>
      </c>
      <c r="AG90" s="918" t="str">
        <f>IF(Producción_Ganadera[[#This Row],[Cuenta Contable]]=Configuración!$AC$9,"Si","No")</f>
        <v>No</v>
      </c>
      <c r="AH90" s="887" t="str">
        <f>IFERROR(INDEX(Tabla9[],MATCH(Producción_Ganadera[[#This Row],[Movimiento]],Tabla9[Movimientos],0),2),0)</f>
        <v>Si</v>
      </c>
      <c r="AI90" s="888" t="str">
        <f>IFERROR(INDEX(Tabla9[],MATCH(Producción_Ganadera[[#This Row],[Movimiento]],Tabla9[Movimientos],0),3),0)</f>
        <v>(+)</v>
      </c>
      <c r="AJ90" s="890">
        <f>IF(Producción_Ganadera[[#This Row],[Fecha Económico]]=0,0,MONTH(Producción_Ganadera[[#This Row],[Fecha Económico]]))</f>
        <v>0</v>
      </c>
      <c r="AK90" s="890">
        <f>IF(Producción_Ganadera[[#This Row],[Fecha Económico]]=0,0,YEAR(Producción_Ganadera[[#This Row],[Fecha Económico]]))</f>
        <v>0</v>
      </c>
      <c r="AL90" s="891">
        <f>SUMPRODUCT((Producción_Ganadera[[#This Row],[Mes Económico]]=Tipo_Cambio[Mes])*(Producción_Ganadera[[#This Row],[Año Económico]]=Tipo_Cambio[Año])*(Tipo_Cambio[$/U$S]))</f>
        <v>0</v>
      </c>
      <c r="AM90" s="891">
        <f>SUMPRODUCT((Producción_Ganadera[[#This Row],[Mes Económico]]=Tipo_Cambio[Mes])*(Producción_Ganadera[[#This Row],[Año Económico]]=Tipo_Cambio[Año])*(Tipo_Cambio[Actualización]))</f>
        <v>0</v>
      </c>
      <c r="AN90" s="890">
        <f>IF(ISNUMBER(Producción_Ganadera[[#This Row],[Fecha Financiero]])=TRUE,MONTH(Producción_Ganadera[[#This Row],[Fecha Financiero]]),0)</f>
        <v>0</v>
      </c>
      <c r="AO90" s="890">
        <f>IF(ISNUMBER(Producción_Ganadera[[#This Row],[Fecha Financiero]])=TRUE,YEAR(Producción_Ganadera[[#This Row],[Fecha Financiero]]),0)</f>
        <v>0</v>
      </c>
      <c r="AP90" s="891">
        <f>SUMPRODUCT((Producción_Ganadera[[#This Row],[Mes Financiero]]=Tipo_Cambio[Mes])*(Producción_Ganadera[[#This Row],[Año Financiero]]=Tipo_Cambio[Año])*(Tipo_Cambio[$/U$S]))</f>
        <v>0</v>
      </c>
      <c r="AQ90" s="891">
        <f>SUMPRODUCT((Producción_Ganadera[[#This Row],[Mes Financiero]]=Tipo_Cambio[Mes])*(Producción_Ganadera[[#This Row],[Año Financiero]]=Tipo_Cambio[Año])*(Tipo_Cambio[Actualización]))</f>
        <v>0</v>
      </c>
      <c r="AR90" s="919">
        <f>SUMPRODUCT((Producción_Ganadera[[#This Row],[Centro de Costo]]=Tabla19[Centro de Costo])*(Tabla19[Superficie])*(Producción_Ganadera[[#This Row],[Campaña]]=Tabla19[Campaña]))</f>
        <v>0</v>
      </c>
      <c r="AS90" s="920">
        <f>IFERROR(Producción_Ganadera[[#This Row],[Económico $Corrientes]]/Producción_Ganadera[[#This Row],[Superficie]],0)</f>
        <v>0</v>
      </c>
      <c r="AT90" s="920">
        <f>IFERROR(Producción_Ganadera[[#This Row],[Económico $Constantes]]/Producción_Ganadera[[#This Row],[Superficie]],0)</f>
        <v>0</v>
      </c>
      <c r="AU90" s="920">
        <f>IFERROR(Producción_Ganadera[[#This Row],[Económico U$S Dólares]]/Producción_Ganadera[[#This Row],[Superficie]],0)</f>
        <v>0</v>
      </c>
      <c r="AV90" s="916">
        <f>IF(Económico!$F$4=0,0,Producción_Ganadera[[#This Row],[Centro de Costo]])</f>
        <v>0</v>
      </c>
    </row>
    <row r="91" spans="1:48" x14ac:dyDescent="0.25">
      <c r="A91" s="86"/>
      <c r="B91" s="376"/>
      <c r="C91" s="86"/>
      <c r="D91" s="528"/>
      <c r="E91" s="522"/>
      <c r="F91" s="869" t="str">
        <f t="shared" si="6"/>
        <v>2018-2019</v>
      </c>
      <c r="G91" s="481" t="str">
        <f>GAN_Ventas</f>
        <v>Venta Hacienda</v>
      </c>
      <c r="H91" s="481"/>
      <c r="I91" s="481"/>
      <c r="J91" s="549"/>
      <c r="K91" s="481"/>
      <c r="L91" s="520"/>
      <c r="M9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9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91" s="611"/>
      <c r="P91" s="484"/>
      <c r="Q91" s="875">
        <f>IF(ISNUMBER(Producción_Ganadera[[#This Row],[Cabezas]])=TRUE,Producción_Ganadera[[#This Row],[Cabezas]]*Producción_Ganadera[[#This Row],[Cantidad]],Producción_Ganadera[[#This Row],[Cantidad]])</f>
        <v>0</v>
      </c>
      <c r="R91" s="482"/>
      <c r="S91" s="552"/>
      <c r="T91" s="553"/>
      <c r="U9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91" s="913">
        <f>IFERROR(Producción_Ganadera[[#This Row],[Económico $Corrientes]]/Producción_Ganadera[[#This Row],[Indexación Económico]],0)</f>
        <v>0</v>
      </c>
      <c r="W9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9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91" s="913">
        <f>IFERROR(Producción_Ganadera[[#This Row],[Financiero $Corrientes]]/Producción_Ganadera[[#This Row],[Indexación Financiero]],0)</f>
        <v>0</v>
      </c>
      <c r="Z9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9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91" s="885">
        <f>IFERROR(Producción_Ganadera[[#This Row],[Intereses $Corrientes]]/Producción_Ganadera[[#This Row],[Indexación Financiero]],0)</f>
        <v>0</v>
      </c>
      <c r="AC9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91" s="915" t="str">
        <f>IFERROR(INDEX(Produccion_Ganadera_Cuentas[],MATCH(Producción_Ganadera[[#This Row],[Cuenta Contable]],Produccion_Ganadera_Cuentas[Cuenta Contable],0),2),0)</f>
        <v>Ingreso</v>
      </c>
      <c r="AE91" s="916">
        <f>IF(Producción_Ganadera[[#This Row],[Mov. Stock]]="(+)",Producción_Ganadera[[#This Row],[Cabezas]],IF(Producción_Ganadera[[#This Row],[Mov. Stock]]="(-)",-Producción_Ganadera[[#This Row],[Cabezas]],0))</f>
        <v>0</v>
      </c>
      <c r="AF91" s="917" t="str">
        <f>IFERROR(INDEX(Produccion_Ganadera_Cuentas[],MATCH(Producción_Ganadera[[#This Row],[Cuenta Contable]],Produccion_Ganadera_Cuentas[Cuenta Contable],0),5),0)</f>
        <v>(-)</v>
      </c>
      <c r="AG91" s="918" t="str">
        <f>IF(Producción_Ganadera[[#This Row],[Cuenta Contable]]=Configuración!$AC$9,"Si","No")</f>
        <v>No</v>
      </c>
      <c r="AH91" s="887" t="str">
        <f>IFERROR(INDEX(Tabla9[],MATCH(Producción_Ganadera[[#This Row],[Movimiento]],Tabla9[Movimientos],0),2),0)</f>
        <v>Si</v>
      </c>
      <c r="AI91" s="888" t="str">
        <f>IFERROR(INDEX(Tabla9[],MATCH(Producción_Ganadera[[#This Row],[Movimiento]],Tabla9[Movimientos],0),3),0)</f>
        <v>(+)</v>
      </c>
      <c r="AJ91" s="890">
        <f>IF(Producción_Ganadera[[#This Row],[Fecha Económico]]=0,0,MONTH(Producción_Ganadera[[#This Row],[Fecha Económico]]))</f>
        <v>0</v>
      </c>
      <c r="AK91" s="890">
        <f>IF(Producción_Ganadera[[#This Row],[Fecha Económico]]=0,0,YEAR(Producción_Ganadera[[#This Row],[Fecha Económico]]))</f>
        <v>0</v>
      </c>
      <c r="AL91" s="891">
        <f>SUMPRODUCT((Producción_Ganadera[[#This Row],[Mes Económico]]=Tipo_Cambio[Mes])*(Producción_Ganadera[[#This Row],[Año Económico]]=Tipo_Cambio[Año])*(Tipo_Cambio[$/U$S]))</f>
        <v>0</v>
      </c>
      <c r="AM91" s="891">
        <f>SUMPRODUCT((Producción_Ganadera[[#This Row],[Mes Económico]]=Tipo_Cambio[Mes])*(Producción_Ganadera[[#This Row],[Año Económico]]=Tipo_Cambio[Año])*(Tipo_Cambio[Actualización]))</f>
        <v>0</v>
      </c>
      <c r="AN91" s="890">
        <f>IF(ISNUMBER(Producción_Ganadera[[#This Row],[Fecha Financiero]])=TRUE,MONTH(Producción_Ganadera[[#This Row],[Fecha Financiero]]),0)</f>
        <v>0</v>
      </c>
      <c r="AO91" s="890">
        <f>IF(ISNUMBER(Producción_Ganadera[[#This Row],[Fecha Financiero]])=TRUE,YEAR(Producción_Ganadera[[#This Row],[Fecha Financiero]]),0)</f>
        <v>0</v>
      </c>
      <c r="AP91" s="891">
        <f>SUMPRODUCT((Producción_Ganadera[[#This Row],[Mes Financiero]]=Tipo_Cambio[Mes])*(Producción_Ganadera[[#This Row],[Año Financiero]]=Tipo_Cambio[Año])*(Tipo_Cambio[$/U$S]))</f>
        <v>0</v>
      </c>
      <c r="AQ91" s="891">
        <f>SUMPRODUCT((Producción_Ganadera[[#This Row],[Mes Financiero]]=Tipo_Cambio[Mes])*(Producción_Ganadera[[#This Row],[Año Financiero]]=Tipo_Cambio[Año])*(Tipo_Cambio[Actualización]))</f>
        <v>0</v>
      </c>
      <c r="AR91" s="919">
        <f>SUMPRODUCT((Producción_Ganadera[[#This Row],[Centro de Costo]]=Tabla19[Centro de Costo])*(Tabla19[Superficie])*(Producción_Ganadera[[#This Row],[Campaña]]=Tabla19[Campaña]))</f>
        <v>0</v>
      </c>
      <c r="AS91" s="920">
        <f>IFERROR(Producción_Ganadera[[#This Row],[Económico $Corrientes]]/Producción_Ganadera[[#This Row],[Superficie]],0)</f>
        <v>0</v>
      </c>
      <c r="AT91" s="920">
        <f>IFERROR(Producción_Ganadera[[#This Row],[Económico $Constantes]]/Producción_Ganadera[[#This Row],[Superficie]],0)</f>
        <v>0</v>
      </c>
      <c r="AU91" s="920">
        <f>IFERROR(Producción_Ganadera[[#This Row],[Económico U$S Dólares]]/Producción_Ganadera[[#This Row],[Superficie]],0)</f>
        <v>0</v>
      </c>
      <c r="AV91" s="916">
        <f>IF(Económico!$F$4=0,0,Producción_Ganadera[[#This Row],[Centro de Costo]])</f>
        <v>0</v>
      </c>
    </row>
    <row r="92" spans="1:48" x14ac:dyDescent="0.25">
      <c r="A92" s="86"/>
      <c r="B92" s="376"/>
      <c r="C92" s="86"/>
      <c r="D92" s="528"/>
      <c r="E92" s="522"/>
      <c r="F92" s="869" t="str">
        <f t="shared" si="6"/>
        <v>2018-2019</v>
      </c>
      <c r="G92" s="481" t="s">
        <v>127</v>
      </c>
      <c r="H92" s="481"/>
      <c r="I92" s="481"/>
      <c r="J92" s="549"/>
      <c r="K92" s="481"/>
      <c r="L92" s="520"/>
      <c r="M9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9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92" s="611"/>
      <c r="P92" s="484"/>
      <c r="Q92" s="875">
        <f>IF(ISNUMBER(Producción_Ganadera[[#This Row],[Cabezas]])=TRUE,Producción_Ganadera[[#This Row],[Cabezas]]*Producción_Ganadera[[#This Row],[Cantidad]],Producción_Ganadera[[#This Row],[Cantidad]])</f>
        <v>0</v>
      </c>
      <c r="R92" s="482"/>
      <c r="S92" s="552"/>
      <c r="T92" s="553"/>
      <c r="U9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92" s="913">
        <f>IFERROR(Producción_Ganadera[[#This Row],[Económico $Corrientes]]/Producción_Ganadera[[#This Row],[Indexación Económico]],0)</f>
        <v>0</v>
      </c>
      <c r="W9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9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92" s="913">
        <f>IFERROR(Producción_Ganadera[[#This Row],[Financiero $Corrientes]]/Producción_Ganadera[[#This Row],[Indexación Financiero]],0)</f>
        <v>0</v>
      </c>
      <c r="Z9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9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92" s="885">
        <f>IFERROR(Producción_Ganadera[[#This Row],[Intereses $Corrientes]]/Producción_Ganadera[[#This Row],[Indexación Financiero]],0)</f>
        <v>0</v>
      </c>
      <c r="AC9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92" s="915" t="str">
        <f>IFERROR(INDEX(Produccion_Ganadera_Cuentas[],MATCH(Producción_Ganadera[[#This Row],[Cuenta Contable]],Produccion_Ganadera_Cuentas[Cuenta Contable],0),2),0)</f>
        <v>Egreso</v>
      </c>
      <c r="AE92" s="916">
        <f>IF(Producción_Ganadera[[#This Row],[Mov. Stock]]="(+)",Producción_Ganadera[[#This Row],[Cabezas]],IF(Producción_Ganadera[[#This Row],[Mov. Stock]]="(-)",-Producción_Ganadera[[#This Row],[Cabezas]],0))</f>
        <v>0</v>
      </c>
      <c r="AF92" s="917">
        <f>IFERROR(INDEX(Produccion_Ganadera_Cuentas[],MATCH(Producción_Ganadera[[#This Row],[Cuenta Contable]],Produccion_Ganadera_Cuentas[Cuenta Contable],0),5),0)</f>
        <v>0</v>
      </c>
      <c r="AG92" s="918" t="str">
        <f>IF(Producción_Ganadera[[#This Row],[Cuenta Contable]]=Configuración!$AC$9,"Si","No")</f>
        <v>No</v>
      </c>
      <c r="AH92" s="887" t="str">
        <f>IFERROR(INDEX(Tabla9[],MATCH(Producción_Ganadera[[#This Row],[Movimiento]],Tabla9[Movimientos],0),2),0)</f>
        <v>Si</v>
      </c>
      <c r="AI92" s="888" t="str">
        <f>IFERROR(INDEX(Tabla9[],MATCH(Producción_Ganadera[[#This Row],[Movimiento]],Tabla9[Movimientos],0),3),0)</f>
        <v>(-)</v>
      </c>
      <c r="AJ92" s="890">
        <f>IF(Producción_Ganadera[[#This Row],[Fecha Económico]]=0,0,MONTH(Producción_Ganadera[[#This Row],[Fecha Económico]]))</f>
        <v>0</v>
      </c>
      <c r="AK92" s="890">
        <f>IF(Producción_Ganadera[[#This Row],[Fecha Económico]]=0,0,YEAR(Producción_Ganadera[[#This Row],[Fecha Económico]]))</f>
        <v>0</v>
      </c>
      <c r="AL92" s="891">
        <f>SUMPRODUCT((Producción_Ganadera[[#This Row],[Mes Económico]]=Tipo_Cambio[Mes])*(Producción_Ganadera[[#This Row],[Año Económico]]=Tipo_Cambio[Año])*(Tipo_Cambio[$/U$S]))</f>
        <v>0</v>
      </c>
      <c r="AM92" s="891">
        <f>SUMPRODUCT((Producción_Ganadera[[#This Row],[Mes Económico]]=Tipo_Cambio[Mes])*(Producción_Ganadera[[#This Row],[Año Económico]]=Tipo_Cambio[Año])*(Tipo_Cambio[Actualización]))</f>
        <v>0</v>
      </c>
      <c r="AN92" s="890">
        <f>IF(ISNUMBER(Producción_Ganadera[[#This Row],[Fecha Financiero]])=TRUE,MONTH(Producción_Ganadera[[#This Row],[Fecha Financiero]]),0)</f>
        <v>0</v>
      </c>
      <c r="AO92" s="890">
        <f>IF(ISNUMBER(Producción_Ganadera[[#This Row],[Fecha Financiero]])=TRUE,YEAR(Producción_Ganadera[[#This Row],[Fecha Financiero]]),0)</f>
        <v>0</v>
      </c>
      <c r="AP92" s="891">
        <f>SUMPRODUCT((Producción_Ganadera[[#This Row],[Mes Financiero]]=Tipo_Cambio[Mes])*(Producción_Ganadera[[#This Row],[Año Financiero]]=Tipo_Cambio[Año])*(Tipo_Cambio[$/U$S]))</f>
        <v>0</v>
      </c>
      <c r="AQ92" s="891">
        <f>SUMPRODUCT((Producción_Ganadera[[#This Row],[Mes Financiero]]=Tipo_Cambio[Mes])*(Producción_Ganadera[[#This Row],[Año Financiero]]=Tipo_Cambio[Año])*(Tipo_Cambio[Actualización]))</f>
        <v>0</v>
      </c>
      <c r="AR92" s="919">
        <f>SUMPRODUCT((Producción_Ganadera[[#This Row],[Centro de Costo]]=Tabla19[Centro de Costo])*(Tabla19[Superficie])*(Producción_Ganadera[[#This Row],[Campaña]]=Tabla19[Campaña]))</f>
        <v>0</v>
      </c>
      <c r="AS92" s="920">
        <f>IFERROR(Producción_Ganadera[[#This Row],[Económico $Corrientes]]/Producción_Ganadera[[#This Row],[Superficie]],0)</f>
        <v>0</v>
      </c>
      <c r="AT92" s="920">
        <f>IFERROR(Producción_Ganadera[[#This Row],[Económico $Constantes]]/Producción_Ganadera[[#This Row],[Superficie]],0)</f>
        <v>0</v>
      </c>
      <c r="AU92" s="920">
        <f>IFERROR(Producción_Ganadera[[#This Row],[Económico U$S Dólares]]/Producción_Ganadera[[#This Row],[Superficie]],0)</f>
        <v>0</v>
      </c>
      <c r="AV92" s="916">
        <f>IF(Económico!$F$4=0,0,Producción_Ganadera[[#This Row],[Centro de Costo]])</f>
        <v>0</v>
      </c>
    </row>
    <row r="93" spans="1:48" x14ac:dyDescent="0.25">
      <c r="A93" s="86"/>
      <c r="B93" s="376"/>
      <c r="C93" s="86"/>
      <c r="D93" s="535"/>
      <c r="E93" s="610"/>
      <c r="F93" s="870" t="str">
        <f t="shared" si="6"/>
        <v>2018-2019</v>
      </c>
      <c r="G93" s="538" t="s">
        <v>127</v>
      </c>
      <c r="H93" s="538"/>
      <c r="I93" s="540"/>
      <c r="J93" s="584"/>
      <c r="K93" s="538"/>
      <c r="L93" s="585"/>
      <c r="M93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93" s="870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93" s="612"/>
      <c r="P93" s="540"/>
      <c r="Q93" s="876">
        <f>IF(ISNUMBER(Producción_Ganadera[[#This Row],[Cabezas]])=TRUE,Producción_Ganadera[[#This Row],[Cabezas]]*Producción_Ganadera[[#This Row],[Cantidad]],Producción_Ganadera[[#This Row],[Cantidad]])</f>
        <v>0</v>
      </c>
      <c r="R93" s="613"/>
      <c r="S93" s="588"/>
      <c r="T93" s="589"/>
      <c r="U93" s="895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93" s="893">
        <f>IFERROR(Producción_Ganadera[[#This Row],[Económico $Corrientes]]/Producción_Ganadera[[#This Row],[Indexación Económico]],0)</f>
        <v>0</v>
      </c>
      <c r="W93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93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93" s="893">
        <f>IFERROR(Producción_Ganadera[[#This Row],[Financiero $Corrientes]]/Producción_Ganadera[[#This Row],[Indexación Financiero]],0)</f>
        <v>0</v>
      </c>
      <c r="Z93" s="92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93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93" s="897">
        <f>IFERROR(Producción_Ganadera[[#This Row],[Intereses $Corrientes]]/Producción_Ganadera[[#This Row],[Indexación Financiero]],0)</f>
        <v>0</v>
      </c>
      <c r="AC93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93" s="922" t="str">
        <f>IFERROR(INDEX(Produccion_Ganadera_Cuentas[],MATCH(Producción_Ganadera[[#This Row],[Cuenta Contable]],Produccion_Ganadera_Cuentas[Cuenta Contable],0),2),0)</f>
        <v>Egreso</v>
      </c>
      <c r="AE93" s="923">
        <f>IF(Producción_Ganadera[[#This Row],[Mov. Stock]]="(+)",Producción_Ganadera[[#This Row],[Cabezas]],IF(Producción_Ganadera[[#This Row],[Mov. Stock]]="(-)",-Producción_Ganadera[[#This Row],[Cabezas]],0))</f>
        <v>0</v>
      </c>
      <c r="AF93" s="924">
        <f>IFERROR(INDEX(Produccion_Ganadera_Cuentas[],MATCH(Producción_Ganadera[[#This Row],[Cuenta Contable]],Produccion_Ganadera_Cuentas[Cuenta Contable],0),5),0)</f>
        <v>0</v>
      </c>
      <c r="AG93" s="925" t="str">
        <f>IF(Producción_Ganadera[[#This Row],[Cuenta Contable]]=Configuración!$AC$9,"Si","No")</f>
        <v>No</v>
      </c>
      <c r="AH93" s="899" t="str">
        <f>IFERROR(INDEX(Tabla9[],MATCH(Producción_Ganadera[[#This Row],[Movimiento]],Tabla9[Movimientos],0),2),0)</f>
        <v>Si</v>
      </c>
      <c r="AI93" s="900" t="str">
        <f>IFERROR(INDEX(Tabla9[],MATCH(Producción_Ganadera[[#This Row],[Movimiento]],Tabla9[Movimientos],0),3),0)</f>
        <v>(-)</v>
      </c>
      <c r="AJ93" s="897">
        <f>IF(Producción_Ganadera[[#This Row],[Fecha Económico]]=0,0,MONTH(Producción_Ganadera[[#This Row],[Fecha Económico]]))</f>
        <v>0</v>
      </c>
      <c r="AK93" s="897">
        <f>IF(Producción_Ganadera[[#This Row],[Fecha Económico]]=0,0,YEAR(Producción_Ganadera[[#This Row],[Fecha Económico]]))</f>
        <v>0</v>
      </c>
      <c r="AL93" s="901">
        <f>SUMPRODUCT((Producción_Ganadera[[#This Row],[Mes Económico]]=Tipo_Cambio[Mes])*(Producción_Ganadera[[#This Row],[Año Económico]]=Tipo_Cambio[Año])*(Tipo_Cambio[$/U$S]))</f>
        <v>0</v>
      </c>
      <c r="AM93" s="901">
        <f>SUMPRODUCT((Producción_Ganadera[[#This Row],[Mes Económico]]=Tipo_Cambio[Mes])*(Producción_Ganadera[[#This Row],[Año Económico]]=Tipo_Cambio[Año])*(Tipo_Cambio[Actualización]))</f>
        <v>0</v>
      </c>
      <c r="AN93" s="897">
        <f>IF(ISNUMBER(Producción_Ganadera[[#This Row],[Fecha Financiero]])=TRUE,MONTH(Producción_Ganadera[[#This Row],[Fecha Financiero]]),0)</f>
        <v>0</v>
      </c>
      <c r="AO93" s="897">
        <f>IF(ISNUMBER(Producción_Ganadera[[#This Row],[Fecha Financiero]])=TRUE,YEAR(Producción_Ganadera[[#This Row],[Fecha Financiero]]),0)</f>
        <v>0</v>
      </c>
      <c r="AP93" s="901">
        <f>SUMPRODUCT((Producción_Ganadera[[#This Row],[Mes Financiero]]=Tipo_Cambio[Mes])*(Producción_Ganadera[[#This Row],[Año Financiero]]=Tipo_Cambio[Año])*(Tipo_Cambio[$/U$S]))</f>
        <v>0</v>
      </c>
      <c r="AQ93" s="901">
        <f>SUMPRODUCT((Producción_Ganadera[[#This Row],[Mes Financiero]]=Tipo_Cambio[Mes])*(Producción_Ganadera[[#This Row],[Año Financiero]]=Tipo_Cambio[Año])*(Tipo_Cambio[Actualización]))</f>
        <v>0</v>
      </c>
      <c r="AR93" s="926">
        <f>SUMPRODUCT((Producción_Ganadera[[#This Row],[Centro de Costo]]=Tabla19[Centro de Costo])*(Tabla19[Superficie])*(Producción_Ganadera[[#This Row],[Campaña]]=Tabla19[Campaña]))</f>
        <v>0</v>
      </c>
      <c r="AS93" s="925">
        <f>IFERROR(Producción_Ganadera[[#This Row],[Económico $Corrientes]]/Producción_Ganadera[[#This Row],[Superficie]],0)</f>
        <v>0</v>
      </c>
      <c r="AT93" s="925">
        <f>IFERROR(Producción_Ganadera[[#This Row],[Económico $Constantes]]/Producción_Ganadera[[#This Row],[Superficie]],0)</f>
        <v>0</v>
      </c>
      <c r="AU93" s="925">
        <f>IFERROR(Producción_Ganadera[[#This Row],[Económico U$S Dólares]]/Producción_Ganadera[[#This Row],[Superficie]],0)</f>
        <v>0</v>
      </c>
      <c r="AV93" s="923">
        <f>IF(Económico!$F$4=0,0,Producción_Ganadera[[#This Row],[Centro de Costo]])</f>
        <v>0</v>
      </c>
    </row>
    <row r="94" spans="1:48" x14ac:dyDescent="0.25">
      <c r="A94" s="86"/>
      <c r="B94" s="376"/>
      <c r="C94" s="86"/>
      <c r="D94" s="528"/>
      <c r="E94" s="522"/>
      <c r="F94" s="869" t="str">
        <f t="shared" si="6"/>
        <v>2018-2019</v>
      </c>
      <c r="G94" s="491" t="str">
        <f>GAN_Ventas</f>
        <v>Venta Hacienda</v>
      </c>
      <c r="H94" s="481"/>
      <c r="I94" s="481"/>
      <c r="J94" s="549"/>
      <c r="K94" s="481"/>
      <c r="L94" s="520"/>
      <c r="M9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9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94" s="611"/>
      <c r="P94" s="484"/>
      <c r="Q94" s="875">
        <f>IF(ISNUMBER(Producción_Ganadera[[#This Row],[Cabezas]])=TRUE,Producción_Ganadera[[#This Row],[Cabezas]]*Producción_Ganadera[[#This Row],[Cantidad]],Producción_Ganadera[[#This Row],[Cantidad]])</f>
        <v>0</v>
      </c>
      <c r="R94" s="482"/>
      <c r="S94" s="552"/>
      <c r="T94" s="553"/>
      <c r="U9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94" s="913">
        <f>IFERROR(Producción_Ganadera[[#This Row],[Económico $Corrientes]]/Producción_Ganadera[[#This Row],[Indexación Económico]],0)</f>
        <v>0</v>
      </c>
      <c r="W9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9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94" s="913">
        <f>IFERROR(Producción_Ganadera[[#This Row],[Financiero $Corrientes]]/Producción_Ganadera[[#This Row],[Indexación Financiero]],0)</f>
        <v>0</v>
      </c>
      <c r="Z9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9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94" s="885">
        <f>IFERROR(Producción_Ganadera[[#This Row],[Intereses $Corrientes]]/Producción_Ganadera[[#This Row],[Indexación Financiero]],0)</f>
        <v>0</v>
      </c>
      <c r="AC9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94" s="915" t="str">
        <f>IFERROR(INDEX(Produccion_Ganadera_Cuentas[],MATCH(Producción_Ganadera[[#This Row],[Cuenta Contable]],Produccion_Ganadera_Cuentas[Cuenta Contable],0),2),0)</f>
        <v>Ingreso</v>
      </c>
      <c r="AE94" s="916">
        <f>IF(Producción_Ganadera[[#This Row],[Mov. Stock]]="(+)",Producción_Ganadera[[#This Row],[Cabezas]],IF(Producción_Ganadera[[#This Row],[Mov. Stock]]="(-)",-Producción_Ganadera[[#This Row],[Cabezas]],0))</f>
        <v>0</v>
      </c>
      <c r="AF94" s="917" t="str">
        <f>IFERROR(INDEX(Produccion_Ganadera_Cuentas[],MATCH(Producción_Ganadera[[#This Row],[Cuenta Contable]],Produccion_Ganadera_Cuentas[Cuenta Contable],0),5),0)</f>
        <v>(-)</v>
      </c>
      <c r="AG94" s="918" t="str">
        <f>IF(Producción_Ganadera[[#This Row],[Cuenta Contable]]=Configuración!$AC$9,"Si","No")</f>
        <v>No</v>
      </c>
      <c r="AH94" s="887" t="str">
        <f>IFERROR(INDEX(Tabla9[],MATCH(Producción_Ganadera[[#This Row],[Movimiento]],Tabla9[Movimientos],0),2),0)</f>
        <v>Si</v>
      </c>
      <c r="AI94" s="888" t="str">
        <f>IFERROR(INDEX(Tabla9[],MATCH(Producción_Ganadera[[#This Row],[Movimiento]],Tabla9[Movimientos],0),3),0)</f>
        <v>(+)</v>
      </c>
      <c r="AJ94" s="890">
        <f>IF(Producción_Ganadera[[#This Row],[Fecha Económico]]=0,0,MONTH(Producción_Ganadera[[#This Row],[Fecha Económico]]))</f>
        <v>0</v>
      </c>
      <c r="AK94" s="890">
        <f>IF(Producción_Ganadera[[#This Row],[Fecha Económico]]=0,0,YEAR(Producción_Ganadera[[#This Row],[Fecha Económico]]))</f>
        <v>0</v>
      </c>
      <c r="AL94" s="891">
        <f>SUMPRODUCT((Producción_Ganadera[[#This Row],[Mes Económico]]=Tipo_Cambio[Mes])*(Producción_Ganadera[[#This Row],[Año Económico]]=Tipo_Cambio[Año])*(Tipo_Cambio[$/U$S]))</f>
        <v>0</v>
      </c>
      <c r="AM94" s="891">
        <f>SUMPRODUCT((Producción_Ganadera[[#This Row],[Mes Económico]]=Tipo_Cambio[Mes])*(Producción_Ganadera[[#This Row],[Año Económico]]=Tipo_Cambio[Año])*(Tipo_Cambio[Actualización]))</f>
        <v>0</v>
      </c>
      <c r="AN94" s="890">
        <f>IF(ISNUMBER(Producción_Ganadera[[#This Row],[Fecha Financiero]])=TRUE,MONTH(Producción_Ganadera[[#This Row],[Fecha Financiero]]),0)</f>
        <v>0</v>
      </c>
      <c r="AO94" s="890">
        <f>IF(ISNUMBER(Producción_Ganadera[[#This Row],[Fecha Financiero]])=TRUE,YEAR(Producción_Ganadera[[#This Row],[Fecha Financiero]]),0)</f>
        <v>0</v>
      </c>
      <c r="AP94" s="891">
        <f>SUMPRODUCT((Producción_Ganadera[[#This Row],[Mes Financiero]]=Tipo_Cambio[Mes])*(Producción_Ganadera[[#This Row],[Año Financiero]]=Tipo_Cambio[Año])*(Tipo_Cambio[$/U$S]))</f>
        <v>0</v>
      </c>
      <c r="AQ94" s="891">
        <f>SUMPRODUCT((Producción_Ganadera[[#This Row],[Mes Financiero]]=Tipo_Cambio[Mes])*(Producción_Ganadera[[#This Row],[Año Financiero]]=Tipo_Cambio[Año])*(Tipo_Cambio[Actualización]))</f>
        <v>0</v>
      </c>
      <c r="AR94" s="919">
        <f>SUMPRODUCT((Producción_Ganadera[[#This Row],[Centro de Costo]]=Tabla19[Centro de Costo])*(Tabla19[Superficie])*(Producción_Ganadera[[#This Row],[Campaña]]=Tabla19[Campaña]))</f>
        <v>0</v>
      </c>
      <c r="AS94" s="920">
        <f>IFERROR(Producción_Ganadera[[#This Row],[Económico $Corrientes]]/Producción_Ganadera[[#This Row],[Superficie]],0)</f>
        <v>0</v>
      </c>
      <c r="AT94" s="920">
        <f>IFERROR(Producción_Ganadera[[#This Row],[Económico $Constantes]]/Producción_Ganadera[[#This Row],[Superficie]],0)</f>
        <v>0</v>
      </c>
      <c r="AU94" s="920">
        <f>IFERROR(Producción_Ganadera[[#This Row],[Económico U$S Dólares]]/Producción_Ganadera[[#This Row],[Superficie]],0)</f>
        <v>0</v>
      </c>
      <c r="AV94" s="916">
        <f>IF(Económico!$F$4=0,0,Producción_Ganadera[[#This Row],[Centro de Costo]])</f>
        <v>0</v>
      </c>
    </row>
    <row r="95" spans="1:48" x14ac:dyDescent="0.25">
      <c r="A95" s="86"/>
      <c r="B95" s="376"/>
      <c r="C95" s="86"/>
      <c r="D95" s="528"/>
      <c r="E95" s="522"/>
      <c r="F95" s="869" t="str">
        <f t="shared" si="6"/>
        <v>2018-2019</v>
      </c>
      <c r="G95" s="481" t="str">
        <f>GAN_Ventas</f>
        <v>Venta Hacienda</v>
      </c>
      <c r="H95" s="481"/>
      <c r="I95" s="481"/>
      <c r="J95" s="549"/>
      <c r="K95" s="481"/>
      <c r="L95" s="520"/>
      <c r="M9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9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95" s="611"/>
      <c r="P95" s="484"/>
      <c r="Q95" s="875">
        <f>IF(ISNUMBER(Producción_Ganadera[[#This Row],[Cabezas]])=TRUE,Producción_Ganadera[[#This Row],[Cabezas]]*Producción_Ganadera[[#This Row],[Cantidad]],Producción_Ganadera[[#This Row],[Cantidad]])</f>
        <v>0</v>
      </c>
      <c r="R95" s="482"/>
      <c r="S95" s="552"/>
      <c r="T95" s="553"/>
      <c r="U9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95" s="913">
        <f>IFERROR(Producción_Ganadera[[#This Row],[Económico $Corrientes]]/Producción_Ganadera[[#This Row],[Indexación Económico]],0)</f>
        <v>0</v>
      </c>
      <c r="W9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9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95" s="913">
        <f>IFERROR(Producción_Ganadera[[#This Row],[Financiero $Corrientes]]/Producción_Ganadera[[#This Row],[Indexación Financiero]],0)</f>
        <v>0</v>
      </c>
      <c r="Z9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9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95" s="885">
        <f>IFERROR(Producción_Ganadera[[#This Row],[Intereses $Corrientes]]/Producción_Ganadera[[#This Row],[Indexación Financiero]],0)</f>
        <v>0</v>
      </c>
      <c r="AC9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95" s="915" t="str">
        <f>IFERROR(INDEX(Produccion_Ganadera_Cuentas[],MATCH(Producción_Ganadera[[#This Row],[Cuenta Contable]],Produccion_Ganadera_Cuentas[Cuenta Contable],0),2),0)</f>
        <v>Ingreso</v>
      </c>
      <c r="AE95" s="916">
        <f>IF(Producción_Ganadera[[#This Row],[Mov. Stock]]="(+)",Producción_Ganadera[[#This Row],[Cabezas]],IF(Producción_Ganadera[[#This Row],[Mov. Stock]]="(-)",-Producción_Ganadera[[#This Row],[Cabezas]],0))</f>
        <v>0</v>
      </c>
      <c r="AF95" s="917" t="str">
        <f>IFERROR(INDEX(Produccion_Ganadera_Cuentas[],MATCH(Producción_Ganadera[[#This Row],[Cuenta Contable]],Produccion_Ganadera_Cuentas[Cuenta Contable],0),5),0)</f>
        <v>(-)</v>
      </c>
      <c r="AG95" s="918" t="str">
        <f>IF(Producción_Ganadera[[#This Row],[Cuenta Contable]]=Configuración!$AC$9,"Si","No")</f>
        <v>No</v>
      </c>
      <c r="AH95" s="887" t="str">
        <f>IFERROR(INDEX(Tabla9[],MATCH(Producción_Ganadera[[#This Row],[Movimiento]],Tabla9[Movimientos],0),2),0)</f>
        <v>Si</v>
      </c>
      <c r="AI95" s="888" t="str">
        <f>IFERROR(INDEX(Tabla9[],MATCH(Producción_Ganadera[[#This Row],[Movimiento]],Tabla9[Movimientos],0),3),0)</f>
        <v>(+)</v>
      </c>
      <c r="AJ95" s="890">
        <f>IF(Producción_Ganadera[[#This Row],[Fecha Económico]]=0,0,MONTH(Producción_Ganadera[[#This Row],[Fecha Económico]]))</f>
        <v>0</v>
      </c>
      <c r="AK95" s="890">
        <f>IF(Producción_Ganadera[[#This Row],[Fecha Económico]]=0,0,YEAR(Producción_Ganadera[[#This Row],[Fecha Económico]]))</f>
        <v>0</v>
      </c>
      <c r="AL95" s="891">
        <f>SUMPRODUCT((Producción_Ganadera[[#This Row],[Mes Económico]]=Tipo_Cambio[Mes])*(Producción_Ganadera[[#This Row],[Año Económico]]=Tipo_Cambio[Año])*(Tipo_Cambio[$/U$S]))</f>
        <v>0</v>
      </c>
      <c r="AM95" s="891">
        <f>SUMPRODUCT((Producción_Ganadera[[#This Row],[Mes Económico]]=Tipo_Cambio[Mes])*(Producción_Ganadera[[#This Row],[Año Económico]]=Tipo_Cambio[Año])*(Tipo_Cambio[Actualización]))</f>
        <v>0</v>
      </c>
      <c r="AN95" s="890">
        <f>IF(ISNUMBER(Producción_Ganadera[[#This Row],[Fecha Financiero]])=TRUE,MONTH(Producción_Ganadera[[#This Row],[Fecha Financiero]]),0)</f>
        <v>0</v>
      </c>
      <c r="AO95" s="890">
        <f>IF(ISNUMBER(Producción_Ganadera[[#This Row],[Fecha Financiero]])=TRUE,YEAR(Producción_Ganadera[[#This Row],[Fecha Financiero]]),0)</f>
        <v>0</v>
      </c>
      <c r="AP95" s="891">
        <f>SUMPRODUCT((Producción_Ganadera[[#This Row],[Mes Financiero]]=Tipo_Cambio[Mes])*(Producción_Ganadera[[#This Row],[Año Financiero]]=Tipo_Cambio[Año])*(Tipo_Cambio[$/U$S]))</f>
        <v>0</v>
      </c>
      <c r="AQ95" s="891">
        <f>SUMPRODUCT((Producción_Ganadera[[#This Row],[Mes Financiero]]=Tipo_Cambio[Mes])*(Producción_Ganadera[[#This Row],[Año Financiero]]=Tipo_Cambio[Año])*(Tipo_Cambio[Actualización]))</f>
        <v>0</v>
      </c>
      <c r="AR95" s="919">
        <f>SUMPRODUCT((Producción_Ganadera[[#This Row],[Centro de Costo]]=Tabla19[Centro de Costo])*(Tabla19[Superficie])*(Producción_Ganadera[[#This Row],[Campaña]]=Tabla19[Campaña]))</f>
        <v>0</v>
      </c>
      <c r="AS95" s="920">
        <f>IFERROR(Producción_Ganadera[[#This Row],[Económico $Corrientes]]/Producción_Ganadera[[#This Row],[Superficie]],0)</f>
        <v>0</v>
      </c>
      <c r="AT95" s="920">
        <f>IFERROR(Producción_Ganadera[[#This Row],[Económico $Constantes]]/Producción_Ganadera[[#This Row],[Superficie]],0)</f>
        <v>0</v>
      </c>
      <c r="AU95" s="920">
        <f>IFERROR(Producción_Ganadera[[#This Row],[Económico U$S Dólares]]/Producción_Ganadera[[#This Row],[Superficie]],0)</f>
        <v>0</v>
      </c>
      <c r="AV95" s="916">
        <f>IF(Económico!$F$4=0,0,Producción_Ganadera[[#This Row],[Centro de Costo]])</f>
        <v>0</v>
      </c>
    </row>
    <row r="96" spans="1:48" x14ac:dyDescent="0.25">
      <c r="A96" s="86"/>
      <c r="B96" s="376"/>
      <c r="C96" s="86"/>
      <c r="D96" s="528"/>
      <c r="E96" s="522"/>
      <c r="F96" s="869" t="str">
        <f t="shared" si="6"/>
        <v>2018-2019</v>
      </c>
      <c r="G96" s="481" t="s">
        <v>127</v>
      </c>
      <c r="H96" s="481"/>
      <c r="I96" s="481"/>
      <c r="J96" s="549"/>
      <c r="K96" s="481"/>
      <c r="L96" s="520"/>
      <c r="M9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9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96" s="611"/>
      <c r="P96" s="484"/>
      <c r="Q96" s="875">
        <f>IF(ISNUMBER(Producción_Ganadera[[#This Row],[Cabezas]])=TRUE,Producción_Ganadera[[#This Row],[Cabezas]]*Producción_Ganadera[[#This Row],[Cantidad]],Producción_Ganadera[[#This Row],[Cantidad]])</f>
        <v>0</v>
      </c>
      <c r="R96" s="482"/>
      <c r="S96" s="552"/>
      <c r="T96" s="553"/>
      <c r="U9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96" s="913">
        <f>IFERROR(Producción_Ganadera[[#This Row],[Económico $Corrientes]]/Producción_Ganadera[[#This Row],[Indexación Económico]],0)</f>
        <v>0</v>
      </c>
      <c r="W9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9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96" s="913">
        <f>IFERROR(Producción_Ganadera[[#This Row],[Financiero $Corrientes]]/Producción_Ganadera[[#This Row],[Indexación Financiero]],0)</f>
        <v>0</v>
      </c>
      <c r="Z9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9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96" s="885">
        <f>IFERROR(Producción_Ganadera[[#This Row],[Intereses $Corrientes]]/Producción_Ganadera[[#This Row],[Indexación Financiero]],0)</f>
        <v>0</v>
      </c>
      <c r="AC9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96" s="915" t="str">
        <f>IFERROR(INDEX(Produccion_Ganadera_Cuentas[],MATCH(Producción_Ganadera[[#This Row],[Cuenta Contable]],Produccion_Ganadera_Cuentas[Cuenta Contable],0),2),0)</f>
        <v>Egreso</v>
      </c>
      <c r="AE96" s="916">
        <f>IF(Producción_Ganadera[[#This Row],[Mov. Stock]]="(+)",Producción_Ganadera[[#This Row],[Cabezas]],IF(Producción_Ganadera[[#This Row],[Mov. Stock]]="(-)",-Producción_Ganadera[[#This Row],[Cabezas]],0))</f>
        <v>0</v>
      </c>
      <c r="AF96" s="917">
        <f>IFERROR(INDEX(Produccion_Ganadera_Cuentas[],MATCH(Producción_Ganadera[[#This Row],[Cuenta Contable]],Produccion_Ganadera_Cuentas[Cuenta Contable],0),5),0)</f>
        <v>0</v>
      </c>
      <c r="AG96" s="918" t="str">
        <f>IF(Producción_Ganadera[[#This Row],[Cuenta Contable]]=Configuración!$AC$9,"Si","No")</f>
        <v>No</v>
      </c>
      <c r="AH96" s="887" t="str">
        <f>IFERROR(INDEX(Tabla9[],MATCH(Producción_Ganadera[[#This Row],[Movimiento]],Tabla9[Movimientos],0),2),0)</f>
        <v>Si</v>
      </c>
      <c r="AI96" s="888" t="str">
        <f>IFERROR(INDEX(Tabla9[],MATCH(Producción_Ganadera[[#This Row],[Movimiento]],Tabla9[Movimientos],0),3),0)</f>
        <v>(-)</v>
      </c>
      <c r="AJ96" s="890">
        <f>IF(Producción_Ganadera[[#This Row],[Fecha Económico]]=0,0,MONTH(Producción_Ganadera[[#This Row],[Fecha Económico]]))</f>
        <v>0</v>
      </c>
      <c r="AK96" s="890">
        <f>IF(Producción_Ganadera[[#This Row],[Fecha Económico]]=0,0,YEAR(Producción_Ganadera[[#This Row],[Fecha Económico]]))</f>
        <v>0</v>
      </c>
      <c r="AL96" s="891">
        <f>SUMPRODUCT((Producción_Ganadera[[#This Row],[Mes Económico]]=Tipo_Cambio[Mes])*(Producción_Ganadera[[#This Row],[Año Económico]]=Tipo_Cambio[Año])*(Tipo_Cambio[$/U$S]))</f>
        <v>0</v>
      </c>
      <c r="AM96" s="891">
        <f>SUMPRODUCT((Producción_Ganadera[[#This Row],[Mes Económico]]=Tipo_Cambio[Mes])*(Producción_Ganadera[[#This Row],[Año Económico]]=Tipo_Cambio[Año])*(Tipo_Cambio[Actualización]))</f>
        <v>0</v>
      </c>
      <c r="AN96" s="890">
        <f>IF(ISNUMBER(Producción_Ganadera[[#This Row],[Fecha Financiero]])=TRUE,MONTH(Producción_Ganadera[[#This Row],[Fecha Financiero]]),0)</f>
        <v>0</v>
      </c>
      <c r="AO96" s="890">
        <f>IF(ISNUMBER(Producción_Ganadera[[#This Row],[Fecha Financiero]])=TRUE,YEAR(Producción_Ganadera[[#This Row],[Fecha Financiero]]),0)</f>
        <v>0</v>
      </c>
      <c r="AP96" s="891">
        <f>SUMPRODUCT((Producción_Ganadera[[#This Row],[Mes Financiero]]=Tipo_Cambio[Mes])*(Producción_Ganadera[[#This Row],[Año Financiero]]=Tipo_Cambio[Año])*(Tipo_Cambio[$/U$S]))</f>
        <v>0</v>
      </c>
      <c r="AQ96" s="891">
        <f>SUMPRODUCT((Producción_Ganadera[[#This Row],[Mes Financiero]]=Tipo_Cambio[Mes])*(Producción_Ganadera[[#This Row],[Año Financiero]]=Tipo_Cambio[Año])*(Tipo_Cambio[Actualización]))</f>
        <v>0</v>
      </c>
      <c r="AR96" s="919">
        <f>SUMPRODUCT((Producción_Ganadera[[#This Row],[Centro de Costo]]=Tabla19[Centro de Costo])*(Tabla19[Superficie])*(Producción_Ganadera[[#This Row],[Campaña]]=Tabla19[Campaña]))</f>
        <v>0</v>
      </c>
      <c r="AS96" s="920">
        <f>IFERROR(Producción_Ganadera[[#This Row],[Económico $Corrientes]]/Producción_Ganadera[[#This Row],[Superficie]],0)</f>
        <v>0</v>
      </c>
      <c r="AT96" s="920">
        <f>IFERROR(Producción_Ganadera[[#This Row],[Económico $Constantes]]/Producción_Ganadera[[#This Row],[Superficie]],0)</f>
        <v>0</v>
      </c>
      <c r="AU96" s="920">
        <f>IFERROR(Producción_Ganadera[[#This Row],[Económico U$S Dólares]]/Producción_Ganadera[[#This Row],[Superficie]],0)</f>
        <v>0</v>
      </c>
      <c r="AV96" s="916">
        <f>IF(Económico!$F$4=0,0,Producción_Ganadera[[#This Row],[Centro de Costo]])</f>
        <v>0</v>
      </c>
    </row>
    <row r="97" spans="1:48" x14ac:dyDescent="0.25">
      <c r="A97" s="86"/>
      <c r="B97" s="376"/>
      <c r="C97" s="86"/>
      <c r="D97" s="535"/>
      <c r="E97" s="610"/>
      <c r="F97" s="870" t="str">
        <f t="shared" si="6"/>
        <v>2018-2019</v>
      </c>
      <c r="G97" s="538" t="s">
        <v>127</v>
      </c>
      <c r="H97" s="538"/>
      <c r="I97" s="540"/>
      <c r="J97" s="584"/>
      <c r="K97" s="538"/>
      <c r="L97" s="585"/>
      <c r="M97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97" s="870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97" s="612"/>
      <c r="P97" s="540"/>
      <c r="Q97" s="876">
        <f>IF(ISNUMBER(Producción_Ganadera[[#This Row],[Cabezas]])=TRUE,Producción_Ganadera[[#This Row],[Cabezas]]*Producción_Ganadera[[#This Row],[Cantidad]],Producción_Ganadera[[#This Row],[Cantidad]])</f>
        <v>0</v>
      </c>
      <c r="R97" s="613"/>
      <c r="S97" s="588"/>
      <c r="T97" s="589"/>
      <c r="U97" s="895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97" s="893">
        <f>IFERROR(Producción_Ganadera[[#This Row],[Económico $Corrientes]]/Producción_Ganadera[[#This Row],[Indexación Económico]],0)</f>
        <v>0</v>
      </c>
      <c r="W97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97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97" s="893">
        <f>IFERROR(Producción_Ganadera[[#This Row],[Financiero $Corrientes]]/Producción_Ganadera[[#This Row],[Indexación Financiero]],0)</f>
        <v>0</v>
      </c>
      <c r="Z97" s="92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97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97" s="897">
        <f>IFERROR(Producción_Ganadera[[#This Row],[Intereses $Corrientes]]/Producción_Ganadera[[#This Row],[Indexación Financiero]],0)</f>
        <v>0</v>
      </c>
      <c r="AC97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97" s="922" t="str">
        <f>IFERROR(INDEX(Produccion_Ganadera_Cuentas[],MATCH(Producción_Ganadera[[#This Row],[Cuenta Contable]],Produccion_Ganadera_Cuentas[Cuenta Contable],0),2),0)</f>
        <v>Egreso</v>
      </c>
      <c r="AE97" s="923">
        <f>IF(Producción_Ganadera[[#This Row],[Mov. Stock]]="(+)",Producción_Ganadera[[#This Row],[Cabezas]],IF(Producción_Ganadera[[#This Row],[Mov. Stock]]="(-)",-Producción_Ganadera[[#This Row],[Cabezas]],0))</f>
        <v>0</v>
      </c>
      <c r="AF97" s="924">
        <f>IFERROR(INDEX(Produccion_Ganadera_Cuentas[],MATCH(Producción_Ganadera[[#This Row],[Cuenta Contable]],Produccion_Ganadera_Cuentas[Cuenta Contable],0),5),0)</f>
        <v>0</v>
      </c>
      <c r="AG97" s="925" t="str">
        <f>IF(Producción_Ganadera[[#This Row],[Cuenta Contable]]=Configuración!$AC$9,"Si","No")</f>
        <v>No</v>
      </c>
      <c r="AH97" s="899" t="str">
        <f>IFERROR(INDEX(Tabla9[],MATCH(Producción_Ganadera[[#This Row],[Movimiento]],Tabla9[Movimientos],0),2),0)</f>
        <v>Si</v>
      </c>
      <c r="AI97" s="900" t="str">
        <f>IFERROR(INDEX(Tabla9[],MATCH(Producción_Ganadera[[#This Row],[Movimiento]],Tabla9[Movimientos],0),3),0)</f>
        <v>(-)</v>
      </c>
      <c r="AJ97" s="897">
        <f>IF(Producción_Ganadera[[#This Row],[Fecha Económico]]=0,0,MONTH(Producción_Ganadera[[#This Row],[Fecha Económico]]))</f>
        <v>0</v>
      </c>
      <c r="AK97" s="897">
        <f>IF(Producción_Ganadera[[#This Row],[Fecha Económico]]=0,0,YEAR(Producción_Ganadera[[#This Row],[Fecha Económico]]))</f>
        <v>0</v>
      </c>
      <c r="AL97" s="901">
        <f>SUMPRODUCT((Producción_Ganadera[[#This Row],[Mes Económico]]=Tipo_Cambio[Mes])*(Producción_Ganadera[[#This Row],[Año Económico]]=Tipo_Cambio[Año])*(Tipo_Cambio[$/U$S]))</f>
        <v>0</v>
      </c>
      <c r="AM97" s="901">
        <f>SUMPRODUCT((Producción_Ganadera[[#This Row],[Mes Económico]]=Tipo_Cambio[Mes])*(Producción_Ganadera[[#This Row],[Año Económico]]=Tipo_Cambio[Año])*(Tipo_Cambio[Actualización]))</f>
        <v>0</v>
      </c>
      <c r="AN97" s="897">
        <f>IF(ISNUMBER(Producción_Ganadera[[#This Row],[Fecha Financiero]])=TRUE,MONTH(Producción_Ganadera[[#This Row],[Fecha Financiero]]),0)</f>
        <v>0</v>
      </c>
      <c r="AO97" s="897">
        <f>IF(ISNUMBER(Producción_Ganadera[[#This Row],[Fecha Financiero]])=TRUE,YEAR(Producción_Ganadera[[#This Row],[Fecha Financiero]]),0)</f>
        <v>0</v>
      </c>
      <c r="AP97" s="901">
        <f>SUMPRODUCT((Producción_Ganadera[[#This Row],[Mes Financiero]]=Tipo_Cambio[Mes])*(Producción_Ganadera[[#This Row],[Año Financiero]]=Tipo_Cambio[Año])*(Tipo_Cambio[$/U$S]))</f>
        <v>0</v>
      </c>
      <c r="AQ97" s="901">
        <f>SUMPRODUCT((Producción_Ganadera[[#This Row],[Mes Financiero]]=Tipo_Cambio[Mes])*(Producción_Ganadera[[#This Row],[Año Financiero]]=Tipo_Cambio[Año])*(Tipo_Cambio[Actualización]))</f>
        <v>0</v>
      </c>
      <c r="AR97" s="926">
        <f>SUMPRODUCT((Producción_Ganadera[[#This Row],[Centro de Costo]]=Tabla19[Centro de Costo])*(Tabla19[Superficie])*(Producción_Ganadera[[#This Row],[Campaña]]=Tabla19[Campaña]))</f>
        <v>0</v>
      </c>
      <c r="AS97" s="925">
        <f>IFERROR(Producción_Ganadera[[#This Row],[Económico $Corrientes]]/Producción_Ganadera[[#This Row],[Superficie]],0)</f>
        <v>0</v>
      </c>
      <c r="AT97" s="925">
        <f>IFERROR(Producción_Ganadera[[#This Row],[Económico $Constantes]]/Producción_Ganadera[[#This Row],[Superficie]],0)</f>
        <v>0</v>
      </c>
      <c r="AU97" s="925">
        <f>IFERROR(Producción_Ganadera[[#This Row],[Económico U$S Dólares]]/Producción_Ganadera[[#This Row],[Superficie]],0)</f>
        <v>0</v>
      </c>
      <c r="AV97" s="923">
        <f>IF(Económico!$F$4=0,0,Producción_Ganadera[[#This Row],[Centro de Costo]])</f>
        <v>0</v>
      </c>
    </row>
    <row r="98" spans="1:48" x14ac:dyDescent="0.25">
      <c r="A98" s="86"/>
      <c r="B98" s="376"/>
      <c r="C98" s="86"/>
      <c r="D98" s="528"/>
      <c r="E98" s="522"/>
      <c r="F98" s="869" t="str">
        <f t="shared" si="6"/>
        <v>2018-2019</v>
      </c>
      <c r="G98" s="491" t="str">
        <f>GAN_Ventas</f>
        <v>Venta Hacienda</v>
      </c>
      <c r="H98" s="481"/>
      <c r="I98" s="481"/>
      <c r="J98" s="549"/>
      <c r="K98" s="481"/>
      <c r="L98" s="520"/>
      <c r="M9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9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98" s="611"/>
      <c r="P98" s="484"/>
      <c r="Q98" s="875">
        <f>IF(ISNUMBER(Producción_Ganadera[[#This Row],[Cabezas]])=TRUE,Producción_Ganadera[[#This Row],[Cabezas]]*Producción_Ganadera[[#This Row],[Cantidad]],Producción_Ganadera[[#This Row],[Cantidad]])</f>
        <v>0</v>
      </c>
      <c r="R98" s="482"/>
      <c r="S98" s="552"/>
      <c r="T98" s="553"/>
      <c r="U9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98" s="913">
        <f>IFERROR(Producción_Ganadera[[#This Row],[Económico $Corrientes]]/Producción_Ganadera[[#This Row],[Indexación Económico]],0)</f>
        <v>0</v>
      </c>
      <c r="W9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9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98" s="913">
        <f>IFERROR(Producción_Ganadera[[#This Row],[Financiero $Corrientes]]/Producción_Ganadera[[#This Row],[Indexación Financiero]],0)</f>
        <v>0</v>
      </c>
      <c r="Z9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9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98" s="885">
        <f>IFERROR(Producción_Ganadera[[#This Row],[Intereses $Corrientes]]/Producción_Ganadera[[#This Row],[Indexación Financiero]],0)</f>
        <v>0</v>
      </c>
      <c r="AC9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98" s="915" t="str">
        <f>IFERROR(INDEX(Produccion_Ganadera_Cuentas[],MATCH(Producción_Ganadera[[#This Row],[Cuenta Contable]],Produccion_Ganadera_Cuentas[Cuenta Contable],0),2),0)</f>
        <v>Ingreso</v>
      </c>
      <c r="AE98" s="916">
        <f>IF(Producción_Ganadera[[#This Row],[Mov. Stock]]="(+)",Producción_Ganadera[[#This Row],[Cabezas]],IF(Producción_Ganadera[[#This Row],[Mov. Stock]]="(-)",-Producción_Ganadera[[#This Row],[Cabezas]],0))</f>
        <v>0</v>
      </c>
      <c r="AF98" s="917" t="str">
        <f>IFERROR(INDEX(Produccion_Ganadera_Cuentas[],MATCH(Producción_Ganadera[[#This Row],[Cuenta Contable]],Produccion_Ganadera_Cuentas[Cuenta Contable],0),5),0)</f>
        <v>(-)</v>
      </c>
      <c r="AG98" s="918" t="str">
        <f>IF(Producción_Ganadera[[#This Row],[Cuenta Contable]]=Configuración!$AC$9,"Si","No")</f>
        <v>No</v>
      </c>
      <c r="AH98" s="887" t="str">
        <f>IFERROR(INDEX(Tabla9[],MATCH(Producción_Ganadera[[#This Row],[Movimiento]],Tabla9[Movimientos],0),2),0)</f>
        <v>Si</v>
      </c>
      <c r="AI98" s="888" t="str">
        <f>IFERROR(INDEX(Tabla9[],MATCH(Producción_Ganadera[[#This Row],[Movimiento]],Tabla9[Movimientos],0),3),0)</f>
        <v>(+)</v>
      </c>
      <c r="AJ98" s="890">
        <f>IF(Producción_Ganadera[[#This Row],[Fecha Económico]]=0,0,MONTH(Producción_Ganadera[[#This Row],[Fecha Económico]]))</f>
        <v>0</v>
      </c>
      <c r="AK98" s="890">
        <f>IF(Producción_Ganadera[[#This Row],[Fecha Económico]]=0,0,YEAR(Producción_Ganadera[[#This Row],[Fecha Económico]]))</f>
        <v>0</v>
      </c>
      <c r="AL98" s="891">
        <f>SUMPRODUCT((Producción_Ganadera[[#This Row],[Mes Económico]]=Tipo_Cambio[Mes])*(Producción_Ganadera[[#This Row],[Año Económico]]=Tipo_Cambio[Año])*(Tipo_Cambio[$/U$S]))</f>
        <v>0</v>
      </c>
      <c r="AM98" s="891">
        <f>SUMPRODUCT((Producción_Ganadera[[#This Row],[Mes Económico]]=Tipo_Cambio[Mes])*(Producción_Ganadera[[#This Row],[Año Económico]]=Tipo_Cambio[Año])*(Tipo_Cambio[Actualización]))</f>
        <v>0</v>
      </c>
      <c r="AN98" s="890">
        <f>IF(ISNUMBER(Producción_Ganadera[[#This Row],[Fecha Financiero]])=TRUE,MONTH(Producción_Ganadera[[#This Row],[Fecha Financiero]]),0)</f>
        <v>0</v>
      </c>
      <c r="AO98" s="890">
        <f>IF(ISNUMBER(Producción_Ganadera[[#This Row],[Fecha Financiero]])=TRUE,YEAR(Producción_Ganadera[[#This Row],[Fecha Financiero]]),0)</f>
        <v>0</v>
      </c>
      <c r="AP98" s="891">
        <f>SUMPRODUCT((Producción_Ganadera[[#This Row],[Mes Financiero]]=Tipo_Cambio[Mes])*(Producción_Ganadera[[#This Row],[Año Financiero]]=Tipo_Cambio[Año])*(Tipo_Cambio[$/U$S]))</f>
        <v>0</v>
      </c>
      <c r="AQ98" s="891">
        <f>SUMPRODUCT((Producción_Ganadera[[#This Row],[Mes Financiero]]=Tipo_Cambio[Mes])*(Producción_Ganadera[[#This Row],[Año Financiero]]=Tipo_Cambio[Año])*(Tipo_Cambio[Actualización]))</f>
        <v>0</v>
      </c>
      <c r="AR98" s="919">
        <f>SUMPRODUCT((Producción_Ganadera[[#This Row],[Centro de Costo]]=Tabla19[Centro de Costo])*(Tabla19[Superficie])*(Producción_Ganadera[[#This Row],[Campaña]]=Tabla19[Campaña]))</f>
        <v>0</v>
      </c>
      <c r="AS98" s="920">
        <f>IFERROR(Producción_Ganadera[[#This Row],[Económico $Corrientes]]/Producción_Ganadera[[#This Row],[Superficie]],0)</f>
        <v>0</v>
      </c>
      <c r="AT98" s="920">
        <f>IFERROR(Producción_Ganadera[[#This Row],[Económico $Constantes]]/Producción_Ganadera[[#This Row],[Superficie]],0)</f>
        <v>0</v>
      </c>
      <c r="AU98" s="920">
        <f>IFERROR(Producción_Ganadera[[#This Row],[Económico U$S Dólares]]/Producción_Ganadera[[#This Row],[Superficie]],0)</f>
        <v>0</v>
      </c>
      <c r="AV98" s="916">
        <f>IF(Económico!$F$4=0,0,Producción_Ganadera[[#This Row],[Centro de Costo]])</f>
        <v>0</v>
      </c>
    </row>
    <row r="99" spans="1:48" x14ac:dyDescent="0.25">
      <c r="A99" s="86"/>
      <c r="B99" s="376"/>
      <c r="C99" s="86"/>
      <c r="D99" s="528"/>
      <c r="E99" s="522"/>
      <c r="F99" s="869" t="str">
        <f t="shared" si="6"/>
        <v>2018-2019</v>
      </c>
      <c r="G99" s="481" t="str">
        <f>GAN_Ventas</f>
        <v>Venta Hacienda</v>
      </c>
      <c r="H99" s="481"/>
      <c r="I99" s="481"/>
      <c r="J99" s="549"/>
      <c r="K99" s="481"/>
      <c r="L99" s="520"/>
      <c r="M9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9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99" s="611"/>
      <c r="P99" s="484"/>
      <c r="Q99" s="875">
        <f>IF(ISNUMBER(Producción_Ganadera[[#This Row],[Cabezas]])=TRUE,Producción_Ganadera[[#This Row],[Cabezas]]*Producción_Ganadera[[#This Row],[Cantidad]],Producción_Ganadera[[#This Row],[Cantidad]])</f>
        <v>0</v>
      </c>
      <c r="R99" s="482"/>
      <c r="S99" s="552"/>
      <c r="T99" s="553"/>
      <c r="U9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99" s="913">
        <f>IFERROR(Producción_Ganadera[[#This Row],[Económico $Corrientes]]/Producción_Ganadera[[#This Row],[Indexación Económico]],0)</f>
        <v>0</v>
      </c>
      <c r="W9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9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99" s="913">
        <f>IFERROR(Producción_Ganadera[[#This Row],[Financiero $Corrientes]]/Producción_Ganadera[[#This Row],[Indexación Financiero]],0)</f>
        <v>0</v>
      </c>
      <c r="Z9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9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99" s="885">
        <f>IFERROR(Producción_Ganadera[[#This Row],[Intereses $Corrientes]]/Producción_Ganadera[[#This Row],[Indexación Financiero]],0)</f>
        <v>0</v>
      </c>
      <c r="AC9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99" s="915" t="str">
        <f>IFERROR(INDEX(Produccion_Ganadera_Cuentas[],MATCH(Producción_Ganadera[[#This Row],[Cuenta Contable]],Produccion_Ganadera_Cuentas[Cuenta Contable],0),2),0)</f>
        <v>Ingreso</v>
      </c>
      <c r="AE99" s="916">
        <f>IF(Producción_Ganadera[[#This Row],[Mov. Stock]]="(+)",Producción_Ganadera[[#This Row],[Cabezas]],IF(Producción_Ganadera[[#This Row],[Mov. Stock]]="(-)",-Producción_Ganadera[[#This Row],[Cabezas]],0))</f>
        <v>0</v>
      </c>
      <c r="AF99" s="917" t="str">
        <f>IFERROR(INDEX(Produccion_Ganadera_Cuentas[],MATCH(Producción_Ganadera[[#This Row],[Cuenta Contable]],Produccion_Ganadera_Cuentas[Cuenta Contable],0),5),0)</f>
        <v>(-)</v>
      </c>
      <c r="AG99" s="918" t="str">
        <f>IF(Producción_Ganadera[[#This Row],[Cuenta Contable]]=Configuración!$AC$9,"Si","No")</f>
        <v>No</v>
      </c>
      <c r="AH99" s="887" t="str">
        <f>IFERROR(INDEX(Tabla9[],MATCH(Producción_Ganadera[[#This Row],[Movimiento]],Tabla9[Movimientos],0),2),0)</f>
        <v>Si</v>
      </c>
      <c r="AI99" s="888" t="str">
        <f>IFERROR(INDEX(Tabla9[],MATCH(Producción_Ganadera[[#This Row],[Movimiento]],Tabla9[Movimientos],0),3),0)</f>
        <v>(+)</v>
      </c>
      <c r="AJ99" s="890">
        <f>IF(Producción_Ganadera[[#This Row],[Fecha Económico]]=0,0,MONTH(Producción_Ganadera[[#This Row],[Fecha Económico]]))</f>
        <v>0</v>
      </c>
      <c r="AK99" s="890">
        <f>IF(Producción_Ganadera[[#This Row],[Fecha Económico]]=0,0,YEAR(Producción_Ganadera[[#This Row],[Fecha Económico]]))</f>
        <v>0</v>
      </c>
      <c r="AL99" s="891">
        <f>SUMPRODUCT((Producción_Ganadera[[#This Row],[Mes Económico]]=Tipo_Cambio[Mes])*(Producción_Ganadera[[#This Row],[Año Económico]]=Tipo_Cambio[Año])*(Tipo_Cambio[$/U$S]))</f>
        <v>0</v>
      </c>
      <c r="AM99" s="891">
        <f>SUMPRODUCT((Producción_Ganadera[[#This Row],[Mes Económico]]=Tipo_Cambio[Mes])*(Producción_Ganadera[[#This Row],[Año Económico]]=Tipo_Cambio[Año])*(Tipo_Cambio[Actualización]))</f>
        <v>0</v>
      </c>
      <c r="AN99" s="890">
        <f>IF(ISNUMBER(Producción_Ganadera[[#This Row],[Fecha Financiero]])=TRUE,MONTH(Producción_Ganadera[[#This Row],[Fecha Financiero]]),0)</f>
        <v>0</v>
      </c>
      <c r="AO99" s="890">
        <f>IF(ISNUMBER(Producción_Ganadera[[#This Row],[Fecha Financiero]])=TRUE,YEAR(Producción_Ganadera[[#This Row],[Fecha Financiero]]),0)</f>
        <v>0</v>
      </c>
      <c r="AP99" s="891">
        <f>SUMPRODUCT((Producción_Ganadera[[#This Row],[Mes Financiero]]=Tipo_Cambio[Mes])*(Producción_Ganadera[[#This Row],[Año Financiero]]=Tipo_Cambio[Año])*(Tipo_Cambio[$/U$S]))</f>
        <v>0</v>
      </c>
      <c r="AQ99" s="891">
        <f>SUMPRODUCT((Producción_Ganadera[[#This Row],[Mes Financiero]]=Tipo_Cambio[Mes])*(Producción_Ganadera[[#This Row],[Año Financiero]]=Tipo_Cambio[Año])*(Tipo_Cambio[Actualización]))</f>
        <v>0</v>
      </c>
      <c r="AR99" s="919">
        <f>SUMPRODUCT((Producción_Ganadera[[#This Row],[Centro de Costo]]=Tabla19[Centro de Costo])*(Tabla19[Superficie])*(Producción_Ganadera[[#This Row],[Campaña]]=Tabla19[Campaña]))</f>
        <v>0</v>
      </c>
      <c r="AS99" s="920">
        <f>IFERROR(Producción_Ganadera[[#This Row],[Económico $Corrientes]]/Producción_Ganadera[[#This Row],[Superficie]],0)</f>
        <v>0</v>
      </c>
      <c r="AT99" s="920">
        <f>IFERROR(Producción_Ganadera[[#This Row],[Económico $Constantes]]/Producción_Ganadera[[#This Row],[Superficie]],0)</f>
        <v>0</v>
      </c>
      <c r="AU99" s="920">
        <f>IFERROR(Producción_Ganadera[[#This Row],[Económico U$S Dólares]]/Producción_Ganadera[[#This Row],[Superficie]],0)</f>
        <v>0</v>
      </c>
      <c r="AV99" s="916">
        <f>IF(Económico!$F$4=0,0,Producción_Ganadera[[#This Row],[Centro de Costo]])</f>
        <v>0</v>
      </c>
    </row>
    <row r="100" spans="1:48" x14ac:dyDescent="0.25">
      <c r="A100" s="86"/>
      <c r="B100" s="376"/>
      <c r="C100" s="86"/>
      <c r="D100" s="528"/>
      <c r="E100" s="522"/>
      <c r="F100" s="869" t="str">
        <f t="shared" si="6"/>
        <v>2018-2019</v>
      </c>
      <c r="G100" s="481" t="s">
        <v>127</v>
      </c>
      <c r="H100" s="481"/>
      <c r="I100" s="481"/>
      <c r="J100" s="549"/>
      <c r="K100" s="481"/>
      <c r="L100" s="520"/>
      <c r="M10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0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00" s="611"/>
      <c r="P100" s="484"/>
      <c r="Q100" s="875">
        <f>IF(ISNUMBER(Producción_Ganadera[[#This Row],[Cabezas]])=TRUE,Producción_Ganadera[[#This Row],[Cabezas]]*Producción_Ganadera[[#This Row],[Cantidad]],Producción_Ganadera[[#This Row],[Cantidad]])</f>
        <v>0</v>
      </c>
      <c r="R100" s="482"/>
      <c r="S100" s="552"/>
      <c r="T100" s="553"/>
      <c r="U10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00" s="913">
        <f>IFERROR(Producción_Ganadera[[#This Row],[Económico $Corrientes]]/Producción_Ganadera[[#This Row],[Indexación Económico]],0)</f>
        <v>0</v>
      </c>
      <c r="W10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0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00" s="913">
        <f>IFERROR(Producción_Ganadera[[#This Row],[Financiero $Corrientes]]/Producción_Ganadera[[#This Row],[Indexación Financiero]],0)</f>
        <v>0</v>
      </c>
      <c r="Z10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0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00" s="885">
        <f>IFERROR(Producción_Ganadera[[#This Row],[Intereses $Corrientes]]/Producción_Ganadera[[#This Row],[Indexación Financiero]],0)</f>
        <v>0</v>
      </c>
      <c r="AC10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00" s="915" t="str">
        <f>IFERROR(INDEX(Produccion_Ganadera_Cuentas[],MATCH(Producción_Ganadera[[#This Row],[Cuenta Contable]],Produccion_Ganadera_Cuentas[Cuenta Contable],0),2),0)</f>
        <v>Egreso</v>
      </c>
      <c r="AE100" s="916">
        <f>IF(Producción_Ganadera[[#This Row],[Mov. Stock]]="(+)",Producción_Ganadera[[#This Row],[Cabezas]],IF(Producción_Ganadera[[#This Row],[Mov. Stock]]="(-)",-Producción_Ganadera[[#This Row],[Cabezas]],0))</f>
        <v>0</v>
      </c>
      <c r="AF100" s="917">
        <f>IFERROR(INDEX(Produccion_Ganadera_Cuentas[],MATCH(Producción_Ganadera[[#This Row],[Cuenta Contable]],Produccion_Ganadera_Cuentas[Cuenta Contable],0),5),0)</f>
        <v>0</v>
      </c>
      <c r="AG100" s="918" t="str">
        <f>IF(Producción_Ganadera[[#This Row],[Cuenta Contable]]=Configuración!$AC$9,"Si","No")</f>
        <v>No</v>
      </c>
      <c r="AH100" s="887" t="str">
        <f>IFERROR(INDEX(Tabla9[],MATCH(Producción_Ganadera[[#This Row],[Movimiento]],Tabla9[Movimientos],0),2),0)</f>
        <v>Si</v>
      </c>
      <c r="AI100" s="888" t="str">
        <f>IFERROR(INDEX(Tabla9[],MATCH(Producción_Ganadera[[#This Row],[Movimiento]],Tabla9[Movimientos],0),3),0)</f>
        <v>(-)</v>
      </c>
      <c r="AJ100" s="890">
        <f>IF(Producción_Ganadera[[#This Row],[Fecha Económico]]=0,0,MONTH(Producción_Ganadera[[#This Row],[Fecha Económico]]))</f>
        <v>0</v>
      </c>
      <c r="AK100" s="890">
        <f>IF(Producción_Ganadera[[#This Row],[Fecha Económico]]=0,0,YEAR(Producción_Ganadera[[#This Row],[Fecha Económico]]))</f>
        <v>0</v>
      </c>
      <c r="AL100" s="891">
        <f>SUMPRODUCT((Producción_Ganadera[[#This Row],[Mes Económico]]=Tipo_Cambio[Mes])*(Producción_Ganadera[[#This Row],[Año Económico]]=Tipo_Cambio[Año])*(Tipo_Cambio[$/U$S]))</f>
        <v>0</v>
      </c>
      <c r="AM100" s="891">
        <f>SUMPRODUCT((Producción_Ganadera[[#This Row],[Mes Económico]]=Tipo_Cambio[Mes])*(Producción_Ganadera[[#This Row],[Año Económico]]=Tipo_Cambio[Año])*(Tipo_Cambio[Actualización]))</f>
        <v>0</v>
      </c>
      <c r="AN100" s="890">
        <f>IF(ISNUMBER(Producción_Ganadera[[#This Row],[Fecha Financiero]])=TRUE,MONTH(Producción_Ganadera[[#This Row],[Fecha Financiero]]),0)</f>
        <v>0</v>
      </c>
      <c r="AO100" s="890">
        <f>IF(ISNUMBER(Producción_Ganadera[[#This Row],[Fecha Financiero]])=TRUE,YEAR(Producción_Ganadera[[#This Row],[Fecha Financiero]]),0)</f>
        <v>0</v>
      </c>
      <c r="AP100" s="891">
        <f>SUMPRODUCT((Producción_Ganadera[[#This Row],[Mes Financiero]]=Tipo_Cambio[Mes])*(Producción_Ganadera[[#This Row],[Año Financiero]]=Tipo_Cambio[Año])*(Tipo_Cambio[$/U$S]))</f>
        <v>0</v>
      </c>
      <c r="AQ100" s="891">
        <f>SUMPRODUCT((Producción_Ganadera[[#This Row],[Mes Financiero]]=Tipo_Cambio[Mes])*(Producción_Ganadera[[#This Row],[Año Financiero]]=Tipo_Cambio[Año])*(Tipo_Cambio[Actualización]))</f>
        <v>0</v>
      </c>
      <c r="AR100" s="919">
        <f>SUMPRODUCT((Producción_Ganadera[[#This Row],[Centro de Costo]]=Tabla19[Centro de Costo])*(Tabla19[Superficie])*(Producción_Ganadera[[#This Row],[Campaña]]=Tabla19[Campaña]))</f>
        <v>0</v>
      </c>
      <c r="AS100" s="920">
        <f>IFERROR(Producción_Ganadera[[#This Row],[Económico $Corrientes]]/Producción_Ganadera[[#This Row],[Superficie]],0)</f>
        <v>0</v>
      </c>
      <c r="AT100" s="920">
        <f>IFERROR(Producción_Ganadera[[#This Row],[Económico $Constantes]]/Producción_Ganadera[[#This Row],[Superficie]],0)</f>
        <v>0</v>
      </c>
      <c r="AU100" s="920">
        <f>IFERROR(Producción_Ganadera[[#This Row],[Económico U$S Dólares]]/Producción_Ganadera[[#This Row],[Superficie]],0)</f>
        <v>0</v>
      </c>
      <c r="AV100" s="916">
        <f>IF(Económico!$F$4=0,0,Producción_Ganadera[[#This Row],[Centro de Costo]])</f>
        <v>0</v>
      </c>
    </row>
    <row r="101" spans="1:48" ht="15.75" thickBot="1" x14ac:dyDescent="0.3">
      <c r="A101" s="86"/>
      <c r="B101" s="373" t="s">
        <v>101</v>
      </c>
      <c r="C101" s="86"/>
      <c r="D101" s="535"/>
      <c r="E101" s="610"/>
      <c r="F101" s="870" t="str">
        <f t="shared" si="6"/>
        <v>2018-2019</v>
      </c>
      <c r="G101" s="538" t="s">
        <v>127</v>
      </c>
      <c r="H101" s="538"/>
      <c r="I101" s="540"/>
      <c r="J101" s="584"/>
      <c r="K101" s="538"/>
      <c r="L101" s="585"/>
      <c r="M101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01" s="870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01" s="612"/>
      <c r="P101" s="540"/>
      <c r="Q101" s="876">
        <f>IF(ISNUMBER(Producción_Ganadera[[#This Row],[Cabezas]])=TRUE,Producción_Ganadera[[#This Row],[Cabezas]]*Producción_Ganadera[[#This Row],[Cantidad]],Producción_Ganadera[[#This Row],[Cantidad]])</f>
        <v>0</v>
      </c>
      <c r="R101" s="613"/>
      <c r="S101" s="588"/>
      <c r="T101" s="589"/>
      <c r="U101" s="895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01" s="893">
        <f>IFERROR(Producción_Ganadera[[#This Row],[Económico $Corrientes]]/Producción_Ganadera[[#This Row],[Indexación Económico]],0)</f>
        <v>0</v>
      </c>
      <c r="W101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01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01" s="893">
        <f>IFERROR(Producción_Ganadera[[#This Row],[Financiero $Corrientes]]/Producción_Ganadera[[#This Row],[Indexación Financiero]],0)</f>
        <v>0</v>
      </c>
      <c r="Z101" s="92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01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01" s="897">
        <f>IFERROR(Producción_Ganadera[[#This Row],[Intereses $Corrientes]]/Producción_Ganadera[[#This Row],[Indexación Financiero]],0)</f>
        <v>0</v>
      </c>
      <c r="AC101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01" s="922" t="str">
        <f>IFERROR(INDEX(Produccion_Ganadera_Cuentas[],MATCH(Producción_Ganadera[[#This Row],[Cuenta Contable]],Produccion_Ganadera_Cuentas[Cuenta Contable],0),2),0)</f>
        <v>Egreso</v>
      </c>
      <c r="AE101" s="923">
        <f>IF(Producción_Ganadera[[#This Row],[Mov. Stock]]="(+)",Producción_Ganadera[[#This Row],[Cabezas]],IF(Producción_Ganadera[[#This Row],[Mov. Stock]]="(-)",-Producción_Ganadera[[#This Row],[Cabezas]],0))</f>
        <v>0</v>
      </c>
      <c r="AF101" s="924">
        <f>IFERROR(INDEX(Produccion_Ganadera_Cuentas[],MATCH(Producción_Ganadera[[#This Row],[Cuenta Contable]],Produccion_Ganadera_Cuentas[Cuenta Contable],0),5),0)</f>
        <v>0</v>
      </c>
      <c r="AG101" s="925" t="str">
        <f>IF(Producción_Ganadera[[#This Row],[Cuenta Contable]]=Configuración!$AC$9,"Si","No")</f>
        <v>No</v>
      </c>
      <c r="AH101" s="899" t="str">
        <f>IFERROR(INDEX(Tabla9[],MATCH(Producción_Ganadera[[#This Row],[Movimiento]],Tabla9[Movimientos],0),2),0)</f>
        <v>Si</v>
      </c>
      <c r="AI101" s="900" t="str">
        <f>IFERROR(INDEX(Tabla9[],MATCH(Producción_Ganadera[[#This Row],[Movimiento]],Tabla9[Movimientos],0),3),0)</f>
        <v>(-)</v>
      </c>
      <c r="AJ101" s="897">
        <f>IF(Producción_Ganadera[[#This Row],[Fecha Económico]]=0,0,MONTH(Producción_Ganadera[[#This Row],[Fecha Económico]]))</f>
        <v>0</v>
      </c>
      <c r="AK101" s="897">
        <f>IF(Producción_Ganadera[[#This Row],[Fecha Económico]]=0,0,YEAR(Producción_Ganadera[[#This Row],[Fecha Económico]]))</f>
        <v>0</v>
      </c>
      <c r="AL101" s="901">
        <f>SUMPRODUCT((Producción_Ganadera[[#This Row],[Mes Económico]]=Tipo_Cambio[Mes])*(Producción_Ganadera[[#This Row],[Año Económico]]=Tipo_Cambio[Año])*(Tipo_Cambio[$/U$S]))</f>
        <v>0</v>
      </c>
      <c r="AM101" s="901">
        <f>SUMPRODUCT((Producción_Ganadera[[#This Row],[Mes Económico]]=Tipo_Cambio[Mes])*(Producción_Ganadera[[#This Row],[Año Económico]]=Tipo_Cambio[Año])*(Tipo_Cambio[Actualización]))</f>
        <v>0</v>
      </c>
      <c r="AN101" s="897">
        <f>IF(ISNUMBER(Producción_Ganadera[[#This Row],[Fecha Financiero]])=TRUE,MONTH(Producción_Ganadera[[#This Row],[Fecha Financiero]]),0)</f>
        <v>0</v>
      </c>
      <c r="AO101" s="897">
        <f>IF(ISNUMBER(Producción_Ganadera[[#This Row],[Fecha Financiero]])=TRUE,YEAR(Producción_Ganadera[[#This Row],[Fecha Financiero]]),0)</f>
        <v>0</v>
      </c>
      <c r="AP101" s="901">
        <f>SUMPRODUCT((Producción_Ganadera[[#This Row],[Mes Financiero]]=Tipo_Cambio[Mes])*(Producción_Ganadera[[#This Row],[Año Financiero]]=Tipo_Cambio[Año])*(Tipo_Cambio[$/U$S]))</f>
        <v>0</v>
      </c>
      <c r="AQ101" s="901">
        <f>SUMPRODUCT((Producción_Ganadera[[#This Row],[Mes Financiero]]=Tipo_Cambio[Mes])*(Producción_Ganadera[[#This Row],[Año Financiero]]=Tipo_Cambio[Año])*(Tipo_Cambio[Actualización]))</f>
        <v>0</v>
      </c>
      <c r="AR101" s="926">
        <f>SUMPRODUCT((Producción_Ganadera[[#This Row],[Centro de Costo]]=Tabla19[Centro de Costo])*(Tabla19[Superficie])*(Producción_Ganadera[[#This Row],[Campaña]]=Tabla19[Campaña]))</f>
        <v>0</v>
      </c>
      <c r="AS101" s="925">
        <f>IFERROR(Producción_Ganadera[[#This Row],[Económico $Corrientes]]/Producción_Ganadera[[#This Row],[Superficie]],0)</f>
        <v>0</v>
      </c>
      <c r="AT101" s="925">
        <f>IFERROR(Producción_Ganadera[[#This Row],[Económico $Constantes]]/Producción_Ganadera[[#This Row],[Superficie]],0)</f>
        <v>0</v>
      </c>
      <c r="AU101" s="925">
        <f>IFERROR(Producción_Ganadera[[#This Row],[Económico U$S Dólares]]/Producción_Ganadera[[#This Row],[Superficie]],0)</f>
        <v>0</v>
      </c>
      <c r="AV101" s="923">
        <f>IF(Económico!$F$4=0,0,Producción_Ganadera[[#This Row],[Centro de Costo]])</f>
        <v>0</v>
      </c>
    </row>
    <row r="102" spans="1:48" ht="15.75" customHeight="1" thickTop="1" x14ac:dyDescent="0.25">
      <c r="A102" s="86"/>
      <c r="B102" s="1136" t="s">
        <v>147</v>
      </c>
      <c r="C102" s="86"/>
      <c r="D102" s="614"/>
      <c r="E102" s="615"/>
      <c r="F102" s="872" t="str">
        <f t="shared" si="2"/>
        <v>2018-2019</v>
      </c>
      <c r="G102" s="616" t="str">
        <f t="shared" ref="G102:G109" si="7">GAN_Muertes</f>
        <v>Salida Muertes</v>
      </c>
      <c r="H102" s="616"/>
      <c r="I102" s="616"/>
      <c r="J102" s="617"/>
      <c r="K102" s="616"/>
      <c r="L102" s="618"/>
      <c r="M102" s="61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02" s="871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02" s="625"/>
      <c r="P102" s="616"/>
      <c r="Q102" s="878">
        <f>IF(ISNUMBER(Producción_Ganadera[[#This Row],[Cabezas]])=TRUE,Producción_Ganadera[[#This Row],[Cabezas]]*Producción_Ganadera[[#This Row],[Cantidad]],Producción_Ganadera[[#This Row],[Cantidad]])</f>
        <v>0</v>
      </c>
      <c r="R102" s="616"/>
      <c r="S102" s="623"/>
      <c r="T102" s="624"/>
      <c r="U102" s="927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02" s="928">
        <f>IFERROR(Producción_Ganadera[[#This Row],[Económico $Corrientes]]/Producción_Ganadera[[#This Row],[Indexación Económico]],0)</f>
        <v>0</v>
      </c>
      <c r="W102" s="929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02" s="927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02" s="928">
        <f>IFERROR(Producción_Ganadera[[#This Row],[Financiero $Corrientes]]/Producción_Ganadera[[#This Row],[Indexación Financiero]],0)</f>
        <v>0</v>
      </c>
      <c r="Z102" s="930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02" s="93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02" s="932">
        <f>IFERROR(Producción_Ganadera[[#This Row],[Intereses $Corrientes]]/Producción_Ganadera[[#This Row],[Indexación Financiero]],0)</f>
        <v>0</v>
      </c>
      <c r="AC102" s="93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02" s="933" t="str">
        <f>IFERROR(INDEX(Produccion_Ganadera_Cuentas[],MATCH(Producción_Ganadera[[#This Row],[Cuenta Contable]],Produccion_Ganadera_Cuentas[Cuenta Contable],0),2),0)</f>
        <v>Mov. Hacienda</v>
      </c>
      <c r="AE102" s="934">
        <f>IF(Producción_Ganadera[[#This Row],[Mov. Stock]]="(+)",Producción_Ganadera[[#This Row],[Cabezas]],IF(Producción_Ganadera[[#This Row],[Mov. Stock]]="(-)",-Producción_Ganadera[[#This Row],[Cabezas]],0))</f>
        <v>0</v>
      </c>
      <c r="AF102" s="935" t="str">
        <f>IFERROR(INDEX(Produccion_Ganadera_Cuentas[],MATCH(Producción_Ganadera[[#This Row],[Cuenta Contable]],Produccion_Ganadera_Cuentas[Cuenta Contable],0),5),0)</f>
        <v>(-)</v>
      </c>
      <c r="AG102" s="936" t="str">
        <f>IF(Producción_Ganadera[[#This Row],[Cuenta Contable]]=Configuración!$AC$9,"Si","No")</f>
        <v>No</v>
      </c>
      <c r="AH102" s="937" t="str">
        <f>IFERROR(INDEX(Tabla9[],MATCH(Producción_Ganadera[[#This Row],[Movimiento]],Tabla9[Movimientos],0),2),0)</f>
        <v>No</v>
      </c>
      <c r="AI102" s="938">
        <f>IFERROR(INDEX(Tabla9[],MATCH(Producción_Ganadera[[#This Row],[Movimiento]],Tabla9[Movimientos],0),3),0)</f>
        <v>0</v>
      </c>
      <c r="AJ102" s="932">
        <f>IF(Producción_Ganadera[[#This Row],[Fecha Económico]]=0,0,MONTH(Producción_Ganadera[[#This Row],[Fecha Económico]]))</f>
        <v>0</v>
      </c>
      <c r="AK102" s="932">
        <f>IF(Producción_Ganadera[[#This Row],[Fecha Económico]]=0,0,YEAR(Producción_Ganadera[[#This Row],[Fecha Económico]]))</f>
        <v>0</v>
      </c>
      <c r="AL102" s="939">
        <f>SUMPRODUCT((Producción_Ganadera[[#This Row],[Mes Económico]]=Tipo_Cambio[Mes])*(Producción_Ganadera[[#This Row],[Año Económico]]=Tipo_Cambio[Año])*(Tipo_Cambio[$/U$S]))</f>
        <v>0</v>
      </c>
      <c r="AM102" s="939">
        <f>SUMPRODUCT((Producción_Ganadera[[#This Row],[Mes Económico]]=Tipo_Cambio[Mes])*(Producción_Ganadera[[#This Row],[Año Económico]]=Tipo_Cambio[Año])*(Tipo_Cambio[Actualización]))</f>
        <v>0</v>
      </c>
      <c r="AN102" s="932">
        <f>IF(ISNUMBER(Producción_Ganadera[[#This Row],[Fecha Financiero]])=TRUE,MONTH(Producción_Ganadera[[#This Row],[Fecha Financiero]]),0)</f>
        <v>0</v>
      </c>
      <c r="AO102" s="932">
        <f>IF(ISNUMBER(Producción_Ganadera[[#This Row],[Fecha Financiero]])=TRUE,YEAR(Producción_Ganadera[[#This Row],[Fecha Financiero]]),0)</f>
        <v>0</v>
      </c>
      <c r="AP102" s="939">
        <f>SUMPRODUCT((Producción_Ganadera[[#This Row],[Mes Financiero]]=Tipo_Cambio[Mes])*(Producción_Ganadera[[#This Row],[Año Financiero]]=Tipo_Cambio[Año])*(Tipo_Cambio[$/U$S]))</f>
        <v>0</v>
      </c>
      <c r="AQ102" s="939">
        <f>SUMPRODUCT((Producción_Ganadera[[#This Row],[Mes Financiero]]=Tipo_Cambio[Mes])*(Producción_Ganadera[[#This Row],[Año Financiero]]=Tipo_Cambio[Año])*(Tipo_Cambio[Actualización]))</f>
        <v>0</v>
      </c>
      <c r="AR102" s="940">
        <f>SUMPRODUCT((Producción_Ganadera[[#This Row],[Centro de Costo]]=Tabla19[Centro de Costo])*(Tabla19[Superficie])*(Producción_Ganadera[[#This Row],[Campaña]]=Tabla19[Campaña]))</f>
        <v>0</v>
      </c>
      <c r="AS102" s="936">
        <f>IFERROR(Producción_Ganadera[[#This Row],[Económico $Corrientes]]/Producción_Ganadera[[#This Row],[Superficie]],0)</f>
        <v>0</v>
      </c>
      <c r="AT102" s="936">
        <f>IFERROR(Producción_Ganadera[[#This Row],[Económico $Constantes]]/Producción_Ganadera[[#This Row],[Superficie]],0)</f>
        <v>0</v>
      </c>
      <c r="AU102" s="936">
        <f>IFERROR(Producción_Ganadera[[#This Row],[Económico U$S Dólares]]/Producción_Ganadera[[#This Row],[Superficie]],0)</f>
        <v>0</v>
      </c>
      <c r="AV102" s="934">
        <f>IF(Económico!$F$4=0,0,Producción_Ganadera[[#This Row],[Centro de Costo]])</f>
        <v>0</v>
      </c>
    </row>
    <row r="103" spans="1:48" x14ac:dyDescent="0.25">
      <c r="A103" s="86"/>
      <c r="B103" s="1136"/>
      <c r="C103" s="86"/>
      <c r="D103" s="528"/>
      <c r="E103" s="522"/>
      <c r="F103" s="866" t="str">
        <f t="shared" si="2"/>
        <v>2018-2019</v>
      </c>
      <c r="G103" s="481" t="str">
        <f t="shared" si="7"/>
        <v>Salida Muertes</v>
      </c>
      <c r="H103" s="481"/>
      <c r="I103" s="481"/>
      <c r="J103" s="549"/>
      <c r="K103" s="481"/>
      <c r="L103" s="520"/>
      <c r="M10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0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03" s="563"/>
      <c r="P103" s="491"/>
      <c r="Q103" s="875">
        <f>IF(ISNUMBER(Producción_Ganadera[[#This Row],[Cabezas]])=TRUE,Producción_Ganadera[[#This Row],[Cabezas]]*Producción_Ganadera[[#This Row],[Cantidad]],Producción_Ganadera[[#This Row],[Cantidad]])</f>
        <v>0</v>
      </c>
      <c r="R103" s="491"/>
      <c r="S103" s="552"/>
      <c r="T103" s="553"/>
      <c r="U10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03" s="913">
        <f>IFERROR(Producción_Ganadera[[#This Row],[Económico $Corrientes]]/Producción_Ganadera[[#This Row],[Indexación Económico]],0)</f>
        <v>0</v>
      </c>
      <c r="W10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0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03" s="913">
        <f>IFERROR(Producción_Ganadera[[#This Row],[Financiero $Corrientes]]/Producción_Ganadera[[#This Row],[Indexación Financiero]],0)</f>
        <v>0</v>
      </c>
      <c r="Z10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0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03" s="885">
        <f>IFERROR(Producción_Ganadera[[#This Row],[Intereses $Corrientes]]/Producción_Ganadera[[#This Row],[Indexación Financiero]],0)</f>
        <v>0</v>
      </c>
      <c r="AC10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03" s="915" t="str">
        <f>IFERROR(INDEX(Produccion_Ganadera_Cuentas[],MATCH(Producción_Ganadera[[#This Row],[Cuenta Contable]],Produccion_Ganadera_Cuentas[Cuenta Contable],0),2),0)</f>
        <v>Mov. Hacienda</v>
      </c>
      <c r="AE103" s="916">
        <f>IF(Producción_Ganadera[[#This Row],[Mov. Stock]]="(+)",Producción_Ganadera[[#This Row],[Cabezas]],IF(Producción_Ganadera[[#This Row],[Mov. Stock]]="(-)",-Producción_Ganadera[[#This Row],[Cabezas]],0))</f>
        <v>0</v>
      </c>
      <c r="AF103" s="917" t="str">
        <f>IFERROR(INDEX(Produccion_Ganadera_Cuentas[],MATCH(Producción_Ganadera[[#This Row],[Cuenta Contable]],Produccion_Ganadera_Cuentas[Cuenta Contable],0),5),0)</f>
        <v>(-)</v>
      </c>
      <c r="AG103" s="918" t="str">
        <f>IF(Producción_Ganadera[[#This Row],[Cuenta Contable]]=Configuración!$AC$9,"Si","No")</f>
        <v>No</v>
      </c>
      <c r="AH103" s="887" t="str">
        <f>IFERROR(INDEX(Tabla9[],MATCH(Producción_Ganadera[[#This Row],[Movimiento]],Tabla9[Movimientos],0),2),0)</f>
        <v>No</v>
      </c>
      <c r="AI103" s="888">
        <f>IFERROR(INDEX(Tabla9[],MATCH(Producción_Ganadera[[#This Row],[Movimiento]],Tabla9[Movimientos],0),3),0)</f>
        <v>0</v>
      </c>
      <c r="AJ103" s="890">
        <f>IF(Producción_Ganadera[[#This Row],[Fecha Económico]]=0,0,MONTH(Producción_Ganadera[[#This Row],[Fecha Económico]]))</f>
        <v>0</v>
      </c>
      <c r="AK103" s="890">
        <f>IF(Producción_Ganadera[[#This Row],[Fecha Económico]]=0,0,YEAR(Producción_Ganadera[[#This Row],[Fecha Económico]]))</f>
        <v>0</v>
      </c>
      <c r="AL103" s="891">
        <f>SUMPRODUCT((Producción_Ganadera[[#This Row],[Mes Económico]]=Tipo_Cambio[Mes])*(Producción_Ganadera[[#This Row],[Año Económico]]=Tipo_Cambio[Año])*(Tipo_Cambio[$/U$S]))</f>
        <v>0</v>
      </c>
      <c r="AM103" s="891">
        <f>SUMPRODUCT((Producción_Ganadera[[#This Row],[Mes Económico]]=Tipo_Cambio[Mes])*(Producción_Ganadera[[#This Row],[Año Económico]]=Tipo_Cambio[Año])*(Tipo_Cambio[Actualización]))</f>
        <v>0</v>
      </c>
      <c r="AN103" s="890">
        <f>IF(ISNUMBER(Producción_Ganadera[[#This Row],[Fecha Financiero]])=TRUE,MONTH(Producción_Ganadera[[#This Row],[Fecha Financiero]]),0)</f>
        <v>0</v>
      </c>
      <c r="AO103" s="890">
        <f>IF(ISNUMBER(Producción_Ganadera[[#This Row],[Fecha Financiero]])=TRUE,YEAR(Producción_Ganadera[[#This Row],[Fecha Financiero]]),0)</f>
        <v>0</v>
      </c>
      <c r="AP103" s="891">
        <f>SUMPRODUCT((Producción_Ganadera[[#This Row],[Mes Financiero]]=Tipo_Cambio[Mes])*(Producción_Ganadera[[#This Row],[Año Financiero]]=Tipo_Cambio[Año])*(Tipo_Cambio[$/U$S]))</f>
        <v>0</v>
      </c>
      <c r="AQ103" s="891">
        <f>SUMPRODUCT((Producción_Ganadera[[#This Row],[Mes Financiero]]=Tipo_Cambio[Mes])*(Producción_Ganadera[[#This Row],[Año Financiero]]=Tipo_Cambio[Año])*(Tipo_Cambio[Actualización]))</f>
        <v>0</v>
      </c>
      <c r="AR103" s="919">
        <f>SUMPRODUCT((Producción_Ganadera[[#This Row],[Centro de Costo]]=Tabla19[Centro de Costo])*(Tabla19[Superficie])*(Producción_Ganadera[[#This Row],[Campaña]]=Tabla19[Campaña]))</f>
        <v>0</v>
      </c>
      <c r="AS103" s="920">
        <f>IFERROR(Producción_Ganadera[[#This Row],[Económico $Corrientes]]/Producción_Ganadera[[#This Row],[Superficie]],0)</f>
        <v>0</v>
      </c>
      <c r="AT103" s="920">
        <f>IFERROR(Producción_Ganadera[[#This Row],[Económico $Constantes]]/Producción_Ganadera[[#This Row],[Superficie]],0)</f>
        <v>0</v>
      </c>
      <c r="AU103" s="920">
        <f>IFERROR(Producción_Ganadera[[#This Row],[Económico U$S Dólares]]/Producción_Ganadera[[#This Row],[Superficie]],0)</f>
        <v>0</v>
      </c>
      <c r="AV103" s="916">
        <f>IF(Económico!$F$4=0,0,Producción_Ganadera[[#This Row],[Centro de Costo]])</f>
        <v>0</v>
      </c>
    </row>
    <row r="104" spans="1:48" x14ac:dyDescent="0.25">
      <c r="A104" s="86"/>
      <c r="B104" s="1136"/>
      <c r="C104" s="86"/>
      <c r="D104" s="528"/>
      <c r="E104" s="522"/>
      <c r="F104" s="866" t="str">
        <f t="shared" si="2"/>
        <v>2018-2019</v>
      </c>
      <c r="G104" s="481" t="str">
        <f t="shared" si="7"/>
        <v>Salida Muertes</v>
      </c>
      <c r="H104" s="481"/>
      <c r="I104" s="481"/>
      <c r="J104" s="549"/>
      <c r="K104" s="481"/>
      <c r="L104" s="520"/>
      <c r="M10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0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04" s="563"/>
      <c r="P104" s="491"/>
      <c r="Q104" s="875">
        <f>IF(ISNUMBER(Producción_Ganadera[[#This Row],[Cabezas]])=TRUE,Producción_Ganadera[[#This Row],[Cabezas]]*Producción_Ganadera[[#This Row],[Cantidad]],Producción_Ganadera[[#This Row],[Cantidad]])</f>
        <v>0</v>
      </c>
      <c r="R104" s="491"/>
      <c r="S104" s="552"/>
      <c r="T104" s="553"/>
      <c r="U10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04" s="913">
        <f>IFERROR(Producción_Ganadera[[#This Row],[Económico $Corrientes]]/Producción_Ganadera[[#This Row],[Indexación Económico]],0)</f>
        <v>0</v>
      </c>
      <c r="W10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0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04" s="913">
        <f>IFERROR(Producción_Ganadera[[#This Row],[Financiero $Corrientes]]/Producción_Ganadera[[#This Row],[Indexación Financiero]],0)</f>
        <v>0</v>
      </c>
      <c r="Z10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0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04" s="885">
        <f>IFERROR(Producción_Ganadera[[#This Row],[Intereses $Corrientes]]/Producción_Ganadera[[#This Row],[Indexación Financiero]],0)</f>
        <v>0</v>
      </c>
      <c r="AC10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04" s="915" t="str">
        <f>IFERROR(INDEX(Produccion_Ganadera_Cuentas[],MATCH(Producción_Ganadera[[#This Row],[Cuenta Contable]],Produccion_Ganadera_Cuentas[Cuenta Contable],0),2),0)</f>
        <v>Mov. Hacienda</v>
      </c>
      <c r="AE104" s="916">
        <f>IF(Producción_Ganadera[[#This Row],[Mov. Stock]]="(+)",Producción_Ganadera[[#This Row],[Cabezas]],IF(Producción_Ganadera[[#This Row],[Mov. Stock]]="(-)",-Producción_Ganadera[[#This Row],[Cabezas]],0))</f>
        <v>0</v>
      </c>
      <c r="AF104" s="917" t="str">
        <f>IFERROR(INDEX(Produccion_Ganadera_Cuentas[],MATCH(Producción_Ganadera[[#This Row],[Cuenta Contable]],Produccion_Ganadera_Cuentas[Cuenta Contable],0),5),0)</f>
        <v>(-)</v>
      </c>
      <c r="AG104" s="918" t="str">
        <f>IF(Producción_Ganadera[[#This Row],[Cuenta Contable]]=Configuración!$AC$9,"Si","No")</f>
        <v>No</v>
      </c>
      <c r="AH104" s="887" t="str">
        <f>IFERROR(INDEX(Tabla9[],MATCH(Producción_Ganadera[[#This Row],[Movimiento]],Tabla9[Movimientos],0),2),0)</f>
        <v>No</v>
      </c>
      <c r="AI104" s="888">
        <f>IFERROR(INDEX(Tabla9[],MATCH(Producción_Ganadera[[#This Row],[Movimiento]],Tabla9[Movimientos],0),3),0)</f>
        <v>0</v>
      </c>
      <c r="AJ104" s="890">
        <f>IF(Producción_Ganadera[[#This Row],[Fecha Económico]]=0,0,MONTH(Producción_Ganadera[[#This Row],[Fecha Económico]]))</f>
        <v>0</v>
      </c>
      <c r="AK104" s="890">
        <f>IF(Producción_Ganadera[[#This Row],[Fecha Económico]]=0,0,YEAR(Producción_Ganadera[[#This Row],[Fecha Económico]]))</f>
        <v>0</v>
      </c>
      <c r="AL104" s="891">
        <f>SUMPRODUCT((Producción_Ganadera[[#This Row],[Mes Económico]]=Tipo_Cambio[Mes])*(Producción_Ganadera[[#This Row],[Año Económico]]=Tipo_Cambio[Año])*(Tipo_Cambio[$/U$S]))</f>
        <v>0</v>
      </c>
      <c r="AM104" s="891">
        <f>SUMPRODUCT((Producción_Ganadera[[#This Row],[Mes Económico]]=Tipo_Cambio[Mes])*(Producción_Ganadera[[#This Row],[Año Económico]]=Tipo_Cambio[Año])*(Tipo_Cambio[Actualización]))</f>
        <v>0</v>
      </c>
      <c r="AN104" s="890">
        <f>IF(ISNUMBER(Producción_Ganadera[[#This Row],[Fecha Financiero]])=TRUE,MONTH(Producción_Ganadera[[#This Row],[Fecha Financiero]]),0)</f>
        <v>0</v>
      </c>
      <c r="AO104" s="890">
        <f>IF(ISNUMBER(Producción_Ganadera[[#This Row],[Fecha Financiero]])=TRUE,YEAR(Producción_Ganadera[[#This Row],[Fecha Financiero]]),0)</f>
        <v>0</v>
      </c>
      <c r="AP104" s="891">
        <f>SUMPRODUCT((Producción_Ganadera[[#This Row],[Mes Financiero]]=Tipo_Cambio[Mes])*(Producción_Ganadera[[#This Row],[Año Financiero]]=Tipo_Cambio[Año])*(Tipo_Cambio[$/U$S]))</f>
        <v>0</v>
      </c>
      <c r="AQ104" s="891">
        <f>SUMPRODUCT((Producción_Ganadera[[#This Row],[Mes Financiero]]=Tipo_Cambio[Mes])*(Producción_Ganadera[[#This Row],[Año Financiero]]=Tipo_Cambio[Año])*(Tipo_Cambio[Actualización]))</f>
        <v>0</v>
      </c>
      <c r="AR104" s="919">
        <f>SUMPRODUCT((Producción_Ganadera[[#This Row],[Centro de Costo]]=Tabla19[Centro de Costo])*(Tabla19[Superficie])*(Producción_Ganadera[[#This Row],[Campaña]]=Tabla19[Campaña]))</f>
        <v>0</v>
      </c>
      <c r="AS104" s="920">
        <f>IFERROR(Producción_Ganadera[[#This Row],[Económico $Corrientes]]/Producción_Ganadera[[#This Row],[Superficie]],0)</f>
        <v>0</v>
      </c>
      <c r="AT104" s="920">
        <f>IFERROR(Producción_Ganadera[[#This Row],[Económico $Constantes]]/Producción_Ganadera[[#This Row],[Superficie]],0)</f>
        <v>0</v>
      </c>
      <c r="AU104" s="920">
        <f>IFERROR(Producción_Ganadera[[#This Row],[Económico U$S Dólares]]/Producción_Ganadera[[#This Row],[Superficie]],0)</f>
        <v>0</v>
      </c>
      <c r="AV104" s="916">
        <f>IF(Económico!$F$4=0,0,Producción_Ganadera[[#This Row],[Centro de Costo]])</f>
        <v>0</v>
      </c>
    </row>
    <row r="105" spans="1:48" x14ac:dyDescent="0.25">
      <c r="A105" s="86"/>
      <c r="B105" s="376"/>
      <c r="C105" s="86"/>
      <c r="D105" s="528"/>
      <c r="E105" s="522"/>
      <c r="F105" s="869" t="str">
        <f>Campaña_Actual</f>
        <v>2018-2019</v>
      </c>
      <c r="G105" s="481" t="str">
        <f t="shared" si="7"/>
        <v>Salida Muertes</v>
      </c>
      <c r="H105" s="481"/>
      <c r="I105" s="481"/>
      <c r="J105" s="626"/>
      <c r="K105" s="481"/>
      <c r="L105" s="520"/>
      <c r="M10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05" s="874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05" s="611"/>
      <c r="P105" s="484"/>
      <c r="Q105" s="879">
        <f>IF(ISNUMBER(Producción_Ganadera[[#This Row],[Cabezas]])=TRUE,Producción_Ganadera[[#This Row],[Cabezas]]*Producción_Ganadera[[#This Row],[Cantidad]],Producción_Ganadera[[#This Row],[Cantidad]])</f>
        <v>0</v>
      </c>
      <c r="R105" s="482"/>
      <c r="S105" s="552"/>
      <c r="T105" s="553"/>
      <c r="U10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05" s="913">
        <f>IFERROR(Producción_Ganadera[[#This Row],[Económico $Corrientes]]/Producción_Ganadera[[#This Row],[Indexación Económico]],0)</f>
        <v>0</v>
      </c>
      <c r="W10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0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05" s="913">
        <f>IFERROR(Producción_Ganadera[[#This Row],[Financiero $Corrientes]]/Producción_Ganadera[[#This Row],[Indexación Financiero]],0)</f>
        <v>0</v>
      </c>
      <c r="Z10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05" s="94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05" s="942">
        <f>IFERROR(Producción_Ganadera[[#This Row],[Intereses $Corrientes]]/Producción_Ganadera[[#This Row],[Indexación Financiero]],0)</f>
        <v>0</v>
      </c>
      <c r="AC105" s="94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05" s="943" t="str">
        <f>IFERROR(INDEX(Produccion_Ganadera_Cuentas[],MATCH(Producción_Ganadera[[#This Row],[Cuenta Contable]],Produccion_Ganadera_Cuentas[Cuenta Contable],0),2),0)</f>
        <v>Mov. Hacienda</v>
      </c>
      <c r="AE105" s="944">
        <f>IF(Producción_Ganadera[[#This Row],[Mov. Stock]]="(+)",Producción_Ganadera[[#This Row],[Cabezas]],IF(Producción_Ganadera[[#This Row],[Mov. Stock]]="(-)",-Producción_Ganadera[[#This Row],[Cabezas]],0))</f>
        <v>0</v>
      </c>
      <c r="AF105" s="945" t="str">
        <f>IFERROR(INDEX(Produccion_Ganadera_Cuentas[],MATCH(Producción_Ganadera[[#This Row],[Cuenta Contable]],Produccion_Ganadera_Cuentas[Cuenta Contable],0),5),0)</f>
        <v>(-)</v>
      </c>
      <c r="AG105" s="946" t="str">
        <f>IF(Producción_Ganadera[[#This Row],[Cuenta Contable]]=Configuración!$AC$9,"Si","No")</f>
        <v>No</v>
      </c>
      <c r="AH105" s="947" t="str">
        <f>IFERROR(INDEX(Tabla9[],MATCH(Producción_Ganadera[[#This Row],[Movimiento]],Tabla9[Movimientos],0),2),0)</f>
        <v>No</v>
      </c>
      <c r="AI105" s="948">
        <f>IFERROR(INDEX(Tabla9[],MATCH(Producción_Ganadera[[#This Row],[Movimiento]],Tabla9[Movimientos],0),3),0)</f>
        <v>0</v>
      </c>
      <c r="AJ105" s="890">
        <f>IF(Producción_Ganadera[[#This Row],[Fecha Económico]]=0,0,MONTH(Producción_Ganadera[[#This Row],[Fecha Económico]]))</f>
        <v>0</v>
      </c>
      <c r="AK105" s="890">
        <f>IF(Producción_Ganadera[[#This Row],[Fecha Económico]]=0,0,YEAR(Producción_Ganadera[[#This Row],[Fecha Económico]]))</f>
        <v>0</v>
      </c>
      <c r="AL105" s="891">
        <f>SUMPRODUCT((Producción_Ganadera[[#This Row],[Mes Económico]]=Tipo_Cambio[Mes])*(Producción_Ganadera[[#This Row],[Año Económico]]=Tipo_Cambio[Año])*(Tipo_Cambio[$/U$S]))</f>
        <v>0</v>
      </c>
      <c r="AM105" s="891">
        <f>SUMPRODUCT((Producción_Ganadera[[#This Row],[Mes Económico]]=Tipo_Cambio[Mes])*(Producción_Ganadera[[#This Row],[Año Económico]]=Tipo_Cambio[Año])*(Tipo_Cambio[Actualización]))</f>
        <v>0</v>
      </c>
      <c r="AN105" s="890">
        <f>IF(ISNUMBER(Producción_Ganadera[[#This Row],[Fecha Financiero]])=TRUE,MONTH(Producción_Ganadera[[#This Row],[Fecha Financiero]]),0)</f>
        <v>0</v>
      </c>
      <c r="AO105" s="890">
        <f>IF(ISNUMBER(Producción_Ganadera[[#This Row],[Fecha Financiero]])=TRUE,YEAR(Producción_Ganadera[[#This Row],[Fecha Financiero]]),0)</f>
        <v>0</v>
      </c>
      <c r="AP105" s="891">
        <f>SUMPRODUCT((Producción_Ganadera[[#This Row],[Mes Financiero]]=Tipo_Cambio[Mes])*(Producción_Ganadera[[#This Row],[Año Financiero]]=Tipo_Cambio[Año])*(Tipo_Cambio[$/U$S]))</f>
        <v>0</v>
      </c>
      <c r="AQ105" s="891">
        <f>SUMPRODUCT((Producción_Ganadera[[#This Row],[Mes Financiero]]=Tipo_Cambio[Mes])*(Producción_Ganadera[[#This Row],[Año Financiero]]=Tipo_Cambio[Año])*(Tipo_Cambio[Actualización]))</f>
        <v>0</v>
      </c>
      <c r="AR105" s="919">
        <f>SUMPRODUCT((Producción_Ganadera[[#This Row],[Centro de Costo]]=Tabla19[Centro de Costo])*(Tabla19[Superficie])*(Producción_Ganadera[[#This Row],[Campaña]]=Tabla19[Campaña]))</f>
        <v>0</v>
      </c>
      <c r="AS105" s="920">
        <f>IFERROR(Producción_Ganadera[[#This Row],[Económico $Corrientes]]/Producción_Ganadera[[#This Row],[Superficie]],0)</f>
        <v>0</v>
      </c>
      <c r="AT105" s="920">
        <f>IFERROR(Producción_Ganadera[[#This Row],[Económico $Constantes]]/Producción_Ganadera[[#This Row],[Superficie]],0)</f>
        <v>0</v>
      </c>
      <c r="AU105" s="920">
        <f>IFERROR(Producción_Ganadera[[#This Row],[Económico U$S Dólares]]/Producción_Ganadera[[#This Row],[Superficie]],0)</f>
        <v>0</v>
      </c>
      <c r="AV105" s="916">
        <f>IF(Económico!$F$4=0,0,Producción_Ganadera[[#This Row],[Centro de Costo]])</f>
        <v>0</v>
      </c>
    </row>
    <row r="106" spans="1:48" x14ac:dyDescent="0.25">
      <c r="A106" s="86"/>
      <c r="B106" s="376"/>
      <c r="C106" s="86"/>
      <c r="D106" s="528"/>
      <c r="E106" s="522"/>
      <c r="F106" s="869" t="str">
        <f>Campaña_Actual</f>
        <v>2018-2019</v>
      </c>
      <c r="G106" s="481" t="str">
        <f t="shared" si="7"/>
        <v>Salida Muertes</v>
      </c>
      <c r="H106" s="481"/>
      <c r="I106" s="481"/>
      <c r="J106" s="626"/>
      <c r="K106" s="481"/>
      <c r="L106" s="520"/>
      <c r="M10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06" s="874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06" s="611"/>
      <c r="P106" s="484"/>
      <c r="Q106" s="879">
        <f>IF(ISNUMBER(Producción_Ganadera[[#This Row],[Cabezas]])=TRUE,Producción_Ganadera[[#This Row],[Cabezas]]*Producción_Ganadera[[#This Row],[Cantidad]],Producción_Ganadera[[#This Row],[Cantidad]])</f>
        <v>0</v>
      </c>
      <c r="R106" s="482"/>
      <c r="S106" s="552"/>
      <c r="T106" s="553"/>
      <c r="U10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06" s="913">
        <f>IFERROR(Producción_Ganadera[[#This Row],[Económico $Corrientes]]/Producción_Ganadera[[#This Row],[Indexación Económico]],0)</f>
        <v>0</v>
      </c>
      <c r="W10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0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06" s="913">
        <f>IFERROR(Producción_Ganadera[[#This Row],[Financiero $Corrientes]]/Producción_Ganadera[[#This Row],[Indexación Financiero]],0)</f>
        <v>0</v>
      </c>
      <c r="Z10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06" s="94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06" s="942">
        <f>IFERROR(Producción_Ganadera[[#This Row],[Intereses $Corrientes]]/Producción_Ganadera[[#This Row],[Indexación Financiero]],0)</f>
        <v>0</v>
      </c>
      <c r="AC106" s="94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06" s="943" t="str">
        <f>IFERROR(INDEX(Produccion_Ganadera_Cuentas[],MATCH(Producción_Ganadera[[#This Row],[Cuenta Contable]],Produccion_Ganadera_Cuentas[Cuenta Contable],0),2),0)</f>
        <v>Mov. Hacienda</v>
      </c>
      <c r="AE106" s="944">
        <f>IF(Producción_Ganadera[[#This Row],[Mov. Stock]]="(+)",Producción_Ganadera[[#This Row],[Cabezas]],IF(Producción_Ganadera[[#This Row],[Mov. Stock]]="(-)",-Producción_Ganadera[[#This Row],[Cabezas]],0))</f>
        <v>0</v>
      </c>
      <c r="AF106" s="945" t="str">
        <f>IFERROR(INDEX(Produccion_Ganadera_Cuentas[],MATCH(Producción_Ganadera[[#This Row],[Cuenta Contable]],Produccion_Ganadera_Cuentas[Cuenta Contable],0),5),0)</f>
        <v>(-)</v>
      </c>
      <c r="AG106" s="946" t="str">
        <f>IF(Producción_Ganadera[[#This Row],[Cuenta Contable]]=Configuración!$AC$9,"Si","No")</f>
        <v>No</v>
      </c>
      <c r="AH106" s="947" t="str">
        <f>IFERROR(INDEX(Tabla9[],MATCH(Producción_Ganadera[[#This Row],[Movimiento]],Tabla9[Movimientos],0),2),0)</f>
        <v>No</v>
      </c>
      <c r="AI106" s="948">
        <f>IFERROR(INDEX(Tabla9[],MATCH(Producción_Ganadera[[#This Row],[Movimiento]],Tabla9[Movimientos],0),3),0)</f>
        <v>0</v>
      </c>
      <c r="AJ106" s="890">
        <f>IF(Producción_Ganadera[[#This Row],[Fecha Económico]]=0,0,MONTH(Producción_Ganadera[[#This Row],[Fecha Económico]]))</f>
        <v>0</v>
      </c>
      <c r="AK106" s="890">
        <f>IF(Producción_Ganadera[[#This Row],[Fecha Económico]]=0,0,YEAR(Producción_Ganadera[[#This Row],[Fecha Económico]]))</f>
        <v>0</v>
      </c>
      <c r="AL106" s="891">
        <f>SUMPRODUCT((Producción_Ganadera[[#This Row],[Mes Económico]]=Tipo_Cambio[Mes])*(Producción_Ganadera[[#This Row],[Año Económico]]=Tipo_Cambio[Año])*(Tipo_Cambio[$/U$S]))</f>
        <v>0</v>
      </c>
      <c r="AM106" s="891">
        <f>SUMPRODUCT((Producción_Ganadera[[#This Row],[Mes Económico]]=Tipo_Cambio[Mes])*(Producción_Ganadera[[#This Row],[Año Económico]]=Tipo_Cambio[Año])*(Tipo_Cambio[Actualización]))</f>
        <v>0</v>
      </c>
      <c r="AN106" s="890">
        <f>IF(ISNUMBER(Producción_Ganadera[[#This Row],[Fecha Financiero]])=TRUE,MONTH(Producción_Ganadera[[#This Row],[Fecha Financiero]]),0)</f>
        <v>0</v>
      </c>
      <c r="AO106" s="890">
        <f>IF(ISNUMBER(Producción_Ganadera[[#This Row],[Fecha Financiero]])=TRUE,YEAR(Producción_Ganadera[[#This Row],[Fecha Financiero]]),0)</f>
        <v>0</v>
      </c>
      <c r="AP106" s="891">
        <f>SUMPRODUCT((Producción_Ganadera[[#This Row],[Mes Financiero]]=Tipo_Cambio[Mes])*(Producción_Ganadera[[#This Row],[Año Financiero]]=Tipo_Cambio[Año])*(Tipo_Cambio[$/U$S]))</f>
        <v>0</v>
      </c>
      <c r="AQ106" s="891">
        <f>SUMPRODUCT((Producción_Ganadera[[#This Row],[Mes Financiero]]=Tipo_Cambio[Mes])*(Producción_Ganadera[[#This Row],[Año Financiero]]=Tipo_Cambio[Año])*(Tipo_Cambio[Actualización]))</f>
        <v>0</v>
      </c>
      <c r="AR106" s="919">
        <f>SUMPRODUCT((Producción_Ganadera[[#This Row],[Centro de Costo]]=Tabla19[Centro de Costo])*(Tabla19[Superficie])*(Producción_Ganadera[[#This Row],[Campaña]]=Tabla19[Campaña]))</f>
        <v>0</v>
      </c>
      <c r="AS106" s="920">
        <f>IFERROR(Producción_Ganadera[[#This Row],[Económico $Corrientes]]/Producción_Ganadera[[#This Row],[Superficie]],0)</f>
        <v>0</v>
      </c>
      <c r="AT106" s="920">
        <f>IFERROR(Producción_Ganadera[[#This Row],[Económico $Constantes]]/Producción_Ganadera[[#This Row],[Superficie]],0)</f>
        <v>0</v>
      </c>
      <c r="AU106" s="920">
        <f>IFERROR(Producción_Ganadera[[#This Row],[Económico U$S Dólares]]/Producción_Ganadera[[#This Row],[Superficie]],0)</f>
        <v>0</v>
      </c>
      <c r="AV106" s="916">
        <f>IF(Económico!$F$4=0,0,Producción_Ganadera[[#This Row],[Centro de Costo]])</f>
        <v>0</v>
      </c>
    </row>
    <row r="107" spans="1:48" x14ac:dyDescent="0.25">
      <c r="A107" s="86"/>
      <c r="B107" s="376"/>
      <c r="C107" s="86"/>
      <c r="D107" s="528"/>
      <c r="E107" s="522"/>
      <c r="F107" s="869" t="str">
        <f>Campaña_Actual</f>
        <v>2018-2019</v>
      </c>
      <c r="G107" s="481" t="str">
        <f t="shared" si="7"/>
        <v>Salida Muertes</v>
      </c>
      <c r="H107" s="481"/>
      <c r="I107" s="481"/>
      <c r="J107" s="626"/>
      <c r="K107" s="481"/>
      <c r="L107" s="520"/>
      <c r="M10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07" s="874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07" s="611"/>
      <c r="P107" s="484"/>
      <c r="Q107" s="879">
        <f>IF(ISNUMBER(Producción_Ganadera[[#This Row],[Cabezas]])=TRUE,Producción_Ganadera[[#This Row],[Cabezas]]*Producción_Ganadera[[#This Row],[Cantidad]],Producción_Ganadera[[#This Row],[Cantidad]])</f>
        <v>0</v>
      </c>
      <c r="R107" s="482"/>
      <c r="S107" s="552"/>
      <c r="T107" s="553"/>
      <c r="U10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07" s="913">
        <f>IFERROR(Producción_Ganadera[[#This Row],[Económico $Corrientes]]/Producción_Ganadera[[#This Row],[Indexación Económico]],0)</f>
        <v>0</v>
      </c>
      <c r="W10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0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07" s="913">
        <f>IFERROR(Producción_Ganadera[[#This Row],[Financiero $Corrientes]]/Producción_Ganadera[[#This Row],[Indexación Financiero]],0)</f>
        <v>0</v>
      </c>
      <c r="Z10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07" s="94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07" s="942">
        <f>IFERROR(Producción_Ganadera[[#This Row],[Intereses $Corrientes]]/Producción_Ganadera[[#This Row],[Indexación Financiero]],0)</f>
        <v>0</v>
      </c>
      <c r="AC107" s="94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07" s="943" t="str">
        <f>IFERROR(INDEX(Produccion_Ganadera_Cuentas[],MATCH(Producción_Ganadera[[#This Row],[Cuenta Contable]],Produccion_Ganadera_Cuentas[Cuenta Contable],0),2),0)</f>
        <v>Mov. Hacienda</v>
      </c>
      <c r="AE107" s="944">
        <f>IF(Producción_Ganadera[[#This Row],[Mov. Stock]]="(+)",Producción_Ganadera[[#This Row],[Cabezas]],IF(Producción_Ganadera[[#This Row],[Mov. Stock]]="(-)",-Producción_Ganadera[[#This Row],[Cabezas]],0))</f>
        <v>0</v>
      </c>
      <c r="AF107" s="945" t="str">
        <f>IFERROR(INDEX(Produccion_Ganadera_Cuentas[],MATCH(Producción_Ganadera[[#This Row],[Cuenta Contable]],Produccion_Ganadera_Cuentas[Cuenta Contable],0),5),0)</f>
        <v>(-)</v>
      </c>
      <c r="AG107" s="946" t="str">
        <f>IF(Producción_Ganadera[[#This Row],[Cuenta Contable]]=Configuración!$AC$9,"Si","No")</f>
        <v>No</v>
      </c>
      <c r="AH107" s="947" t="str">
        <f>IFERROR(INDEX(Tabla9[],MATCH(Producción_Ganadera[[#This Row],[Movimiento]],Tabla9[Movimientos],0),2),0)</f>
        <v>No</v>
      </c>
      <c r="AI107" s="948">
        <f>IFERROR(INDEX(Tabla9[],MATCH(Producción_Ganadera[[#This Row],[Movimiento]],Tabla9[Movimientos],0),3),0)</f>
        <v>0</v>
      </c>
      <c r="AJ107" s="890">
        <f>IF(Producción_Ganadera[[#This Row],[Fecha Económico]]=0,0,MONTH(Producción_Ganadera[[#This Row],[Fecha Económico]]))</f>
        <v>0</v>
      </c>
      <c r="AK107" s="890">
        <f>IF(Producción_Ganadera[[#This Row],[Fecha Económico]]=0,0,YEAR(Producción_Ganadera[[#This Row],[Fecha Económico]]))</f>
        <v>0</v>
      </c>
      <c r="AL107" s="891">
        <f>SUMPRODUCT((Producción_Ganadera[[#This Row],[Mes Económico]]=Tipo_Cambio[Mes])*(Producción_Ganadera[[#This Row],[Año Económico]]=Tipo_Cambio[Año])*(Tipo_Cambio[$/U$S]))</f>
        <v>0</v>
      </c>
      <c r="AM107" s="891">
        <f>SUMPRODUCT((Producción_Ganadera[[#This Row],[Mes Económico]]=Tipo_Cambio[Mes])*(Producción_Ganadera[[#This Row],[Año Económico]]=Tipo_Cambio[Año])*(Tipo_Cambio[Actualización]))</f>
        <v>0</v>
      </c>
      <c r="AN107" s="890">
        <f>IF(ISNUMBER(Producción_Ganadera[[#This Row],[Fecha Financiero]])=TRUE,MONTH(Producción_Ganadera[[#This Row],[Fecha Financiero]]),0)</f>
        <v>0</v>
      </c>
      <c r="AO107" s="890">
        <f>IF(ISNUMBER(Producción_Ganadera[[#This Row],[Fecha Financiero]])=TRUE,YEAR(Producción_Ganadera[[#This Row],[Fecha Financiero]]),0)</f>
        <v>0</v>
      </c>
      <c r="AP107" s="891">
        <f>SUMPRODUCT((Producción_Ganadera[[#This Row],[Mes Financiero]]=Tipo_Cambio[Mes])*(Producción_Ganadera[[#This Row],[Año Financiero]]=Tipo_Cambio[Año])*(Tipo_Cambio[$/U$S]))</f>
        <v>0</v>
      </c>
      <c r="AQ107" s="891">
        <f>SUMPRODUCT((Producción_Ganadera[[#This Row],[Mes Financiero]]=Tipo_Cambio[Mes])*(Producción_Ganadera[[#This Row],[Año Financiero]]=Tipo_Cambio[Año])*(Tipo_Cambio[Actualización]))</f>
        <v>0</v>
      </c>
      <c r="AR107" s="919">
        <f>SUMPRODUCT((Producción_Ganadera[[#This Row],[Centro de Costo]]=Tabla19[Centro de Costo])*(Tabla19[Superficie])*(Producción_Ganadera[[#This Row],[Campaña]]=Tabla19[Campaña]))</f>
        <v>0</v>
      </c>
      <c r="AS107" s="920">
        <f>IFERROR(Producción_Ganadera[[#This Row],[Económico $Corrientes]]/Producción_Ganadera[[#This Row],[Superficie]],0)</f>
        <v>0</v>
      </c>
      <c r="AT107" s="920">
        <f>IFERROR(Producción_Ganadera[[#This Row],[Económico $Constantes]]/Producción_Ganadera[[#This Row],[Superficie]],0)</f>
        <v>0</v>
      </c>
      <c r="AU107" s="920">
        <f>IFERROR(Producción_Ganadera[[#This Row],[Económico U$S Dólares]]/Producción_Ganadera[[#This Row],[Superficie]],0)</f>
        <v>0</v>
      </c>
      <c r="AV107" s="916">
        <f>IF(Económico!$F$4=0,0,Producción_Ganadera[[#This Row],[Centro de Costo]])</f>
        <v>0</v>
      </c>
    </row>
    <row r="108" spans="1:48" x14ac:dyDescent="0.25">
      <c r="A108" s="86"/>
      <c r="B108" s="376"/>
      <c r="C108" s="86"/>
      <c r="D108" s="528"/>
      <c r="E108" s="522"/>
      <c r="F108" s="869" t="str">
        <f>Campaña_Actual</f>
        <v>2018-2019</v>
      </c>
      <c r="G108" s="481" t="str">
        <f t="shared" si="7"/>
        <v>Salida Muertes</v>
      </c>
      <c r="H108" s="481"/>
      <c r="I108" s="481"/>
      <c r="J108" s="626"/>
      <c r="K108" s="481"/>
      <c r="L108" s="520"/>
      <c r="M10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08" s="874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08" s="611"/>
      <c r="P108" s="484"/>
      <c r="Q108" s="879">
        <f>IF(ISNUMBER(Producción_Ganadera[[#This Row],[Cabezas]])=TRUE,Producción_Ganadera[[#This Row],[Cabezas]]*Producción_Ganadera[[#This Row],[Cantidad]],Producción_Ganadera[[#This Row],[Cantidad]])</f>
        <v>0</v>
      </c>
      <c r="R108" s="482"/>
      <c r="S108" s="552"/>
      <c r="T108" s="553"/>
      <c r="U10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08" s="913">
        <f>IFERROR(Producción_Ganadera[[#This Row],[Económico $Corrientes]]/Producción_Ganadera[[#This Row],[Indexación Económico]],0)</f>
        <v>0</v>
      </c>
      <c r="W10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0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08" s="913">
        <f>IFERROR(Producción_Ganadera[[#This Row],[Financiero $Corrientes]]/Producción_Ganadera[[#This Row],[Indexación Financiero]],0)</f>
        <v>0</v>
      </c>
      <c r="Z10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08" s="94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08" s="942">
        <f>IFERROR(Producción_Ganadera[[#This Row],[Intereses $Corrientes]]/Producción_Ganadera[[#This Row],[Indexación Financiero]],0)</f>
        <v>0</v>
      </c>
      <c r="AC108" s="94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08" s="943" t="str">
        <f>IFERROR(INDEX(Produccion_Ganadera_Cuentas[],MATCH(Producción_Ganadera[[#This Row],[Cuenta Contable]],Produccion_Ganadera_Cuentas[Cuenta Contable],0),2),0)</f>
        <v>Mov. Hacienda</v>
      </c>
      <c r="AE108" s="944">
        <f>IF(Producción_Ganadera[[#This Row],[Mov. Stock]]="(+)",Producción_Ganadera[[#This Row],[Cabezas]],IF(Producción_Ganadera[[#This Row],[Mov. Stock]]="(-)",-Producción_Ganadera[[#This Row],[Cabezas]],0))</f>
        <v>0</v>
      </c>
      <c r="AF108" s="945" t="str">
        <f>IFERROR(INDEX(Produccion_Ganadera_Cuentas[],MATCH(Producción_Ganadera[[#This Row],[Cuenta Contable]],Produccion_Ganadera_Cuentas[Cuenta Contable],0),5),0)</f>
        <v>(-)</v>
      </c>
      <c r="AG108" s="946" t="str">
        <f>IF(Producción_Ganadera[[#This Row],[Cuenta Contable]]=Configuración!$AC$9,"Si","No")</f>
        <v>No</v>
      </c>
      <c r="AH108" s="947" t="str">
        <f>IFERROR(INDEX(Tabla9[],MATCH(Producción_Ganadera[[#This Row],[Movimiento]],Tabla9[Movimientos],0),2),0)</f>
        <v>No</v>
      </c>
      <c r="AI108" s="948">
        <f>IFERROR(INDEX(Tabla9[],MATCH(Producción_Ganadera[[#This Row],[Movimiento]],Tabla9[Movimientos],0),3),0)</f>
        <v>0</v>
      </c>
      <c r="AJ108" s="890">
        <f>IF(Producción_Ganadera[[#This Row],[Fecha Económico]]=0,0,MONTH(Producción_Ganadera[[#This Row],[Fecha Económico]]))</f>
        <v>0</v>
      </c>
      <c r="AK108" s="890">
        <f>IF(Producción_Ganadera[[#This Row],[Fecha Económico]]=0,0,YEAR(Producción_Ganadera[[#This Row],[Fecha Económico]]))</f>
        <v>0</v>
      </c>
      <c r="AL108" s="891">
        <f>SUMPRODUCT((Producción_Ganadera[[#This Row],[Mes Económico]]=Tipo_Cambio[Mes])*(Producción_Ganadera[[#This Row],[Año Económico]]=Tipo_Cambio[Año])*(Tipo_Cambio[$/U$S]))</f>
        <v>0</v>
      </c>
      <c r="AM108" s="891">
        <f>SUMPRODUCT((Producción_Ganadera[[#This Row],[Mes Económico]]=Tipo_Cambio[Mes])*(Producción_Ganadera[[#This Row],[Año Económico]]=Tipo_Cambio[Año])*(Tipo_Cambio[Actualización]))</f>
        <v>0</v>
      </c>
      <c r="AN108" s="890">
        <f>IF(ISNUMBER(Producción_Ganadera[[#This Row],[Fecha Financiero]])=TRUE,MONTH(Producción_Ganadera[[#This Row],[Fecha Financiero]]),0)</f>
        <v>0</v>
      </c>
      <c r="AO108" s="890">
        <f>IF(ISNUMBER(Producción_Ganadera[[#This Row],[Fecha Financiero]])=TRUE,YEAR(Producción_Ganadera[[#This Row],[Fecha Financiero]]),0)</f>
        <v>0</v>
      </c>
      <c r="AP108" s="891">
        <f>SUMPRODUCT((Producción_Ganadera[[#This Row],[Mes Financiero]]=Tipo_Cambio[Mes])*(Producción_Ganadera[[#This Row],[Año Financiero]]=Tipo_Cambio[Año])*(Tipo_Cambio[$/U$S]))</f>
        <v>0</v>
      </c>
      <c r="AQ108" s="891">
        <f>SUMPRODUCT((Producción_Ganadera[[#This Row],[Mes Financiero]]=Tipo_Cambio[Mes])*(Producción_Ganadera[[#This Row],[Año Financiero]]=Tipo_Cambio[Año])*(Tipo_Cambio[Actualización]))</f>
        <v>0</v>
      </c>
      <c r="AR108" s="919">
        <f>SUMPRODUCT((Producción_Ganadera[[#This Row],[Centro de Costo]]=Tabla19[Centro de Costo])*(Tabla19[Superficie])*(Producción_Ganadera[[#This Row],[Campaña]]=Tabla19[Campaña]))</f>
        <v>0</v>
      </c>
      <c r="AS108" s="920">
        <f>IFERROR(Producción_Ganadera[[#This Row],[Económico $Corrientes]]/Producción_Ganadera[[#This Row],[Superficie]],0)</f>
        <v>0</v>
      </c>
      <c r="AT108" s="920">
        <f>IFERROR(Producción_Ganadera[[#This Row],[Económico $Constantes]]/Producción_Ganadera[[#This Row],[Superficie]],0)</f>
        <v>0</v>
      </c>
      <c r="AU108" s="920">
        <f>IFERROR(Producción_Ganadera[[#This Row],[Económico U$S Dólares]]/Producción_Ganadera[[#This Row],[Superficie]],0)</f>
        <v>0</v>
      </c>
      <c r="AV108" s="916">
        <f>IF(Económico!$F$4=0,0,Producción_Ganadera[[#This Row],[Centro de Costo]])</f>
        <v>0</v>
      </c>
    </row>
    <row r="109" spans="1:48" ht="15.75" thickBot="1" x14ac:dyDescent="0.3">
      <c r="A109" s="86"/>
      <c r="B109" s="373" t="s">
        <v>101</v>
      </c>
      <c r="C109" s="86"/>
      <c r="D109" s="478"/>
      <c r="E109" s="522"/>
      <c r="F109" s="866" t="str">
        <f t="shared" si="2"/>
        <v>2018-2019</v>
      </c>
      <c r="G109" s="491" t="str">
        <f t="shared" si="7"/>
        <v>Salida Muertes</v>
      </c>
      <c r="H109" s="491"/>
      <c r="I109" s="491"/>
      <c r="J109" s="549"/>
      <c r="K109" s="491"/>
      <c r="L109" s="520"/>
      <c r="M10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0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09" s="563"/>
      <c r="P109" s="491"/>
      <c r="Q109" s="875">
        <f>IF(ISNUMBER(Producción_Ganadera[[#This Row],[Cabezas]])=TRUE,Producción_Ganadera[[#This Row],[Cabezas]]*Producción_Ganadera[[#This Row],[Cantidad]],Producción_Ganadera[[#This Row],[Cantidad]])</f>
        <v>0</v>
      </c>
      <c r="R109" s="491"/>
      <c r="S109" s="552"/>
      <c r="T109" s="553"/>
      <c r="U10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09" s="881">
        <f>IFERROR(Producción_Ganadera[[#This Row],[Económico $Corrientes]]/Producción_Ganadera[[#This Row],[Indexación Económico]],0)</f>
        <v>0</v>
      </c>
      <c r="W10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0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09" s="881">
        <f>IFERROR(Producción_Ganadera[[#This Row],[Financiero $Corrientes]]/Producción_Ganadera[[#This Row],[Indexación Financiero]],0)</f>
        <v>0</v>
      </c>
      <c r="Z10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0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09" s="885">
        <f>IFERROR(Producción_Ganadera[[#This Row],[Intereses $Corrientes]]/Producción_Ganadera[[#This Row],[Indexación Financiero]],0)</f>
        <v>0</v>
      </c>
      <c r="AC10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09" s="915" t="str">
        <f>IFERROR(INDEX(Produccion_Ganadera_Cuentas[],MATCH(Producción_Ganadera[[#This Row],[Cuenta Contable]],Produccion_Ganadera_Cuentas[Cuenta Contable],0),2),0)</f>
        <v>Mov. Hacienda</v>
      </c>
      <c r="AE109" s="916">
        <f>IF(Producción_Ganadera[[#This Row],[Mov. Stock]]="(+)",Producción_Ganadera[[#This Row],[Cabezas]],IF(Producción_Ganadera[[#This Row],[Mov. Stock]]="(-)",-Producción_Ganadera[[#This Row],[Cabezas]],0))</f>
        <v>0</v>
      </c>
      <c r="AF109" s="917" t="str">
        <f>IFERROR(INDEX(Produccion_Ganadera_Cuentas[],MATCH(Producción_Ganadera[[#This Row],[Cuenta Contable]],Produccion_Ganadera_Cuentas[Cuenta Contable],0),5),0)</f>
        <v>(-)</v>
      </c>
      <c r="AG109" s="918" t="str">
        <f>IF(Producción_Ganadera[[#This Row],[Cuenta Contable]]=Configuración!$AC$9,"Si","No")</f>
        <v>No</v>
      </c>
      <c r="AH109" s="887" t="str">
        <f>IFERROR(INDEX(Tabla9[],MATCH(Producción_Ganadera[[#This Row],[Movimiento]],Tabla9[Movimientos],0),2),0)</f>
        <v>No</v>
      </c>
      <c r="AI109" s="888">
        <f>IFERROR(INDEX(Tabla9[],MATCH(Producción_Ganadera[[#This Row],[Movimiento]],Tabla9[Movimientos],0),3),0)</f>
        <v>0</v>
      </c>
      <c r="AJ109" s="885">
        <f>IF(Producción_Ganadera[[#This Row],[Fecha Económico]]=0,0,MONTH(Producción_Ganadera[[#This Row],[Fecha Económico]]))</f>
        <v>0</v>
      </c>
      <c r="AK109" s="885">
        <f>IF(Producción_Ganadera[[#This Row],[Fecha Económico]]=0,0,YEAR(Producción_Ganadera[[#This Row],[Fecha Económico]]))</f>
        <v>0</v>
      </c>
      <c r="AL109" s="889">
        <f>SUMPRODUCT((Producción_Ganadera[[#This Row],[Mes Económico]]=Tipo_Cambio[Mes])*(Producción_Ganadera[[#This Row],[Año Económico]]=Tipo_Cambio[Año])*(Tipo_Cambio[$/U$S]))</f>
        <v>0</v>
      </c>
      <c r="AM109" s="889">
        <f>SUMPRODUCT((Producción_Ganadera[[#This Row],[Mes Económico]]=Tipo_Cambio[Mes])*(Producción_Ganadera[[#This Row],[Año Económico]]=Tipo_Cambio[Año])*(Tipo_Cambio[Actualización]))</f>
        <v>0</v>
      </c>
      <c r="AN109" s="885">
        <f>IF(ISNUMBER(Producción_Ganadera[[#This Row],[Fecha Financiero]])=TRUE,MONTH(Producción_Ganadera[[#This Row],[Fecha Financiero]]),0)</f>
        <v>0</v>
      </c>
      <c r="AO109" s="885">
        <f>IF(ISNUMBER(Producción_Ganadera[[#This Row],[Fecha Financiero]])=TRUE,YEAR(Producción_Ganadera[[#This Row],[Fecha Financiero]]),0)</f>
        <v>0</v>
      </c>
      <c r="AP109" s="889">
        <f>SUMPRODUCT((Producción_Ganadera[[#This Row],[Mes Financiero]]=Tipo_Cambio[Mes])*(Producción_Ganadera[[#This Row],[Año Financiero]]=Tipo_Cambio[Año])*(Tipo_Cambio[$/U$S]))</f>
        <v>0</v>
      </c>
      <c r="AQ109" s="889">
        <f>SUMPRODUCT((Producción_Ganadera[[#This Row],[Mes Financiero]]=Tipo_Cambio[Mes])*(Producción_Ganadera[[#This Row],[Año Financiero]]=Tipo_Cambio[Año])*(Tipo_Cambio[Actualización]))</f>
        <v>0</v>
      </c>
      <c r="AR109" s="919">
        <f>SUMPRODUCT((Producción_Ganadera[[#This Row],[Centro de Costo]]=Tabla19[Centro de Costo])*(Tabla19[Superficie])*(Producción_Ganadera[[#This Row],[Campaña]]=Tabla19[Campaña]))</f>
        <v>0</v>
      </c>
      <c r="AS109" s="918">
        <f>IFERROR(Producción_Ganadera[[#This Row],[Económico $Corrientes]]/Producción_Ganadera[[#This Row],[Superficie]],0)</f>
        <v>0</v>
      </c>
      <c r="AT109" s="918">
        <f>IFERROR(Producción_Ganadera[[#This Row],[Económico $Constantes]]/Producción_Ganadera[[#This Row],[Superficie]],0)</f>
        <v>0</v>
      </c>
      <c r="AU109" s="918">
        <f>IFERROR(Producción_Ganadera[[#This Row],[Económico U$S Dólares]]/Producción_Ganadera[[#This Row],[Superficie]],0)</f>
        <v>0</v>
      </c>
      <c r="AV109" s="916">
        <f>IF(Económico!$F$4=0,0,Producción_Ganadera[[#This Row],[Centro de Costo]])</f>
        <v>0</v>
      </c>
    </row>
    <row r="110" spans="1:48" ht="15.75" thickTop="1" x14ac:dyDescent="0.25">
      <c r="A110" s="86"/>
      <c r="B110" s="1136" t="s">
        <v>223</v>
      </c>
      <c r="C110" s="86"/>
      <c r="D110" s="614">
        <f>DATE(RIGHT(Producción_Ganadera[[#This Row],[Campaña]],4),4,1)</f>
        <v>43556</v>
      </c>
      <c r="E110" s="615"/>
      <c r="F110" s="871" t="str">
        <f t="shared" ref="F110:F142" si="8">Campaña_Actual</f>
        <v>2018-2019</v>
      </c>
      <c r="G110" s="616" t="str">
        <f>GAN_Salida_C.Categoria</f>
        <v>Salida C. Categoría</v>
      </c>
      <c r="H110" s="616" t="s">
        <v>2</v>
      </c>
      <c r="I110" s="616" t="s">
        <v>130</v>
      </c>
      <c r="J110" s="617"/>
      <c r="K110" s="616"/>
      <c r="L110" s="618"/>
      <c r="M110" s="61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10" s="871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10" s="620"/>
      <c r="P110" s="621"/>
      <c r="Q110" s="878">
        <f>IF(ISNUMBER(Producción_Ganadera[[#This Row],[Cabezas]])=TRUE,Producción_Ganadera[[#This Row],[Cabezas]]*Producción_Ganadera[[#This Row],[Cantidad]],Producción_Ganadera[[#This Row],[Cantidad]])</f>
        <v>0</v>
      </c>
      <c r="R110" s="622"/>
      <c r="S110" s="623"/>
      <c r="T110" s="624"/>
      <c r="U110" s="927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10" s="928">
        <f>IFERROR(Producción_Ganadera[[#This Row],[Económico $Corrientes]]/Producción_Ganadera[[#This Row],[Indexación Económico]],0)</f>
        <v>0</v>
      </c>
      <c r="W110" s="929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10" s="927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10" s="928">
        <f>IFERROR(Producción_Ganadera[[#This Row],[Financiero $Corrientes]]/Producción_Ganadera[[#This Row],[Indexación Financiero]],0)</f>
        <v>0</v>
      </c>
      <c r="Z110" s="930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10" s="93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10" s="932">
        <f>IFERROR(Producción_Ganadera[[#This Row],[Intereses $Corrientes]]/Producción_Ganadera[[#This Row],[Indexación Financiero]],0)</f>
        <v>0</v>
      </c>
      <c r="AC110" s="93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10" s="933" t="str">
        <f>IFERROR(INDEX(Produccion_Ganadera_Cuentas[],MATCH(Producción_Ganadera[[#This Row],[Cuenta Contable]],Produccion_Ganadera_Cuentas[Cuenta Contable],0),2),0)</f>
        <v>Mov. Hacienda</v>
      </c>
      <c r="AE110" s="934">
        <f>IF(Producción_Ganadera[[#This Row],[Mov. Stock]]="(+)",Producción_Ganadera[[#This Row],[Cabezas]],IF(Producción_Ganadera[[#This Row],[Mov. Stock]]="(-)",-Producción_Ganadera[[#This Row],[Cabezas]],0))</f>
        <v>0</v>
      </c>
      <c r="AF110" s="935" t="str">
        <f>IFERROR(INDEX(Produccion_Ganadera_Cuentas[],MATCH(Producción_Ganadera[[#This Row],[Cuenta Contable]],Produccion_Ganadera_Cuentas[Cuenta Contable],0),5),0)</f>
        <v>(-)</v>
      </c>
      <c r="AG110" s="936" t="str">
        <f>IF(Producción_Ganadera[[#This Row],[Cuenta Contable]]=Configuración!$AC$9,"Si","No")</f>
        <v>No</v>
      </c>
      <c r="AH110" s="937" t="str">
        <f>IFERROR(INDEX(Tabla9[],MATCH(Producción_Ganadera[[#This Row],[Movimiento]],Tabla9[Movimientos],0),2),0)</f>
        <v>No</v>
      </c>
      <c r="AI110" s="938">
        <f>IFERROR(INDEX(Tabla9[],MATCH(Producción_Ganadera[[#This Row],[Movimiento]],Tabla9[Movimientos],0),3),0)</f>
        <v>0</v>
      </c>
      <c r="AJ110" s="932">
        <f>IF(Producción_Ganadera[[#This Row],[Fecha Económico]]=0,0,MONTH(Producción_Ganadera[[#This Row],[Fecha Económico]]))</f>
        <v>4</v>
      </c>
      <c r="AK110" s="932">
        <f>IF(Producción_Ganadera[[#This Row],[Fecha Económico]]=0,0,YEAR(Producción_Ganadera[[#This Row],[Fecha Económico]]))</f>
        <v>2019</v>
      </c>
      <c r="AL110" s="939">
        <f>SUMPRODUCT((Producción_Ganadera[[#This Row],[Mes Económico]]=Tipo_Cambio[Mes])*(Producción_Ganadera[[#This Row],[Año Económico]]=Tipo_Cambio[Año])*(Tipo_Cambio[$/U$S]))</f>
        <v>24.061075999055937</v>
      </c>
      <c r="AM110" s="939">
        <f>SUMPRODUCT((Producción_Ganadera[[#This Row],[Mes Económico]]=Tipo_Cambio[Mes])*(Producción_Ganadera[[#This Row],[Año Económico]]=Tipo_Cambio[Año])*(Tipo_Cambio[Actualización]))</f>
        <v>1.1950925686223111</v>
      </c>
      <c r="AN110" s="932">
        <f>IF(ISNUMBER(Producción_Ganadera[[#This Row],[Fecha Financiero]])=TRUE,MONTH(Producción_Ganadera[[#This Row],[Fecha Financiero]]),0)</f>
        <v>0</v>
      </c>
      <c r="AO110" s="932">
        <f>IF(ISNUMBER(Producción_Ganadera[[#This Row],[Fecha Financiero]])=TRUE,YEAR(Producción_Ganadera[[#This Row],[Fecha Financiero]]),0)</f>
        <v>0</v>
      </c>
      <c r="AP110" s="939">
        <f>SUMPRODUCT((Producción_Ganadera[[#This Row],[Mes Financiero]]=Tipo_Cambio[Mes])*(Producción_Ganadera[[#This Row],[Año Financiero]]=Tipo_Cambio[Año])*(Tipo_Cambio[$/U$S]))</f>
        <v>0</v>
      </c>
      <c r="AQ110" s="939">
        <f>SUMPRODUCT((Producción_Ganadera[[#This Row],[Mes Financiero]]=Tipo_Cambio[Mes])*(Producción_Ganadera[[#This Row],[Año Financiero]]=Tipo_Cambio[Año])*(Tipo_Cambio[Actualización]))</f>
        <v>0</v>
      </c>
      <c r="AR110" s="940">
        <f>SUMPRODUCT((Producción_Ganadera[[#This Row],[Centro de Costo]]=Tabla19[Centro de Costo])*(Tabla19[Superficie])*(Producción_Ganadera[[#This Row],[Campaña]]=Tabla19[Campaña]))</f>
        <v>0</v>
      </c>
      <c r="AS110" s="936">
        <f>IFERROR(Producción_Ganadera[[#This Row],[Económico $Corrientes]]/Producción_Ganadera[[#This Row],[Superficie]],0)</f>
        <v>0</v>
      </c>
      <c r="AT110" s="936">
        <f>IFERROR(Producción_Ganadera[[#This Row],[Económico $Constantes]]/Producción_Ganadera[[#This Row],[Superficie]],0)</f>
        <v>0</v>
      </c>
      <c r="AU110" s="936">
        <f>IFERROR(Producción_Ganadera[[#This Row],[Económico U$S Dólares]]/Producción_Ganadera[[#This Row],[Superficie]],0)</f>
        <v>0</v>
      </c>
      <c r="AV110" s="934" t="str">
        <f>IF(Económico!$F$4=0,0,Producción_Ganadera[[#This Row],[Centro de Costo]])</f>
        <v>Campo 1</v>
      </c>
    </row>
    <row r="111" spans="1:48" x14ac:dyDescent="0.25">
      <c r="A111" s="86"/>
      <c r="B111" s="1136"/>
      <c r="C111" s="86"/>
      <c r="D111" s="478">
        <f>DATE(RIGHT(Producción_Ganadera[[#This Row],[Campaña]],4),4,1)</f>
        <v>43556</v>
      </c>
      <c r="E111" s="522"/>
      <c r="F111" s="869" t="str">
        <f t="shared" si="8"/>
        <v>2018-2019</v>
      </c>
      <c r="G111" s="491" t="str">
        <f>GAN_Entrada_C.CAtegoria</f>
        <v>Entrada C. Categoría</v>
      </c>
      <c r="H111" s="491" t="s">
        <v>2</v>
      </c>
      <c r="I111" s="491" t="s">
        <v>134</v>
      </c>
      <c r="J111" s="549"/>
      <c r="K111" s="491"/>
      <c r="L111" s="520">
        <f>L110</f>
        <v>0</v>
      </c>
      <c r="M11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1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11" s="611"/>
      <c r="P111" s="484"/>
      <c r="Q111" s="875">
        <f>IF(ISNUMBER(Producción_Ganadera[[#This Row],[Cabezas]])=TRUE,Producción_Ganadera[[#This Row],[Cabezas]]*Producción_Ganadera[[#This Row],[Cantidad]],Producción_Ganadera[[#This Row],[Cantidad]])</f>
        <v>0</v>
      </c>
      <c r="R111" s="482"/>
      <c r="S111" s="552"/>
      <c r="T111" s="553"/>
      <c r="U11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11" s="881">
        <f>IFERROR(Producción_Ganadera[[#This Row],[Económico $Corrientes]]/Producción_Ganadera[[#This Row],[Indexación Económico]],0)</f>
        <v>0</v>
      </c>
      <c r="W11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1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11" s="881">
        <f>IFERROR(Producción_Ganadera[[#This Row],[Financiero $Corrientes]]/Producción_Ganadera[[#This Row],[Indexación Financiero]],0)</f>
        <v>0</v>
      </c>
      <c r="Z11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1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11" s="885">
        <f>IFERROR(Producción_Ganadera[[#This Row],[Intereses $Corrientes]]/Producción_Ganadera[[#This Row],[Indexación Financiero]],0)</f>
        <v>0</v>
      </c>
      <c r="AC11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11" s="915" t="str">
        <f>IFERROR(INDEX(Produccion_Ganadera_Cuentas[],MATCH(Producción_Ganadera[[#This Row],[Cuenta Contable]],Produccion_Ganadera_Cuentas[Cuenta Contable],0),2),0)</f>
        <v>Mov. Hacienda</v>
      </c>
      <c r="AE111" s="916">
        <f>IF(Producción_Ganadera[[#This Row],[Mov. Stock]]="(+)",Producción_Ganadera[[#This Row],[Cabezas]],IF(Producción_Ganadera[[#This Row],[Mov. Stock]]="(-)",-Producción_Ganadera[[#This Row],[Cabezas]],0))</f>
        <v>0</v>
      </c>
      <c r="AF111" s="917" t="str">
        <f>IFERROR(INDEX(Produccion_Ganadera_Cuentas[],MATCH(Producción_Ganadera[[#This Row],[Cuenta Contable]],Produccion_Ganadera_Cuentas[Cuenta Contable],0),5),0)</f>
        <v>(+)</v>
      </c>
      <c r="AG111" s="918" t="str">
        <f>IF(Producción_Ganadera[[#This Row],[Cuenta Contable]]=Configuración!$AC$9,"Si","No")</f>
        <v>No</v>
      </c>
      <c r="AH111" s="887" t="str">
        <f>IFERROR(INDEX(Tabla9[],MATCH(Producción_Ganadera[[#This Row],[Movimiento]],Tabla9[Movimientos],0),2),0)</f>
        <v>No</v>
      </c>
      <c r="AI111" s="888">
        <f>IFERROR(INDEX(Tabla9[],MATCH(Producción_Ganadera[[#This Row],[Movimiento]],Tabla9[Movimientos],0),3),0)</f>
        <v>0</v>
      </c>
      <c r="AJ111" s="885">
        <f>IF(Producción_Ganadera[[#This Row],[Fecha Económico]]=0,0,MONTH(Producción_Ganadera[[#This Row],[Fecha Económico]]))</f>
        <v>4</v>
      </c>
      <c r="AK111" s="885">
        <f>IF(Producción_Ganadera[[#This Row],[Fecha Económico]]=0,0,YEAR(Producción_Ganadera[[#This Row],[Fecha Económico]]))</f>
        <v>2019</v>
      </c>
      <c r="AL111" s="889">
        <f>SUMPRODUCT((Producción_Ganadera[[#This Row],[Mes Económico]]=Tipo_Cambio[Mes])*(Producción_Ganadera[[#This Row],[Año Económico]]=Tipo_Cambio[Año])*(Tipo_Cambio[$/U$S]))</f>
        <v>24.061075999055937</v>
      </c>
      <c r="AM111" s="889">
        <f>SUMPRODUCT((Producción_Ganadera[[#This Row],[Mes Económico]]=Tipo_Cambio[Mes])*(Producción_Ganadera[[#This Row],[Año Económico]]=Tipo_Cambio[Año])*(Tipo_Cambio[Actualización]))</f>
        <v>1.1950925686223111</v>
      </c>
      <c r="AN111" s="885">
        <f>IF(ISNUMBER(Producción_Ganadera[[#This Row],[Fecha Financiero]])=TRUE,MONTH(Producción_Ganadera[[#This Row],[Fecha Financiero]]),0)</f>
        <v>0</v>
      </c>
      <c r="AO111" s="885">
        <f>IF(ISNUMBER(Producción_Ganadera[[#This Row],[Fecha Financiero]])=TRUE,YEAR(Producción_Ganadera[[#This Row],[Fecha Financiero]]),0)</f>
        <v>0</v>
      </c>
      <c r="AP111" s="889">
        <f>SUMPRODUCT((Producción_Ganadera[[#This Row],[Mes Financiero]]=Tipo_Cambio[Mes])*(Producción_Ganadera[[#This Row],[Año Financiero]]=Tipo_Cambio[Año])*(Tipo_Cambio[$/U$S]))</f>
        <v>0</v>
      </c>
      <c r="AQ111" s="889">
        <f>SUMPRODUCT((Producción_Ganadera[[#This Row],[Mes Financiero]]=Tipo_Cambio[Mes])*(Producción_Ganadera[[#This Row],[Año Financiero]]=Tipo_Cambio[Año])*(Tipo_Cambio[Actualización]))</f>
        <v>0</v>
      </c>
      <c r="AR111" s="919">
        <f>SUMPRODUCT((Producción_Ganadera[[#This Row],[Centro de Costo]]=Tabla19[Centro de Costo])*(Tabla19[Superficie])*(Producción_Ganadera[[#This Row],[Campaña]]=Tabla19[Campaña]))</f>
        <v>0</v>
      </c>
      <c r="AS111" s="918">
        <f>IFERROR(Producción_Ganadera[[#This Row],[Económico $Corrientes]]/Producción_Ganadera[[#This Row],[Superficie]],0)</f>
        <v>0</v>
      </c>
      <c r="AT111" s="918">
        <f>IFERROR(Producción_Ganadera[[#This Row],[Económico $Constantes]]/Producción_Ganadera[[#This Row],[Superficie]],0)</f>
        <v>0</v>
      </c>
      <c r="AU111" s="918">
        <f>IFERROR(Producción_Ganadera[[#This Row],[Económico U$S Dólares]]/Producción_Ganadera[[#This Row],[Superficie]],0)</f>
        <v>0</v>
      </c>
      <c r="AV111" s="916" t="str">
        <f>IF(Económico!$F$4=0,0,Producción_Ganadera[[#This Row],[Centro de Costo]])</f>
        <v>Campo 1</v>
      </c>
    </row>
    <row r="112" spans="1:48" x14ac:dyDescent="0.25">
      <c r="A112" s="86"/>
      <c r="B112" s="1136" t="s">
        <v>224</v>
      </c>
      <c r="C112" s="86"/>
      <c r="D112" s="478">
        <f>DATE(RIGHT(Producción_Ganadera[[#This Row],[Campaña]],4),4,1)</f>
        <v>43556</v>
      </c>
      <c r="E112" s="522"/>
      <c r="F112" s="869" t="str">
        <f t="shared" si="8"/>
        <v>2018-2019</v>
      </c>
      <c r="G112" s="491" t="str">
        <f>GAN_Salida_C.Categoria</f>
        <v>Salida C. Categoría</v>
      </c>
      <c r="H112" s="491" t="s">
        <v>2</v>
      </c>
      <c r="I112" s="491" t="s">
        <v>134</v>
      </c>
      <c r="J112" s="549"/>
      <c r="K112" s="491"/>
      <c r="L112" s="520"/>
      <c r="M11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1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12" s="611"/>
      <c r="P112" s="484"/>
      <c r="Q112" s="875">
        <f>IF(ISNUMBER(Producción_Ganadera[[#This Row],[Cabezas]])=TRUE,Producción_Ganadera[[#This Row],[Cabezas]]*Producción_Ganadera[[#This Row],[Cantidad]],Producción_Ganadera[[#This Row],[Cantidad]])</f>
        <v>0</v>
      </c>
      <c r="R112" s="482"/>
      <c r="S112" s="552"/>
      <c r="T112" s="553"/>
      <c r="U11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12" s="881">
        <f>IFERROR(Producción_Ganadera[[#This Row],[Económico $Corrientes]]/Producción_Ganadera[[#This Row],[Indexación Económico]],0)</f>
        <v>0</v>
      </c>
      <c r="W11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1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12" s="881">
        <f>IFERROR(Producción_Ganadera[[#This Row],[Financiero $Corrientes]]/Producción_Ganadera[[#This Row],[Indexación Financiero]],0)</f>
        <v>0</v>
      </c>
      <c r="Z11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1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12" s="885">
        <f>IFERROR(Producción_Ganadera[[#This Row],[Intereses $Corrientes]]/Producción_Ganadera[[#This Row],[Indexación Financiero]],0)</f>
        <v>0</v>
      </c>
      <c r="AC11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12" s="915" t="str">
        <f>IFERROR(INDEX(Produccion_Ganadera_Cuentas[],MATCH(Producción_Ganadera[[#This Row],[Cuenta Contable]],Produccion_Ganadera_Cuentas[Cuenta Contable],0),2),0)</f>
        <v>Mov. Hacienda</v>
      </c>
      <c r="AE112" s="916">
        <f>IF(Producción_Ganadera[[#This Row],[Mov. Stock]]="(+)",Producción_Ganadera[[#This Row],[Cabezas]],IF(Producción_Ganadera[[#This Row],[Mov. Stock]]="(-)",-Producción_Ganadera[[#This Row],[Cabezas]],0))</f>
        <v>0</v>
      </c>
      <c r="AF112" s="917" t="str">
        <f>IFERROR(INDEX(Produccion_Ganadera_Cuentas[],MATCH(Producción_Ganadera[[#This Row],[Cuenta Contable]],Produccion_Ganadera_Cuentas[Cuenta Contable],0),5),0)</f>
        <v>(-)</v>
      </c>
      <c r="AG112" s="918" t="str">
        <f>IF(Producción_Ganadera[[#This Row],[Cuenta Contable]]=Configuración!$AC$9,"Si","No")</f>
        <v>No</v>
      </c>
      <c r="AH112" s="887" t="str">
        <f>IFERROR(INDEX(Tabla9[],MATCH(Producción_Ganadera[[#This Row],[Movimiento]],Tabla9[Movimientos],0),2),0)</f>
        <v>No</v>
      </c>
      <c r="AI112" s="888">
        <f>IFERROR(INDEX(Tabla9[],MATCH(Producción_Ganadera[[#This Row],[Movimiento]],Tabla9[Movimientos],0),3),0)</f>
        <v>0</v>
      </c>
      <c r="AJ112" s="885">
        <f>IF(Producción_Ganadera[[#This Row],[Fecha Económico]]=0,0,MONTH(Producción_Ganadera[[#This Row],[Fecha Económico]]))</f>
        <v>4</v>
      </c>
      <c r="AK112" s="885">
        <f>IF(Producción_Ganadera[[#This Row],[Fecha Económico]]=0,0,YEAR(Producción_Ganadera[[#This Row],[Fecha Económico]]))</f>
        <v>2019</v>
      </c>
      <c r="AL112" s="889">
        <f>SUMPRODUCT((Producción_Ganadera[[#This Row],[Mes Económico]]=Tipo_Cambio[Mes])*(Producción_Ganadera[[#This Row],[Año Económico]]=Tipo_Cambio[Año])*(Tipo_Cambio[$/U$S]))</f>
        <v>24.061075999055937</v>
      </c>
      <c r="AM112" s="889">
        <f>SUMPRODUCT((Producción_Ganadera[[#This Row],[Mes Económico]]=Tipo_Cambio[Mes])*(Producción_Ganadera[[#This Row],[Año Económico]]=Tipo_Cambio[Año])*(Tipo_Cambio[Actualización]))</f>
        <v>1.1950925686223111</v>
      </c>
      <c r="AN112" s="885">
        <f>IF(ISNUMBER(Producción_Ganadera[[#This Row],[Fecha Financiero]])=TRUE,MONTH(Producción_Ganadera[[#This Row],[Fecha Financiero]]),0)</f>
        <v>0</v>
      </c>
      <c r="AO112" s="885">
        <f>IF(ISNUMBER(Producción_Ganadera[[#This Row],[Fecha Financiero]])=TRUE,YEAR(Producción_Ganadera[[#This Row],[Fecha Financiero]]),0)</f>
        <v>0</v>
      </c>
      <c r="AP112" s="889">
        <f>SUMPRODUCT((Producción_Ganadera[[#This Row],[Mes Financiero]]=Tipo_Cambio[Mes])*(Producción_Ganadera[[#This Row],[Año Financiero]]=Tipo_Cambio[Año])*(Tipo_Cambio[$/U$S]))</f>
        <v>0</v>
      </c>
      <c r="AQ112" s="889">
        <f>SUMPRODUCT((Producción_Ganadera[[#This Row],[Mes Financiero]]=Tipo_Cambio[Mes])*(Producción_Ganadera[[#This Row],[Año Financiero]]=Tipo_Cambio[Año])*(Tipo_Cambio[Actualización]))</f>
        <v>0</v>
      </c>
      <c r="AR112" s="919">
        <f>SUMPRODUCT((Producción_Ganadera[[#This Row],[Centro de Costo]]=Tabla19[Centro de Costo])*(Tabla19[Superficie])*(Producción_Ganadera[[#This Row],[Campaña]]=Tabla19[Campaña]))</f>
        <v>0</v>
      </c>
      <c r="AS112" s="918">
        <f>IFERROR(Producción_Ganadera[[#This Row],[Económico $Corrientes]]/Producción_Ganadera[[#This Row],[Superficie]],0)</f>
        <v>0</v>
      </c>
      <c r="AT112" s="918">
        <f>IFERROR(Producción_Ganadera[[#This Row],[Económico $Constantes]]/Producción_Ganadera[[#This Row],[Superficie]],0)</f>
        <v>0</v>
      </c>
      <c r="AU112" s="918">
        <f>IFERROR(Producción_Ganadera[[#This Row],[Económico U$S Dólares]]/Producción_Ganadera[[#This Row],[Superficie]],0)</f>
        <v>0</v>
      </c>
      <c r="AV112" s="916" t="str">
        <f>IF(Económico!$F$4=0,0,Producción_Ganadera[[#This Row],[Centro de Costo]])</f>
        <v>Campo 1</v>
      </c>
    </row>
    <row r="113" spans="1:48" x14ac:dyDescent="0.25">
      <c r="A113" s="86"/>
      <c r="B113" s="1136"/>
      <c r="C113" s="86"/>
      <c r="D113" s="478">
        <f>DATE(RIGHT(Producción_Ganadera[[#This Row],[Campaña]],4),4,1)</f>
        <v>43556</v>
      </c>
      <c r="E113" s="522"/>
      <c r="F113" s="869" t="str">
        <f t="shared" si="8"/>
        <v>2018-2019</v>
      </c>
      <c r="G113" s="491" t="str">
        <f>GAN_Entrada_C.CAtegoria</f>
        <v>Entrada C. Categoría</v>
      </c>
      <c r="H113" s="491" t="s">
        <v>2</v>
      </c>
      <c r="I113" s="491" t="s">
        <v>135</v>
      </c>
      <c r="J113" s="549"/>
      <c r="K113" s="491"/>
      <c r="L113" s="520">
        <f>L112</f>
        <v>0</v>
      </c>
      <c r="M11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1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13" s="611"/>
      <c r="P113" s="484"/>
      <c r="Q113" s="875">
        <f>IF(ISNUMBER(Producción_Ganadera[[#This Row],[Cabezas]])=TRUE,Producción_Ganadera[[#This Row],[Cabezas]]*Producción_Ganadera[[#This Row],[Cantidad]],Producción_Ganadera[[#This Row],[Cantidad]])</f>
        <v>0</v>
      </c>
      <c r="R113" s="482"/>
      <c r="S113" s="552"/>
      <c r="T113" s="553"/>
      <c r="U11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13" s="881">
        <f>IFERROR(Producción_Ganadera[[#This Row],[Económico $Corrientes]]/Producción_Ganadera[[#This Row],[Indexación Económico]],0)</f>
        <v>0</v>
      </c>
      <c r="W11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1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13" s="881">
        <f>IFERROR(Producción_Ganadera[[#This Row],[Financiero $Corrientes]]/Producción_Ganadera[[#This Row],[Indexación Financiero]],0)</f>
        <v>0</v>
      </c>
      <c r="Z11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1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13" s="885">
        <f>IFERROR(Producción_Ganadera[[#This Row],[Intereses $Corrientes]]/Producción_Ganadera[[#This Row],[Indexación Financiero]],0)</f>
        <v>0</v>
      </c>
      <c r="AC11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13" s="915" t="str">
        <f>IFERROR(INDEX(Produccion_Ganadera_Cuentas[],MATCH(Producción_Ganadera[[#This Row],[Cuenta Contable]],Produccion_Ganadera_Cuentas[Cuenta Contable],0),2),0)</f>
        <v>Mov. Hacienda</v>
      </c>
      <c r="AE113" s="916">
        <f>IF(Producción_Ganadera[[#This Row],[Mov. Stock]]="(+)",Producción_Ganadera[[#This Row],[Cabezas]],IF(Producción_Ganadera[[#This Row],[Mov. Stock]]="(-)",-Producción_Ganadera[[#This Row],[Cabezas]],0))</f>
        <v>0</v>
      </c>
      <c r="AF113" s="917" t="str">
        <f>IFERROR(INDEX(Produccion_Ganadera_Cuentas[],MATCH(Producción_Ganadera[[#This Row],[Cuenta Contable]],Produccion_Ganadera_Cuentas[Cuenta Contable],0),5),0)</f>
        <v>(+)</v>
      </c>
      <c r="AG113" s="918" t="str">
        <f>IF(Producción_Ganadera[[#This Row],[Cuenta Contable]]=Configuración!$AC$9,"Si","No")</f>
        <v>No</v>
      </c>
      <c r="AH113" s="887" t="str">
        <f>IFERROR(INDEX(Tabla9[],MATCH(Producción_Ganadera[[#This Row],[Movimiento]],Tabla9[Movimientos],0),2),0)</f>
        <v>No</v>
      </c>
      <c r="AI113" s="888">
        <f>IFERROR(INDEX(Tabla9[],MATCH(Producción_Ganadera[[#This Row],[Movimiento]],Tabla9[Movimientos],0),3),0)</f>
        <v>0</v>
      </c>
      <c r="AJ113" s="885">
        <f>IF(Producción_Ganadera[[#This Row],[Fecha Económico]]=0,0,MONTH(Producción_Ganadera[[#This Row],[Fecha Económico]]))</f>
        <v>4</v>
      </c>
      <c r="AK113" s="885">
        <f>IF(Producción_Ganadera[[#This Row],[Fecha Económico]]=0,0,YEAR(Producción_Ganadera[[#This Row],[Fecha Económico]]))</f>
        <v>2019</v>
      </c>
      <c r="AL113" s="889">
        <f>SUMPRODUCT((Producción_Ganadera[[#This Row],[Mes Económico]]=Tipo_Cambio[Mes])*(Producción_Ganadera[[#This Row],[Año Económico]]=Tipo_Cambio[Año])*(Tipo_Cambio[$/U$S]))</f>
        <v>24.061075999055937</v>
      </c>
      <c r="AM113" s="889">
        <f>SUMPRODUCT((Producción_Ganadera[[#This Row],[Mes Económico]]=Tipo_Cambio[Mes])*(Producción_Ganadera[[#This Row],[Año Económico]]=Tipo_Cambio[Año])*(Tipo_Cambio[Actualización]))</f>
        <v>1.1950925686223111</v>
      </c>
      <c r="AN113" s="885">
        <f>IF(ISNUMBER(Producción_Ganadera[[#This Row],[Fecha Financiero]])=TRUE,MONTH(Producción_Ganadera[[#This Row],[Fecha Financiero]]),0)</f>
        <v>0</v>
      </c>
      <c r="AO113" s="885">
        <f>IF(ISNUMBER(Producción_Ganadera[[#This Row],[Fecha Financiero]])=TRUE,YEAR(Producción_Ganadera[[#This Row],[Fecha Financiero]]),0)</f>
        <v>0</v>
      </c>
      <c r="AP113" s="889">
        <f>SUMPRODUCT((Producción_Ganadera[[#This Row],[Mes Financiero]]=Tipo_Cambio[Mes])*(Producción_Ganadera[[#This Row],[Año Financiero]]=Tipo_Cambio[Año])*(Tipo_Cambio[$/U$S]))</f>
        <v>0</v>
      </c>
      <c r="AQ113" s="889">
        <f>SUMPRODUCT((Producción_Ganadera[[#This Row],[Mes Financiero]]=Tipo_Cambio[Mes])*(Producción_Ganadera[[#This Row],[Año Financiero]]=Tipo_Cambio[Año])*(Tipo_Cambio[Actualización]))</f>
        <v>0</v>
      </c>
      <c r="AR113" s="919">
        <f>SUMPRODUCT((Producción_Ganadera[[#This Row],[Centro de Costo]]=Tabla19[Centro de Costo])*(Tabla19[Superficie])*(Producción_Ganadera[[#This Row],[Campaña]]=Tabla19[Campaña]))</f>
        <v>0</v>
      </c>
      <c r="AS113" s="918">
        <f>IFERROR(Producción_Ganadera[[#This Row],[Económico $Corrientes]]/Producción_Ganadera[[#This Row],[Superficie]],0)</f>
        <v>0</v>
      </c>
      <c r="AT113" s="918">
        <f>IFERROR(Producción_Ganadera[[#This Row],[Económico $Constantes]]/Producción_Ganadera[[#This Row],[Superficie]],0)</f>
        <v>0</v>
      </c>
      <c r="AU113" s="918">
        <f>IFERROR(Producción_Ganadera[[#This Row],[Económico U$S Dólares]]/Producción_Ganadera[[#This Row],[Superficie]],0)</f>
        <v>0</v>
      </c>
      <c r="AV113" s="916" t="str">
        <f>IF(Económico!$F$4=0,0,Producción_Ganadera[[#This Row],[Centro de Costo]])</f>
        <v>Campo 1</v>
      </c>
    </row>
    <row r="114" spans="1:48" x14ac:dyDescent="0.25">
      <c r="A114" s="86"/>
      <c r="B114" s="377"/>
      <c r="C114" s="86"/>
      <c r="D114" s="478">
        <f>DATE(RIGHT(Producción_Ganadera[[#This Row],[Campaña]],4),4,1)</f>
        <v>43556</v>
      </c>
      <c r="E114" s="522"/>
      <c r="F114" s="869" t="str">
        <f t="shared" si="8"/>
        <v>2018-2019</v>
      </c>
      <c r="G114" s="491" t="str">
        <f>GAN_Salida_C.Categoria</f>
        <v>Salida C. Categoría</v>
      </c>
      <c r="H114" s="491" t="s">
        <v>2</v>
      </c>
      <c r="I114" s="491" t="s">
        <v>135</v>
      </c>
      <c r="J114" s="549"/>
      <c r="K114" s="491"/>
      <c r="L114" s="520"/>
      <c r="M11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1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14" s="611"/>
      <c r="P114" s="484"/>
      <c r="Q114" s="875">
        <f>IF(ISNUMBER(Producción_Ganadera[[#This Row],[Cabezas]])=TRUE,Producción_Ganadera[[#This Row],[Cabezas]]*Producción_Ganadera[[#This Row],[Cantidad]],Producción_Ganadera[[#This Row],[Cantidad]])</f>
        <v>0</v>
      </c>
      <c r="R114" s="482"/>
      <c r="S114" s="552"/>
      <c r="T114" s="553"/>
      <c r="U11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14" s="881">
        <f>IFERROR(Producción_Ganadera[[#This Row],[Económico $Corrientes]]/Producción_Ganadera[[#This Row],[Indexación Económico]],0)</f>
        <v>0</v>
      </c>
      <c r="W11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1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14" s="881">
        <f>IFERROR(Producción_Ganadera[[#This Row],[Financiero $Corrientes]]/Producción_Ganadera[[#This Row],[Indexación Financiero]],0)</f>
        <v>0</v>
      </c>
      <c r="Z11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1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14" s="885">
        <f>IFERROR(Producción_Ganadera[[#This Row],[Intereses $Corrientes]]/Producción_Ganadera[[#This Row],[Indexación Financiero]],0)</f>
        <v>0</v>
      </c>
      <c r="AC11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14" s="915" t="str">
        <f>IFERROR(INDEX(Produccion_Ganadera_Cuentas[],MATCH(Producción_Ganadera[[#This Row],[Cuenta Contable]],Produccion_Ganadera_Cuentas[Cuenta Contable],0),2),0)</f>
        <v>Mov. Hacienda</v>
      </c>
      <c r="AE114" s="916">
        <f>IF(Producción_Ganadera[[#This Row],[Mov. Stock]]="(+)",Producción_Ganadera[[#This Row],[Cabezas]],IF(Producción_Ganadera[[#This Row],[Mov. Stock]]="(-)",-Producción_Ganadera[[#This Row],[Cabezas]],0))</f>
        <v>0</v>
      </c>
      <c r="AF114" s="917" t="str">
        <f>IFERROR(INDEX(Produccion_Ganadera_Cuentas[],MATCH(Producción_Ganadera[[#This Row],[Cuenta Contable]],Produccion_Ganadera_Cuentas[Cuenta Contable],0),5),0)</f>
        <v>(-)</v>
      </c>
      <c r="AG114" s="918" t="str">
        <f>IF(Producción_Ganadera[[#This Row],[Cuenta Contable]]=Configuración!$AC$9,"Si","No")</f>
        <v>No</v>
      </c>
      <c r="AH114" s="887" t="str">
        <f>IFERROR(INDEX(Tabla9[],MATCH(Producción_Ganadera[[#This Row],[Movimiento]],Tabla9[Movimientos],0),2),0)</f>
        <v>No</v>
      </c>
      <c r="AI114" s="888">
        <f>IFERROR(INDEX(Tabla9[],MATCH(Producción_Ganadera[[#This Row],[Movimiento]],Tabla9[Movimientos],0),3),0)</f>
        <v>0</v>
      </c>
      <c r="AJ114" s="885">
        <f>IF(Producción_Ganadera[[#This Row],[Fecha Económico]]=0,0,MONTH(Producción_Ganadera[[#This Row],[Fecha Económico]]))</f>
        <v>4</v>
      </c>
      <c r="AK114" s="885">
        <f>IF(Producción_Ganadera[[#This Row],[Fecha Económico]]=0,0,YEAR(Producción_Ganadera[[#This Row],[Fecha Económico]]))</f>
        <v>2019</v>
      </c>
      <c r="AL114" s="889">
        <f>SUMPRODUCT((Producción_Ganadera[[#This Row],[Mes Económico]]=Tipo_Cambio[Mes])*(Producción_Ganadera[[#This Row],[Año Económico]]=Tipo_Cambio[Año])*(Tipo_Cambio[$/U$S]))</f>
        <v>24.061075999055937</v>
      </c>
      <c r="AM114" s="889">
        <f>SUMPRODUCT((Producción_Ganadera[[#This Row],[Mes Económico]]=Tipo_Cambio[Mes])*(Producción_Ganadera[[#This Row],[Año Económico]]=Tipo_Cambio[Año])*(Tipo_Cambio[Actualización]))</f>
        <v>1.1950925686223111</v>
      </c>
      <c r="AN114" s="885">
        <f>IF(ISNUMBER(Producción_Ganadera[[#This Row],[Fecha Financiero]])=TRUE,MONTH(Producción_Ganadera[[#This Row],[Fecha Financiero]]),0)</f>
        <v>0</v>
      </c>
      <c r="AO114" s="885">
        <f>IF(ISNUMBER(Producción_Ganadera[[#This Row],[Fecha Financiero]])=TRUE,YEAR(Producción_Ganadera[[#This Row],[Fecha Financiero]]),0)</f>
        <v>0</v>
      </c>
      <c r="AP114" s="889">
        <f>SUMPRODUCT((Producción_Ganadera[[#This Row],[Mes Financiero]]=Tipo_Cambio[Mes])*(Producción_Ganadera[[#This Row],[Año Financiero]]=Tipo_Cambio[Año])*(Tipo_Cambio[$/U$S]))</f>
        <v>0</v>
      </c>
      <c r="AQ114" s="889">
        <f>SUMPRODUCT((Producción_Ganadera[[#This Row],[Mes Financiero]]=Tipo_Cambio[Mes])*(Producción_Ganadera[[#This Row],[Año Financiero]]=Tipo_Cambio[Año])*(Tipo_Cambio[Actualización]))</f>
        <v>0</v>
      </c>
      <c r="AR114" s="919">
        <f>SUMPRODUCT((Producción_Ganadera[[#This Row],[Centro de Costo]]=Tabla19[Centro de Costo])*(Tabla19[Superficie])*(Producción_Ganadera[[#This Row],[Campaña]]=Tabla19[Campaña]))</f>
        <v>0</v>
      </c>
      <c r="AS114" s="918">
        <f>IFERROR(Producción_Ganadera[[#This Row],[Económico $Corrientes]]/Producción_Ganadera[[#This Row],[Superficie]],0)</f>
        <v>0</v>
      </c>
      <c r="AT114" s="918">
        <f>IFERROR(Producción_Ganadera[[#This Row],[Económico $Constantes]]/Producción_Ganadera[[#This Row],[Superficie]],0)</f>
        <v>0</v>
      </c>
      <c r="AU114" s="918">
        <f>IFERROR(Producción_Ganadera[[#This Row],[Económico U$S Dólares]]/Producción_Ganadera[[#This Row],[Superficie]],0)</f>
        <v>0</v>
      </c>
      <c r="AV114" s="916" t="str">
        <f>IF(Económico!$F$4=0,0,Producción_Ganadera[[#This Row],[Centro de Costo]])</f>
        <v>Campo 1</v>
      </c>
    </row>
    <row r="115" spans="1:48" x14ac:dyDescent="0.25">
      <c r="A115" s="86"/>
      <c r="B115" s="377"/>
      <c r="C115" s="86"/>
      <c r="D115" s="478">
        <f>DATE(RIGHT(Producción_Ganadera[[#This Row],[Campaña]],4),4,1)</f>
        <v>43556</v>
      </c>
      <c r="E115" s="522"/>
      <c r="F115" s="869" t="str">
        <f t="shared" si="8"/>
        <v>2018-2019</v>
      </c>
      <c r="G115" s="491" t="str">
        <f>GAN_Entrada_C.CAtegoria</f>
        <v>Entrada C. Categoría</v>
      </c>
      <c r="H115" s="491" t="s">
        <v>2</v>
      </c>
      <c r="I115" s="491" t="s">
        <v>129</v>
      </c>
      <c r="J115" s="549"/>
      <c r="K115" s="491"/>
      <c r="L115" s="520">
        <f>L114</f>
        <v>0</v>
      </c>
      <c r="M11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1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15" s="611"/>
      <c r="P115" s="484"/>
      <c r="Q115" s="875">
        <f>IF(ISNUMBER(Producción_Ganadera[[#This Row],[Cabezas]])=TRUE,Producción_Ganadera[[#This Row],[Cabezas]]*Producción_Ganadera[[#This Row],[Cantidad]],Producción_Ganadera[[#This Row],[Cantidad]])</f>
        <v>0</v>
      </c>
      <c r="R115" s="482"/>
      <c r="S115" s="552"/>
      <c r="T115" s="553"/>
      <c r="U11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15" s="881">
        <f>IFERROR(Producción_Ganadera[[#This Row],[Económico $Corrientes]]/Producción_Ganadera[[#This Row],[Indexación Económico]],0)</f>
        <v>0</v>
      </c>
      <c r="W11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1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15" s="881">
        <f>IFERROR(Producción_Ganadera[[#This Row],[Financiero $Corrientes]]/Producción_Ganadera[[#This Row],[Indexación Financiero]],0)</f>
        <v>0</v>
      </c>
      <c r="Z11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1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15" s="885">
        <f>IFERROR(Producción_Ganadera[[#This Row],[Intereses $Corrientes]]/Producción_Ganadera[[#This Row],[Indexación Financiero]],0)</f>
        <v>0</v>
      </c>
      <c r="AC11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15" s="915" t="str">
        <f>IFERROR(INDEX(Produccion_Ganadera_Cuentas[],MATCH(Producción_Ganadera[[#This Row],[Cuenta Contable]],Produccion_Ganadera_Cuentas[Cuenta Contable],0),2),0)</f>
        <v>Mov. Hacienda</v>
      </c>
      <c r="AE115" s="916">
        <f>IF(Producción_Ganadera[[#This Row],[Mov. Stock]]="(+)",Producción_Ganadera[[#This Row],[Cabezas]],IF(Producción_Ganadera[[#This Row],[Mov. Stock]]="(-)",-Producción_Ganadera[[#This Row],[Cabezas]],0))</f>
        <v>0</v>
      </c>
      <c r="AF115" s="917" t="str">
        <f>IFERROR(INDEX(Produccion_Ganadera_Cuentas[],MATCH(Producción_Ganadera[[#This Row],[Cuenta Contable]],Produccion_Ganadera_Cuentas[Cuenta Contable],0),5),0)</f>
        <v>(+)</v>
      </c>
      <c r="AG115" s="918" t="str">
        <f>IF(Producción_Ganadera[[#This Row],[Cuenta Contable]]=Configuración!$AC$9,"Si","No")</f>
        <v>No</v>
      </c>
      <c r="AH115" s="887" t="str">
        <f>IFERROR(INDEX(Tabla9[],MATCH(Producción_Ganadera[[#This Row],[Movimiento]],Tabla9[Movimientos],0),2),0)</f>
        <v>No</v>
      </c>
      <c r="AI115" s="888">
        <f>IFERROR(INDEX(Tabla9[],MATCH(Producción_Ganadera[[#This Row],[Movimiento]],Tabla9[Movimientos],0),3),0)</f>
        <v>0</v>
      </c>
      <c r="AJ115" s="885">
        <f>IF(Producción_Ganadera[[#This Row],[Fecha Económico]]=0,0,MONTH(Producción_Ganadera[[#This Row],[Fecha Económico]]))</f>
        <v>4</v>
      </c>
      <c r="AK115" s="885">
        <f>IF(Producción_Ganadera[[#This Row],[Fecha Económico]]=0,0,YEAR(Producción_Ganadera[[#This Row],[Fecha Económico]]))</f>
        <v>2019</v>
      </c>
      <c r="AL115" s="889">
        <f>SUMPRODUCT((Producción_Ganadera[[#This Row],[Mes Económico]]=Tipo_Cambio[Mes])*(Producción_Ganadera[[#This Row],[Año Económico]]=Tipo_Cambio[Año])*(Tipo_Cambio[$/U$S]))</f>
        <v>24.061075999055937</v>
      </c>
      <c r="AM115" s="889">
        <f>SUMPRODUCT((Producción_Ganadera[[#This Row],[Mes Económico]]=Tipo_Cambio[Mes])*(Producción_Ganadera[[#This Row],[Año Económico]]=Tipo_Cambio[Año])*(Tipo_Cambio[Actualización]))</f>
        <v>1.1950925686223111</v>
      </c>
      <c r="AN115" s="885">
        <f>IF(ISNUMBER(Producción_Ganadera[[#This Row],[Fecha Financiero]])=TRUE,MONTH(Producción_Ganadera[[#This Row],[Fecha Financiero]]),0)</f>
        <v>0</v>
      </c>
      <c r="AO115" s="885">
        <f>IF(ISNUMBER(Producción_Ganadera[[#This Row],[Fecha Financiero]])=TRUE,YEAR(Producción_Ganadera[[#This Row],[Fecha Financiero]]),0)</f>
        <v>0</v>
      </c>
      <c r="AP115" s="889">
        <f>SUMPRODUCT((Producción_Ganadera[[#This Row],[Mes Financiero]]=Tipo_Cambio[Mes])*(Producción_Ganadera[[#This Row],[Año Financiero]]=Tipo_Cambio[Año])*(Tipo_Cambio[$/U$S]))</f>
        <v>0</v>
      </c>
      <c r="AQ115" s="889">
        <f>SUMPRODUCT((Producción_Ganadera[[#This Row],[Mes Financiero]]=Tipo_Cambio[Mes])*(Producción_Ganadera[[#This Row],[Año Financiero]]=Tipo_Cambio[Año])*(Tipo_Cambio[Actualización]))</f>
        <v>0</v>
      </c>
      <c r="AR115" s="919">
        <f>SUMPRODUCT((Producción_Ganadera[[#This Row],[Centro de Costo]]=Tabla19[Centro de Costo])*(Tabla19[Superficie])*(Producción_Ganadera[[#This Row],[Campaña]]=Tabla19[Campaña]))</f>
        <v>0</v>
      </c>
      <c r="AS115" s="918">
        <f>IFERROR(Producción_Ganadera[[#This Row],[Económico $Corrientes]]/Producción_Ganadera[[#This Row],[Superficie]],0)</f>
        <v>0</v>
      </c>
      <c r="AT115" s="918">
        <f>IFERROR(Producción_Ganadera[[#This Row],[Económico $Constantes]]/Producción_Ganadera[[#This Row],[Superficie]],0)</f>
        <v>0</v>
      </c>
      <c r="AU115" s="918">
        <f>IFERROR(Producción_Ganadera[[#This Row],[Económico U$S Dólares]]/Producción_Ganadera[[#This Row],[Superficie]],0)</f>
        <v>0</v>
      </c>
      <c r="AV115" s="916" t="str">
        <f>IF(Económico!$F$4=0,0,Producción_Ganadera[[#This Row],[Centro de Costo]])</f>
        <v>Campo 1</v>
      </c>
    </row>
    <row r="116" spans="1:48" x14ac:dyDescent="0.25">
      <c r="A116" s="86"/>
      <c r="B116" s="377"/>
      <c r="C116" s="86"/>
      <c r="D116" s="478">
        <f>DATE(RIGHT(Producción_Ganadera[[#This Row],[Campaña]],4),4,1)</f>
        <v>43556</v>
      </c>
      <c r="E116" s="522"/>
      <c r="F116" s="869" t="str">
        <f t="shared" si="8"/>
        <v>2018-2019</v>
      </c>
      <c r="G116" s="491" t="str">
        <f>GAN_Salida_C.Categoria</f>
        <v>Salida C. Categoría</v>
      </c>
      <c r="H116" s="491" t="s">
        <v>2</v>
      </c>
      <c r="I116" s="491" t="s">
        <v>129</v>
      </c>
      <c r="J116" s="549"/>
      <c r="K116" s="491"/>
      <c r="L116" s="520"/>
      <c r="M11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1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16" s="611"/>
      <c r="P116" s="484"/>
      <c r="Q116" s="875">
        <f>IF(ISNUMBER(Producción_Ganadera[[#This Row],[Cabezas]])=TRUE,Producción_Ganadera[[#This Row],[Cabezas]]*Producción_Ganadera[[#This Row],[Cantidad]],Producción_Ganadera[[#This Row],[Cantidad]])</f>
        <v>0</v>
      </c>
      <c r="R116" s="482"/>
      <c r="S116" s="552"/>
      <c r="T116" s="553"/>
      <c r="U11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16" s="881">
        <f>IFERROR(Producción_Ganadera[[#This Row],[Económico $Corrientes]]/Producción_Ganadera[[#This Row],[Indexación Económico]],0)</f>
        <v>0</v>
      </c>
      <c r="W11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1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16" s="881">
        <f>IFERROR(Producción_Ganadera[[#This Row],[Financiero $Corrientes]]/Producción_Ganadera[[#This Row],[Indexación Financiero]],0)</f>
        <v>0</v>
      </c>
      <c r="Z11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1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16" s="885">
        <f>IFERROR(Producción_Ganadera[[#This Row],[Intereses $Corrientes]]/Producción_Ganadera[[#This Row],[Indexación Financiero]],0)</f>
        <v>0</v>
      </c>
      <c r="AC11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16" s="915" t="str">
        <f>IFERROR(INDEX(Produccion_Ganadera_Cuentas[],MATCH(Producción_Ganadera[[#This Row],[Cuenta Contable]],Produccion_Ganadera_Cuentas[Cuenta Contable],0),2),0)</f>
        <v>Mov. Hacienda</v>
      </c>
      <c r="AE116" s="916">
        <f>IF(Producción_Ganadera[[#This Row],[Mov. Stock]]="(+)",Producción_Ganadera[[#This Row],[Cabezas]],IF(Producción_Ganadera[[#This Row],[Mov. Stock]]="(-)",-Producción_Ganadera[[#This Row],[Cabezas]],0))</f>
        <v>0</v>
      </c>
      <c r="AF116" s="917" t="str">
        <f>IFERROR(INDEX(Produccion_Ganadera_Cuentas[],MATCH(Producción_Ganadera[[#This Row],[Cuenta Contable]],Produccion_Ganadera_Cuentas[Cuenta Contable],0),5),0)</f>
        <v>(-)</v>
      </c>
      <c r="AG116" s="918" t="str">
        <f>IF(Producción_Ganadera[[#This Row],[Cuenta Contable]]=Configuración!$AC$9,"Si","No")</f>
        <v>No</v>
      </c>
      <c r="AH116" s="887" t="str">
        <f>IFERROR(INDEX(Tabla9[],MATCH(Producción_Ganadera[[#This Row],[Movimiento]],Tabla9[Movimientos],0),2),0)</f>
        <v>No</v>
      </c>
      <c r="AI116" s="888">
        <f>IFERROR(INDEX(Tabla9[],MATCH(Producción_Ganadera[[#This Row],[Movimiento]],Tabla9[Movimientos],0),3),0)</f>
        <v>0</v>
      </c>
      <c r="AJ116" s="885">
        <f>IF(Producción_Ganadera[[#This Row],[Fecha Económico]]=0,0,MONTH(Producción_Ganadera[[#This Row],[Fecha Económico]]))</f>
        <v>4</v>
      </c>
      <c r="AK116" s="885">
        <f>IF(Producción_Ganadera[[#This Row],[Fecha Económico]]=0,0,YEAR(Producción_Ganadera[[#This Row],[Fecha Económico]]))</f>
        <v>2019</v>
      </c>
      <c r="AL116" s="889">
        <f>SUMPRODUCT((Producción_Ganadera[[#This Row],[Mes Económico]]=Tipo_Cambio[Mes])*(Producción_Ganadera[[#This Row],[Año Económico]]=Tipo_Cambio[Año])*(Tipo_Cambio[$/U$S]))</f>
        <v>24.061075999055937</v>
      </c>
      <c r="AM116" s="889">
        <f>SUMPRODUCT((Producción_Ganadera[[#This Row],[Mes Económico]]=Tipo_Cambio[Mes])*(Producción_Ganadera[[#This Row],[Año Económico]]=Tipo_Cambio[Año])*(Tipo_Cambio[Actualización]))</f>
        <v>1.1950925686223111</v>
      </c>
      <c r="AN116" s="885">
        <f>IF(ISNUMBER(Producción_Ganadera[[#This Row],[Fecha Financiero]])=TRUE,MONTH(Producción_Ganadera[[#This Row],[Fecha Financiero]]),0)</f>
        <v>0</v>
      </c>
      <c r="AO116" s="885">
        <f>IF(ISNUMBER(Producción_Ganadera[[#This Row],[Fecha Financiero]])=TRUE,YEAR(Producción_Ganadera[[#This Row],[Fecha Financiero]]),0)</f>
        <v>0</v>
      </c>
      <c r="AP116" s="889">
        <f>SUMPRODUCT((Producción_Ganadera[[#This Row],[Mes Financiero]]=Tipo_Cambio[Mes])*(Producción_Ganadera[[#This Row],[Año Financiero]]=Tipo_Cambio[Año])*(Tipo_Cambio[$/U$S]))</f>
        <v>0</v>
      </c>
      <c r="AQ116" s="889">
        <f>SUMPRODUCT((Producción_Ganadera[[#This Row],[Mes Financiero]]=Tipo_Cambio[Mes])*(Producción_Ganadera[[#This Row],[Año Financiero]]=Tipo_Cambio[Año])*(Tipo_Cambio[Actualización]))</f>
        <v>0</v>
      </c>
      <c r="AR116" s="919">
        <f>SUMPRODUCT((Producción_Ganadera[[#This Row],[Centro de Costo]]=Tabla19[Centro de Costo])*(Tabla19[Superficie])*(Producción_Ganadera[[#This Row],[Campaña]]=Tabla19[Campaña]))</f>
        <v>0</v>
      </c>
      <c r="AS116" s="918">
        <f>IFERROR(Producción_Ganadera[[#This Row],[Económico $Corrientes]]/Producción_Ganadera[[#This Row],[Superficie]],0)</f>
        <v>0</v>
      </c>
      <c r="AT116" s="918">
        <f>IFERROR(Producción_Ganadera[[#This Row],[Económico $Constantes]]/Producción_Ganadera[[#This Row],[Superficie]],0)</f>
        <v>0</v>
      </c>
      <c r="AU116" s="918">
        <f>IFERROR(Producción_Ganadera[[#This Row],[Económico U$S Dólares]]/Producción_Ganadera[[#This Row],[Superficie]],0)</f>
        <v>0</v>
      </c>
      <c r="AV116" s="916" t="str">
        <f>IF(Económico!$F$4=0,0,Producción_Ganadera[[#This Row],[Centro de Costo]])</f>
        <v>Campo 1</v>
      </c>
    </row>
    <row r="117" spans="1:48" x14ac:dyDescent="0.25">
      <c r="A117" s="86"/>
      <c r="B117" s="377"/>
      <c r="C117" s="86"/>
      <c r="D117" s="478">
        <f>DATE(RIGHT(Producción_Ganadera[[#This Row],[Campaña]],4),4,1)</f>
        <v>43556</v>
      </c>
      <c r="E117" s="522"/>
      <c r="F117" s="869" t="str">
        <f t="shared" si="8"/>
        <v>2018-2019</v>
      </c>
      <c r="G117" s="491" t="str">
        <f>GAN_Entrada_C.CAtegoria</f>
        <v>Entrada C. Categoría</v>
      </c>
      <c r="H117" s="491" t="s">
        <v>2</v>
      </c>
      <c r="I117" s="491" t="s">
        <v>128</v>
      </c>
      <c r="J117" s="549"/>
      <c r="K117" s="491"/>
      <c r="L117" s="520">
        <f>L116</f>
        <v>0</v>
      </c>
      <c r="M11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1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17" s="611"/>
      <c r="P117" s="484"/>
      <c r="Q117" s="875">
        <f>IF(ISNUMBER(Producción_Ganadera[[#This Row],[Cabezas]])=TRUE,Producción_Ganadera[[#This Row],[Cabezas]]*Producción_Ganadera[[#This Row],[Cantidad]],Producción_Ganadera[[#This Row],[Cantidad]])</f>
        <v>0</v>
      </c>
      <c r="R117" s="482"/>
      <c r="S117" s="552"/>
      <c r="T117" s="553"/>
      <c r="U11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17" s="881">
        <f>IFERROR(Producción_Ganadera[[#This Row],[Económico $Corrientes]]/Producción_Ganadera[[#This Row],[Indexación Económico]],0)</f>
        <v>0</v>
      </c>
      <c r="W11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1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17" s="881">
        <f>IFERROR(Producción_Ganadera[[#This Row],[Financiero $Corrientes]]/Producción_Ganadera[[#This Row],[Indexación Financiero]],0)</f>
        <v>0</v>
      </c>
      <c r="Z11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1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17" s="885">
        <f>IFERROR(Producción_Ganadera[[#This Row],[Intereses $Corrientes]]/Producción_Ganadera[[#This Row],[Indexación Financiero]],0)</f>
        <v>0</v>
      </c>
      <c r="AC11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17" s="915" t="str">
        <f>IFERROR(INDEX(Produccion_Ganadera_Cuentas[],MATCH(Producción_Ganadera[[#This Row],[Cuenta Contable]],Produccion_Ganadera_Cuentas[Cuenta Contable],0),2),0)</f>
        <v>Mov. Hacienda</v>
      </c>
      <c r="AE117" s="916">
        <f>IF(Producción_Ganadera[[#This Row],[Mov. Stock]]="(+)",Producción_Ganadera[[#This Row],[Cabezas]],IF(Producción_Ganadera[[#This Row],[Mov. Stock]]="(-)",-Producción_Ganadera[[#This Row],[Cabezas]],0))</f>
        <v>0</v>
      </c>
      <c r="AF117" s="917" t="str">
        <f>IFERROR(INDEX(Produccion_Ganadera_Cuentas[],MATCH(Producción_Ganadera[[#This Row],[Cuenta Contable]],Produccion_Ganadera_Cuentas[Cuenta Contable],0),5),0)</f>
        <v>(+)</v>
      </c>
      <c r="AG117" s="918" t="str">
        <f>IF(Producción_Ganadera[[#This Row],[Cuenta Contable]]=Configuración!$AC$9,"Si","No")</f>
        <v>No</v>
      </c>
      <c r="AH117" s="887" t="str">
        <f>IFERROR(INDEX(Tabla9[],MATCH(Producción_Ganadera[[#This Row],[Movimiento]],Tabla9[Movimientos],0),2),0)</f>
        <v>No</v>
      </c>
      <c r="AI117" s="888">
        <f>IFERROR(INDEX(Tabla9[],MATCH(Producción_Ganadera[[#This Row],[Movimiento]],Tabla9[Movimientos],0),3),0)</f>
        <v>0</v>
      </c>
      <c r="AJ117" s="885">
        <f>IF(Producción_Ganadera[[#This Row],[Fecha Económico]]=0,0,MONTH(Producción_Ganadera[[#This Row],[Fecha Económico]]))</f>
        <v>4</v>
      </c>
      <c r="AK117" s="885">
        <f>IF(Producción_Ganadera[[#This Row],[Fecha Económico]]=0,0,YEAR(Producción_Ganadera[[#This Row],[Fecha Económico]]))</f>
        <v>2019</v>
      </c>
      <c r="AL117" s="889">
        <f>SUMPRODUCT((Producción_Ganadera[[#This Row],[Mes Económico]]=Tipo_Cambio[Mes])*(Producción_Ganadera[[#This Row],[Año Económico]]=Tipo_Cambio[Año])*(Tipo_Cambio[$/U$S]))</f>
        <v>24.061075999055937</v>
      </c>
      <c r="AM117" s="889">
        <f>SUMPRODUCT((Producción_Ganadera[[#This Row],[Mes Económico]]=Tipo_Cambio[Mes])*(Producción_Ganadera[[#This Row],[Año Económico]]=Tipo_Cambio[Año])*(Tipo_Cambio[Actualización]))</f>
        <v>1.1950925686223111</v>
      </c>
      <c r="AN117" s="885">
        <f>IF(ISNUMBER(Producción_Ganadera[[#This Row],[Fecha Financiero]])=TRUE,MONTH(Producción_Ganadera[[#This Row],[Fecha Financiero]]),0)</f>
        <v>0</v>
      </c>
      <c r="AO117" s="885">
        <f>IF(ISNUMBER(Producción_Ganadera[[#This Row],[Fecha Financiero]])=TRUE,YEAR(Producción_Ganadera[[#This Row],[Fecha Financiero]]),0)</f>
        <v>0</v>
      </c>
      <c r="AP117" s="889">
        <f>SUMPRODUCT((Producción_Ganadera[[#This Row],[Mes Financiero]]=Tipo_Cambio[Mes])*(Producción_Ganadera[[#This Row],[Año Financiero]]=Tipo_Cambio[Año])*(Tipo_Cambio[$/U$S]))</f>
        <v>0</v>
      </c>
      <c r="AQ117" s="889">
        <f>SUMPRODUCT((Producción_Ganadera[[#This Row],[Mes Financiero]]=Tipo_Cambio[Mes])*(Producción_Ganadera[[#This Row],[Año Financiero]]=Tipo_Cambio[Año])*(Tipo_Cambio[Actualización]))</f>
        <v>0</v>
      </c>
      <c r="AR117" s="919">
        <f>SUMPRODUCT((Producción_Ganadera[[#This Row],[Centro de Costo]]=Tabla19[Centro de Costo])*(Tabla19[Superficie])*(Producción_Ganadera[[#This Row],[Campaña]]=Tabla19[Campaña]))</f>
        <v>0</v>
      </c>
      <c r="AS117" s="918">
        <f>IFERROR(Producción_Ganadera[[#This Row],[Económico $Corrientes]]/Producción_Ganadera[[#This Row],[Superficie]],0)</f>
        <v>0</v>
      </c>
      <c r="AT117" s="918">
        <f>IFERROR(Producción_Ganadera[[#This Row],[Económico $Constantes]]/Producción_Ganadera[[#This Row],[Superficie]],0)</f>
        <v>0</v>
      </c>
      <c r="AU117" s="918">
        <f>IFERROR(Producción_Ganadera[[#This Row],[Económico U$S Dólares]]/Producción_Ganadera[[#This Row],[Superficie]],0)</f>
        <v>0</v>
      </c>
      <c r="AV117" s="916" t="str">
        <f>IF(Económico!$F$4=0,0,Producción_Ganadera[[#This Row],[Centro de Costo]])</f>
        <v>Campo 1</v>
      </c>
    </row>
    <row r="118" spans="1:48" x14ac:dyDescent="0.25">
      <c r="A118" s="86"/>
      <c r="B118" s="377"/>
      <c r="C118" s="86"/>
      <c r="D118" s="478">
        <f>DATE(RIGHT(Producción_Ganadera[[#This Row],[Campaña]],4),4,1)</f>
        <v>43556</v>
      </c>
      <c r="E118" s="522"/>
      <c r="F118" s="869" t="str">
        <f t="shared" si="8"/>
        <v>2018-2019</v>
      </c>
      <c r="G118" s="491" t="str">
        <f>GAN_Salida_C.Categoria</f>
        <v>Salida C. Categoría</v>
      </c>
      <c r="H118" s="491" t="s">
        <v>2</v>
      </c>
      <c r="I118" s="491" t="s">
        <v>128</v>
      </c>
      <c r="J118" s="549"/>
      <c r="K118" s="491"/>
      <c r="L118" s="520"/>
      <c r="M11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1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18" s="611"/>
      <c r="P118" s="484"/>
      <c r="Q118" s="875">
        <f>IF(ISNUMBER(Producción_Ganadera[[#This Row],[Cabezas]])=TRUE,Producción_Ganadera[[#This Row],[Cabezas]]*Producción_Ganadera[[#This Row],[Cantidad]],Producción_Ganadera[[#This Row],[Cantidad]])</f>
        <v>0</v>
      </c>
      <c r="R118" s="482"/>
      <c r="S118" s="552"/>
      <c r="T118" s="553"/>
      <c r="U11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18" s="881">
        <f>IFERROR(Producción_Ganadera[[#This Row],[Económico $Corrientes]]/Producción_Ganadera[[#This Row],[Indexación Económico]],0)</f>
        <v>0</v>
      </c>
      <c r="W11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1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18" s="881">
        <f>IFERROR(Producción_Ganadera[[#This Row],[Financiero $Corrientes]]/Producción_Ganadera[[#This Row],[Indexación Financiero]],0)</f>
        <v>0</v>
      </c>
      <c r="Z11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1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18" s="885">
        <f>IFERROR(Producción_Ganadera[[#This Row],[Intereses $Corrientes]]/Producción_Ganadera[[#This Row],[Indexación Financiero]],0)</f>
        <v>0</v>
      </c>
      <c r="AC11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18" s="915" t="str">
        <f>IFERROR(INDEX(Produccion_Ganadera_Cuentas[],MATCH(Producción_Ganadera[[#This Row],[Cuenta Contable]],Produccion_Ganadera_Cuentas[Cuenta Contable],0),2),0)</f>
        <v>Mov. Hacienda</v>
      </c>
      <c r="AE118" s="916">
        <f>IF(Producción_Ganadera[[#This Row],[Mov. Stock]]="(+)",Producción_Ganadera[[#This Row],[Cabezas]],IF(Producción_Ganadera[[#This Row],[Mov. Stock]]="(-)",-Producción_Ganadera[[#This Row],[Cabezas]],0))</f>
        <v>0</v>
      </c>
      <c r="AF118" s="917" t="str">
        <f>IFERROR(INDEX(Produccion_Ganadera_Cuentas[],MATCH(Producción_Ganadera[[#This Row],[Cuenta Contable]],Produccion_Ganadera_Cuentas[Cuenta Contable],0),5),0)</f>
        <v>(-)</v>
      </c>
      <c r="AG118" s="918" t="str">
        <f>IF(Producción_Ganadera[[#This Row],[Cuenta Contable]]=Configuración!$AC$9,"Si","No")</f>
        <v>No</v>
      </c>
      <c r="AH118" s="887" t="str">
        <f>IFERROR(INDEX(Tabla9[],MATCH(Producción_Ganadera[[#This Row],[Movimiento]],Tabla9[Movimientos],0),2),0)</f>
        <v>No</v>
      </c>
      <c r="AI118" s="888">
        <f>IFERROR(INDEX(Tabla9[],MATCH(Producción_Ganadera[[#This Row],[Movimiento]],Tabla9[Movimientos],0),3),0)</f>
        <v>0</v>
      </c>
      <c r="AJ118" s="885">
        <f>IF(Producción_Ganadera[[#This Row],[Fecha Económico]]=0,0,MONTH(Producción_Ganadera[[#This Row],[Fecha Económico]]))</f>
        <v>4</v>
      </c>
      <c r="AK118" s="885">
        <f>IF(Producción_Ganadera[[#This Row],[Fecha Económico]]=0,0,YEAR(Producción_Ganadera[[#This Row],[Fecha Económico]]))</f>
        <v>2019</v>
      </c>
      <c r="AL118" s="889">
        <f>SUMPRODUCT((Producción_Ganadera[[#This Row],[Mes Económico]]=Tipo_Cambio[Mes])*(Producción_Ganadera[[#This Row],[Año Económico]]=Tipo_Cambio[Año])*(Tipo_Cambio[$/U$S]))</f>
        <v>24.061075999055937</v>
      </c>
      <c r="AM118" s="889">
        <f>SUMPRODUCT((Producción_Ganadera[[#This Row],[Mes Económico]]=Tipo_Cambio[Mes])*(Producción_Ganadera[[#This Row],[Año Económico]]=Tipo_Cambio[Año])*(Tipo_Cambio[Actualización]))</f>
        <v>1.1950925686223111</v>
      </c>
      <c r="AN118" s="885">
        <f>IF(ISNUMBER(Producción_Ganadera[[#This Row],[Fecha Financiero]])=TRUE,MONTH(Producción_Ganadera[[#This Row],[Fecha Financiero]]),0)</f>
        <v>0</v>
      </c>
      <c r="AO118" s="885">
        <f>IF(ISNUMBER(Producción_Ganadera[[#This Row],[Fecha Financiero]])=TRUE,YEAR(Producción_Ganadera[[#This Row],[Fecha Financiero]]),0)</f>
        <v>0</v>
      </c>
      <c r="AP118" s="889">
        <f>SUMPRODUCT((Producción_Ganadera[[#This Row],[Mes Financiero]]=Tipo_Cambio[Mes])*(Producción_Ganadera[[#This Row],[Año Financiero]]=Tipo_Cambio[Año])*(Tipo_Cambio[$/U$S]))</f>
        <v>0</v>
      </c>
      <c r="AQ118" s="889">
        <f>SUMPRODUCT((Producción_Ganadera[[#This Row],[Mes Financiero]]=Tipo_Cambio[Mes])*(Producción_Ganadera[[#This Row],[Año Financiero]]=Tipo_Cambio[Año])*(Tipo_Cambio[Actualización]))</f>
        <v>0</v>
      </c>
      <c r="AR118" s="919">
        <f>SUMPRODUCT((Producción_Ganadera[[#This Row],[Centro de Costo]]=Tabla19[Centro de Costo])*(Tabla19[Superficie])*(Producción_Ganadera[[#This Row],[Campaña]]=Tabla19[Campaña]))</f>
        <v>0</v>
      </c>
      <c r="AS118" s="918">
        <f>IFERROR(Producción_Ganadera[[#This Row],[Económico $Corrientes]]/Producción_Ganadera[[#This Row],[Superficie]],0)</f>
        <v>0</v>
      </c>
      <c r="AT118" s="918">
        <f>IFERROR(Producción_Ganadera[[#This Row],[Económico $Constantes]]/Producción_Ganadera[[#This Row],[Superficie]],0)</f>
        <v>0</v>
      </c>
      <c r="AU118" s="918">
        <f>IFERROR(Producción_Ganadera[[#This Row],[Económico U$S Dólares]]/Producción_Ganadera[[#This Row],[Superficie]],0)</f>
        <v>0</v>
      </c>
      <c r="AV118" s="916" t="str">
        <f>IF(Económico!$F$4=0,0,Producción_Ganadera[[#This Row],[Centro de Costo]])</f>
        <v>Campo 1</v>
      </c>
    </row>
    <row r="119" spans="1:48" x14ac:dyDescent="0.25">
      <c r="A119" s="86"/>
      <c r="B119" s="377"/>
      <c r="C119" s="86"/>
      <c r="D119" s="478">
        <f>DATE(RIGHT(Producción_Ganadera[[#This Row],[Campaña]],4),4,1)</f>
        <v>43556</v>
      </c>
      <c r="E119" s="522"/>
      <c r="F119" s="869" t="str">
        <f t="shared" si="8"/>
        <v>2018-2019</v>
      </c>
      <c r="G119" s="491" t="str">
        <f>GAN_Entrada_C.CAtegoria</f>
        <v>Entrada C. Categoría</v>
      </c>
      <c r="H119" s="491" t="s">
        <v>2</v>
      </c>
      <c r="I119" s="491" t="s">
        <v>221</v>
      </c>
      <c r="J119" s="549"/>
      <c r="K119" s="491"/>
      <c r="L119" s="520">
        <f>L118</f>
        <v>0</v>
      </c>
      <c r="M11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1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19" s="611"/>
      <c r="P119" s="484"/>
      <c r="Q119" s="875">
        <f>IF(ISNUMBER(Producción_Ganadera[[#This Row],[Cabezas]])=TRUE,Producción_Ganadera[[#This Row],[Cabezas]]*Producción_Ganadera[[#This Row],[Cantidad]],Producción_Ganadera[[#This Row],[Cantidad]])</f>
        <v>0</v>
      </c>
      <c r="R119" s="482"/>
      <c r="S119" s="552"/>
      <c r="T119" s="553"/>
      <c r="U11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19" s="881">
        <f>IFERROR(Producción_Ganadera[[#This Row],[Económico $Corrientes]]/Producción_Ganadera[[#This Row],[Indexación Económico]],0)</f>
        <v>0</v>
      </c>
      <c r="W11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1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19" s="881">
        <f>IFERROR(Producción_Ganadera[[#This Row],[Financiero $Corrientes]]/Producción_Ganadera[[#This Row],[Indexación Financiero]],0)</f>
        <v>0</v>
      </c>
      <c r="Z11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1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19" s="885">
        <f>IFERROR(Producción_Ganadera[[#This Row],[Intereses $Corrientes]]/Producción_Ganadera[[#This Row],[Indexación Financiero]],0)</f>
        <v>0</v>
      </c>
      <c r="AC11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19" s="915" t="str">
        <f>IFERROR(INDEX(Produccion_Ganadera_Cuentas[],MATCH(Producción_Ganadera[[#This Row],[Cuenta Contable]],Produccion_Ganadera_Cuentas[Cuenta Contable],0),2),0)</f>
        <v>Mov. Hacienda</v>
      </c>
      <c r="AE119" s="916">
        <f>IF(Producción_Ganadera[[#This Row],[Mov. Stock]]="(+)",Producción_Ganadera[[#This Row],[Cabezas]],IF(Producción_Ganadera[[#This Row],[Mov. Stock]]="(-)",-Producción_Ganadera[[#This Row],[Cabezas]],0))</f>
        <v>0</v>
      </c>
      <c r="AF119" s="917" t="str">
        <f>IFERROR(INDEX(Produccion_Ganadera_Cuentas[],MATCH(Producción_Ganadera[[#This Row],[Cuenta Contable]],Produccion_Ganadera_Cuentas[Cuenta Contable],0),5),0)</f>
        <v>(+)</v>
      </c>
      <c r="AG119" s="918" t="str">
        <f>IF(Producción_Ganadera[[#This Row],[Cuenta Contable]]=Configuración!$AC$9,"Si","No")</f>
        <v>No</v>
      </c>
      <c r="AH119" s="887" t="str">
        <f>IFERROR(INDEX(Tabla9[],MATCH(Producción_Ganadera[[#This Row],[Movimiento]],Tabla9[Movimientos],0),2),0)</f>
        <v>No</v>
      </c>
      <c r="AI119" s="888">
        <f>IFERROR(INDEX(Tabla9[],MATCH(Producción_Ganadera[[#This Row],[Movimiento]],Tabla9[Movimientos],0),3),0)</f>
        <v>0</v>
      </c>
      <c r="AJ119" s="885">
        <f>IF(Producción_Ganadera[[#This Row],[Fecha Económico]]=0,0,MONTH(Producción_Ganadera[[#This Row],[Fecha Económico]]))</f>
        <v>4</v>
      </c>
      <c r="AK119" s="885">
        <f>IF(Producción_Ganadera[[#This Row],[Fecha Económico]]=0,0,YEAR(Producción_Ganadera[[#This Row],[Fecha Económico]]))</f>
        <v>2019</v>
      </c>
      <c r="AL119" s="889">
        <f>SUMPRODUCT((Producción_Ganadera[[#This Row],[Mes Económico]]=Tipo_Cambio[Mes])*(Producción_Ganadera[[#This Row],[Año Económico]]=Tipo_Cambio[Año])*(Tipo_Cambio[$/U$S]))</f>
        <v>24.061075999055937</v>
      </c>
      <c r="AM119" s="889">
        <f>SUMPRODUCT((Producción_Ganadera[[#This Row],[Mes Económico]]=Tipo_Cambio[Mes])*(Producción_Ganadera[[#This Row],[Año Económico]]=Tipo_Cambio[Año])*(Tipo_Cambio[Actualización]))</f>
        <v>1.1950925686223111</v>
      </c>
      <c r="AN119" s="885">
        <f>IF(ISNUMBER(Producción_Ganadera[[#This Row],[Fecha Financiero]])=TRUE,MONTH(Producción_Ganadera[[#This Row],[Fecha Financiero]]),0)</f>
        <v>0</v>
      </c>
      <c r="AO119" s="885">
        <f>IF(ISNUMBER(Producción_Ganadera[[#This Row],[Fecha Financiero]])=TRUE,YEAR(Producción_Ganadera[[#This Row],[Fecha Financiero]]),0)</f>
        <v>0</v>
      </c>
      <c r="AP119" s="889">
        <f>SUMPRODUCT((Producción_Ganadera[[#This Row],[Mes Financiero]]=Tipo_Cambio[Mes])*(Producción_Ganadera[[#This Row],[Año Financiero]]=Tipo_Cambio[Año])*(Tipo_Cambio[$/U$S]))</f>
        <v>0</v>
      </c>
      <c r="AQ119" s="889">
        <f>SUMPRODUCT((Producción_Ganadera[[#This Row],[Mes Financiero]]=Tipo_Cambio[Mes])*(Producción_Ganadera[[#This Row],[Año Financiero]]=Tipo_Cambio[Año])*(Tipo_Cambio[Actualización]))</f>
        <v>0</v>
      </c>
      <c r="AR119" s="919">
        <f>SUMPRODUCT((Producción_Ganadera[[#This Row],[Centro de Costo]]=Tabla19[Centro de Costo])*(Tabla19[Superficie])*(Producción_Ganadera[[#This Row],[Campaña]]=Tabla19[Campaña]))</f>
        <v>0</v>
      </c>
      <c r="AS119" s="918">
        <f>IFERROR(Producción_Ganadera[[#This Row],[Económico $Corrientes]]/Producción_Ganadera[[#This Row],[Superficie]],0)</f>
        <v>0</v>
      </c>
      <c r="AT119" s="918">
        <f>IFERROR(Producción_Ganadera[[#This Row],[Económico $Constantes]]/Producción_Ganadera[[#This Row],[Superficie]],0)</f>
        <v>0</v>
      </c>
      <c r="AU119" s="918">
        <f>IFERROR(Producción_Ganadera[[#This Row],[Económico U$S Dólares]]/Producción_Ganadera[[#This Row],[Superficie]],0)</f>
        <v>0</v>
      </c>
      <c r="AV119" s="916" t="str">
        <f>IF(Económico!$F$4=0,0,Producción_Ganadera[[#This Row],[Centro de Costo]])</f>
        <v>Campo 1</v>
      </c>
    </row>
    <row r="120" spans="1:48" x14ac:dyDescent="0.25">
      <c r="A120" s="86"/>
      <c r="B120" s="377"/>
      <c r="C120" s="86"/>
      <c r="D120" s="478">
        <f>DATE(RIGHT(Producción_Ganadera[[#This Row],[Campaña]],4),4,1)</f>
        <v>43556</v>
      </c>
      <c r="E120" s="522"/>
      <c r="F120" s="869" t="str">
        <f t="shared" si="8"/>
        <v>2018-2019</v>
      </c>
      <c r="G120" s="491" t="str">
        <f>GAN_Salida_C.Categoria</f>
        <v>Salida C. Categoría</v>
      </c>
      <c r="H120" s="491" t="s">
        <v>2</v>
      </c>
      <c r="I120" s="491" t="s">
        <v>128</v>
      </c>
      <c r="J120" s="549"/>
      <c r="K120" s="491"/>
      <c r="L120" s="520"/>
      <c r="M12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2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20" s="611"/>
      <c r="P120" s="484"/>
      <c r="Q120" s="875">
        <f>IF(ISNUMBER(Producción_Ganadera[[#This Row],[Cabezas]])=TRUE,Producción_Ganadera[[#This Row],[Cabezas]]*Producción_Ganadera[[#This Row],[Cantidad]],Producción_Ganadera[[#This Row],[Cantidad]])</f>
        <v>0</v>
      </c>
      <c r="R120" s="482"/>
      <c r="S120" s="552"/>
      <c r="T120" s="553"/>
      <c r="U12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20" s="881">
        <f>IFERROR(Producción_Ganadera[[#This Row],[Económico $Corrientes]]/Producción_Ganadera[[#This Row],[Indexación Económico]],0)</f>
        <v>0</v>
      </c>
      <c r="W12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2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20" s="881">
        <f>IFERROR(Producción_Ganadera[[#This Row],[Financiero $Corrientes]]/Producción_Ganadera[[#This Row],[Indexación Financiero]],0)</f>
        <v>0</v>
      </c>
      <c r="Z12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2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20" s="885">
        <f>IFERROR(Producción_Ganadera[[#This Row],[Intereses $Corrientes]]/Producción_Ganadera[[#This Row],[Indexación Financiero]],0)</f>
        <v>0</v>
      </c>
      <c r="AC12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20" s="915" t="str">
        <f>IFERROR(INDEX(Produccion_Ganadera_Cuentas[],MATCH(Producción_Ganadera[[#This Row],[Cuenta Contable]],Produccion_Ganadera_Cuentas[Cuenta Contable],0),2),0)</f>
        <v>Mov. Hacienda</v>
      </c>
      <c r="AE120" s="916">
        <f>IF(Producción_Ganadera[[#This Row],[Mov. Stock]]="(+)",Producción_Ganadera[[#This Row],[Cabezas]],IF(Producción_Ganadera[[#This Row],[Mov. Stock]]="(-)",-Producción_Ganadera[[#This Row],[Cabezas]],0))</f>
        <v>0</v>
      </c>
      <c r="AF120" s="917" t="str">
        <f>IFERROR(INDEX(Produccion_Ganadera_Cuentas[],MATCH(Producción_Ganadera[[#This Row],[Cuenta Contable]],Produccion_Ganadera_Cuentas[Cuenta Contable],0),5),0)</f>
        <v>(-)</v>
      </c>
      <c r="AG120" s="918" t="str">
        <f>IF(Producción_Ganadera[[#This Row],[Cuenta Contable]]=Configuración!$AC$9,"Si","No")</f>
        <v>No</v>
      </c>
      <c r="AH120" s="887" t="str">
        <f>IFERROR(INDEX(Tabla9[],MATCH(Producción_Ganadera[[#This Row],[Movimiento]],Tabla9[Movimientos],0),2),0)</f>
        <v>No</v>
      </c>
      <c r="AI120" s="888">
        <f>IFERROR(INDEX(Tabla9[],MATCH(Producción_Ganadera[[#This Row],[Movimiento]],Tabla9[Movimientos],0),3),0)</f>
        <v>0</v>
      </c>
      <c r="AJ120" s="885">
        <f>IF(Producción_Ganadera[[#This Row],[Fecha Económico]]=0,0,MONTH(Producción_Ganadera[[#This Row],[Fecha Económico]]))</f>
        <v>4</v>
      </c>
      <c r="AK120" s="885">
        <f>IF(Producción_Ganadera[[#This Row],[Fecha Económico]]=0,0,YEAR(Producción_Ganadera[[#This Row],[Fecha Económico]]))</f>
        <v>2019</v>
      </c>
      <c r="AL120" s="889">
        <f>SUMPRODUCT((Producción_Ganadera[[#This Row],[Mes Económico]]=Tipo_Cambio[Mes])*(Producción_Ganadera[[#This Row],[Año Económico]]=Tipo_Cambio[Año])*(Tipo_Cambio[$/U$S]))</f>
        <v>24.061075999055937</v>
      </c>
      <c r="AM120" s="889">
        <f>SUMPRODUCT((Producción_Ganadera[[#This Row],[Mes Económico]]=Tipo_Cambio[Mes])*(Producción_Ganadera[[#This Row],[Año Económico]]=Tipo_Cambio[Año])*(Tipo_Cambio[Actualización]))</f>
        <v>1.1950925686223111</v>
      </c>
      <c r="AN120" s="885">
        <f>IF(ISNUMBER(Producción_Ganadera[[#This Row],[Fecha Financiero]])=TRUE,MONTH(Producción_Ganadera[[#This Row],[Fecha Financiero]]),0)</f>
        <v>0</v>
      </c>
      <c r="AO120" s="885">
        <f>IF(ISNUMBER(Producción_Ganadera[[#This Row],[Fecha Financiero]])=TRUE,YEAR(Producción_Ganadera[[#This Row],[Fecha Financiero]]),0)</f>
        <v>0</v>
      </c>
      <c r="AP120" s="889">
        <f>SUMPRODUCT((Producción_Ganadera[[#This Row],[Mes Financiero]]=Tipo_Cambio[Mes])*(Producción_Ganadera[[#This Row],[Año Financiero]]=Tipo_Cambio[Año])*(Tipo_Cambio[$/U$S]))</f>
        <v>0</v>
      </c>
      <c r="AQ120" s="889">
        <f>SUMPRODUCT((Producción_Ganadera[[#This Row],[Mes Financiero]]=Tipo_Cambio[Mes])*(Producción_Ganadera[[#This Row],[Año Financiero]]=Tipo_Cambio[Año])*(Tipo_Cambio[Actualización]))</f>
        <v>0</v>
      </c>
      <c r="AR120" s="919">
        <f>SUMPRODUCT((Producción_Ganadera[[#This Row],[Centro de Costo]]=Tabla19[Centro de Costo])*(Tabla19[Superficie])*(Producción_Ganadera[[#This Row],[Campaña]]=Tabla19[Campaña]))</f>
        <v>0</v>
      </c>
      <c r="AS120" s="918">
        <f>IFERROR(Producción_Ganadera[[#This Row],[Económico $Corrientes]]/Producción_Ganadera[[#This Row],[Superficie]],0)</f>
        <v>0</v>
      </c>
      <c r="AT120" s="918">
        <f>IFERROR(Producción_Ganadera[[#This Row],[Económico $Constantes]]/Producción_Ganadera[[#This Row],[Superficie]],0)</f>
        <v>0</v>
      </c>
      <c r="AU120" s="918">
        <f>IFERROR(Producción_Ganadera[[#This Row],[Económico U$S Dólares]]/Producción_Ganadera[[#This Row],[Superficie]],0)</f>
        <v>0</v>
      </c>
      <c r="AV120" s="916" t="str">
        <f>IF(Económico!$F$4=0,0,Producción_Ganadera[[#This Row],[Centro de Costo]])</f>
        <v>Campo 1</v>
      </c>
    </row>
    <row r="121" spans="1:48" x14ac:dyDescent="0.25">
      <c r="A121" s="86"/>
      <c r="B121" s="377"/>
      <c r="C121" s="86"/>
      <c r="D121" s="478">
        <f>DATE(RIGHT(Producción_Ganadera[[#This Row],[Campaña]],4),4,1)</f>
        <v>43556</v>
      </c>
      <c r="E121" s="522"/>
      <c r="F121" s="869" t="str">
        <f t="shared" si="8"/>
        <v>2018-2019</v>
      </c>
      <c r="G121" s="491" t="str">
        <f>GAN_Entrada_C.CAtegoria</f>
        <v>Entrada C. Categoría</v>
      </c>
      <c r="H121" s="491" t="s">
        <v>2</v>
      </c>
      <c r="I121" s="491" t="s">
        <v>132</v>
      </c>
      <c r="J121" s="549"/>
      <c r="K121" s="491"/>
      <c r="L121" s="520">
        <f>L120</f>
        <v>0</v>
      </c>
      <c r="M12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2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21" s="611"/>
      <c r="P121" s="484"/>
      <c r="Q121" s="875">
        <f>IF(ISNUMBER(Producción_Ganadera[[#This Row],[Cabezas]])=TRUE,Producción_Ganadera[[#This Row],[Cabezas]]*Producción_Ganadera[[#This Row],[Cantidad]],Producción_Ganadera[[#This Row],[Cantidad]])</f>
        <v>0</v>
      </c>
      <c r="R121" s="482"/>
      <c r="S121" s="552"/>
      <c r="T121" s="553"/>
      <c r="U12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21" s="881">
        <f>IFERROR(Producción_Ganadera[[#This Row],[Económico $Corrientes]]/Producción_Ganadera[[#This Row],[Indexación Económico]],0)</f>
        <v>0</v>
      </c>
      <c r="W12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2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21" s="881">
        <f>IFERROR(Producción_Ganadera[[#This Row],[Financiero $Corrientes]]/Producción_Ganadera[[#This Row],[Indexación Financiero]],0)</f>
        <v>0</v>
      </c>
      <c r="Z12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2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21" s="885">
        <f>IFERROR(Producción_Ganadera[[#This Row],[Intereses $Corrientes]]/Producción_Ganadera[[#This Row],[Indexación Financiero]],0)</f>
        <v>0</v>
      </c>
      <c r="AC12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21" s="915" t="str">
        <f>IFERROR(INDEX(Produccion_Ganadera_Cuentas[],MATCH(Producción_Ganadera[[#This Row],[Cuenta Contable]],Produccion_Ganadera_Cuentas[Cuenta Contable],0),2),0)</f>
        <v>Mov. Hacienda</v>
      </c>
      <c r="AE121" s="916">
        <f>IF(Producción_Ganadera[[#This Row],[Mov. Stock]]="(+)",Producción_Ganadera[[#This Row],[Cabezas]],IF(Producción_Ganadera[[#This Row],[Mov. Stock]]="(-)",-Producción_Ganadera[[#This Row],[Cabezas]],0))</f>
        <v>0</v>
      </c>
      <c r="AF121" s="917" t="str">
        <f>IFERROR(INDEX(Produccion_Ganadera_Cuentas[],MATCH(Producción_Ganadera[[#This Row],[Cuenta Contable]],Produccion_Ganadera_Cuentas[Cuenta Contable],0),5),0)</f>
        <v>(+)</v>
      </c>
      <c r="AG121" s="918" t="str">
        <f>IF(Producción_Ganadera[[#This Row],[Cuenta Contable]]=Configuración!$AC$9,"Si","No")</f>
        <v>No</v>
      </c>
      <c r="AH121" s="887" t="str">
        <f>IFERROR(INDEX(Tabla9[],MATCH(Producción_Ganadera[[#This Row],[Movimiento]],Tabla9[Movimientos],0),2),0)</f>
        <v>No</v>
      </c>
      <c r="AI121" s="888">
        <f>IFERROR(INDEX(Tabla9[],MATCH(Producción_Ganadera[[#This Row],[Movimiento]],Tabla9[Movimientos],0),3),0)</f>
        <v>0</v>
      </c>
      <c r="AJ121" s="885">
        <f>IF(Producción_Ganadera[[#This Row],[Fecha Económico]]=0,0,MONTH(Producción_Ganadera[[#This Row],[Fecha Económico]]))</f>
        <v>4</v>
      </c>
      <c r="AK121" s="885">
        <f>IF(Producción_Ganadera[[#This Row],[Fecha Económico]]=0,0,YEAR(Producción_Ganadera[[#This Row],[Fecha Económico]]))</f>
        <v>2019</v>
      </c>
      <c r="AL121" s="889">
        <f>SUMPRODUCT((Producción_Ganadera[[#This Row],[Mes Económico]]=Tipo_Cambio[Mes])*(Producción_Ganadera[[#This Row],[Año Económico]]=Tipo_Cambio[Año])*(Tipo_Cambio[$/U$S]))</f>
        <v>24.061075999055937</v>
      </c>
      <c r="AM121" s="889">
        <f>SUMPRODUCT((Producción_Ganadera[[#This Row],[Mes Económico]]=Tipo_Cambio[Mes])*(Producción_Ganadera[[#This Row],[Año Económico]]=Tipo_Cambio[Año])*(Tipo_Cambio[Actualización]))</f>
        <v>1.1950925686223111</v>
      </c>
      <c r="AN121" s="885">
        <f>IF(ISNUMBER(Producción_Ganadera[[#This Row],[Fecha Financiero]])=TRUE,MONTH(Producción_Ganadera[[#This Row],[Fecha Financiero]]),0)</f>
        <v>0</v>
      </c>
      <c r="AO121" s="885">
        <f>IF(ISNUMBER(Producción_Ganadera[[#This Row],[Fecha Financiero]])=TRUE,YEAR(Producción_Ganadera[[#This Row],[Fecha Financiero]]),0)</f>
        <v>0</v>
      </c>
      <c r="AP121" s="889">
        <f>SUMPRODUCT((Producción_Ganadera[[#This Row],[Mes Financiero]]=Tipo_Cambio[Mes])*(Producción_Ganadera[[#This Row],[Año Financiero]]=Tipo_Cambio[Año])*(Tipo_Cambio[$/U$S]))</f>
        <v>0</v>
      </c>
      <c r="AQ121" s="889">
        <f>SUMPRODUCT((Producción_Ganadera[[#This Row],[Mes Financiero]]=Tipo_Cambio[Mes])*(Producción_Ganadera[[#This Row],[Año Financiero]]=Tipo_Cambio[Año])*(Tipo_Cambio[Actualización]))</f>
        <v>0</v>
      </c>
      <c r="AR121" s="919">
        <f>SUMPRODUCT((Producción_Ganadera[[#This Row],[Centro de Costo]]=Tabla19[Centro de Costo])*(Tabla19[Superficie])*(Producción_Ganadera[[#This Row],[Campaña]]=Tabla19[Campaña]))</f>
        <v>0</v>
      </c>
      <c r="AS121" s="918">
        <f>IFERROR(Producción_Ganadera[[#This Row],[Económico $Corrientes]]/Producción_Ganadera[[#This Row],[Superficie]],0)</f>
        <v>0</v>
      </c>
      <c r="AT121" s="918">
        <f>IFERROR(Producción_Ganadera[[#This Row],[Económico $Constantes]]/Producción_Ganadera[[#This Row],[Superficie]],0)</f>
        <v>0</v>
      </c>
      <c r="AU121" s="918">
        <f>IFERROR(Producción_Ganadera[[#This Row],[Económico U$S Dólares]]/Producción_Ganadera[[#This Row],[Superficie]],0)</f>
        <v>0</v>
      </c>
      <c r="AV121" s="916" t="str">
        <f>IF(Económico!$F$4=0,0,Producción_Ganadera[[#This Row],[Centro de Costo]])</f>
        <v>Campo 1</v>
      </c>
    </row>
    <row r="122" spans="1:48" x14ac:dyDescent="0.25">
      <c r="A122" s="86"/>
      <c r="B122" s="377"/>
      <c r="C122" s="86"/>
      <c r="D122" s="478">
        <f>DATE(RIGHT(Producción_Ganadera[[#This Row],[Campaña]],4),4,1)</f>
        <v>43556</v>
      </c>
      <c r="E122" s="522"/>
      <c r="F122" s="869" t="str">
        <f t="shared" si="8"/>
        <v>2018-2019</v>
      </c>
      <c r="G122" s="491" t="str">
        <f>GAN_Salida_C.Categoria</f>
        <v>Salida C. Categoría</v>
      </c>
      <c r="H122" s="491" t="s">
        <v>2</v>
      </c>
      <c r="I122" s="491" t="s">
        <v>131</v>
      </c>
      <c r="J122" s="549"/>
      <c r="K122" s="491"/>
      <c r="L122" s="520"/>
      <c r="M12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2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22" s="611"/>
      <c r="P122" s="484"/>
      <c r="Q122" s="875">
        <f>IF(ISNUMBER(Producción_Ganadera[[#This Row],[Cabezas]])=TRUE,Producción_Ganadera[[#This Row],[Cabezas]]*Producción_Ganadera[[#This Row],[Cantidad]],Producción_Ganadera[[#This Row],[Cantidad]])</f>
        <v>0</v>
      </c>
      <c r="R122" s="482"/>
      <c r="S122" s="552"/>
      <c r="T122" s="553"/>
      <c r="U12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22" s="881">
        <f>IFERROR(Producción_Ganadera[[#This Row],[Económico $Corrientes]]/Producción_Ganadera[[#This Row],[Indexación Económico]],0)</f>
        <v>0</v>
      </c>
      <c r="W12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2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22" s="881">
        <f>IFERROR(Producción_Ganadera[[#This Row],[Financiero $Corrientes]]/Producción_Ganadera[[#This Row],[Indexación Financiero]],0)</f>
        <v>0</v>
      </c>
      <c r="Z12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2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22" s="885">
        <f>IFERROR(Producción_Ganadera[[#This Row],[Intereses $Corrientes]]/Producción_Ganadera[[#This Row],[Indexación Financiero]],0)</f>
        <v>0</v>
      </c>
      <c r="AC12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22" s="915" t="str">
        <f>IFERROR(INDEX(Produccion_Ganadera_Cuentas[],MATCH(Producción_Ganadera[[#This Row],[Cuenta Contable]],Produccion_Ganadera_Cuentas[Cuenta Contable],0),2),0)</f>
        <v>Mov. Hacienda</v>
      </c>
      <c r="AE122" s="916">
        <f>IF(Producción_Ganadera[[#This Row],[Mov. Stock]]="(+)",Producción_Ganadera[[#This Row],[Cabezas]],IF(Producción_Ganadera[[#This Row],[Mov. Stock]]="(-)",-Producción_Ganadera[[#This Row],[Cabezas]],0))</f>
        <v>0</v>
      </c>
      <c r="AF122" s="917" t="str">
        <f>IFERROR(INDEX(Produccion_Ganadera_Cuentas[],MATCH(Producción_Ganadera[[#This Row],[Cuenta Contable]],Produccion_Ganadera_Cuentas[Cuenta Contable],0),5),0)</f>
        <v>(-)</v>
      </c>
      <c r="AG122" s="918" t="str">
        <f>IF(Producción_Ganadera[[#This Row],[Cuenta Contable]]=Configuración!$AC$9,"Si","No")</f>
        <v>No</v>
      </c>
      <c r="AH122" s="887" t="str">
        <f>IFERROR(INDEX(Tabla9[],MATCH(Producción_Ganadera[[#This Row],[Movimiento]],Tabla9[Movimientos],0),2),0)</f>
        <v>No</v>
      </c>
      <c r="AI122" s="888">
        <f>IFERROR(INDEX(Tabla9[],MATCH(Producción_Ganadera[[#This Row],[Movimiento]],Tabla9[Movimientos],0),3),0)</f>
        <v>0</v>
      </c>
      <c r="AJ122" s="885">
        <f>IF(Producción_Ganadera[[#This Row],[Fecha Económico]]=0,0,MONTH(Producción_Ganadera[[#This Row],[Fecha Económico]]))</f>
        <v>4</v>
      </c>
      <c r="AK122" s="885">
        <f>IF(Producción_Ganadera[[#This Row],[Fecha Económico]]=0,0,YEAR(Producción_Ganadera[[#This Row],[Fecha Económico]]))</f>
        <v>2019</v>
      </c>
      <c r="AL122" s="889">
        <f>SUMPRODUCT((Producción_Ganadera[[#This Row],[Mes Económico]]=Tipo_Cambio[Mes])*(Producción_Ganadera[[#This Row],[Año Económico]]=Tipo_Cambio[Año])*(Tipo_Cambio[$/U$S]))</f>
        <v>24.061075999055937</v>
      </c>
      <c r="AM122" s="889">
        <f>SUMPRODUCT((Producción_Ganadera[[#This Row],[Mes Económico]]=Tipo_Cambio[Mes])*(Producción_Ganadera[[#This Row],[Año Económico]]=Tipo_Cambio[Año])*(Tipo_Cambio[Actualización]))</f>
        <v>1.1950925686223111</v>
      </c>
      <c r="AN122" s="885">
        <f>IF(ISNUMBER(Producción_Ganadera[[#This Row],[Fecha Financiero]])=TRUE,MONTH(Producción_Ganadera[[#This Row],[Fecha Financiero]]),0)</f>
        <v>0</v>
      </c>
      <c r="AO122" s="885">
        <f>IF(ISNUMBER(Producción_Ganadera[[#This Row],[Fecha Financiero]])=TRUE,YEAR(Producción_Ganadera[[#This Row],[Fecha Financiero]]),0)</f>
        <v>0</v>
      </c>
      <c r="AP122" s="889">
        <f>SUMPRODUCT((Producción_Ganadera[[#This Row],[Mes Financiero]]=Tipo_Cambio[Mes])*(Producción_Ganadera[[#This Row],[Año Financiero]]=Tipo_Cambio[Año])*(Tipo_Cambio[$/U$S]))</f>
        <v>0</v>
      </c>
      <c r="AQ122" s="889">
        <f>SUMPRODUCT((Producción_Ganadera[[#This Row],[Mes Financiero]]=Tipo_Cambio[Mes])*(Producción_Ganadera[[#This Row],[Año Financiero]]=Tipo_Cambio[Año])*(Tipo_Cambio[Actualización]))</f>
        <v>0</v>
      </c>
      <c r="AR122" s="919">
        <f>SUMPRODUCT((Producción_Ganadera[[#This Row],[Centro de Costo]]=Tabla19[Centro de Costo])*(Tabla19[Superficie])*(Producción_Ganadera[[#This Row],[Campaña]]=Tabla19[Campaña]))</f>
        <v>0</v>
      </c>
      <c r="AS122" s="918">
        <f>IFERROR(Producción_Ganadera[[#This Row],[Económico $Corrientes]]/Producción_Ganadera[[#This Row],[Superficie]],0)</f>
        <v>0</v>
      </c>
      <c r="AT122" s="918">
        <f>IFERROR(Producción_Ganadera[[#This Row],[Económico $Constantes]]/Producción_Ganadera[[#This Row],[Superficie]],0)</f>
        <v>0</v>
      </c>
      <c r="AU122" s="918">
        <f>IFERROR(Producción_Ganadera[[#This Row],[Económico U$S Dólares]]/Producción_Ganadera[[#This Row],[Superficie]],0)</f>
        <v>0</v>
      </c>
      <c r="AV122" s="916" t="str">
        <f>IF(Económico!$F$4=0,0,Producción_Ganadera[[#This Row],[Centro de Costo]])</f>
        <v>Campo 1</v>
      </c>
    </row>
    <row r="123" spans="1:48" x14ac:dyDescent="0.25">
      <c r="A123" s="86"/>
      <c r="B123" s="377"/>
      <c r="C123" s="86"/>
      <c r="D123" s="478">
        <f>DATE(RIGHT(Producción_Ganadera[[#This Row],[Campaña]],4),4,1)</f>
        <v>43556</v>
      </c>
      <c r="E123" s="522"/>
      <c r="F123" s="869" t="str">
        <f t="shared" si="8"/>
        <v>2018-2019</v>
      </c>
      <c r="G123" s="491" t="str">
        <f>GAN_Entrada_C.CAtegoria</f>
        <v>Entrada C. Categoría</v>
      </c>
      <c r="H123" s="491" t="s">
        <v>2</v>
      </c>
      <c r="I123" s="491" t="s">
        <v>133</v>
      </c>
      <c r="J123" s="549"/>
      <c r="K123" s="491"/>
      <c r="L123" s="520">
        <f>L122</f>
        <v>0</v>
      </c>
      <c r="M12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2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23" s="611"/>
      <c r="P123" s="484"/>
      <c r="Q123" s="875">
        <f>IF(ISNUMBER(Producción_Ganadera[[#This Row],[Cabezas]])=TRUE,Producción_Ganadera[[#This Row],[Cabezas]]*Producción_Ganadera[[#This Row],[Cantidad]],Producción_Ganadera[[#This Row],[Cantidad]])</f>
        <v>0</v>
      </c>
      <c r="R123" s="482"/>
      <c r="S123" s="552"/>
      <c r="T123" s="553"/>
      <c r="U12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23" s="881">
        <f>IFERROR(Producción_Ganadera[[#This Row],[Económico $Corrientes]]/Producción_Ganadera[[#This Row],[Indexación Económico]],0)</f>
        <v>0</v>
      </c>
      <c r="W12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2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23" s="881">
        <f>IFERROR(Producción_Ganadera[[#This Row],[Financiero $Corrientes]]/Producción_Ganadera[[#This Row],[Indexación Financiero]],0)</f>
        <v>0</v>
      </c>
      <c r="Z12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2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23" s="885">
        <f>IFERROR(Producción_Ganadera[[#This Row],[Intereses $Corrientes]]/Producción_Ganadera[[#This Row],[Indexación Financiero]],0)</f>
        <v>0</v>
      </c>
      <c r="AC12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23" s="915" t="str">
        <f>IFERROR(INDEX(Produccion_Ganadera_Cuentas[],MATCH(Producción_Ganadera[[#This Row],[Cuenta Contable]],Produccion_Ganadera_Cuentas[Cuenta Contable],0),2),0)</f>
        <v>Mov. Hacienda</v>
      </c>
      <c r="AE123" s="916">
        <f>IF(Producción_Ganadera[[#This Row],[Mov. Stock]]="(+)",Producción_Ganadera[[#This Row],[Cabezas]],IF(Producción_Ganadera[[#This Row],[Mov. Stock]]="(-)",-Producción_Ganadera[[#This Row],[Cabezas]],0))</f>
        <v>0</v>
      </c>
      <c r="AF123" s="917" t="str">
        <f>IFERROR(INDEX(Produccion_Ganadera_Cuentas[],MATCH(Producción_Ganadera[[#This Row],[Cuenta Contable]],Produccion_Ganadera_Cuentas[Cuenta Contable],0),5),0)</f>
        <v>(+)</v>
      </c>
      <c r="AG123" s="918" t="str">
        <f>IF(Producción_Ganadera[[#This Row],[Cuenta Contable]]=Configuración!$AC$9,"Si","No")</f>
        <v>No</v>
      </c>
      <c r="AH123" s="887" t="str">
        <f>IFERROR(INDEX(Tabla9[],MATCH(Producción_Ganadera[[#This Row],[Movimiento]],Tabla9[Movimientos],0),2),0)</f>
        <v>No</v>
      </c>
      <c r="AI123" s="888">
        <f>IFERROR(INDEX(Tabla9[],MATCH(Producción_Ganadera[[#This Row],[Movimiento]],Tabla9[Movimientos],0),3),0)</f>
        <v>0</v>
      </c>
      <c r="AJ123" s="885">
        <f>IF(Producción_Ganadera[[#This Row],[Fecha Económico]]=0,0,MONTH(Producción_Ganadera[[#This Row],[Fecha Económico]]))</f>
        <v>4</v>
      </c>
      <c r="AK123" s="885">
        <f>IF(Producción_Ganadera[[#This Row],[Fecha Económico]]=0,0,YEAR(Producción_Ganadera[[#This Row],[Fecha Económico]]))</f>
        <v>2019</v>
      </c>
      <c r="AL123" s="889">
        <f>SUMPRODUCT((Producción_Ganadera[[#This Row],[Mes Económico]]=Tipo_Cambio[Mes])*(Producción_Ganadera[[#This Row],[Año Económico]]=Tipo_Cambio[Año])*(Tipo_Cambio[$/U$S]))</f>
        <v>24.061075999055937</v>
      </c>
      <c r="AM123" s="889">
        <f>SUMPRODUCT((Producción_Ganadera[[#This Row],[Mes Económico]]=Tipo_Cambio[Mes])*(Producción_Ganadera[[#This Row],[Año Económico]]=Tipo_Cambio[Año])*(Tipo_Cambio[Actualización]))</f>
        <v>1.1950925686223111</v>
      </c>
      <c r="AN123" s="885">
        <f>IF(ISNUMBER(Producción_Ganadera[[#This Row],[Fecha Financiero]])=TRUE,MONTH(Producción_Ganadera[[#This Row],[Fecha Financiero]]),0)</f>
        <v>0</v>
      </c>
      <c r="AO123" s="885">
        <f>IF(ISNUMBER(Producción_Ganadera[[#This Row],[Fecha Financiero]])=TRUE,YEAR(Producción_Ganadera[[#This Row],[Fecha Financiero]]),0)</f>
        <v>0</v>
      </c>
      <c r="AP123" s="889">
        <f>SUMPRODUCT((Producción_Ganadera[[#This Row],[Mes Financiero]]=Tipo_Cambio[Mes])*(Producción_Ganadera[[#This Row],[Año Financiero]]=Tipo_Cambio[Año])*(Tipo_Cambio[$/U$S]))</f>
        <v>0</v>
      </c>
      <c r="AQ123" s="889">
        <f>SUMPRODUCT((Producción_Ganadera[[#This Row],[Mes Financiero]]=Tipo_Cambio[Mes])*(Producción_Ganadera[[#This Row],[Año Financiero]]=Tipo_Cambio[Año])*(Tipo_Cambio[Actualización]))</f>
        <v>0</v>
      </c>
      <c r="AR123" s="919">
        <f>SUMPRODUCT((Producción_Ganadera[[#This Row],[Centro de Costo]]=Tabla19[Centro de Costo])*(Tabla19[Superficie])*(Producción_Ganadera[[#This Row],[Campaña]]=Tabla19[Campaña]))</f>
        <v>0</v>
      </c>
      <c r="AS123" s="918">
        <f>IFERROR(Producción_Ganadera[[#This Row],[Económico $Corrientes]]/Producción_Ganadera[[#This Row],[Superficie]],0)</f>
        <v>0</v>
      </c>
      <c r="AT123" s="918">
        <f>IFERROR(Producción_Ganadera[[#This Row],[Económico $Constantes]]/Producción_Ganadera[[#This Row],[Superficie]],0)</f>
        <v>0</v>
      </c>
      <c r="AU123" s="918">
        <f>IFERROR(Producción_Ganadera[[#This Row],[Económico U$S Dólares]]/Producción_Ganadera[[#This Row],[Superficie]],0)</f>
        <v>0</v>
      </c>
      <c r="AV123" s="916" t="str">
        <f>IF(Económico!$F$4=0,0,Producción_Ganadera[[#This Row],[Centro de Costo]])</f>
        <v>Campo 1</v>
      </c>
    </row>
    <row r="124" spans="1:48" x14ac:dyDescent="0.25">
      <c r="A124" s="86"/>
      <c r="B124" s="377"/>
      <c r="C124" s="86"/>
      <c r="D124" s="478">
        <f>DATE(RIGHT(Producción_Ganadera[[#This Row],[Campaña]],4),4,1)</f>
        <v>43556</v>
      </c>
      <c r="E124" s="522"/>
      <c r="F124" s="869" t="str">
        <f t="shared" si="8"/>
        <v>2018-2019</v>
      </c>
      <c r="G124" s="491" t="str">
        <f>GAN_Salida_C.Categoria</f>
        <v>Salida C. Categoría</v>
      </c>
      <c r="H124" s="491" t="s">
        <v>2</v>
      </c>
      <c r="I124" s="491" t="s">
        <v>133</v>
      </c>
      <c r="J124" s="549"/>
      <c r="K124" s="491"/>
      <c r="L124" s="520"/>
      <c r="M12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2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24" s="611"/>
      <c r="P124" s="484"/>
      <c r="Q124" s="875">
        <f>IF(ISNUMBER(Producción_Ganadera[[#This Row],[Cabezas]])=TRUE,Producción_Ganadera[[#This Row],[Cabezas]]*Producción_Ganadera[[#This Row],[Cantidad]],Producción_Ganadera[[#This Row],[Cantidad]])</f>
        <v>0</v>
      </c>
      <c r="R124" s="482"/>
      <c r="S124" s="552"/>
      <c r="T124" s="553"/>
      <c r="U12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24" s="881">
        <f>IFERROR(Producción_Ganadera[[#This Row],[Económico $Corrientes]]/Producción_Ganadera[[#This Row],[Indexación Económico]],0)</f>
        <v>0</v>
      </c>
      <c r="W12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2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24" s="881">
        <f>IFERROR(Producción_Ganadera[[#This Row],[Financiero $Corrientes]]/Producción_Ganadera[[#This Row],[Indexación Financiero]],0)</f>
        <v>0</v>
      </c>
      <c r="Z12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2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24" s="885">
        <f>IFERROR(Producción_Ganadera[[#This Row],[Intereses $Corrientes]]/Producción_Ganadera[[#This Row],[Indexación Financiero]],0)</f>
        <v>0</v>
      </c>
      <c r="AC12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24" s="915" t="str">
        <f>IFERROR(INDEX(Produccion_Ganadera_Cuentas[],MATCH(Producción_Ganadera[[#This Row],[Cuenta Contable]],Produccion_Ganadera_Cuentas[Cuenta Contable],0),2),0)</f>
        <v>Mov. Hacienda</v>
      </c>
      <c r="AE124" s="916">
        <f>IF(Producción_Ganadera[[#This Row],[Mov. Stock]]="(+)",Producción_Ganadera[[#This Row],[Cabezas]],IF(Producción_Ganadera[[#This Row],[Mov. Stock]]="(-)",-Producción_Ganadera[[#This Row],[Cabezas]],0))</f>
        <v>0</v>
      </c>
      <c r="AF124" s="917" t="str">
        <f>IFERROR(INDEX(Produccion_Ganadera_Cuentas[],MATCH(Producción_Ganadera[[#This Row],[Cuenta Contable]],Produccion_Ganadera_Cuentas[Cuenta Contable],0),5),0)</f>
        <v>(-)</v>
      </c>
      <c r="AG124" s="918" t="str">
        <f>IF(Producción_Ganadera[[#This Row],[Cuenta Contable]]=Configuración!$AC$9,"Si","No")</f>
        <v>No</v>
      </c>
      <c r="AH124" s="887" t="str">
        <f>IFERROR(INDEX(Tabla9[],MATCH(Producción_Ganadera[[#This Row],[Movimiento]],Tabla9[Movimientos],0),2),0)</f>
        <v>No</v>
      </c>
      <c r="AI124" s="888">
        <f>IFERROR(INDEX(Tabla9[],MATCH(Producción_Ganadera[[#This Row],[Movimiento]],Tabla9[Movimientos],0),3),0)</f>
        <v>0</v>
      </c>
      <c r="AJ124" s="885">
        <f>IF(Producción_Ganadera[[#This Row],[Fecha Económico]]=0,0,MONTH(Producción_Ganadera[[#This Row],[Fecha Económico]]))</f>
        <v>4</v>
      </c>
      <c r="AK124" s="885">
        <f>IF(Producción_Ganadera[[#This Row],[Fecha Económico]]=0,0,YEAR(Producción_Ganadera[[#This Row],[Fecha Económico]]))</f>
        <v>2019</v>
      </c>
      <c r="AL124" s="889">
        <f>SUMPRODUCT((Producción_Ganadera[[#This Row],[Mes Económico]]=Tipo_Cambio[Mes])*(Producción_Ganadera[[#This Row],[Año Económico]]=Tipo_Cambio[Año])*(Tipo_Cambio[$/U$S]))</f>
        <v>24.061075999055937</v>
      </c>
      <c r="AM124" s="889">
        <f>SUMPRODUCT((Producción_Ganadera[[#This Row],[Mes Económico]]=Tipo_Cambio[Mes])*(Producción_Ganadera[[#This Row],[Año Económico]]=Tipo_Cambio[Año])*(Tipo_Cambio[Actualización]))</f>
        <v>1.1950925686223111</v>
      </c>
      <c r="AN124" s="885">
        <f>IF(ISNUMBER(Producción_Ganadera[[#This Row],[Fecha Financiero]])=TRUE,MONTH(Producción_Ganadera[[#This Row],[Fecha Financiero]]),0)</f>
        <v>0</v>
      </c>
      <c r="AO124" s="885">
        <f>IF(ISNUMBER(Producción_Ganadera[[#This Row],[Fecha Financiero]])=TRUE,YEAR(Producción_Ganadera[[#This Row],[Fecha Financiero]]),0)</f>
        <v>0</v>
      </c>
      <c r="AP124" s="889">
        <f>SUMPRODUCT((Producción_Ganadera[[#This Row],[Mes Financiero]]=Tipo_Cambio[Mes])*(Producción_Ganadera[[#This Row],[Año Financiero]]=Tipo_Cambio[Año])*(Tipo_Cambio[$/U$S]))</f>
        <v>0</v>
      </c>
      <c r="AQ124" s="889">
        <f>SUMPRODUCT((Producción_Ganadera[[#This Row],[Mes Financiero]]=Tipo_Cambio[Mes])*(Producción_Ganadera[[#This Row],[Año Financiero]]=Tipo_Cambio[Año])*(Tipo_Cambio[Actualización]))</f>
        <v>0</v>
      </c>
      <c r="AR124" s="919">
        <f>SUMPRODUCT((Producción_Ganadera[[#This Row],[Centro de Costo]]=Tabla19[Centro de Costo])*(Tabla19[Superficie])*(Producción_Ganadera[[#This Row],[Campaña]]=Tabla19[Campaña]))</f>
        <v>0</v>
      </c>
      <c r="AS124" s="918">
        <f>IFERROR(Producción_Ganadera[[#This Row],[Económico $Corrientes]]/Producción_Ganadera[[#This Row],[Superficie]],0)</f>
        <v>0</v>
      </c>
      <c r="AT124" s="918">
        <f>IFERROR(Producción_Ganadera[[#This Row],[Económico $Constantes]]/Producción_Ganadera[[#This Row],[Superficie]],0)</f>
        <v>0</v>
      </c>
      <c r="AU124" s="918">
        <f>IFERROR(Producción_Ganadera[[#This Row],[Económico U$S Dólares]]/Producción_Ganadera[[#This Row],[Superficie]],0)</f>
        <v>0</v>
      </c>
      <c r="AV124" s="916" t="str">
        <f>IF(Económico!$F$4=0,0,Producción_Ganadera[[#This Row],[Centro de Costo]])</f>
        <v>Campo 1</v>
      </c>
    </row>
    <row r="125" spans="1:48" x14ac:dyDescent="0.25">
      <c r="A125" s="86"/>
      <c r="B125" s="377"/>
      <c r="C125" s="86"/>
      <c r="D125" s="535">
        <f>DATE(RIGHT(Producción_Ganadera[[#This Row],[Campaña]],4),4,1)</f>
        <v>43556</v>
      </c>
      <c r="E125" s="610"/>
      <c r="F125" s="870" t="str">
        <f t="shared" si="8"/>
        <v>2018-2019</v>
      </c>
      <c r="G125" s="538" t="str">
        <f>GAN_Entrada_C.CAtegoria</f>
        <v>Entrada C. Categoría</v>
      </c>
      <c r="H125" s="538" t="s">
        <v>2</v>
      </c>
      <c r="I125" s="538" t="s">
        <v>136</v>
      </c>
      <c r="J125" s="584"/>
      <c r="K125" s="538"/>
      <c r="L125" s="585">
        <f>L124</f>
        <v>0</v>
      </c>
      <c r="M125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25" s="870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25" s="612"/>
      <c r="P125" s="540"/>
      <c r="Q125" s="876">
        <f>IF(ISNUMBER(Producción_Ganadera[[#This Row],[Cabezas]])=TRUE,Producción_Ganadera[[#This Row],[Cabezas]]*Producción_Ganadera[[#This Row],[Cantidad]],Producción_Ganadera[[#This Row],[Cantidad]])</f>
        <v>0</v>
      </c>
      <c r="R125" s="613"/>
      <c r="S125" s="588"/>
      <c r="T125" s="589"/>
      <c r="U125" s="895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25" s="893">
        <f>IFERROR(Producción_Ganadera[[#This Row],[Económico $Corrientes]]/Producción_Ganadera[[#This Row],[Indexación Económico]],0)</f>
        <v>0</v>
      </c>
      <c r="W125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25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25" s="893">
        <f>IFERROR(Producción_Ganadera[[#This Row],[Financiero $Corrientes]]/Producción_Ganadera[[#This Row],[Indexación Financiero]],0)</f>
        <v>0</v>
      </c>
      <c r="Z125" s="92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25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25" s="897">
        <f>IFERROR(Producción_Ganadera[[#This Row],[Intereses $Corrientes]]/Producción_Ganadera[[#This Row],[Indexación Financiero]],0)</f>
        <v>0</v>
      </c>
      <c r="AC125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25" s="922" t="str">
        <f>IFERROR(INDEX(Produccion_Ganadera_Cuentas[],MATCH(Producción_Ganadera[[#This Row],[Cuenta Contable]],Produccion_Ganadera_Cuentas[Cuenta Contable],0),2),0)</f>
        <v>Mov. Hacienda</v>
      </c>
      <c r="AE125" s="923">
        <f>IF(Producción_Ganadera[[#This Row],[Mov. Stock]]="(+)",Producción_Ganadera[[#This Row],[Cabezas]],IF(Producción_Ganadera[[#This Row],[Mov. Stock]]="(-)",-Producción_Ganadera[[#This Row],[Cabezas]],0))</f>
        <v>0</v>
      </c>
      <c r="AF125" s="924" t="str">
        <f>IFERROR(INDEX(Produccion_Ganadera_Cuentas[],MATCH(Producción_Ganadera[[#This Row],[Cuenta Contable]],Produccion_Ganadera_Cuentas[Cuenta Contable],0),5),0)</f>
        <v>(+)</v>
      </c>
      <c r="AG125" s="925" t="str">
        <f>IF(Producción_Ganadera[[#This Row],[Cuenta Contable]]=Configuración!$AC$9,"Si","No")</f>
        <v>No</v>
      </c>
      <c r="AH125" s="899" t="str">
        <f>IFERROR(INDEX(Tabla9[],MATCH(Producción_Ganadera[[#This Row],[Movimiento]],Tabla9[Movimientos],0),2),0)</f>
        <v>No</v>
      </c>
      <c r="AI125" s="900">
        <f>IFERROR(INDEX(Tabla9[],MATCH(Producción_Ganadera[[#This Row],[Movimiento]],Tabla9[Movimientos],0),3),0)</f>
        <v>0</v>
      </c>
      <c r="AJ125" s="897">
        <f>IF(Producción_Ganadera[[#This Row],[Fecha Económico]]=0,0,MONTH(Producción_Ganadera[[#This Row],[Fecha Económico]]))</f>
        <v>4</v>
      </c>
      <c r="AK125" s="897">
        <f>IF(Producción_Ganadera[[#This Row],[Fecha Económico]]=0,0,YEAR(Producción_Ganadera[[#This Row],[Fecha Económico]]))</f>
        <v>2019</v>
      </c>
      <c r="AL125" s="901">
        <f>SUMPRODUCT((Producción_Ganadera[[#This Row],[Mes Económico]]=Tipo_Cambio[Mes])*(Producción_Ganadera[[#This Row],[Año Económico]]=Tipo_Cambio[Año])*(Tipo_Cambio[$/U$S]))</f>
        <v>24.061075999055937</v>
      </c>
      <c r="AM125" s="901">
        <f>SUMPRODUCT((Producción_Ganadera[[#This Row],[Mes Económico]]=Tipo_Cambio[Mes])*(Producción_Ganadera[[#This Row],[Año Económico]]=Tipo_Cambio[Año])*(Tipo_Cambio[Actualización]))</f>
        <v>1.1950925686223111</v>
      </c>
      <c r="AN125" s="897">
        <f>IF(ISNUMBER(Producción_Ganadera[[#This Row],[Fecha Financiero]])=TRUE,MONTH(Producción_Ganadera[[#This Row],[Fecha Financiero]]),0)</f>
        <v>0</v>
      </c>
      <c r="AO125" s="897">
        <f>IF(ISNUMBER(Producción_Ganadera[[#This Row],[Fecha Financiero]])=TRUE,YEAR(Producción_Ganadera[[#This Row],[Fecha Financiero]]),0)</f>
        <v>0</v>
      </c>
      <c r="AP125" s="901">
        <f>SUMPRODUCT((Producción_Ganadera[[#This Row],[Mes Financiero]]=Tipo_Cambio[Mes])*(Producción_Ganadera[[#This Row],[Año Financiero]]=Tipo_Cambio[Año])*(Tipo_Cambio[$/U$S]))</f>
        <v>0</v>
      </c>
      <c r="AQ125" s="901">
        <f>SUMPRODUCT((Producción_Ganadera[[#This Row],[Mes Financiero]]=Tipo_Cambio[Mes])*(Producción_Ganadera[[#This Row],[Año Financiero]]=Tipo_Cambio[Año])*(Tipo_Cambio[Actualización]))</f>
        <v>0</v>
      </c>
      <c r="AR125" s="926">
        <f>SUMPRODUCT((Producción_Ganadera[[#This Row],[Centro de Costo]]=Tabla19[Centro de Costo])*(Tabla19[Superficie])*(Producción_Ganadera[[#This Row],[Campaña]]=Tabla19[Campaña]))</f>
        <v>0</v>
      </c>
      <c r="AS125" s="925">
        <f>IFERROR(Producción_Ganadera[[#This Row],[Económico $Corrientes]]/Producción_Ganadera[[#This Row],[Superficie]],0)</f>
        <v>0</v>
      </c>
      <c r="AT125" s="925">
        <f>IFERROR(Producción_Ganadera[[#This Row],[Económico $Constantes]]/Producción_Ganadera[[#This Row],[Superficie]],0)</f>
        <v>0</v>
      </c>
      <c r="AU125" s="925">
        <f>IFERROR(Producción_Ganadera[[#This Row],[Económico U$S Dólares]]/Producción_Ganadera[[#This Row],[Superficie]],0)</f>
        <v>0</v>
      </c>
      <c r="AV125" s="923" t="str">
        <f>IF(Económico!$F$4=0,0,Producción_Ganadera[[#This Row],[Centro de Costo]])</f>
        <v>Campo 1</v>
      </c>
    </row>
    <row r="126" spans="1:48" x14ac:dyDescent="0.25">
      <c r="A126" s="86"/>
      <c r="B126" s="377"/>
      <c r="C126" s="86"/>
      <c r="D126" s="478">
        <f>DATE(RIGHT(Producción_Ganadera[[#This Row],[Campaña]],4),4,1)</f>
        <v>43556</v>
      </c>
      <c r="E126" s="522"/>
      <c r="F126" s="869" t="str">
        <f t="shared" si="8"/>
        <v>2018-2019</v>
      </c>
      <c r="G126" s="491" t="str">
        <f>GAN_Salida_C.Categoria</f>
        <v>Salida C. Categoría</v>
      </c>
      <c r="H126" s="491" t="s">
        <v>8</v>
      </c>
      <c r="I126" s="491" t="s">
        <v>130</v>
      </c>
      <c r="J126" s="549"/>
      <c r="K126" s="491"/>
      <c r="L126" s="520"/>
      <c r="M12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2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26" s="611"/>
      <c r="P126" s="484"/>
      <c r="Q126" s="875">
        <f>IF(ISNUMBER(Producción_Ganadera[[#This Row],[Cabezas]])=TRUE,Producción_Ganadera[[#This Row],[Cabezas]]*Producción_Ganadera[[#This Row],[Cantidad]],Producción_Ganadera[[#This Row],[Cantidad]])</f>
        <v>0</v>
      </c>
      <c r="R126" s="482"/>
      <c r="S126" s="552"/>
      <c r="T126" s="553"/>
      <c r="U12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26" s="881">
        <f>IFERROR(Producción_Ganadera[[#This Row],[Económico $Corrientes]]/Producción_Ganadera[[#This Row],[Indexación Económico]],0)</f>
        <v>0</v>
      </c>
      <c r="W12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2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26" s="881">
        <f>IFERROR(Producción_Ganadera[[#This Row],[Financiero $Corrientes]]/Producción_Ganadera[[#This Row],[Indexación Financiero]],0)</f>
        <v>0</v>
      </c>
      <c r="Z12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2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26" s="885">
        <f>IFERROR(Producción_Ganadera[[#This Row],[Intereses $Corrientes]]/Producción_Ganadera[[#This Row],[Indexación Financiero]],0)</f>
        <v>0</v>
      </c>
      <c r="AC12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26" s="915" t="str">
        <f>IFERROR(INDEX(Produccion_Ganadera_Cuentas[],MATCH(Producción_Ganadera[[#This Row],[Cuenta Contable]],Produccion_Ganadera_Cuentas[Cuenta Contable],0),2),0)</f>
        <v>Mov. Hacienda</v>
      </c>
      <c r="AE126" s="916">
        <f>IF(Producción_Ganadera[[#This Row],[Mov. Stock]]="(+)",Producción_Ganadera[[#This Row],[Cabezas]],IF(Producción_Ganadera[[#This Row],[Mov. Stock]]="(-)",-Producción_Ganadera[[#This Row],[Cabezas]],0))</f>
        <v>0</v>
      </c>
      <c r="AF126" s="917" t="str">
        <f>IFERROR(INDEX(Produccion_Ganadera_Cuentas[],MATCH(Producción_Ganadera[[#This Row],[Cuenta Contable]],Produccion_Ganadera_Cuentas[Cuenta Contable],0),5),0)</f>
        <v>(-)</v>
      </c>
      <c r="AG126" s="918" t="str">
        <f>IF(Producción_Ganadera[[#This Row],[Cuenta Contable]]=Configuración!$AC$9,"Si","No")</f>
        <v>No</v>
      </c>
      <c r="AH126" s="887" t="str">
        <f>IFERROR(INDEX(Tabla9[],MATCH(Producción_Ganadera[[#This Row],[Movimiento]],Tabla9[Movimientos],0),2),0)</f>
        <v>No</v>
      </c>
      <c r="AI126" s="888">
        <f>IFERROR(INDEX(Tabla9[],MATCH(Producción_Ganadera[[#This Row],[Movimiento]],Tabla9[Movimientos],0),3),0)</f>
        <v>0</v>
      </c>
      <c r="AJ126" s="885">
        <f>IF(Producción_Ganadera[[#This Row],[Fecha Económico]]=0,0,MONTH(Producción_Ganadera[[#This Row],[Fecha Económico]]))</f>
        <v>4</v>
      </c>
      <c r="AK126" s="885">
        <f>IF(Producción_Ganadera[[#This Row],[Fecha Económico]]=0,0,YEAR(Producción_Ganadera[[#This Row],[Fecha Económico]]))</f>
        <v>2019</v>
      </c>
      <c r="AL126" s="889">
        <f>SUMPRODUCT((Producción_Ganadera[[#This Row],[Mes Económico]]=Tipo_Cambio[Mes])*(Producción_Ganadera[[#This Row],[Año Económico]]=Tipo_Cambio[Año])*(Tipo_Cambio[$/U$S]))</f>
        <v>24.061075999055937</v>
      </c>
      <c r="AM126" s="889">
        <f>SUMPRODUCT((Producción_Ganadera[[#This Row],[Mes Económico]]=Tipo_Cambio[Mes])*(Producción_Ganadera[[#This Row],[Año Económico]]=Tipo_Cambio[Año])*(Tipo_Cambio[Actualización]))</f>
        <v>1.1950925686223111</v>
      </c>
      <c r="AN126" s="885">
        <f>IF(ISNUMBER(Producción_Ganadera[[#This Row],[Fecha Financiero]])=TRUE,MONTH(Producción_Ganadera[[#This Row],[Fecha Financiero]]),0)</f>
        <v>0</v>
      </c>
      <c r="AO126" s="885">
        <f>IF(ISNUMBER(Producción_Ganadera[[#This Row],[Fecha Financiero]])=TRUE,YEAR(Producción_Ganadera[[#This Row],[Fecha Financiero]]),0)</f>
        <v>0</v>
      </c>
      <c r="AP126" s="889">
        <f>SUMPRODUCT((Producción_Ganadera[[#This Row],[Mes Financiero]]=Tipo_Cambio[Mes])*(Producción_Ganadera[[#This Row],[Año Financiero]]=Tipo_Cambio[Año])*(Tipo_Cambio[$/U$S]))</f>
        <v>0</v>
      </c>
      <c r="AQ126" s="889">
        <f>SUMPRODUCT((Producción_Ganadera[[#This Row],[Mes Financiero]]=Tipo_Cambio[Mes])*(Producción_Ganadera[[#This Row],[Año Financiero]]=Tipo_Cambio[Año])*(Tipo_Cambio[Actualización]))</f>
        <v>0</v>
      </c>
      <c r="AR126" s="919">
        <f>SUMPRODUCT((Producción_Ganadera[[#This Row],[Centro de Costo]]=Tabla19[Centro de Costo])*(Tabla19[Superficie])*(Producción_Ganadera[[#This Row],[Campaña]]=Tabla19[Campaña]))</f>
        <v>0</v>
      </c>
      <c r="AS126" s="918">
        <f>IFERROR(Producción_Ganadera[[#This Row],[Económico $Corrientes]]/Producción_Ganadera[[#This Row],[Superficie]],0)</f>
        <v>0</v>
      </c>
      <c r="AT126" s="918">
        <f>IFERROR(Producción_Ganadera[[#This Row],[Económico $Constantes]]/Producción_Ganadera[[#This Row],[Superficie]],0)</f>
        <v>0</v>
      </c>
      <c r="AU126" s="918">
        <f>IFERROR(Producción_Ganadera[[#This Row],[Económico U$S Dólares]]/Producción_Ganadera[[#This Row],[Superficie]],0)</f>
        <v>0</v>
      </c>
      <c r="AV126" s="916" t="str">
        <f>IF(Económico!$F$4=0,0,Producción_Ganadera[[#This Row],[Centro de Costo]])</f>
        <v>Campo 2</v>
      </c>
    </row>
    <row r="127" spans="1:48" x14ac:dyDescent="0.25">
      <c r="A127" s="86"/>
      <c r="B127" s="377"/>
      <c r="C127" s="86"/>
      <c r="D127" s="478">
        <f>DATE(RIGHT(Producción_Ganadera[[#This Row],[Campaña]],4),4,1)</f>
        <v>43556</v>
      </c>
      <c r="E127" s="522"/>
      <c r="F127" s="869" t="str">
        <f t="shared" si="8"/>
        <v>2018-2019</v>
      </c>
      <c r="G127" s="491" t="str">
        <f>GAN_Entrada_C.CAtegoria</f>
        <v>Entrada C. Categoría</v>
      </c>
      <c r="H127" s="491" t="s">
        <v>8</v>
      </c>
      <c r="I127" s="491" t="s">
        <v>134</v>
      </c>
      <c r="J127" s="549"/>
      <c r="K127" s="491"/>
      <c r="L127" s="520">
        <f>L126</f>
        <v>0</v>
      </c>
      <c r="M12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2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27" s="611"/>
      <c r="P127" s="484"/>
      <c r="Q127" s="875">
        <f>IF(ISNUMBER(Producción_Ganadera[[#This Row],[Cabezas]])=TRUE,Producción_Ganadera[[#This Row],[Cabezas]]*Producción_Ganadera[[#This Row],[Cantidad]],Producción_Ganadera[[#This Row],[Cantidad]])</f>
        <v>0</v>
      </c>
      <c r="R127" s="482"/>
      <c r="S127" s="552"/>
      <c r="T127" s="553"/>
      <c r="U12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27" s="881">
        <f>IFERROR(Producción_Ganadera[[#This Row],[Económico $Corrientes]]/Producción_Ganadera[[#This Row],[Indexación Económico]],0)</f>
        <v>0</v>
      </c>
      <c r="W12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2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27" s="881">
        <f>IFERROR(Producción_Ganadera[[#This Row],[Financiero $Corrientes]]/Producción_Ganadera[[#This Row],[Indexación Financiero]],0)</f>
        <v>0</v>
      </c>
      <c r="Z12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2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27" s="885">
        <f>IFERROR(Producción_Ganadera[[#This Row],[Intereses $Corrientes]]/Producción_Ganadera[[#This Row],[Indexación Financiero]],0)</f>
        <v>0</v>
      </c>
      <c r="AC12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27" s="915" t="str">
        <f>IFERROR(INDEX(Produccion_Ganadera_Cuentas[],MATCH(Producción_Ganadera[[#This Row],[Cuenta Contable]],Produccion_Ganadera_Cuentas[Cuenta Contable],0),2),0)</f>
        <v>Mov. Hacienda</v>
      </c>
      <c r="AE127" s="916">
        <f>IF(Producción_Ganadera[[#This Row],[Mov. Stock]]="(+)",Producción_Ganadera[[#This Row],[Cabezas]],IF(Producción_Ganadera[[#This Row],[Mov. Stock]]="(-)",-Producción_Ganadera[[#This Row],[Cabezas]],0))</f>
        <v>0</v>
      </c>
      <c r="AF127" s="917" t="str">
        <f>IFERROR(INDEX(Produccion_Ganadera_Cuentas[],MATCH(Producción_Ganadera[[#This Row],[Cuenta Contable]],Produccion_Ganadera_Cuentas[Cuenta Contable],0),5),0)</f>
        <v>(+)</v>
      </c>
      <c r="AG127" s="918" t="str">
        <f>IF(Producción_Ganadera[[#This Row],[Cuenta Contable]]=Configuración!$AC$9,"Si","No")</f>
        <v>No</v>
      </c>
      <c r="AH127" s="887" t="str">
        <f>IFERROR(INDEX(Tabla9[],MATCH(Producción_Ganadera[[#This Row],[Movimiento]],Tabla9[Movimientos],0),2),0)</f>
        <v>No</v>
      </c>
      <c r="AI127" s="888">
        <f>IFERROR(INDEX(Tabla9[],MATCH(Producción_Ganadera[[#This Row],[Movimiento]],Tabla9[Movimientos],0),3),0)</f>
        <v>0</v>
      </c>
      <c r="AJ127" s="885">
        <f>IF(Producción_Ganadera[[#This Row],[Fecha Económico]]=0,0,MONTH(Producción_Ganadera[[#This Row],[Fecha Económico]]))</f>
        <v>4</v>
      </c>
      <c r="AK127" s="885">
        <f>IF(Producción_Ganadera[[#This Row],[Fecha Económico]]=0,0,YEAR(Producción_Ganadera[[#This Row],[Fecha Económico]]))</f>
        <v>2019</v>
      </c>
      <c r="AL127" s="889">
        <f>SUMPRODUCT((Producción_Ganadera[[#This Row],[Mes Económico]]=Tipo_Cambio[Mes])*(Producción_Ganadera[[#This Row],[Año Económico]]=Tipo_Cambio[Año])*(Tipo_Cambio[$/U$S]))</f>
        <v>24.061075999055937</v>
      </c>
      <c r="AM127" s="889">
        <f>SUMPRODUCT((Producción_Ganadera[[#This Row],[Mes Económico]]=Tipo_Cambio[Mes])*(Producción_Ganadera[[#This Row],[Año Económico]]=Tipo_Cambio[Año])*(Tipo_Cambio[Actualización]))</f>
        <v>1.1950925686223111</v>
      </c>
      <c r="AN127" s="885">
        <f>IF(ISNUMBER(Producción_Ganadera[[#This Row],[Fecha Financiero]])=TRUE,MONTH(Producción_Ganadera[[#This Row],[Fecha Financiero]]),0)</f>
        <v>0</v>
      </c>
      <c r="AO127" s="885">
        <f>IF(ISNUMBER(Producción_Ganadera[[#This Row],[Fecha Financiero]])=TRUE,YEAR(Producción_Ganadera[[#This Row],[Fecha Financiero]]),0)</f>
        <v>0</v>
      </c>
      <c r="AP127" s="889">
        <f>SUMPRODUCT((Producción_Ganadera[[#This Row],[Mes Financiero]]=Tipo_Cambio[Mes])*(Producción_Ganadera[[#This Row],[Año Financiero]]=Tipo_Cambio[Año])*(Tipo_Cambio[$/U$S]))</f>
        <v>0</v>
      </c>
      <c r="AQ127" s="889">
        <f>SUMPRODUCT((Producción_Ganadera[[#This Row],[Mes Financiero]]=Tipo_Cambio[Mes])*(Producción_Ganadera[[#This Row],[Año Financiero]]=Tipo_Cambio[Año])*(Tipo_Cambio[Actualización]))</f>
        <v>0</v>
      </c>
      <c r="AR127" s="919">
        <f>SUMPRODUCT((Producción_Ganadera[[#This Row],[Centro de Costo]]=Tabla19[Centro de Costo])*(Tabla19[Superficie])*(Producción_Ganadera[[#This Row],[Campaña]]=Tabla19[Campaña]))</f>
        <v>0</v>
      </c>
      <c r="AS127" s="918">
        <f>IFERROR(Producción_Ganadera[[#This Row],[Económico $Corrientes]]/Producción_Ganadera[[#This Row],[Superficie]],0)</f>
        <v>0</v>
      </c>
      <c r="AT127" s="918">
        <f>IFERROR(Producción_Ganadera[[#This Row],[Económico $Constantes]]/Producción_Ganadera[[#This Row],[Superficie]],0)</f>
        <v>0</v>
      </c>
      <c r="AU127" s="918">
        <f>IFERROR(Producción_Ganadera[[#This Row],[Económico U$S Dólares]]/Producción_Ganadera[[#This Row],[Superficie]],0)</f>
        <v>0</v>
      </c>
      <c r="AV127" s="916" t="str">
        <f>IF(Económico!$F$4=0,0,Producción_Ganadera[[#This Row],[Centro de Costo]])</f>
        <v>Campo 2</v>
      </c>
    </row>
    <row r="128" spans="1:48" x14ac:dyDescent="0.25">
      <c r="A128" s="86"/>
      <c r="B128" s="377"/>
      <c r="C128" s="86"/>
      <c r="D128" s="478">
        <f>DATE(RIGHT(Producción_Ganadera[[#This Row],[Campaña]],4),4,1)</f>
        <v>43556</v>
      </c>
      <c r="E128" s="522"/>
      <c r="F128" s="869" t="str">
        <f t="shared" si="8"/>
        <v>2018-2019</v>
      </c>
      <c r="G128" s="491" t="str">
        <f>GAN_Salida_C.Categoria</f>
        <v>Salida C. Categoría</v>
      </c>
      <c r="H128" s="491" t="s">
        <v>8</v>
      </c>
      <c r="I128" s="491" t="s">
        <v>134</v>
      </c>
      <c r="J128" s="549"/>
      <c r="K128" s="491"/>
      <c r="L128" s="520"/>
      <c r="M12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2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28" s="611"/>
      <c r="P128" s="484"/>
      <c r="Q128" s="875">
        <f>IF(ISNUMBER(Producción_Ganadera[[#This Row],[Cabezas]])=TRUE,Producción_Ganadera[[#This Row],[Cabezas]]*Producción_Ganadera[[#This Row],[Cantidad]],Producción_Ganadera[[#This Row],[Cantidad]])</f>
        <v>0</v>
      </c>
      <c r="R128" s="482"/>
      <c r="S128" s="552"/>
      <c r="T128" s="553"/>
      <c r="U12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28" s="881">
        <f>IFERROR(Producción_Ganadera[[#This Row],[Económico $Corrientes]]/Producción_Ganadera[[#This Row],[Indexación Económico]],0)</f>
        <v>0</v>
      </c>
      <c r="W12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2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28" s="881">
        <f>IFERROR(Producción_Ganadera[[#This Row],[Financiero $Corrientes]]/Producción_Ganadera[[#This Row],[Indexación Financiero]],0)</f>
        <v>0</v>
      </c>
      <c r="Z12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2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28" s="885">
        <f>IFERROR(Producción_Ganadera[[#This Row],[Intereses $Corrientes]]/Producción_Ganadera[[#This Row],[Indexación Financiero]],0)</f>
        <v>0</v>
      </c>
      <c r="AC12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28" s="915" t="str">
        <f>IFERROR(INDEX(Produccion_Ganadera_Cuentas[],MATCH(Producción_Ganadera[[#This Row],[Cuenta Contable]],Produccion_Ganadera_Cuentas[Cuenta Contable],0),2),0)</f>
        <v>Mov. Hacienda</v>
      </c>
      <c r="AE128" s="916">
        <f>IF(Producción_Ganadera[[#This Row],[Mov. Stock]]="(+)",Producción_Ganadera[[#This Row],[Cabezas]],IF(Producción_Ganadera[[#This Row],[Mov. Stock]]="(-)",-Producción_Ganadera[[#This Row],[Cabezas]],0))</f>
        <v>0</v>
      </c>
      <c r="AF128" s="917" t="str">
        <f>IFERROR(INDEX(Produccion_Ganadera_Cuentas[],MATCH(Producción_Ganadera[[#This Row],[Cuenta Contable]],Produccion_Ganadera_Cuentas[Cuenta Contable],0),5),0)</f>
        <v>(-)</v>
      </c>
      <c r="AG128" s="918" t="str">
        <f>IF(Producción_Ganadera[[#This Row],[Cuenta Contable]]=Configuración!$AC$9,"Si","No")</f>
        <v>No</v>
      </c>
      <c r="AH128" s="887" t="str">
        <f>IFERROR(INDEX(Tabla9[],MATCH(Producción_Ganadera[[#This Row],[Movimiento]],Tabla9[Movimientos],0),2),0)</f>
        <v>No</v>
      </c>
      <c r="AI128" s="888">
        <f>IFERROR(INDEX(Tabla9[],MATCH(Producción_Ganadera[[#This Row],[Movimiento]],Tabla9[Movimientos],0),3),0)</f>
        <v>0</v>
      </c>
      <c r="AJ128" s="885">
        <f>IF(Producción_Ganadera[[#This Row],[Fecha Económico]]=0,0,MONTH(Producción_Ganadera[[#This Row],[Fecha Económico]]))</f>
        <v>4</v>
      </c>
      <c r="AK128" s="885">
        <f>IF(Producción_Ganadera[[#This Row],[Fecha Económico]]=0,0,YEAR(Producción_Ganadera[[#This Row],[Fecha Económico]]))</f>
        <v>2019</v>
      </c>
      <c r="AL128" s="889">
        <f>SUMPRODUCT((Producción_Ganadera[[#This Row],[Mes Económico]]=Tipo_Cambio[Mes])*(Producción_Ganadera[[#This Row],[Año Económico]]=Tipo_Cambio[Año])*(Tipo_Cambio[$/U$S]))</f>
        <v>24.061075999055937</v>
      </c>
      <c r="AM128" s="889">
        <f>SUMPRODUCT((Producción_Ganadera[[#This Row],[Mes Económico]]=Tipo_Cambio[Mes])*(Producción_Ganadera[[#This Row],[Año Económico]]=Tipo_Cambio[Año])*(Tipo_Cambio[Actualización]))</f>
        <v>1.1950925686223111</v>
      </c>
      <c r="AN128" s="885">
        <f>IF(ISNUMBER(Producción_Ganadera[[#This Row],[Fecha Financiero]])=TRUE,MONTH(Producción_Ganadera[[#This Row],[Fecha Financiero]]),0)</f>
        <v>0</v>
      </c>
      <c r="AO128" s="885">
        <f>IF(ISNUMBER(Producción_Ganadera[[#This Row],[Fecha Financiero]])=TRUE,YEAR(Producción_Ganadera[[#This Row],[Fecha Financiero]]),0)</f>
        <v>0</v>
      </c>
      <c r="AP128" s="889">
        <f>SUMPRODUCT((Producción_Ganadera[[#This Row],[Mes Financiero]]=Tipo_Cambio[Mes])*(Producción_Ganadera[[#This Row],[Año Financiero]]=Tipo_Cambio[Año])*(Tipo_Cambio[$/U$S]))</f>
        <v>0</v>
      </c>
      <c r="AQ128" s="889">
        <f>SUMPRODUCT((Producción_Ganadera[[#This Row],[Mes Financiero]]=Tipo_Cambio[Mes])*(Producción_Ganadera[[#This Row],[Año Financiero]]=Tipo_Cambio[Año])*(Tipo_Cambio[Actualización]))</f>
        <v>0</v>
      </c>
      <c r="AR128" s="919">
        <f>SUMPRODUCT((Producción_Ganadera[[#This Row],[Centro de Costo]]=Tabla19[Centro de Costo])*(Tabla19[Superficie])*(Producción_Ganadera[[#This Row],[Campaña]]=Tabla19[Campaña]))</f>
        <v>0</v>
      </c>
      <c r="AS128" s="918">
        <f>IFERROR(Producción_Ganadera[[#This Row],[Económico $Corrientes]]/Producción_Ganadera[[#This Row],[Superficie]],0)</f>
        <v>0</v>
      </c>
      <c r="AT128" s="918">
        <f>IFERROR(Producción_Ganadera[[#This Row],[Económico $Constantes]]/Producción_Ganadera[[#This Row],[Superficie]],0)</f>
        <v>0</v>
      </c>
      <c r="AU128" s="918">
        <f>IFERROR(Producción_Ganadera[[#This Row],[Económico U$S Dólares]]/Producción_Ganadera[[#This Row],[Superficie]],0)</f>
        <v>0</v>
      </c>
      <c r="AV128" s="916" t="str">
        <f>IF(Económico!$F$4=0,0,Producción_Ganadera[[#This Row],[Centro de Costo]])</f>
        <v>Campo 2</v>
      </c>
    </row>
    <row r="129" spans="1:16384" x14ac:dyDescent="0.25">
      <c r="A129" s="86"/>
      <c r="B129" s="377"/>
      <c r="C129" s="86"/>
      <c r="D129" s="478">
        <f>DATE(RIGHT(Producción_Ganadera[[#This Row],[Campaña]],4),4,1)</f>
        <v>43556</v>
      </c>
      <c r="E129" s="522"/>
      <c r="F129" s="869" t="str">
        <f t="shared" si="8"/>
        <v>2018-2019</v>
      </c>
      <c r="G129" s="491" t="str">
        <f>GAN_Entrada_C.CAtegoria</f>
        <v>Entrada C. Categoría</v>
      </c>
      <c r="H129" s="491" t="s">
        <v>8</v>
      </c>
      <c r="I129" s="491" t="s">
        <v>135</v>
      </c>
      <c r="J129" s="549"/>
      <c r="K129" s="491"/>
      <c r="L129" s="520">
        <f>L128</f>
        <v>0</v>
      </c>
      <c r="M12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2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29" s="611"/>
      <c r="P129" s="484"/>
      <c r="Q129" s="875">
        <f>IF(ISNUMBER(Producción_Ganadera[[#This Row],[Cabezas]])=TRUE,Producción_Ganadera[[#This Row],[Cabezas]]*Producción_Ganadera[[#This Row],[Cantidad]],Producción_Ganadera[[#This Row],[Cantidad]])</f>
        <v>0</v>
      </c>
      <c r="R129" s="482"/>
      <c r="S129" s="552"/>
      <c r="T129" s="553"/>
      <c r="U12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29" s="881">
        <f>IFERROR(Producción_Ganadera[[#This Row],[Económico $Corrientes]]/Producción_Ganadera[[#This Row],[Indexación Económico]],0)</f>
        <v>0</v>
      </c>
      <c r="W12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2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29" s="881">
        <f>IFERROR(Producción_Ganadera[[#This Row],[Financiero $Corrientes]]/Producción_Ganadera[[#This Row],[Indexación Financiero]],0)</f>
        <v>0</v>
      </c>
      <c r="Z12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2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29" s="885">
        <f>IFERROR(Producción_Ganadera[[#This Row],[Intereses $Corrientes]]/Producción_Ganadera[[#This Row],[Indexación Financiero]],0)</f>
        <v>0</v>
      </c>
      <c r="AC12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29" s="915" t="str">
        <f>IFERROR(INDEX(Produccion_Ganadera_Cuentas[],MATCH(Producción_Ganadera[[#This Row],[Cuenta Contable]],Produccion_Ganadera_Cuentas[Cuenta Contable],0),2),0)</f>
        <v>Mov. Hacienda</v>
      </c>
      <c r="AE129" s="916">
        <f>IF(Producción_Ganadera[[#This Row],[Mov. Stock]]="(+)",Producción_Ganadera[[#This Row],[Cabezas]],IF(Producción_Ganadera[[#This Row],[Mov. Stock]]="(-)",-Producción_Ganadera[[#This Row],[Cabezas]],0))</f>
        <v>0</v>
      </c>
      <c r="AF129" s="917" t="str">
        <f>IFERROR(INDEX(Produccion_Ganadera_Cuentas[],MATCH(Producción_Ganadera[[#This Row],[Cuenta Contable]],Produccion_Ganadera_Cuentas[Cuenta Contable],0),5),0)</f>
        <v>(+)</v>
      </c>
      <c r="AG129" s="918" t="str">
        <f>IF(Producción_Ganadera[[#This Row],[Cuenta Contable]]=Configuración!$AC$9,"Si","No")</f>
        <v>No</v>
      </c>
      <c r="AH129" s="887" t="str">
        <f>IFERROR(INDEX(Tabla9[],MATCH(Producción_Ganadera[[#This Row],[Movimiento]],Tabla9[Movimientos],0),2),0)</f>
        <v>No</v>
      </c>
      <c r="AI129" s="888">
        <f>IFERROR(INDEX(Tabla9[],MATCH(Producción_Ganadera[[#This Row],[Movimiento]],Tabla9[Movimientos],0),3),0)</f>
        <v>0</v>
      </c>
      <c r="AJ129" s="885">
        <f>IF(Producción_Ganadera[[#This Row],[Fecha Económico]]=0,0,MONTH(Producción_Ganadera[[#This Row],[Fecha Económico]]))</f>
        <v>4</v>
      </c>
      <c r="AK129" s="885">
        <f>IF(Producción_Ganadera[[#This Row],[Fecha Económico]]=0,0,YEAR(Producción_Ganadera[[#This Row],[Fecha Económico]]))</f>
        <v>2019</v>
      </c>
      <c r="AL129" s="889">
        <f>SUMPRODUCT((Producción_Ganadera[[#This Row],[Mes Económico]]=Tipo_Cambio[Mes])*(Producción_Ganadera[[#This Row],[Año Económico]]=Tipo_Cambio[Año])*(Tipo_Cambio[$/U$S]))</f>
        <v>24.061075999055937</v>
      </c>
      <c r="AM129" s="889">
        <f>SUMPRODUCT((Producción_Ganadera[[#This Row],[Mes Económico]]=Tipo_Cambio[Mes])*(Producción_Ganadera[[#This Row],[Año Económico]]=Tipo_Cambio[Año])*(Tipo_Cambio[Actualización]))</f>
        <v>1.1950925686223111</v>
      </c>
      <c r="AN129" s="885">
        <f>IF(ISNUMBER(Producción_Ganadera[[#This Row],[Fecha Financiero]])=TRUE,MONTH(Producción_Ganadera[[#This Row],[Fecha Financiero]]),0)</f>
        <v>0</v>
      </c>
      <c r="AO129" s="885">
        <f>IF(ISNUMBER(Producción_Ganadera[[#This Row],[Fecha Financiero]])=TRUE,YEAR(Producción_Ganadera[[#This Row],[Fecha Financiero]]),0)</f>
        <v>0</v>
      </c>
      <c r="AP129" s="889">
        <f>SUMPRODUCT((Producción_Ganadera[[#This Row],[Mes Financiero]]=Tipo_Cambio[Mes])*(Producción_Ganadera[[#This Row],[Año Financiero]]=Tipo_Cambio[Año])*(Tipo_Cambio[$/U$S]))</f>
        <v>0</v>
      </c>
      <c r="AQ129" s="889">
        <f>SUMPRODUCT((Producción_Ganadera[[#This Row],[Mes Financiero]]=Tipo_Cambio[Mes])*(Producción_Ganadera[[#This Row],[Año Financiero]]=Tipo_Cambio[Año])*(Tipo_Cambio[Actualización]))</f>
        <v>0</v>
      </c>
      <c r="AR129" s="919">
        <f>SUMPRODUCT((Producción_Ganadera[[#This Row],[Centro de Costo]]=Tabla19[Centro de Costo])*(Tabla19[Superficie])*(Producción_Ganadera[[#This Row],[Campaña]]=Tabla19[Campaña]))</f>
        <v>0</v>
      </c>
      <c r="AS129" s="918">
        <f>IFERROR(Producción_Ganadera[[#This Row],[Económico $Corrientes]]/Producción_Ganadera[[#This Row],[Superficie]],0)</f>
        <v>0</v>
      </c>
      <c r="AT129" s="918">
        <f>IFERROR(Producción_Ganadera[[#This Row],[Económico $Constantes]]/Producción_Ganadera[[#This Row],[Superficie]],0)</f>
        <v>0</v>
      </c>
      <c r="AU129" s="918">
        <f>IFERROR(Producción_Ganadera[[#This Row],[Económico U$S Dólares]]/Producción_Ganadera[[#This Row],[Superficie]],0)</f>
        <v>0</v>
      </c>
      <c r="AV129" s="916" t="str">
        <f>IF(Económico!$F$4=0,0,Producción_Ganadera[[#This Row],[Centro de Costo]])</f>
        <v>Campo 2</v>
      </c>
    </row>
    <row r="130" spans="1:16384" x14ac:dyDescent="0.25">
      <c r="A130" s="86"/>
      <c r="B130" s="377"/>
      <c r="C130" s="86"/>
      <c r="D130" s="478">
        <f>DATE(RIGHT(Producción_Ganadera[[#This Row],[Campaña]],4),4,1)</f>
        <v>43556</v>
      </c>
      <c r="E130" s="522"/>
      <c r="F130" s="869" t="str">
        <f t="shared" si="8"/>
        <v>2018-2019</v>
      </c>
      <c r="G130" s="491" t="str">
        <f>GAN_Salida_C.Categoria</f>
        <v>Salida C. Categoría</v>
      </c>
      <c r="H130" s="491" t="s">
        <v>8</v>
      </c>
      <c r="I130" s="491" t="s">
        <v>135</v>
      </c>
      <c r="J130" s="549"/>
      <c r="K130" s="491"/>
      <c r="L130" s="520"/>
      <c r="M13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3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30" s="611"/>
      <c r="P130" s="484"/>
      <c r="Q130" s="875">
        <f>IF(ISNUMBER(Producción_Ganadera[[#This Row],[Cabezas]])=TRUE,Producción_Ganadera[[#This Row],[Cabezas]]*Producción_Ganadera[[#This Row],[Cantidad]],Producción_Ganadera[[#This Row],[Cantidad]])</f>
        <v>0</v>
      </c>
      <c r="R130" s="482"/>
      <c r="S130" s="552"/>
      <c r="T130" s="553"/>
      <c r="U13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30" s="881">
        <f>IFERROR(Producción_Ganadera[[#This Row],[Económico $Corrientes]]/Producción_Ganadera[[#This Row],[Indexación Económico]],0)</f>
        <v>0</v>
      </c>
      <c r="W13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3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30" s="881">
        <f>IFERROR(Producción_Ganadera[[#This Row],[Financiero $Corrientes]]/Producción_Ganadera[[#This Row],[Indexación Financiero]],0)</f>
        <v>0</v>
      </c>
      <c r="Z13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3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30" s="885">
        <f>IFERROR(Producción_Ganadera[[#This Row],[Intereses $Corrientes]]/Producción_Ganadera[[#This Row],[Indexación Financiero]],0)</f>
        <v>0</v>
      </c>
      <c r="AC13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30" s="915" t="str">
        <f>IFERROR(INDEX(Produccion_Ganadera_Cuentas[],MATCH(Producción_Ganadera[[#This Row],[Cuenta Contable]],Produccion_Ganadera_Cuentas[Cuenta Contable],0),2),0)</f>
        <v>Mov. Hacienda</v>
      </c>
      <c r="AE130" s="916">
        <f>IF(Producción_Ganadera[[#This Row],[Mov. Stock]]="(+)",Producción_Ganadera[[#This Row],[Cabezas]],IF(Producción_Ganadera[[#This Row],[Mov. Stock]]="(-)",-Producción_Ganadera[[#This Row],[Cabezas]],0))</f>
        <v>0</v>
      </c>
      <c r="AF130" s="917" t="str">
        <f>IFERROR(INDEX(Produccion_Ganadera_Cuentas[],MATCH(Producción_Ganadera[[#This Row],[Cuenta Contable]],Produccion_Ganadera_Cuentas[Cuenta Contable],0),5),0)</f>
        <v>(-)</v>
      </c>
      <c r="AG130" s="918" t="str">
        <f>IF(Producción_Ganadera[[#This Row],[Cuenta Contable]]=Configuración!$AC$9,"Si","No")</f>
        <v>No</v>
      </c>
      <c r="AH130" s="887" t="str">
        <f>IFERROR(INDEX(Tabla9[],MATCH(Producción_Ganadera[[#This Row],[Movimiento]],Tabla9[Movimientos],0),2),0)</f>
        <v>No</v>
      </c>
      <c r="AI130" s="888">
        <f>IFERROR(INDEX(Tabla9[],MATCH(Producción_Ganadera[[#This Row],[Movimiento]],Tabla9[Movimientos],0),3),0)</f>
        <v>0</v>
      </c>
      <c r="AJ130" s="885">
        <f>IF(Producción_Ganadera[[#This Row],[Fecha Económico]]=0,0,MONTH(Producción_Ganadera[[#This Row],[Fecha Económico]]))</f>
        <v>4</v>
      </c>
      <c r="AK130" s="885">
        <f>IF(Producción_Ganadera[[#This Row],[Fecha Económico]]=0,0,YEAR(Producción_Ganadera[[#This Row],[Fecha Económico]]))</f>
        <v>2019</v>
      </c>
      <c r="AL130" s="889">
        <f>SUMPRODUCT((Producción_Ganadera[[#This Row],[Mes Económico]]=Tipo_Cambio[Mes])*(Producción_Ganadera[[#This Row],[Año Económico]]=Tipo_Cambio[Año])*(Tipo_Cambio[$/U$S]))</f>
        <v>24.061075999055937</v>
      </c>
      <c r="AM130" s="889">
        <f>SUMPRODUCT((Producción_Ganadera[[#This Row],[Mes Económico]]=Tipo_Cambio[Mes])*(Producción_Ganadera[[#This Row],[Año Económico]]=Tipo_Cambio[Año])*(Tipo_Cambio[Actualización]))</f>
        <v>1.1950925686223111</v>
      </c>
      <c r="AN130" s="885">
        <f>IF(ISNUMBER(Producción_Ganadera[[#This Row],[Fecha Financiero]])=TRUE,MONTH(Producción_Ganadera[[#This Row],[Fecha Financiero]]),0)</f>
        <v>0</v>
      </c>
      <c r="AO130" s="885">
        <f>IF(ISNUMBER(Producción_Ganadera[[#This Row],[Fecha Financiero]])=TRUE,YEAR(Producción_Ganadera[[#This Row],[Fecha Financiero]]),0)</f>
        <v>0</v>
      </c>
      <c r="AP130" s="889">
        <f>SUMPRODUCT((Producción_Ganadera[[#This Row],[Mes Financiero]]=Tipo_Cambio[Mes])*(Producción_Ganadera[[#This Row],[Año Financiero]]=Tipo_Cambio[Año])*(Tipo_Cambio[$/U$S]))</f>
        <v>0</v>
      </c>
      <c r="AQ130" s="889">
        <f>SUMPRODUCT((Producción_Ganadera[[#This Row],[Mes Financiero]]=Tipo_Cambio[Mes])*(Producción_Ganadera[[#This Row],[Año Financiero]]=Tipo_Cambio[Año])*(Tipo_Cambio[Actualización]))</f>
        <v>0</v>
      </c>
      <c r="AR130" s="919">
        <f>SUMPRODUCT((Producción_Ganadera[[#This Row],[Centro de Costo]]=Tabla19[Centro de Costo])*(Tabla19[Superficie])*(Producción_Ganadera[[#This Row],[Campaña]]=Tabla19[Campaña]))</f>
        <v>0</v>
      </c>
      <c r="AS130" s="918">
        <f>IFERROR(Producción_Ganadera[[#This Row],[Económico $Corrientes]]/Producción_Ganadera[[#This Row],[Superficie]],0)</f>
        <v>0</v>
      </c>
      <c r="AT130" s="918">
        <f>IFERROR(Producción_Ganadera[[#This Row],[Económico $Constantes]]/Producción_Ganadera[[#This Row],[Superficie]],0)</f>
        <v>0</v>
      </c>
      <c r="AU130" s="918">
        <f>IFERROR(Producción_Ganadera[[#This Row],[Económico U$S Dólares]]/Producción_Ganadera[[#This Row],[Superficie]],0)</f>
        <v>0</v>
      </c>
      <c r="AV130" s="916" t="str">
        <f>IF(Económico!$F$4=0,0,Producción_Ganadera[[#This Row],[Centro de Costo]])</f>
        <v>Campo 2</v>
      </c>
    </row>
    <row r="131" spans="1:16384" x14ac:dyDescent="0.25">
      <c r="A131" s="86"/>
      <c r="B131" s="377"/>
      <c r="C131" s="86"/>
      <c r="D131" s="478">
        <f>DATE(RIGHT(Producción_Ganadera[[#This Row],[Campaña]],4),4,1)</f>
        <v>43556</v>
      </c>
      <c r="E131" s="522"/>
      <c r="F131" s="869" t="str">
        <f t="shared" si="8"/>
        <v>2018-2019</v>
      </c>
      <c r="G131" s="491" t="str">
        <f>GAN_Entrada_C.CAtegoria</f>
        <v>Entrada C. Categoría</v>
      </c>
      <c r="H131" s="491" t="s">
        <v>8</v>
      </c>
      <c r="I131" s="491" t="s">
        <v>129</v>
      </c>
      <c r="J131" s="549"/>
      <c r="K131" s="491"/>
      <c r="L131" s="520">
        <f>L130</f>
        <v>0</v>
      </c>
      <c r="M13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3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31" s="611"/>
      <c r="P131" s="484"/>
      <c r="Q131" s="875">
        <f>IF(ISNUMBER(Producción_Ganadera[[#This Row],[Cabezas]])=TRUE,Producción_Ganadera[[#This Row],[Cabezas]]*Producción_Ganadera[[#This Row],[Cantidad]],Producción_Ganadera[[#This Row],[Cantidad]])</f>
        <v>0</v>
      </c>
      <c r="R131" s="482"/>
      <c r="S131" s="552"/>
      <c r="T131" s="553"/>
      <c r="U13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31" s="881">
        <f>IFERROR(Producción_Ganadera[[#This Row],[Económico $Corrientes]]/Producción_Ganadera[[#This Row],[Indexación Económico]],0)</f>
        <v>0</v>
      </c>
      <c r="W13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3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31" s="881">
        <f>IFERROR(Producción_Ganadera[[#This Row],[Financiero $Corrientes]]/Producción_Ganadera[[#This Row],[Indexación Financiero]],0)</f>
        <v>0</v>
      </c>
      <c r="Z13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3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31" s="885">
        <f>IFERROR(Producción_Ganadera[[#This Row],[Intereses $Corrientes]]/Producción_Ganadera[[#This Row],[Indexación Financiero]],0)</f>
        <v>0</v>
      </c>
      <c r="AC13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31" s="915" t="str">
        <f>IFERROR(INDEX(Produccion_Ganadera_Cuentas[],MATCH(Producción_Ganadera[[#This Row],[Cuenta Contable]],Produccion_Ganadera_Cuentas[Cuenta Contable],0),2),0)</f>
        <v>Mov. Hacienda</v>
      </c>
      <c r="AE131" s="916">
        <f>IF(Producción_Ganadera[[#This Row],[Mov. Stock]]="(+)",Producción_Ganadera[[#This Row],[Cabezas]],IF(Producción_Ganadera[[#This Row],[Mov. Stock]]="(-)",-Producción_Ganadera[[#This Row],[Cabezas]],0))</f>
        <v>0</v>
      </c>
      <c r="AF131" s="917" t="str">
        <f>IFERROR(INDEX(Produccion_Ganadera_Cuentas[],MATCH(Producción_Ganadera[[#This Row],[Cuenta Contable]],Produccion_Ganadera_Cuentas[Cuenta Contable],0),5),0)</f>
        <v>(+)</v>
      </c>
      <c r="AG131" s="918" t="str">
        <f>IF(Producción_Ganadera[[#This Row],[Cuenta Contable]]=Configuración!$AC$9,"Si","No")</f>
        <v>No</v>
      </c>
      <c r="AH131" s="887" t="str">
        <f>IFERROR(INDEX(Tabla9[],MATCH(Producción_Ganadera[[#This Row],[Movimiento]],Tabla9[Movimientos],0),2),0)</f>
        <v>No</v>
      </c>
      <c r="AI131" s="888">
        <f>IFERROR(INDEX(Tabla9[],MATCH(Producción_Ganadera[[#This Row],[Movimiento]],Tabla9[Movimientos],0),3),0)</f>
        <v>0</v>
      </c>
      <c r="AJ131" s="885">
        <f>IF(Producción_Ganadera[[#This Row],[Fecha Económico]]=0,0,MONTH(Producción_Ganadera[[#This Row],[Fecha Económico]]))</f>
        <v>4</v>
      </c>
      <c r="AK131" s="885">
        <f>IF(Producción_Ganadera[[#This Row],[Fecha Económico]]=0,0,YEAR(Producción_Ganadera[[#This Row],[Fecha Económico]]))</f>
        <v>2019</v>
      </c>
      <c r="AL131" s="889">
        <f>SUMPRODUCT((Producción_Ganadera[[#This Row],[Mes Económico]]=Tipo_Cambio[Mes])*(Producción_Ganadera[[#This Row],[Año Económico]]=Tipo_Cambio[Año])*(Tipo_Cambio[$/U$S]))</f>
        <v>24.061075999055937</v>
      </c>
      <c r="AM131" s="889">
        <f>SUMPRODUCT((Producción_Ganadera[[#This Row],[Mes Económico]]=Tipo_Cambio[Mes])*(Producción_Ganadera[[#This Row],[Año Económico]]=Tipo_Cambio[Año])*(Tipo_Cambio[Actualización]))</f>
        <v>1.1950925686223111</v>
      </c>
      <c r="AN131" s="885">
        <f>IF(ISNUMBER(Producción_Ganadera[[#This Row],[Fecha Financiero]])=TRUE,MONTH(Producción_Ganadera[[#This Row],[Fecha Financiero]]),0)</f>
        <v>0</v>
      </c>
      <c r="AO131" s="885">
        <f>IF(ISNUMBER(Producción_Ganadera[[#This Row],[Fecha Financiero]])=TRUE,YEAR(Producción_Ganadera[[#This Row],[Fecha Financiero]]),0)</f>
        <v>0</v>
      </c>
      <c r="AP131" s="889">
        <f>SUMPRODUCT((Producción_Ganadera[[#This Row],[Mes Financiero]]=Tipo_Cambio[Mes])*(Producción_Ganadera[[#This Row],[Año Financiero]]=Tipo_Cambio[Año])*(Tipo_Cambio[$/U$S]))</f>
        <v>0</v>
      </c>
      <c r="AQ131" s="889">
        <f>SUMPRODUCT((Producción_Ganadera[[#This Row],[Mes Financiero]]=Tipo_Cambio[Mes])*(Producción_Ganadera[[#This Row],[Año Financiero]]=Tipo_Cambio[Año])*(Tipo_Cambio[Actualización]))</f>
        <v>0</v>
      </c>
      <c r="AR131" s="919">
        <f>SUMPRODUCT((Producción_Ganadera[[#This Row],[Centro de Costo]]=Tabla19[Centro de Costo])*(Tabla19[Superficie])*(Producción_Ganadera[[#This Row],[Campaña]]=Tabla19[Campaña]))</f>
        <v>0</v>
      </c>
      <c r="AS131" s="918">
        <f>IFERROR(Producción_Ganadera[[#This Row],[Económico $Corrientes]]/Producción_Ganadera[[#This Row],[Superficie]],0)</f>
        <v>0</v>
      </c>
      <c r="AT131" s="918">
        <f>IFERROR(Producción_Ganadera[[#This Row],[Económico $Constantes]]/Producción_Ganadera[[#This Row],[Superficie]],0)</f>
        <v>0</v>
      </c>
      <c r="AU131" s="918">
        <f>IFERROR(Producción_Ganadera[[#This Row],[Económico U$S Dólares]]/Producción_Ganadera[[#This Row],[Superficie]],0)</f>
        <v>0</v>
      </c>
      <c r="AV131" s="916" t="str">
        <f>IF(Económico!$F$4=0,0,Producción_Ganadera[[#This Row],[Centro de Costo]])</f>
        <v>Campo 2</v>
      </c>
    </row>
    <row r="132" spans="1:16384" x14ac:dyDescent="0.25">
      <c r="A132" s="86"/>
      <c r="B132" s="377"/>
      <c r="C132" s="86"/>
      <c r="D132" s="478">
        <f>DATE(RIGHT(Producción_Ganadera[[#This Row],[Campaña]],4),4,1)</f>
        <v>43556</v>
      </c>
      <c r="E132" s="522"/>
      <c r="F132" s="869" t="str">
        <f t="shared" si="8"/>
        <v>2018-2019</v>
      </c>
      <c r="G132" s="491" t="str">
        <f>GAN_Salida_C.Categoria</f>
        <v>Salida C. Categoría</v>
      </c>
      <c r="H132" s="491" t="s">
        <v>8</v>
      </c>
      <c r="I132" s="491" t="s">
        <v>129</v>
      </c>
      <c r="J132" s="549"/>
      <c r="K132" s="491"/>
      <c r="L132" s="520"/>
      <c r="M13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3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32" s="611"/>
      <c r="P132" s="484"/>
      <c r="Q132" s="875">
        <f>IF(ISNUMBER(Producción_Ganadera[[#This Row],[Cabezas]])=TRUE,Producción_Ganadera[[#This Row],[Cabezas]]*Producción_Ganadera[[#This Row],[Cantidad]],Producción_Ganadera[[#This Row],[Cantidad]])</f>
        <v>0</v>
      </c>
      <c r="R132" s="482"/>
      <c r="S132" s="552"/>
      <c r="T132" s="553"/>
      <c r="U13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32" s="881">
        <f>IFERROR(Producción_Ganadera[[#This Row],[Económico $Corrientes]]/Producción_Ganadera[[#This Row],[Indexación Económico]],0)</f>
        <v>0</v>
      </c>
      <c r="W13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3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32" s="881">
        <f>IFERROR(Producción_Ganadera[[#This Row],[Financiero $Corrientes]]/Producción_Ganadera[[#This Row],[Indexación Financiero]],0)</f>
        <v>0</v>
      </c>
      <c r="Z13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3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32" s="885">
        <f>IFERROR(Producción_Ganadera[[#This Row],[Intereses $Corrientes]]/Producción_Ganadera[[#This Row],[Indexación Financiero]],0)</f>
        <v>0</v>
      </c>
      <c r="AC13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32" s="915" t="str">
        <f>IFERROR(INDEX(Produccion_Ganadera_Cuentas[],MATCH(Producción_Ganadera[[#This Row],[Cuenta Contable]],Produccion_Ganadera_Cuentas[Cuenta Contable],0),2),0)</f>
        <v>Mov. Hacienda</v>
      </c>
      <c r="AE132" s="916">
        <f>IF(Producción_Ganadera[[#This Row],[Mov. Stock]]="(+)",Producción_Ganadera[[#This Row],[Cabezas]],IF(Producción_Ganadera[[#This Row],[Mov. Stock]]="(-)",-Producción_Ganadera[[#This Row],[Cabezas]],0))</f>
        <v>0</v>
      </c>
      <c r="AF132" s="917" t="str">
        <f>IFERROR(INDEX(Produccion_Ganadera_Cuentas[],MATCH(Producción_Ganadera[[#This Row],[Cuenta Contable]],Produccion_Ganadera_Cuentas[Cuenta Contable],0),5),0)</f>
        <v>(-)</v>
      </c>
      <c r="AG132" s="918" t="str">
        <f>IF(Producción_Ganadera[[#This Row],[Cuenta Contable]]=Configuración!$AC$9,"Si","No")</f>
        <v>No</v>
      </c>
      <c r="AH132" s="887" t="str">
        <f>IFERROR(INDEX(Tabla9[],MATCH(Producción_Ganadera[[#This Row],[Movimiento]],Tabla9[Movimientos],0),2),0)</f>
        <v>No</v>
      </c>
      <c r="AI132" s="888">
        <f>IFERROR(INDEX(Tabla9[],MATCH(Producción_Ganadera[[#This Row],[Movimiento]],Tabla9[Movimientos],0),3),0)</f>
        <v>0</v>
      </c>
      <c r="AJ132" s="885">
        <f>IF(Producción_Ganadera[[#This Row],[Fecha Económico]]=0,0,MONTH(Producción_Ganadera[[#This Row],[Fecha Económico]]))</f>
        <v>4</v>
      </c>
      <c r="AK132" s="885">
        <f>IF(Producción_Ganadera[[#This Row],[Fecha Económico]]=0,0,YEAR(Producción_Ganadera[[#This Row],[Fecha Económico]]))</f>
        <v>2019</v>
      </c>
      <c r="AL132" s="889">
        <f>SUMPRODUCT((Producción_Ganadera[[#This Row],[Mes Económico]]=Tipo_Cambio[Mes])*(Producción_Ganadera[[#This Row],[Año Económico]]=Tipo_Cambio[Año])*(Tipo_Cambio[$/U$S]))</f>
        <v>24.061075999055937</v>
      </c>
      <c r="AM132" s="889">
        <f>SUMPRODUCT((Producción_Ganadera[[#This Row],[Mes Económico]]=Tipo_Cambio[Mes])*(Producción_Ganadera[[#This Row],[Año Económico]]=Tipo_Cambio[Año])*(Tipo_Cambio[Actualización]))</f>
        <v>1.1950925686223111</v>
      </c>
      <c r="AN132" s="885">
        <f>IF(ISNUMBER(Producción_Ganadera[[#This Row],[Fecha Financiero]])=TRUE,MONTH(Producción_Ganadera[[#This Row],[Fecha Financiero]]),0)</f>
        <v>0</v>
      </c>
      <c r="AO132" s="885">
        <f>IF(ISNUMBER(Producción_Ganadera[[#This Row],[Fecha Financiero]])=TRUE,YEAR(Producción_Ganadera[[#This Row],[Fecha Financiero]]),0)</f>
        <v>0</v>
      </c>
      <c r="AP132" s="889">
        <f>SUMPRODUCT((Producción_Ganadera[[#This Row],[Mes Financiero]]=Tipo_Cambio[Mes])*(Producción_Ganadera[[#This Row],[Año Financiero]]=Tipo_Cambio[Año])*(Tipo_Cambio[$/U$S]))</f>
        <v>0</v>
      </c>
      <c r="AQ132" s="889">
        <f>SUMPRODUCT((Producción_Ganadera[[#This Row],[Mes Financiero]]=Tipo_Cambio[Mes])*(Producción_Ganadera[[#This Row],[Año Financiero]]=Tipo_Cambio[Año])*(Tipo_Cambio[Actualización]))</f>
        <v>0</v>
      </c>
      <c r="AR132" s="919">
        <f>SUMPRODUCT((Producción_Ganadera[[#This Row],[Centro de Costo]]=Tabla19[Centro de Costo])*(Tabla19[Superficie])*(Producción_Ganadera[[#This Row],[Campaña]]=Tabla19[Campaña]))</f>
        <v>0</v>
      </c>
      <c r="AS132" s="918">
        <f>IFERROR(Producción_Ganadera[[#This Row],[Económico $Corrientes]]/Producción_Ganadera[[#This Row],[Superficie]],0)</f>
        <v>0</v>
      </c>
      <c r="AT132" s="918">
        <f>IFERROR(Producción_Ganadera[[#This Row],[Económico $Constantes]]/Producción_Ganadera[[#This Row],[Superficie]],0)</f>
        <v>0</v>
      </c>
      <c r="AU132" s="918">
        <f>IFERROR(Producción_Ganadera[[#This Row],[Económico U$S Dólares]]/Producción_Ganadera[[#This Row],[Superficie]],0)</f>
        <v>0</v>
      </c>
      <c r="AV132" s="916" t="str">
        <f>IF(Económico!$F$4=0,0,Producción_Ganadera[[#This Row],[Centro de Costo]])</f>
        <v>Campo 2</v>
      </c>
    </row>
    <row r="133" spans="1:16384" x14ac:dyDescent="0.25">
      <c r="A133" s="86"/>
      <c r="B133" s="377"/>
      <c r="C133" s="86"/>
      <c r="D133" s="478">
        <f>DATE(RIGHT(Producción_Ganadera[[#This Row],[Campaña]],4),4,1)</f>
        <v>43556</v>
      </c>
      <c r="E133" s="522"/>
      <c r="F133" s="869" t="str">
        <f t="shared" si="8"/>
        <v>2018-2019</v>
      </c>
      <c r="G133" s="491" t="str">
        <f>GAN_Entrada_C.CAtegoria</f>
        <v>Entrada C. Categoría</v>
      </c>
      <c r="H133" s="491" t="s">
        <v>8</v>
      </c>
      <c r="I133" s="491" t="s">
        <v>128</v>
      </c>
      <c r="J133" s="549"/>
      <c r="K133" s="491"/>
      <c r="L133" s="520">
        <f>L132</f>
        <v>0</v>
      </c>
      <c r="M13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3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33" s="611"/>
      <c r="P133" s="484"/>
      <c r="Q133" s="875">
        <f>IF(ISNUMBER(Producción_Ganadera[[#This Row],[Cabezas]])=TRUE,Producción_Ganadera[[#This Row],[Cabezas]]*Producción_Ganadera[[#This Row],[Cantidad]],Producción_Ganadera[[#This Row],[Cantidad]])</f>
        <v>0</v>
      </c>
      <c r="R133" s="482"/>
      <c r="S133" s="552"/>
      <c r="T133" s="553"/>
      <c r="U13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33" s="881">
        <f>IFERROR(Producción_Ganadera[[#This Row],[Económico $Corrientes]]/Producción_Ganadera[[#This Row],[Indexación Económico]],0)</f>
        <v>0</v>
      </c>
      <c r="W13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3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33" s="881">
        <f>IFERROR(Producción_Ganadera[[#This Row],[Financiero $Corrientes]]/Producción_Ganadera[[#This Row],[Indexación Financiero]],0)</f>
        <v>0</v>
      </c>
      <c r="Z13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3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33" s="885">
        <f>IFERROR(Producción_Ganadera[[#This Row],[Intereses $Corrientes]]/Producción_Ganadera[[#This Row],[Indexación Financiero]],0)</f>
        <v>0</v>
      </c>
      <c r="AC13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33" s="915" t="str">
        <f>IFERROR(INDEX(Produccion_Ganadera_Cuentas[],MATCH(Producción_Ganadera[[#This Row],[Cuenta Contable]],Produccion_Ganadera_Cuentas[Cuenta Contable],0),2),0)</f>
        <v>Mov. Hacienda</v>
      </c>
      <c r="AE133" s="916">
        <f>IF(Producción_Ganadera[[#This Row],[Mov. Stock]]="(+)",Producción_Ganadera[[#This Row],[Cabezas]],IF(Producción_Ganadera[[#This Row],[Mov. Stock]]="(-)",-Producción_Ganadera[[#This Row],[Cabezas]],0))</f>
        <v>0</v>
      </c>
      <c r="AF133" s="917" t="str">
        <f>IFERROR(INDEX(Produccion_Ganadera_Cuentas[],MATCH(Producción_Ganadera[[#This Row],[Cuenta Contable]],Produccion_Ganadera_Cuentas[Cuenta Contable],0),5),0)</f>
        <v>(+)</v>
      </c>
      <c r="AG133" s="918" t="str">
        <f>IF(Producción_Ganadera[[#This Row],[Cuenta Contable]]=Configuración!$AC$9,"Si","No")</f>
        <v>No</v>
      </c>
      <c r="AH133" s="887" t="str">
        <f>IFERROR(INDEX(Tabla9[],MATCH(Producción_Ganadera[[#This Row],[Movimiento]],Tabla9[Movimientos],0),2),0)</f>
        <v>No</v>
      </c>
      <c r="AI133" s="888">
        <f>IFERROR(INDEX(Tabla9[],MATCH(Producción_Ganadera[[#This Row],[Movimiento]],Tabla9[Movimientos],0),3),0)</f>
        <v>0</v>
      </c>
      <c r="AJ133" s="885">
        <f>IF(Producción_Ganadera[[#This Row],[Fecha Económico]]=0,0,MONTH(Producción_Ganadera[[#This Row],[Fecha Económico]]))</f>
        <v>4</v>
      </c>
      <c r="AK133" s="885">
        <f>IF(Producción_Ganadera[[#This Row],[Fecha Económico]]=0,0,YEAR(Producción_Ganadera[[#This Row],[Fecha Económico]]))</f>
        <v>2019</v>
      </c>
      <c r="AL133" s="889">
        <f>SUMPRODUCT((Producción_Ganadera[[#This Row],[Mes Económico]]=Tipo_Cambio[Mes])*(Producción_Ganadera[[#This Row],[Año Económico]]=Tipo_Cambio[Año])*(Tipo_Cambio[$/U$S]))</f>
        <v>24.061075999055937</v>
      </c>
      <c r="AM133" s="889">
        <f>SUMPRODUCT((Producción_Ganadera[[#This Row],[Mes Económico]]=Tipo_Cambio[Mes])*(Producción_Ganadera[[#This Row],[Año Económico]]=Tipo_Cambio[Año])*(Tipo_Cambio[Actualización]))</f>
        <v>1.1950925686223111</v>
      </c>
      <c r="AN133" s="885">
        <f>IF(ISNUMBER(Producción_Ganadera[[#This Row],[Fecha Financiero]])=TRUE,MONTH(Producción_Ganadera[[#This Row],[Fecha Financiero]]),0)</f>
        <v>0</v>
      </c>
      <c r="AO133" s="885">
        <f>IF(ISNUMBER(Producción_Ganadera[[#This Row],[Fecha Financiero]])=TRUE,YEAR(Producción_Ganadera[[#This Row],[Fecha Financiero]]),0)</f>
        <v>0</v>
      </c>
      <c r="AP133" s="889">
        <f>SUMPRODUCT((Producción_Ganadera[[#This Row],[Mes Financiero]]=Tipo_Cambio[Mes])*(Producción_Ganadera[[#This Row],[Año Financiero]]=Tipo_Cambio[Año])*(Tipo_Cambio[$/U$S]))</f>
        <v>0</v>
      </c>
      <c r="AQ133" s="889">
        <f>SUMPRODUCT((Producción_Ganadera[[#This Row],[Mes Financiero]]=Tipo_Cambio[Mes])*(Producción_Ganadera[[#This Row],[Año Financiero]]=Tipo_Cambio[Año])*(Tipo_Cambio[Actualización]))</f>
        <v>0</v>
      </c>
      <c r="AR133" s="919">
        <f>SUMPRODUCT((Producción_Ganadera[[#This Row],[Centro de Costo]]=Tabla19[Centro de Costo])*(Tabla19[Superficie])*(Producción_Ganadera[[#This Row],[Campaña]]=Tabla19[Campaña]))</f>
        <v>0</v>
      </c>
      <c r="AS133" s="918">
        <f>IFERROR(Producción_Ganadera[[#This Row],[Económico $Corrientes]]/Producción_Ganadera[[#This Row],[Superficie]],0)</f>
        <v>0</v>
      </c>
      <c r="AT133" s="918">
        <f>IFERROR(Producción_Ganadera[[#This Row],[Económico $Constantes]]/Producción_Ganadera[[#This Row],[Superficie]],0)</f>
        <v>0</v>
      </c>
      <c r="AU133" s="918">
        <f>IFERROR(Producción_Ganadera[[#This Row],[Económico U$S Dólares]]/Producción_Ganadera[[#This Row],[Superficie]],0)</f>
        <v>0</v>
      </c>
      <c r="AV133" s="916" t="str">
        <f>IF(Económico!$F$4=0,0,Producción_Ganadera[[#This Row],[Centro de Costo]])</f>
        <v>Campo 2</v>
      </c>
    </row>
    <row r="134" spans="1:16384" x14ac:dyDescent="0.25">
      <c r="A134" s="86"/>
      <c r="B134" s="377"/>
      <c r="C134" s="86"/>
      <c r="D134" s="478">
        <f>DATE(RIGHT(Producción_Ganadera[[#This Row],[Campaña]],4),4,1)</f>
        <v>43556</v>
      </c>
      <c r="E134" s="522"/>
      <c r="F134" s="869" t="str">
        <f t="shared" si="8"/>
        <v>2018-2019</v>
      </c>
      <c r="G134" s="491" t="str">
        <f>GAN_Salida_C.Categoria</f>
        <v>Salida C. Categoría</v>
      </c>
      <c r="H134" s="491" t="s">
        <v>8</v>
      </c>
      <c r="I134" s="491" t="s">
        <v>128</v>
      </c>
      <c r="J134" s="549"/>
      <c r="K134" s="491"/>
      <c r="L134" s="520"/>
      <c r="M13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3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34" s="611"/>
      <c r="P134" s="484"/>
      <c r="Q134" s="875">
        <f>IF(ISNUMBER(Producción_Ganadera[[#This Row],[Cabezas]])=TRUE,Producción_Ganadera[[#This Row],[Cabezas]]*Producción_Ganadera[[#This Row],[Cantidad]],Producción_Ganadera[[#This Row],[Cantidad]])</f>
        <v>0</v>
      </c>
      <c r="R134" s="482"/>
      <c r="S134" s="552"/>
      <c r="T134" s="553"/>
      <c r="U13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34" s="881">
        <f>IFERROR(Producción_Ganadera[[#This Row],[Económico $Corrientes]]/Producción_Ganadera[[#This Row],[Indexación Económico]],0)</f>
        <v>0</v>
      </c>
      <c r="W13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3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34" s="881">
        <f>IFERROR(Producción_Ganadera[[#This Row],[Financiero $Corrientes]]/Producción_Ganadera[[#This Row],[Indexación Financiero]],0)</f>
        <v>0</v>
      </c>
      <c r="Z13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3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34" s="885">
        <f>IFERROR(Producción_Ganadera[[#This Row],[Intereses $Corrientes]]/Producción_Ganadera[[#This Row],[Indexación Financiero]],0)</f>
        <v>0</v>
      </c>
      <c r="AC13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34" s="915" t="str">
        <f>IFERROR(INDEX(Produccion_Ganadera_Cuentas[],MATCH(Producción_Ganadera[[#This Row],[Cuenta Contable]],Produccion_Ganadera_Cuentas[Cuenta Contable],0),2),0)</f>
        <v>Mov. Hacienda</v>
      </c>
      <c r="AE134" s="916">
        <f>IF(Producción_Ganadera[[#This Row],[Mov. Stock]]="(+)",Producción_Ganadera[[#This Row],[Cabezas]],IF(Producción_Ganadera[[#This Row],[Mov. Stock]]="(-)",-Producción_Ganadera[[#This Row],[Cabezas]],0))</f>
        <v>0</v>
      </c>
      <c r="AF134" s="917" t="str">
        <f>IFERROR(INDEX(Produccion_Ganadera_Cuentas[],MATCH(Producción_Ganadera[[#This Row],[Cuenta Contable]],Produccion_Ganadera_Cuentas[Cuenta Contable],0),5),0)</f>
        <v>(-)</v>
      </c>
      <c r="AG134" s="918" t="str">
        <f>IF(Producción_Ganadera[[#This Row],[Cuenta Contable]]=Configuración!$AC$9,"Si","No")</f>
        <v>No</v>
      </c>
      <c r="AH134" s="887" t="str">
        <f>IFERROR(INDEX(Tabla9[],MATCH(Producción_Ganadera[[#This Row],[Movimiento]],Tabla9[Movimientos],0),2),0)</f>
        <v>No</v>
      </c>
      <c r="AI134" s="888">
        <f>IFERROR(INDEX(Tabla9[],MATCH(Producción_Ganadera[[#This Row],[Movimiento]],Tabla9[Movimientos],0),3),0)</f>
        <v>0</v>
      </c>
      <c r="AJ134" s="885">
        <f>IF(Producción_Ganadera[[#This Row],[Fecha Económico]]=0,0,MONTH(Producción_Ganadera[[#This Row],[Fecha Económico]]))</f>
        <v>4</v>
      </c>
      <c r="AK134" s="885">
        <f>IF(Producción_Ganadera[[#This Row],[Fecha Económico]]=0,0,YEAR(Producción_Ganadera[[#This Row],[Fecha Económico]]))</f>
        <v>2019</v>
      </c>
      <c r="AL134" s="889">
        <f>SUMPRODUCT((Producción_Ganadera[[#This Row],[Mes Económico]]=Tipo_Cambio[Mes])*(Producción_Ganadera[[#This Row],[Año Económico]]=Tipo_Cambio[Año])*(Tipo_Cambio[$/U$S]))</f>
        <v>24.061075999055937</v>
      </c>
      <c r="AM134" s="889">
        <f>SUMPRODUCT((Producción_Ganadera[[#This Row],[Mes Económico]]=Tipo_Cambio[Mes])*(Producción_Ganadera[[#This Row],[Año Económico]]=Tipo_Cambio[Año])*(Tipo_Cambio[Actualización]))</f>
        <v>1.1950925686223111</v>
      </c>
      <c r="AN134" s="885">
        <f>IF(ISNUMBER(Producción_Ganadera[[#This Row],[Fecha Financiero]])=TRUE,MONTH(Producción_Ganadera[[#This Row],[Fecha Financiero]]),0)</f>
        <v>0</v>
      </c>
      <c r="AO134" s="885">
        <f>IF(ISNUMBER(Producción_Ganadera[[#This Row],[Fecha Financiero]])=TRUE,YEAR(Producción_Ganadera[[#This Row],[Fecha Financiero]]),0)</f>
        <v>0</v>
      </c>
      <c r="AP134" s="889">
        <f>SUMPRODUCT((Producción_Ganadera[[#This Row],[Mes Financiero]]=Tipo_Cambio[Mes])*(Producción_Ganadera[[#This Row],[Año Financiero]]=Tipo_Cambio[Año])*(Tipo_Cambio[$/U$S]))</f>
        <v>0</v>
      </c>
      <c r="AQ134" s="889">
        <f>SUMPRODUCT((Producción_Ganadera[[#This Row],[Mes Financiero]]=Tipo_Cambio[Mes])*(Producción_Ganadera[[#This Row],[Año Financiero]]=Tipo_Cambio[Año])*(Tipo_Cambio[Actualización]))</f>
        <v>0</v>
      </c>
      <c r="AR134" s="919">
        <f>SUMPRODUCT((Producción_Ganadera[[#This Row],[Centro de Costo]]=Tabla19[Centro de Costo])*(Tabla19[Superficie])*(Producción_Ganadera[[#This Row],[Campaña]]=Tabla19[Campaña]))</f>
        <v>0</v>
      </c>
      <c r="AS134" s="918">
        <f>IFERROR(Producción_Ganadera[[#This Row],[Económico $Corrientes]]/Producción_Ganadera[[#This Row],[Superficie]],0)</f>
        <v>0</v>
      </c>
      <c r="AT134" s="918">
        <f>IFERROR(Producción_Ganadera[[#This Row],[Económico $Constantes]]/Producción_Ganadera[[#This Row],[Superficie]],0)</f>
        <v>0</v>
      </c>
      <c r="AU134" s="918">
        <f>IFERROR(Producción_Ganadera[[#This Row],[Económico U$S Dólares]]/Producción_Ganadera[[#This Row],[Superficie]],0)</f>
        <v>0</v>
      </c>
      <c r="AV134" s="916" t="str">
        <f>IF(Económico!$F$4=0,0,Producción_Ganadera[[#This Row],[Centro de Costo]])</f>
        <v>Campo 2</v>
      </c>
    </row>
    <row r="135" spans="1:16384" x14ac:dyDescent="0.25">
      <c r="A135" s="86"/>
      <c r="B135" s="377"/>
      <c r="C135" s="86"/>
      <c r="D135" s="478">
        <f>DATE(RIGHT(Producción_Ganadera[[#This Row],[Campaña]],4),4,1)</f>
        <v>43556</v>
      </c>
      <c r="E135" s="522"/>
      <c r="F135" s="869" t="str">
        <f t="shared" si="8"/>
        <v>2018-2019</v>
      </c>
      <c r="G135" s="491" t="str">
        <f>GAN_Entrada_C.CAtegoria</f>
        <v>Entrada C. Categoría</v>
      </c>
      <c r="H135" s="491" t="s">
        <v>8</v>
      </c>
      <c r="I135" s="491" t="s">
        <v>221</v>
      </c>
      <c r="J135" s="549"/>
      <c r="K135" s="491"/>
      <c r="L135" s="520">
        <f>L134</f>
        <v>0</v>
      </c>
      <c r="M13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3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35" s="611"/>
      <c r="P135" s="484"/>
      <c r="Q135" s="875">
        <f>IF(ISNUMBER(Producción_Ganadera[[#This Row],[Cabezas]])=TRUE,Producción_Ganadera[[#This Row],[Cabezas]]*Producción_Ganadera[[#This Row],[Cantidad]],Producción_Ganadera[[#This Row],[Cantidad]])</f>
        <v>0</v>
      </c>
      <c r="R135" s="482"/>
      <c r="S135" s="552"/>
      <c r="T135" s="553"/>
      <c r="U13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35" s="881">
        <f>IFERROR(Producción_Ganadera[[#This Row],[Económico $Corrientes]]/Producción_Ganadera[[#This Row],[Indexación Económico]],0)</f>
        <v>0</v>
      </c>
      <c r="W13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3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35" s="881">
        <f>IFERROR(Producción_Ganadera[[#This Row],[Financiero $Corrientes]]/Producción_Ganadera[[#This Row],[Indexación Financiero]],0)</f>
        <v>0</v>
      </c>
      <c r="Z13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3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35" s="885">
        <f>IFERROR(Producción_Ganadera[[#This Row],[Intereses $Corrientes]]/Producción_Ganadera[[#This Row],[Indexación Financiero]],0)</f>
        <v>0</v>
      </c>
      <c r="AC13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35" s="915" t="str">
        <f>IFERROR(INDEX(Produccion_Ganadera_Cuentas[],MATCH(Producción_Ganadera[[#This Row],[Cuenta Contable]],Produccion_Ganadera_Cuentas[Cuenta Contable],0),2),0)</f>
        <v>Mov. Hacienda</v>
      </c>
      <c r="AE135" s="916">
        <f>IF(Producción_Ganadera[[#This Row],[Mov. Stock]]="(+)",Producción_Ganadera[[#This Row],[Cabezas]],IF(Producción_Ganadera[[#This Row],[Mov. Stock]]="(-)",-Producción_Ganadera[[#This Row],[Cabezas]],0))</f>
        <v>0</v>
      </c>
      <c r="AF135" s="917" t="str">
        <f>IFERROR(INDEX(Produccion_Ganadera_Cuentas[],MATCH(Producción_Ganadera[[#This Row],[Cuenta Contable]],Produccion_Ganadera_Cuentas[Cuenta Contable],0),5),0)</f>
        <v>(+)</v>
      </c>
      <c r="AG135" s="918" t="str">
        <f>IF(Producción_Ganadera[[#This Row],[Cuenta Contable]]=Configuración!$AC$9,"Si","No")</f>
        <v>No</v>
      </c>
      <c r="AH135" s="887" t="str">
        <f>IFERROR(INDEX(Tabla9[],MATCH(Producción_Ganadera[[#This Row],[Movimiento]],Tabla9[Movimientos],0),2),0)</f>
        <v>No</v>
      </c>
      <c r="AI135" s="888">
        <f>IFERROR(INDEX(Tabla9[],MATCH(Producción_Ganadera[[#This Row],[Movimiento]],Tabla9[Movimientos],0),3),0)</f>
        <v>0</v>
      </c>
      <c r="AJ135" s="885">
        <f>IF(Producción_Ganadera[[#This Row],[Fecha Económico]]=0,0,MONTH(Producción_Ganadera[[#This Row],[Fecha Económico]]))</f>
        <v>4</v>
      </c>
      <c r="AK135" s="885">
        <f>IF(Producción_Ganadera[[#This Row],[Fecha Económico]]=0,0,YEAR(Producción_Ganadera[[#This Row],[Fecha Económico]]))</f>
        <v>2019</v>
      </c>
      <c r="AL135" s="889">
        <f>SUMPRODUCT((Producción_Ganadera[[#This Row],[Mes Económico]]=Tipo_Cambio[Mes])*(Producción_Ganadera[[#This Row],[Año Económico]]=Tipo_Cambio[Año])*(Tipo_Cambio[$/U$S]))</f>
        <v>24.061075999055937</v>
      </c>
      <c r="AM135" s="889">
        <f>SUMPRODUCT((Producción_Ganadera[[#This Row],[Mes Económico]]=Tipo_Cambio[Mes])*(Producción_Ganadera[[#This Row],[Año Económico]]=Tipo_Cambio[Año])*(Tipo_Cambio[Actualización]))</f>
        <v>1.1950925686223111</v>
      </c>
      <c r="AN135" s="885">
        <f>IF(ISNUMBER(Producción_Ganadera[[#This Row],[Fecha Financiero]])=TRUE,MONTH(Producción_Ganadera[[#This Row],[Fecha Financiero]]),0)</f>
        <v>0</v>
      </c>
      <c r="AO135" s="885">
        <f>IF(ISNUMBER(Producción_Ganadera[[#This Row],[Fecha Financiero]])=TRUE,YEAR(Producción_Ganadera[[#This Row],[Fecha Financiero]]),0)</f>
        <v>0</v>
      </c>
      <c r="AP135" s="889">
        <f>SUMPRODUCT((Producción_Ganadera[[#This Row],[Mes Financiero]]=Tipo_Cambio[Mes])*(Producción_Ganadera[[#This Row],[Año Financiero]]=Tipo_Cambio[Año])*(Tipo_Cambio[$/U$S]))</f>
        <v>0</v>
      </c>
      <c r="AQ135" s="889">
        <f>SUMPRODUCT((Producción_Ganadera[[#This Row],[Mes Financiero]]=Tipo_Cambio[Mes])*(Producción_Ganadera[[#This Row],[Año Financiero]]=Tipo_Cambio[Año])*(Tipo_Cambio[Actualización]))</f>
        <v>0</v>
      </c>
      <c r="AR135" s="919">
        <f>SUMPRODUCT((Producción_Ganadera[[#This Row],[Centro de Costo]]=Tabla19[Centro de Costo])*(Tabla19[Superficie])*(Producción_Ganadera[[#This Row],[Campaña]]=Tabla19[Campaña]))</f>
        <v>0</v>
      </c>
      <c r="AS135" s="918">
        <f>IFERROR(Producción_Ganadera[[#This Row],[Económico $Corrientes]]/Producción_Ganadera[[#This Row],[Superficie]],0)</f>
        <v>0</v>
      </c>
      <c r="AT135" s="918">
        <f>IFERROR(Producción_Ganadera[[#This Row],[Económico $Constantes]]/Producción_Ganadera[[#This Row],[Superficie]],0)</f>
        <v>0</v>
      </c>
      <c r="AU135" s="918">
        <f>IFERROR(Producción_Ganadera[[#This Row],[Económico U$S Dólares]]/Producción_Ganadera[[#This Row],[Superficie]],0)</f>
        <v>0</v>
      </c>
      <c r="AV135" s="916" t="str">
        <f>IF(Económico!$F$4=0,0,Producción_Ganadera[[#This Row],[Centro de Costo]])</f>
        <v>Campo 2</v>
      </c>
    </row>
    <row r="136" spans="1:16384" x14ac:dyDescent="0.25">
      <c r="A136" s="86"/>
      <c r="B136" s="377"/>
      <c r="C136" s="86"/>
      <c r="D136" s="478">
        <f>DATE(RIGHT(Producción_Ganadera[[#This Row],[Campaña]],4),4,1)</f>
        <v>43556</v>
      </c>
      <c r="E136" s="522"/>
      <c r="F136" s="869" t="str">
        <f t="shared" si="8"/>
        <v>2018-2019</v>
      </c>
      <c r="G136" s="491" t="str">
        <f>GAN_Salida_C.Categoria</f>
        <v>Salida C. Categoría</v>
      </c>
      <c r="H136" s="491" t="s">
        <v>8</v>
      </c>
      <c r="I136" s="491" t="s">
        <v>128</v>
      </c>
      <c r="J136" s="549"/>
      <c r="K136" s="491"/>
      <c r="L136" s="520"/>
      <c r="M13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3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36" s="611"/>
      <c r="P136" s="484"/>
      <c r="Q136" s="875">
        <f>IF(ISNUMBER(Producción_Ganadera[[#This Row],[Cabezas]])=TRUE,Producción_Ganadera[[#This Row],[Cabezas]]*Producción_Ganadera[[#This Row],[Cantidad]],Producción_Ganadera[[#This Row],[Cantidad]])</f>
        <v>0</v>
      </c>
      <c r="R136" s="482"/>
      <c r="S136" s="552"/>
      <c r="T136" s="553"/>
      <c r="U13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36" s="881">
        <f>IFERROR(Producción_Ganadera[[#This Row],[Económico $Corrientes]]/Producción_Ganadera[[#This Row],[Indexación Económico]],0)</f>
        <v>0</v>
      </c>
      <c r="W13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3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36" s="881">
        <f>IFERROR(Producción_Ganadera[[#This Row],[Financiero $Corrientes]]/Producción_Ganadera[[#This Row],[Indexación Financiero]],0)</f>
        <v>0</v>
      </c>
      <c r="Z13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3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36" s="885">
        <f>IFERROR(Producción_Ganadera[[#This Row],[Intereses $Corrientes]]/Producción_Ganadera[[#This Row],[Indexación Financiero]],0)</f>
        <v>0</v>
      </c>
      <c r="AC13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36" s="915" t="str">
        <f>IFERROR(INDEX(Produccion_Ganadera_Cuentas[],MATCH(Producción_Ganadera[[#This Row],[Cuenta Contable]],Produccion_Ganadera_Cuentas[Cuenta Contable],0),2),0)</f>
        <v>Mov. Hacienda</v>
      </c>
      <c r="AE136" s="916">
        <f>IF(Producción_Ganadera[[#This Row],[Mov. Stock]]="(+)",Producción_Ganadera[[#This Row],[Cabezas]],IF(Producción_Ganadera[[#This Row],[Mov. Stock]]="(-)",-Producción_Ganadera[[#This Row],[Cabezas]],0))</f>
        <v>0</v>
      </c>
      <c r="AF136" s="917" t="str">
        <f>IFERROR(INDEX(Produccion_Ganadera_Cuentas[],MATCH(Producción_Ganadera[[#This Row],[Cuenta Contable]],Produccion_Ganadera_Cuentas[Cuenta Contable],0),5),0)</f>
        <v>(-)</v>
      </c>
      <c r="AG136" s="918" t="str">
        <f>IF(Producción_Ganadera[[#This Row],[Cuenta Contable]]=Configuración!$AC$9,"Si","No")</f>
        <v>No</v>
      </c>
      <c r="AH136" s="887" t="str">
        <f>IFERROR(INDEX(Tabla9[],MATCH(Producción_Ganadera[[#This Row],[Movimiento]],Tabla9[Movimientos],0),2),0)</f>
        <v>No</v>
      </c>
      <c r="AI136" s="888">
        <f>IFERROR(INDEX(Tabla9[],MATCH(Producción_Ganadera[[#This Row],[Movimiento]],Tabla9[Movimientos],0),3),0)</f>
        <v>0</v>
      </c>
      <c r="AJ136" s="885">
        <f>IF(Producción_Ganadera[[#This Row],[Fecha Económico]]=0,0,MONTH(Producción_Ganadera[[#This Row],[Fecha Económico]]))</f>
        <v>4</v>
      </c>
      <c r="AK136" s="885">
        <f>IF(Producción_Ganadera[[#This Row],[Fecha Económico]]=0,0,YEAR(Producción_Ganadera[[#This Row],[Fecha Económico]]))</f>
        <v>2019</v>
      </c>
      <c r="AL136" s="889">
        <f>SUMPRODUCT((Producción_Ganadera[[#This Row],[Mes Económico]]=Tipo_Cambio[Mes])*(Producción_Ganadera[[#This Row],[Año Económico]]=Tipo_Cambio[Año])*(Tipo_Cambio[$/U$S]))</f>
        <v>24.061075999055937</v>
      </c>
      <c r="AM136" s="889">
        <f>SUMPRODUCT((Producción_Ganadera[[#This Row],[Mes Económico]]=Tipo_Cambio[Mes])*(Producción_Ganadera[[#This Row],[Año Económico]]=Tipo_Cambio[Año])*(Tipo_Cambio[Actualización]))</f>
        <v>1.1950925686223111</v>
      </c>
      <c r="AN136" s="885">
        <f>IF(ISNUMBER(Producción_Ganadera[[#This Row],[Fecha Financiero]])=TRUE,MONTH(Producción_Ganadera[[#This Row],[Fecha Financiero]]),0)</f>
        <v>0</v>
      </c>
      <c r="AO136" s="885">
        <f>IF(ISNUMBER(Producción_Ganadera[[#This Row],[Fecha Financiero]])=TRUE,YEAR(Producción_Ganadera[[#This Row],[Fecha Financiero]]),0)</f>
        <v>0</v>
      </c>
      <c r="AP136" s="889">
        <f>SUMPRODUCT((Producción_Ganadera[[#This Row],[Mes Financiero]]=Tipo_Cambio[Mes])*(Producción_Ganadera[[#This Row],[Año Financiero]]=Tipo_Cambio[Año])*(Tipo_Cambio[$/U$S]))</f>
        <v>0</v>
      </c>
      <c r="AQ136" s="889">
        <f>SUMPRODUCT((Producción_Ganadera[[#This Row],[Mes Financiero]]=Tipo_Cambio[Mes])*(Producción_Ganadera[[#This Row],[Año Financiero]]=Tipo_Cambio[Año])*(Tipo_Cambio[Actualización]))</f>
        <v>0</v>
      </c>
      <c r="AR136" s="919">
        <f>SUMPRODUCT((Producción_Ganadera[[#This Row],[Centro de Costo]]=Tabla19[Centro de Costo])*(Tabla19[Superficie])*(Producción_Ganadera[[#This Row],[Campaña]]=Tabla19[Campaña]))</f>
        <v>0</v>
      </c>
      <c r="AS136" s="918">
        <f>IFERROR(Producción_Ganadera[[#This Row],[Económico $Corrientes]]/Producción_Ganadera[[#This Row],[Superficie]],0)</f>
        <v>0</v>
      </c>
      <c r="AT136" s="918">
        <f>IFERROR(Producción_Ganadera[[#This Row],[Económico $Constantes]]/Producción_Ganadera[[#This Row],[Superficie]],0)</f>
        <v>0</v>
      </c>
      <c r="AU136" s="918">
        <f>IFERROR(Producción_Ganadera[[#This Row],[Económico U$S Dólares]]/Producción_Ganadera[[#This Row],[Superficie]],0)</f>
        <v>0</v>
      </c>
      <c r="AV136" s="916" t="str">
        <f>IF(Económico!$F$4=0,0,Producción_Ganadera[[#This Row],[Centro de Costo]])</f>
        <v>Campo 2</v>
      </c>
    </row>
    <row r="137" spans="1:16384" x14ac:dyDescent="0.25">
      <c r="A137" s="86"/>
      <c r="B137" s="377"/>
      <c r="C137" s="86"/>
      <c r="D137" s="478">
        <f>DATE(RIGHT(Producción_Ganadera[[#This Row],[Campaña]],4),4,1)</f>
        <v>43556</v>
      </c>
      <c r="E137" s="522"/>
      <c r="F137" s="869" t="str">
        <f t="shared" si="8"/>
        <v>2018-2019</v>
      </c>
      <c r="G137" s="491" t="str">
        <f>GAN_Entrada_C.CAtegoria</f>
        <v>Entrada C. Categoría</v>
      </c>
      <c r="H137" s="491" t="s">
        <v>8</v>
      </c>
      <c r="I137" s="491" t="s">
        <v>132</v>
      </c>
      <c r="J137" s="549"/>
      <c r="K137" s="491"/>
      <c r="L137" s="520">
        <f>L136</f>
        <v>0</v>
      </c>
      <c r="M13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3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37" s="611"/>
      <c r="P137" s="484"/>
      <c r="Q137" s="875">
        <f>IF(ISNUMBER(Producción_Ganadera[[#This Row],[Cabezas]])=TRUE,Producción_Ganadera[[#This Row],[Cabezas]]*Producción_Ganadera[[#This Row],[Cantidad]],Producción_Ganadera[[#This Row],[Cantidad]])</f>
        <v>0</v>
      </c>
      <c r="R137" s="482"/>
      <c r="S137" s="552"/>
      <c r="T137" s="553"/>
      <c r="U13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37" s="881">
        <f>IFERROR(Producción_Ganadera[[#This Row],[Económico $Corrientes]]/Producción_Ganadera[[#This Row],[Indexación Económico]],0)</f>
        <v>0</v>
      </c>
      <c r="W13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3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37" s="881">
        <f>IFERROR(Producción_Ganadera[[#This Row],[Financiero $Corrientes]]/Producción_Ganadera[[#This Row],[Indexación Financiero]],0)</f>
        <v>0</v>
      </c>
      <c r="Z13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3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37" s="885">
        <f>IFERROR(Producción_Ganadera[[#This Row],[Intereses $Corrientes]]/Producción_Ganadera[[#This Row],[Indexación Financiero]],0)</f>
        <v>0</v>
      </c>
      <c r="AC13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37" s="915" t="str">
        <f>IFERROR(INDEX(Produccion_Ganadera_Cuentas[],MATCH(Producción_Ganadera[[#This Row],[Cuenta Contable]],Produccion_Ganadera_Cuentas[Cuenta Contable],0),2),0)</f>
        <v>Mov. Hacienda</v>
      </c>
      <c r="AE137" s="916">
        <f>IF(Producción_Ganadera[[#This Row],[Mov. Stock]]="(+)",Producción_Ganadera[[#This Row],[Cabezas]],IF(Producción_Ganadera[[#This Row],[Mov. Stock]]="(-)",-Producción_Ganadera[[#This Row],[Cabezas]],0))</f>
        <v>0</v>
      </c>
      <c r="AF137" s="917" t="str">
        <f>IFERROR(INDEX(Produccion_Ganadera_Cuentas[],MATCH(Producción_Ganadera[[#This Row],[Cuenta Contable]],Produccion_Ganadera_Cuentas[Cuenta Contable],0),5),0)</f>
        <v>(+)</v>
      </c>
      <c r="AG137" s="918" t="str">
        <f>IF(Producción_Ganadera[[#This Row],[Cuenta Contable]]=Configuración!$AC$9,"Si","No")</f>
        <v>No</v>
      </c>
      <c r="AH137" s="887" t="str">
        <f>IFERROR(INDEX(Tabla9[],MATCH(Producción_Ganadera[[#This Row],[Movimiento]],Tabla9[Movimientos],0),2),0)</f>
        <v>No</v>
      </c>
      <c r="AI137" s="888">
        <f>IFERROR(INDEX(Tabla9[],MATCH(Producción_Ganadera[[#This Row],[Movimiento]],Tabla9[Movimientos],0),3),0)</f>
        <v>0</v>
      </c>
      <c r="AJ137" s="885">
        <f>IF(Producción_Ganadera[[#This Row],[Fecha Económico]]=0,0,MONTH(Producción_Ganadera[[#This Row],[Fecha Económico]]))</f>
        <v>4</v>
      </c>
      <c r="AK137" s="885">
        <f>IF(Producción_Ganadera[[#This Row],[Fecha Económico]]=0,0,YEAR(Producción_Ganadera[[#This Row],[Fecha Económico]]))</f>
        <v>2019</v>
      </c>
      <c r="AL137" s="889">
        <f>SUMPRODUCT((Producción_Ganadera[[#This Row],[Mes Económico]]=Tipo_Cambio[Mes])*(Producción_Ganadera[[#This Row],[Año Económico]]=Tipo_Cambio[Año])*(Tipo_Cambio[$/U$S]))</f>
        <v>24.061075999055937</v>
      </c>
      <c r="AM137" s="889">
        <f>SUMPRODUCT((Producción_Ganadera[[#This Row],[Mes Económico]]=Tipo_Cambio[Mes])*(Producción_Ganadera[[#This Row],[Año Económico]]=Tipo_Cambio[Año])*(Tipo_Cambio[Actualización]))</f>
        <v>1.1950925686223111</v>
      </c>
      <c r="AN137" s="885">
        <f>IF(ISNUMBER(Producción_Ganadera[[#This Row],[Fecha Financiero]])=TRUE,MONTH(Producción_Ganadera[[#This Row],[Fecha Financiero]]),0)</f>
        <v>0</v>
      </c>
      <c r="AO137" s="885">
        <f>IF(ISNUMBER(Producción_Ganadera[[#This Row],[Fecha Financiero]])=TRUE,YEAR(Producción_Ganadera[[#This Row],[Fecha Financiero]]),0)</f>
        <v>0</v>
      </c>
      <c r="AP137" s="889">
        <f>SUMPRODUCT((Producción_Ganadera[[#This Row],[Mes Financiero]]=Tipo_Cambio[Mes])*(Producción_Ganadera[[#This Row],[Año Financiero]]=Tipo_Cambio[Año])*(Tipo_Cambio[$/U$S]))</f>
        <v>0</v>
      </c>
      <c r="AQ137" s="889">
        <f>SUMPRODUCT((Producción_Ganadera[[#This Row],[Mes Financiero]]=Tipo_Cambio[Mes])*(Producción_Ganadera[[#This Row],[Año Financiero]]=Tipo_Cambio[Año])*(Tipo_Cambio[Actualización]))</f>
        <v>0</v>
      </c>
      <c r="AR137" s="919">
        <f>SUMPRODUCT((Producción_Ganadera[[#This Row],[Centro de Costo]]=Tabla19[Centro de Costo])*(Tabla19[Superficie])*(Producción_Ganadera[[#This Row],[Campaña]]=Tabla19[Campaña]))</f>
        <v>0</v>
      </c>
      <c r="AS137" s="918">
        <f>IFERROR(Producción_Ganadera[[#This Row],[Económico $Corrientes]]/Producción_Ganadera[[#This Row],[Superficie]],0)</f>
        <v>0</v>
      </c>
      <c r="AT137" s="918">
        <f>IFERROR(Producción_Ganadera[[#This Row],[Económico $Constantes]]/Producción_Ganadera[[#This Row],[Superficie]],0)</f>
        <v>0</v>
      </c>
      <c r="AU137" s="918">
        <f>IFERROR(Producción_Ganadera[[#This Row],[Económico U$S Dólares]]/Producción_Ganadera[[#This Row],[Superficie]],0)</f>
        <v>0</v>
      </c>
      <c r="AV137" s="916" t="str">
        <f>IF(Económico!$F$4=0,0,Producción_Ganadera[[#This Row],[Centro de Costo]])</f>
        <v>Campo 2</v>
      </c>
    </row>
    <row r="138" spans="1:16384" x14ac:dyDescent="0.25">
      <c r="A138" s="86"/>
      <c r="B138" s="377"/>
      <c r="C138" s="86"/>
      <c r="D138" s="478">
        <f>DATE(RIGHT(Producción_Ganadera[[#This Row],[Campaña]],4),4,1)</f>
        <v>43556</v>
      </c>
      <c r="E138" s="522"/>
      <c r="F138" s="869" t="str">
        <f t="shared" si="8"/>
        <v>2018-2019</v>
      </c>
      <c r="G138" s="491" t="str">
        <f>GAN_Salida_C.Categoria</f>
        <v>Salida C. Categoría</v>
      </c>
      <c r="H138" s="491" t="s">
        <v>8</v>
      </c>
      <c r="I138" s="491" t="s">
        <v>131</v>
      </c>
      <c r="J138" s="549"/>
      <c r="K138" s="491"/>
      <c r="L138" s="520"/>
      <c r="M13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3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38" s="611"/>
      <c r="P138" s="484"/>
      <c r="Q138" s="875">
        <f>IF(ISNUMBER(Producción_Ganadera[[#This Row],[Cabezas]])=TRUE,Producción_Ganadera[[#This Row],[Cabezas]]*Producción_Ganadera[[#This Row],[Cantidad]],Producción_Ganadera[[#This Row],[Cantidad]])</f>
        <v>0</v>
      </c>
      <c r="R138" s="482"/>
      <c r="S138" s="552"/>
      <c r="T138" s="553"/>
      <c r="U13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38" s="881">
        <f>IFERROR(Producción_Ganadera[[#This Row],[Económico $Corrientes]]/Producción_Ganadera[[#This Row],[Indexación Económico]],0)</f>
        <v>0</v>
      </c>
      <c r="W13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3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38" s="881">
        <f>IFERROR(Producción_Ganadera[[#This Row],[Financiero $Corrientes]]/Producción_Ganadera[[#This Row],[Indexación Financiero]],0)</f>
        <v>0</v>
      </c>
      <c r="Z13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3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38" s="885">
        <f>IFERROR(Producción_Ganadera[[#This Row],[Intereses $Corrientes]]/Producción_Ganadera[[#This Row],[Indexación Financiero]],0)</f>
        <v>0</v>
      </c>
      <c r="AC13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38" s="915" t="str">
        <f>IFERROR(INDEX(Produccion_Ganadera_Cuentas[],MATCH(Producción_Ganadera[[#This Row],[Cuenta Contable]],Produccion_Ganadera_Cuentas[Cuenta Contable],0),2),0)</f>
        <v>Mov. Hacienda</v>
      </c>
      <c r="AE138" s="916">
        <f>IF(Producción_Ganadera[[#This Row],[Mov. Stock]]="(+)",Producción_Ganadera[[#This Row],[Cabezas]],IF(Producción_Ganadera[[#This Row],[Mov. Stock]]="(-)",-Producción_Ganadera[[#This Row],[Cabezas]],0))</f>
        <v>0</v>
      </c>
      <c r="AF138" s="917" t="str">
        <f>IFERROR(INDEX(Produccion_Ganadera_Cuentas[],MATCH(Producción_Ganadera[[#This Row],[Cuenta Contable]],Produccion_Ganadera_Cuentas[Cuenta Contable],0),5),0)</f>
        <v>(-)</v>
      </c>
      <c r="AG138" s="918" t="str">
        <f>IF(Producción_Ganadera[[#This Row],[Cuenta Contable]]=Configuración!$AC$9,"Si","No")</f>
        <v>No</v>
      </c>
      <c r="AH138" s="887" t="str">
        <f>IFERROR(INDEX(Tabla9[],MATCH(Producción_Ganadera[[#This Row],[Movimiento]],Tabla9[Movimientos],0),2),0)</f>
        <v>No</v>
      </c>
      <c r="AI138" s="888">
        <f>IFERROR(INDEX(Tabla9[],MATCH(Producción_Ganadera[[#This Row],[Movimiento]],Tabla9[Movimientos],0),3),0)</f>
        <v>0</v>
      </c>
      <c r="AJ138" s="885">
        <f>IF(Producción_Ganadera[[#This Row],[Fecha Económico]]=0,0,MONTH(Producción_Ganadera[[#This Row],[Fecha Económico]]))</f>
        <v>4</v>
      </c>
      <c r="AK138" s="885">
        <f>IF(Producción_Ganadera[[#This Row],[Fecha Económico]]=0,0,YEAR(Producción_Ganadera[[#This Row],[Fecha Económico]]))</f>
        <v>2019</v>
      </c>
      <c r="AL138" s="889">
        <f>SUMPRODUCT((Producción_Ganadera[[#This Row],[Mes Económico]]=Tipo_Cambio[Mes])*(Producción_Ganadera[[#This Row],[Año Económico]]=Tipo_Cambio[Año])*(Tipo_Cambio[$/U$S]))</f>
        <v>24.061075999055937</v>
      </c>
      <c r="AM138" s="889">
        <f>SUMPRODUCT((Producción_Ganadera[[#This Row],[Mes Económico]]=Tipo_Cambio[Mes])*(Producción_Ganadera[[#This Row],[Año Económico]]=Tipo_Cambio[Año])*(Tipo_Cambio[Actualización]))</f>
        <v>1.1950925686223111</v>
      </c>
      <c r="AN138" s="885">
        <f>IF(ISNUMBER(Producción_Ganadera[[#This Row],[Fecha Financiero]])=TRUE,MONTH(Producción_Ganadera[[#This Row],[Fecha Financiero]]),0)</f>
        <v>0</v>
      </c>
      <c r="AO138" s="885">
        <f>IF(ISNUMBER(Producción_Ganadera[[#This Row],[Fecha Financiero]])=TRUE,YEAR(Producción_Ganadera[[#This Row],[Fecha Financiero]]),0)</f>
        <v>0</v>
      </c>
      <c r="AP138" s="889">
        <f>SUMPRODUCT((Producción_Ganadera[[#This Row],[Mes Financiero]]=Tipo_Cambio[Mes])*(Producción_Ganadera[[#This Row],[Año Financiero]]=Tipo_Cambio[Año])*(Tipo_Cambio[$/U$S]))</f>
        <v>0</v>
      </c>
      <c r="AQ138" s="889">
        <f>SUMPRODUCT((Producción_Ganadera[[#This Row],[Mes Financiero]]=Tipo_Cambio[Mes])*(Producción_Ganadera[[#This Row],[Año Financiero]]=Tipo_Cambio[Año])*(Tipo_Cambio[Actualización]))</f>
        <v>0</v>
      </c>
      <c r="AR138" s="919">
        <f>SUMPRODUCT((Producción_Ganadera[[#This Row],[Centro de Costo]]=Tabla19[Centro de Costo])*(Tabla19[Superficie])*(Producción_Ganadera[[#This Row],[Campaña]]=Tabla19[Campaña]))</f>
        <v>0</v>
      </c>
      <c r="AS138" s="918">
        <f>IFERROR(Producción_Ganadera[[#This Row],[Económico $Corrientes]]/Producción_Ganadera[[#This Row],[Superficie]],0)</f>
        <v>0</v>
      </c>
      <c r="AT138" s="918">
        <f>IFERROR(Producción_Ganadera[[#This Row],[Económico $Constantes]]/Producción_Ganadera[[#This Row],[Superficie]],0)</f>
        <v>0</v>
      </c>
      <c r="AU138" s="918">
        <f>IFERROR(Producción_Ganadera[[#This Row],[Económico U$S Dólares]]/Producción_Ganadera[[#This Row],[Superficie]],0)</f>
        <v>0</v>
      </c>
      <c r="AV138" s="916" t="str">
        <f>IF(Económico!$F$4=0,0,Producción_Ganadera[[#This Row],[Centro de Costo]])</f>
        <v>Campo 2</v>
      </c>
    </row>
    <row r="139" spans="1:16384" x14ac:dyDescent="0.25">
      <c r="A139" s="86"/>
      <c r="B139" s="377"/>
      <c r="C139" s="86"/>
      <c r="D139" s="478">
        <f>DATE(RIGHT(Producción_Ganadera[[#This Row],[Campaña]],4),4,1)</f>
        <v>43556</v>
      </c>
      <c r="E139" s="522"/>
      <c r="F139" s="869" t="str">
        <f t="shared" si="8"/>
        <v>2018-2019</v>
      </c>
      <c r="G139" s="491" t="str">
        <f>GAN_Entrada_C.CAtegoria</f>
        <v>Entrada C. Categoría</v>
      </c>
      <c r="H139" s="491" t="s">
        <v>8</v>
      </c>
      <c r="I139" s="491" t="s">
        <v>133</v>
      </c>
      <c r="J139" s="549"/>
      <c r="K139" s="491"/>
      <c r="L139" s="520">
        <f>L138</f>
        <v>0</v>
      </c>
      <c r="M13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3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39" s="611"/>
      <c r="P139" s="484"/>
      <c r="Q139" s="875">
        <f>IF(ISNUMBER(Producción_Ganadera[[#This Row],[Cabezas]])=TRUE,Producción_Ganadera[[#This Row],[Cabezas]]*Producción_Ganadera[[#This Row],[Cantidad]],Producción_Ganadera[[#This Row],[Cantidad]])</f>
        <v>0</v>
      </c>
      <c r="R139" s="482"/>
      <c r="S139" s="552"/>
      <c r="T139" s="553"/>
      <c r="U13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39" s="881">
        <f>IFERROR(Producción_Ganadera[[#This Row],[Económico $Corrientes]]/Producción_Ganadera[[#This Row],[Indexación Económico]],0)</f>
        <v>0</v>
      </c>
      <c r="W13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3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39" s="881">
        <f>IFERROR(Producción_Ganadera[[#This Row],[Financiero $Corrientes]]/Producción_Ganadera[[#This Row],[Indexación Financiero]],0)</f>
        <v>0</v>
      </c>
      <c r="Z13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3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39" s="885">
        <f>IFERROR(Producción_Ganadera[[#This Row],[Intereses $Corrientes]]/Producción_Ganadera[[#This Row],[Indexación Financiero]],0)</f>
        <v>0</v>
      </c>
      <c r="AC13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39" s="915" t="str">
        <f>IFERROR(INDEX(Produccion_Ganadera_Cuentas[],MATCH(Producción_Ganadera[[#This Row],[Cuenta Contable]],Produccion_Ganadera_Cuentas[Cuenta Contable],0),2),0)</f>
        <v>Mov. Hacienda</v>
      </c>
      <c r="AE139" s="916">
        <f>IF(Producción_Ganadera[[#This Row],[Mov. Stock]]="(+)",Producción_Ganadera[[#This Row],[Cabezas]],IF(Producción_Ganadera[[#This Row],[Mov. Stock]]="(-)",-Producción_Ganadera[[#This Row],[Cabezas]],0))</f>
        <v>0</v>
      </c>
      <c r="AF139" s="917" t="str">
        <f>IFERROR(INDEX(Produccion_Ganadera_Cuentas[],MATCH(Producción_Ganadera[[#This Row],[Cuenta Contable]],Produccion_Ganadera_Cuentas[Cuenta Contable],0),5),0)</f>
        <v>(+)</v>
      </c>
      <c r="AG139" s="918" t="str">
        <f>IF(Producción_Ganadera[[#This Row],[Cuenta Contable]]=Configuración!$AC$9,"Si","No")</f>
        <v>No</v>
      </c>
      <c r="AH139" s="887" t="str">
        <f>IFERROR(INDEX(Tabla9[],MATCH(Producción_Ganadera[[#This Row],[Movimiento]],Tabla9[Movimientos],0),2),0)</f>
        <v>No</v>
      </c>
      <c r="AI139" s="888">
        <f>IFERROR(INDEX(Tabla9[],MATCH(Producción_Ganadera[[#This Row],[Movimiento]],Tabla9[Movimientos],0),3),0)</f>
        <v>0</v>
      </c>
      <c r="AJ139" s="885">
        <f>IF(Producción_Ganadera[[#This Row],[Fecha Económico]]=0,0,MONTH(Producción_Ganadera[[#This Row],[Fecha Económico]]))</f>
        <v>4</v>
      </c>
      <c r="AK139" s="885">
        <f>IF(Producción_Ganadera[[#This Row],[Fecha Económico]]=0,0,YEAR(Producción_Ganadera[[#This Row],[Fecha Económico]]))</f>
        <v>2019</v>
      </c>
      <c r="AL139" s="889">
        <f>SUMPRODUCT((Producción_Ganadera[[#This Row],[Mes Económico]]=Tipo_Cambio[Mes])*(Producción_Ganadera[[#This Row],[Año Económico]]=Tipo_Cambio[Año])*(Tipo_Cambio[$/U$S]))</f>
        <v>24.061075999055937</v>
      </c>
      <c r="AM139" s="889">
        <f>SUMPRODUCT((Producción_Ganadera[[#This Row],[Mes Económico]]=Tipo_Cambio[Mes])*(Producción_Ganadera[[#This Row],[Año Económico]]=Tipo_Cambio[Año])*(Tipo_Cambio[Actualización]))</f>
        <v>1.1950925686223111</v>
      </c>
      <c r="AN139" s="885">
        <f>IF(ISNUMBER(Producción_Ganadera[[#This Row],[Fecha Financiero]])=TRUE,MONTH(Producción_Ganadera[[#This Row],[Fecha Financiero]]),0)</f>
        <v>0</v>
      </c>
      <c r="AO139" s="885">
        <f>IF(ISNUMBER(Producción_Ganadera[[#This Row],[Fecha Financiero]])=TRUE,YEAR(Producción_Ganadera[[#This Row],[Fecha Financiero]]),0)</f>
        <v>0</v>
      </c>
      <c r="AP139" s="889">
        <f>SUMPRODUCT((Producción_Ganadera[[#This Row],[Mes Financiero]]=Tipo_Cambio[Mes])*(Producción_Ganadera[[#This Row],[Año Financiero]]=Tipo_Cambio[Año])*(Tipo_Cambio[$/U$S]))</f>
        <v>0</v>
      </c>
      <c r="AQ139" s="889">
        <f>SUMPRODUCT((Producción_Ganadera[[#This Row],[Mes Financiero]]=Tipo_Cambio[Mes])*(Producción_Ganadera[[#This Row],[Año Financiero]]=Tipo_Cambio[Año])*(Tipo_Cambio[Actualización]))</f>
        <v>0</v>
      </c>
      <c r="AR139" s="919">
        <f>SUMPRODUCT((Producción_Ganadera[[#This Row],[Centro de Costo]]=Tabla19[Centro de Costo])*(Tabla19[Superficie])*(Producción_Ganadera[[#This Row],[Campaña]]=Tabla19[Campaña]))</f>
        <v>0</v>
      </c>
      <c r="AS139" s="918">
        <f>IFERROR(Producción_Ganadera[[#This Row],[Económico $Corrientes]]/Producción_Ganadera[[#This Row],[Superficie]],0)</f>
        <v>0</v>
      </c>
      <c r="AT139" s="918">
        <f>IFERROR(Producción_Ganadera[[#This Row],[Económico $Constantes]]/Producción_Ganadera[[#This Row],[Superficie]],0)</f>
        <v>0</v>
      </c>
      <c r="AU139" s="918">
        <f>IFERROR(Producción_Ganadera[[#This Row],[Económico U$S Dólares]]/Producción_Ganadera[[#This Row],[Superficie]],0)</f>
        <v>0</v>
      </c>
      <c r="AV139" s="916" t="str">
        <f>IF(Económico!$F$4=0,0,Producción_Ganadera[[#This Row],[Centro de Costo]])</f>
        <v>Campo 2</v>
      </c>
    </row>
    <row r="140" spans="1:16384" x14ac:dyDescent="0.25">
      <c r="A140" s="86"/>
      <c r="B140" s="377"/>
      <c r="C140" s="86"/>
      <c r="D140" s="478">
        <f>DATE(RIGHT(Producción_Ganadera[[#This Row],[Campaña]],4),4,1)</f>
        <v>43556</v>
      </c>
      <c r="E140" s="522"/>
      <c r="F140" s="869" t="str">
        <f t="shared" si="8"/>
        <v>2018-2019</v>
      </c>
      <c r="G140" s="491" t="str">
        <f>GAN_Salida_C.Categoria</f>
        <v>Salida C. Categoría</v>
      </c>
      <c r="H140" s="491" t="s">
        <v>8</v>
      </c>
      <c r="I140" s="491" t="s">
        <v>133</v>
      </c>
      <c r="J140" s="549"/>
      <c r="K140" s="491"/>
      <c r="L140" s="520"/>
      <c r="M14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4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40" s="611"/>
      <c r="P140" s="484"/>
      <c r="Q140" s="875">
        <f>IF(ISNUMBER(Producción_Ganadera[[#This Row],[Cabezas]])=TRUE,Producción_Ganadera[[#This Row],[Cabezas]]*Producción_Ganadera[[#This Row],[Cantidad]],Producción_Ganadera[[#This Row],[Cantidad]])</f>
        <v>0</v>
      </c>
      <c r="R140" s="482"/>
      <c r="S140" s="552"/>
      <c r="T140" s="553"/>
      <c r="U14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40" s="881">
        <f>IFERROR(Producción_Ganadera[[#This Row],[Económico $Corrientes]]/Producción_Ganadera[[#This Row],[Indexación Económico]],0)</f>
        <v>0</v>
      </c>
      <c r="W14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4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40" s="881">
        <f>IFERROR(Producción_Ganadera[[#This Row],[Financiero $Corrientes]]/Producción_Ganadera[[#This Row],[Indexación Financiero]],0)</f>
        <v>0</v>
      </c>
      <c r="Z14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4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40" s="885">
        <f>IFERROR(Producción_Ganadera[[#This Row],[Intereses $Corrientes]]/Producción_Ganadera[[#This Row],[Indexación Financiero]],0)</f>
        <v>0</v>
      </c>
      <c r="AC14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40" s="915" t="str">
        <f>IFERROR(INDEX(Produccion_Ganadera_Cuentas[],MATCH(Producción_Ganadera[[#This Row],[Cuenta Contable]],Produccion_Ganadera_Cuentas[Cuenta Contable],0),2),0)</f>
        <v>Mov. Hacienda</v>
      </c>
      <c r="AE140" s="916">
        <f>IF(Producción_Ganadera[[#This Row],[Mov. Stock]]="(+)",Producción_Ganadera[[#This Row],[Cabezas]],IF(Producción_Ganadera[[#This Row],[Mov. Stock]]="(-)",-Producción_Ganadera[[#This Row],[Cabezas]],0))</f>
        <v>0</v>
      </c>
      <c r="AF140" s="917" t="str">
        <f>IFERROR(INDEX(Produccion_Ganadera_Cuentas[],MATCH(Producción_Ganadera[[#This Row],[Cuenta Contable]],Produccion_Ganadera_Cuentas[Cuenta Contable],0),5),0)</f>
        <v>(-)</v>
      </c>
      <c r="AG140" s="918" t="str">
        <f>IF(Producción_Ganadera[[#This Row],[Cuenta Contable]]=Configuración!$AC$9,"Si","No")</f>
        <v>No</v>
      </c>
      <c r="AH140" s="887" t="str">
        <f>IFERROR(INDEX(Tabla9[],MATCH(Producción_Ganadera[[#This Row],[Movimiento]],Tabla9[Movimientos],0),2),0)</f>
        <v>No</v>
      </c>
      <c r="AI140" s="888">
        <f>IFERROR(INDEX(Tabla9[],MATCH(Producción_Ganadera[[#This Row],[Movimiento]],Tabla9[Movimientos],0),3),0)</f>
        <v>0</v>
      </c>
      <c r="AJ140" s="885">
        <f>IF(Producción_Ganadera[[#This Row],[Fecha Económico]]=0,0,MONTH(Producción_Ganadera[[#This Row],[Fecha Económico]]))</f>
        <v>4</v>
      </c>
      <c r="AK140" s="885">
        <f>IF(Producción_Ganadera[[#This Row],[Fecha Económico]]=0,0,YEAR(Producción_Ganadera[[#This Row],[Fecha Económico]]))</f>
        <v>2019</v>
      </c>
      <c r="AL140" s="889">
        <f>SUMPRODUCT((Producción_Ganadera[[#This Row],[Mes Económico]]=Tipo_Cambio[Mes])*(Producción_Ganadera[[#This Row],[Año Económico]]=Tipo_Cambio[Año])*(Tipo_Cambio[$/U$S]))</f>
        <v>24.061075999055937</v>
      </c>
      <c r="AM140" s="889">
        <f>SUMPRODUCT((Producción_Ganadera[[#This Row],[Mes Económico]]=Tipo_Cambio[Mes])*(Producción_Ganadera[[#This Row],[Año Económico]]=Tipo_Cambio[Año])*(Tipo_Cambio[Actualización]))</f>
        <v>1.1950925686223111</v>
      </c>
      <c r="AN140" s="885">
        <f>IF(ISNUMBER(Producción_Ganadera[[#This Row],[Fecha Financiero]])=TRUE,MONTH(Producción_Ganadera[[#This Row],[Fecha Financiero]]),0)</f>
        <v>0</v>
      </c>
      <c r="AO140" s="885">
        <f>IF(ISNUMBER(Producción_Ganadera[[#This Row],[Fecha Financiero]])=TRUE,YEAR(Producción_Ganadera[[#This Row],[Fecha Financiero]]),0)</f>
        <v>0</v>
      </c>
      <c r="AP140" s="889">
        <f>SUMPRODUCT((Producción_Ganadera[[#This Row],[Mes Financiero]]=Tipo_Cambio[Mes])*(Producción_Ganadera[[#This Row],[Año Financiero]]=Tipo_Cambio[Año])*(Tipo_Cambio[$/U$S]))</f>
        <v>0</v>
      </c>
      <c r="AQ140" s="889">
        <f>SUMPRODUCT((Producción_Ganadera[[#This Row],[Mes Financiero]]=Tipo_Cambio[Mes])*(Producción_Ganadera[[#This Row],[Año Financiero]]=Tipo_Cambio[Año])*(Tipo_Cambio[Actualización]))</f>
        <v>0</v>
      </c>
      <c r="AR140" s="919">
        <f>SUMPRODUCT((Producción_Ganadera[[#This Row],[Centro de Costo]]=Tabla19[Centro de Costo])*(Tabla19[Superficie])*(Producción_Ganadera[[#This Row],[Campaña]]=Tabla19[Campaña]))</f>
        <v>0</v>
      </c>
      <c r="AS140" s="918">
        <f>IFERROR(Producción_Ganadera[[#This Row],[Económico $Corrientes]]/Producción_Ganadera[[#This Row],[Superficie]],0)</f>
        <v>0</v>
      </c>
      <c r="AT140" s="918">
        <f>IFERROR(Producción_Ganadera[[#This Row],[Económico $Constantes]]/Producción_Ganadera[[#This Row],[Superficie]],0)</f>
        <v>0</v>
      </c>
      <c r="AU140" s="918">
        <f>IFERROR(Producción_Ganadera[[#This Row],[Económico U$S Dólares]]/Producción_Ganadera[[#This Row],[Superficie]],0)</f>
        <v>0</v>
      </c>
      <c r="AV140" s="916" t="str">
        <f>IF(Económico!$F$4=0,0,Producción_Ganadera[[#This Row],[Centro de Costo]])</f>
        <v>Campo 2</v>
      </c>
    </row>
    <row r="141" spans="1:16384" x14ac:dyDescent="0.25">
      <c r="A141" s="86"/>
      <c r="B141" s="377"/>
      <c r="C141" s="86"/>
      <c r="D141" s="478">
        <f>DATE(RIGHT(Producción_Ganadera[[#This Row],[Campaña]],4),4,1)</f>
        <v>43556</v>
      </c>
      <c r="E141" s="522"/>
      <c r="F141" s="869" t="str">
        <f t="shared" si="8"/>
        <v>2018-2019</v>
      </c>
      <c r="G141" s="491" t="str">
        <f>GAN_Entrada_C.CAtegoria</f>
        <v>Entrada C. Categoría</v>
      </c>
      <c r="H141" s="491" t="s">
        <v>8</v>
      </c>
      <c r="I141" s="491" t="s">
        <v>136</v>
      </c>
      <c r="J141" s="549"/>
      <c r="K141" s="491"/>
      <c r="L141" s="520">
        <f>L140</f>
        <v>0</v>
      </c>
      <c r="M14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4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41" s="611"/>
      <c r="P141" s="484"/>
      <c r="Q141" s="875">
        <f>IF(ISNUMBER(Producción_Ganadera[[#This Row],[Cabezas]])=TRUE,Producción_Ganadera[[#This Row],[Cabezas]]*Producción_Ganadera[[#This Row],[Cantidad]],Producción_Ganadera[[#This Row],[Cantidad]])</f>
        <v>0</v>
      </c>
      <c r="R141" s="482"/>
      <c r="S141" s="552"/>
      <c r="T141" s="553"/>
      <c r="U14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41" s="881">
        <f>IFERROR(Producción_Ganadera[[#This Row],[Económico $Corrientes]]/Producción_Ganadera[[#This Row],[Indexación Económico]],0)</f>
        <v>0</v>
      </c>
      <c r="W14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4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41" s="881">
        <f>IFERROR(Producción_Ganadera[[#This Row],[Financiero $Corrientes]]/Producción_Ganadera[[#This Row],[Indexación Financiero]],0)</f>
        <v>0</v>
      </c>
      <c r="Z14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4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41" s="885">
        <f>IFERROR(Producción_Ganadera[[#This Row],[Intereses $Corrientes]]/Producción_Ganadera[[#This Row],[Indexación Financiero]],0)</f>
        <v>0</v>
      </c>
      <c r="AC14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41" s="915" t="str">
        <f>IFERROR(INDEX(Produccion_Ganadera_Cuentas[],MATCH(Producción_Ganadera[[#This Row],[Cuenta Contable]],Produccion_Ganadera_Cuentas[Cuenta Contable],0),2),0)</f>
        <v>Mov. Hacienda</v>
      </c>
      <c r="AE141" s="916">
        <f>IF(Producción_Ganadera[[#This Row],[Mov. Stock]]="(+)",Producción_Ganadera[[#This Row],[Cabezas]],IF(Producción_Ganadera[[#This Row],[Mov. Stock]]="(-)",-Producción_Ganadera[[#This Row],[Cabezas]],0))</f>
        <v>0</v>
      </c>
      <c r="AF141" s="917" t="str">
        <f>IFERROR(INDEX(Produccion_Ganadera_Cuentas[],MATCH(Producción_Ganadera[[#This Row],[Cuenta Contable]],Produccion_Ganadera_Cuentas[Cuenta Contable],0),5),0)</f>
        <v>(+)</v>
      </c>
      <c r="AG141" s="918" t="str">
        <f>IF(Producción_Ganadera[[#This Row],[Cuenta Contable]]=Configuración!$AC$9,"Si","No")</f>
        <v>No</v>
      </c>
      <c r="AH141" s="887" t="str">
        <f>IFERROR(INDEX(Tabla9[],MATCH(Producción_Ganadera[[#This Row],[Movimiento]],Tabla9[Movimientos],0),2),0)</f>
        <v>No</v>
      </c>
      <c r="AI141" s="888">
        <f>IFERROR(INDEX(Tabla9[],MATCH(Producción_Ganadera[[#This Row],[Movimiento]],Tabla9[Movimientos],0),3),0)</f>
        <v>0</v>
      </c>
      <c r="AJ141" s="885">
        <f>IF(Producción_Ganadera[[#This Row],[Fecha Económico]]=0,0,MONTH(Producción_Ganadera[[#This Row],[Fecha Económico]]))</f>
        <v>4</v>
      </c>
      <c r="AK141" s="885">
        <f>IF(Producción_Ganadera[[#This Row],[Fecha Económico]]=0,0,YEAR(Producción_Ganadera[[#This Row],[Fecha Económico]]))</f>
        <v>2019</v>
      </c>
      <c r="AL141" s="889">
        <f>SUMPRODUCT((Producción_Ganadera[[#This Row],[Mes Económico]]=Tipo_Cambio[Mes])*(Producción_Ganadera[[#This Row],[Año Económico]]=Tipo_Cambio[Año])*(Tipo_Cambio[$/U$S]))</f>
        <v>24.061075999055937</v>
      </c>
      <c r="AM141" s="889">
        <f>SUMPRODUCT((Producción_Ganadera[[#This Row],[Mes Económico]]=Tipo_Cambio[Mes])*(Producción_Ganadera[[#This Row],[Año Económico]]=Tipo_Cambio[Año])*(Tipo_Cambio[Actualización]))</f>
        <v>1.1950925686223111</v>
      </c>
      <c r="AN141" s="885">
        <f>IF(ISNUMBER(Producción_Ganadera[[#This Row],[Fecha Financiero]])=TRUE,MONTH(Producción_Ganadera[[#This Row],[Fecha Financiero]]),0)</f>
        <v>0</v>
      </c>
      <c r="AO141" s="885">
        <f>IF(ISNUMBER(Producción_Ganadera[[#This Row],[Fecha Financiero]])=TRUE,YEAR(Producción_Ganadera[[#This Row],[Fecha Financiero]]),0)</f>
        <v>0</v>
      </c>
      <c r="AP141" s="889">
        <f>SUMPRODUCT((Producción_Ganadera[[#This Row],[Mes Financiero]]=Tipo_Cambio[Mes])*(Producción_Ganadera[[#This Row],[Año Financiero]]=Tipo_Cambio[Año])*(Tipo_Cambio[$/U$S]))</f>
        <v>0</v>
      </c>
      <c r="AQ141" s="889">
        <f>SUMPRODUCT((Producción_Ganadera[[#This Row],[Mes Financiero]]=Tipo_Cambio[Mes])*(Producción_Ganadera[[#This Row],[Año Financiero]]=Tipo_Cambio[Año])*(Tipo_Cambio[Actualización]))</f>
        <v>0</v>
      </c>
      <c r="AR141" s="919">
        <f>SUMPRODUCT((Producción_Ganadera[[#This Row],[Centro de Costo]]=Tabla19[Centro de Costo])*(Tabla19[Superficie])*(Producción_Ganadera[[#This Row],[Campaña]]=Tabla19[Campaña]))</f>
        <v>0</v>
      </c>
      <c r="AS141" s="918">
        <f>IFERROR(Producción_Ganadera[[#This Row],[Económico $Corrientes]]/Producción_Ganadera[[#This Row],[Superficie]],0)</f>
        <v>0</v>
      </c>
      <c r="AT141" s="918">
        <f>IFERROR(Producción_Ganadera[[#This Row],[Económico $Constantes]]/Producción_Ganadera[[#This Row],[Superficie]],0)</f>
        <v>0</v>
      </c>
      <c r="AU141" s="918">
        <f>IFERROR(Producción_Ganadera[[#This Row],[Económico U$S Dólares]]/Producción_Ganadera[[#This Row],[Superficie]],0)</f>
        <v>0</v>
      </c>
      <c r="AV141" s="916" t="str">
        <f>IF(Económico!$F$4=0,0,Producción_Ganadera[[#This Row],[Centro de Costo]])</f>
        <v>Campo 2</v>
      </c>
    </row>
    <row r="142" spans="1:16384" ht="15.75" thickBot="1" x14ac:dyDescent="0.3">
      <c r="A142" s="86"/>
      <c r="B142" s="373" t="s">
        <v>101</v>
      </c>
      <c r="C142" s="86"/>
      <c r="D142" s="478">
        <f>DATE(RIGHT(Producción_Ganadera[[#This Row],[Campaña]],4),4,1)</f>
        <v>43556</v>
      </c>
      <c r="E142" s="522"/>
      <c r="F142" s="869" t="str">
        <f t="shared" si="8"/>
        <v>2018-2019</v>
      </c>
      <c r="G142" s="491"/>
      <c r="H142" s="491"/>
      <c r="I142" s="491"/>
      <c r="J142" s="549"/>
      <c r="K142" s="491"/>
      <c r="L142" s="520"/>
      <c r="M14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4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42" s="611"/>
      <c r="P142" s="484"/>
      <c r="Q142" s="875">
        <f>IF(ISNUMBER(Producción_Ganadera[[#This Row],[Cabezas]])=TRUE,Producción_Ganadera[[#This Row],[Cabezas]]*Producción_Ganadera[[#This Row],[Cantidad]],Producción_Ganadera[[#This Row],[Cantidad]])</f>
        <v>0</v>
      </c>
      <c r="R142" s="482"/>
      <c r="S142" s="552"/>
      <c r="T142" s="553"/>
      <c r="U14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42" s="881">
        <f>IFERROR(Producción_Ganadera[[#This Row],[Económico $Corrientes]]/Producción_Ganadera[[#This Row],[Indexación Económico]],0)</f>
        <v>0</v>
      </c>
      <c r="W14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4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42" s="881">
        <f>IFERROR(Producción_Ganadera[[#This Row],[Financiero $Corrientes]]/Producción_Ganadera[[#This Row],[Indexación Financiero]],0)</f>
        <v>0</v>
      </c>
      <c r="Z14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4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42" s="885">
        <f>IFERROR(Producción_Ganadera[[#This Row],[Intereses $Corrientes]]/Producción_Ganadera[[#This Row],[Indexación Financiero]],0)</f>
        <v>0</v>
      </c>
      <c r="AC14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42" s="915">
        <f>IFERROR(INDEX(Produccion_Ganadera_Cuentas[],MATCH(Producción_Ganadera[[#This Row],[Cuenta Contable]],Produccion_Ganadera_Cuentas[Cuenta Contable],0),2),0)</f>
        <v>0</v>
      </c>
      <c r="AE142" s="916">
        <f>IF(Producción_Ganadera[[#This Row],[Mov. Stock]]="(+)",Producción_Ganadera[[#This Row],[Cabezas]],IF(Producción_Ganadera[[#This Row],[Mov. Stock]]="(-)",-Producción_Ganadera[[#This Row],[Cabezas]],0))</f>
        <v>0</v>
      </c>
      <c r="AF142" s="917">
        <f>IFERROR(INDEX(Produccion_Ganadera_Cuentas[],MATCH(Producción_Ganadera[[#This Row],[Cuenta Contable]],Produccion_Ganadera_Cuentas[Cuenta Contable],0),5),0)</f>
        <v>0</v>
      </c>
      <c r="AG142" s="918" t="str">
        <f>IF(Producción_Ganadera[[#This Row],[Cuenta Contable]]=Configuración!$AC$9,"Si","No")</f>
        <v>No</v>
      </c>
      <c r="AH142" s="887">
        <f>IFERROR(INDEX(Tabla9[],MATCH(Producción_Ganadera[[#This Row],[Movimiento]],Tabla9[Movimientos],0),2),0)</f>
        <v>0</v>
      </c>
      <c r="AI142" s="888">
        <f>IFERROR(INDEX(Tabla9[],MATCH(Producción_Ganadera[[#This Row],[Movimiento]],Tabla9[Movimientos],0),3),0)</f>
        <v>0</v>
      </c>
      <c r="AJ142" s="885">
        <f>IF(Producción_Ganadera[[#This Row],[Fecha Económico]]=0,0,MONTH(Producción_Ganadera[[#This Row],[Fecha Económico]]))</f>
        <v>4</v>
      </c>
      <c r="AK142" s="885">
        <f>IF(Producción_Ganadera[[#This Row],[Fecha Económico]]=0,0,YEAR(Producción_Ganadera[[#This Row],[Fecha Económico]]))</f>
        <v>2019</v>
      </c>
      <c r="AL142" s="889">
        <f>SUMPRODUCT((Producción_Ganadera[[#This Row],[Mes Económico]]=Tipo_Cambio[Mes])*(Producción_Ganadera[[#This Row],[Año Económico]]=Tipo_Cambio[Año])*(Tipo_Cambio[$/U$S]))</f>
        <v>24.061075999055937</v>
      </c>
      <c r="AM142" s="889">
        <f>SUMPRODUCT((Producción_Ganadera[[#This Row],[Mes Económico]]=Tipo_Cambio[Mes])*(Producción_Ganadera[[#This Row],[Año Económico]]=Tipo_Cambio[Año])*(Tipo_Cambio[Actualización]))</f>
        <v>1.1950925686223111</v>
      </c>
      <c r="AN142" s="885">
        <f>IF(ISNUMBER(Producción_Ganadera[[#This Row],[Fecha Financiero]])=TRUE,MONTH(Producción_Ganadera[[#This Row],[Fecha Financiero]]),0)</f>
        <v>0</v>
      </c>
      <c r="AO142" s="885">
        <f>IF(ISNUMBER(Producción_Ganadera[[#This Row],[Fecha Financiero]])=TRUE,YEAR(Producción_Ganadera[[#This Row],[Fecha Financiero]]),0)</f>
        <v>0</v>
      </c>
      <c r="AP142" s="889">
        <f>SUMPRODUCT((Producción_Ganadera[[#This Row],[Mes Financiero]]=Tipo_Cambio[Mes])*(Producción_Ganadera[[#This Row],[Año Financiero]]=Tipo_Cambio[Año])*(Tipo_Cambio[$/U$S]))</f>
        <v>0</v>
      </c>
      <c r="AQ142" s="889">
        <f>SUMPRODUCT((Producción_Ganadera[[#This Row],[Mes Financiero]]=Tipo_Cambio[Mes])*(Producción_Ganadera[[#This Row],[Año Financiero]]=Tipo_Cambio[Año])*(Tipo_Cambio[Actualización]))</f>
        <v>0</v>
      </c>
      <c r="AR142" s="919">
        <f>SUMPRODUCT((Producción_Ganadera[[#This Row],[Centro de Costo]]=Tabla19[Centro de Costo])*(Tabla19[Superficie])*(Producción_Ganadera[[#This Row],[Campaña]]=Tabla19[Campaña]))</f>
        <v>0</v>
      </c>
      <c r="AS142" s="918">
        <f>IFERROR(Producción_Ganadera[[#This Row],[Económico $Corrientes]]/Producción_Ganadera[[#This Row],[Superficie]],0)</f>
        <v>0</v>
      </c>
      <c r="AT142" s="918">
        <f>IFERROR(Producción_Ganadera[[#This Row],[Económico $Constantes]]/Producción_Ganadera[[#This Row],[Superficie]],0)</f>
        <v>0</v>
      </c>
      <c r="AU142" s="918">
        <f>IFERROR(Producción_Ganadera[[#This Row],[Económico U$S Dólares]]/Producción_Ganadera[[#This Row],[Superficie]],0)</f>
        <v>0</v>
      </c>
      <c r="AV142" s="916">
        <f>IF(Económico!$F$4=0,0,Producción_Ganadera[[#This Row],[Centro de Costo]])</f>
        <v>0</v>
      </c>
    </row>
    <row r="143" spans="1:16384" s="85" customFormat="1" ht="15.75" thickTop="1" x14ac:dyDescent="0.25">
      <c r="A143" s="19"/>
      <c r="B143" s="1136" t="s">
        <v>61</v>
      </c>
      <c r="C143" s="19"/>
      <c r="D143" s="628">
        <f>DATE(RIGHT(Producción_Ganadera[[#This Row],[Campaña]],4),6,30)</f>
        <v>43646</v>
      </c>
      <c r="E143" s="628"/>
      <c r="F143" s="873" t="str">
        <f t="shared" si="2"/>
        <v>2018-2019</v>
      </c>
      <c r="G143" s="630" t="str">
        <f t="shared" ref="G143:G167" si="9">GAN_Stock_Cierre</f>
        <v>Stock Cierre</v>
      </c>
      <c r="H143" s="630" t="s">
        <v>2</v>
      </c>
      <c r="I143" s="630" t="str">
        <f>Configuración!AZ5</f>
        <v>Vaca CUT</v>
      </c>
      <c r="J143" s="549"/>
      <c r="K143" s="630"/>
      <c r="L143" s="631">
        <f>SUMPRODUCT((Producción_Ganadera[[#This Row],[Centro de Costo]]=$H$5:$H$101)*(Producción_Ganadera[[#This Row],[Categoría Hacienda]]=$I$5:$I$101)*($AE$5:$AE$101))</f>
        <v>0</v>
      </c>
      <c r="M143" s="62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43" s="873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450</v>
      </c>
      <c r="O143" s="632">
        <v>1</v>
      </c>
      <c r="P143" s="630" t="s">
        <v>140</v>
      </c>
      <c r="Q143" s="880">
        <f>IF(ISNUMBER(Producción_Ganadera[[#This Row],[Cabezas]])=TRUE,Producción_Ganadera[[#This Row],[Cabezas]]*Producción_Ganadera[[#This Row],[Cantidad]],Producción_Ganadera[[#This Row],[Cantidad]])</f>
        <v>0</v>
      </c>
      <c r="R143" s="630"/>
      <c r="S143" s="632" t="s">
        <v>48</v>
      </c>
      <c r="T143" s="633"/>
      <c r="U143" s="950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43" s="950">
        <f>IFERROR(Producción_Ganadera[[#This Row],[Económico $Corrientes]]/Producción_Ganadera[[#This Row],[Indexación Económico]],0)</f>
        <v>0</v>
      </c>
      <c r="W143" s="951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43" s="952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43" s="950">
        <f>IFERROR(Producción_Ganadera[[#This Row],[Financiero $Corrientes]]/Producción_Ganadera[[#This Row],[Indexación Financiero]],0)</f>
        <v>0</v>
      </c>
      <c r="Z143" s="950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43" s="953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43" s="954">
        <f>IFERROR(Producción_Ganadera[[#This Row],[Intereses $Corrientes]]/Producción_Ganadera[[#This Row],[Indexación Financiero]],0)</f>
        <v>0</v>
      </c>
      <c r="AC143" s="954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43" s="955" t="str">
        <f>IFERROR(INDEX(Produccion_Ganadera_Cuentas[],MATCH(Producción_Ganadera[[#This Row],[Cuenta Contable]],Produccion_Ganadera_Cuentas[Cuenta Contable],0),2),0)</f>
        <v>Stock Cierre</v>
      </c>
      <c r="AE143" s="956">
        <f>IF(Producción_Ganadera[[#This Row],[Mov. Stock]]="(+)",Producción_Ganadera[[#This Row],[Cabezas]],IF(Producción_Ganadera[[#This Row],[Mov. Stock]]="(-)",-Producción_Ganadera[[#This Row],[Cabezas]],0))</f>
        <v>0</v>
      </c>
      <c r="AF143" s="957" t="str">
        <f>IFERROR(INDEX(Produccion_Ganadera_Cuentas[],MATCH(Producción_Ganadera[[#This Row],[Cuenta Contable]],Produccion_Ganadera_Cuentas[Cuenta Contable],0),5),0)</f>
        <v>(-)</v>
      </c>
      <c r="AG143" s="958" t="str">
        <f>IF(Producción_Ganadera[[#This Row],[Cuenta Contable]]=Configuración!$AC$9,"Si","No")</f>
        <v>No</v>
      </c>
      <c r="AH143" s="956" t="str">
        <f>IFERROR(INDEX(Tabla9[],MATCH(Producción_Ganadera[[#This Row],[Movimiento]],Tabla9[Movimientos],0),2),0)</f>
        <v>No</v>
      </c>
      <c r="AI143" s="957" t="str">
        <f>IFERROR(INDEX(Tabla9[],MATCH(Producción_Ganadera[[#This Row],[Movimiento]],Tabla9[Movimientos],0),3),0)</f>
        <v>(+)</v>
      </c>
      <c r="AJ143" s="954">
        <f>IF(Producción_Ganadera[[#This Row],[Fecha Económico]]=0,0,MONTH(Producción_Ganadera[[#This Row],[Fecha Económico]]))</f>
        <v>6</v>
      </c>
      <c r="AK143" s="954">
        <f>IF(Producción_Ganadera[[#This Row],[Fecha Económico]]=0,0,YEAR(Producción_Ganadera[[#This Row],[Fecha Económico]]))</f>
        <v>2019</v>
      </c>
      <c r="AL143" s="958">
        <f>SUMPRODUCT((Producción_Ganadera[[#This Row],[Mes Económico]]=Tipo_Cambio[Mes])*(Producción_Ganadera[[#This Row],[Año Económico]]=Tipo_Cambio[Año])*(Tipo_Cambio[$/U$S]))</f>
        <v>24.544703626636963</v>
      </c>
      <c r="AM143" s="958">
        <f>SUMPRODUCT((Producción_Ganadera[[#This Row],[Mes Económico]]=Tipo_Cambio[Mes])*(Producción_Ganadera[[#This Row],[Año Económico]]=Tipo_Cambio[Año])*(Tipo_Cambio[Actualización]))</f>
        <v>1.2433743083946525</v>
      </c>
      <c r="AN143" s="954">
        <f>IF(ISNUMBER(Producción_Ganadera[[#This Row],[Fecha Financiero]])=TRUE,MONTH(Producción_Ganadera[[#This Row],[Fecha Financiero]]),0)</f>
        <v>0</v>
      </c>
      <c r="AO143" s="954">
        <f>IF(ISNUMBER(Producción_Ganadera[[#This Row],[Fecha Financiero]])=TRUE,YEAR(Producción_Ganadera[[#This Row],[Fecha Financiero]]),0)</f>
        <v>0</v>
      </c>
      <c r="AP143" s="958">
        <f>SUMPRODUCT((Producción_Ganadera[[#This Row],[Mes Financiero]]=Tipo_Cambio[Mes])*(Producción_Ganadera[[#This Row],[Año Financiero]]=Tipo_Cambio[Año])*(Tipo_Cambio[$/U$S]))</f>
        <v>0</v>
      </c>
      <c r="AQ143" s="958">
        <f>SUMPRODUCT((Producción_Ganadera[[#This Row],[Mes Financiero]]=Tipo_Cambio[Mes])*(Producción_Ganadera[[#This Row],[Año Financiero]]=Tipo_Cambio[Año])*(Tipo_Cambio[Actualización]))</f>
        <v>0</v>
      </c>
      <c r="AR143" s="959">
        <f>SUMPRODUCT((Producción_Ganadera[[#This Row],[Centro de Costo]]=Tabla19[Centro de Costo])*(Tabla19[Superficie])*(Producción_Ganadera[[#This Row],[Campaña]]=Tabla19[Campaña]))</f>
        <v>0</v>
      </c>
      <c r="AS143" s="958">
        <f>IFERROR(Producción_Ganadera[[#This Row],[Económico $Corrientes]]/Producción_Ganadera[[#This Row],[Superficie]],0)</f>
        <v>0</v>
      </c>
      <c r="AT143" s="958">
        <f>IFERROR(Producción_Ganadera[[#This Row],[Económico $Constantes]]/Producción_Ganadera[[#This Row],[Superficie]],0)</f>
        <v>0</v>
      </c>
      <c r="AU143" s="958">
        <f>IFERROR(Producción_Ganadera[[#This Row],[Económico U$S Dólares]]/Producción_Ganadera[[#This Row],[Superficie]],0)</f>
        <v>0</v>
      </c>
      <c r="AV143" s="956" t="str">
        <f>IF(Económico!$F$4=0,0,Producción_Ganadera[[#This Row],[Centro de Costo]])</f>
        <v>Campo 1</v>
      </c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  <c r="AWT143"/>
      <c r="AWU143"/>
      <c r="AWV143"/>
      <c r="AWW143"/>
      <c r="AWX143"/>
      <c r="AWY143"/>
      <c r="AWZ143"/>
      <c r="AXA143"/>
      <c r="AXB143"/>
      <c r="AXC143"/>
      <c r="AXD143"/>
      <c r="AXE143"/>
      <c r="AXF143"/>
      <c r="AXG143"/>
      <c r="AXH143"/>
      <c r="AXI143"/>
      <c r="AXJ143"/>
      <c r="AXK143"/>
      <c r="AXL143"/>
      <c r="AXM143"/>
      <c r="AXN143"/>
      <c r="AXO143"/>
      <c r="AXP143"/>
      <c r="AXQ143"/>
      <c r="AXR143"/>
      <c r="AXS143"/>
      <c r="AXT143"/>
      <c r="AXU143"/>
      <c r="AXV143"/>
      <c r="AXW143"/>
      <c r="AXX143"/>
      <c r="AXY143"/>
      <c r="AXZ143"/>
      <c r="AYA143"/>
      <c r="AYB143"/>
      <c r="AYC143"/>
      <c r="AYD143"/>
      <c r="AYE143"/>
      <c r="AYF143"/>
      <c r="AYG143"/>
      <c r="AYH143"/>
      <c r="AYI143"/>
      <c r="AYJ143"/>
      <c r="AYK143"/>
      <c r="AYL143"/>
      <c r="AYM143"/>
      <c r="AYN143"/>
      <c r="AYO143"/>
      <c r="AYP143"/>
      <c r="AYQ143"/>
      <c r="AYR143"/>
      <c r="AYS143"/>
      <c r="AYT143"/>
      <c r="AYU143"/>
      <c r="AYV143"/>
      <c r="AYW143"/>
      <c r="AYX143"/>
      <c r="AYY143"/>
      <c r="AYZ143"/>
      <c r="AZA143"/>
      <c r="AZB143"/>
      <c r="AZC143"/>
      <c r="AZD143"/>
      <c r="AZE143"/>
      <c r="AZF143"/>
      <c r="AZG143"/>
      <c r="AZH143"/>
      <c r="AZI143"/>
      <c r="AZJ143"/>
      <c r="AZK143"/>
      <c r="AZL143"/>
      <c r="AZM143"/>
      <c r="AZN143"/>
      <c r="AZO143"/>
      <c r="AZP143"/>
      <c r="AZQ143"/>
      <c r="AZR143"/>
      <c r="AZS143"/>
      <c r="AZT143"/>
      <c r="AZU143"/>
      <c r="AZV143"/>
      <c r="AZW143"/>
      <c r="AZX143"/>
      <c r="AZY143"/>
      <c r="AZZ143"/>
      <c r="BAA143"/>
      <c r="BAB143"/>
      <c r="BAC143"/>
      <c r="BAD143"/>
      <c r="BAE143"/>
      <c r="BAF143"/>
      <c r="BAG143"/>
      <c r="BAH143"/>
      <c r="BAI143"/>
      <c r="BAJ143"/>
      <c r="BAK143"/>
      <c r="BAL143"/>
      <c r="BAM143"/>
      <c r="BAN143"/>
      <c r="BAO143"/>
      <c r="BAP143"/>
      <c r="BAQ143"/>
      <c r="BAR143"/>
      <c r="BAS143"/>
      <c r="BAT143"/>
      <c r="BAU143"/>
      <c r="BAV143"/>
      <c r="BAW143"/>
      <c r="BAX143"/>
      <c r="BAY143"/>
      <c r="BAZ143"/>
      <c r="BBA143"/>
      <c r="BBB143"/>
      <c r="BBC143"/>
      <c r="BBD143"/>
      <c r="BBE143"/>
      <c r="BBF143"/>
      <c r="BBG143"/>
      <c r="BBH143"/>
      <c r="BBI143"/>
      <c r="BBJ143"/>
      <c r="BBK143"/>
      <c r="BBL143"/>
      <c r="BBM143"/>
      <c r="BBN143"/>
      <c r="BBO143"/>
      <c r="BBP143"/>
      <c r="BBQ143"/>
      <c r="BBR143"/>
      <c r="BBS143"/>
      <c r="BBT143"/>
      <c r="BBU143"/>
      <c r="BBV143"/>
      <c r="BBW143"/>
      <c r="BBX143"/>
      <c r="BBY143"/>
      <c r="BBZ143"/>
      <c r="BCA143"/>
      <c r="BCB143"/>
      <c r="BCC143"/>
      <c r="BCD143"/>
      <c r="BCE143"/>
      <c r="BCF143"/>
      <c r="BCG143"/>
      <c r="BCH143"/>
      <c r="BCI143"/>
      <c r="BCJ143"/>
      <c r="BCK143"/>
      <c r="BCL143"/>
      <c r="BCM143"/>
      <c r="BCN143"/>
      <c r="BCO143"/>
      <c r="BCP143"/>
      <c r="BCQ143"/>
      <c r="BCR143"/>
      <c r="BCS143"/>
      <c r="BCT143"/>
      <c r="BCU143"/>
      <c r="BCV143"/>
      <c r="BCW143"/>
      <c r="BCX143"/>
      <c r="BCY143"/>
      <c r="BCZ143"/>
      <c r="BDA143"/>
      <c r="BDB143"/>
      <c r="BDC143"/>
      <c r="BDD143"/>
      <c r="BDE143"/>
      <c r="BDF143"/>
      <c r="BDG143"/>
      <c r="BDH143"/>
      <c r="BDI143"/>
      <c r="BDJ143"/>
      <c r="BDK143"/>
      <c r="BDL143"/>
      <c r="BDM143"/>
      <c r="BDN143"/>
      <c r="BDO143"/>
      <c r="BDP143"/>
      <c r="BDQ143"/>
      <c r="BDR143"/>
      <c r="BDS143"/>
      <c r="BDT143"/>
      <c r="BDU143"/>
      <c r="BDV143"/>
      <c r="BDW143"/>
      <c r="BDX143"/>
      <c r="BDY143"/>
      <c r="BDZ143"/>
      <c r="BEA143"/>
      <c r="BEB143"/>
      <c r="BEC143"/>
      <c r="BED143"/>
      <c r="BEE143"/>
      <c r="BEF143"/>
      <c r="BEG143"/>
      <c r="BEH143"/>
      <c r="BEI143"/>
      <c r="BEJ143"/>
      <c r="BEK143"/>
      <c r="BEL143"/>
      <c r="BEM143"/>
      <c r="BEN143"/>
      <c r="BEO143"/>
      <c r="BEP143"/>
      <c r="BEQ143"/>
      <c r="BER143"/>
      <c r="BES143"/>
      <c r="BET143"/>
      <c r="BEU143"/>
      <c r="BEV143"/>
      <c r="BEW143"/>
      <c r="BEX143"/>
      <c r="BEY143"/>
      <c r="BEZ143"/>
      <c r="BFA143"/>
      <c r="BFB143"/>
      <c r="BFC143"/>
      <c r="BFD143"/>
      <c r="BFE143"/>
      <c r="BFF143"/>
      <c r="BFG143"/>
      <c r="BFH143"/>
      <c r="BFI143"/>
      <c r="BFJ143"/>
      <c r="BFK143"/>
      <c r="BFL143"/>
      <c r="BFM143"/>
      <c r="BFN143"/>
      <c r="BFO143"/>
      <c r="BFP143"/>
      <c r="BFQ143"/>
      <c r="BFR143"/>
      <c r="BFS143"/>
      <c r="BFT143"/>
      <c r="BFU143"/>
      <c r="BFV143"/>
      <c r="BFW143"/>
      <c r="BFX143"/>
      <c r="BFY143"/>
      <c r="BFZ143"/>
      <c r="BGA143"/>
      <c r="BGB143"/>
      <c r="BGC143"/>
      <c r="BGD143"/>
      <c r="BGE143"/>
      <c r="BGF143"/>
      <c r="BGG143"/>
      <c r="BGH143"/>
      <c r="BGI143"/>
      <c r="BGJ143"/>
      <c r="BGK143"/>
      <c r="BGL143"/>
      <c r="BGM143"/>
      <c r="BGN143"/>
      <c r="BGO143"/>
      <c r="BGP143"/>
      <c r="BGQ143"/>
      <c r="BGR143"/>
      <c r="BGS143"/>
      <c r="BGT143"/>
      <c r="BGU143"/>
      <c r="BGV143"/>
      <c r="BGW143"/>
      <c r="BGX143"/>
      <c r="BGY143"/>
      <c r="BGZ143"/>
      <c r="BHA143"/>
      <c r="BHB143"/>
      <c r="BHC143"/>
      <c r="BHD143"/>
      <c r="BHE143"/>
      <c r="BHF143"/>
      <c r="BHG143"/>
      <c r="BHH143"/>
      <c r="BHI143"/>
      <c r="BHJ143"/>
      <c r="BHK143"/>
      <c r="BHL143"/>
      <c r="BHM143"/>
      <c r="BHN143"/>
      <c r="BHO143"/>
      <c r="BHP143"/>
      <c r="BHQ143"/>
      <c r="BHR143"/>
      <c r="BHS143"/>
      <c r="BHT143"/>
      <c r="BHU143"/>
      <c r="BHV143"/>
      <c r="BHW143"/>
      <c r="BHX143"/>
      <c r="BHY143"/>
      <c r="BHZ143"/>
      <c r="BIA143"/>
      <c r="BIB143"/>
      <c r="BIC143"/>
      <c r="BID143"/>
      <c r="BIE143"/>
      <c r="BIF143"/>
      <c r="BIG143"/>
      <c r="BIH143"/>
      <c r="BII143"/>
      <c r="BIJ143"/>
      <c r="BIK143"/>
      <c r="BIL143"/>
      <c r="BIM143"/>
      <c r="BIN143"/>
      <c r="BIO143"/>
      <c r="BIP143"/>
      <c r="BIQ143"/>
      <c r="BIR143"/>
      <c r="BIS143"/>
      <c r="BIT143"/>
      <c r="BIU143"/>
      <c r="BIV143"/>
      <c r="BIW143"/>
      <c r="BIX143"/>
      <c r="BIY143"/>
      <c r="BIZ143"/>
      <c r="BJA143"/>
      <c r="BJB143"/>
      <c r="BJC143"/>
      <c r="BJD143"/>
      <c r="BJE143"/>
      <c r="BJF143"/>
      <c r="BJG143"/>
      <c r="BJH143"/>
      <c r="BJI143"/>
      <c r="BJJ143"/>
      <c r="BJK143"/>
      <c r="BJL143"/>
      <c r="BJM143"/>
      <c r="BJN143"/>
      <c r="BJO143"/>
      <c r="BJP143"/>
      <c r="BJQ143"/>
      <c r="BJR143"/>
      <c r="BJS143"/>
      <c r="BJT143"/>
      <c r="BJU143"/>
      <c r="BJV143"/>
      <c r="BJW143"/>
      <c r="BJX143"/>
      <c r="BJY143"/>
      <c r="BJZ143"/>
      <c r="BKA143"/>
      <c r="BKB143"/>
      <c r="BKC143"/>
      <c r="BKD143"/>
      <c r="BKE143"/>
      <c r="BKF143"/>
      <c r="BKG143"/>
      <c r="BKH143"/>
      <c r="BKI143"/>
      <c r="BKJ143"/>
      <c r="BKK143"/>
      <c r="BKL143"/>
      <c r="BKM143"/>
      <c r="BKN143"/>
      <c r="BKO143"/>
      <c r="BKP143"/>
      <c r="BKQ143"/>
      <c r="BKR143"/>
      <c r="BKS143"/>
      <c r="BKT143"/>
      <c r="BKU143"/>
      <c r="BKV143"/>
      <c r="BKW143"/>
      <c r="BKX143"/>
      <c r="BKY143"/>
      <c r="BKZ143"/>
      <c r="BLA143"/>
      <c r="BLB143"/>
      <c r="BLC143"/>
      <c r="BLD143"/>
      <c r="BLE143"/>
      <c r="BLF143"/>
      <c r="BLG143"/>
      <c r="BLH143"/>
      <c r="BLI143"/>
      <c r="BLJ143"/>
      <c r="BLK143"/>
      <c r="BLL143"/>
      <c r="BLM143"/>
      <c r="BLN143"/>
      <c r="BLO143"/>
      <c r="BLP143"/>
      <c r="BLQ143"/>
      <c r="BLR143"/>
      <c r="BLS143"/>
      <c r="BLT143"/>
      <c r="BLU143"/>
      <c r="BLV143"/>
      <c r="BLW143"/>
      <c r="BLX143"/>
      <c r="BLY143"/>
      <c r="BLZ143"/>
      <c r="BMA143"/>
      <c r="BMB143"/>
      <c r="BMC143"/>
      <c r="BMD143"/>
      <c r="BME143"/>
      <c r="BMF143"/>
      <c r="BMG143"/>
      <c r="BMH143"/>
      <c r="BMI143"/>
      <c r="BMJ143"/>
      <c r="BMK143"/>
      <c r="BML143"/>
      <c r="BMM143"/>
      <c r="BMN143"/>
      <c r="BMO143"/>
      <c r="BMP143"/>
      <c r="BMQ143"/>
      <c r="BMR143"/>
      <c r="BMS143"/>
      <c r="BMT143"/>
      <c r="BMU143"/>
      <c r="BMV143"/>
      <c r="BMW143"/>
      <c r="BMX143"/>
      <c r="BMY143"/>
      <c r="BMZ143"/>
      <c r="BNA143"/>
      <c r="BNB143"/>
      <c r="BNC143"/>
      <c r="BND143"/>
      <c r="BNE143"/>
      <c r="BNF143"/>
      <c r="BNG143"/>
      <c r="BNH143"/>
      <c r="BNI143"/>
      <c r="BNJ143"/>
      <c r="BNK143"/>
      <c r="BNL143"/>
      <c r="BNM143"/>
      <c r="BNN143"/>
      <c r="BNO143"/>
      <c r="BNP143"/>
      <c r="BNQ143"/>
      <c r="BNR143"/>
      <c r="BNS143"/>
      <c r="BNT143"/>
      <c r="BNU143"/>
      <c r="BNV143"/>
      <c r="BNW143"/>
      <c r="BNX143"/>
      <c r="BNY143"/>
      <c r="BNZ143"/>
      <c r="BOA143"/>
      <c r="BOB143"/>
      <c r="BOC143"/>
      <c r="BOD143"/>
      <c r="BOE143"/>
      <c r="BOF143"/>
      <c r="BOG143"/>
      <c r="BOH143"/>
      <c r="BOI143"/>
      <c r="BOJ143"/>
      <c r="BOK143"/>
      <c r="BOL143"/>
      <c r="BOM143"/>
      <c r="BON143"/>
      <c r="BOO143"/>
      <c r="BOP143"/>
      <c r="BOQ143"/>
      <c r="BOR143"/>
      <c r="BOS143"/>
      <c r="BOT143"/>
      <c r="BOU143"/>
      <c r="BOV143"/>
      <c r="BOW143"/>
      <c r="BOX143"/>
      <c r="BOY143"/>
      <c r="BOZ143"/>
      <c r="BPA143"/>
      <c r="BPB143"/>
      <c r="BPC143"/>
      <c r="BPD143"/>
      <c r="BPE143"/>
      <c r="BPF143"/>
      <c r="BPG143"/>
      <c r="BPH143"/>
      <c r="BPI143"/>
      <c r="BPJ143"/>
      <c r="BPK143"/>
      <c r="BPL143"/>
      <c r="BPM143"/>
      <c r="BPN143"/>
      <c r="BPO143"/>
      <c r="BPP143"/>
      <c r="BPQ143"/>
      <c r="BPR143"/>
      <c r="BPS143"/>
      <c r="BPT143"/>
      <c r="BPU143"/>
      <c r="BPV143"/>
      <c r="BPW143"/>
      <c r="BPX143"/>
      <c r="BPY143"/>
      <c r="BPZ143"/>
      <c r="BQA143"/>
      <c r="BQB143"/>
      <c r="BQC143"/>
      <c r="BQD143"/>
      <c r="BQE143"/>
      <c r="BQF143"/>
      <c r="BQG143"/>
      <c r="BQH143"/>
      <c r="BQI143"/>
      <c r="BQJ143"/>
      <c r="BQK143"/>
      <c r="BQL143"/>
      <c r="BQM143"/>
      <c r="BQN143"/>
      <c r="BQO143"/>
      <c r="BQP143"/>
      <c r="BQQ143"/>
      <c r="BQR143"/>
      <c r="BQS143"/>
      <c r="BQT143"/>
      <c r="BQU143"/>
      <c r="BQV143"/>
      <c r="BQW143"/>
      <c r="BQX143"/>
      <c r="BQY143"/>
      <c r="BQZ143"/>
      <c r="BRA143"/>
      <c r="BRB143"/>
      <c r="BRC143"/>
      <c r="BRD143"/>
      <c r="BRE143"/>
      <c r="BRF143"/>
      <c r="BRG143"/>
      <c r="BRH143"/>
      <c r="BRI143"/>
      <c r="BRJ143"/>
      <c r="BRK143"/>
      <c r="BRL143"/>
      <c r="BRM143"/>
      <c r="BRN143"/>
      <c r="BRO143"/>
      <c r="BRP143"/>
      <c r="BRQ143"/>
      <c r="BRR143"/>
      <c r="BRS143"/>
      <c r="BRT143"/>
      <c r="BRU143"/>
      <c r="BRV143"/>
      <c r="BRW143"/>
      <c r="BRX143"/>
      <c r="BRY143"/>
      <c r="BRZ143"/>
      <c r="BSA143"/>
      <c r="BSB143"/>
      <c r="BSC143"/>
      <c r="BSD143"/>
      <c r="BSE143"/>
      <c r="BSF143"/>
      <c r="BSG143"/>
      <c r="BSH143"/>
      <c r="BSI143"/>
      <c r="BSJ143"/>
      <c r="BSK143"/>
      <c r="BSL143"/>
      <c r="BSM143"/>
      <c r="BSN143"/>
      <c r="BSO143"/>
      <c r="BSP143"/>
      <c r="BSQ143"/>
      <c r="BSR143"/>
      <c r="BSS143"/>
      <c r="BST143"/>
      <c r="BSU143"/>
      <c r="BSV143"/>
      <c r="BSW143"/>
      <c r="BSX143"/>
      <c r="BSY143"/>
      <c r="BSZ143"/>
      <c r="BTA143"/>
      <c r="BTB143"/>
      <c r="BTC143"/>
      <c r="BTD143"/>
      <c r="BTE143"/>
      <c r="BTF143"/>
      <c r="BTG143"/>
      <c r="BTH143"/>
      <c r="BTI143"/>
      <c r="BTJ143"/>
      <c r="BTK143"/>
      <c r="BTL143"/>
      <c r="BTM143"/>
      <c r="BTN143"/>
      <c r="BTO143"/>
      <c r="BTP143"/>
      <c r="BTQ143"/>
      <c r="BTR143"/>
      <c r="BTS143"/>
      <c r="BTT143"/>
      <c r="BTU143"/>
      <c r="BTV143"/>
      <c r="BTW143"/>
      <c r="BTX143"/>
      <c r="BTY143"/>
      <c r="BTZ143"/>
      <c r="BUA143"/>
      <c r="BUB143"/>
      <c r="BUC143"/>
      <c r="BUD143"/>
      <c r="BUE143"/>
      <c r="BUF143"/>
      <c r="BUG143"/>
      <c r="BUH143"/>
      <c r="BUI143"/>
      <c r="BUJ143"/>
      <c r="BUK143"/>
      <c r="BUL143"/>
      <c r="BUM143"/>
      <c r="BUN143"/>
      <c r="BUO143"/>
      <c r="BUP143"/>
      <c r="BUQ143"/>
      <c r="BUR143"/>
      <c r="BUS143"/>
      <c r="BUT143"/>
      <c r="BUU143"/>
      <c r="BUV143"/>
      <c r="BUW143"/>
      <c r="BUX143"/>
      <c r="BUY143"/>
      <c r="BUZ143"/>
      <c r="BVA143"/>
      <c r="BVB143"/>
      <c r="BVC143"/>
      <c r="BVD143"/>
      <c r="BVE143"/>
      <c r="BVF143"/>
      <c r="BVG143"/>
      <c r="BVH143"/>
      <c r="BVI143"/>
      <c r="BVJ143"/>
      <c r="BVK143"/>
      <c r="BVL143"/>
      <c r="BVM143"/>
      <c r="BVN143"/>
      <c r="BVO143"/>
      <c r="BVP143"/>
      <c r="BVQ143"/>
      <c r="BVR143"/>
      <c r="BVS143"/>
      <c r="BVT143"/>
      <c r="BVU143"/>
      <c r="BVV143"/>
      <c r="BVW143"/>
      <c r="BVX143"/>
      <c r="BVY143"/>
      <c r="BVZ143"/>
      <c r="BWA143"/>
      <c r="BWB143"/>
      <c r="BWC143"/>
      <c r="BWD143"/>
      <c r="BWE143"/>
      <c r="BWF143"/>
      <c r="BWG143"/>
      <c r="BWH143"/>
      <c r="BWI143"/>
      <c r="BWJ143"/>
      <c r="BWK143"/>
      <c r="BWL143"/>
      <c r="BWM143"/>
      <c r="BWN143"/>
      <c r="BWO143"/>
      <c r="BWP143"/>
      <c r="BWQ143"/>
      <c r="BWR143"/>
      <c r="BWS143"/>
      <c r="BWT143"/>
      <c r="BWU143"/>
      <c r="BWV143"/>
      <c r="BWW143"/>
      <c r="BWX143"/>
      <c r="BWY143"/>
      <c r="BWZ143"/>
      <c r="BXA143"/>
      <c r="BXB143"/>
      <c r="BXC143"/>
      <c r="BXD143"/>
      <c r="BXE143"/>
      <c r="BXF143"/>
      <c r="BXG143"/>
      <c r="BXH143"/>
      <c r="BXI143"/>
      <c r="BXJ143"/>
      <c r="BXK143"/>
      <c r="BXL143"/>
      <c r="BXM143"/>
      <c r="BXN143"/>
      <c r="BXO143"/>
      <c r="BXP143"/>
      <c r="BXQ143"/>
      <c r="BXR143"/>
      <c r="BXS143"/>
      <c r="BXT143"/>
      <c r="BXU143"/>
      <c r="BXV143"/>
      <c r="BXW143"/>
      <c r="BXX143"/>
      <c r="BXY143"/>
      <c r="BXZ143"/>
      <c r="BYA143"/>
      <c r="BYB143"/>
      <c r="BYC143"/>
      <c r="BYD143"/>
      <c r="BYE143"/>
      <c r="BYF143"/>
      <c r="BYG143"/>
      <c r="BYH143"/>
      <c r="BYI143"/>
      <c r="BYJ143"/>
      <c r="BYK143"/>
      <c r="BYL143"/>
      <c r="BYM143"/>
      <c r="BYN143"/>
      <c r="BYO143"/>
      <c r="BYP143"/>
      <c r="BYQ143"/>
      <c r="BYR143"/>
      <c r="BYS143"/>
      <c r="BYT143"/>
      <c r="BYU143"/>
      <c r="BYV143"/>
      <c r="BYW143"/>
      <c r="BYX143"/>
      <c r="BYY143"/>
      <c r="BYZ143"/>
      <c r="BZA143"/>
      <c r="BZB143"/>
      <c r="BZC143"/>
      <c r="BZD143"/>
      <c r="BZE143"/>
      <c r="BZF143"/>
      <c r="BZG143"/>
      <c r="BZH143"/>
      <c r="BZI143"/>
      <c r="BZJ143"/>
      <c r="BZK143"/>
      <c r="BZL143"/>
      <c r="BZM143"/>
      <c r="BZN143"/>
      <c r="BZO143"/>
      <c r="BZP143"/>
      <c r="BZQ143"/>
      <c r="BZR143"/>
      <c r="BZS143"/>
      <c r="BZT143"/>
      <c r="BZU143"/>
      <c r="BZV143"/>
      <c r="BZW143"/>
      <c r="BZX143"/>
      <c r="BZY143"/>
      <c r="BZZ143"/>
      <c r="CAA143"/>
      <c r="CAB143"/>
      <c r="CAC143"/>
      <c r="CAD143"/>
      <c r="CAE143"/>
      <c r="CAF143"/>
      <c r="CAG143"/>
      <c r="CAH143"/>
      <c r="CAI143"/>
      <c r="CAJ143"/>
      <c r="CAK143"/>
      <c r="CAL143"/>
      <c r="CAM143"/>
      <c r="CAN143"/>
      <c r="CAO143"/>
      <c r="CAP143"/>
      <c r="CAQ143"/>
      <c r="CAR143"/>
      <c r="CAS143"/>
      <c r="CAT143"/>
      <c r="CAU143"/>
      <c r="CAV143"/>
      <c r="CAW143"/>
      <c r="CAX143"/>
      <c r="CAY143"/>
      <c r="CAZ143"/>
      <c r="CBA143"/>
      <c r="CBB143"/>
      <c r="CBC143"/>
      <c r="CBD143"/>
      <c r="CBE143"/>
      <c r="CBF143"/>
      <c r="CBG143"/>
      <c r="CBH143"/>
      <c r="CBI143"/>
      <c r="CBJ143"/>
      <c r="CBK143"/>
      <c r="CBL143"/>
      <c r="CBM143"/>
      <c r="CBN143"/>
      <c r="CBO143"/>
      <c r="CBP143"/>
      <c r="CBQ143"/>
      <c r="CBR143"/>
      <c r="CBS143"/>
      <c r="CBT143"/>
      <c r="CBU143"/>
      <c r="CBV143"/>
      <c r="CBW143"/>
      <c r="CBX143"/>
      <c r="CBY143"/>
      <c r="CBZ143"/>
      <c r="CCA143"/>
      <c r="CCB143"/>
      <c r="CCC143"/>
      <c r="CCD143"/>
      <c r="CCE143"/>
      <c r="CCF143"/>
      <c r="CCG143"/>
      <c r="CCH143"/>
      <c r="CCI143"/>
      <c r="CCJ143"/>
      <c r="CCK143"/>
      <c r="CCL143"/>
      <c r="CCM143"/>
      <c r="CCN143"/>
      <c r="CCO143"/>
      <c r="CCP143"/>
      <c r="CCQ143"/>
      <c r="CCR143"/>
      <c r="CCS143"/>
      <c r="CCT143"/>
      <c r="CCU143"/>
      <c r="CCV143"/>
      <c r="CCW143"/>
      <c r="CCX143"/>
      <c r="CCY143"/>
      <c r="CCZ143"/>
      <c r="CDA143"/>
      <c r="CDB143"/>
      <c r="CDC143"/>
      <c r="CDD143"/>
      <c r="CDE143"/>
      <c r="CDF143"/>
      <c r="CDG143"/>
      <c r="CDH143"/>
      <c r="CDI143"/>
      <c r="CDJ143"/>
      <c r="CDK143"/>
      <c r="CDL143"/>
      <c r="CDM143"/>
      <c r="CDN143"/>
      <c r="CDO143"/>
      <c r="CDP143"/>
      <c r="CDQ143"/>
      <c r="CDR143"/>
      <c r="CDS143"/>
      <c r="CDT143"/>
      <c r="CDU143"/>
      <c r="CDV143"/>
      <c r="CDW143"/>
      <c r="CDX143"/>
      <c r="CDY143"/>
      <c r="CDZ143"/>
      <c r="CEA143"/>
      <c r="CEB143"/>
      <c r="CEC143"/>
      <c r="CED143"/>
      <c r="CEE143"/>
      <c r="CEF143"/>
      <c r="CEG143"/>
      <c r="CEH143"/>
      <c r="CEI143"/>
      <c r="CEJ143"/>
      <c r="CEK143"/>
      <c r="CEL143"/>
      <c r="CEM143"/>
      <c r="CEN143"/>
      <c r="CEO143"/>
      <c r="CEP143"/>
      <c r="CEQ143"/>
      <c r="CER143"/>
      <c r="CES143"/>
      <c r="CET143"/>
      <c r="CEU143"/>
      <c r="CEV143"/>
      <c r="CEW143"/>
      <c r="CEX143"/>
      <c r="CEY143"/>
      <c r="CEZ143"/>
      <c r="CFA143"/>
      <c r="CFB143"/>
      <c r="CFC143"/>
      <c r="CFD143"/>
      <c r="CFE143"/>
      <c r="CFF143"/>
      <c r="CFG143"/>
      <c r="CFH143"/>
      <c r="CFI143"/>
      <c r="CFJ143"/>
      <c r="CFK143"/>
      <c r="CFL143"/>
      <c r="CFM143"/>
      <c r="CFN143"/>
      <c r="CFO143"/>
      <c r="CFP143"/>
      <c r="CFQ143"/>
      <c r="CFR143"/>
      <c r="CFS143"/>
      <c r="CFT143"/>
      <c r="CFU143"/>
      <c r="CFV143"/>
      <c r="CFW143"/>
      <c r="CFX143"/>
      <c r="CFY143"/>
      <c r="CFZ143"/>
      <c r="CGA143"/>
      <c r="CGB143"/>
      <c r="CGC143"/>
      <c r="CGD143"/>
      <c r="CGE143"/>
      <c r="CGF143"/>
      <c r="CGG143"/>
      <c r="CGH143"/>
      <c r="CGI143"/>
      <c r="CGJ143"/>
      <c r="CGK143"/>
      <c r="CGL143"/>
      <c r="CGM143"/>
      <c r="CGN143"/>
      <c r="CGO143"/>
      <c r="CGP143"/>
      <c r="CGQ143"/>
      <c r="CGR143"/>
      <c r="CGS143"/>
      <c r="CGT143"/>
      <c r="CGU143"/>
      <c r="CGV143"/>
      <c r="CGW143"/>
      <c r="CGX143"/>
      <c r="CGY143"/>
      <c r="CGZ143"/>
      <c r="CHA143"/>
      <c r="CHB143"/>
      <c r="CHC143"/>
      <c r="CHD143"/>
      <c r="CHE143"/>
      <c r="CHF143"/>
      <c r="CHG143"/>
      <c r="CHH143"/>
      <c r="CHI143"/>
      <c r="CHJ143"/>
      <c r="CHK143"/>
      <c r="CHL143"/>
      <c r="CHM143"/>
      <c r="CHN143"/>
      <c r="CHO143"/>
      <c r="CHP143"/>
      <c r="CHQ143"/>
      <c r="CHR143"/>
      <c r="CHS143"/>
      <c r="CHT143"/>
      <c r="CHU143"/>
      <c r="CHV143"/>
      <c r="CHW143"/>
      <c r="CHX143"/>
      <c r="CHY143"/>
      <c r="CHZ143"/>
      <c r="CIA143"/>
      <c r="CIB143"/>
      <c r="CIC143"/>
      <c r="CID143"/>
      <c r="CIE143"/>
      <c r="CIF143"/>
      <c r="CIG143"/>
      <c r="CIH143"/>
      <c r="CII143"/>
      <c r="CIJ143"/>
      <c r="CIK143"/>
      <c r="CIL143"/>
      <c r="CIM143"/>
      <c r="CIN143"/>
      <c r="CIO143"/>
      <c r="CIP143"/>
      <c r="CIQ143"/>
      <c r="CIR143"/>
      <c r="CIS143"/>
      <c r="CIT143"/>
      <c r="CIU143"/>
      <c r="CIV143"/>
      <c r="CIW143"/>
      <c r="CIX143"/>
      <c r="CIY143"/>
      <c r="CIZ143"/>
      <c r="CJA143"/>
      <c r="CJB143"/>
      <c r="CJC143"/>
      <c r="CJD143"/>
      <c r="CJE143"/>
      <c r="CJF143"/>
      <c r="CJG143"/>
      <c r="CJH143"/>
      <c r="CJI143"/>
      <c r="CJJ143"/>
      <c r="CJK143"/>
      <c r="CJL143"/>
      <c r="CJM143"/>
      <c r="CJN143"/>
      <c r="CJO143"/>
      <c r="CJP143"/>
      <c r="CJQ143"/>
      <c r="CJR143"/>
      <c r="CJS143"/>
      <c r="CJT143"/>
      <c r="CJU143"/>
      <c r="CJV143"/>
      <c r="CJW143"/>
      <c r="CJX143"/>
      <c r="CJY143"/>
      <c r="CJZ143"/>
      <c r="CKA143"/>
      <c r="CKB143"/>
      <c r="CKC143"/>
      <c r="CKD143"/>
      <c r="CKE143"/>
      <c r="CKF143"/>
      <c r="CKG143"/>
      <c r="CKH143"/>
      <c r="CKI143"/>
      <c r="CKJ143"/>
      <c r="CKK143"/>
      <c r="CKL143"/>
      <c r="CKM143"/>
      <c r="CKN143"/>
      <c r="CKO143"/>
      <c r="CKP143"/>
      <c r="CKQ143"/>
      <c r="CKR143"/>
      <c r="CKS143"/>
      <c r="CKT143"/>
      <c r="CKU143"/>
      <c r="CKV143"/>
      <c r="CKW143"/>
      <c r="CKX143"/>
      <c r="CKY143"/>
      <c r="CKZ143"/>
      <c r="CLA143"/>
      <c r="CLB143"/>
      <c r="CLC143"/>
      <c r="CLD143"/>
      <c r="CLE143"/>
      <c r="CLF143"/>
      <c r="CLG143"/>
      <c r="CLH143"/>
      <c r="CLI143"/>
      <c r="CLJ143"/>
      <c r="CLK143"/>
      <c r="CLL143"/>
      <c r="CLM143"/>
      <c r="CLN143"/>
      <c r="CLO143"/>
      <c r="CLP143"/>
      <c r="CLQ143"/>
      <c r="CLR143"/>
      <c r="CLS143"/>
      <c r="CLT143"/>
      <c r="CLU143"/>
      <c r="CLV143"/>
      <c r="CLW143"/>
      <c r="CLX143"/>
      <c r="CLY143"/>
      <c r="CLZ143"/>
      <c r="CMA143"/>
      <c r="CMB143"/>
      <c r="CMC143"/>
      <c r="CMD143"/>
      <c r="CME143"/>
      <c r="CMF143"/>
      <c r="CMG143"/>
      <c r="CMH143"/>
      <c r="CMI143"/>
      <c r="CMJ143"/>
      <c r="CMK143"/>
      <c r="CML143"/>
      <c r="CMM143"/>
      <c r="CMN143"/>
      <c r="CMO143"/>
      <c r="CMP143"/>
      <c r="CMQ143"/>
      <c r="CMR143"/>
      <c r="CMS143"/>
      <c r="CMT143"/>
      <c r="CMU143"/>
      <c r="CMV143"/>
      <c r="CMW143"/>
      <c r="CMX143"/>
      <c r="CMY143"/>
      <c r="CMZ143"/>
      <c r="CNA143"/>
      <c r="CNB143"/>
      <c r="CNC143"/>
      <c r="CND143"/>
      <c r="CNE143"/>
      <c r="CNF143"/>
      <c r="CNG143"/>
      <c r="CNH143"/>
      <c r="CNI143"/>
      <c r="CNJ143"/>
      <c r="CNK143"/>
      <c r="CNL143"/>
      <c r="CNM143"/>
      <c r="CNN143"/>
      <c r="CNO143"/>
      <c r="CNP143"/>
      <c r="CNQ143"/>
      <c r="CNR143"/>
      <c r="CNS143"/>
      <c r="CNT143"/>
      <c r="CNU143"/>
      <c r="CNV143"/>
      <c r="CNW143"/>
      <c r="CNX143"/>
      <c r="CNY143"/>
      <c r="CNZ143"/>
      <c r="COA143"/>
      <c r="COB143"/>
      <c r="COC143"/>
      <c r="COD143"/>
      <c r="COE143"/>
      <c r="COF143"/>
      <c r="COG143"/>
      <c r="COH143"/>
      <c r="COI143"/>
      <c r="COJ143"/>
      <c r="COK143"/>
      <c r="COL143"/>
      <c r="COM143"/>
      <c r="CON143"/>
      <c r="COO143"/>
      <c r="COP143"/>
      <c r="COQ143"/>
      <c r="COR143"/>
      <c r="COS143"/>
      <c r="COT143"/>
      <c r="COU143"/>
      <c r="COV143"/>
      <c r="COW143"/>
      <c r="COX143"/>
      <c r="COY143"/>
      <c r="COZ143"/>
      <c r="CPA143"/>
      <c r="CPB143"/>
      <c r="CPC143"/>
      <c r="CPD143"/>
      <c r="CPE143"/>
      <c r="CPF143"/>
      <c r="CPG143"/>
      <c r="CPH143"/>
      <c r="CPI143"/>
      <c r="CPJ143"/>
      <c r="CPK143"/>
      <c r="CPL143"/>
      <c r="CPM143"/>
      <c r="CPN143"/>
      <c r="CPO143"/>
      <c r="CPP143"/>
      <c r="CPQ143"/>
      <c r="CPR143"/>
      <c r="CPS143"/>
      <c r="CPT143"/>
      <c r="CPU143"/>
      <c r="CPV143"/>
      <c r="CPW143"/>
      <c r="CPX143"/>
      <c r="CPY143"/>
      <c r="CPZ143"/>
      <c r="CQA143"/>
      <c r="CQB143"/>
      <c r="CQC143"/>
      <c r="CQD143"/>
      <c r="CQE143"/>
      <c r="CQF143"/>
      <c r="CQG143"/>
      <c r="CQH143"/>
      <c r="CQI143"/>
      <c r="CQJ143"/>
      <c r="CQK143"/>
      <c r="CQL143"/>
      <c r="CQM143"/>
      <c r="CQN143"/>
      <c r="CQO143"/>
      <c r="CQP143"/>
      <c r="CQQ143"/>
      <c r="CQR143"/>
      <c r="CQS143"/>
      <c r="CQT143"/>
      <c r="CQU143"/>
      <c r="CQV143"/>
      <c r="CQW143"/>
      <c r="CQX143"/>
      <c r="CQY143"/>
      <c r="CQZ143"/>
      <c r="CRA143"/>
      <c r="CRB143"/>
      <c r="CRC143"/>
      <c r="CRD143"/>
      <c r="CRE143"/>
      <c r="CRF143"/>
      <c r="CRG143"/>
      <c r="CRH143"/>
      <c r="CRI143"/>
      <c r="CRJ143"/>
      <c r="CRK143"/>
      <c r="CRL143"/>
      <c r="CRM143"/>
      <c r="CRN143"/>
      <c r="CRO143"/>
      <c r="CRP143"/>
      <c r="CRQ143"/>
      <c r="CRR143"/>
      <c r="CRS143"/>
      <c r="CRT143"/>
      <c r="CRU143"/>
      <c r="CRV143"/>
      <c r="CRW143"/>
      <c r="CRX143"/>
      <c r="CRY143"/>
      <c r="CRZ143"/>
      <c r="CSA143"/>
      <c r="CSB143"/>
      <c r="CSC143"/>
      <c r="CSD143"/>
      <c r="CSE143"/>
      <c r="CSF143"/>
      <c r="CSG143"/>
      <c r="CSH143"/>
      <c r="CSI143"/>
      <c r="CSJ143"/>
      <c r="CSK143"/>
      <c r="CSL143"/>
      <c r="CSM143"/>
      <c r="CSN143"/>
      <c r="CSO143"/>
      <c r="CSP143"/>
      <c r="CSQ143"/>
      <c r="CSR143"/>
      <c r="CSS143"/>
      <c r="CST143"/>
      <c r="CSU143"/>
      <c r="CSV143"/>
      <c r="CSW143"/>
      <c r="CSX143"/>
      <c r="CSY143"/>
      <c r="CSZ143"/>
      <c r="CTA143"/>
      <c r="CTB143"/>
      <c r="CTC143"/>
      <c r="CTD143"/>
      <c r="CTE143"/>
      <c r="CTF143"/>
      <c r="CTG143"/>
      <c r="CTH143"/>
      <c r="CTI143"/>
      <c r="CTJ143"/>
      <c r="CTK143"/>
      <c r="CTL143"/>
      <c r="CTM143"/>
      <c r="CTN143"/>
      <c r="CTO143"/>
      <c r="CTP143"/>
      <c r="CTQ143"/>
      <c r="CTR143"/>
      <c r="CTS143"/>
      <c r="CTT143"/>
      <c r="CTU143"/>
      <c r="CTV143"/>
      <c r="CTW143"/>
      <c r="CTX143"/>
      <c r="CTY143"/>
      <c r="CTZ143"/>
      <c r="CUA143"/>
      <c r="CUB143"/>
      <c r="CUC143"/>
      <c r="CUD143"/>
      <c r="CUE143"/>
      <c r="CUF143"/>
      <c r="CUG143"/>
      <c r="CUH143"/>
      <c r="CUI143"/>
      <c r="CUJ143"/>
      <c r="CUK143"/>
      <c r="CUL143"/>
      <c r="CUM143"/>
      <c r="CUN143"/>
      <c r="CUO143"/>
      <c r="CUP143"/>
      <c r="CUQ143"/>
      <c r="CUR143"/>
      <c r="CUS143"/>
      <c r="CUT143"/>
      <c r="CUU143"/>
      <c r="CUV143"/>
      <c r="CUW143"/>
      <c r="CUX143"/>
      <c r="CUY143"/>
      <c r="CUZ143"/>
      <c r="CVA143"/>
      <c r="CVB143"/>
      <c r="CVC143"/>
      <c r="CVD143"/>
      <c r="CVE143"/>
      <c r="CVF143"/>
      <c r="CVG143"/>
      <c r="CVH143"/>
      <c r="CVI143"/>
      <c r="CVJ143"/>
      <c r="CVK143"/>
      <c r="CVL143"/>
      <c r="CVM143"/>
      <c r="CVN143"/>
      <c r="CVO143"/>
      <c r="CVP143"/>
      <c r="CVQ143"/>
      <c r="CVR143"/>
      <c r="CVS143"/>
      <c r="CVT143"/>
      <c r="CVU143"/>
      <c r="CVV143"/>
      <c r="CVW143"/>
      <c r="CVX143"/>
      <c r="CVY143"/>
      <c r="CVZ143"/>
      <c r="CWA143"/>
      <c r="CWB143"/>
      <c r="CWC143"/>
      <c r="CWD143"/>
      <c r="CWE143"/>
      <c r="CWF143"/>
      <c r="CWG143"/>
      <c r="CWH143"/>
      <c r="CWI143"/>
      <c r="CWJ143"/>
      <c r="CWK143"/>
      <c r="CWL143"/>
      <c r="CWM143"/>
      <c r="CWN143"/>
      <c r="CWO143"/>
      <c r="CWP143"/>
      <c r="CWQ143"/>
      <c r="CWR143"/>
      <c r="CWS143"/>
      <c r="CWT143"/>
      <c r="CWU143"/>
      <c r="CWV143"/>
      <c r="CWW143"/>
      <c r="CWX143"/>
      <c r="CWY143"/>
      <c r="CWZ143"/>
      <c r="CXA143"/>
      <c r="CXB143"/>
      <c r="CXC143"/>
      <c r="CXD143"/>
      <c r="CXE143"/>
      <c r="CXF143"/>
      <c r="CXG143"/>
      <c r="CXH143"/>
      <c r="CXI143"/>
      <c r="CXJ143"/>
      <c r="CXK143"/>
      <c r="CXL143"/>
      <c r="CXM143"/>
      <c r="CXN143"/>
      <c r="CXO143"/>
      <c r="CXP143"/>
      <c r="CXQ143"/>
      <c r="CXR143"/>
      <c r="CXS143"/>
      <c r="CXT143"/>
      <c r="CXU143"/>
      <c r="CXV143"/>
      <c r="CXW143"/>
      <c r="CXX143"/>
      <c r="CXY143"/>
      <c r="CXZ143"/>
      <c r="CYA143"/>
      <c r="CYB143"/>
      <c r="CYC143"/>
      <c r="CYD143"/>
      <c r="CYE143"/>
      <c r="CYF143"/>
      <c r="CYG143"/>
      <c r="CYH143"/>
      <c r="CYI143"/>
      <c r="CYJ143"/>
      <c r="CYK143"/>
      <c r="CYL143"/>
      <c r="CYM143"/>
      <c r="CYN143"/>
      <c r="CYO143"/>
      <c r="CYP143"/>
      <c r="CYQ143"/>
      <c r="CYR143"/>
      <c r="CYS143"/>
      <c r="CYT143"/>
      <c r="CYU143"/>
      <c r="CYV143"/>
      <c r="CYW143"/>
      <c r="CYX143"/>
      <c r="CYY143"/>
      <c r="CYZ143"/>
      <c r="CZA143"/>
      <c r="CZB143"/>
      <c r="CZC143"/>
      <c r="CZD143"/>
      <c r="CZE143"/>
      <c r="CZF143"/>
      <c r="CZG143"/>
      <c r="CZH143"/>
      <c r="CZI143"/>
      <c r="CZJ143"/>
      <c r="CZK143"/>
      <c r="CZL143"/>
      <c r="CZM143"/>
      <c r="CZN143"/>
      <c r="CZO143"/>
      <c r="CZP143"/>
      <c r="CZQ143"/>
      <c r="CZR143"/>
      <c r="CZS143"/>
      <c r="CZT143"/>
      <c r="CZU143"/>
      <c r="CZV143"/>
      <c r="CZW143"/>
      <c r="CZX143"/>
      <c r="CZY143"/>
      <c r="CZZ143"/>
      <c r="DAA143"/>
      <c r="DAB143"/>
      <c r="DAC143"/>
      <c r="DAD143"/>
      <c r="DAE143"/>
      <c r="DAF143"/>
      <c r="DAG143"/>
      <c r="DAH143"/>
      <c r="DAI143"/>
      <c r="DAJ143"/>
      <c r="DAK143"/>
      <c r="DAL143"/>
      <c r="DAM143"/>
      <c r="DAN143"/>
      <c r="DAO143"/>
      <c r="DAP143"/>
      <c r="DAQ143"/>
      <c r="DAR143"/>
      <c r="DAS143"/>
      <c r="DAT143"/>
      <c r="DAU143"/>
      <c r="DAV143"/>
      <c r="DAW143"/>
      <c r="DAX143"/>
      <c r="DAY143"/>
      <c r="DAZ143"/>
      <c r="DBA143"/>
      <c r="DBB143"/>
      <c r="DBC143"/>
      <c r="DBD143"/>
      <c r="DBE143"/>
      <c r="DBF143"/>
      <c r="DBG143"/>
      <c r="DBH143"/>
      <c r="DBI143"/>
      <c r="DBJ143"/>
      <c r="DBK143"/>
      <c r="DBL143"/>
      <c r="DBM143"/>
      <c r="DBN143"/>
      <c r="DBO143"/>
      <c r="DBP143"/>
      <c r="DBQ143"/>
      <c r="DBR143"/>
      <c r="DBS143"/>
      <c r="DBT143"/>
      <c r="DBU143"/>
      <c r="DBV143"/>
      <c r="DBW143"/>
      <c r="DBX143"/>
      <c r="DBY143"/>
      <c r="DBZ143"/>
      <c r="DCA143"/>
      <c r="DCB143"/>
      <c r="DCC143"/>
      <c r="DCD143"/>
      <c r="DCE143"/>
      <c r="DCF143"/>
      <c r="DCG143"/>
      <c r="DCH143"/>
      <c r="DCI143"/>
      <c r="DCJ143"/>
      <c r="DCK143"/>
      <c r="DCL143"/>
      <c r="DCM143"/>
      <c r="DCN143"/>
      <c r="DCO143"/>
      <c r="DCP143"/>
      <c r="DCQ143"/>
      <c r="DCR143"/>
      <c r="DCS143"/>
      <c r="DCT143"/>
      <c r="DCU143"/>
      <c r="DCV143"/>
      <c r="DCW143"/>
      <c r="DCX143"/>
      <c r="DCY143"/>
      <c r="DCZ143"/>
      <c r="DDA143"/>
      <c r="DDB143"/>
      <c r="DDC143"/>
      <c r="DDD143"/>
      <c r="DDE143"/>
      <c r="DDF143"/>
      <c r="DDG143"/>
      <c r="DDH143"/>
      <c r="DDI143"/>
      <c r="DDJ143"/>
      <c r="DDK143"/>
      <c r="DDL143"/>
      <c r="DDM143"/>
      <c r="DDN143"/>
      <c r="DDO143"/>
      <c r="DDP143"/>
      <c r="DDQ143"/>
      <c r="DDR143"/>
      <c r="DDS143"/>
      <c r="DDT143"/>
      <c r="DDU143"/>
      <c r="DDV143"/>
      <c r="DDW143"/>
      <c r="DDX143"/>
      <c r="DDY143"/>
      <c r="DDZ143"/>
      <c r="DEA143"/>
      <c r="DEB143"/>
      <c r="DEC143"/>
      <c r="DED143"/>
      <c r="DEE143"/>
      <c r="DEF143"/>
      <c r="DEG143"/>
      <c r="DEH143"/>
      <c r="DEI143"/>
      <c r="DEJ143"/>
      <c r="DEK143"/>
      <c r="DEL143"/>
      <c r="DEM143"/>
      <c r="DEN143"/>
      <c r="DEO143"/>
      <c r="DEP143"/>
      <c r="DEQ143"/>
      <c r="DER143"/>
      <c r="DES143"/>
      <c r="DET143"/>
      <c r="DEU143"/>
      <c r="DEV143"/>
      <c r="DEW143"/>
      <c r="DEX143"/>
      <c r="DEY143"/>
      <c r="DEZ143"/>
      <c r="DFA143"/>
      <c r="DFB143"/>
      <c r="DFC143"/>
      <c r="DFD143"/>
      <c r="DFE143"/>
      <c r="DFF143"/>
      <c r="DFG143"/>
      <c r="DFH143"/>
      <c r="DFI143"/>
      <c r="DFJ143"/>
      <c r="DFK143"/>
      <c r="DFL143"/>
      <c r="DFM143"/>
      <c r="DFN143"/>
      <c r="DFO143"/>
      <c r="DFP143"/>
      <c r="DFQ143"/>
      <c r="DFR143"/>
      <c r="DFS143"/>
      <c r="DFT143"/>
      <c r="DFU143"/>
      <c r="DFV143"/>
      <c r="DFW143"/>
      <c r="DFX143"/>
      <c r="DFY143"/>
      <c r="DFZ143"/>
      <c r="DGA143"/>
      <c r="DGB143"/>
      <c r="DGC143"/>
      <c r="DGD143"/>
      <c r="DGE143"/>
      <c r="DGF143"/>
      <c r="DGG143"/>
      <c r="DGH143"/>
      <c r="DGI143"/>
      <c r="DGJ143"/>
      <c r="DGK143"/>
      <c r="DGL143"/>
      <c r="DGM143"/>
      <c r="DGN143"/>
      <c r="DGO143"/>
      <c r="DGP143"/>
      <c r="DGQ143"/>
      <c r="DGR143"/>
      <c r="DGS143"/>
      <c r="DGT143"/>
      <c r="DGU143"/>
      <c r="DGV143"/>
      <c r="DGW143"/>
      <c r="DGX143"/>
      <c r="DGY143"/>
      <c r="DGZ143"/>
      <c r="DHA143"/>
      <c r="DHB143"/>
      <c r="DHC143"/>
      <c r="DHD143"/>
      <c r="DHE143"/>
      <c r="DHF143"/>
      <c r="DHG143"/>
      <c r="DHH143"/>
      <c r="DHI143"/>
      <c r="DHJ143"/>
      <c r="DHK143"/>
      <c r="DHL143"/>
      <c r="DHM143"/>
      <c r="DHN143"/>
      <c r="DHO143"/>
      <c r="DHP143"/>
      <c r="DHQ143"/>
      <c r="DHR143"/>
      <c r="DHS143"/>
      <c r="DHT143"/>
      <c r="DHU143"/>
      <c r="DHV143"/>
      <c r="DHW143"/>
      <c r="DHX143"/>
      <c r="DHY143"/>
      <c r="DHZ143"/>
      <c r="DIA143"/>
      <c r="DIB143"/>
      <c r="DIC143"/>
      <c r="DID143"/>
      <c r="DIE143"/>
      <c r="DIF143"/>
      <c r="DIG143"/>
      <c r="DIH143"/>
      <c r="DII143"/>
      <c r="DIJ143"/>
      <c r="DIK143"/>
      <c r="DIL143"/>
      <c r="DIM143"/>
      <c r="DIN143"/>
      <c r="DIO143"/>
      <c r="DIP143"/>
      <c r="DIQ143"/>
      <c r="DIR143"/>
      <c r="DIS143"/>
      <c r="DIT143"/>
      <c r="DIU143"/>
      <c r="DIV143"/>
      <c r="DIW143"/>
      <c r="DIX143"/>
      <c r="DIY143"/>
      <c r="DIZ143"/>
      <c r="DJA143"/>
      <c r="DJB143"/>
      <c r="DJC143"/>
      <c r="DJD143"/>
      <c r="DJE143"/>
      <c r="DJF143"/>
      <c r="DJG143"/>
      <c r="DJH143"/>
      <c r="DJI143"/>
      <c r="DJJ143"/>
      <c r="DJK143"/>
      <c r="DJL143"/>
      <c r="DJM143"/>
      <c r="DJN143"/>
      <c r="DJO143"/>
      <c r="DJP143"/>
      <c r="DJQ143"/>
      <c r="DJR143"/>
      <c r="DJS143"/>
      <c r="DJT143"/>
      <c r="DJU143"/>
      <c r="DJV143"/>
      <c r="DJW143"/>
      <c r="DJX143"/>
      <c r="DJY143"/>
      <c r="DJZ143"/>
      <c r="DKA143"/>
      <c r="DKB143"/>
      <c r="DKC143"/>
      <c r="DKD143"/>
      <c r="DKE143"/>
      <c r="DKF143"/>
      <c r="DKG143"/>
      <c r="DKH143"/>
      <c r="DKI143"/>
      <c r="DKJ143"/>
      <c r="DKK143"/>
      <c r="DKL143"/>
      <c r="DKM143"/>
      <c r="DKN143"/>
      <c r="DKO143"/>
      <c r="DKP143"/>
      <c r="DKQ143"/>
      <c r="DKR143"/>
      <c r="DKS143"/>
      <c r="DKT143"/>
      <c r="DKU143"/>
      <c r="DKV143"/>
      <c r="DKW143"/>
      <c r="DKX143"/>
      <c r="DKY143"/>
      <c r="DKZ143"/>
      <c r="DLA143"/>
      <c r="DLB143"/>
      <c r="DLC143"/>
      <c r="DLD143"/>
      <c r="DLE143"/>
      <c r="DLF143"/>
      <c r="DLG143"/>
      <c r="DLH143"/>
      <c r="DLI143"/>
      <c r="DLJ143"/>
      <c r="DLK143"/>
      <c r="DLL143"/>
      <c r="DLM143"/>
      <c r="DLN143"/>
      <c r="DLO143"/>
      <c r="DLP143"/>
      <c r="DLQ143"/>
      <c r="DLR143"/>
      <c r="DLS143"/>
      <c r="DLT143"/>
      <c r="DLU143"/>
      <c r="DLV143"/>
      <c r="DLW143"/>
      <c r="DLX143"/>
      <c r="DLY143"/>
      <c r="DLZ143"/>
      <c r="DMA143"/>
      <c r="DMB143"/>
      <c r="DMC143"/>
      <c r="DMD143"/>
      <c r="DME143"/>
      <c r="DMF143"/>
      <c r="DMG143"/>
      <c r="DMH143"/>
      <c r="DMI143"/>
      <c r="DMJ143"/>
      <c r="DMK143"/>
      <c r="DML143"/>
      <c r="DMM143"/>
      <c r="DMN143"/>
      <c r="DMO143"/>
      <c r="DMP143"/>
      <c r="DMQ143"/>
      <c r="DMR143"/>
      <c r="DMS143"/>
      <c r="DMT143"/>
      <c r="DMU143"/>
      <c r="DMV143"/>
      <c r="DMW143"/>
      <c r="DMX143"/>
      <c r="DMY143"/>
      <c r="DMZ143"/>
      <c r="DNA143"/>
      <c r="DNB143"/>
      <c r="DNC143"/>
      <c r="DND143"/>
      <c r="DNE143"/>
      <c r="DNF143"/>
      <c r="DNG143"/>
      <c r="DNH143"/>
      <c r="DNI143"/>
      <c r="DNJ143"/>
      <c r="DNK143"/>
      <c r="DNL143"/>
      <c r="DNM143"/>
      <c r="DNN143"/>
      <c r="DNO143"/>
      <c r="DNP143"/>
      <c r="DNQ143"/>
      <c r="DNR143"/>
      <c r="DNS143"/>
      <c r="DNT143"/>
      <c r="DNU143"/>
      <c r="DNV143"/>
      <c r="DNW143"/>
      <c r="DNX143"/>
      <c r="DNY143"/>
      <c r="DNZ143"/>
      <c r="DOA143"/>
      <c r="DOB143"/>
      <c r="DOC143"/>
      <c r="DOD143"/>
      <c r="DOE143"/>
      <c r="DOF143"/>
      <c r="DOG143"/>
      <c r="DOH143"/>
      <c r="DOI143"/>
      <c r="DOJ143"/>
      <c r="DOK143"/>
      <c r="DOL143"/>
      <c r="DOM143"/>
      <c r="DON143"/>
      <c r="DOO143"/>
      <c r="DOP143"/>
      <c r="DOQ143"/>
      <c r="DOR143"/>
      <c r="DOS143"/>
      <c r="DOT143"/>
      <c r="DOU143"/>
      <c r="DOV143"/>
      <c r="DOW143"/>
      <c r="DOX143"/>
      <c r="DOY143"/>
      <c r="DOZ143"/>
      <c r="DPA143"/>
      <c r="DPB143"/>
      <c r="DPC143"/>
      <c r="DPD143"/>
      <c r="DPE143"/>
      <c r="DPF143"/>
      <c r="DPG143"/>
      <c r="DPH143"/>
      <c r="DPI143"/>
      <c r="DPJ143"/>
      <c r="DPK143"/>
      <c r="DPL143"/>
      <c r="DPM143"/>
      <c r="DPN143"/>
      <c r="DPO143"/>
      <c r="DPP143"/>
      <c r="DPQ143"/>
      <c r="DPR143"/>
      <c r="DPS143"/>
      <c r="DPT143"/>
      <c r="DPU143"/>
      <c r="DPV143"/>
      <c r="DPW143"/>
      <c r="DPX143"/>
      <c r="DPY143"/>
      <c r="DPZ143"/>
      <c r="DQA143"/>
      <c r="DQB143"/>
      <c r="DQC143"/>
      <c r="DQD143"/>
      <c r="DQE143"/>
      <c r="DQF143"/>
      <c r="DQG143"/>
      <c r="DQH143"/>
      <c r="DQI143"/>
      <c r="DQJ143"/>
      <c r="DQK143"/>
      <c r="DQL143"/>
      <c r="DQM143"/>
      <c r="DQN143"/>
      <c r="DQO143"/>
      <c r="DQP143"/>
      <c r="DQQ143"/>
      <c r="DQR143"/>
      <c r="DQS143"/>
      <c r="DQT143"/>
      <c r="DQU143"/>
      <c r="DQV143"/>
      <c r="DQW143"/>
      <c r="DQX143"/>
      <c r="DQY143"/>
      <c r="DQZ143"/>
      <c r="DRA143"/>
      <c r="DRB143"/>
      <c r="DRC143"/>
      <c r="DRD143"/>
      <c r="DRE143"/>
      <c r="DRF143"/>
      <c r="DRG143"/>
      <c r="DRH143"/>
      <c r="DRI143"/>
      <c r="DRJ143"/>
      <c r="DRK143"/>
      <c r="DRL143"/>
      <c r="DRM143"/>
      <c r="DRN143"/>
      <c r="DRO143"/>
      <c r="DRP143"/>
      <c r="DRQ143"/>
      <c r="DRR143"/>
      <c r="DRS143"/>
      <c r="DRT143"/>
      <c r="DRU143"/>
      <c r="DRV143"/>
      <c r="DRW143"/>
      <c r="DRX143"/>
      <c r="DRY143"/>
      <c r="DRZ143"/>
      <c r="DSA143"/>
      <c r="DSB143"/>
      <c r="DSC143"/>
      <c r="DSD143"/>
      <c r="DSE143"/>
      <c r="DSF143"/>
      <c r="DSG143"/>
      <c r="DSH143"/>
      <c r="DSI143"/>
      <c r="DSJ143"/>
      <c r="DSK143"/>
      <c r="DSL143"/>
      <c r="DSM143"/>
      <c r="DSN143"/>
      <c r="DSO143"/>
      <c r="DSP143"/>
      <c r="DSQ143"/>
      <c r="DSR143"/>
      <c r="DSS143"/>
      <c r="DST143"/>
      <c r="DSU143"/>
      <c r="DSV143"/>
      <c r="DSW143"/>
      <c r="DSX143"/>
      <c r="DSY143"/>
      <c r="DSZ143"/>
      <c r="DTA143"/>
      <c r="DTB143"/>
      <c r="DTC143"/>
      <c r="DTD143"/>
      <c r="DTE143"/>
      <c r="DTF143"/>
      <c r="DTG143"/>
      <c r="DTH143"/>
      <c r="DTI143"/>
      <c r="DTJ143"/>
      <c r="DTK143"/>
      <c r="DTL143"/>
      <c r="DTM143"/>
      <c r="DTN143"/>
      <c r="DTO143"/>
      <c r="DTP143"/>
      <c r="DTQ143"/>
      <c r="DTR143"/>
      <c r="DTS143"/>
      <c r="DTT143"/>
      <c r="DTU143"/>
      <c r="DTV143"/>
      <c r="DTW143"/>
      <c r="DTX143"/>
      <c r="DTY143"/>
      <c r="DTZ143"/>
      <c r="DUA143"/>
      <c r="DUB143"/>
      <c r="DUC143"/>
      <c r="DUD143"/>
      <c r="DUE143"/>
      <c r="DUF143"/>
      <c r="DUG143"/>
      <c r="DUH143"/>
      <c r="DUI143"/>
      <c r="DUJ143"/>
      <c r="DUK143"/>
      <c r="DUL143"/>
      <c r="DUM143"/>
      <c r="DUN143"/>
      <c r="DUO143"/>
      <c r="DUP143"/>
      <c r="DUQ143"/>
      <c r="DUR143"/>
      <c r="DUS143"/>
      <c r="DUT143"/>
      <c r="DUU143"/>
      <c r="DUV143"/>
      <c r="DUW143"/>
      <c r="DUX143"/>
      <c r="DUY143"/>
      <c r="DUZ143"/>
      <c r="DVA143"/>
      <c r="DVB143"/>
      <c r="DVC143"/>
      <c r="DVD143"/>
      <c r="DVE143"/>
      <c r="DVF143"/>
      <c r="DVG143"/>
      <c r="DVH143"/>
      <c r="DVI143"/>
      <c r="DVJ143"/>
      <c r="DVK143"/>
      <c r="DVL143"/>
      <c r="DVM143"/>
      <c r="DVN143"/>
      <c r="DVO143"/>
      <c r="DVP143"/>
      <c r="DVQ143"/>
      <c r="DVR143"/>
      <c r="DVS143"/>
      <c r="DVT143"/>
      <c r="DVU143"/>
      <c r="DVV143"/>
      <c r="DVW143"/>
      <c r="DVX143"/>
      <c r="DVY143"/>
      <c r="DVZ143"/>
      <c r="DWA143"/>
      <c r="DWB143"/>
      <c r="DWC143"/>
      <c r="DWD143"/>
      <c r="DWE143"/>
      <c r="DWF143"/>
      <c r="DWG143"/>
      <c r="DWH143"/>
      <c r="DWI143"/>
      <c r="DWJ143"/>
      <c r="DWK143"/>
      <c r="DWL143"/>
      <c r="DWM143"/>
      <c r="DWN143"/>
      <c r="DWO143"/>
      <c r="DWP143"/>
      <c r="DWQ143"/>
      <c r="DWR143"/>
      <c r="DWS143"/>
      <c r="DWT143"/>
      <c r="DWU143"/>
      <c r="DWV143"/>
      <c r="DWW143"/>
      <c r="DWX143"/>
      <c r="DWY143"/>
      <c r="DWZ143"/>
      <c r="DXA143"/>
      <c r="DXB143"/>
      <c r="DXC143"/>
      <c r="DXD143"/>
      <c r="DXE143"/>
      <c r="DXF143"/>
      <c r="DXG143"/>
      <c r="DXH143"/>
      <c r="DXI143"/>
      <c r="DXJ143"/>
      <c r="DXK143"/>
      <c r="DXL143"/>
      <c r="DXM143"/>
      <c r="DXN143"/>
      <c r="DXO143"/>
      <c r="DXP143"/>
      <c r="DXQ143"/>
      <c r="DXR143"/>
      <c r="DXS143"/>
      <c r="DXT143"/>
      <c r="DXU143"/>
      <c r="DXV143"/>
      <c r="DXW143"/>
      <c r="DXX143"/>
      <c r="DXY143"/>
      <c r="DXZ143"/>
      <c r="DYA143"/>
      <c r="DYB143"/>
      <c r="DYC143"/>
      <c r="DYD143"/>
      <c r="DYE143"/>
      <c r="DYF143"/>
      <c r="DYG143"/>
      <c r="DYH143"/>
      <c r="DYI143"/>
      <c r="DYJ143"/>
      <c r="DYK143"/>
      <c r="DYL143"/>
      <c r="DYM143"/>
      <c r="DYN143"/>
      <c r="DYO143"/>
      <c r="DYP143"/>
      <c r="DYQ143"/>
      <c r="DYR143"/>
      <c r="DYS143"/>
      <c r="DYT143"/>
      <c r="DYU143"/>
      <c r="DYV143"/>
      <c r="DYW143"/>
      <c r="DYX143"/>
      <c r="DYY143"/>
      <c r="DYZ143"/>
      <c r="DZA143"/>
      <c r="DZB143"/>
      <c r="DZC143"/>
      <c r="DZD143"/>
      <c r="DZE143"/>
      <c r="DZF143"/>
      <c r="DZG143"/>
      <c r="DZH143"/>
      <c r="DZI143"/>
      <c r="DZJ143"/>
      <c r="DZK143"/>
      <c r="DZL143"/>
      <c r="DZM143"/>
      <c r="DZN143"/>
      <c r="DZO143"/>
      <c r="DZP143"/>
      <c r="DZQ143"/>
      <c r="DZR143"/>
      <c r="DZS143"/>
      <c r="DZT143"/>
      <c r="DZU143"/>
      <c r="DZV143"/>
      <c r="DZW143"/>
      <c r="DZX143"/>
      <c r="DZY143"/>
      <c r="DZZ143"/>
      <c r="EAA143"/>
      <c r="EAB143"/>
      <c r="EAC143"/>
      <c r="EAD143"/>
      <c r="EAE143"/>
      <c r="EAF143"/>
      <c r="EAG143"/>
      <c r="EAH143"/>
      <c r="EAI143"/>
      <c r="EAJ143"/>
      <c r="EAK143"/>
      <c r="EAL143"/>
      <c r="EAM143"/>
      <c r="EAN143"/>
      <c r="EAO143"/>
      <c r="EAP143"/>
      <c r="EAQ143"/>
      <c r="EAR143"/>
      <c r="EAS143"/>
      <c r="EAT143"/>
      <c r="EAU143"/>
      <c r="EAV143"/>
      <c r="EAW143"/>
      <c r="EAX143"/>
      <c r="EAY143"/>
      <c r="EAZ143"/>
      <c r="EBA143"/>
      <c r="EBB143"/>
      <c r="EBC143"/>
      <c r="EBD143"/>
      <c r="EBE143"/>
      <c r="EBF143"/>
      <c r="EBG143"/>
      <c r="EBH143"/>
      <c r="EBI143"/>
      <c r="EBJ143"/>
      <c r="EBK143"/>
      <c r="EBL143"/>
      <c r="EBM143"/>
      <c r="EBN143"/>
      <c r="EBO143"/>
      <c r="EBP143"/>
      <c r="EBQ143"/>
      <c r="EBR143"/>
      <c r="EBS143"/>
      <c r="EBT143"/>
      <c r="EBU143"/>
      <c r="EBV143"/>
      <c r="EBW143"/>
      <c r="EBX143"/>
      <c r="EBY143"/>
      <c r="EBZ143"/>
      <c r="ECA143"/>
      <c r="ECB143"/>
      <c r="ECC143"/>
      <c r="ECD143"/>
      <c r="ECE143"/>
      <c r="ECF143"/>
      <c r="ECG143"/>
      <c r="ECH143"/>
      <c r="ECI143"/>
      <c r="ECJ143"/>
      <c r="ECK143"/>
      <c r="ECL143"/>
      <c r="ECM143"/>
      <c r="ECN143"/>
      <c r="ECO143"/>
      <c r="ECP143"/>
      <c r="ECQ143"/>
      <c r="ECR143"/>
      <c r="ECS143"/>
      <c r="ECT143"/>
      <c r="ECU143"/>
      <c r="ECV143"/>
      <c r="ECW143"/>
      <c r="ECX143"/>
      <c r="ECY143"/>
      <c r="ECZ143"/>
      <c r="EDA143"/>
      <c r="EDB143"/>
      <c r="EDC143"/>
      <c r="EDD143"/>
      <c r="EDE143"/>
      <c r="EDF143"/>
      <c r="EDG143"/>
      <c r="EDH143"/>
      <c r="EDI143"/>
      <c r="EDJ143"/>
      <c r="EDK143"/>
      <c r="EDL143"/>
      <c r="EDM143"/>
      <c r="EDN143"/>
      <c r="EDO143"/>
      <c r="EDP143"/>
      <c r="EDQ143"/>
      <c r="EDR143"/>
      <c r="EDS143"/>
      <c r="EDT143"/>
      <c r="EDU143"/>
      <c r="EDV143"/>
      <c r="EDW143"/>
      <c r="EDX143"/>
      <c r="EDY143"/>
      <c r="EDZ143"/>
      <c r="EEA143"/>
      <c r="EEB143"/>
      <c r="EEC143"/>
      <c r="EED143"/>
      <c r="EEE143"/>
      <c r="EEF143"/>
      <c r="EEG143"/>
      <c r="EEH143"/>
      <c r="EEI143"/>
      <c r="EEJ143"/>
      <c r="EEK143"/>
      <c r="EEL143"/>
      <c r="EEM143"/>
      <c r="EEN143"/>
      <c r="EEO143"/>
      <c r="EEP143"/>
      <c r="EEQ143"/>
      <c r="EER143"/>
      <c r="EES143"/>
      <c r="EET143"/>
      <c r="EEU143"/>
      <c r="EEV143"/>
      <c r="EEW143"/>
      <c r="EEX143"/>
      <c r="EEY143"/>
      <c r="EEZ143"/>
      <c r="EFA143"/>
      <c r="EFB143"/>
      <c r="EFC143"/>
      <c r="EFD143"/>
      <c r="EFE143"/>
      <c r="EFF143"/>
      <c r="EFG143"/>
      <c r="EFH143"/>
      <c r="EFI143"/>
      <c r="EFJ143"/>
      <c r="EFK143"/>
      <c r="EFL143"/>
      <c r="EFM143"/>
      <c r="EFN143"/>
      <c r="EFO143"/>
      <c r="EFP143"/>
      <c r="EFQ143"/>
      <c r="EFR143"/>
      <c r="EFS143"/>
      <c r="EFT143"/>
      <c r="EFU143"/>
      <c r="EFV143"/>
      <c r="EFW143"/>
      <c r="EFX143"/>
      <c r="EFY143"/>
      <c r="EFZ143"/>
      <c r="EGA143"/>
      <c r="EGB143"/>
      <c r="EGC143"/>
      <c r="EGD143"/>
      <c r="EGE143"/>
      <c r="EGF143"/>
      <c r="EGG143"/>
      <c r="EGH143"/>
      <c r="EGI143"/>
      <c r="EGJ143"/>
      <c r="EGK143"/>
      <c r="EGL143"/>
      <c r="EGM143"/>
      <c r="EGN143"/>
      <c r="EGO143"/>
      <c r="EGP143"/>
      <c r="EGQ143"/>
      <c r="EGR143"/>
      <c r="EGS143"/>
      <c r="EGT143"/>
      <c r="EGU143"/>
      <c r="EGV143"/>
      <c r="EGW143"/>
      <c r="EGX143"/>
      <c r="EGY143"/>
      <c r="EGZ143"/>
      <c r="EHA143"/>
      <c r="EHB143"/>
      <c r="EHC143"/>
      <c r="EHD143"/>
      <c r="EHE143"/>
      <c r="EHF143"/>
      <c r="EHG143"/>
      <c r="EHH143"/>
      <c r="EHI143"/>
      <c r="EHJ143"/>
      <c r="EHK143"/>
      <c r="EHL143"/>
      <c r="EHM143"/>
      <c r="EHN143"/>
      <c r="EHO143"/>
      <c r="EHP143"/>
      <c r="EHQ143"/>
      <c r="EHR143"/>
      <c r="EHS143"/>
      <c r="EHT143"/>
      <c r="EHU143"/>
      <c r="EHV143"/>
      <c r="EHW143"/>
      <c r="EHX143"/>
      <c r="EHY143"/>
      <c r="EHZ143"/>
      <c r="EIA143"/>
      <c r="EIB143"/>
      <c r="EIC143"/>
      <c r="EID143"/>
      <c r="EIE143"/>
      <c r="EIF143"/>
      <c r="EIG143"/>
      <c r="EIH143"/>
      <c r="EII143"/>
      <c r="EIJ143"/>
      <c r="EIK143"/>
      <c r="EIL143"/>
      <c r="EIM143"/>
      <c r="EIN143"/>
      <c r="EIO143"/>
      <c r="EIP143"/>
      <c r="EIQ143"/>
      <c r="EIR143"/>
      <c r="EIS143"/>
      <c r="EIT143"/>
      <c r="EIU143"/>
      <c r="EIV143"/>
      <c r="EIW143"/>
      <c r="EIX143"/>
      <c r="EIY143"/>
      <c r="EIZ143"/>
      <c r="EJA143"/>
      <c r="EJB143"/>
      <c r="EJC143"/>
      <c r="EJD143"/>
      <c r="EJE143"/>
      <c r="EJF143"/>
      <c r="EJG143"/>
      <c r="EJH143"/>
      <c r="EJI143"/>
      <c r="EJJ143"/>
      <c r="EJK143"/>
      <c r="EJL143"/>
      <c r="EJM143"/>
      <c r="EJN143"/>
      <c r="EJO143"/>
      <c r="EJP143"/>
      <c r="EJQ143"/>
      <c r="EJR143"/>
      <c r="EJS143"/>
      <c r="EJT143"/>
      <c r="EJU143"/>
      <c r="EJV143"/>
      <c r="EJW143"/>
      <c r="EJX143"/>
      <c r="EJY143"/>
      <c r="EJZ143"/>
      <c r="EKA143"/>
      <c r="EKB143"/>
      <c r="EKC143"/>
      <c r="EKD143"/>
      <c r="EKE143"/>
      <c r="EKF143"/>
      <c r="EKG143"/>
      <c r="EKH143"/>
      <c r="EKI143"/>
      <c r="EKJ143"/>
      <c r="EKK143"/>
      <c r="EKL143"/>
      <c r="EKM143"/>
      <c r="EKN143"/>
      <c r="EKO143"/>
      <c r="EKP143"/>
      <c r="EKQ143"/>
      <c r="EKR143"/>
      <c r="EKS143"/>
      <c r="EKT143"/>
      <c r="EKU143"/>
      <c r="EKV143"/>
      <c r="EKW143"/>
      <c r="EKX143"/>
      <c r="EKY143"/>
      <c r="EKZ143"/>
      <c r="ELA143"/>
      <c r="ELB143"/>
      <c r="ELC143"/>
      <c r="ELD143"/>
      <c r="ELE143"/>
      <c r="ELF143"/>
      <c r="ELG143"/>
      <c r="ELH143"/>
      <c r="ELI143"/>
      <c r="ELJ143"/>
      <c r="ELK143"/>
      <c r="ELL143"/>
      <c r="ELM143"/>
      <c r="ELN143"/>
      <c r="ELO143"/>
      <c r="ELP143"/>
      <c r="ELQ143"/>
      <c r="ELR143"/>
      <c r="ELS143"/>
      <c r="ELT143"/>
      <c r="ELU143"/>
      <c r="ELV143"/>
      <c r="ELW143"/>
      <c r="ELX143"/>
      <c r="ELY143"/>
      <c r="ELZ143"/>
      <c r="EMA143"/>
      <c r="EMB143"/>
      <c r="EMC143"/>
      <c r="EMD143"/>
      <c r="EME143"/>
      <c r="EMF143"/>
      <c r="EMG143"/>
      <c r="EMH143"/>
      <c r="EMI143"/>
      <c r="EMJ143"/>
      <c r="EMK143"/>
      <c r="EML143"/>
      <c r="EMM143"/>
      <c r="EMN143"/>
      <c r="EMO143"/>
      <c r="EMP143"/>
      <c r="EMQ143"/>
      <c r="EMR143"/>
      <c r="EMS143"/>
      <c r="EMT143"/>
      <c r="EMU143"/>
      <c r="EMV143"/>
      <c r="EMW143"/>
      <c r="EMX143"/>
      <c r="EMY143"/>
      <c r="EMZ143"/>
      <c r="ENA143"/>
      <c r="ENB143"/>
      <c r="ENC143"/>
      <c r="END143"/>
      <c r="ENE143"/>
      <c r="ENF143"/>
      <c r="ENG143"/>
      <c r="ENH143"/>
      <c r="ENI143"/>
      <c r="ENJ143"/>
      <c r="ENK143"/>
      <c r="ENL143"/>
      <c r="ENM143"/>
      <c r="ENN143"/>
      <c r="ENO143"/>
      <c r="ENP143"/>
      <c r="ENQ143"/>
      <c r="ENR143"/>
      <c r="ENS143"/>
      <c r="ENT143"/>
      <c r="ENU143"/>
      <c r="ENV143"/>
      <c r="ENW143"/>
      <c r="ENX143"/>
      <c r="ENY143"/>
      <c r="ENZ143"/>
      <c r="EOA143"/>
      <c r="EOB143"/>
      <c r="EOC143"/>
      <c r="EOD143"/>
      <c r="EOE143"/>
      <c r="EOF143"/>
      <c r="EOG143"/>
      <c r="EOH143"/>
      <c r="EOI143"/>
      <c r="EOJ143"/>
      <c r="EOK143"/>
      <c r="EOL143"/>
      <c r="EOM143"/>
      <c r="EON143"/>
      <c r="EOO143"/>
      <c r="EOP143"/>
      <c r="EOQ143"/>
      <c r="EOR143"/>
      <c r="EOS143"/>
      <c r="EOT143"/>
      <c r="EOU143"/>
      <c r="EOV143"/>
      <c r="EOW143"/>
      <c r="EOX143"/>
      <c r="EOY143"/>
      <c r="EOZ143"/>
      <c r="EPA143"/>
      <c r="EPB143"/>
      <c r="EPC143"/>
      <c r="EPD143"/>
      <c r="EPE143"/>
      <c r="EPF143"/>
      <c r="EPG143"/>
      <c r="EPH143"/>
      <c r="EPI143"/>
      <c r="EPJ143"/>
      <c r="EPK143"/>
      <c r="EPL143"/>
      <c r="EPM143"/>
      <c r="EPN143"/>
      <c r="EPO143"/>
      <c r="EPP143"/>
      <c r="EPQ143"/>
      <c r="EPR143"/>
      <c r="EPS143"/>
      <c r="EPT143"/>
      <c r="EPU143"/>
      <c r="EPV143"/>
      <c r="EPW143"/>
      <c r="EPX143"/>
      <c r="EPY143"/>
      <c r="EPZ143"/>
      <c r="EQA143"/>
      <c r="EQB143"/>
      <c r="EQC143"/>
      <c r="EQD143"/>
      <c r="EQE143"/>
      <c r="EQF143"/>
      <c r="EQG143"/>
      <c r="EQH143"/>
      <c r="EQI143"/>
      <c r="EQJ143"/>
      <c r="EQK143"/>
      <c r="EQL143"/>
      <c r="EQM143"/>
      <c r="EQN143"/>
      <c r="EQO143"/>
      <c r="EQP143"/>
      <c r="EQQ143"/>
      <c r="EQR143"/>
      <c r="EQS143"/>
      <c r="EQT143"/>
      <c r="EQU143"/>
      <c r="EQV143"/>
      <c r="EQW143"/>
      <c r="EQX143"/>
      <c r="EQY143"/>
      <c r="EQZ143"/>
      <c r="ERA143"/>
      <c r="ERB143"/>
      <c r="ERC143"/>
      <c r="ERD143"/>
      <c r="ERE143"/>
      <c r="ERF143"/>
      <c r="ERG143"/>
      <c r="ERH143"/>
      <c r="ERI143"/>
      <c r="ERJ143"/>
      <c r="ERK143"/>
      <c r="ERL143"/>
      <c r="ERM143"/>
      <c r="ERN143"/>
      <c r="ERO143"/>
      <c r="ERP143"/>
      <c r="ERQ143"/>
      <c r="ERR143"/>
      <c r="ERS143"/>
      <c r="ERT143"/>
      <c r="ERU143"/>
      <c r="ERV143"/>
      <c r="ERW143"/>
      <c r="ERX143"/>
      <c r="ERY143"/>
      <c r="ERZ143"/>
      <c r="ESA143"/>
      <c r="ESB143"/>
      <c r="ESC143"/>
      <c r="ESD143"/>
      <c r="ESE143"/>
      <c r="ESF143"/>
      <c r="ESG143"/>
      <c r="ESH143"/>
      <c r="ESI143"/>
      <c r="ESJ143"/>
      <c r="ESK143"/>
      <c r="ESL143"/>
      <c r="ESM143"/>
      <c r="ESN143"/>
      <c r="ESO143"/>
      <c r="ESP143"/>
      <c r="ESQ143"/>
      <c r="ESR143"/>
      <c r="ESS143"/>
      <c r="EST143"/>
      <c r="ESU143"/>
      <c r="ESV143"/>
      <c r="ESW143"/>
      <c r="ESX143"/>
      <c r="ESY143"/>
      <c r="ESZ143"/>
      <c r="ETA143"/>
      <c r="ETB143"/>
      <c r="ETC143"/>
      <c r="ETD143"/>
      <c r="ETE143"/>
      <c r="ETF143"/>
      <c r="ETG143"/>
      <c r="ETH143"/>
      <c r="ETI143"/>
      <c r="ETJ143"/>
      <c r="ETK143"/>
      <c r="ETL143"/>
      <c r="ETM143"/>
      <c r="ETN143"/>
      <c r="ETO143"/>
      <c r="ETP143"/>
      <c r="ETQ143"/>
      <c r="ETR143"/>
      <c r="ETS143"/>
      <c r="ETT143"/>
      <c r="ETU143"/>
      <c r="ETV143"/>
      <c r="ETW143"/>
      <c r="ETX143"/>
      <c r="ETY143"/>
      <c r="ETZ143"/>
      <c r="EUA143"/>
      <c r="EUB143"/>
      <c r="EUC143"/>
      <c r="EUD143"/>
      <c r="EUE143"/>
      <c r="EUF143"/>
      <c r="EUG143"/>
      <c r="EUH143"/>
      <c r="EUI143"/>
      <c r="EUJ143"/>
      <c r="EUK143"/>
      <c r="EUL143"/>
      <c r="EUM143"/>
      <c r="EUN143"/>
      <c r="EUO143"/>
      <c r="EUP143"/>
      <c r="EUQ143"/>
      <c r="EUR143"/>
      <c r="EUS143"/>
      <c r="EUT143"/>
      <c r="EUU143"/>
      <c r="EUV143"/>
      <c r="EUW143"/>
      <c r="EUX143"/>
      <c r="EUY143"/>
      <c r="EUZ143"/>
      <c r="EVA143"/>
      <c r="EVB143"/>
      <c r="EVC143"/>
      <c r="EVD143"/>
      <c r="EVE143"/>
      <c r="EVF143"/>
      <c r="EVG143"/>
      <c r="EVH143"/>
      <c r="EVI143"/>
      <c r="EVJ143"/>
      <c r="EVK143"/>
      <c r="EVL143"/>
      <c r="EVM143"/>
      <c r="EVN143"/>
      <c r="EVO143"/>
      <c r="EVP143"/>
      <c r="EVQ143"/>
      <c r="EVR143"/>
      <c r="EVS143"/>
      <c r="EVT143"/>
      <c r="EVU143"/>
      <c r="EVV143"/>
      <c r="EVW143"/>
      <c r="EVX143"/>
      <c r="EVY143"/>
      <c r="EVZ143"/>
      <c r="EWA143"/>
      <c r="EWB143"/>
      <c r="EWC143"/>
      <c r="EWD143"/>
      <c r="EWE143"/>
      <c r="EWF143"/>
      <c r="EWG143"/>
      <c r="EWH143"/>
      <c r="EWI143"/>
      <c r="EWJ143"/>
      <c r="EWK143"/>
      <c r="EWL143"/>
      <c r="EWM143"/>
      <c r="EWN143"/>
      <c r="EWO143"/>
      <c r="EWP143"/>
      <c r="EWQ143"/>
      <c r="EWR143"/>
      <c r="EWS143"/>
      <c r="EWT143"/>
      <c r="EWU143"/>
      <c r="EWV143"/>
      <c r="EWW143"/>
      <c r="EWX143"/>
      <c r="EWY143"/>
      <c r="EWZ143"/>
      <c r="EXA143"/>
      <c r="EXB143"/>
      <c r="EXC143"/>
      <c r="EXD143"/>
      <c r="EXE143"/>
      <c r="EXF143"/>
      <c r="EXG143"/>
      <c r="EXH143"/>
      <c r="EXI143"/>
      <c r="EXJ143"/>
      <c r="EXK143"/>
      <c r="EXL143"/>
      <c r="EXM143"/>
      <c r="EXN143"/>
      <c r="EXO143"/>
      <c r="EXP143"/>
      <c r="EXQ143"/>
      <c r="EXR143"/>
      <c r="EXS143"/>
      <c r="EXT143"/>
      <c r="EXU143"/>
      <c r="EXV143"/>
      <c r="EXW143"/>
      <c r="EXX143"/>
      <c r="EXY143"/>
      <c r="EXZ143"/>
      <c r="EYA143"/>
      <c r="EYB143"/>
      <c r="EYC143"/>
      <c r="EYD143"/>
      <c r="EYE143"/>
      <c r="EYF143"/>
      <c r="EYG143"/>
      <c r="EYH143"/>
      <c r="EYI143"/>
      <c r="EYJ143"/>
      <c r="EYK143"/>
      <c r="EYL143"/>
      <c r="EYM143"/>
      <c r="EYN143"/>
      <c r="EYO143"/>
      <c r="EYP143"/>
      <c r="EYQ143"/>
      <c r="EYR143"/>
      <c r="EYS143"/>
      <c r="EYT143"/>
      <c r="EYU143"/>
      <c r="EYV143"/>
      <c r="EYW143"/>
      <c r="EYX143"/>
      <c r="EYY143"/>
      <c r="EYZ143"/>
      <c r="EZA143"/>
      <c r="EZB143"/>
      <c r="EZC143"/>
      <c r="EZD143"/>
      <c r="EZE143"/>
      <c r="EZF143"/>
      <c r="EZG143"/>
      <c r="EZH143"/>
      <c r="EZI143"/>
      <c r="EZJ143"/>
      <c r="EZK143"/>
      <c r="EZL143"/>
      <c r="EZM143"/>
      <c r="EZN143"/>
      <c r="EZO143"/>
      <c r="EZP143"/>
      <c r="EZQ143"/>
      <c r="EZR143"/>
      <c r="EZS143"/>
      <c r="EZT143"/>
      <c r="EZU143"/>
      <c r="EZV143"/>
      <c r="EZW143"/>
      <c r="EZX143"/>
      <c r="EZY143"/>
      <c r="EZZ143"/>
      <c r="FAA143"/>
      <c r="FAB143"/>
      <c r="FAC143"/>
      <c r="FAD143"/>
      <c r="FAE143"/>
      <c r="FAF143"/>
      <c r="FAG143"/>
      <c r="FAH143"/>
      <c r="FAI143"/>
      <c r="FAJ143"/>
      <c r="FAK143"/>
      <c r="FAL143"/>
      <c r="FAM143"/>
      <c r="FAN143"/>
      <c r="FAO143"/>
      <c r="FAP143"/>
      <c r="FAQ143"/>
      <c r="FAR143"/>
      <c r="FAS143"/>
      <c r="FAT143"/>
      <c r="FAU143"/>
      <c r="FAV143"/>
      <c r="FAW143"/>
      <c r="FAX143"/>
      <c r="FAY143"/>
      <c r="FAZ143"/>
      <c r="FBA143"/>
      <c r="FBB143"/>
      <c r="FBC143"/>
      <c r="FBD143"/>
      <c r="FBE143"/>
      <c r="FBF143"/>
      <c r="FBG143"/>
      <c r="FBH143"/>
      <c r="FBI143"/>
      <c r="FBJ143"/>
      <c r="FBK143"/>
      <c r="FBL143"/>
      <c r="FBM143"/>
      <c r="FBN143"/>
      <c r="FBO143"/>
      <c r="FBP143"/>
      <c r="FBQ143"/>
      <c r="FBR143"/>
      <c r="FBS143"/>
      <c r="FBT143"/>
      <c r="FBU143"/>
      <c r="FBV143"/>
      <c r="FBW143"/>
      <c r="FBX143"/>
      <c r="FBY143"/>
      <c r="FBZ143"/>
      <c r="FCA143"/>
      <c r="FCB143"/>
      <c r="FCC143"/>
      <c r="FCD143"/>
      <c r="FCE143"/>
      <c r="FCF143"/>
      <c r="FCG143"/>
      <c r="FCH143"/>
      <c r="FCI143"/>
      <c r="FCJ143"/>
      <c r="FCK143"/>
      <c r="FCL143"/>
      <c r="FCM143"/>
      <c r="FCN143"/>
      <c r="FCO143"/>
      <c r="FCP143"/>
      <c r="FCQ143"/>
      <c r="FCR143"/>
      <c r="FCS143"/>
      <c r="FCT143"/>
      <c r="FCU143"/>
      <c r="FCV143"/>
      <c r="FCW143"/>
      <c r="FCX143"/>
      <c r="FCY143"/>
      <c r="FCZ143"/>
      <c r="FDA143"/>
      <c r="FDB143"/>
      <c r="FDC143"/>
      <c r="FDD143"/>
      <c r="FDE143"/>
      <c r="FDF143"/>
      <c r="FDG143"/>
      <c r="FDH143"/>
      <c r="FDI143"/>
      <c r="FDJ143"/>
      <c r="FDK143"/>
      <c r="FDL143"/>
      <c r="FDM143"/>
      <c r="FDN143"/>
      <c r="FDO143"/>
      <c r="FDP143"/>
      <c r="FDQ143"/>
      <c r="FDR143"/>
      <c r="FDS143"/>
      <c r="FDT143"/>
      <c r="FDU143"/>
      <c r="FDV143"/>
      <c r="FDW143"/>
      <c r="FDX143"/>
      <c r="FDY143"/>
      <c r="FDZ143"/>
      <c r="FEA143"/>
      <c r="FEB143"/>
      <c r="FEC143"/>
      <c r="FED143"/>
      <c r="FEE143"/>
      <c r="FEF143"/>
      <c r="FEG143"/>
      <c r="FEH143"/>
      <c r="FEI143"/>
      <c r="FEJ143"/>
      <c r="FEK143"/>
      <c r="FEL143"/>
      <c r="FEM143"/>
      <c r="FEN143"/>
      <c r="FEO143"/>
      <c r="FEP143"/>
      <c r="FEQ143"/>
      <c r="FER143"/>
      <c r="FES143"/>
      <c r="FET143"/>
      <c r="FEU143"/>
      <c r="FEV143"/>
      <c r="FEW143"/>
      <c r="FEX143"/>
      <c r="FEY143"/>
      <c r="FEZ143"/>
      <c r="FFA143"/>
      <c r="FFB143"/>
      <c r="FFC143"/>
      <c r="FFD143"/>
      <c r="FFE143"/>
      <c r="FFF143"/>
      <c r="FFG143"/>
      <c r="FFH143"/>
      <c r="FFI143"/>
      <c r="FFJ143"/>
      <c r="FFK143"/>
      <c r="FFL143"/>
      <c r="FFM143"/>
      <c r="FFN143"/>
      <c r="FFO143"/>
      <c r="FFP143"/>
      <c r="FFQ143"/>
      <c r="FFR143"/>
      <c r="FFS143"/>
      <c r="FFT143"/>
      <c r="FFU143"/>
      <c r="FFV143"/>
      <c r="FFW143"/>
      <c r="FFX143"/>
      <c r="FFY143"/>
      <c r="FFZ143"/>
      <c r="FGA143"/>
      <c r="FGB143"/>
      <c r="FGC143"/>
      <c r="FGD143"/>
      <c r="FGE143"/>
      <c r="FGF143"/>
      <c r="FGG143"/>
      <c r="FGH143"/>
      <c r="FGI143"/>
      <c r="FGJ143"/>
      <c r="FGK143"/>
      <c r="FGL143"/>
      <c r="FGM143"/>
      <c r="FGN143"/>
      <c r="FGO143"/>
      <c r="FGP143"/>
      <c r="FGQ143"/>
      <c r="FGR143"/>
      <c r="FGS143"/>
      <c r="FGT143"/>
      <c r="FGU143"/>
      <c r="FGV143"/>
      <c r="FGW143"/>
      <c r="FGX143"/>
      <c r="FGY143"/>
      <c r="FGZ143"/>
      <c r="FHA143"/>
      <c r="FHB143"/>
      <c r="FHC143"/>
      <c r="FHD143"/>
      <c r="FHE143"/>
      <c r="FHF143"/>
      <c r="FHG143"/>
      <c r="FHH143"/>
      <c r="FHI143"/>
      <c r="FHJ143"/>
      <c r="FHK143"/>
      <c r="FHL143"/>
      <c r="FHM143"/>
      <c r="FHN143"/>
      <c r="FHO143"/>
      <c r="FHP143"/>
      <c r="FHQ143"/>
      <c r="FHR143"/>
      <c r="FHS143"/>
      <c r="FHT143"/>
      <c r="FHU143"/>
      <c r="FHV143"/>
      <c r="FHW143"/>
      <c r="FHX143"/>
      <c r="FHY143"/>
      <c r="FHZ143"/>
      <c r="FIA143"/>
      <c r="FIB143"/>
      <c r="FIC143"/>
      <c r="FID143"/>
      <c r="FIE143"/>
      <c r="FIF143"/>
      <c r="FIG143"/>
      <c r="FIH143"/>
      <c r="FII143"/>
      <c r="FIJ143"/>
      <c r="FIK143"/>
      <c r="FIL143"/>
      <c r="FIM143"/>
      <c r="FIN143"/>
      <c r="FIO143"/>
      <c r="FIP143"/>
      <c r="FIQ143"/>
      <c r="FIR143"/>
      <c r="FIS143"/>
      <c r="FIT143"/>
      <c r="FIU143"/>
      <c r="FIV143"/>
      <c r="FIW143"/>
      <c r="FIX143"/>
      <c r="FIY143"/>
      <c r="FIZ143"/>
      <c r="FJA143"/>
      <c r="FJB143"/>
      <c r="FJC143"/>
      <c r="FJD143"/>
      <c r="FJE143"/>
      <c r="FJF143"/>
      <c r="FJG143"/>
      <c r="FJH143"/>
      <c r="FJI143"/>
      <c r="FJJ143"/>
      <c r="FJK143"/>
      <c r="FJL143"/>
      <c r="FJM143"/>
      <c r="FJN143"/>
      <c r="FJO143"/>
      <c r="FJP143"/>
      <c r="FJQ143"/>
      <c r="FJR143"/>
      <c r="FJS143"/>
      <c r="FJT143"/>
      <c r="FJU143"/>
      <c r="FJV143"/>
      <c r="FJW143"/>
      <c r="FJX143"/>
      <c r="FJY143"/>
      <c r="FJZ143"/>
      <c r="FKA143"/>
      <c r="FKB143"/>
      <c r="FKC143"/>
      <c r="FKD143"/>
      <c r="FKE143"/>
      <c r="FKF143"/>
      <c r="FKG143"/>
      <c r="FKH143"/>
      <c r="FKI143"/>
      <c r="FKJ143"/>
      <c r="FKK143"/>
      <c r="FKL143"/>
      <c r="FKM143"/>
      <c r="FKN143"/>
      <c r="FKO143"/>
      <c r="FKP143"/>
      <c r="FKQ143"/>
      <c r="FKR143"/>
      <c r="FKS143"/>
      <c r="FKT143"/>
      <c r="FKU143"/>
      <c r="FKV143"/>
      <c r="FKW143"/>
      <c r="FKX143"/>
      <c r="FKY143"/>
      <c r="FKZ143"/>
      <c r="FLA143"/>
      <c r="FLB143"/>
      <c r="FLC143"/>
      <c r="FLD143"/>
      <c r="FLE143"/>
      <c r="FLF143"/>
      <c r="FLG143"/>
      <c r="FLH143"/>
      <c r="FLI143"/>
      <c r="FLJ143"/>
      <c r="FLK143"/>
      <c r="FLL143"/>
      <c r="FLM143"/>
      <c r="FLN143"/>
      <c r="FLO143"/>
      <c r="FLP143"/>
      <c r="FLQ143"/>
      <c r="FLR143"/>
      <c r="FLS143"/>
      <c r="FLT143"/>
      <c r="FLU143"/>
      <c r="FLV143"/>
      <c r="FLW143"/>
      <c r="FLX143"/>
      <c r="FLY143"/>
      <c r="FLZ143"/>
      <c r="FMA143"/>
      <c r="FMB143"/>
      <c r="FMC143"/>
      <c r="FMD143"/>
      <c r="FME143"/>
      <c r="FMF143"/>
      <c r="FMG143"/>
      <c r="FMH143"/>
      <c r="FMI143"/>
      <c r="FMJ143"/>
      <c r="FMK143"/>
      <c r="FML143"/>
      <c r="FMM143"/>
      <c r="FMN143"/>
      <c r="FMO143"/>
      <c r="FMP143"/>
      <c r="FMQ143"/>
      <c r="FMR143"/>
      <c r="FMS143"/>
      <c r="FMT143"/>
      <c r="FMU143"/>
      <c r="FMV143"/>
      <c r="FMW143"/>
      <c r="FMX143"/>
      <c r="FMY143"/>
      <c r="FMZ143"/>
      <c r="FNA143"/>
      <c r="FNB143"/>
      <c r="FNC143"/>
      <c r="FND143"/>
      <c r="FNE143"/>
      <c r="FNF143"/>
      <c r="FNG143"/>
      <c r="FNH143"/>
      <c r="FNI143"/>
      <c r="FNJ143"/>
      <c r="FNK143"/>
      <c r="FNL143"/>
      <c r="FNM143"/>
      <c r="FNN143"/>
      <c r="FNO143"/>
      <c r="FNP143"/>
      <c r="FNQ143"/>
      <c r="FNR143"/>
      <c r="FNS143"/>
      <c r="FNT143"/>
      <c r="FNU143"/>
      <c r="FNV143"/>
      <c r="FNW143"/>
      <c r="FNX143"/>
      <c r="FNY143"/>
      <c r="FNZ143"/>
      <c r="FOA143"/>
      <c r="FOB143"/>
      <c r="FOC143"/>
      <c r="FOD143"/>
      <c r="FOE143"/>
      <c r="FOF143"/>
      <c r="FOG143"/>
      <c r="FOH143"/>
      <c r="FOI143"/>
      <c r="FOJ143"/>
      <c r="FOK143"/>
      <c r="FOL143"/>
      <c r="FOM143"/>
      <c r="FON143"/>
      <c r="FOO143"/>
      <c r="FOP143"/>
      <c r="FOQ143"/>
      <c r="FOR143"/>
      <c r="FOS143"/>
      <c r="FOT143"/>
      <c r="FOU143"/>
      <c r="FOV143"/>
      <c r="FOW143"/>
      <c r="FOX143"/>
      <c r="FOY143"/>
      <c r="FOZ143"/>
      <c r="FPA143"/>
      <c r="FPB143"/>
      <c r="FPC143"/>
      <c r="FPD143"/>
      <c r="FPE143"/>
      <c r="FPF143"/>
      <c r="FPG143"/>
      <c r="FPH143"/>
      <c r="FPI143"/>
      <c r="FPJ143"/>
      <c r="FPK143"/>
      <c r="FPL143"/>
      <c r="FPM143"/>
      <c r="FPN143"/>
      <c r="FPO143"/>
      <c r="FPP143"/>
      <c r="FPQ143"/>
      <c r="FPR143"/>
      <c r="FPS143"/>
      <c r="FPT143"/>
      <c r="FPU143"/>
      <c r="FPV143"/>
      <c r="FPW143"/>
      <c r="FPX143"/>
      <c r="FPY143"/>
      <c r="FPZ143"/>
      <c r="FQA143"/>
      <c r="FQB143"/>
      <c r="FQC143"/>
      <c r="FQD143"/>
      <c r="FQE143"/>
      <c r="FQF143"/>
      <c r="FQG143"/>
      <c r="FQH143"/>
      <c r="FQI143"/>
      <c r="FQJ143"/>
      <c r="FQK143"/>
      <c r="FQL143"/>
      <c r="FQM143"/>
      <c r="FQN143"/>
      <c r="FQO143"/>
      <c r="FQP143"/>
      <c r="FQQ143"/>
      <c r="FQR143"/>
      <c r="FQS143"/>
      <c r="FQT143"/>
      <c r="FQU143"/>
      <c r="FQV143"/>
      <c r="FQW143"/>
      <c r="FQX143"/>
      <c r="FQY143"/>
      <c r="FQZ143"/>
      <c r="FRA143"/>
      <c r="FRB143"/>
      <c r="FRC143"/>
      <c r="FRD143"/>
      <c r="FRE143"/>
      <c r="FRF143"/>
      <c r="FRG143"/>
      <c r="FRH143"/>
      <c r="FRI143"/>
      <c r="FRJ143"/>
      <c r="FRK143"/>
      <c r="FRL143"/>
      <c r="FRM143"/>
      <c r="FRN143"/>
      <c r="FRO143"/>
      <c r="FRP143"/>
      <c r="FRQ143"/>
      <c r="FRR143"/>
      <c r="FRS143"/>
      <c r="FRT143"/>
      <c r="FRU143"/>
      <c r="FRV143"/>
      <c r="FRW143"/>
      <c r="FRX143"/>
      <c r="FRY143"/>
      <c r="FRZ143"/>
      <c r="FSA143"/>
      <c r="FSB143"/>
      <c r="FSC143"/>
      <c r="FSD143"/>
      <c r="FSE143"/>
      <c r="FSF143"/>
      <c r="FSG143"/>
      <c r="FSH143"/>
      <c r="FSI143"/>
      <c r="FSJ143"/>
      <c r="FSK143"/>
      <c r="FSL143"/>
      <c r="FSM143"/>
      <c r="FSN143"/>
      <c r="FSO143"/>
      <c r="FSP143"/>
      <c r="FSQ143"/>
      <c r="FSR143"/>
      <c r="FSS143"/>
      <c r="FST143"/>
      <c r="FSU143"/>
      <c r="FSV143"/>
      <c r="FSW143"/>
      <c r="FSX143"/>
      <c r="FSY143"/>
      <c r="FSZ143"/>
      <c r="FTA143"/>
      <c r="FTB143"/>
      <c r="FTC143"/>
      <c r="FTD143"/>
      <c r="FTE143"/>
      <c r="FTF143"/>
      <c r="FTG143"/>
      <c r="FTH143"/>
      <c r="FTI143"/>
      <c r="FTJ143"/>
      <c r="FTK143"/>
      <c r="FTL143"/>
      <c r="FTM143"/>
      <c r="FTN143"/>
      <c r="FTO143"/>
      <c r="FTP143"/>
      <c r="FTQ143"/>
      <c r="FTR143"/>
      <c r="FTS143"/>
      <c r="FTT143"/>
      <c r="FTU143"/>
      <c r="FTV143"/>
      <c r="FTW143"/>
      <c r="FTX143"/>
      <c r="FTY143"/>
      <c r="FTZ143"/>
      <c r="FUA143"/>
      <c r="FUB143"/>
      <c r="FUC143"/>
      <c r="FUD143"/>
      <c r="FUE143"/>
      <c r="FUF143"/>
      <c r="FUG143"/>
      <c r="FUH143"/>
      <c r="FUI143"/>
      <c r="FUJ143"/>
      <c r="FUK143"/>
      <c r="FUL143"/>
      <c r="FUM143"/>
      <c r="FUN143"/>
      <c r="FUO143"/>
      <c r="FUP143"/>
      <c r="FUQ143"/>
      <c r="FUR143"/>
      <c r="FUS143"/>
      <c r="FUT143"/>
      <c r="FUU143"/>
      <c r="FUV143"/>
      <c r="FUW143"/>
      <c r="FUX143"/>
      <c r="FUY143"/>
      <c r="FUZ143"/>
      <c r="FVA143"/>
      <c r="FVB143"/>
      <c r="FVC143"/>
      <c r="FVD143"/>
      <c r="FVE143"/>
      <c r="FVF143"/>
      <c r="FVG143"/>
      <c r="FVH143"/>
      <c r="FVI143"/>
      <c r="FVJ143"/>
      <c r="FVK143"/>
      <c r="FVL143"/>
      <c r="FVM143"/>
      <c r="FVN143"/>
      <c r="FVO143"/>
      <c r="FVP143"/>
      <c r="FVQ143"/>
      <c r="FVR143"/>
      <c r="FVS143"/>
      <c r="FVT143"/>
      <c r="FVU143"/>
      <c r="FVV143"/>
      <c r="FVW143"/>
      <c r="FVX143"/>
      <c r="FVY143"/>
      <c r="FVZ143"/>
      <c r="FWA143"/>
      <c r="FWB143"/>
      <c r="FWC143"/>
      <c r="FWD143"/>
      <c r="FWE143"/>
      <c r="FWF143"/>
      <c r="FWG143"/>
      <c r="FWH143"/>
      <c r="FWI143"/>
      <c r="FWJ143"/>
      <c r="FWK143"/>
      <c r="FWL143"/>
      <c r="FWM143"/>
      <c r="FWN143"/>
      <c r="FWO143"/>
      <c r="FWP143"/>
      <c r="FWQ143"/>
      <c r="FWR143"/>
      <c r="FWS143"/>
      <c r="FWT143"/>
      <c r="FWU143"/>
      <c r="FWV143"/>
      <c r="FWW143"/>
      <c r="FWX143"/>
      <c r="FWY143"/>
      <c r="FWZ143"/>
      <c r="FXA143"/>
      <c r="FXB143"/>
      <c r="FXC143"/>
      <c r="FXD143"/>
      <c r="FXE143"/>
      <c r="FXF143"/>
      <c r="FXG143"/>
      <c r="FXH143"/>
      <c r="FXI143"/>
      <c r="FXJ143"/>
      <c r="FXK143"/>
      <c r="FXL143"/>
      <c r="FXM143"/>
      <c r="FXN143"/>
      <c r="FXO143"/>
      <c r="FXP143"/>
      <c r="FXQ143"/>
      <c r="FXR143"/>
      <c r="FXS143"/>
      <c r="FXT143"/>
      <c r="FXU143"/>
      <c r="FXV143"/>
      <c r="FXW143"/>
      <c r="FXX143"/>
      <c r="FXY143"/>
      <c r="FXZ143"/>
      <c r="FYA143"/>
      <c r="FYB143"/>
      <c r="FYC143"/>
      <c r="FYD143"/>
      <c r="FYE143"/>
      <c r="FYF143"/>
      <c r="FYG143"/>
      <c r="FYH143"/>
      <c r="FYI143"/>
      <c r="FYJ143"/>
      <c r="FYK143"/>
      <c r="FYL143"/>
      <c r="FYM143"/>
      <c r="FYN143"/>
      <c r="FYO143"/>
      <c r="FYP143"/>
      <c r="FYQ143"/>
      <c r="FYR143"/>
      <c r="FYS143"/>
      <c r="FYT143"/>
      <c r="FYU143"/>
      <c r="FYV143"/>
      <c r="FYW143"/>
      <c r="FYX143"/>
      <c r="FYY143"/>
      <c r="FYZ143"/>
      <c r="FZA143"/>
      <c r="FZB143"/>
      <c r="FZC143"/>
      <c r="FZD143"/>
      <c r="FZE143"/>
      <c r="FZF143"/>
      <c r="FZG143"/>
      <c r="FZH143"/>
      <c r="FZI143"/>
      <c r="FZJ143"/>
      <c r="FZK143"/>
      <c r="FZL143"/>
      <c r="FZM143"/>
      <c r="FZN143"/>
      <c r="FZO143"/>
      <c r="FZP143"/>
      <c r="FZQ143"/>
      <c r="FZR143"/>
      <c r="FZS143"/>
      <c r="FZT143"/>
      <c r="FZU143"/>
      <c r="FZV143"/>
      <c r="FZW143"/>
      <c r="FZX143"/>
      <c r="FZY143"/>
      <c r="FZZ143"/>
      <c r="GAA143"/>
      <c r="GAB143"/>
      <c r="GAC143"/>
      <c r="GAD143"/>
      <c r="GAE143"/>
      <c r="GAF143"/>
      <c r="GAG143"/>
      <c r="GAH143"/>
      <c r="GAI143"/>
      <c r="GAJ143"/>
      <c r="GAK143"/>
      <c r="GAL143"/>
      <c r="GAM143"/>
      <c r="GAN143"/>
      <c r="GAO143"/>
      <c r="GAP143"/>
      <c r="GAQ143"/>
      <c r="GAR143"/>
      <c r="GAS143"/>
      <c r="GAT143"/>
      <c r="GAU143"/>
      <c r="GAV143"/>
      <c r="GAW143"/>
      <c r="GAX143"/>
      <c r="GAY143"/>
      <c r="GAZ143"/>
      <c r="GBA143"/>
      <c r="GBB143"/>
      <c r="GBC143"/>
      <c r="GBD143"/>
      <c r="GBE143"/>
      <c r="GBF143"/>
      <c r="GBG143"/>
      <c r="GBH143"/>
      <c r="GBI143"/>
      <c r="GBJ143"/>
      <c r="GBK143"/>
      <c r="GBL143"/>
      <c r="GBM143"/>
      <c r="GBN143"/>
      <c r="GBO143"/>
      <c r="GBP143"/>
      <c r="GBQ143"/>
      <c r="GBR143"/>
      <c r="GBS143"/>
      <c r="GBT143"/>
      <c r="GBU143"/>
      <c r="GBV143"/>
      <c r="GBW143"/>
      <c r="GBX143"/>
      <c r="GBY143"/>
      <c r="GBZ143"/>
      <c r="GCA143"/>
      <c r="GCB143"/>
      <c r="GCC143"/>
      <c r="GCD143"/>
      <c r="GCE143"/>
      <c r="GCF143"/>
      <c r="GCG143"/>
      <c r="GCH143"/>
      <c r="GCI143"/>
      <c r="GCJ143"/>
      <c r="GCK143"/>
      <c r="GCL143"/>
      <c r="GCM143"/>
      <c r="GCN143"/>
      <c r="GCO143"/>
      <c r="GCP143"/>
      <c r="GCQ143"/>
      <c r="GCR143"/>
      <c r="GCS143"/>
      <c r="GCT143"/>
      <c r="GCU143"/>
      <c r="GCV143"/>
      <c r="GCW143"/>
      <c r="GCX143"/>
      <c r="GCY143"/>
      <c r="GCZ143"/>
      <c r="GDA143"/>
      <c r="GDB143"/>
      <c r="GDC143"/>
      <c r="GDD143"/>
      <c r="GDE143"/>
      <c r="GDF143"/>
      <c r="GDG143"/>
      <c r="GDH143"/>
      <c r="GDI143"/>
      <c r="GDJ143"/>
      <c r="GDK143"/>
      <c r="GDL143"/>
      <c r="GDM143"/>
      <c r="GDN143"/>
      <c r="GDO143"/>
      <c r="GDP143"/>
      <c r="GDQ143"/>
      <c r="GDR143"/>
      <c r="GDS143"/>
      <c r="GDT143"/>
      <c r="GDU143"/>
      <c r="GDV143"/>
      <c r="GDW143"/>
      <c r="GDX143"/>
      <c r="GDY143"/>
      <c r="GDZ143"/>
      <c r="GEA143"/>
      <c r="GEB143"/>
      <c r="GEC143"/>
      <c r="GED143"/>
      <c r="GEE143"/>
      <c r="GEF143"/>
      <c r="GEG143"/>
      <c r="GEH143"/>
      <c r="GEI143"/>
      <c r="GEJ143"/>
      <c r="GEK143"/>
      <c r="GEL143"/>
      <c r="GEM143"/>
      <c r="GEN143"/>
      <c r="GEO143"/>
      <c r="GEP143"/>
      <c r="GEQ143"/>
      <c r="GER143"/>
      <c r="GES143"/>
      <c r="GET143"/>
      <c r="GEU143"/>
      <c r="GEV143"/>
      <c r="GEW143"/>
      <c r="GEX143"/>
      <c r="GEY143"/>
      <c r="GEZ143"/>
      <c r="GFA143"/>
      <c r="GFB143"/>
      <c r="GFC143"/>
      <c r="GFD143"/>
      <c r="GFE143"/>
      <c r="GFF143"/>
      <c r="GFG143"/>
      <c r="GFH143"/>
      <c r="GFI143"/>
      <c r="GFJ143"/>
      <c r="GFK143"/>
      <c r="GFL143"/>
      <c r="GFM143"/>
      <c r="GFN143"/>
      <c r="GFO143"/>
      <c r="GFP143"/>
      <c r="GFQ143"/>
      <c r="GFR143"/>
      <c r="GFS143"/>
      <c r="GFT143"/>
      <c r="GFU143"/>
      <c r="GFV143"/>
      <c r="GFW143"/>
      <c r="GFX143"/>
      <c r="GFY143"/>
      <c r="GFZ143"/>
      <c r="GGA143"/>
      <c r="GGB143"/>
      <c r="GGC143"/>
      <c r="GGD143"/>
      <c r="GGE143"/>
      <c r="GGF143"/>
      <c r="GGG143"/>
      <c r="GGH143"/>
      <c r="GGI143"/>
      <c r="GGJ143"/>
      <c r="GGK143"/>
      <c r="GGL143"/>
      <c r="GGM143"/>
      <c r="GGN143"/>
      <c r="GGO143"/>
      <c r="GGP143"/>
      <c r="GGQ143"/>
      <c r="GGR143"/>
      <c r="GGS143"/>
      <c r="GGT143"/>
      <c r="GGU143"/>
      <c r="GGV143"/>
      <c r="GGW143"/>
      <c r="GGX143"/>
      <c r="GGY143"/>
      <c r="GGZ143"/>
      <c r="GHA143"/>
      <c r="GHB143"/>
      <c r="GHC143"/>
      <c r="GHD143"/>
      <c r="GHE143"/>
      <c r="GHF143"/>
      <c r="GHG143"/>
      <c r="GHH143"/>
      <c r="GHI143"/>
      <c r="GHJ143"/>
      <c r="GHK143"/>
      <c r="GHL143"/>
      <c r="GHM143"/>
      <c r="GHN143"/>
      <c r="GHO143"/>
      <c r="GHP143"/>
      <c r="GHQ143"/>
      <c r="GHR143"/>
      <c r="GHS143"/>
      <c r="GHT143"/>
      <c r="GHU143"/>
      <c r="GHV143"/>
      <c r="GHW143"/>
      <c r="GHX143"/>
      <c r="GHY143"/>
      <c r="GHZ143"/>
      <c r="GIA143"/>
      <c r="GIB143"/>
      <c r="GIC143"/>
      <c r="GID143"/>
      <c r="GIE143"/>
      <c r="GIF143"/>
      <c r="GIG143"/>
      <c r="GIH143"/>
      <c r="GII143"/>
      <c r="GIJ143"/>
      <c r="GIK143"/>
      <c r="GIL143"/>
      <c r="GIM143"/>
      <c r="GIN143"/>
      <c r="GIO143"/>
      <c r="GIP143"/>
      <c r="GIQ143"/>
      <c r="GIR143"/>
      <c r="GIS143"/>
      <c r="GIT143"/>
      <c r="GIU143"/>
      <c r="GIV143"/>
      <c r="GIW143"/>
      <c r="GIX143"/>
      <c r="GIY143"/>
      <c r="GIZ143"/>
      <c r="GJA143"/>
      <c r="GJB143"/>
      <c r="GJC143"/>
      <c r="GJD143"/>
      <c r="GJE143"/>
      <c r="GJF143"/>
      <c r="GJG143"/>
      <c r="GJH143"/>
      <c r="GJI143"/>
      <c r="GJJ143"/>
      <c r="GJK143"/>
      <c r="GJL143"/>
      <c r="GJM143"/>
      <c r="GJN143"/>
      <c r="GJO143"/>
      <c r="GJP143"/>
      <c r="GJQ143"/>
      <c r="GJR143"/>
      <c r="GJS143"/>
      <c r="GJT143"/>
      <c r="GJU143"/>
      <c r="GJV143"/>
      <c r="GJW143"/>
      <c r="GJX143"/>
      <c r="GJY143"/>
      <c r="GJZ143"/>
      <c r="GKA143"/>
      <c r="GKB143"/>
      <c r="GKC143"/>
      <c r="GKD143"/>
      <c r="GKE143"/>
      <c r="GKF143"/>
      <c r="GKG143"/>
      <c r="GKH143"/>
      <c r="GKI143"/>
      <c r="GKJ143"/>
      <c r="GKK143"/>
      <c r="GKL143"/>
      <c r="GKM143"/>
      <c r="GKN143"/>
      <c r="GKO143"/>
      <c r="GKP143"/>
      <c r="GKQ143"/>
      <c r="GKR143"/>
      <c r="GKS143"/>
      <c r="GKT143"/>
      <c r="GKU143"/>
      <c r="GKV143"/>
      <c r="GKW143"/>
      <c r="GKX143"/>
      <c r="GKY143"/>
      <c r="GKZ143"/>
      <c r="GLA143"/>
      <c r="GLB143"/>
      <c r="GLC143"/>
      <c r="GLD143"/>
      <c r="GLE143"/>
      <c r="GLF143"/>
      <c r="GLG143"/>
      <c r="GLH143"/>
      <c r="GLI143"/>
      <c r="GLJ143"/>
      <c r="GLK143"/>
      <c r="GLL143"/>
      <c r="GLM143"/>
      <c r="GLN143"/>
      <c r="GLO143"/>
      <c r="GLP143"/>
      <c r="GLQ143"/>
      <c r="GLR143"/>
      <c r="GLS143"/>
      <c r="GLT143"/>
      <c r="GLU143"/>
      <c r="GLV143"/>
      <c r="GLW143"/>
      <c r="GLX143"/>
      <c r="GLY143"/>
      <c r="GLZ143"/>
      <c r="GMA143"/>
      <c r="GMB143"/>
      <c r="GMC143"/>
      <c r="GMD143"/>
      <c r="GME143"/>
      <c r="GMF143"/>
      <c r="GMG143"/>
      <c r="GMH143"/>
      <c r="GMI143"/>
      <c r="GMJ143"/>
      <c r="GMK143"/>
      <c r="GML143"/>
      <c r="GMM143"/>
      <c r="GMN143"/>
      <c r="GMO143"/>
      <c r="GMP143"/>
      <c r="GMQ143"/>
      <c r="GMR143"/>
      <c r="GMS143"/>
      <c r="GMT143"/>
      <c r="GMU143"/>
      <c r="GMV143"/>
      <c r="GMW143"/>
      <c r="GMX143"/>
      <c r="GMY143"/>
      <c r="GMZ143"/>
      <c r="GNA143"/>
      <c r="GNB143"/>
      <c r="GNC143"/>
      <c r="GND143"/>
      <c r="GNE143"/>
      <c r="GNF143"/>
      <c r="GNG143"/>
      <c r="GNH143"/>
      <c r="GNI143"/>
      <c r="GNJ143"/>
      <c r="GNK143"/>
      <c r="GNL143"/>
      <c r="GNM143"/>
      <c r="GNN143"/>
      <c r="GNO143"/>
      <c r="GNP143"/>
      <c r="GNQ143"/>
      <c r="GNR143"/>
      <c r="GNS143"/>
      <c r="GNT143"/>
      <c r="GNU143"/>
      <c r="GNV143"/>
      <c r="GNW143"/>
      <c r="GNX143"/>
      <c r="GNY143"/>
      <c r="GNZ143"/>
      <c r="GOA143"/>
      <c r="GOB143"/>
      <c r="GOC143"/>
      <c r="GOD143"/>
      <c r="GOE143"/>
      <c r="GOF143"/>
      <c r="GOG143"/>
      <c r="GOH143"/>
      <c r="GOI143"/>
      <c r="GOJ143"/>
      <c r="GOK143"/>
      <c r="GOL143"/>
      <c r="GOM143"/>
      <c r="GON143"/>
      <c r="GOO143"/>
      <c r="GOP143"/>
      <c r="GOQ143"/>
      <c r="GOR143"/>
      <c r="GOS143"/>
      <c r="GOT143"/>
      <c r="GOU143"/>
      <c r="GOV143"/>
      <c r="GOW143"/>
      <c r="GOX143"/>
      <c r="GOY143"/>
      <c r="GOZ143"/>
      <c r="GPA143"/>
      <c r="GPB143"/>
      <c r="GPC143"/>
      <c r="GPD143"/>
      <c r="GPE143"/>
      <c r="GPF143"/>
      <c r="GPG143"/>
      <c r="GPH143"/>
      <c r="GPI143"/>
      <c r="GPJ143"/>
      <c r="GPK143"/>
      <c r="GPL143"/>
      <c r="GPM143"/>
      <c r="GPN143"/>
      <c r="GPO143"/>
      <c r="GPP143"/>
      <c r="GPQ143"/>
      <c r="GPR143"/>
      <c r="GPS143"/>
      <c r="GPT143"/>
      <c r="GPU143"/>
      <c r="GPV143"/>
      <c r="GPW143"/>
      <c r="GPX143"/>
      <c r="GPY143"/>
      <c r="GPZ143"/>
      <c r="GQA143"/>
      <c r="GQB143"/>
      <c r="GQC143"/>
      <c r="GQD143"/>
      <c r="GQE143"/>
      <c r="GQF143"/>
      <c r="GQG143"/>
      <c r="GQH143"/>
      <c r="GQI143"/>
      <c r="GQJ143"/>
      <c r="GQK143"/>
      <c r="GQL143"/>
      <c r="GQM143"/>
      <c r="GQN143"/>
      <c r="GQO143"/>
      <c r="GQP143"/>
      <c r="GQQ143"/>
      <c r="GQR143"/>
      <c r="GQS143"/>
      <c r="GQT143"/>
      <c r="GQU143"/>
      <c r="GQV143"/>
      <c r="GQW143"/>
      <c r="GQX143"/>
      <c r="GQY143"/>
      <c r="GQZ143"/>
      <c r="GRA143"/>
      <c r="GRB143"/>
      <c r="GRC143"/>
      <c r="GRD143"/>
      <c r="GRE143"/>
      <c r="GRF143"/>
      <c r="GRG143"/>
      <c r="GRH143"/>
      <c r="GRI143"/>
      <c r="GRJ143"/>
      <c r="GRK143"/>
      <c r="GRL143"/>
      <c r="GRM143"/>
      <c r="GRN143"/>
      <c r="GRO143"/>
      <c r="GRP143"/>
      <c r="GRQ143"/>
      <c r="GRR143"/>
      <c r="GRS143"/>
      <c r="GRT143"/>
      <c r="GRU143"/>
      <c r="GRV143"/>
      <c r="GRW143"/>
      <c r="GRX143"/>
      <c r="GRY143"/>
      <c r="GRZ143"/>
      <c r="GSA143"/>
      <c r="GSB143"/>
      <c r="GSC143"/>
      <c r="GSD143"/>
      <c r="GSE143"/>
      <c r="GSF143"/>
      <c r="GSG143"/>
      <c r="GSH143"/>
      <c r="GSI143"/>
      <c r="GSJ143"/>
      <c r="GSK143"/>
      <c r="GSL143"/>
      <c r="GSM143"/>
      <c r="GSN143"/>
      <c r="GSO143"/>
      <c r="GSP143"/>
      <c r="GSQ143"/>
      <c r="GSR143"/>
      <c r="GSS143"/>
      <c r="GST143"/>
      <c r="GSU143"/>
      <c r="GSV143"/>
      <c r="GSW143"/>
      <c r="GSX143"/>
      <c r="GSY143"/>
      <c r="GSZ143"/>
      <c r="GTA143"/>
      <c r="GTB143"/>
      <c r="GTC143"/>
      <c r="GTD143"/>
      <c r="GTE143"/>
      <c r="GTF143"/>
      <c r="GTG143"/>
      <c r="GTH143"/>
      <c r="GTI143"/>
      <c r="GTJ143"/>
      <c r="GTK143"/>
      <c r="GTL143"/>
      <c r="GTM143"/>
      <c r="GTN143"/>
      <c r="GTO143"/>
      <c r="GTP143"/>
      <c r="GTQ143"/>
      <c r="GTR143"/>
      <c r="GTS143"/>
      <c r="GTT143"/>
      <c r="GTU143"/>
      <c r="GTV143"/>
      <c r="GTW143"/>
      <c r="GTX143"/>
      <c r="GTY143"/>
      <c r="GTZ143"/>
      <c r="GUA143"/>
      <c r="GUB143"/>
      <c r="GUC143"/>
      <c r="GUD143"/>
      <c r="GUE143"/>
      <c r="GUF143"/>
      <c r="GUG143"/>
      <c r="GUH143"/>
      <c r="GUI143"/>
      <c r="GUJ143"/>
      <c r="GUK143"/>
      <c r="GUL143"/>
      <c r="GUM143"/>
      <c r="GUN143"/>
      <c r="GUO143"/>
      <c r="GUP143"/>
      <c r="GUQ143"/>
      <c r="GUR143"/>
      <c r="GUS143"/>
      <c r="GUT143"/>
      <c r="GUU143"/>
      <c r="GUV143"/>
      <c r="GUW143"/>
      <c r="GUX143"/>
      <c r="GUY143"/>
      <c r="GUZ143"/>
      <c r="GVA143"/>
      <c r="GVB143"/>
      <c r="GVC143"/>
      <c r="GVD143"/>
      <c r="GVE143"/>
      <c r="GVF143"/>
      <c r="GVG143"/>
      <c r="GVH143"/>
      <c r="GVI143"/>
      <c r="GVJ143"/>
      <c r="GVK143"/>
      <c r="GVL143"/>
      <c r="GVM143"/>
      <c r="GVN143"/>
      <c r="GVO143"/>
      <c r="GVP143"/>
      <c r="GVQ143"/>
      <c r="GVR143"/>
      <c r="GVS143"/>
      <c r="GVT143"/>
      <c r="GVU143"/>
      <c r="GVV143"/>
      <c r="GVW143"/>
      <c r="GVX143"/>
      <c r="GVY143"/>
      <c r="GVZ143"/>
      <c r="GWA143"/>
      <c r="GWB143"/>
      <c r="GWC143"/>
      <c r="GWD143"/>
      <c r="GWE143"/>
      <c r="GWF143"/>
      <c r="GWG143"/>
      <c r="GWH143"/>
      <c r="GWI143"/>
      <c r="GWJ143"/>
      <c r="GWK143"/>
      <c r="GWL143"/>
      <c r="GWM143"/>
      <c r="GWN143"/>
      <c r="GWO143"/>
      <c r="GWP143"/>
      <c r="GWQ143"/>
      <c r="GWR143"/>
      <c r="GWS143"/>
      <c r="GWT143"/>
      <c r="GWU143"/>
      <c r="GWV143"/>
      <c r="GWW143"/>
      <c r="GWX143"/>
      <c r="GWY143"/>
      <c r="GWZ143"/>
      <c r="GXA143"/>
      <c r="GXB143"/>
      <c r="GXC143"/>
      <c r="GXD143"/>
      <c r="GXE143"/>
      <c r="GXF143"/>
      <c r="GXG143"/>
      <c r="GXH143"/>
      <c r="GXI143"/>
      <c r="GXJ143"/>
      <c r="GXK143"/>
      <c r="GXL143"/>
      <c r="GXM143"/>
      <c r="GXN143"/>
      <c r="GXO143"/>
      <c r="GXP143"/>
      <c r="GXQ143"/>
      <c r="GXR143"/>
      <c r="GXS143"/>
      <c r="GXT143"/>
      <c r="GXU143"/>
      <c r="GXV143"/>
      <c r="GXW143"/>
      <c r="GXX143"/>
      <c r="GXY143"/>
      <c r="GXZ143"/>
      <c r="GYA143"/>
      <c r="GYB143"/>
      <c r="GYC143"/>
      <c r="GYD143"/>
      <c r="GYE143"/>
      <c r="GYF143"/>
      <c r="GYG143"/>
      <c r="GYH143"/>
      <c r="GYI143"/>
      <c r="GYJ143"/>
      <c r="GYK143"/>
      <c r="GYL143"/>
      <c r="GYM143"/>
      <c r="GYN143"/>
      <c r="GYO143"/>
      <c r="GYP143"/>
      <c r="GYQ143"/>
      <c r="GYR143"/>
      <c r="GYS143"/>
      <c r="GYT143"/>
      <c r="GYU143"/>
      <c r="GYV143"/>
      <c r="GYW143"/>
      <c r="GYX143"/>
      <c r="GYY143"/>
      <c r="GYZ143"/>
      <c r="GZA143"/>
      <c r="GZB143"/>
      <c r="GZC143"/>
      <c r="GZD143"/>
      <c r="GZE143"/>
      <c r="GZF143"/>
      <c r="GZG143"/>
      <c r="GZH143"/>
      <c r="GZI143"/>
      <c r="GZJ143"/>
      <c r="GZK143"/>
      <c r="GZL143"/>
      <c r="GZM143"/>
      <c r="GZN143"/>
      <c r="GZO143"/>
      <c r="GZP143"/>
      <c r="GZQ143"/>
      <c r="GZR143"/>
      <c r="GZS143"/>
      <c r="GZT143"/>
      <c r="GZU143"/>
      <c r="GZV143"/>
      <c r="GZW143"/>
      <c r="GZX143"/>
      <c r="GZY143"/>
      <c r="GZZ143"/>
      <c r="HAA143"/>
      <c r="HAB143"/>
      <c r="HAC143"/>
      <c r="HAD143"/>
      <c r="HAE143"/>
      <c r="HAF143"/>
      <c r="HAG143"/>
      <c r="HAH143"/>
      <c r="HAI143"/>
      <c r="HAJ143"/>
      <c r="HAK143"/>
      <c r="HAL143"/>
      <c r="HAM143"/>
      <c r="HAN143"/>
      <c r="HAO143"/>
      <c r="HAP143"/>
      <c r="HAQ143"/>
      <c r="HAR143"/>
      <c r="HAS143"/>
      <c r="HAT143"/>
      <c r="HAU143"/>
      <c r="HAV143"/>
      <c r="HAW143"/>
      <c r="HAX143"/>
      <c r="HAY143"/>
      <c r="HAZ143"/>
      <c r="HBA143"/>
      <c r="HBB143"/>
      <c r="HBC143"/>
      <c r="HBD143"/>
      <c r="HBE143"/>
      <c r="HBF143"/>
      <c r="HBG143"/>
      <c r="HBH143"/>
      <c r="HBI143"/>
      <c r="HBJ143"/>
      <c r="HBK143"/>
      <c r="HBL143"/>
      <c r="HBM143"/>
      <c r="HBN143"/>
      <c r="HBO143"/>
      <c r="HBP143"/>
      <c r="HBQ143"/>
      <c r="HBR143"/>
      <c r="HBS143"/>
      <c r="HBT143"/>
      <c r="HBU143"/>
      <c r="HBV143"/>
      <c r="HBW143"/>
      <c r="HBX143"/>
      <c r="HBY143"/>
      <c r="HBZ143"/>
      <c r="HCA143"/>
      <c r="HCB143"/>
      <c r="HCC143"/>
      <c r="HCD143"/>
      <c r="HCE143"/>
      <c r="HCF143"/>
      <c r="HCG143"/>
      <c r="HCH143"/>
      <c r="HCI143"/>
      <c r="HCJ143"/>
      <c r="HCK143"/>
      <c r="HCL143"/>
      <c r="HCM143"/>
      <c r="HCN143"/>
      <c r="HCO143"/>
      <c r="HCP143"/>
      <c r="HCQ143"/>
      <c r="HCR143"/>
      <c r="HCS143"/>
      <c r="HCT143"/>
      <c r="HCU143"/>
      <c r="HCV143"/>
      <c r="HCW143"/>
      <c r="HCX143"/>
      <c r="HCY143"/>
      <c r="HCZ143"/>
      <c r="HDA143"/>
      <c r="HDB143"/>
      <c r="HDC143"/>
      <c r="HDD143"/>
      <c r="HDE143"/>
      <c r="HDF143"/>
      <c r="HDG143"/>
      <c r="HDH143"/>
      <c r="HDI143"/>
      <c r="HDJ143"/>
      <c r="HDK143"/>
      <c r="HDL143"/>
      <c r="HDM143"/>
      <c r="HDN143"/>
      <c r="HDO143"/>
      <c r="HDP143"/>
      <c r="HDQ143"/>
      <c r="HDR143"/>
      <c r="HDS143"/>
      <c r="HDT143"/>
      <c r="HDU143"/>
      <c r="HDV143"/>
      <c r="HDW143"/>
      <c r="HDX143"/>
      <c r="HDY143"/>
      <c r="HDZ143"/>
      <c r="HEA143"/>
      <c r="HEB143"/>
      <c r="HEC143"/>
      <c r="HED143"/>
      <c r="HEE143"/>
      <c r="HEF143"/>
      <c r="HEG143"/>
      <c r="HEH143"/>
      <c r="HEI143"/>
      <c r="HEJ143"/>
      <c r="HEK143"/>
      <c r="HEL143"/>
      <c r="HEM143"/>
      <c r="HEN143"/>
      <c r="HEO143"/>
      <c r="HEP143"/>
      <c r="HEQ143"/>
      <c r="HER143"/>
      <c r="HES143"/>
      <c r="HET143"/>
      <c r="HEU143"/>
      <c r="HEV143"/>
      <c r="HEW143"/>
      <c r="HEX143"/>
      <c r="HEY143"/>
      <c r="HEZ143"/>
      <c r="HFA143"/>
      <c r="HFB143"/>
      <c r="HFC143"/>
      <c r="HFD143"/>
      <c r="HFE143"/>
      <c r="HFF143"/>
      <c r="HFG143"/>
      <c r="HFH143"/>
      <c r="HFI143"/>
      <c r="HFJ143"/>
      <c r="HFK143"/>
      <c r="HFL143"/>
      <c r="HFM143"/>
      <c r="HFN143"/>
      <c r="HFO143"/>
      <c r="HFP143"/>
      <c r="HFQ143"/>
      <c r="HFR143"/>
      <c r="HFS143"/>
      <c r="HFT143"/>
      <c r="HFU143"/>
      <c r="HFV143"/>
      <c r="HFW143"/>
      <c r="HFX143"/>
      <c r="HFY143"/>
      <c r="HFZ143"/>
      <c r="HGA143"/>
      <c r="HGB143"/>
      <c r="HGC143"/>
      <c r="HGD143"/>
      <c r="HGE143"/>
      <c r="HGF143"/>
      <c r="HGG143"/>
      <c r="HGH143"/>
      <c r="HGI143"/>
      <c r="HGJ143"/>
      <c r="HGK143"/>
      <c r="HGL143"/>
      <c r="HGM143"/>
      <c r="HGN143"/>
      <c r="HGO143"/>
      <c r="HGP143"/>
      <c r="HGQ143"/>
      <c r="HGR143"/>
      <c r="HGS143"/>
      <c r="HGT143"/>
      <c r="HGU143"/>
      <c r="HGV143"/>
      <c r="HGW143"/>
      <c r="HGX143"/>
      <c r="HGY143"/>
      <c r="HGZ143"/>
      <c r="HHA143"/>
      <c r="HHB143"/>
      <c r="HHC143"/>
      <c r="HHD143"/>
      <c r="HHE143"/>
      <c r="HHF143"/>
      <c r="HHG143"/>
      <c r="HHH143"/>
      <c r="HHI143"/>
      <c r="HHJ143"/>
      <c r="HHK143"/>
      <c r="HHL143"/>
      <c r="HHM143"/>
      <c r="HHN143"/>
      <c r="HHO143"/>
      <c r="HHP143"/>
      <c r="HHQ143"/>
      <c r="HHR143"/>
      <c r="HHS143"/>
      <c r="HHT143"/>
      <c r="HHU143"/>
      <c r="HHV143"/>
      <c r="HHW143"/>
      <c r="HHX143"/>
      <c r="HHY143"/>
      <c r="HHZ143"/>
      <c r="HIA143"/>
      <c r="HIB143"/>
      <c r="HIC143"/>
      <c r="HID143"/>
      <c r="HIE143"/>
      <c r="HIF143"/>
      <c r="HIG143"/>
      <c r="HIH143"/>
      <c r="HII143"/>
      <c r="HIJ143"/>
      <c r="HIK143"/>
      <c r="HIL143"/>
      <c r="HIM143"/>
      <c r="HIN143"/>
      <c r="HIO143"/>
      <c r="HIP143"/>
      <c r="HIQ143"/>
      <c r="HIR143"/>
      <c r="HIS143"/>
      <c r="HIT143"/>
      <c r="HIU143"/>
      <c r="HIV143"/>
      <c r="HIW143"/>
      <c r="HIX143"/>
      <c r="HIY143"/>
      <c r="HIZ143"/>
      <c r="HJA143"/>
      <c r="HJB143"/>
      <c r="HJC143"/>
      <c r="HJD143"/>
      <c r="HJE143"/>
      <c r="HJF143"/>
      <c r="HJG143"/>
      <c r="HJH143"/>
      <c r="HJI143"/>
      <c r="HJJ143"/>
      <c r="HJK143"/>
      <c r="HJL143"/>
      <c r="HJM143"/>
      <c r="HJN143"/>
      <c r="HJO143"/>
      <c r="HJP143"/>
      <c r="HJQ143"/>
      <c r="HJR143"/>
      <c r="HJS143"/>
      <c r="HJT143"/>
      <c r="HJU143"/>
      <c r="HJV143"/>
      <c r="HJW143"/>
      <c r="HJX143"/>
      <c r="HJY143"/>
      <c r="HJZ143"/>
      <c r="HKA143"/>
      <c r="HKB143"/>
      <c r="HKC143"/>
      <c r="HKD143"/>
      <c r="HKE143"/>
      <c r="HKF143"/>
      <c r="HKG143"/>
      <c r="HKH143"/>
      <c r="HKI143"/>
      <c r="HKJ143"/>
      <c r="HKK143"/>
      <c r="HKL143"/>
      <c r="HKM143"/>
      <c r="HKN143"/>
      <c r="HKO143"/>
      <c r="HKP143"/>
      <c r="HKQ143"/>
      <c r="HKR143"/>
      <c r="HKS143"/>
      <c r="HKT143"/>
      <c r="HKU143"/>
      <c r="HKV143"/>
      <c r="HKW143"/>
      <c r="HKX143"/>
      <c r="HKY143"/>
      <c r="HKZ143"/>
      <c r="HLA143"/>
      <c r="HLB143"/>
      <c r="HLC143"/>
      <c r="HLD143"/>
      <c r="HLE143"/>
      <c r="HLF143"/>
      <c r="HLG143"/>
      <c r="HLH143"/>
      <c r="HLI143"/>
      <c r="HLJ143"/>
      <c r="HLK143"/>
      <c r="HLL143"/>
      <c r="HLM143"/>
      <c r="HLN143"/>
      <c r="HLO143"/>
      <c r="HLP143"/>
      <c r="HLQ143"/>
      <c r="HLR143"/>
      <c r="HLS143"/>
      <c r="HLT143"/>
      <c r="HLU143"/>
      <c r="HLV143"/>
      <c r="HLW143"/>
      <c r="HLX143"/>
      <c r="HLY143"/>
      <c r="HLZ143"/>
      <c r="HMA143"/>
      <c r="HMB143"/>
      <c r="HMC143"/>
      <c r="HMD143"/>
      <c r="HME143"/>
      <c r="HMF143"/>
      <c r="HMG143"/>
      <c r="HMH143"/>
      <c r="HMI143"/>
      <c r="HMJ143"/>
      <c r="HMK143"/>
      <c r="HML143"/>
      <c r="HMM143"/>
      <c r="HMN143"/>
      <c r="HMO143"/>
      <c r="HMP143"/>
      <c r="HMQ143"/>
      <c r="HMR143"/>
      <c r="HMS143"/>
      <c r="HMT143"/>
      <c r="HMU143"/>
      <c r="HMV143"/>
      <c r="HMW143"/>
      <c r="HMX143"/>
      <c r="HMY143"/>
      <c r="HMZ143"/>
      <c r="HNA143"/>
      <c r="HNB143"/>
      <c r="HNC143"/>
      <c r="HND143"/>
      <c r="HNE143"/>
      <c r="HNF143"/>
      <c r="HNG143"/>
      <c r="HNH143"/>
      <c r="HNI143"/>
      <c r="HNJ143"/>
      <c r="HNK143"/>
      <c r="HNL143"/>
      <c r="HNM143"/>
      <c r="HNN143"/>
      <c r="HNO143"/>
      <c r="HNP143"/>
      <c r="HNQ143"/>
      <c r="HNR143"/>
      <c r="HNS143"/>
      <c r="HNT143"/>
      <c r="HNU143"/>
      <c r="HNV143"/>
      <c r="HNW143"/>
      <c r="HNX143"/>
      <c r="HNY143"/>
      <c r="HNZ143"/>
      <c r="HOA143"/>
      <c r="HOB143"/>
      <c r="HOC143"/>
      <c r="HOD143"/>
      <c r="HOE143"/>
      <c r="HOF143"/>
      <c r="HOG143"/>
      <c r="HOH143"/>
      <c r="HOI143"/>
      <c r="HOJ143"/>
      <c r="HOK143"/>
      <c r="HOL143"/>
      <c r="HOM143"/>
      <c r="HON143"/>
      <c r="HOO143"/>
      <c r="HOP143"/>
      <c r="HOQ143"/>
      <c r="HOR143"/>
      <c r="HOS143"/>
      <c r="HOT143"/>
      <c r="HOU143"/>
      <c r="HOV143"/>
      <c r="HOW143"/>
      <c r="HOX143"/>
      <c r="HOY143"/>
      <c r="HOZ143"/>
      <c r="HPA143"/>
      <c r="HPB143"/>
      <c r="HPC143"/>
      <c r="HPD143"/>
      <c r="HPE143"/>
      <c r="HPF143"/>
      <c r="HPG143"/>
      <c r="HPH143"/>
      <c r="HPI143"/>
      <c r="HPJ143"/>
      <c r="HPK143"/>
      <c r="HPL143"/>
      <c r="HPM143"/>
      <c r="HPN143"/>
      <c r="HPO143"/>
      <c r="HPP143"/>
      <c r="HPQ143"/>
      <c r="HPR143"/>
      <c r="HPS143"/>
      <c r="HPT143"/>
      <c r="HPU143"/>
      <c r="HPV143"/>
      <c r="HPW143"/>
      <c r="HPX143"/>
      <c r="HPY143"/>
      <c r="HPZ143"/>
      <c r="HQA143"/>
      <c r="HQB143"/>
      <c r="HQC143"/>
      <c r="HQD143"/>
      <c r="HQE143"/>
      <c r="HQF143"/>
      <c r="HQG143"/>
      <c r="HQH143"/>
      <c r="HQI143"/>
      <c r="HQJ143"/>
      <c r="HQK143"/>
      <c r="HQL143"/>
      <c r="HQM143"/>
      <c r="HQN143"/>
      <c r="HQO143"/>
      <c r="HQP143"/>
      <c r="HQQ143"/>
      <c r="HQR143"/>
      <c r="HQS143"/>
      <c r="HQT143"/>
      <c r="HQU143"/>
      <c r="HQV143"/>
      <c r="HQW143"/>
      <c r="HQX143"/>
      <c r="HQY143"/>
      <c r="HQZ143"/>
      <c r="HRA143"/>
      <c r="HRB143"/>
      <c r="HRC143"/>
      <c r="HRD143"/>
      <c r="HRE143"/>
      <c r="HRF143"/>
      <c r="HRG143"/>
      <c r="HRH143"/>
      <c r="HRI143"/>
      <c r="HRJ143"/>
      <c r="HRK143"/>
      <c r="HRL143"/>
      <c r="HRM143"/>
      <c r="HRN143"/>
      <c r="HRO143"/>
      <c r="HRP143"/>
      <c r="HRQ143"/>
      <c r="HRR143"/>
      <c r="HRS143"/>
      <c r="HRT143"/>
      <c r="HRU143"/>
      <c r="HRV143"/>
      <c r="HRW143"/>
      <c r="HRX143"/>
      <c r="HRY143"/>
      <c r="HRZ143"/>
      <c r="HSA143"/>
      <c r="HSB143"/>
      <c r="HSC143"/>
      <c r="HSD143"/>
      <c r="HSE143"/>
      <c r="HSF143"/>
      <c r="HSG143"/>
      <c r="HSH143"/>
      <c r="HSI143"/>
      <c r="HSJ143"/>
      <c r="HSK143"/>
      <c r="HSL143"/>
      <c r="HSM143"/>
      <c r="HSN143"/>
      <c r="HSO143"/>
      <c r="HSP143"/>
      <c r="HSQ143"/>
      <c r="HSR143"/>
      <c r="HSS143"/>
      <c r="HST143"/>
      <c r="HSU143"/>
      <c r="HSV143"/>
      <c r="HSW143"/>
      <c r="HSX143"/>
      <c r="HSY143"/>
      <c r="HSZ143"/>
      <c r="HTA143"/>
      <c r="HTB143"/>
      <c r="HTC143"/>
      <c r="HTD143"/>
      <c r="HTE143"/>
      <c r="HTF143"/>
      <c r="HTG143"/>
      <c r="HTH143"/>
      <c r="HTI143"/>
      <c r="HTJ143"/>
      <c r="HTK143"/>
      <c r="HTL143"/>
      <c r="HTM143"/>
      <c r="HTN143"/>
      <c r="HTO143"/>
      <c r="HTP143"/>
      <c r="HTQ143"/>
      <c r="HTR143"/>
      <c r="HTS143"/>
      <c r="HTT143"/>
      <c r="HTU143"/>
      <c r="HTV143"/>
      <c r="HTW143"/>
      <c r="HTX143"/>
      <c r="HTY143"/>
      <c r="HTZ143"/>
      <c r="HUA143"/>
      <c r="HUB143"/>
      <c r="HUC143"/>
      <c r="HUD143"/>
      <c r="HUE143"/>
      <c r="HUF143"/>
      <c r="HUG143"/>
      <c r="HUH143"/>
      <c r="HUI143"/>
      <c r="HUJ143"/>
      <c r="HUK143"/>
      <c r="HUL143"/>
      <c r="HUM143"/>
      <c r="HUN143"/>
      <c r="HUO143"/>
      <c r="HUP143"/>
      <c r="HUQ143"/>
      <c r="HUR143"/>
      <c r="HUS143"/>
      <c r="HUT143"/>
      <c r="HUU143"/>
      <c r="HUV143"/>
      <c r="HUW143"/>
      <c r="HUX143"/>
      <c r="HUY143"/>
      <c r="HUZ143"/>
      <c r="HVA143"/>
      <c r="HVB143"/>
      <c r="HVC143"/>
      <c r="HVD143"/>
      <c r="HVE143"/>
      <c r="HVF143"/>
      <c r="HVG143"/>
      <c r="HVH143"/>
      <c r="HVI143"/>
      <c r="HVJ143"/>
      <c r="HVK143"/>
      <c r="HVL143"/>
      <c r="HVM143"/>
      <c r="HVN143"/>
      <c r="HVO143"/>
      <c r="HVP143"/>
      <c r="HVQ143"/>
      <c r="HVR143"/>
      <c r="HVS143"/>
      <c r="HVT143"/>
      <c r="HVU143"/>
      <c r="HVV143"/>
      <c r="HVW143"/>
      <c r="HVX143"/>
      <c r="HVY143"/>
      <c r="HVZ143"/>
      <c r="HWA143"/>
      <c r="HWB143"/>
      <c r="HWC143"/>
      <c r="HWD143"/>
      <c r="HWE143"/>
      <c r="HWF143"/>
      <c r="HWG143"/>
      <c r="HWH143"/>
      <c r="HWI143"/>
      <c r="HWJ143"/>
      <c r="HWK143"/>
      <c r="HWL143"/>
      <c r="HWM143"/>
      <c r="HWN143"/>
      <c r="HWO143"/>
      <c r="HWP143"/>
      <c r="HWQ143"/>
      <c r="HWR143"/>
      <c r="HWS143"/>
      <c r="HWT143"/>
      <c r="HWU143"/>
      <c r="HWV143"/>
      <c r="HWW143"/>
      <c r="HWX143"/>
      <c r="HWY143"/>
      <c r="HWZ143"/>
      <c r="HXA143"/>
      <c r="HXB143"/>
      <c r="HXC143"/>
      <c r="HXD143"/>
      <c r="HXE143"/>
      <c r="HXF143"/>
      <c r="HXG143"/>
      <c r="HXH143"/>
      <c r="HXI143"/>
      <c r="HXJ143"/>
      <c r="HXK143"/>
      <c r="HXL143"/>
      <c r="HXM143"/>
      <c r="HXN143"/>
      <c r="HXO143"/>
      <c r="HXP143"/>
      <c r="HXQ143"/>
      <c r="HXR143"/>
      <c r="HXS143"/>
      <c r="HXT143"/>
      <c r="HXU143"/>
      <c r="HXV143"/>
      <c r="HXW143"/>
      <c r="HXX143"/>
      <c r="HXY143"/>
      <c r="HXZ143"/>
      <c r="HYA143"/>
      <c r="HYB143"/>
      <c r="HYC143"/>
      <c r="HYD143"/>
      <c r="HYE143"/>
      <c r="HYF143"/>
      <c r="HYG143"/>
      <c r="HYH143"/>
      <c r="HYI143"/>
      <c r="HYJ143"/>
      <c r="HYK143"/>
      <c r="HYL143"/>
      <c r="HYM143"/>
      <c r="HYN143"/>
      <c r="HYO143"/>
      <c r="HYP143"/>
      <c r="HYQ143"/>
      <c r="HYR143"/>
      <c r="HYS143"/>
      <c r="HYT143"/>
      <c r="HYU143"/>
      <c r="HYV143"/>
      <c r="HYW143"/>
      <c r="HYX143"/>
      <c r="HYY143"/>
      <c r="HYZ143"/>
      <c r="HZA143"/>
      <c r="HZB143"/>
      <c r="HZC143"/>
      <c r="HZD143"/>
      <c r="HZE143"/>
      <c r="HZF143"/>
      <c r="HZG143"/>
      <c r="HZH143"/>
      <c r="HZI143"/>
      <c r="HZJ143"/>
      <c r="HZK143"/>
      <c r="HZL143"/>
      <c r="HZM143"/>
      <c r="HZN143"/>
      <c r="HZO143"/>
      <c r="HZP143"/>
      <c r="HZQ143"/>
      <c r="HZR143"/>
      <c r="HZS143"/>
      <c r="HZT143"/>
      <c r="HZU143"/>
      <c r="HZV143"/>
      <c r="HZW143"/>
      <c r="HZX143"/>
      <c r="HZY143"/>
      <c r="HZZ143"/>
      <c r="IAA143"/>
      <c r="IAB143"/>
      <c r="IAC143"/>
      <c r="IAD143"/>
      <c r="IAE143"/>
      <c r="IAF143"/>
      <c r="IAG143"/>
      <c r="IAH143"/>
      <c r="IAI143"/>
      <c r="IAJ143"/>
      <c r="IAK143"/>
      <c r="IAL143"/>
      <c r="IAM143"/>
      <c r="IAN143"/>
      <c r="IAO143"/>
      <c r="IAP143"/>
      <c r="IAQ143"/>
      <c r="IAR143"/>
      <c r="IAS143"/>
      <c r="IAT143"/>
      <c r="IAU143"/>
      <c r="IAV143"/>
      <c r="IAW143"/>
      <c r="IAX143"/>
      <c r="IAY143"/>
      <c r="IAZ143"/>
      <c r="IBA143"/>
      <c r="IBB143"/>
      <c r="IBC143"/>
      <c r="IBD143"/>
      <c r="IBE143"/>
      <c r="IBF143"/>
      <c r="IBG143"/>
      <c r="IBH143"/>
      <c r="IBI143"/>
      <c r="IBJ143"/>
      <c r="IBK143"/>
      <c r="IBL143"/>
      <c r="IBM143"/>
      <c r="IBN143"/>
      <c r="IBO143"/>
      <c r="IBP143"/>
      <c r="IBQ143"/>
      <c r="IBR143"/>
      <c r="IBS143"/>
      <c r="IBT143"/>
      <c r="IBU143"/>
      <c r="IBV143"/>
      <c r="IBW143"/>
      <c r="IBX143"/>
      <c r="IBY143"/>
      <c r="IBZ143"/>
      <c r="ICA143"/>
      <c r="ICB143"/>
      <c r="ICC143"/>
      <c r="ICD143"/>
      <c r="ICE143"/>
      <c r="ICF143"/>
      <c r="ICG143"/>
      <c r="ICH143"/>
      <c r="ICI143"/>
      <c r="ICJ143"/>
      <c r="ICK143"/>
      <c r="ICL143"/>
      <c r="ICM143"/>
      <c r="ICN143"/>
      <c r="ICO143"/>
      <c r="ICP143"/>
      <c r="ICQ143"/>
      <c r="ICR143"/>
      <c r="ICS143"/>
      <c r="ICT143"/>
      <c r="ICU143"/>
      <c r="ICV143"/>
      <c r="ICW143"/>
      <c r="ICX143"/>
      <c r="ICY143"/>
      <c r="ICZ143"/>
      <c r="IDA143"/>
      <c r="IDB143"/>
      <c r="IDC143"/>
      <c r="IDD143"/>
      <c r="IDE143"/>
      <c r="IDF143"/>
      <c r="IDG143"/>
      <c r="IDH143"/>
      <c r="IDI143"/>
      <c r="IDJ143"/>
      <c r="IDK143"/>
      <c r="IDL143"/>
      <c r="IDM143"/>
      <c r="IDN143"/>
      <c r="IDO143"/>
      <c r="IDP143"/>
      <c r="IDQ143"/>
      <c r="IDR143"/>
      <c r="IDS143"/>
      <c r="IDT143"/>
      <c r="IDU143"/>
      <c r="IDV143"/>
      <c r="IDW143"/>
      <c r="IDX143"/>
      <c r="IDY143"/>
      <c r="IDZ143"/>
      <c r="IEA143"/>
      <c r="IEB143"/>
      <c r="IEC143"/>
      <c r="IED143"/>
      <c r="IEE143"/>
      <c r="IEF143"/>
      <c r="IEG143"/>
      <c r="IEH143"/>
      <c r="IEI143"/>
      <c r="IEJ143"/>
      <c r="IEK143"/>
      <c r="IEL143"/>
      <c r="IEM143"/>
      <c r="IEN143"/>
      <c r="IEO143"/>
      <c r="IEP143"/>
      <c r="IEQ143"/>
      <c r="IER143"/>
      <c r="IES143"/>
      <c r="IET143"/>
      <c r="IEU143"/>
      <c r="IEV143"/>
      <c r="IEW143"/>
      <c r="IEX143"/>
      <c r="IEY143"/>
      <c r="IEZ143"/>
      <c r="IFA143"/>
      <c r="IFB143"/>
      <c r="IFC143"/>
      <c r="IFD143"/>
      <c r="IFE143"/>
      <c r="IFF143"/>
      <c r="IFG143"/>
      <c r="IFH143"/>
      <c r="IFI143"/>
      <c r="IFJ143"/>
      <c r="IFK143"/>
      <c r="IFL143"/>
      <c r="IFM143"/>
      <c r="IFN143"/>
      <c r="IFO143"/>
      <c r="IFP143"/>
      <c r="IFQ143"/>
      <c r="IFR143"/>
      <c r="IFS143"/>
      <c r="IFT143"/>
      <c r="IFU143"/>
      <c r="IFV143"/>
      <c r="IFW143"/>
      <c r="IFX143"/>
      <c r="IFY143"/>
      <c r="IFZ143"/>
      <c r="IGA143"/>
      <c r="IGB143"/>
      <c r="IGC143"/>
      <c r="IGD143"/>
      <c r="IGE143"/>
      <c r="IGF143"/>
      <c r="IGG143"/>
      <c r="IGH143"/>
      <c r="IGI143"/>
      <c r="IGJ143"/>
      <c r="IGK143"/>
      <c r="IGL143"/>
      <c r="IGM143"/>
      <c r="IGN143"/>
      <c r="IGO143"/>
      <c r="IGP143"/>
      <c r="IGQ143"/>
      <c r="IGR143"/>
      <c r="IGS143"/>
      <c r="IGT143"/>
      <c r="IGU143"/>
      <c r="IGV143"/>
      <c r="IGW143"/>
      <c r="IGX143"/>
      <c r="IGY143"/>
      <c r="IGZ143"/>
      <c r="IHA143"/>
      <c r="IHB143"/>
      <c r="IHC143"/>
      <c r="IHD143"/>
      <c r="IHE143"/>
      <c r="IHF143"/>
      <c r="IHG143"/>
      <c r="IHH143"/>
      <c r="IHI143"/>
      <c r="IHJ143"/>
      <c r="IHK143"/>
      <c r="IHL143"/>
      <c r="IHM143"/>
      <c r="IHN143"/>
      <c r="IHO143"/>
      <c r="IHP143"/>
      <c r="IHQ143"/>
      <c r="IHR143"/>
      <c r="IHS143"/>
      <c r="IHT143"/>
      <c r="IHU143"/>
      <c r="IHV143"/>
      <c r="IHW143"/>
      <c r="IHX143"/>
      <c r="IHY143"/>
      <c r="IHZ143"/>
      <c r="IIA143"/>
      <c r="IIB143"/>
      <c r="IIC143"/>
      <c r="IID143"/>
      <c r="IIE143"/>
      <c r="IIF143"/>
      <c r="IIG143"/>
      <c r="IIH143"/>
      <c r="III143"/>
      <c r="IIJ143"/>
      <c r="IIK143"/>
      <c r="IIL143"/>
      <c r="IIM143"/>
      <c r="IIN143"/>
      <c r="IIO143"/>
      <c r="IIP143"/>
      <c r="IIQ143"/>
      <c r="IIR143"/>
      <c r="IIS143"/>
      <c r="IIT143"/>
      <c r="IIU143"/>
      <c r="IIV143"/>
      <c r="IIW143"/>
      <c r="IIX143"/>
      <c r="IIY143"/>
      <c r="IIZ143"/>
      <c r="IJA143"/>
      <c r="IJB143"/>
      <c r="IJC143"/>
      <c r="IJD143"/>
      <c r="IJE143"/>
      <c r="IJF143"/>
      <c r="IJG143"/>
      <c r="IJH143"/>
      <c r="IJI143"/>
      <c r="IJJ143"/>
      <c r="IJK143"/>
      <c r="IJL143"/>
      <c r="IJM143"/>
      <c r="IJN143"/>
      <c r="IJO143"/>
      <c r="IJP143"/>
      <c r="IJQ143"/>
      <c r="IJR143"/>
      <c r="IJS143"/>
      <c r="IJT143"/>
      <c r="IJU143"/>
      <c r="IJV143"/>
      <c r="IJW143"/>
      <c r="IJX143"/>
      <c r="IJY143"/>
      <c r="IJZ143"/>
      <c r="IKA143"/>
      <c r="IKB143"/>
      <c r="IKC143"/>
      <c r="IKD143"/>
      <c r="IKE143"/>
      <c r="IKF143"/>
      <c r="IKG143"/>
      <c r="IKH143"/>
      <c r="IKI143"/>
      <c r="IKJ143"/>
      <c r="IKK143"/>
      <c r="IKL143"/>
      <c r="IKM143"/>
      <c r="IKN143"/>
      <c r="IKO143"/>
      <c r="IKP143"/>
      <c r="IKQ143"/>
      <c r="IKR143"/>
      <c r="IKS143"/>
      <c r="IKT143"/>
      <c r="IKU143"/>
      <c r="IKV143"/>
      <c r="IKW143"/>
      <c r="IKX143"/>
      <c r="IKY143"/>
      <c r="IKZ143"/>
      <c r="ILA143"/>
      <c r="ILB143"/>
      <c r="ILC143"/>
      <c r="ILD143"/>
      <c r="ILE143"/>
      <c r="ILF143"/>
      <c r="ILG143"/>
      <c r="ILH143"/>
      <c r="ILI143"/>
      <c r="ILJ143"/>
      <c r="ILK143"/>
      <c r="ILL143"/>
      <c r="ILM143"/>
      <c r="ILN143"/>
      <c r="ILO143"/>
      <c r="ILP143"/>
      <c r="ILQ143"/>
      <c r="ILR143"/>
      <c r="ILS143"/>
      <c r="ILT143"/>
      <c r="ILU143"/>
      <c r="ILV143"/>
      <c r="ILW143"/>
      <c r="ILX143"/>
      <c r="ILY143"/>
      <c r="ILZ143"/>
      <c r="IMA143"/>
      <c r="IMB143"/>
      <c r="IMC143"/>
      <c r="IMD143"/>
      <c r="IME143"/>
      <c r="IMF143"/>
      <c r="IMG143"/>
      <c r="IMH143"/>
      <c r="IMI143"/>
      <c r="IMJ143"/>
      <c r="IMK143"/>
      <c r="IML143"/>
      <c r="IMM143"/>
      <c r="IMN143"/>
      <c r="IMO143"/>
      <c r="IMP143"/>
      <c r="IMQ143"/>
      <c r="IMR143"/>
      <c r="IMS143"/>
      <c r="IMT143"/>
      <c r="IMU143"/>
      <c r="IMV143"/>
      <c r="IMW143"/>
      <c r="IMX143"/>
      <c r="IMY143"/>
      <c r="IMZ143"/>
      <c r="INA143"/>
      <c r="INB143"/>
      <c r="INC143"/>
      <c r="IND143"/>
      <c r="INE143"/>
      <c r="INF143"/>
      <c r="ING143"/>
      <c r="INH143"/>
      <c r="INI143"/>
      <c r="INJ143"/>
      <c r="INK143"/>
      <c r="INL143"/>
      <c r="INM143"/>
      <c r="INN143"/>
      <c r="INO143"/>
      <c r="INP143"/>
      <c r="INQ143"/>
      <c r="INR143"/>
      <c r="INS143"/>
      <c r="INT143"/>
      <c r="INU143"/>
      <c r="INV143"/>
      <c r="INW143"/>
      <c r="INX143"/>
      <c r="INY143"/>
      <c r="INZ143"/>
      <c r="IOA143"/>
      <c r="IOB143"/>
      <c r="IOC143"/>
      <c r="IOD143"/>
      <c r="IOE143"/>
      <c r="IOF143"/>
      <c r="IOG143"/>
      <c r="IOH143"/>
      <c r="IOI143"/>
      <c r="IOJ143"/>
      <c r="IOK143"/>
      <c r="IOL143"/>
      <c r="IOM143"/>
      <c r="ION143"/>
      <c r="IOO143"/>
      <c r="IOP143"/>
      <c r="IOQ143"/>
      <c r="IOR143"/>
      <c r="IOS143"/>
      <c r="IOT143"/>
      <c r="IOU143"/>
      <c r="IOV143"/>
      <c r="IOW143"/>
      <c r="IOX143"/>
      <c r="IOY143"/>
      <c r="IOZ143"/>
      <c r="IPA143"/>
      <c r="IPB143"/>
      <c r="IPC143"/>
      <c r="IPD143"/>
      <c r="IPE143"/>
      <c r="IPF143"/>
      <c r="IPG143"/>
      <c r="IPH143"/>
      <c r="IPI143"/>
      <c r="IPJ143"/>
      <c r="IPK143"/>
      <c r="IPL143"/>
      <c r="IPM143"/>
      <c r="IPN143"/>
      <c r="IPO143"/>
      <c r="IPP143"/>
      <c r="IPQ143"/>
      <c r="IPR143"/>
      <c r="IPS143"/>
      <c r="IPT143"/>
      <c r="IPU143"/>
      <c r="IPV143"/>
      <c r="IPW143"/>
      <c r="IPX143"/>
      <c r="IPY143"/>
      <c r="IPZ143"/>
      <c r="IQA143"/>
      <c r="IQB143"/>
      <c r="IQC143"/>
      <c r="IQD143"/>
      <c r="IQE143"/>
      <c r="IQF143"/>
      <c r="IQG143"/>
      <c r="IQH143"/>
      <c r="IQI143"/>
      <c r="IQJ143"/>
      <c r="IQK143"/>
      <c r="IQL143"/>
      <c r="IQM143"/>
      <c r="IQN143"/>
      <c r="IQO143"/>
      <c r="IQP143"/>
      <c r="IQQ143"/>
      <c r="IQR143"/>
      <c r="IQS143"/>
      <c r="IQT143"/>
      <c r="IQU143"/>
      <c r="IQV143"/>
      <c r="IQW143"/>
      <c r="IQX143"/>
      <c r="IQY143"/>
      <c r="IQZ143"/>
      <c r="IRA143"/>
      <c r="IRB143"/>
      <c r="IRC143"/>
      <c r="IRD143"/>
      <c r="IRE143"/>
      <c r="IRF143"/>
      <c r="IRG143"/>
      <c r="IRH143"/>
      <c r="IRI143"/>
      <c r="IRJ143"/>
      <c r="IRK143"/>
      <c r="IRL143"/>
      <c r="IRM143"/>
      <c r="IRN143"/>
      <c r="IRO143"/>
      <c r="IRP143"/>
      <c r="IRQ143"/>
      <c r="IRR143"/>
      <c r="IRS143"/>
      <c r="IRT143"/>
      <c r="IRU143"/>
      <c r="IRV143"/>
      <c r="IRW143"/>
      <c r="IRX143"/>
      <c r="IRY143"/>
      <c r="IRZ143"/>
      <c r="ISA143"/>
      <c r="ISB143"/>
      <c r="ISC143"/>
      <c r="ISD143"/>
      <c r="ISE143"/>
      <c r="ISF143"/>
      <c r="ISG143"/>
      <c r="ISH143"/>
      <c r="ISI143"/>
      <c r="ISJ143"/>
      <c r="ISK143"/>
      <c r="ISL143"/>
      <c r="ISM143"/>
      <c r="ISN143"/>
      <c r="ISO143"/>
      <c r="ISP143"/>
      <c r="ISQ143"/>
      <c r="ISR143"/>
      <c r="ISS143"/>
      <c r="IST143"/>
      <c r="ISU143"/>
      <c r="ISV143"/>
      <c r="ISW143"/>
      <c r="ISX143"/>
      <c r="ISY143"/>
      <c r="ISZ143"/>
      <c r="ITA143"/>
      <c r="ITB143"/>
      <c r="ITC143"/>
      <c r="ITD143"/>
      <c r="ITE143"/>
      <c r="ITF143"/>
      <c r="ITG143"/>
      <c r="ITH143"/>
      <c r="ITI143"/>
      <c r="ITJ143"/>
      <c r="ITK143"/>
      <c r="ITL143"/>
      <c r="ITM143"/>
      <c r="ITN143"/>
      <c r="ITO143"/>
      <c r="ITP143"/>
      <c r="ITQ143"/>
      <c r="ITR143"/>
      <c r="ITS143"/>
      <c r="ITT143"/>
      <c r="ITU143"/>
      <c r="ITV143"/>
      <c r="ITW143"/>
      <c r="ITX143"/>
      <c r="ITY143"/>
      <c r="ITZ143"/>
      <c r="IUA143"/>
      <c r="IUB143"/>
      <c r="IUC143"/>
      <c r="IUD143"/>
      <c r="IUE143"/>
      <c r="IUF143"/>
      <c r="IUG143"/>
      <c r="IUH143"/>
      <c r="IUI143"/>
      <c r="IUJ143"/>
      <c r="IUK143"/>
      <c r="IUL143"/>
      <c r="IUM143"/>
      <c r="IUN143"/>
      <c r="IUO143"/>
      <c r="IUP143"/>
      <c r="IUQ143"/>
      <c r="IUR143"/>
      <c r="IUS143"/>
      <c r="IUT143"/>
      <c r="IUU143"/>
      <c r="IUV143"/>
      <c r="IUW143"/>
      <c r="IUX143"/>
      <c r="IUY143"/>
      <c r="IUZ143"/>
      <c r="IVA143"/>
      <c r="IVB143"/>
      <c r="IVC143"/>
      <c r="IVD143"/>
      <c r="IVE143"/>
      <c r="IVF143"/>
      <c r="IVG143"/>
      <c r="IVH143"/>
      <c r="IVI143"/>
      <c r="IVJ143"/>
      <c r="IVK143"/>
      <c r="IVL143"/>
      <c r="IVM143"/>
      <c r="IVN143"/>
      <c r="IVO143"/>
      <c r="IVP143"/>
      <c r="IVQ143"/>
      <c r="IVR143"/>
      <c r="IVS143"/>
      <c r="IVT143"/>
      <c r="IVU143"/>
      <c r="IVV143"/>
      <c r="IVW143"/>
      <c r="IVX143"/>
      <c r="IVY143"/>
      <c r="IVZ143"/>
      <c r="IWA143"/>
      <c r="IWB143"/>
      <c r="IWC143"/>
      <c r="IWD143"/>
      <c r="IWE143"/>
      <c r="IWF143"/>
      <c r="IWG143"/>
      <c r="IWH143"/>
      <c r="IWI143"/>
      <c r="IWJ143"/>
      <c r="IWK143"/>
      <c r="IWL143"/>
      <c r="IWM143"/>
      <c r="IWN143"/>
      <c r="IWO143"/>
      <c r="IWP143"/>
      <c r="IWQ143"/>
      <c r="IWR143"/>
      <c r="IWS143"/>
      <c r="IWT143"/>
      <c r="IWU143"/>
      <c r="IWV143"/>
      <c r="IWW143"/>
      <c r="IWX143"/>
      <c r="IWY143"/>
      <c r="IWZ143"/>
      <c r="IXA143"/>
      <c r="IXB143"/>
      <c r="IXC143"/>
      <c r="IXD143"/>
      <c r="IXE143"/>
      <c r="IXF143"/>
      <c r="IXG143"/>
      <c r="IXH143"/>
      <c r="IXI143"/>
      <c r="IXJ143"/>
      <c r="IXK143"/>
      <c r="IXL143"/>
      <c r="IXM143"/>
      <c r="IXN143"/>
      <c r="IXO143"/>
      <c r="IXP143"/>
      <c r="IXQ143"/>
      <c r="IXR143"/>
      <c r="IXS143"/>
      <c r="IXT143"/>
      <c r="IXU143"/>
      <c r="IXV143"/>
      <c r="IXW143"/>
      <c r="IXX143"/>
      <c r="IXY143"/>
      <c r="IXZ143"/>
      <c r="IYA143"/>
      <c r="IYB143"/>
      <c r="IYC143"/>
      <c r="IYD143"/>
      <c r="IYE143"/>
      <c r="IYF143"/>
      <c r="IYG143"/>
      <c r="IYH143"/>
      <c r="IYI143"/>
      <c r="IYJ143"/>
      <c r="IYK143"/>
      <c r="IYL143"/>
      <c r="IYM143"/>
      <c r="IYN143"/>
      <c r="IYO143"/>
      <c r="IYP143"/>
      <c r="IYQ143"/>
      <c r="IYR143"/>
      <c r="IYS143"/>
      <c r="IYT143"/>
      <c r="IYU143"/>
      <c r="IYV143"/>
      <c r="IYW143"/>
      <c r="IYX143"/>
      <c r="IYY143"/>
      <c r="IYZ143"/>
      <c r="IZA143"/>
      <c r="IZB143"/>
      <c r="IZC143"/>
      <c r="IZD143"/>
      <c r="IZE143"/>
      <c r="IZF143"/>
      <c r="IZG143"/>
      <c r="IZH143"/>
      <c r="IZI143"/>
      <c r="IZJ143"/>
      <c r="IZK143"/>
      <c r="IZL143"/>
      <c r="IZM143"/>
      <c r="IZN143"/>
      <c r="IZO143"/>
      <c r="IZP143"/>
      <c r="IZQ143"/>
      <c r="IZR143"/>
      <c r="IZS143"/>
      <c r="IZT143"/>
      <c r="IZU143"/>
      <c r="IZV143"/>
      <c r="IZW143"/>
      <c r="IZX143"/>
      <c r="IZY143"/>
      <c r="IZZ143"/>
      <c r="JAA143"/>
      <c r="JAB143"/>
      <c r="JAC143"/>
      <c r="JAD143"/>
      <c r="JAE143"/>
      <c r="JAF143"/>
      <c r="JAG143"/>
      <c r="JAH143"/>
      <c r="JAI143"/>
      <c r="JAJ143"/>
      <c r="JAK143"/>
      <c r="JAL143"/>
      <c r="JAM143"/>
      <c r="JAN143"/>
      <c r="JAO143"/>
      <c r="JAP143"/>
      <c r="JAQ143"/>
      <c r="JAR143"/>
      <c r="JAS143"/>
      <c r="JAT143"/>
      <c r="JAU143"/>
      <c r="JAV143"/>
      <c r="JAW143"/>
      <c r="JAX143"/>
      <c r="JAY143"/>
      <c r="JAZ143"/>
      <c r="JBA143"/>
      <c r="JBB143"/>
      <c r="JBC143"/>
      <c r="JBD143"/>
      <c r="JBE143"/>
      <c r="JBF143"/>
      <c r="JBG143"/>
      <c r="JBH143"/>
      <c r="JBI143"/>
      <c r="JBJ143"/>
      <c r="JBK143"/>
      <c r="JBL143"/>
      <c r="JBM143"/>
      <c r="JBN143"/>
      <c r="JBO143"/>
      <c r="JBP143"/>
      <c r="JBQ143"/>
      <c r="JBR143"/>
      <c r="JBS143"/>
      <c r="JBT143"/>
      <c r="JBU143"/>
      <c r="JBV143"/>
      <c r="JBW143"/>
      <c r="JBX143"/>
      <c r="JBY143"/>
      <c r="JBZ143"/>
      <c r="JCA143"/>
      <c r="JCB143"/>
      <c r="JCC143"/>
      <c r="JCD143"/>
      <c r="JCE143"/>
      <c r="JCF143"/>
      <c r="JCG143"/>
      <c r="JCH143"/>
      <c r="JCI143"/>
      <c r="JCJ143"/>
      <c r="JCK143"/>
      <c r="JCL143"/>
      <c r="JCM143"/>
      <c r="JCN143"/>
      <c r="JCO143"/>
      <c r="JCP143"/>
      <c r="JCQ143"/>
      <c r="JCR143"/>
      <c r="JCS143"/>
      <c r="JCT143"/>
      <c r="JCU143"/>
      <c r="JCV143"/>
      <c r="JCW143"/>
      <c r="JCX143"/>
      <c r="JCY143"/>
      <c r="JCZ143"/>
      <c r="JDA143"/>
      <c r="JDB143"/>
      <c r="JDC143"/>
      <c r="JDD143"/>
      <c r="JDE143"/>
      <c r="JDF143"/>
      <c r="JDG143"/>
      <c r="JDH143"/>
      <c r="JDI143"/>
      <c r="JDJ143"/>
      <c r="JDK143"/>
      <c r="JDL143"/>
      <c r="JDM143"/>
      <c r="JDN143"/>
      <c r="JDO143"/>
      <c r="JDP143"/>
      <c r="JDQ143"/>
      <c r="JDR143"/>
      <c r="JDS143"/>
      <c r="JDT143"/>
      <c r="JDU143"/>
      <c r="JDV143"/>
      <c r="JDW143"/>
      <c r="JDX143"/>
      <c r="JDY143"/>
      <c r="JDZ143"/>
      <c r="JEA143"/>
      <c r="JEB143"/>
      <c r="JEC143"/>
      <c r="JED143"/>
      <c r="JEE143"/>
      <c r="JEF143"/>
      <c r="JEG143"/>
      <c r="JEH143"/>
      <c r="JEI143"/>
      <c r="JEJ143"/>
      <c r="JEK143"/>
      <c r="JEL143"/>
      <c r="JEM143"/>
      <c r="JEN143"/>
      <c r="JEO143"/>
      <c r="JEP143"/>
      <c r="JEQ143"/>
      <c r="JER143"/>
      <c r="JES143"/>
      <c r="JET143"/>
      <c r="JEU143"/>
      <c r="JEV143"/>
      <c r="JEW143"/>
      <c r="JEX143"/>
      <c r="JEY143"/>
      <c r="JEZ143"/>
      <c r="JFA143"/>
      <c r="JFB143"/>
      <c r="JFC143"/>
      <c r="JFD143"/>
      <c r="JFE143"/>
      <c r="JFF143"/>
      <c r="JFG143"/>
      <c r="JFH143"/>
      <c r="JFI143"/>
      <c r="JFJ143"/>
      <c r="JFK143"/>
      <c r="JFL143"/>
      <c r="JFM143"/>
      <c r="JFN143"/>
      <c r="JFO143"/>
      <c r="JFP143"/>
      <c r="JFQ143"/>
      <c r="JFR143"/>
      <c r="JFS143"/>
      <c r="JFT143"/>
      <c r="JFU143"/>
      <c r="JFV143"/>
      <c r="JFW143"/>
      <c r="JFX143"/>
      <c r="JFY143"/>
      <c r="JFZ143"/>
      <c r="JGA143"/>
      <c r="JGB143"/>
      <c r="JGC143"/>
      <c r="JGD143"/>
      <c r="JGE143"/>
      <c r="JGF143"/>
      <c r="JGG143"/>
      <c r="JGH143"/>
      <c r="JGI143"/>
      <c r="JGJ143"/>
      <c r="JGK143"/>
      <c r="JGL143"/>
      <c r="JGM143"/>
      <c r="JGN143"/>
      <c r="JGO143"/>
      <c r="JGP143"/>
      <c r="JGQ143"/>
      <c r="JGR143"/>
      <c r="JGS143"/>
      <c r="JGT143"/>
      <c r="JGU143"/>
      <c r="JGV143"/>
      <c r="JGW143"/>
      <c r="JGX143"/>
      <c r="JGY143"/>
      <c r="JGZ143"/>
      <c r="JHA143"/>
      <c r="JHB143"/>
      <c r="JHC143"/>
      <c r="JHD143"/>
      <c r="JHE143"/>
      <c r="JHF143"/>
      <c r="JHG143"/>
      <c r="JHH143"/>
      <c r="JHI143"/>
      <c r="JHJ143"/>
      <c r="JHK143"/>
      <c r="JHL143"/>
      <c r="JHM143"/>
      <c r="JHN143"/>
      <c r="JHO143"/>
      <c r="JHP143"/>
      <c r="JHQ143"/>
      <c r="JHR143"/>
      <c r="JHS143"/>
      <c r="JHT143"/>
      <c r="JHU143"/>
      <c r="JHV143"/>
      <c r="JHW143"/>
      <c r="JHX143"/>
      <c r="JHY143"/>
      <c r="JHZ143"/>
      <c r="JIA143"/>
      <c r="JIB143"/>
      <c r="JIC143"/>
      <c r="JID143"/>
      <c r="JIE143"/>
      <c r="JIF143"/>
      <c r="JIG143"/>
      <c r="JIH143"/>
      <c r="JII143"/>
      <c r="JIJ143"/>
      <c r="JIK143"/>
      <c r="JIL143"/>
      <c r="JIM143"/>
      <c r="JIN143"/>
      <c r="JIO143"/>
      <c r="JIP143"/>
      <c r="JIQ143"/>
      <c r="JIR143"/>
      <c r="JIS143"/>
      <c r="JIT143"/>
      <c r="JIU143"/>
      <c r="JIV143"/>
      <c r="JIW143"/>
      <c r="JIX143"/>
      <c r="JIY143"/>
      <c r="JIZ143"/>
      <c r="JJA143"/>
      <c r="JJB143"/>
      <c r="JJC143"/>
      <c r="JJD143"/>
      <c r="JJE143"/>
      <c r="JJF143"/>
      <c r="JJG143"/>
      <c r="JJH143"/>
      <c r="JJI143"/>
      <c r="JJJ143"/>
      <c r="JJK143"/>
      <c r="JJL143"/>
      <c r="JJM143"/>
      <c r="JJN143"/>
      <c r="JJO143"/>
      <c r="JJP143"/>
      <c r="JJQ143"/>
      <c r="JJR143"/>
      <c r="JJS143"/>
      <c r="JJT143"/>
      <c r="JJU143"/>
      <c r="JJV143"/>
      <c r="JJW143"/>
      <c r="JJX143"/>
      <c r="JJY143"/>
      <c r="JJZ143"/>
      <c r="JKA143"/>
      <c r="JKB143"/>
      <c r="JKC143"/>
      <c r="JKD143"/>
      <c r="JKE143"/>
      <c r="JKF143"/>
      <c r="JKG143"/>
      <c r="JKH143"/>
      <c r="JKI143"/>
      <c r="JKJ143"/>
      <c r="JKK143"/>
      <c r="JKL143"/>
      <c r="JKM143"/>
      <c r="JKN143"/>
      <c r="JKO143"/>
      <c r="JKP143"/>
      <c r="JKQ143"/>
      <c r="JKR143"/>
      <c r="JKS143"/>
      <c r="JKT143"/>
      <c r="JKU143"/>
      <c r="JKV143"/>
      <c r="JKW143"/>
      <c r="JKX143"/>
      <c r="JKY143"/>
      <c r="JKZ143"/>
      <c r="JLA143"/>
      <c r="JLB143"/>
      <c r="JLC143"/>
      <c r="JLD143"/>
      <c r="JLE143"/>
      <c r="JLF143"/>
      <c r="JLG143"/>
      <c r="JLH143"/>
      <c r="JLI143"/>
      <c r="JLJ143"/>
      <c r="JLK143"/>
      <c r="JLL143"/>
      <c r="JLM143"/>
      <c r="JLN143"/>
      <c r="JLO143"/>
      <c r="JLP143"/>
      <c r="JLQ143"/>
      <c r="JLR143"/>
      <c r="JLS143"/>
      <c r="JLT143"/>
      <c r="JLU143"/>
      <c r="JLV143"/>
      <c r="JLW143"/>
      <c r="JLX143"/>
      <c r="JLY143"/>
      <c r="JLZ143"/>
      <c r="JMA143"/>
      <c r="JMB143"/>
      <c r="JMC143"/>
      <c r="JMD143"/>
      <c r="JME143"/>
      <c r="JMF143"/>
      <c r="JMG143"/>
      <c r="JMH143"/>
      <c r="JMI143"/>
      <c r="JMJ143"/>
      <c r="JMK143"/>
      <c r="JML143"/>
      <c r="JMM143"/>
      <c r="JMN143"/>
      <c r="JMO143"/>
      <c r="JMP143"/>
      <c r="JMQ143"/>
      <c r="JMR143"/>
      <c r="JMS143"/>
      <c r="JMT143"/>
      <c r="JMU143"/>
      <c r="JMV143"/>
      <c r="JMW143"/>
      <c r="JMX143"/>
      <c r="JMY143"/>
      <c r="JMZ143"/>
      <c r="JNA143"/>
      <c r="JNB143"/>
      <c r="JNC143"/>
      <c r="JND143"/>
      <c r="JNE143"/>
      <c r="JNF143"/>
      <c r="JNG143"/>
      <c r="JNH143"/>
      <c r="JNI143"/>
      <c r="JNJ143"/>
      <c r="JNK143"/>
      <c r="JNL143"/>
      <c r="JNM143"/>
      <c r="JNN143"/>
      <c r="JNO143"/>
      <c r="JNP143"/>
      <c r="JNQ143"/>
      <c r="JNR143"/>
      <c r="JNS143"/>
      <c r="JNT143"/>
      <c r="JNU143"/>
      <c r="JNV143"/>
      <c r="JNW143"/>
      <c r="JNX143"/>
      <c r="JNY143"/>
      <c r="JNZ143"/>
      <c r="JOA143"/>
      <c r="JOB143"/>
      <c r="JOC143"/>
      <c r="JOD143"/>
      <c r="JOE143"/>
      <c r="JOF143"/>
      <c r="JOG143"/>
      <c r="JOH143"/>
      <c r="JOI143"/>
      <c r="JOJ143"/>
      <c r="JOK143"/>
      <c r="JOL143"/>
      <c r="JOM143"/>
      <c r="JON143"/>
      <c r="JOO143"/>
      <c r="JOP143"/>
      <c r="JOQ143"/>
      <c r="JOR143"/>
      <c r="JOS143"/>
      <c r="JOT143"/>
      <c r="JOU143"/>
      <c r="JOV143"/>
      <c r="JOW143"/>
      <c r="JOX143"/>
      <c r="JOY143"/>
      <c r="JOZ143"/>
      <c r="JPA143"/>
      <c r="JPB143"/>
      <c r="JPC143"/>
      <c r="JPD143"/>
      <c r="JPE143"/>
      <c r="JPF143"/>
      <c r="JPG143"/>
      <c r="JPH143"/>
      <c r="JPI143"/>
      <c r="JPJ143"/>
      <c r="JPK143"/>
      <c r="JPL143"/>
      <c r="JPM143"/>
      <c r="JPN143"/>
      <c r="JPO143"/>
      <c r="JPP143"/>
      <c r="JPQ143"/>
      <c r="JPR143"/>
      <c r="JPS143"/>
      <c r="JPT143"/>
      <c r="JPU143"/>
      <c r="JPV143"/>
      <c r="JPW143"/>
      <c r="JPX143"/>
      <c r="JPY143"/>
      <c r="JPZ143"/>
      <c r="JQA143"/>
      <c r="JQB143"/>
      <c r="JQC143"/>
      <c r="JQD143"/>
      <c r="JQE143"/>
      <c r="JQF143"/>
      <c r="JQG143"/>
      <c r="JQH143"/>
      <c r="JQI143"/>
      <c r="JQJ143"/>
      <c r="JQK143"/>
      <c r="JQL143"/>
      <c r="JQM143"/>
      <c r="JQN143"/>
      <c r="JQO143"/>
      <c r="JQP143"/>
      <c r="JQQ143"/>
      <c r="JQR143"/>
      <c r="JQS143"/>
      <c r="JQT143"/>
      <c r="JQU143"/>
      <c r="JQV143"/>
      <c r="JQW143"/>
      <c r="JQX143"/>
      <c r="JQY143"/>
      <c r="JQZ143"/>
      <c r="JRA143"/>
      <c r="JRB143"/>
      <c r="JRC143"/>
      <c r="JRD143"/>
      <c r="JRE143"/>
      <c r="JRF143"/>
      <c r="JRG143"/>
      <c r="JRH143"/>
      <c r="JRI143"/>
      <c r="JRJ143"/>
      <c r="JRK143"/>
      <c r="JRL143"/>
      <c r="JRM143"/>
      <c r="JRN143"/>
      <c r="JRO143"/>
      <c r="JRP143"/>
      <c r="JRQ143"/>
      <c r="JRR143"/>
      <c r="JRS143"/>
      <c r="JRT143"/>
      <c r="JRU143"/>
      <c r="JRV143"/>
      <c r="JRW143"/>
      <c r="JRX143"/>
      <c r="JRY143"/>
      <c r="JRZ143"/>
      <c r="JSA143"/>
      <c r="JSB143"/>
      <c r="JSC143"/>
      <c r="JSD143"/>
      <c r="JSE143"/>
      <c r="JSF143"/>
      <c r="JSG143"/>
      <c r="JSH143"/>
      <c r="JSI143"/>
      <c r="JSJ143"/>
      <c r="JSK143"/>
      <c r="JSL143"/>
      <c r="JSM143"/>
      <c r="JSN143"/>
      <c r="JSO143"/>
      <c r="JSP143"/>
      <c r="JSQ143"/>
      <c r="JSR143"/>
      <c r="JSS143"/>
      <c r="JST143"/>
      <c r="JSU143"/>
      <c r="JSV143"/>
      <c r="JSW143"/>
      <c r="JSX143"/>
      <c r="JSY143"/>
      <c r="JSZ143"/>
      <c r="JTA143"/>
      <c r="JTB143"/>
      <c r="JTC143"/>
      <c r="JTD143"/>
      <c r="JTE143"/>
      <c r="JTF143"/>
      <c r="JTG143"/>
      <c r="JTH143"/>
      <c r="JTI143"/>
      <c r="JTJ143"/>
      <c r="JTK143"/>
      <c r="JTL143"/>
      <c r="JTM143"/>
      <c r="JTN143"/>
      <c r="JTO143"/>
      <c r="JTP143"/>
      <c r="JTQ143"/>
      <c r="JTR143"/>
      <c r="JTS143"/>
      <c r="JTT143"/>
      <c r="JTU143"/>
      <c r="JTV143"/>
      <c r="JTW143"/>
      <c r="JTX143"/>
      <c r="JTY143"/>
      <c r="JTZ143"/>
      <c r="JUA143"/>
      <c r="JUB143"/>
      <c r="JUC143"/>
      <c r="JUD143"/>
      <c r="JUE143"/>
      <c r="JUF143"/>
      <c r="JUG143"/>
      <c r="JUH143"/>
      <c r="JUI143"/>
      <c r="JUJ143"/>
      <c r="JUK143"/>
      <c r="JUL143"/>
      <c r="JUM143"/>
      <c r="JUN143"/>
      <c r="JUO143"/>
      <c r="JUP143"/>
      <c r="JUQ143"/>
      <c r="JUR143"/>
      <c r="JUS143"/>
      <c r="JUT143"/>
      <c r="JUU143"/>
      <c r="JUV143"/>
      <c r="JUW143"/>
      <c r="JUX143"/>
      <c r="JUY143"/>
      <c r="JUZ143"/>
      <c r="JVA143"/>
      <c r="JVB143"/>
      <c r="JVC143"/>
      <c r="JVD143"/>
      <c r="JVE143"/>
      <c r="JVF143"/>
      <c r="JVG143"/>
      <c r="JVH143"/>
      <c r="JVI143"/>
      <c r="JVJ143"/>
      <c r="JVK143"/>
      <c r="JVL143"/>
      <c r="JVM143"/>
      <c r="JVN143"/>
      <c r="JVO143"/>
      <c r="JVP143"/>
      <c r="JVQ143"/>
      <c r="JVR143"/>
      <c r="JVS143"/>
      <c r="JVT143"/>
      <c r="JVU143"/>
      <c r="JVV143"/>
      <c r="JVW143"/>
      <c r="JVX143"/>
      <c r="JVY143"/>
      <c r="JVZ143"/>
      <c r="JWA143"/>
      <c r="JWB143"/>
      <c r="JWC143"/>
      <c r="JWD143"/>
      <c r="JWE143"/>
      <c r="JWF143"/>
      <c r="JWG143"/>
      <c r="JWH143"/>
      <c r="JWI143"/>
      <c r="JWJ143"/>
      <c r="JWK143"/>
      <c r="JWL143"/>
      <c r="JWM143"/>
      <c r="JWN143"/>
      <c r="JWO143"/>
      <c r="JWP143"/>
      <c r="JWQ143"/>
      <c r="JWR143"/>
      <c r="JWS143"/>
      <c r="JWT143"/>
      <c r="JWU143"/>
      <c r="JWV143"/>
      <c r="JWW143"/>
      <c r="JWX143"/>
      <c r="JWY143"/>
      <c r="JWZ143"/>
      <c r="JXA143"/>
      <c r="JXB143"/>
      <c r="JXC143"/>
      <c r="JXD143"/>
      <c r="JXE143"/>
      <c r="JXF143"/>
      <c r="JXG143"/>
      <c r="JXH143"/>
      <c r="JXI143"/>
      <c r="JXJ143"/>
      <c r="JXK143"/>
      <c r="JXL143"/>
      <c r="JXM143"/>
      <c r="JXN143"/>
      <c r="JXO143"/>
      <c r="JXP143"/>
      <c r="JXQ143"/>
      <c r="JXR143"/>
      <c r="JXS143"/>
      <c r="JXT143"/>
      <c r="JXU143"/>
      <c r="JXV143"/>
      <c r="JXW143"/>
      <c r="JXX143"/>
      <c r="JXY143"/>
      <c r="JXZ143"/>
      <c r="JYA143"/>
      <c r="JYB143"/>
      <c r="JYC143"/>
      <c r="JYD143"/>
      <c r="JYE143"/>
      <c r="JYF143"/>
      <c r="JYG143"/>
      <c r="JYH143"/>
      <c r="JYI143"/>
      <c r="JYJ143"/>
      <c r="JYK143"/>
      <c r="JYL143"/>
      <c r="JYM143"/>
      <c r="JYN143"/>
      <c r="JYO143"/>
      <c r="JYP143"/>
      <c r="JYQ143"/>
      <c r="JYR143"/>
      <c r="JYS143"/>
      <c r="JYT143"/>
      <c r="JYU143"/>
      <c r="JYV143"/>
      <c r="JYW143"/>
      <c r="JYX143"/>
      <c r="JYY143"/>
      <c r="JYZ143"/>
      <c r="JZA143"/>
      <c r="JZB143"/>
      <c r="JZC143"/>
      <c r="JZD143"/>
      <c r="JZE143"/>
      <c r="JZF143"/>
      <c r="JZG143"/>
      <c r="JZH143"/>
      <c r="JZI143"/>
      <c r="JZJ143"/>
      <c r="JZK143"/>
      <c r="JZL143"/>
      <c r="JZM143"/>
      <c r="JZN143"/>
      <c r="JZO143"/>
      <c r="JZP143"/>
      <c r="JZQ143"/>
      <c r="JZR143"/>
      <c r="JZS143"/>
      <c r="JZT143"/>
      <c r="JZU143"/>
      <c r="JZV143"/>
      <c r="JZW143"/>
      <c r="JZX143"/>
      <c r="JZY143"/>
      <c r="JZZ143"/>
      <c r="KAA143"/>
      <c r="KAB143"/>
      <c r="KAC143"/>
      <c r="KAD143"/>
      <c r="KAE143"/>
      <c r="KAF143"/>
      <c r="KAG143"/>
      <c r="KAH143"/>
      <c r="KAI143"/>
      <c r="KAJ143"/>
      <c r="KAK143"/>
      <c r="KAL143"/>
      <c r="KAM143"/>
      <c r="KAN143"/>
      <c r="KAO143"/>
      <c r="KAP143"/>
      <c r="KAQ143"/>
      <c r="KAR143"/>
      <c r="KAS143"/>
      <c r="KAT143"/>
      <c r="KAU143"/>
      <c r="KAV143"/>
      <c r="KAW143"/>
      <c r="KAX143"/>
      <c r="KAY143"/>
      <c r="KAZ143"/>
      <c r="KBA143"/>
      <c r="KBB143"/>
      <c r="KBC143"/>
      <c r="KBD143"/>
      <c r="KBE143"/>
      <c r="KBF143"/>
      <c r="KBG143"/>
      <c r="KBH143"/>
      <c r="KBI143"/>
      <c r="KBJ143"/>
      <c r="KBK143"/>
      <c r="KBL143"/>
      <c r="KBM143"/>
      <c r="KBN143"/>
      <c r="KBO143"/>
      <c r="KBP143"/>
      <c r="KBQ143"/>
      <c r="KBR143"/>
      <c r="KBS143"/>
      <c r="KBT143"/>
      <c r="KBU143"/>
      <c r="KBV143"/>
      <c r="KBW143"/>
      <c r="KBX143"/>
      <c r="KBY143"/>
      <c r="KBZ143"/>
      <c r="KCA143"/>
      <c r="KCB143"/>
      <c r="KCC143"/>
      <c r="KCD143"/>
      <c r="KCE143"/>
      <c r="KCF143"/>
      <c r="KCG143"/>
      <c r="KCH143"/>
      <c r="KCI143"/>
      <c r="KCJ143"/>
      <c r="KCK143"/>
      <c r="KCL143"/>
      <c r="KCM143"/>
      <c r="KCN143"/>
      <c r="KCO143"/>
      <c r="KCP143"/>
      <c r="KCQ143"/>
      <c r="KCR143"/>
      <c r="KCS143"/>
      <c r="KCT143"/>
      <c r="KCU143"/>
      <c r="KCV143"/>
      <c r="KCW143"/>
      <c r="KCX143"/>
      <c r="KCY143"/>
      <c r="KCZ143"/>
      <c r="KDA143"/>
      <c r="KDB143"/>
      <c r="KDC143"/>
      <c r="KDD143"/>
      <c r="KDE143"/>
      <c r="KDF143"/>
      <c r="KDG143"/>
      <c r="KDH143"/>
      <c r="KDI143"/>
      <c r="KDJ143"/>
      <c r="KDK143"/>
      <c r="KDL143"/>
      <c r="KDM143"/>
      <c r="KDN143"/>
      <c r="KDO143"/>
      <c r="KDP143"/>
      <c r="KDQ143"/>
      <c r="KDR143"/>
      <c r="KDS143"/>
      <c r="KDT143"/>
      <c r="KDU143"/>
      <c r="KDV143"/>
      <c r="KDW143"/>
      <c r="KDX143"/>
      <c r="KDY143"/>
      <c r="KDZ143"/>
      <c r="KEA143"/>
      <c r="KEB143"/>
      <c r="KEC143"/>
      <c r="KED143"/>
      <c r="KEE143"/>
      <c r="KEF143"/>
      <c r="KEG143"/>
      <c r="KEH143"/>
      <c r="KEI143"/>
      <c r="KEJ143"/>
      <c r="KEK143"/>
      <c r="KEL143"/>
      <c r="KEM143"/>
      <c r="KEN143"/>
      <c r="KEO143"/>
      <c r="KEP143"/>
      <c r="KEQ143"/>
      <c r="KER143"/>
      <c r="KES143"/>
      <c r="KET143"/>
      <c r="KEU143"/>
      <c r="KEV143"/>
      <c r="KEW143"/>
      <c r="KEX143"/>
      <c r="KEY143"/>
      <c r="KEZ143"/>
      <c r="KFA143"/>
      <c r="KFB143"/>
      <c r="KFC143"/>
      <c r="KFD143"/>
      <c r="KFE143"/>
      <c r="KFF143"/>
      <c r="KFG143"/>
      <c r="KFH143"/>
      <c r="KFI143"/>
      <c r="KFJ143"/>
      <c r="KFK143"/>
      <c r="KFL143"/>
      <c r="KFM143"/>
      <c r="KFN143"/>
      <c r="KFO143"/>
      <c r="KFP143"/>
      <c r="KFQ143"/>
      <c r="KFR143"/>
      <c r="KFS143"/>
      <c r="KFT143"/>
      <c r="KFU143"/>
      <c r="KFV143"/>
      <c r="KFW143"/>
      <c r="KFX143"/>
      <c r="KFY143"/>
      <c r="KFZ143"/>
      <c r="KGA143"/>
      <c r="KGB143"/>
      <c r="KGC143"/>
      <c r="KGD143"/>
      <c r="KGE143"/>
      <c r="KGF143"/>
      <c r="KGG143"/>
      <c r="KGH143"/>
      <c r="KGI143"/>
      <c r="KGJ143"/>
      <c r="KGK143"/>
      <c r="KGL143"/>
      <c r="KGM143"/>
      <c r="KGN143"/>
      <c r="KGO143"/>
      <c r="KGP143"/>
      <c r="KGQ143"/>
      <c r="KGR143"/>
      <c r="KGS143"/>
      <c r="KGT143"/>
      <c r="KGU143"/>
      <c r="KGV143"/>
      <c r="KGW143"/>
      <c r="KGX143"/>
      <c r="KGY143"/>
      <c r="KGZ143"/>
      <c r="KHA143"/>
      <c r="KHB143"/>
      <c r="KHC143"/>
      <c r="KHD143"/>
      <c r="KHE143"/>
      <c r="KHF143"/>
      <c r="KHG143"/>
      <c r="KHH143"/>
      <c r="KHI143"/>
      <c r="KHJ143"/>
      <c r="KHK143"/>
      <c r="KHL143"/>
      <c r="KHM143"/>
      <c r="KHN143"/>
      <c r="KHO143"/>
      <c r="KHP143"/>
      <c r="KHQ143"/>
      <c r="KHR143"/>
      <c r="KHS143"/>
      <c r="KHT143"/>
      <c r="KHU143"/>
      <c r="KHV143"/>
      <c r="KHW143"/>
      <c r="KHX143"/>
      <c r="KHY143"/>
      <c r="KHZ143"/>
      <c r="KIA143"/>
      <c r="KIB143"/>
      <c r="KIC143"/>
      <c r="KID143"/>
      <c r="KIE143"/>
      <c r="KIF143"/>
      <c r="KIG143"/>
      <c r="KIH143"/>
      <c r="KII143"/>
      <c r="KIJ143"/>
      <c r="KIK143"/>
      <c r="KIL143"/>
      <c r="KIM143"/>
      <c r="KIN143"/>
      <c r="KIO143"/>
      <c r="KIP143"/>
      <c r="KIQ143"/>
      <c r="KIR143"/>
      <c r="KIS143"/>
      <c r="KIT143"/>
      <c r="KIU143"/>
      <c r="KIV143"/>
      <c r="KIW143"/>
      <c r="KIX143"/>
      <c r="KIY143"/>
      <c r="KIZ143"/>
      <c r="KJA143"/>
      <c r="KJB143"/>
      <c r="KJC143"/>
      <c r="KJD143"/>
      <c r="KJE143"/>
      <c r="KJF143"/>
      <c r="KJG143"/>
      <c r="KJH143"/>
      <c r="KJI143"/>
      <c r="KJJ143"/>
      <c r="KJK143"/>
      <c r="KJL143"/>
      <c r="KJM143"/>
      <c r="KJN143"/>
      <c r="KJO143"/>
      <c r="KJP143"/>
      <c r="KJQ143"/>
      <c r="KJR143"/>
      <c r="KJS143"/>
      <c r="KJT143"/>
      <c r="KJU143"/>
      <c r="KJV143"/>
      <c r="KJW143"/>
      <c r="KJX143"/>
      <c r="KJY143"/>
      <c r="KJZ143"/>
      <c r="KKA143"/>
      <c r="KKB143"/>
      <c r="KKC143"/>
      <c r="KKD143"/>
      <c r="KKE143"/>
      <c r="KKF143"/>
      <c r="KKG143"/>
      <c r="KKH143"/>
      <c r="KKI143"/>
      <c r="KKJ143"/>
      <c r="KKK143"/>
      <c r="KKL143"/>
      <c r="KKM143"/>
      <c r="KKN143"/>
      <c r="KKO143"/>
      <c r="KKP143"/>
      <c r="KKQ143"/>
      <c r="KKR143"/>
      <c r="KKS143"/>
      <c r="KKT143"/>
      <c r="KKU143"/>
      <c r="KKV143"/>
      <c r="KKW143"/>
      <c r="KKX143"/>
      <c r="KKY143"/>
      <c r="KKZ143"/>
      <c r="KLA143"/>
      <c r="KLB143"/>
      <c r="KLC143"/>
      <c r="KLD143"/>
      <c r="KLE143"/>
      <c r="KLF143"/>
      <c r="KLG143"/>
      <c r="KLH143"/>
      <c r="KLI143"/>
      <c r="KLJ143"/>
      <c r="KLK143"/>
      <c r="KLL143"/>
      <c r="KLM143"/>
      <c r="KLN143"/>
      <c r="KLO143"/>
      <c r="KLP143"/>
      <c r="KLQ143"/>
      <c r="KLR143"/>
      <c r="KLS143"/>
      <c r="KLT143"/>
      <c r="KLU143"/>
      <c r="KLV143"/>
      <c r="KLW143"/>
      <c r="KLX143"/>
      <c r="KLY143"/>
      <c r="KLZ143"/>
      <c r="KMA143"/>
      <c r="KMB143"/>
      <c r="KMC143"/>
      <c r="KMD143"/>
      <c r="KME143"/>
      <c r="KMF143"/>
      <c r="KMG143"/>
      <c r="KMH143"/>
      <c r="KMI143"/>
      <c r="KMJ143"/>
      <c r="KMK143"/>
      <c r="KML143"/>
      <c r="KMM143"/>
      <c r="KMN143"/>
      <c r="KMO143"/>
      <c r="KMP143"/>
      <c r="KMQ143"/>
      <c r="KMR143"/>
      <c r="KMS143"/>
      <c r="KMT143"/>
      <c r="KMU143"/>
      <c r="KMV143"/>
      <c r="KMW143"/>
      <c r="KMX143"/>
      <c r="KMY143"/>
      <c r="KMZ143"/>
      <c r="KNA143"/>
      <c r="KNB143"/>
      <c r="KNC143"/>
      <c r="KND143"/>
      <c r="KNE143"/>
      <c r="KNF143"/>
      <c r="KNG143"/>
      <c r="KNH143"/>
      <c r="KNI143"/>
      <c r="KNJ143"/>
      <c r="KNK143"/>
      <c r="KNL143"/>
      <c r="KNM143"/>
      <c r="KNN143"/>
      <c r="KNO143"/>
      <c r="KNP143"/>
      <c r="KNQ143"/>
      <c r="KNR143"/>
      <c r="KNS143"/>
      <c r="KNT143"/>
      <c r="KNU143"/>
      <c r="KNV143"/>
      <c r="KNW143"/>
      <c r="KNX143"/>
      <c r="KNY143"/>
      <c r="KNZ143"/>
      <c r="KOA143"/>
      <c r="KOB143"/>
      <c r="KOC143"/>
      <c r="KOD143"/>
      <c r="KOE143"/>
      <c r="KOF143"/>
      <c r="KOG143"/>
      <c r="KOH143"/>
      <c r="KOI143"/>
      <c r="KOJ143"/>
      <c r="KOK143"/>
      <c r="KOL143"/>
      <c r="KOM143"/>
      <c r="KON143"/>
      <c r="KOO143"/>
      <c r="KOP143"/>
      <c r="KOQ143"/>
      <c r="KOR143"/>
      <c r="KOS143"/>
      <c r="KOT143"/>
      <c r="KOU143"/>
      <c r="KOV143"/>
      <c r="KOW143"/>
      <c r="KOX143"/>
      <c r="KOY143"/>
      <c r="KOZ143"/>
      <c r="KPA143"/>
      <c r="KPB143"/>
      <c r="KPC143"/>
      <c r="KPD143"/>
      <c r="KPE143"/>
      <c r="KPF143"/>
      <c r="KPG143"/>
      <c r="KPH143"/>
      <c r="KPI143"/>
      <c r="KPJ143"/>
      <c r="KPK143"/>
      <c r="KPL143"/>
      <c r="KPM143"/>
      <c r="KPN143"/>
      <c r="KPO143"/>
      <c r="KPP143"/>
      <c r="KPQ143"/>
      <c r="KPR143"/>
      <c r="KPS143"/>
      <c r="KPT143"/>
      <c r="KPU143"/>
      <c r="KPV143"/>
      <c r="KPW143"/>
      <c r="KPX143"/>
      <c r="KPY143"/>
      <c r="KPZ143"/>
      <c r="KQA143"/>
      <c r="KQB143"/>
      <c r="KQC143"/>
      <c r="KQD143"/>
      <c r="KQE143"/>
      <c r="KQF143"/>
      <c r="KQG143"/>
      <c r="KQH143"/>
      <c r="KQI143"/>
      <c r="KQJ143"/>
      <c r="KQK143"/>
      <c r="KQL143"/>
      <c r="KQM143"/>
      <c r="KQN143"/>
      <c r="KQO143"/>
      <c r="KQP143"/>
      <c r="KQQ143"/>
      <c r="KQR143"/>
      <c r="KQS143"/>
      <c r="KQT143"/>
      <c r="KQU143"/>
      <c r="KQV143"/>
      <c r="KQW143"/>
      <c r="KQX143"/>
      <c r="KQY143"/>
      <c r="KQZ143"/>
      <c r="KRA143"/>
      <c r="KRB143"/>
      <c r="KRC143"/>
      <c r="KRD143"/>
      <c r="KRE143"/>
      <c r="KRF143"/>
      <c r="KRG143"/>
      <c r="KRH143"/>
      <c r="KRI143"/>
      <c r="KRJ143"/>
      <c r="KRK143"/>
      <c r="KRL143"/>
      <c r="KRM143"/>
      <c r="KRN143"/>
      <c r="KRO143"/>
      <c r="KRP143"/>
      <c r="KRQ143"/>
      <c r="KRR143"/>
      <c r="KRS143"/>
      <c r="KRT143"/>
      <c r="KRU143"/>
      <c r="KRV143"/>
      <c r="KRW143"/>
      <c r="KRX143"/>
      <c r="KRY143"/>
      <c r="KRZ143"/>
      <c r="KSA143"/>
      <c r="KSB143"/>
      <c r="KSC143"/>
      <c r="KSD143"/>
      <c r="KSE143"/>
      <c r="KSF143"/>
      <c r="KSG143"/>
      <c r="KSH143"/>
      <c r="KSI143"/>
      <c r="KSJ143"/>
      <c r="KSK143"/>
      <c r="KSL143"/>
      <c r="KSM143"/>
      <c r="KSN143"/>
      <c r="KSO143"/>
      <c r="KSP143"/>
      <c r="KSQ143"/>
      <c r="KSR143"/>
      <c r="KSS143"/>
      <c r="KST143"/>
      <c r="KSU143"/>
      <c r="KSV143"/>
      <c r="KSW143"/>
      <c r="KSX143"/>
      <c r="KSY143"/>
      <c r="KSZ143"/>
      <c r="KTA143"/>
      <c r="KTB143"/>
      <c r="KTC143"/>
      <c r="KTD143"/>
      <c r="KTE143"/>
      <c r="KTF143"/>
      <c r="KTG143"/>
      <c r="KTH143"/>
      <c r="KTI143"/>
      <c r="KTJ143"/>
      <c r="KTK143"/>
      <c r="KTL143"/>
      <c r="KTM143"/>
      <c r="KTN143"/>
      <c r="KTO143"/>
      <c r="KTP143"/>
      <c r="KTQ143"/>
      <c r="KTR143"/>
      <c r="KTS143"/>
      <c r="KTT143"/>
      <c r="KTU143"/>
      <c r="KTV143"/>
      <c r="KTW143"/>
      <c r="KTX143"/>
      <c r="KTY143"/>
      <c r="KTZ143"/>
      <c r="KUA143"/>
      <c r="KUB143"/>
      <c r="KUC143"/>
      <c r="KUD143"/>
      <c r="KUE143"/>
      <c r="KUF143"/>
      <c r="KUG143"/>
      <c r="KUH143"/>
      <c r="KUI143"/>
      <c r="KUJ143"/>
      <c r="KUK143"/>
      <c r="KUL143"/>
      <c r="KUM143"/>
      <c r="KUN143"/>
      <c r="KUO143"/>
      <c r="KUP143"/>
      <c r="KUQ143"/>
      <c r="KUR143"/>
      <c r="KUS143"/>
      <c r="KUT143"/>
      <c r="KUU143"/>
      <c r="KUV143"/>
      <c r="KUW143"/>
      <c r="KUX143"/>
      <c r="KUY143"/>
      <c r="KUZ143"/>
      <c r="KVA143"/>
      <c r="KVB143"/>
      <c r="KVC143"/>
      <c r="KVD143"/>
      <c r="KVE143"/>
      <c r="KVF143"/>
      <c r="KVG143"/>
      <c r="KVH143"/>
      <c r="KVI143"/>
      <c r="KVJ143"/>
      <c r="KVK143"/>
      <c r="KVL143"/>
      <c r="KVM143"/>
      <c r="KVN143"/>
      <c r="KVO143"/>
      <c r="KVP143"/>
      <c r="KVQ143"/>
      <c r="KVR143"/>
      <c r="KVS143"/>
      <c r="KVT143"/>
      <c r="KVU143"/>
      <c r="KVV143"/>
      <c r="KVW143"/>
      <c r="KVX143"/>
      <c r="KVY143"/>
      <c r="KVZ143"/>
      <c r="KWA143"/>
      <c r="KWB143"/>
      <c r="KWC143"/>
      <c r="KWD143"/>
      <c r="KWE143"/>
      <c r="KWF143"/>
      <c r="KWG143"/>
      <c r="KWH143"/>
      <c r="KWI143"/>
      <c r="KWJ143"/>
      <c r="KWK143"/>
      <c r="KWL143"/>
      <c r="KWM143"/>
      <c r="KWN143"/>
      <c r="KWO143"/>
      <c r="KWP143"/>
      <c r="KWQ143"/>
      <c r="KWR143"/>
      <c r="KWS143"/>
      <c r="KWT143"/>
      <c r="KWU143"/>
      <c r="KWV143"/>
      <c r="KWW143"/>
      <c r="KWX143"/>
      <c r="KWY143"/>
      <c r="KWZ143"/>
      <c r="KXA143"/>
      <c r="KXB143"/>
      <c r="KXC143"/>
      <c r="KXD143"/>
      <c r="KXE143"/>
      <c r="KXF143"/>
      <c r="KXG143"/>
      <c r="KXH143"/>
      <c r="KXI143"/>
      <c r="KXJ143"/>
      <c r="KXK143"/>
      <c r="KXL143"/>
      <c r="KXM143"/>
      <c r="KXN143"/>
      <c r="KXO143"/>
      <c r="KXP143"/>
      <c r="KXQ143"/>
      <c r="KXR143"/>
      <c r="KXS143"/>
      <c r="KXT143"/>
      <c r="KXU143"/>
      <c r="KXV143"/>
      <c r="KXW143"/>
      <c r="KXX143"/>
      <c r="KXY143"/>
      <c r="KXZ143"/>
      <c r="KYA143"/>
      <c r="KYB143"/>
      <c r="KYC143"/>
      <c r="KYD143"/>
      <c r="KYE143"/>
      <c r="KYF143"/>
      <c r="KYG143"/>
      <c r="KYH143"/>
      <c r="KYI143"/>
      <c r="KYJ143"/>
      <c r="KYK143"/>
      <c r="KYL143"/>
      <c r="KYM143"/>
      <c r="KYN143"/>
      <c r="KYO143"/>
      <c r="KYP143"/>
      <c r="KYQ143"/>
      <c r="KYR143"/>
      <c r="KYS143"/>
      <c r="KYT143"/>
      <c r="KYU143"/>
      <c r="KYV143"/>
      <c r="KYW143"/>
      <c r="KYX143"/>
      <c r="KYY143"/>
      <c r="KYZ143"/>
      <c r="KZA143"/>
      <c r="KZB143"/>
      <c r="KZC143"/>
      <c r="KZD143"/>
      <c r="KZE143"/>
      <c r="KZF143"/>
      <c r="KZG143"/>
      <c r="KZH143"/>
      <c r="KZI143"/>
      <c r="KZJ143"/>
      <c r="KZK143"/>
      <c r="KZL143"/>
      <c r="KZM143"/>
      <c r="KZN143"/>
      <c r="KZO143"/>
      <c r="KZP143"/>
      <c r="KZQ143"/>
      <c r="KZR143"/>
      <c r="KZS143"/>
      <c r="KZT143"/>
      <c r="KZU143"/>
      <c r="KZV143"/>
      <c r="KZW143"/>
      <c r="KZX143"/>
      <c r="KZY143"/>
      <c r="KZZ143"/>
      <c r="LAA143"/>
      <c r="LAB143"/>
      <c r="LAC143"/>
      <c r="LAD143"/>
      <c r="LAE143"/>
      <c r="LAF143"/>
      <c r="LAG143"/>
      <c r="LAH143"/>
      <c r="LAI143"/>
      <c r="LAJ143"/>
      <c r="LAK143"/>
      <c r="LAL143"/>
      <c r="LAM143"/>
      <c r="LAN143"/>
      <c r="LAO143"/>
      <c r="LAP143"/>
      <c r="LAQ143"/>
      <c r="LAR143"/>
      <c r="LAS143"/>
      <c r="LAT143"/>
      <c r="LAU143"/>
      <c r="LAV143"/>
      <c r="LAW143"/>
      <c r="LAX143"/>
      <c r="LAY143"/>
      <c r="LAZ143"/>
      <c r="LBA143"/>
      <c r="LBB143"/>
      <c r="LBC143"/>
      <c r="LBD143"/>
      <c r="LBE143"/>
      <c r="LBF143"/>
      <c r="LBG143"/>
      <c r="LBH143"/>
      <c r="LBI143"/>
      <c r="LBJ143"/>
      <c r="LBK143"/>
      <c r="LBL143"/>
      <c r="LBM143"/>
      <c r="LBN143"/>
      <c r="LBO143"/>
      <c r="LBP143"/>
      <c r="LBQ143"/>
      <c r="LBR143"/>
      <c r="LBS143"/>
      <c r="LBT143"/>
      <c r="LBU143"/>
      <c r="LBV143"/>
      <c r="LBW143"/>
      <c r="LBX143"/>
      <c r="LBY143"/>
      <c r="LBZ143"/>
      <c r="LCA143"/>
      <c r="LCB143"/>
      <c r="LCC143"/>
      <c r="LCD143"/>
      <c r="LCE143"/>
      <c r="LCF143"/>
      <c r="LCG143"/>
      <c r="LCH143"/>
      <c r="LCI143"/>
      <c r="LCJ143"/>
      <c r="LCK143"/>
      <c r="LCL143"/>
      <c r="LCM143"/>
      <c r="LCN143"/>
      <c r="LCO143"/>
      <c r="LCP143"/>
      <c r="LCQ143"/>
      <c r="LCR143"/>
      <c r="LCS143"/>
      <c r="LCT143"/>
      <c r="LCU143"/>
      <c r="LCV143"/>
      <c r="LCW143"/>
      <c r="LCX143"/>
      <c r="LCY143"/>
      <c r="LCZ143"/>
      <c r="LDA143"/>
      <c r="LDB143"/>
      <c r="LDC143"/>
      <c r="LDD143"/>
      <c r="LDE143"/>
      <c r="LDF143"/>
      <c r="LDG143"/>
      <c r="LDH143"/>
      <c r="LDI143"/>
      <c r="LDJ143"/>
      <c r="LDK143"/>
      <c r="LDL143"/>
      <c r="LDM143"/>
      <c r="LDN143"/>
      <c r="LDO143"/>
      <c r="LDP143"/>
      <c r="LDQ143"/>
      <c r="LDR143"/>
      <c r="LDS143"/>
      <c r="LDT143"/>
      <c r="LDU143"/>
      <c r="LDV143"/>
      <c r="LDW143"/>
      <c r="LDX143"/>
      <c r="LDY143"/>
      <c r="LDZ143"/>
      <c r="LEA143"/>
      <c r="LEB143"/>
      <c r="LEC143"/>
      <c r="LED143"/>
      <c r="LEE143"/>
      <c r="LEF143"/>
      <c r="LEG143"/>
      <c r="LEH143"/>
      <c r="LEI143"/>
      <c r="LEJ143"/>
      <c r="LEK143"/>
      <c r="LEL143"/>
      <c r="LEM143"/>
      <c r="LEN143"/>
      <c r="LEO143"/>
      <c r="LEP143"/>
      <c r="LEQ143"/>
      <c r="LER143"/>
      <c r="LES143"/>
      <c r="LET143"/>
      <c r="LEU143"/>
      <c r="LEV143"/>
      <c r="LEW143"/>
      <c r="LEX143"/>
      <c r="LEY143"/>
      <c r="LEZ143"/>
      <c r="LFA143"/>
      <c r="LFB143"/>
      <c r="LFC143"/>
      <c r="LFD143"/>
      <c r="LFE143"/>
      <c r="LFF143"/>
      <c r="LFG143"/>
      <c r="LFH143"/>
      <c r="LFI143"/>
      <c r="LFJ143"/>
      <c r="LFK143"/>
      <c r="LFL143"/>
      <c r="LFM143"/>
      <c r="LFN143"/>
      <c r="LFO143"/>
      <c r="LFP143"/>
      <c r="LFQ143"/>
      <c r="LFR143"/>
      <c r="LFS143"/>
      <c r="LFT143"/>
      <c r="LFU143"/>
      <c r="LFV143"/>
      <c r="LFW143"/>
      <c r="LFX143"/>
      <c r="LFY143"/>
      <c r="LFZ143"/>
      <c r="LGA143"/>
      <c r="LGB143"/>
      <c r="LGC143"/>
      <c r="LGD143"/>
      <c r="LGE143"/>
      <c r="LGF143"/>
      <c r="LGG143"/>
      <c r="LGH143"/>
      <c r="LGI143"/>
      <c r="LGJ143"/>
      <c r="LGK143"/>
      <c r="LGL143"/>
      <c r="LGM143"/>
      <c r="LGN143"/>
      <c r="LGO143"/>
      <c r="LGP143"/>
      <c r="LGQ143"/>
      <c r="LGR143"/>
      <c r="LGS143"/>
      <c r="LGT143"/>
      <c r="LGU143"/>
      <c r="LGV143"/>
      <c r="LGW143"/>
      <c r="LGX143"/>
      <c r="LGY143"/>
      <c r="LGZ143"/>
      <c r="LHA143"/>
      <c r="LHB143"/>
      <c r="LHC143"/>
      <c r="LHD143"/>
      <c r="LHE143"/>
      <c r="LHF143"/>
      <c r="LHG143"/>
      <c r="LHH143"/>
      <c r="LHI143"/>
      <c r="LHJ143"/>
      <c r="LHK143"/>
      <c r="LHL143"/>
      <c r="LHM143"/>
      <c r="LHN143"/>
      <c r="LHO143"/>
      <c r="LHP143"/>
      <c r="LHQ143"/>
      <c r="LHR143"/>
      <c r="LHS143"/>
      <c r="LHT143"/>
      <c r="LHU143"/>
      <c r="LHV143"/>
      <c r="LHW143"/>
      <c r="LHX143"/>
      <c r="LHY143"/>
      <c r="LHZ143"/>
      <c r="LIA143"/>
      <c r="LIB143"/>
      <c r="LIC143"/>
      <c r="LID143"/>
      <c r="LIE143"/>
      <c r="LIF143"/>
      <c r="LIG143"/>
      <c r="LIH143"/>
      <c r="LII143"/>
      <c r="LIJ143"/>
      <c r="LIK143"/>
      <c r="LIL143"/>
      <c r="LIM143"/>
      <c r="LIN143"/>
      <c r="LIO143"/>
      <c r="LIP143"/>
      <c r="LIQ143"/>
      <c r="LIR143"/>
      <c r="LIS143"/>
      <c r="LIT143"/>
      <c r="LIU143"/>
      <c r="LIV143"/>
      <c r="LIW143"/>
      <c r="LIX143"/>
      <c r="LIY143"/>
      <c r="LIZ143"/>
      <c r="LJA143"/>
      <c r="LJB143"/>
      <c r="LJC143"/>
      <c r="LJD143"/>
      <c r="LJE143"/>
      <c r="LJF143"/>
      <c r="LJG143"/>
      <c r="LJH143"/>
      <c r="LJI143"/>
      <c r="LJJ143"/>
      <c r="LJK143"/>
      <c r="LJL143"/>
      <c r="LJM143"/>
      <c r="LJN143"/>
      <c r="LJO143"/>
      <c r="LJP143"/>
      <c r="LJQ143"/>
      <c r="LJR143"/>
      <c r="LJS143"/>
      <c r="LJT143"/>
      <c r="LJU143"/>
      <c r="LJV143"/>
      <c r="LJW143"/>
      <c r="LJX143"/>
      <c r="LJY143"/>
      <c r="LJZ143"/>
      <c r="LKA143"/>
      <c r="LKB143"/>
      <c r="LKC143"/>
      <c r="LKD143"/>
      <c r="LKE143"/>
      <c r="LKF143"/>
      <c r="LKG143"/>
      <c r="LKH143"/>
      <c r="LKI143"/>
      <c r="LKJ143"/>
      <c r="LKK143"/>
      <c r="LKL143"/>
      <c r="LKM143"/>
      <c r="LKN143"/>
      <c r="LKO143"/>
      <c r="LKP143"/>
      <c r="LKQ143"/>
      <c r="LKR143"/>
      <c r="LKS143"/>
      <c r="LKT143"/>
      <c r="LKU143"/>
      <c r="LKV143"/>
      <c r="LKW143"/>
      <c r="LKX143"/>
      <c r="LKY143"/>
      <c r="LKZ143"/>
      <c r="LLA143"/>
      <c r="LLB143"/>
      <c r="LLC143"/>
      <c r="LLD143"/>
      <c r="LLE143"/>
      <c r="LLF143"/>
      <c r="LLG143"/>
      <c r="LLH143"/>
      <c r="LLI143"/>
      <c r="LLJ143"/>
      <c r="LLK143"/>
      <c r="LLL143"/>
      <c r="LLM143"/>
      <c r="LLN143"/>
      <c r="LLO143"/>
      <c r="LLP143"/>
      <c r="LLQ143"/>
      <c r="LLR143"/>
      <c r="LLS143"/>
      <c r="LLT143"/>
      <c r="LLU143"/>
      <c r="LLV143"/>
      <c r="LLW143"/>
      <c r="LLX143"/>
      <c r="LLY143"/>
      <c r="LLZ143"/>
      <c r="LMA143"/>
      <c r="LMB143"/>
      <c r="LMC143"/>
      <c r="LMD143"/>
      <c r="LME143"/>
      <c r="LMF143"/>
      <c r="LMG143"/>
      <c r="LMH143"/>
      <c r="LMI143"/>
      <c r="LMJ143"/>
      <c r="LMK143"/>
      <c r="LML143"/>
      <c r="LMM143"/>
      <c r="LMN143"/>
      <c r="LMO143"/>
      <c r="LMP143"/>
      <c r="LMQ143"/>
      <c r="LMR143"/>
      <c r="LMS143"/>
      <c r="LMT143"/>
      <c r="LMU143"/>
      <c r="LMV143"/>
      <c r="LMW143"/>
      <c r="LMX143"/>
      <c r="LMY143"/>
      <c r="LMZ143"/>
      <c r="LNA143"/>
      <c r="LNB143"/>
      <c r="LNC143"/>
      <c r="LND143"/>
      <c r="LNE143"/>
      <c r="LNF143"/>
      <c r="LNG143"/>
      <c r="LNH143"/>
      <c r="LNI143"/>
      <c r="LNJ143"/>
      <c r="LNK143"/>
      <c r="LNL143"/>
      <c r="LNM143"/>
      <c r="LNN143"/>
      <c r="LNO143"/>
      <c r="LNP143"/>
      <c r="LNQ143"/>
      <c r="LNR143"/>
      <c r="LNS143"/>
      <c r="LNT143"/>
      <c r="LNU143"/>
      <c r="LNV143"/>
      <c r="LNW143"/>
      <c r="LNX143"/>
      <c r="LNY143"/>
      <c r="LNZ143"/>
      <c r="LOA143"/>
      <c r="LOB143"/>
      <c r="LOC143"/>
      <c r="LOD143"/>
      <c r="LOE143"/>
      <c r="LOF143"/>
      <c r="LOG143"/>
      <c r="LOH143"/>
      <c r="LOI143"/>
      <c r="LOJ143"/>
      <c r="LOK143"/>
      <c r="LOL143"/>
      <c r="LOM143"/>
      <c r="LON143"/>
      <c r="LOO143"/>
      <c r="LOP143"/>
      <c r="LOQ143"/>
      <c r="LOR143"/>
      <c r="LOS143"/>
      <c r="LOT143"/>
      <c r="LOU143"/>
      <c r="LOV143"/>
      <c r="LOW143"/>
      <c r="LOX143"/>
      <c r="LOY143"/>
      <c r="LOZ143"/>
      <c r="LPA143"/>
      <c r="LPB143"/>
      <c r="LPC143"/>
      <c r="LPD143"/>
      <c r="LPE143"/>
      <c r="LPF143"/>
      <c r="LPG143"/>
      <c r="LPH143"/>
      <c r="LPI143"/>
      <c r="LPJ143"/>
      <c r="LPK143"/>
      <c r="LPL143"/>
      <c r="LPM143"/>
      <c r="LPN143"/>
      <c r="LPO143"/>
      <c r="LPP143"/>
      <c r="LPQ143"/>
      <c r="LPR143"/>
      <c r="LPS143"/>
      <c r="LPT143"/>
      <c r="LPU143"/>
      <c r="LPV143"/>
      <c r="LPW143"/>
      <c r="LPX143"/>
      <c r="LPY143"/>
      <c r="LPZ143"/>
      <c r="LQA143"/>
      <c r="LQB143"/>
      <c r="LQC143"/>
      <c r="LQD143"/>
      <c r="LQE143"/>
      <c r="LQF143"/>
      <c r="LQG143"/>
      <c r="LQH143"/>
      <c r="LQI143"/>
      <c r="LQJ143"/>
      <c r="LQK143"/>
      <c r="LQL143"/>
      <c r="LQM143"/>
      <c r="LQN143"/>
      <c r="LQO143"/>
      <c r="LQP143"/>
      <c r="LQQ143"/>
      <c r="LQR143"/>
      <c r="LQS143"/>
      <c r="LQT143"/>
      <c r="LQU143"/>
      <c r="LQV143"/>
      <c r="LQW143"/>
      <c r="LQX143"/>
      <c r="LQY143"/>
      <c r="LQZ143"/>
      <c r="LRA143"/>
      <c r="LRB143"/>
      <c r="LRC143"/>
      <c r="LRD143"/>
      <c r="LRE143"/>
      <c r="LRF143"/>
      <c r="LRG143"/>
      <c r="LRH143"/>
      <c r="LRI143"/>
      <c r="LRJ143"/>
      <c r="LRK143"/>
      <c r="LRL143"/>
      <c r="LRM143"/>
      <c r="LRN143"/>
      <c r="LRO143"/>
      <c r="LRP143"/>
      <c r="LRQ143"/>
      <c r="LRR143"/>
      <c r="LRS143"/>
      <c r="LRT143"/>
      <c r="LRU143"/>
      <c r="LRV143"/>
      <c r="LRW143"/>
      <c r="LRX143"/>
      <c r="LRY143"/>
      <c r="LRZ143"/>
      <c r="LSA143"/>
      <c r="LSB143"/>
      <c r="LSC143"/>
      <c r="LSD143"/>
      <c r="LSE143"/>
      <c r="LSF143"/>
      <c r="LSG143"/>
      <c r="LSH143"/>
      <c r="LSI143"/>
      <c r="LSJ143"/>
      <c r="LSK143"/>
      <c r="LSL143"/>
      <c r="LSM143"/>
      <c r="LSN143"/>
      <c r="LSO143"/>
      <c r="LSP143"/>
      <c r="LSQ143"/>
      <c r="LSR143"/>
      <c r="LSS143"/>
      <c r="LST143"/>
      <c r="LSU143"/>
      <c r="LSV143"/>
      <c r="LSW143"/>
      <c r="LSX143"/>
      <c r="LSY143"/>
      <c r="LSZ143"/>
      <c r="LTA143"/>
      <c r="LTB143"/>
      <c r="LTC143"/>
      <c r="LTD143"/>
      <c r="LTE143"/>
      <c r="LTF143"/>
      <c r="LTG143"/>
      <c r="LTH143"/>
      <c r="LTI143"/>
      <c r="LTJ143"/>
      <c r="LTK143"/>
      <c r="LTL143"/>
      <c r="LTM143"/>
      <c r="LTN143"/>
      <c r="LTO143"/>
      <c r="LTP143"/>
      <c r="LTQ143"/>
      <c r="LTR143"/>
      <c r="LTS143"/>
      <c r="LTT143"/>
      <c r="LTU143"/>
      <c r="LTV143"/>
      <c r="LTW143"/>
      <c r="LTX143"/>
      <c r="LTY143"/>
      <c r="LTZ143"/>
      <c r="LUA143"/>
      <c r="LUB143"/>
      <c r="LUC143"/>
      <c r="LUD143"/>
      <c r="LUE143"/>
      <c r="LUF143"/>
      <c r="LUG143"/>
      <c r="LUH143"/>
      <c r="LUI143"/>
      <c r="LUJ143"/>
      <c r="LUK143"/>
      <c r="LUL143"/>
      <c r="LUM143"/>
      <c r="LUN143"/>
      <c r="LUO143"/>
      <c r="LUP143"/>
      <c r="LUQ143"/>
      <c r="LUR143"/>
      <c r="LUS143"/>
      <c r="LUT143"/>
      <c r="LUU143"/>
      <c r="LUV143"/>
      <c r="LUW143"/>
      <c r="LUX143"/>
      <c r="LUY143"/>
      <c r="LUZ143"/>
      <c r="LVA143"/>
      <c r="LVB143"/>
      <c r="LVC143"/>
      <c r="LVD143"/>
      <c r="LVE143"/>
      <c r="LVF143"/>
      <c r="LVG143"/>
      <c r="LVH143"/>
      <c r="LVI143"/>
      <c r="LVJ143"/>
      <c r="LVK143"/>
      <c r="LVL143"/>
      <c r="LVM143"/>
      <c r="LVN143"/>
      <c r="LVO143"/>
      <c r="LVP143"/>
      <c r="LVQ143"/>
      <c r="LVR143"/>
      <c r="LVS143"/>
      <c r="LVT143"/>
      <c r="LVU143"/>
      <c r="LVV143"/>
      <c r="LVW143"/>
      <c r="LVX143"/>
      <c r="LVY143"/>
      <c r="LVZ143"/>
      <c r="LWA143"/>
      <c r="LWB143"/>
      <c r="LWC143"/>
      <c r="LWD143"/>
      <c r="LWE143"/>
      <c r="LWF143"/>
      <c r="LWG143"/>
      <c r="LWH143"/>
      <c r="LWI143"/>
      <c r="LWJ143"/>
      <c r="LWK143"/>
      <c r="LWL143"/>
      <c r="LWM143"/>
      <c r="LWN143"/>
      <c r="LWO143"/>
      <c r="LWP143"/>
      <c r="LWQ143"/>
      <c r="LWR143"/>
      <c r="LWS143"/>
      <c r="LWT143"/>
      <c r="LWU143"/>
      <c r="LWV143"/>
      <c r="LWW143"/>
      <c r="LWX143"/>
      <c r="LWY143"/>
      <c r="LWZ143"/>
      <c r="LXA143"/>
      <c r="LXB143"/>
      <c r="LXC143"/>
      <c r="LXD143"/>
      <c r="LXE143"/>
      <c r="LXF143"/>
      <c r="LXG143"/>
      <c r="LXH143"/>
      <c r="LXI143"/>
      <c r="LXJ143"/>
      <c r="LXK143"/>
      <c r="LXL143"/>
      <c r="LXM143"/>
      <c r="LXN143"/>
      <c r="LXO143"/>
      <c r="LXP143"/>
      <c r="LXQ143"/>
      <c r="LXR143"/>
      <c r="LXS143"/>
      <c r="LXT143"/>
      <c r="LXU143"/>
      <c r="LXV143"/>
      <c r="LXW143"/>
      <c r="LXX143"/>
      <c r="LXY143"/>
      <c r="LXZ143"/>
      <c r="LYA143"/>
      <c r="LYB143"/>
      <c r="LYC143"/>
      <c r="LYD143"/>
      <c r="LYE143"/>
      <c r="LYF143"/>
      <c r="LYG143"/>
      <c r="LYH143"/>
      <c r="LYI143"/>
      <c r="LYJ143"/>
      <c r="LYK143"/>
      <c r="LYL143"/>
      <c r="LYM143"/>
      <c r="LYN143"/>
      <c r="LYO143"/>
      <c r="LYP143"/>
      <c r="LYQ143"/>
      <c r="LYR143"/>
      <c r="LYS143"/>
      <c r="LYT143"/>
      <c r="LYU143"/>
      <c r="LYV143"/>
      <c r="LYW143"/>
      <c r="LYX143"/>
      <c r="LYY143"/>
      <c r="LYZ143"/>
      <c r="LZA143"/>
      <c r="LZB143"/>
      <c r="LZC143"/>
      <c r="LZD143"/>
      <c r="LZE143"/>
      <c r="LZF143"/>
      <c r="LZG143"/>
      <c r="LZH143"/>
      <c r="LZI143"/>
      <c r="LZJ143"/>
      <c r="LZK143"/>
      <c r="LZL143"/>
      <c r="LZM143"/>
      <c r="LZN143"/>
      <c r="LZO143"/>
      <c r="LZP143"/>
      <c r="LZQ143"/>
      <c r="LZR143"/>
      <c r="LZS143"/>
      <c r="LZT143"/>
      <c r="LZU143"/>
      <c r="LZV143"/>
      <c r="LZW143"/>
      <c r="LZX143"/>
      <c r="LZY143"/>
      <c r="LZZ143"/>
      <c r="MAA143"/>
      <c r="MAB143"/>
      <c r="MAC143"/>
      <c r="MAD143"/>
      <c r="MAE143"/>
      <c r="MAF143"/>
      <c r="MAG143"/>
      <c r="MAH143"/>
      <c r="MAI143"/>
      <c r="MAJ143"/>
      <c r="MAK143"/>
      <c r="MAL143"/>
      <c r="MAM143"/>
      <c r="MAN143"/>
      <c r="MAO143"/>
      <c r="MAP143"/>
      <c r="MAQ143"/>
      <c r="MAR143"/>
      <c r="MAS143"/>
      <c r="MAT143"/>
      <c r="MAU143"/>
      <c r="MAV143"/>
      <c r="MAW143"/>
      <c r="MAX143"/>
      <c r="MAY143"/>
      <c r="MAZ143"/>
      <c r="MBA143"/>
      <c r="MBB143"/>
      <c r="MBC143"/>
      <c r="MBD143"/>
      <c r="MBE143"/>
      <c r="MBF143"/>
      <c r="MBG143"/>
      <c r="MBH143"/>
      <c r="MBI143"/>
      <c r="MBJ143"/>
      <c r="MBK143"/>
      <c r="MBL143"/>
      <c r="MBM143"/>
      <c r="MBN143"/>
      <c r="MBO143"/>
      <c r="MBP143"/>
      <c r="MBQ143"/>
      <c r="MBR143"/>
      <c r="MBS143"/>
      <c r="MBT143"/>
      <c r="MBU143"/>
      <c r="MBV143"/>
      <c r="MBW143"/>
      <c r="MBX143"/>
      <c r="MBY143"/>
      <c r="MBZ143"/>
      <c r="MCA143"/>
      <c r="MCB143"/>
      <c r="MCC143"/>
      <c r="MCD143"/>
      <c r="MCE143"/>
      <c r="MCF143"/>
      <c r="MCG143"/>
      <c r="MCH143"/>
      <c r="MCI143"/>
      <c r="MCJ143"/>
      <c r="MCK143"/>
      <c r="MCL143"/>
      <c r="MCM143"/>
      <c r="MCN143"/>
      <c r="MCO143"/>
      <c r="MCP143"/>
      <c r="MCQ143"/>
      <c r="MCR143"/>
      <c r="MCS143"/>
      <c r="MCT143"/>
      <c r="MCU143"/>
      <c r="MCV143"/>
      <c r="MCW143"/>
      <c r="MCX143"/>
      <c r="MCY143"/>
      <c r="MCZ143"/>
      <c r="MDA143"/>
      <c r="MDB143"/>
      <c r="MDC143"/>
      <c r="MDD143"/>
      <c r="MDE143"/>
      <c r="MDF143"/>
      <c r="MDG143"/>
      <c r="MDH143"/>
      <c r="MDI143"/>
      <c r="MDJ143"/>
      <c r="MDK143"/>
      <c r="MDL143"/>
      <c r="MDM143"/>
      <c r="MDN143"/>
      <c r="MDO143"/>
      <c r="MDP143"/>
      <c r="MDQ143"/>
      <c r="MDR143"/>
      <c r="MDS143"/>
      <c r="MDT143"/>
      <c r="MDU143"/>
      <c r="MDV143"/>
      <c r="MDW143"/>
      <c r="MDX143"/>
      <c r="MDY143"/>
      <c r="MDZ143"/>
      <c r="MEA143"/>
      <c r="MEB143"/>
      <c r="MEC143"/>
      <c r="MED143"/>
      <c r="MEE143"/>
      <c r="MEF143"/>
      <c r="MEG143"/>
      <c r="MEH143"/>
      <c r="MEI143"/>
      <c r="MEJ143"/>
      <c r="MEK143"/>
      <c r="MEL143"/>
      <c r="MEM143"/>
      <c r="MEN143"/>
      <c r="MEO143"/>
      <c r="MEP143"/>
      <c r="MEQ143"/>
      <c r="MER143"/>
      <c r="MES143"/>
      <c r="MET143"/>
      <c r="MEU143"/>
      <c r="MEV143"/>
      <c r="MEW143"/>
      <c r="MEX143"/>
      <c r="MEY143"/>
      <c r="MEZ143"/>
      <c r="MFA143"/>
      <c r="MFB143"/>
      <c r="MFC143"/>
      <c r="MFD143"/>
      <c r="MFE143"/>
      <c r="MFF143"/>
      <c r="MFG143"/>
      <c r="MFH143"/>
      <c r="MFI143"/>
      <c r="MFJ143"/>
      <c r="MFK143"/>
      <c r="MFL143"/>
      <c r="MFM143"/>
      <c r="MFN143"/>
      <c r="MFO143"/>
      <c r="MFP143"/>
      <c r="MFQ143"/>
      <c r="MFR143"/>
      <c r="MFS143"/>
      <c r="MFT143"/>
      <c r="MFU143"/>
      <c r="MFV143"/>
      <c r="MFW143"/>
      <c r="MFX143"/>
      <c r="MFY143"/>
      <c r="MFZ143"/>
      <c r="MGA143"/>
      <c r="MGB143"/>
      <c r="MGC143"/>
      <c r="MGD143"/>
      <c r="MGE143"/>
      <c r="MGF143"/>
      <c r="MGG143"/>
      <c r="MGH143"/>
      <c r="MGI143"/>
      <c r="MGJ143"/>
      <c r="MGK143"/>
      <c r="MGL143"/>
      <c r="MGM143"/>
      <c r="MGN143"/>
      <c r="MGO143"/>
      <c r="MGP143"/>
      <c r="MGQ143"/>
      <c r="MGR143"/>
      <c r="MGS143"/>
      <c r="MGT143"/>
      <c r="MGU143"/>
      <c r="MGV143"/>
      <c r="MGW143"/>
      <c r="MGX143"/>
      <c r="MGY143"/>
      <c r="MGZ143"/>
      <c r="MHA143"/>
      <c r="MHB143"/>
      <c r="MHC143"/>
      <c r="MHD143"/>
      <c r="MHE143"/>
      <c r="MHF143"/>
      <c r="MHG143"/>
      <c r="MHH143"/>
      <c r="MHI143"/>
      <c r="MHJ143"/>
      <c r="MHK143"/>
      <c r="MHL143"/>
      <c r="MHM143"/>
      <c r="MHN143"/>
      <c r="MHO143"/>
      <c r="MHP143"/>
      <c r="MHQ143"/>
      <c r="MHR143"/>
      <c r="MHS143"/>
      <c r="MHT143"/>
      <c r="MHU143"/>
      <c r="MHV143"/>
      <c r="MHW143"/>
      <c r="MHX143"/>
      <c r="MHY143"/>
      <c r="MHZ143"/>
      <c r="MIA143"/>
      <c r="MIB143"/>
      <c r="MIC143"/>
      <c r="MID143"/>
      <c r="MIE143"/>
      <c r="MIF143"/>
      <c r="MIG143"/>
      <c r="MIH143"/>
      <c r="MII143"/>
      <c r="MIJ143"/>
      <c r="MIK143"/>
      <c r="MIL143"/>
      <c r="MIM143"/>
      <c r="MIN143"/>
      <c r="MIO143"/>
      <c r="MIP143"/>
      <c r="MIQ143"/>
      <c r="MIR143"/>
      <c r="MIS143"/>
      <c r="MIT143"/>
      <c r="MIU143"/>
      <c r="MIV143"/>
      <c r="MIW143"/>
      <c r="MIX143"/>
      <c r="MIY143"/>
      <c r="MIZ143"/>
      <c r="MJA143"/>
      <c r="MJB143"/>
      <c r="MJC143"/>
      <c r="MJD143"/>
      <c r="MJE143"/>
      <c r="MJF143"/>
      <c r="MJG143"/>
      <c r="MJH143"/>
      <c r="MJI143"/>
      <c r="MJJ143"/>
      <c r="MJK143"/>
      <c r="MJL143"/>
      <c r="MJM143"/>
      <c r="MJN143"/>
      <c r="MJO143"/>
      <c r="MJP143"/>
      <c r="MJQ143"/>
      <c r="MJR143"/>
      <c r="MJS143"/>
      <c r="MJT143"/>
      <c r="MJU143"/>
      <c r="MJV143"/>
      <c r="MJW143"/>
      <c r="MJX143"/>
      <c r="MJY143"/>
      <c r="MJZ143"/>
      <c r="MKA143"/>
      <c r="MKB143"/>
      <c r="MKC143"/>
      <c r="MKD143"/>
      <c r="MKE143"/>
      <c r="MKF143"/>
      <c r="MKG143"/>
      <c r="MKH143"/>
      <c r="MKI143"/>
      <c r="MKJ143"/>
      <c r="MKK143"/>
      <c r="MKL143"/>
      <c r="MKM143"/>
      <c r="MKN143"/>
      <c r="MKO143"/>
      <c r="MKP143"/>
      <c r="MKQ143"/>
      <c r="MKR143"/>
      <c r="MKS143"/>
      <c r="MKT143"/>
      <c r="MKU143"/>
      <c r="MKV143"/>
      <c r="MKW143"/>
      <c r="MKX143"/>
      <c r="MKY143"/>
      <c r="MKZ143"/>
      <c r="MLA143"/>
      <c r="MLB143"/>
      <c r="MLC143"/>
      <c r="MLD143"/>
      <c r="MLE143"/>
      <c r="MLF143"/>
      <c r="MLG143"/>
      <c r="MLH143"/>
      <c r="MLI143"/>
      <c r="MLJ143"/>
      <c r="MLK143"/>
      <c r="MLL143"/>
      <c r="MLM143"/>
      <c r="MLN143"/>
      <c r="MLO143"/>
      <c r="MLP143"/>
      <c r="MLQ143"/>
      <c r="MLR143"/>
      <c r="MLS143"/>
      <c r="MLT143"/>
      <c r="MLU143"/>
      <c r="MLV143"/>
      <c r="MLW143"/>
      <c r="MLX143"/>
      <c r="MLY143"/>
      <c r="MLZ143"/>
      <c r="MMA143"/>
      <c r="MMB143"/>
      <c r="MMC143"/>
      <c r="MMD143"/>
      <c r="MME143"/>
      <c r="MMF143"/>
      <c r="MMG143"/>
      <c r="MMH143"/>
      <c r="MMI143"/>
      <c r="MMJ143"/>
      <c r="MMK143"/>
      <c r="MML143"/>
      <c r="MMM143"/>
      <c r="MMN143"/>
      <c r="MMO143"/>
      <c r="MMP143"/>
      <c r="MMQ143"/>
      <c r="MMR143"/>
      <c r="MMS143"/>
      <c r="MMT143"/>
      <c r="MMU143"/>
      <c r="MMV143"/>
      <c r="MMW143"/>
      <c r="MMX143"/>
      <c r="MMY143"/>
      <c r="MMZ143"/>
      <c r="MNA143"/>
      <c r="MNB143"/>
      <c r="MNC143"/>
      <c r="MND143"/>
      <c r="MNE143"/>
      <c r="MNF143"/>
      <c r="MNG143"/>
      <c r="MNH143"/>
      <c r="MNI143"/>
      <c r="MNJ143"/>
      <c r="MNK143"/>
      <c r="MNL143"/>
      <c r="MNM143"/>
      <c r="MNN143"/>
      <c r="MNO143"/>
      <c r="MNP143"/>
      <c r="MNQ143"/>
      <c r="MNR143"/>
      <c r="MNS143"/>
      <c r="MNT143"/>
      <c r="MNU143"/>
      <c r="MNV143"/>
      <c r="MNW143"/>
      <c r="MNX143"/>
      <c r="MNY143"/>
      <c r="MNZ143"/>
      <c r="MOA143"/>
      <c r="MOB143"/>
      <c r="MOC143"/>
      <c r="MOD143"/>
      <c r="MOE143"/>
      <c r="MOF143"/>
      <c r="MOG143"/>
      <c r="MOH143"/>
      <c r="MOI143"/>
      <c r="MOJ143"/>
      <c r="MOK143"/>
      <c r="MOL143"/>
      <c r="MOM143"/>
      <c r="MON143"/>
      <c r="MOO143"/>
      <c r="MOP143"/>
      <c r="MOQ143"/>
      <c r="MOR143"/>
      <c r="MOS143"/>
      <c r="MOT143"/>
      <c r="MOU143"/>
      <c r="MOV143"/>
      <c r="MOW143"/>
      <c r="MOX143"/>
      <c r="MOY143"/>
      <c r="MOZ143"/>
      <c r="MPA143"/>
      <c r="MPB143"/>
      <c r="MPC143"/>
      <c r="MPD143"/>
      <c r="MPE143"/>
      <c r="MPF143"/>
      <c r="MPG143"/>
      <c r="MPH143"/>
      <c r="MPI143"/>
      <c r="MPJ143"/>
      <c r="MPK143"/>
      <c r="MPL143"/>
      <c r="MPM143"/>
      <c r="MPN143"/>
      <c r="MPO143"/>
      <c r="MPP143"/>
      <c r="MPQ143"/>
      <c r="MPR143"/>
      <c r="MPS143"/>
      <c r="MPT143"/>
      <c r="MPU143"/>
      <c r="MPV143"/>
      <c r="MPW143"/>
      <c r="MPX143"/>
      <c r="MPY143"/>
      <c r="MPZ143"/>
      <c r="MQA143"/>
      <c r="MQB143"/>
      <c r="MQC143"/>
      <c r="MQD143"/>
      <c r="MQE143"/>
      <c r="MQF143"/>
      <c r="MQG143"/>
      <c r="MQH143"/>
      <c r="MQI143"/>
      <c r="MQJ143"/>
      <c r="MQK143"/>
      <c r="MQL143"/>
      <c r="MQM143"/>
      <c r="MQN143"/>
      <c r="MQO143"/>
      <c r="MQP143"/>
      <c r="MQQ143"/>
      <c r="MQR143"/>
      <c r="MQS143"/>
      <c r="MQT143"/>
      <c r="MQU143"/>
      <c r="MQV143"/>
      <c r="MQW143"/>
      <c r="MQX143"/>
      <c r="MQY143"/>
      <c r="MQZ143"/>
      <c r="MRA143"/>
      <c r="MRB143"/>
      <c r="MRC143"/>
      <c r="MRD143"/>
      <c r="MRE143"/>
      <c r="MRF143"/>
      <c r="MRG143"/>
      <c r="MRH143"/>
      <c r="MRI143"/>
      <c r="MRJ143"/>
      <c r="MRK143"/>
      <c r="MRL143"/>
      <c r="MRM143"/>
      <c r="MRN143"/>
      <c r="MRO143"/>
      <c r="MRP143"/>
      <c r="MRQ143"/>
      <c r="MRR143"/>
      <c r="MRS143"/>
      <c r="MRT143"/>
      <c r="MRU143"/>
      <c r="MRV143"/>
      <c r="MRW143"/>
      <c r="MRX143"/>
      <c r="MRY143"/>
      <c r="MRZ143"/>
      <c r="MSA143"/>
      <c r="MSB143"/>
      <c r="MSC143"/>
      <c r="MSD143"/>
      <c r="MSE143"/>
      <c r="MSF143"/>
      <c r="MSG143"/>
      <c r="MSH143"/>
      <c r="MSI143"/>
      <c r="MSJ143"/>
      <c r="MSK143"/>
      <c r="MSL143"/>
      <c r="MSM143"/>
      <c r="MSN143"/>
      <c r="MSO143"/>
      <c r="MSP143"/>
      <c r="MSQ143"/>
      <c r="MSR143"/>
      <c r="MSS143"/>
      <c r="MST143"/>
      <c r="MSU143"/>
      <c r="MSV143"/>
      <c r="MSW143"/>
      <c r="MSX143"/>
      <c r="MSY143"/>
      <c r="MSZ143"/>
      <c r="MTA143"/>
      <c r="MTB143"/>
      <c r="MTC143"/>
      <c r="MTD143"/>
      <c r="MTE143"/>
      <c r="MTF143"/>
      <c r="MTG143"/>
      <c r="MTH143"/>
      <c r="MTI143"/>
      <c r="MTJ143"/>
      <c r="MTK143"/>
      <c r="MTL143"/>
      <c r="MTM143"/>
      <c r="MTN143"/>
      <c r="MTO143"/>
      <c r="MTP143"/>
      <c r="MTQ143"/>
      <c r="MTR143"/>
      <c r="MTS143"/>
      <c r="MTT143"/>
      <c r="MTU143"/>
      <c r="MTV143"/>
      <c r="MTW143"/>
      <c r="MTX143"/>
      <c r="MTY143"/>
      <c r="MTZ143"/>
      <c r="MUA143"/>
      <c r="MUB143"/>
      <c r="MUC143"/>
      <c r="MUD143"/>
      <c r="MUE143"/>
      <c r="MUF143"/>
      <c r="MUG143"/>
      <c r="MUH143"/>
      <c r="MUI143"/>
      <c r="MUJ143"/>
      <c r="MUK143"/>
      <c r="MUL143"/>
      <c r="MUM143"/>
      <c r="MUN143"/>
      <c r="MUO143"/>
      <c r="MUP143"/>
      <c r="MUQ143"/>
      <c r="MUR143"/>
      <c r="MUS143"/>
      <c r="MUT143"/>
      <c r="MUU143"/>
      <c r="MUV143"/>
      <c r="MUW143"/>
      <c r="MUX143"/>
      <c r="MUY143"/>
      <c r="MUZ143"/>
      <c r="MVA143"/>
      <c r="MVB143"/>
      <c r="MVC143"/>
      <c r="MVD143"/>
      <c r="MVE143"/>
      <c r="MVF143"/>
      <c r="MVG143"/>
      <c r="MVH143"/>
      <c r="MVI143"/>
      <c r="MVJ143"/>
      <c r="MVK143"/>
      <c r="MVL143"/>
      <c r="MVM143"/>
      <c r="MVN143"/>
      <c r="MVO143"/>
      <c r="MVP143"/>
      <c r="MVQ143"/>
      <c r="MVR143"/>
      <c r="MVS143"/>
      <c r="MVT143"/>
      <c r="MVU143"/>
      <c r="MVV143"/>
      <c r="MVW143"/>
      <c r="MVX143"/>
      <c r="MVY143"/>
      <c r="MVZ143"/>
      <c r="MWA143"/>
      <c r="MWB143"/>
      <c r="MWC143"/>
      <c r="MWD143"/>
      <c r="MWE143"/>
      <c r="MWF143"/>
      <c r="MWG143"/>
      <c r="MWH143"/>
      <c r="MWI143"/>
      <c r="MWJ143"/>
      <c r="MWK143"/>
      <c r="MWL143"/>
      <c r="MWM143"/>
      <c r="MWN143"/>
      <c r="MWO143"/>
      <c r="MWP143"/>
      <c r="MWQ143"/>
      <c r="MWR143"/>
      <c r="MWS143"/>
      <c r="MWT143"/>
      <c r="MWU143"/>
      <c r="MWV143"/>
      <c r="MWW143"/>
      <c r="MWX143"/>
      <c r="MWY143"/>
      <c r="MWZ143"/>
      <c r="MXA143"/>
      <c r="MXB143"/>
      <c r="MXC143"/>
      <c r="MXD143"/>
      <c r="MXE143"/>
      <c r="MXF143"/>
      <c r="MXG143"/>
      <c r="MXH143"/>
      <c r="MXI143"/>
      <c r="MXJ143"/>
      <c r="MXK143"/>
      <c r="MXL143"/>
      <c r="MXM143"/>
      <c r="MXN143"/>
      <c r="MXO143"/>
      <c r="MXP143"/>
      <c r="MXQ143"/>
      <c r="MXR143"/>
      <c r="MXS143"/>
      <c r="MXT143"/>
      <c r="MXU143"/>
      <c r="MXV143"/>
      <c r="MXW143"/>
      <c r="MXX143"/>
      <c r="MXY143"/>
      <c r="MXZ143"/>
      <c r="MYA143"/>
      <c r="MYB143"/>
      <c r="MYC143"/>
      <c r="MYD143"/>
      <c r="MYE143"/>
      <c r="MYF143"/>
      <c r="MYG143"/>
      <c r="MYH143"/>
      <c r="MYI143"/>
      <c r="MYJ143"/>
      <c r="MYK143"/>
      <c r="MYL143"/>
      <c r="MYM143"/>
      <c r="MYN143"/>
      <c r="MYO143"/>
      <c r="MYP143"/>
      <c r="MYQ143"/>
      <c r="MYR143"/>
      <c r="MYS143"/>
      <c r="MYT143"/>
      <c r="MYU143"/>
      <c r="MYV143"/>
      <c r="MYW143"/>
      <c r="MYX143"/>
      <c r="MYY143"/>
      <c r="MYZ143"/>
      <c r="MZA143"/>
      <c r="MZB143"/>
      <c r="MZC143"/>
      <c r="MZD143"/>
      <c r="MZE143"/>
      <c r="MZF143"/>
      <c r="MZG143"/>
      <c r="MZH143"/>
      <c r="MZI143"/>
      <c r="MZJ143"/>
      <c r="MZK143"/>
      <c r="MZL143"/>
      <c r="MZM143"/>
      <c r="MZN143"/>
      <c r="MZO143"/>
      <c r="MZP143"/>
      <c r="MZQ143"/>
      <c r="MZR143"/>
      <c r="MZS143"/>
      <c r="MZT143"/>
      <c r="MZU143"/>
      <c r="MZV143"/>
      <c r="MZW143"/>
      <c r="MZX143"/>
      <c r="MZY143"/>
      <c r="MZZ143"/>
      <c r="NAA143"/>
      <c r="NAB143"/>
      <c r="NAC143"/>
      <c r="NAD143"/>
      <c r="NAE143"/>
      <c r="NAF143"/>
      <c r="NAG143"/>
      <c r="NAH143"/>
      <c r="NAI143"/>
      <c r="NAJ143"/>
      <c r="NAK143"/>
      <c r="NAL143"/>
      <c r="NAM143"/>
      <c r="NAN143"/>
      <c r="NAO143"/>
      <c r="NAP143"/>
      <c r="NAQ143"/>
      <c r="NAR143"/>
      <c r="NAS143"/>
      <c r="NAT143"/>
      <c r="NAU143"/>
      <c r="NAV143"/>
      <c r="NAW143"/>
      <c r="NAX143"/>
      <c r="NAY143"/>
      <c r="NAZ143"/>
      <c r="NBA143"/>
      <c r="NBB143"/>
      <c r="NBC143"/>
      <c r="NBD143"/>
      <c r="NBE143"/>
      <c r="NBF143"/>
      <c r="NBG143"/>
      <c r="NBH143"/>
      <c r="NBI143"/>
      <c r="NBJ143"/>
      <c r="NBK143"/>
      <c r="NBL143"/>
      <c r="NBM143"/>
      <c r="NBN143"/>
      <c r="NBO143"/>
      <c r="NBP143"/>
      <c r="NBQ143"/>
      <c r="NBR143"/>
      <c r="NBS143"/>
      <c r="NBT143"/>
      <c r="NBU143"/>
      <c r="NBV143"/>
      <c r="NBW143"/>
      <c r="NBX143"/>
      <c r="NBY143"/>
      <c r="NBZ143"/>
      <c r="NCA143"/>
      <c r="NCB143"/>
      <c r="NCC143"/>
      <c r="NCD143"/>
      <c r="NCE143"/>
      <c r="NCF143"/>
      <c r="NCG143"/>
      <c r="NCH143"/>
      <c r="NCI143"/>
      <c r="NCJ143"/>
      <c r="NCK143"/>
      <c r="NCL143"/>
      <c r="NCM143"/>
      <c r="NCN143"/>
      <c r="NCO143"/>
      <c r="NCP143"/>
      <c r="NCQ143"/>
      <c r="NCR143"/>
      <c r="NCS143"/>
      <c r="NCT143"/>
      <c r="NCU143"/>
      <c r="NCV143"/>
      <c r="NCW143"/>
      <c r="NCX143"/>
      <c r="NCY143"/>
      <c r="NCZ143"/>
      <c r="NDA143"/>
      <c r="NDB143"/>
      <c r="NDC143"/>
      <c r="NDD143"/>
      <c r="NDE143"/>
      <c r="NDF143"/>
      <c r="NDG143"/>
      <c r="NDH143"/>
      <c r="NDI143"/>
      <c r="NDJ143"/>
      <c r="NDK143"/>
      <c r="NDL143"/>
      <c r="NDM143"/>
      <c r="NDN143"/>
      <c r="NDO143"/>
      <c r="NDP143"/>
      <c r="NDQ143"/>
      <c r="NDR143"/>
      <c r="NDS143"/>
      <c r="NDT143"/>
      <c r="NDU143"/>
      <c r="NDV143"/>
      <c r="NDW143"/>
      <c r="NDX143"/>
      <c r="NDY143"/>
      <c r="NDZ143"/>
      <c r="NEA143"/>
      <c r="NEB143"/>
      <c r="NEC143"/>
      <c r="NED143"/>
      <c r="NEE143"/>
      <c r="NEF143"/>
      <c r="NEG143"/>
      <c r="NEH143"/>
      <c r="NEI143"/>
      <c r="NEJ143"/>
      <c r="NEK143"/>
      <c r="NEL143"/>
      <c r="NEM143"/>
      <c r="NEN143"/>
      <c r="NEO143"/>
      <c r="NEP143"/>
      <c r="NEQ143"/>
      <c r="NER143"/>
      <c r="NES143"/>
      <c r="NET143"/>
      <c r="NEU143"/>
      <c r="NEV143"/>
      <c r="NEW143"/>
      <c r="NEX143"/>
      <c r="NEY143"/>
      <c r="NEZ143"/>
      <c r="NFA143"/>
      <c r="NFB143"/>
      <c r="NFC143"/>
      <c r="NFD143"/>
      <c r="NFE143"/>
      <c r="NFF143"/>
      <c r="NFG143"/>
      <c r="NFH143"/>
      <c r="NFI143"/>
      <c r="NFJ143"/>
      <c r="NFK143"/>
      <c r="NFL143"/>
      <c r="NFM143"/>
      <c r="NFN143"/>
      <c r="NFO143"/>
      <c r="NFP143"/>
      <c r="NFQ143"/>
      <c r="NFR143"/>
      <c r="NFS143"/>
      <c r="NFT143"/>
      <c r="NFU143"/>
      <c r="NFV143"/>
      <c r="NFW143"/>
      <c r="NFX143"/>
      <c r="NFY143"/>
      <c r="NFZ143"/>
      <c r="NGA143"/>
      <c r="NGB143"/>
      <c r="NGC143"/>
      <c r="NGD143"/>
      <c r="NGE143"/>
      <c r="NGF143"/>
      <c r="NGG143"/>
      <c r="NGH143"/>
      <c r="NGI143"/>
      <c r="NGJ143"/>
      <c r="NGK143"/>
      <c r="NGL143"/>
      <c r="NGM143"/>
      <c r="NGN143"/>
      <c r="NGO143"/>
      <c r="NGP143"/>
      <c r="NGQ143"/>
      <c r="NGR143"/>
      <c r="NGS143"/>
      <c r="NGT143"/>
      <c r="NGU143"/>
      <c r="NGV143"/>
      <c r="NGW143"/>
      <c r="NGX143"/>
      <c r="NGY143"/>
      <c r="NGZ143"/>
      <c r="NHA143"/>
      <c r="NHB143"/>
      <c r="NHC143"/>
      <c r="NHD143"/>
      <c r="NHE143"/>
      <c r="NHF143"/>
      <c r="NHG143"/>
      <c r="NHH143"/>
      <c r="NHI143"/>
      <c r="NHJ143"/>
      <c r="NHK143"/>
      <c r="NHL143"/>
      <c r="NHM143"/>
      <c r="NHN143"/>
      <c r="NHO143"/>
      <c r="NHP143"/>
      <c r="NHQ143"/>
      <c r="NHR143"/>
      <c r="NHS143"/>
      <c r="NHT143"/>
      <c r="NHU143"/>
      <c r="NHV143"/>
      <c r="NHW143"/>
      <c r="NHX143"/>
      <c r="NHY143"/>
      <c r="NHZ143"/>
      <c r="NIA143"/>
      <c r="NIB143"/>
      <c r="NIC143"/>
      <c r="NID143"/>
      <c r="NIE143"/>
      <c r="NIF143"/>
      <c r="NIG143"/>
      <c r="NIH143"/>
      <c r="NII143"/>
      <c r="NIJ143"/>
      <c r="NIK143"/>
      <c r="NIL143"/>
      <c r="NIM143"/>
      <c r="NIN143"/>
      <c r="NIO143"/>
      <c r="NIP143"/>
      <c r="NIQ143"/>
      <c r="NIR143"/>
      <c r="NIS143"/>
      <c r="NIT143"/>
      <c r="NIU143"/>
      <c r="NIV143"/>
      <c r="NIW143"/>
      <c r="NIX143"/>
      <c r="NIY143"/>
      <c r="NIZ143"/>
      <c r="NJA143"/>
      <c r="NJB143"/>
      <c r="NJC143"/>
      <c r="NJD143"/>
      <c r="NJE143"/>
      <c r="NJF143"/>
      <c r="NJG143"/>
      <c r="NJH143"/>
      <c r="NJI143"/>
      <c r="NJJ143"/>
      <c r="NJK143"/>
      <c r="NJL143"/>
      <c r="NJM143"/>
      <c r="NJN143"/>
      <c r="NJO143"/>
      <c r="NJP143"/>
      <c r="NJQ143"/>
      <c r="NJR143"/>
      <c r="NJS143"/>
      <c r="NJT143"/>
      <c r="NJU143"/>
      <c r="NJV143"/>
      <c r="NJW143"/>
      <c r="NJX143"/>
      <c r="NJY143"/>
      <c r="NJZ143"/>
      <c r="NKA143"/>
      <c r="NKB143"/>
      <c r="NKC143"/>
      <c r="NKD143"/>
      <c r="NKE143"/>
      <c r="NKF143"/>
      <c r="NKG143"/>
      <c r="NKH143"/>
      <c r="NKI143"/>
      <c r="NKJ143"/>
      <c r="NKK143"/>
      <c r="NKL143"/>
      <c r="NKM143"/>
      <c r="NKN143"/>
      <c r="NKO143"/>
      <c r="NKP143"/>
      <c r="NKQ143"/>
      <c r="NKR143"/>
      <c r="NKS143"/>
      <c r="NKT143"/>
      <c r="NKU143"/>
      <c r="NKV143"/>
      <c r="NKW143"/>
      <c r="NKX143"/>
      <c r="NKY143"/>
      <c r="NKZ143"/>
      <c r="NLA143"/>
      <c r="NLB143"/>
      <c r="NLC143"/>
      <c r="NLD143"/>
      <c r="NLE143"/>
      <c r="NLF143"/>
      <c r="NLG143"/>
      <c r="NLH143"/>
      <c r="NLI143"/>
      <c r="NLJ143"/>
      <c r="NLK143"/>
      <c r="NLL143"/>
      <c r="NLM143"/>
      <c r="NLN143"/>
      <c r="NLO143"/>
      <c r="NLP143"/>
      <c r="NLQ143"/>
      <c r="NLR143"/>
      <c r="NLS143"/>
      <c r="NLT143"/>
      <c r="NLU143"/>
      <c r="NLV143"/>
      <c r="NLW143"/>
      <c r="NLX143"/>
      <c r="NLY143"/>
      <c r="NLZ143"/>
      <c r="NMA143"/>
      <c r="NMB143"/>
      <c r="NMC143"/>
      <c r="NMD143"/>
      <c r="NME143"/>
      <c r="NMF143"/>
      <c r="NMG143"/>
      <c r="NMH143"/>
      <c r="NMI143"/>
      <c r="NMJ143"/>
      <c r="NMK143"/>
      <c r="NML143"/>
      <c r="NMM143"/>
      <c r="NMN143"/>
      <c r="NMO143"/>
      <c r="NMP143"/>
      <c r="NMQ143"/>
      <c r="NMR143"/>
      <c r="NMS143"/>
      <c r="NMT143"/>
      <c r="NMU143"/>
      <c r="NMV143"/>
      <c r="NMW143"/>
      <c r="NMX143"/>
      <c r="NMY143"/>
      <c r="NMZ143"/>
      <c r="NNA143"/>
      <c r="NNB143"/>
      <c r="NNC143"/>
      <c r="NND143"/>
      <c r="NNE143"/>
      <c r="NNF143"/>
      <c r="NNG143"/>
      <c r="NNH143"/>
      <c r="NNI143"/>
      <c r="NNJ143"/>
      <c r="NNK143"/>
      <c r="NNL143"/>
      <c r="NNM143"/>
      <c r="NNN143"/>
      <c r="NNO143"/>
      <c r="NNP143"/>
      <c r="NNQ143"/>
      <c r="NNR143"/>
      <c r="NNS143"/>
      <c r="NNT143"/>
      <c r="NNU143"/>
      <c r="NNV143"/>
      <c r="NNW143"/>
      <c r="NNX143"/>
      <c r="NNY143"/>
      <c r="NNZ143"/>
      <c r="NOA143"/>
      <c r="NOB143"/>
      <c r="NOC143"/>
      <c r="NOD143"/>
      <c r="NOE143"/>
      <c r="NOF143"/>
      <c r="NOG143"/>
      <c r="NOH143"/>
      <c r="NOI143"/>
      <c r="NOJ143"/>
      <c r="NOK143"/>
      <c r="NOL143"/>
      <c r="NOM143"/>
      <c r="NON143"/>
      <c r="NOO143"/>
      <c r="NOP143"/>
      <c r="NOQ143"/>
      <c r="NOR143"/>
      <c r="NOS143"/>
      <c r="NOT143"/>
      <c r="NOU143"/>
      <c r="NOV143"/>
      <c r="NOW143"/>
      <c r="NOX143"/>
      <c r="NOY143"/>
      <c r="NOZ143"/>
      <c r="NPA143"/>
      <c r="NPB143"/>
      <c r="NPC143"/>
      <c r="NPD143"/>
      <c r="NPE143"/>
      <c r="NPF143"/>
      <c r="NPG143"/>
      <c r="NPH143"/>
      <c r="NPI143"/>
      <c r="NPJ143"/>
      <c r="NPK143"/>
      <c r="NPL143"/>
      <c r="NPM143"/>
      <c r="NPN143"/>
      <c r="NPO143"/>
      <c r="NPP143"/>
      <c r="NPQ143"/>
      <c r="NPR143"/>
      <c r="NPS143"/>
      <c r="NPT143"/>
      <c r="NPU143"/>
      <c r="NPV143"/>
      <c r="NPW143"/>
      <c r="NPX143"/>
      <c r="NPY143"/>
      <c r="NPZ143"/>
      <c r="NQA143"/>
      <c r="NQB143"/>
      <c r="NQC143"/>
      <c r="NQD143"/>
      <c r="NQE143"/>
      <c r="NQF143"/>
      <c r="NQG143"/>
      <c r="NQH143"/>
      <c r="NQI143"/>
      <c r="NQJ143"/>
      <c r="NQK143"/>
      <c r="NQL143"/>
      <c r="NQM143"/>
      <c r="NQN143"/>
      <c r="NQO143"/>
      <c r="NQP143"/>
      <c r="NQQ143"/>
      <c r="NQR143"/>
      <c r="NQS143"/>
      <c r="NQT143"/>
      <c r="NQU143"/>
      <c r="NQV143"/>
      <c r="NQW143"/>
      <c r="NQX143"/>
      <c r="NQY143"/>
      <c r="NQZ143"/>
      <c r="NRA143"/>
      <c r="NRB143"/>
      <c r="NRC143"/>
      <c r="NRD143"/>
      <c r="NRE143"/>
      <c r="NRF143"/>
      <c r="NRG143"/>
      <c r="NRH143"/>
      <c r="NRI143"/>
      <c r="NRJ143"/>
      <c r="NRK143"/>
      <c r="NRL143"/>
      <c r="NRM143"/>
      <c r="NRN143"/>
      <c r="NRO143"/>
      <c r="NRP143"/>
      <c r="NRQ143"/>
      <c r="NRR143"/>
      <c r="NRS143"/>
      <c r="NRT143"/>
      <c r="NRU143"/>
      <c r="NRV143"/>
      <c r="NRW143"/>
      <c r="NRX143"/>
      <c r="NRY143"/>
      <c r="NRZ143"/>
      <c r="NSA143"/>
      <c r="NSB143"/>
      <c r="NSC143"/>
      <c r="NSD143"/>
      <c r="NSE143"/>
      <c r="NSF143"/>
      <c r="NSG143"/>
      <c r="NSH143"/>
      <c r="NSI143"/>
      <c r="NSJ143"/>
      <c r="NSK143"/>
      <c r="NSL143"/>
      <c r="NSM143"/>
      <c r="NSN143"/>
      <c r="NSO143"/>
      <c r="NSP143"/>
      <c r="NSQ143"/>
      <c r="NSR143"/>
      <c r="NSS143"/>
      <c r="NST143"/>
      <c r="NSU143"/>
      <c r="NSV143"/>
      <c r="NSW143"/>
      <c r="NSX143"/>
      <c r="NSY143"/>
      <c r="NSZ143"/>
      <c r="NTA143"/>
      <c r="NTB143"/>
      <c r="NTC143"/>
      <c r="NTD143"/>
      <c r="NTE143"/>
      <c r="NTF143"/>
      <c r="NTG143"/>
      <c r="NTH143"/>
      <c r="NTI143"/>
      <c r="NTJ143"/>
      <c r="NTK143"/>
      <c r="NTL143"/>
      <c r="NTM143"/>
      <c r="NTN143"/>
      <c r="NTO143"/>
      <c r="NTP143"/>
      <c r="NTQ143"/>
      <c r="NTR143"/>
      <c r="NTS143"/>
      <c r="NTT143"/>
      <c r="NTU143"/>
      <c r="NTV143"/>
      <c r="NTW143"/>
      <c r="NTX143"/>
      <c r="NTY143"/>
      <c r="NTZ143"/>
      <c r="NUA143"/>
      <c r="NUB143"/>
      <c r="NUC143"/>
      <c r="NUD143"/>
      <c r="NUE143"/>
      <c r="NUF143"/>
      <c r="NUG143"/>
      <c r="NUH143"/>
      <c r="NUI143"/>
      <c r="NUJ143"/>
      <c r="NUK143"/>
      <c r="NUL143"/>
      <c r="NUM143"/>
      <c r="NUN143"/>
      <c r="NUO143"/>
      <c r="NUP143"/>
      <c r="NUQ143"/>
      <c r="NUR143"/>
      <c r="NUS143"/>
      <c r="NUT143"/>
      <c r="NUU143"/>
      <c r="NUV143"/>
      <c r="NUW143"/>
      <c r="NUX143"/>
      <c r="NUY143"/>
      <c r="NUZ143"/>
      <c r="NVA143"/>
      <c r="NVB143"/>
      <c r="NVC143"/>
      <c r="NVD143"/>
      <c r="NVE143"/>
      <c r="NVF143"/>
      <c r="NVG143"/>
      <c r="NVH143"/>
      <c r="NVI143"/>
      <c r="NVJ143"/>
      <c r="NVK143"/>
      <c r="NVL143"/>
      <c r="NVM143"/>
      <c r="NVN143"/>
      <c r="NVO143"/>
      <c r="NVP143"/>
      <c r="NVQ143"/>
      <c r="NVR143"/>
      <c r="NVS143"/>
      <c r="NVT143"/>
      <c r="NVU143"/>
      <c r="NVV143"/>
      <c r="NVW143"/>
      <c r="NVX143"/>
      <c r="NVY143"/>
      <c r="NVZ143"/>
      <c r="NWA143"/>
      <c r="NWB143"/>
      <c r="NWC143"/>
      <c r="NWD143"/>
      <c r="NWE143"/>
      <c r="NWF143"/>
      <c r="NWG143"/>
      <c r="NWH143"/>
      <c r="NWI143"/>
      <c r="NWJ143"/>
      <c r="NWK143"/>
      <c r="NWL143"/>
      <c r="NWM143"/>
      <c r="NWN143"/>
      <c r="NWO143"/>
      <c r="NWP143"/>
      <c r="NWQ143"/>
      <c r="NWR143"/>
      <c r="NWS143"/>
      <c r="NWT143"/>
      <c r="NWU143"/>
      <c r="NWV143"/>
      <c r="NWW143"/>
      <c r="NWX143"/>
      <c r="NWY143"/>
      <c r="NWZ143"/>
      <c r="NXA143"/>
      <c r="NXB143"/>
      <c r="NXC143"/>
      <c r="NXD143"/>
      <c r="NXE143"/>
      <c r="NXF143"/>
      <c r="NXG143"/>
      <c r="NXH143"/>
      <c r="NXI143"/>
      <c r="NXJ143"/>
      <c r="NXK143"/>
      <c r="NXL143"/>
      <c r="NXM143"/>
      <c r="NXN143"/>
      <c r="NXO143"/>
      <c r="NXP143"/>
      <c r="NXQ143"/>
      <c r="NXR143"/>
      <c r="NXS143"/>
      <c r="NXT143"/>
      <c r="NXU143"/>
      <c r="NXV143"/>
      <c r="NXW143"/>
      <c r="NXX143"/>
      <c r="NXY143"/>
      <c r="NXZ143"/>
      <c r="NYA143"/>
      <c r="NYB143"/>
      <c r="NYC143"/>
      <c r="NYD143"/>
      <c r="NYE143"/>
      <c r="NYF143"/>
      <c r="NYG143"/>
      <c r="NYH143"/>
      <c r="NYI143"/>
      <c r="NYJ143"/>
      <c r="NYK143"/>
      <c r="NYL143"/>
      <c r="NYM143"/>
      <c r="NYN143"/>
      <c r="NYO143"/>
      <c r="NYP143"/>
      <c r="NYQ143"/>
      <c r="NYR143"/>
      <c r="NYS143"/>
      <c r="NYT143"/>
      <c r="NYU143"/>
      <c r="NYV143"/>
      <c r="NYW143"/>
      <c r="NYX143"/>
      <c r="NYY143"/>
      <c r="NYZ143"/>
      <c r="NZA143"/>
      <c r="NZB143"/>
      <c r="NZC143"/>
      <c r="NZD143"/>
      <c r="NZE143"/>
      <c r="NZF143"/>
      <c r="NZG143"/>
      <c r="NZH143"/>
      <c r="NZI143"/>
      <c r="NZJ143"/>
      <c r="NZK143"/>
      <c r="NZL143"/>
      <c r="NZM143"/>
      <c r="NZN143"/>
      <c r="NZO143"/>
      <c r="NZP143"/>
      <c r="NZQ143"/>
      <c r="NZR143"/>
      <c r="NZS143"/>
      <c r="NZT143"/>
      <c r="NZU143"/>
      <c r="NZV143"/>
      <c r="NZW143"/>
      <c r="NZX143"/>
      <c r="NZY143"/>
      <c r="NZZ143"/>
      <c r="OAA143"/>
      <c r="OAB143"/>
      <c r="OAC143"/>
      <c r="OAD143"/>
      <c r="OAE143"/>
      <c r="OAF143"/>
      <c r="OAG143"/>
      <c r="OAH143"/>
      <c r="OAI143"/>
      <c r="OAJ143"/>
      <c r="OAK143"/>
      <c r="OAL143"/>
      <c r="OAM143"/>
      <c r="OAN143"/>
      <c r="OAO143"/>
      <c r="OAP143"/>
      <c r="OAQ143"/>
      <c r="OAR143"/>
      <c r="OAS143"/>
      <c r="OAT143"/>
      <c r="OAU143"/>
      <c r="OAV143"/>
      <c r="OAW143"/>
      <c r="OAX143"/>
      <c r="OAY143"/>
      <c r="OAZ143"/>
      <c r="OBA143"/>
      <c r="OBB143"/>
      <c r="OBC143"/>
      <c r="OBD143"/>
      <c r="OBE143"/>
      <c r="OBF143"/>
      <c r="OBG143"/>
      <c r="OBH143"/>
      <c r="OBI143"/>
      <c r="OBJ143"/>
      <c r="OBK143"/>
      <c r="OBL143"/>
      <c r="OBM143"/>
      <c r="OBN143"/>
      <c r="OBO143"/>
      <c r="OBP143"/>
      <c r="OBQ143"/>
      <c r="OBR143"/>
      <c r="OBS143"/>
      <c r="OBT143"/>
      <c r="OBU143"/>
      <c r="OBV143"/>
      <c r="OBW143"/>
      <c r="OBX143"/>
      <c r="OBY143"/>
      <c r="OBZ143"/>
      <c r="OCA143"/>
      <c r="OCB143"/>
      <c r="OCC143"/>
      <c r="OCD143"/>
      <c r="OCE143"/>
      <c r="OCF143"/>
      <c r="OCG143"/>
      <c r="OCH143"/>
      <c r="OCI143"/>
      <c r="OCJ143"/>
      <c r="OCK143"/>
      <c r="OCL143"/>
      <c r="OCM143"/>
      <c r="OCN143"/>
      <c r="OCO143"/>
      <c r="OCP143"/>
      <c r="OCQ143"/>
      <c r="OCR143"/>
      <c r="OCS143"/>
      <c r="OCT143"/>
      <c r="OCU143"/>
      <c r="OCV143"/>
      <c r="OCW143"/>
      <c r="OCX143"/>
      <c r="OCY143"/>
      <c r="OCZ143"/>
      <c r="ODA143"/>
      <c r="ODB143"/>
      <c r="ODC143"/>
      <c r="ODD143"/>
      <c r="ODE143"/>
      <c r="ODF143"/>
      <c r="ODG143"/>
      <c r="ODH143"/>
      <c r="ODI143"/>
      <c r="ODJ143"/>
      <c r="ODK143"/>
      <c r="ODL143"/>
      <c r="ODM143"/>
      <c r="ODN143"/>
      <c r="ODO143"/>
      <c r="ODP143"/>
      <c r="ODQ143"/>
      <c r="ODR143"/>
      <c r="ODS143"/>
      <c r="ODT143"/>
      <c r="ODU143"/>
      <c r="ODV143"/>
      <c r="ODW143"/>
      <c r="ODX143"/>
      <c r="ODY143"/>
      <c r="ODZ143"/>
      <c r="OEA143"/>
      <c r="OEB143"/>
      <c r="OEC143"/>
      <c r="OED143"/>
      <c r="OEE143"/>
      <c r="OEF143"/>
      <c r="OEG143"/>
      <c r="OEH143"/>
      <c r="OEI143"/>
      <c r="OEJ143"/>
      <c r="OEK143"/>
      <c r="OEL143"/>
      <c r="OEM143"/>
      <c r="OEN143"/>
      <c r="OEO143"/>
      <c r="OEP143"/>
      <c r="OEQ143"/>
      <c r="OER143"/>
      <c r="OES143"/>
      <c r="OET143"/>
      <c r="OEU143"/>
      <c r="OEV143"/>
      <c r="OEW143"/>
      <c r="OEX143"/>
      <c r="OEY143"/>
      <c r="OEZ143"/>
      <c r="OFA143"/>
      <c r="OFB143"/>
      <c r="OFC143"/>
      <c r="OFD143"/>
      <c r="OFE143"/>
      <c r="OFF143"/>
      <c r="OFG143"/>
      <c r="OFH143"/>
      <c r="OFI143"/>
      <c r="OFJ143"/>
      <c r="OFK143"/>
      <c r="OFL143"/>
      <c r="OFM143"/>
      <c r="OFN143"/>
      <c r="OFO143"/>
      <c r="OFP143"/>
      <c r="OFQ143"/>
      <c r="OFR143"/>
      <c r="OFS143"/>
      <c r="OFT143"/>
      <c r="OFU143"/>
      <c r="OFV143"/>
      <c r="OFW143"/>
      <c r="OFX143"/>
      <c r="OFY143"/>
      <c r="OFZ143"/>
      <c r="OGA143"/>
      <c r="OGB143"/>
      <c r="OGC143"/>
      <c r="OGD143"/>
      <c r="OGE143"/>
      <c r="OGF143"/>
      <c r="OGG143"/>
      <c r="OGH143"/>
      <c r="OGI143"/>
      <c r="OGJ143"/>
      <c r="OGK143"/>
      <c r="OGL143"/>
      <c r="OGM143"/>
      <c r="OGN143"/>
      <c r="OGO143"/>
      <c r="OGP143"/>
      <c r="OGQ143"/>
      <c r="OGR143"/>
      <c r="OGS143"/>
      <c r="OGT143"/>
      <c r="OGU143"/>
      <c r="OGV143"/>
      <c r="OGW143"/>
      <c r="OGX143"/>
      <c r="OGY143"/>
      <c r="OGZ143"/>
      <c r="OHA143"/>
      <c r="OHB143"/>
      <c r="OHC143"/>
      <c r="OHD143"/>
      <c r="OHE143"/>
      <c r="OHF143"/>
      <c r="OHG143"/>
      <c r="OHH143"/>
      <c r="OHI143"/>
      <c r="OHJ143"/>
      <c r="OHK143"/>
      <c r="OHL143"/>
      <c r="OHM143"/>
      <c r="OHN143"/>
      <c r="OHO143"/>
      <c r="OHP143"/>
      <c r="OHQ143"/>
      <c r="OHR143"/>
      <c r="OHS143"/>
      <c r="OHT143"/>
      <c r="OHU143"/>
      <c r="OHV143"/>
      <c r="OHW143"/>
      <c r="OHX143"/>
      <c r="OHY143"/>
      <c r="OHZ143"/>
      <c r="OIA143"/>
      <c r="OIB143"/>
      <c r="OIC143"/>
      <c r="OID143"/>
      <c r="OIE143"/>
      <c r="OIF143"/>
      <c r="OIG143"/>
      <c r="OIH143"/>
      <c r="OII143"/>
      <c r="OIJ143"/>
      <c r="OIK143"/>
      <c r="OIL143"/>
      <c r="OIM143"/>
      <c r="OIN143"/>
      <c r="OIO143"/>
      <c r="OIP143"/>
      <c r="OIQ143"/>
      <c r="OIR143"/>
      <c r="OIS143"/>
      <c r="OIT143"/>
      <c r="OIU143"/>
      <c r="OIV143"/>
      <c r="OIW143"/>
      <c r="OIX143"/>
      <c r="OIY143"/>
      <c r="OIZ143"/>
      <c r="OJA143"/>
      <c r="OJB143"/>
      <c r="OJC143"/>
      <c r="OJD143"/>
      <c r="OJE143"/>
      <c r="OJF143"/>
      <c r="OJG143"/>
      <c r="OJH143"/>
      <c r="OJI143"/>
      <c r="OJJ143"/>
      <c r="OJK143"/>
      <c r="OJL143"/>
      <c r="OJM143"/>
      <c r="OJN143"/>
      <c r="OJO143"/>
      <c r="OJP143"/>
      <c r="OJQ143"/>
      <c r="OJR143"/>
      <c r="OJS143"/>
      <c r="OJT143"/>
      <c r="OJU143"/>
      <c r="OJV143"/>
      <c r="OJW143"/>
      <c r="OJX143"/>
      <c r="OJY143"/>
      <c r="OJZ143"/>
      <c r="OKA143"/>
      <c r="OKB143"/>
      <c r="OKC143"/>
      <c r="OKD143"/>
      <c r="OKE143"/>
      <c r="OKF143"/>
      <c r="OKG143"/>
      <c r="OKH143"/>
      <c r="OKI143"/>
      <c r="OKJ143"/>
      <c r="OKK143"/>
      <c r="OKL143"/>
      <c r="OKM143"/>
      <c r="OKN143"/>
      <c r="OKO143"/>
      <c r="OKP143"/>
      <c r="OKQ143"/>
      <c r="OKR143"/>
      <c r="OKS143"/>
      <c r="OKT143"/>
      <c r="OKU143"/>
      <c r="OKV143"/>
      <c r="OKW143"/>
      <c r="OKX143"/>
      <c r="OKY143"/>
      <c r="OKZ143"/>
      <c r="OLA143"/>
      <c r="OLB143"/>
      <c r="OLC143"/>
      <c r="OLD143"/>
      <c r="OLE143"/>
      <c r="OLF143"/>
      <c r="OLG143"/>
      <c r="OLH143"/>
      <c r="OLI143"/>
      <c r="OLJ143"/>
      <c r="OLK143"/>
      <c r="OLL143"/>
      <c r="OLM143"/>
      <c r="OLN143"/>
      <c r="OLO143"/>
      <c r="OLP143"/>
      <c r="OLQ143"/>
      <c r="OLR143"/>
      <c r="OLS143"/>
      <c r="OLT143"/>
      <c r="OLU143"/>
      <c r="OLV143"/>
      <c r="OLW143"/>
      <c r="OLX143"/>
      <c r="OLY143"/>
      <c r="OLZ143"/>
      <c r="OMA143"/>
      <c r="OMB143"/>
      <c r="OMC143"/>
      <c r="OMD143"/>
      <c r="OME143"/>
      <c r="OMF143"/>
      <c r="OMG143"/>
      <c r="OMH143"/>
      <c r="OMI143"/>
      <c r="OMJ143"/>
      <c r="OMK143"/>
      <c r="OML143"/>
      <c r="OMM143"/>
      <c r="OMN143"/>
      <c r="OMO143"/>
      <c r="OMP143"/>
      <c r="OMQ143"/>
      <c r="OMR143"/>
      <c r="OMS143"/>
      <c r="OMT143"/>
      <c r="OMU143"/>
      <c r="OMV143"/>
      <c r="OMW143"/>
      <c r="OMX143"/>
      <c r="OMY143"/>
      <c r="OMZ143"/>
      <c r="ONA143"/>
      <c r="ONB143"/>
      <c r="ONC143"/>
      <c r="OND143"/>
      <c r="ONE143"/>
      <c r="ONF143"/>
      <c r="ONG143"/>
      <c r="ONH143"/>
      <c r="ONI143"/>
      <c r="ONJ143"/>
      <c r="ONK143"/>
      <c r="ONL143"/>
      <c r="ONM143"/>
      <c r="ONN143"/>
      <c r="ONO143"/>
      <c r="ONP143"/>
      <c r="ONQ143"/>
      <c r="ONR143"/>
      <c r="ONS143"/>
      <c r="ONT143"/>
      <c r="ONU143"/>
      <c r="ONV143"/>
      <c r="ONW143"/>
      <c r="ONX143"/>
      <c r="ONY143"/>
      <c r="ONZ143"/>
      <c r="OOA143"/>
      <c r="OOB143"/>
      <c r="OOC143"/>
      <c r="OOD143"/>
      <c r="OOE143"/>
      <c r="OOF143"/>
      <c r="OOG143"/>
      <c r="OOH143"/>
      <c r="OOI143"/>
      <c r="OOJ143"/>
      <c r="OOK143"/>
      <c r="OOL143"/>
      <c r="OOM143"/>
      <c r="OON143"/>
      <c r="OOO143"/>
      <c r="OOP143"/>
      <c r="OOQ143"/>
      <c r="OOR143"/>
      <c r="OOS143"/>
      <c r="OOT143"/>
      <c r="OOU143"/>
      <c r="OOV143"/>
      <c r="OOW143"/>
      <c r="OOX143"/>
      <c r="OOY143"/>
      <c r="OOZ143"/>
      <c r="OPA143"/>
      <c r="OPB143"/>
      <c r="OPC143"/>
      <c r="OPD143"/>
      <c r="OPE143"/>
      <c r="OPF143"/>
      <c r="OPG143"/>
      <c r="OPH143"/>
      <c r="OPI143"/>
      <c r="OPJ143"/>
      <c r="OPK143"/>
      <c r="OPL143"/>
      <c r="OPM143"/>
      <c r="OPN143"/>
      <c r="OPO143"/>
      <c r="OPP143"/>
      <c r="OPQ143"/>
      <c r="OPR143"/>
      <c r="OPS143"/>
      <c r="OPT143"/>
      <c r="OPU143"/>
      <c r="OPV143"/>
      <c r="OPW143"/>
      <c r="OPX143"/>
      <c r="OPY143"/>
      <c r="OPZ143"/>
      <c r="OQA143"/>
      <c r="OQB143"/>
      <c r="OQC143"/>
      <c r="OQD143"/>
      <c r="OQE143"/>
      <c r="OQF143"/>
      <c r="OQG143"/>
      <c r="OQH143"/>
      <c r="OQI143"/>
      <c r="OQJ143"/>
      <c r="OQK143"/>
      <c r="OQL143"/>
      <c r="OQM143"/>
      <c r="OQN143"/>
      <c r="OQO143"/>
      <c r="OQP143"/>
      <c r="OQQ143"/>
      <c r="OQR143"/>
      <c r="OQS143"/>
      <c r="OQT143"/>
      <c r="OQU143"/>
      <c r="OQV143"/>
      <c r="OQW143"/>
      <c r="OQX143"/>
      <c r="OQY143"/>
      <c r="OQZ143"/>
      <c r="ORA143"/>
      <c r="ORB143"/>
      <c r="ORC143"/>
      <c r="ORD143"/>
      <c r="ORE143"/>
      <c r="ORF143"/>
      <c r="ORG143"/>
      <c r="ORH143"/>
      <c r="ORI143"/>
      <c r="ORJ143"/>
      <c r="ORK143"/>
      <c r="ORL143"/>
      <c r="ORM143"/>
      <c r="ORN143"/>
      <c r="ORO143"/>
      <c r="ORP143"/>
      <c r="ORQ143"/>
      <c r="ORR143"/>
      <c r="ORS143"/>
      <c r="ORT143"/>
      <c r="ORU143"/>
      <c r="ORV143"/>
      <c r="ORW143"/>
      <c r="ORX143"/>
      <c r="ORY143"/>
      <c r="ORZ143"/>
      <c r="OSA143"/>
      <c r="OSB143"/>
      <c r="OSC143"/>
      <c r="OSD143"/>
      <c r="OSE143"/>
      <c r="OSF143"/>
      <c r="OSG143"/>
      <c r="OSH143"/>
      <c r="OSI143"/>
      <c r="OSJ143"/>
      <c r="OSK143"/>
      <c r="OSL143"/>
      <c r="OSM143"/>
      <c r="OSN143"/>
      <c r="OSO143"/>
      <c r="OSP143"/>
      <c r="OSQ143"/>
      <c r="OSR143"/>
      <c r="OSS143"/>
      <c r="OST143"/>
      <c r="OSU143"/>
      <c r="OSV143"/>
      <c r="OSW143"/>
      <c r="OSX143"/>
      <c r="OSY143"/>
      <c r="OSZ143"/>
      <c r="OTA143"/>
      <c r="OTB143"/>
      <c r="OTC143"/>
      <c r="OTD143"/>
      <c r="OTE143"/>
      <c r="OTF143"/>
      <c r="OTG143"/>
      <c r="OTH143"/>
      <c r="OTI143"/>
      <c r="OTJ143"/>
      <c r="OTK143"/>
      <c r="OTL143"/>
      <c r="OTM143"/>
      <c r="OTN143"/>
      <c r="OTO143"/>
      <c r="OTP143"/>
      <c r="OTQ143"/>
      <c r="OTR143"/>
      <c r="OTS143"/>
      <c r="OTT143"/>
      <c r="OTU143"/>
      <c r="OTV143"/>
      <c r="OTW143"/>
      <c r="OTX143"/>
      <c r="OTY143"/>
      <c r="OTZ143"/>
      <c r="OUA143"/>
      <c r="OUB143"/>
      <c r="OUC143"/>
      <c r="OUD143"/>
      <c r="OUE143"/>
      <c r="OUF143"/>
      <c r="OUG143"/>
      <c r="OUH143"/>
      <c r="OUI143"/>
      <c r="OUJ143"/>
      <c r="OUK143"/>
      <c r="OUL143"/>
      <c r="OUM143"/>
      <c r="OUN143"/>
      <c r="OUO143"/>
      <c r="OUP143"/>
      <c r="OUQ143"/>
      <c r="OUR143"/>
      <c r="OUS143"/>
      <c r="OUT143"/>
      <c r="OUU143"/>
      <c r="OUV143"/>
      <c r="OUW143"/>
      <c r="OUX143"/>
      <c r="OUY143"/>
      <c r="OUZ143"/>
      <c r="OVA143"/>
      <c r="OVB143"/>
      <c r="OVC143"/>
      <c r="OVD143"/>
      <c r="OVE143"/>
      <c r="OVF143"/>
      <c r="OVG143"/>
      <c r="OVH143"/>
      <c r="OVI143"/>
      <c r="OVJ143"/>
      <c r="OVK143"/>
      <c r="OVL143"/>
      <c r="OVM143"/>
      <c r="OVN143"/>
      <c r="OVO143"/>
      <c r="OVP143"/>
      <c r="OVQ143"/>
      <c r="OVR143"/>
      <c r="OVS143"/>
      <c r="OVT143"/>
      <c r="OVU143"/>
      <c r="OVV143"/>
      <c r="OVW143"/>
      <c r="OVX143"/>
      <c r="OVY143"/>
      <c r="OVZ143"/>
      <c r="OWA143"/>
      <c r="OWB143"/>
      <c r="OWC143"/>
      <c r="OWD143"/>
      <c r="OWE143"/>
      <c r="OWF143"/>
      <c r="OWG143"/>
      <c r="OWH143"/>
      <c r="OWI143"/>
      <c r="OWJ143"/>
      <c r="OWK143"/>
      <c r="OWL143"/>
      <c r="OWM143"/>
      <c r="OWN143"/>
      <c r="OWO143"/>
      <c r="OWP143"/>
      <c r="OWQ143"/>
      <c r="OWR143"/>
      <c r="OWS143"/>
      <c r="OWT143"/>
      <c r="OWU143"/>
      <c r="OWV143"/>
      <c r="OWW143"/>
      <c r="OWX143"/>
      <c r="OWY143"/>
      <c r="OWZ143"/>
      <c r="OXA143"/>
      <c r="OXB143"/>
      <c r="OXC143"/>
      <c r="OXD143"/>
      <c r="OXE143"/>
      <c r="OXF143"/>
      <c r="OXG143"/>
      <c r="OXH143"/>
      <c r="OXI143"/>
      <c r="OXJ143"/>
      <c r="OXK143"/>
      <c r="OXL143"/>
      <c r="OXM143"/>
      <c r="OXN143"/>
      <c r="OXO143"/>
      <c r="OXP143"/>
      <c r="OXQ143"/>
      <c r="OXR143"/>
      <c r="OXS143"/>
      <c r="OXT143"/>
      <c r="OXU143"/>
      <c r="OXV143"/>
      <c r="OXW143"/>
      <c r="OXX143"/>
      <c r="OXY143"/>
      <c r="OXZ143"/>
      <c r="OYA143"/>
      <c r="OYB143"/>
      <c r="OYC143"/>
      <c r="OYD143"/>
      <c r="OYE143"/>
      <c r="OYF143"/>
      <c r="OYG143"/>
      <c r="OYH143"/>
      <c r="OYI143"/>
      <c r="OYJ143"/>
      <c r="OYK143"/>
      <c r="OYL143"/>
      <c r="OYM143"/>
      <c r="OYN143"/>
      <c r="OYO143"/>
      <c r="OYP143"/>
      <c r="OYQ143"/>
      <c r="OYR143"/>
      <c r="OYS143"/>
      <c r="OYT143"/>
      <c r="OYU143"/>
      <c r="OYV143"/>
      <c r="OYW143"/>
      <c r="OYX143"/>
      <c r="OYY143"/>
      <c r="OYZ143"/>
      <c r="OZA143"/>
      <c r="OZB143"/>
      <c r="OZC143"/>
      <c r="OZD143"/>
      <c r="OZE143"/>
      <c r="OZF143"/>
      <c r="OZG143"/>
      <c r="OZH143"/>
      <c r="OZI143"/>
      <c r="OZJ143"/>
      <c r="OZK143"/>
      <c r="OZL143"/>
      <c r="OZM143"/>
      <c r="OZN143"/>
      <c r="OZO143"/>
      <c r="OZP143"/>
      <c r="OZQ143"/>
      <c r="OZR143"/>
      <c r="OZS143"/>
      <c r="OZT143"/>
      <c r="OZU143"/>
      <c r="OZV143"/>
      <c r="OZW143"/>
      <c r="OZX143"/>
      <c r="OZY143"/>
      <c r="OZZ143"/>
      <c r="PAA143"/>
      <c r="PAB143"/>
      <c r="PAC143"/>
      <c r="PAD143"/>
      <c r="PAE143"/>
      <c r="PAF143"/>
      <c r="PAG143"/>
      <c r="PAH143"/>
      <c r="PAI143"/>
      <c r="PAJ143"/>
      <c r="PAK143"/>
      <c r="PAL143"/>
      <c r="PAM143"/>
      <c r="PAN143"/>
      <c r="PAO143"/>
      <c r="PAP143"/>
      <c r="PAQ143"/>
      <c r="PAR143"/>
      <c r="PAS143"/>
      <c r="PAT143"/>
      <c r="PAU143"/>
      <c r="PAV143"/>
      <c r="PAW143"/>
      <c r="PAX143"/>
      <c r="PAY143"/>
      <c r="PAZ143"/>
      <c r="PBA143"/>
      <c r="PBB143"/>
      <c r="PBC143"/>
      <c r="PBD143"/>
      <c r="PBE143"/>
      <c r="PBF143"/>
      <c r="PBG143"/>
      <c r="PBH143"/>
      <c r="PBI143"/>
      <c r="PBJ143"/>
      <c r="PBK143"/>
      <c r="PBL143"/>
      <c r="PBM143"/>
      <c r="PBN143"/>
      <c r="PBO143"/>
      <c r="PBP143"/>
      <c r="PBQ143"/>
      <c r="PBR143"/>
      <c r="PBS143"/>
      <c r="PBT143"/>
      <c r="PBU143"/>
      <c r="PBV143"/>
      <c r="PBW143"/>
      <c r="PBX143"/>
      <c r="PBY143"/>
      <c r="PBZ143"/>
      <c r="PCA143"/>
      <c r="PCB143"/>
      <c r="PCC143"/>
      <c r="PCD143"/>
      <c r="PCE143"/>
      <c r="PCF143"/>
      <c r="PCG143"/>
      <c r="PCH143"/>
      <c r="PCI143"/>
      <c r="PCJ143"/>
      <c r="PCK143"/>
      <c r="PCL143"/>
      <c r="PCM143"/>
      <c r="PCN143"/>
      <c r="PCO143"/>
      <c r="PCP143"/>
      <c r="PCQ143"/>
      <c r="PCR143"/>
      <c r="PCS143"/>
      <c r="PCT143"/>
      <c r="PCU143"/>
      <c r="PCV143"/>
      <c r="PCW143"/>
      <c r="PCX143"/>
      <c r="PCY143"/>
      <c r="PCZ143"/>
      <c r="PDA143"/>
      <c r="PDB143"/>
      <c r="PDC143"/>
      <c r="PDD143"/>
      <c r="PDE143"/>
      <c r="PDF143"/>
      <c r="PDG143"/>
      <c r="PDH143"/>
      <c r="PDI143"/>
      <c r="PDJ143"/>
      <c r="PDK143"/>
      <c r="PDL143"/>
      <c r="PDM143"/>
      <c r="PDN143"/>
      <c r="PDO143"/>
      <c r="PDP143"/>
      <c r="PDQ143"/>
      <c r="PDR143"/>
      <c r="PDS143"/>
      <c r="PDT143"/>
      <c r="PDU143"/>
      <c r="PDV143"/>
      <c r="PDW143"/>
      <c r="PDX143"/>
      <c r="PDY143"/>
      <c r="PDZ143"/>
      <c r="PEA143"/>
      <c r="PEB143"/>
      <c r="PEC143"/>
      <c r="PED143"/>
      <c r="PEE143"/>
      <c r="PEF143"/>
      <c r="PEG143"/>
      <c r="PEH143"/>
      <c r="PEI143"/>
      <c r="PEJ143"/>
      <c r="PEK143"/>
      <c r="PEL143"/>
      <c r="PEM143"/>
      <c r="PEN143"/>
      <c r="PEO143"/>
      <c r="PEP143"/>
      <c r="PEQ143"/>
      <c r="PER143"/>
      <c r="PES143"/>
      <c r="PET143"/>
      <c r="PEU143"/>
      <c r="PEV143"/>
      <c r="PEW143"/>
      <c r="PEX143"/>
      <c r="PEY143"/>
      <c r="PEZ143"/>
      <c r="PFA143"/>
      <c r="PFB143"/>
      <c r="PFC143"/>
      <c r="PFD143"/>
      <c r="PFE143"/>
      <c r="PFF143"/>
      <c r="PFG143"/>
      <c r="PFH143"/>
      <c r="PFI143"/>
      <c r="PFJ143"/>
      <c r="PFK143"/>
      <c r="PFL143"/>
      <c r="PFM143"/>
      <c r="PFN143"/>
      <c r="PFO143"/>
      <c r="PFP143"/>
      <c r="PFQ143"/>
      <c r="PFR143"/>
      <c r="PFS143"/>
      <c r="PFT143"/>
      <c r="PFU143"/>
      <c r="PFV143"/>
      <c r="PFW143"/>
      <c r="PFX143"/>
      <c r="PFY143"/>
      <c r="PFZ143"/>
      <c r="PGA143"/>
      <c r="PGB143"/>
      <c r="PGC143"/>
      <c r="PGD143"/>
      <c r="PGE143"/>
      <c r="PGF143"/>
      <c r="PGG143"/>
      <c r="PGH143"/>
      <c r="PGI143"/>
      <c r="PGJ143"/>
      <c r="PGK143"/>
      <c r="PGL143"/>
      <c r="PGM143"/>
      <c r="PGN143"/>
      <c r="PGO143"/>
      <c r="PGP143"/>
      <c r="PGQ143"/>
      <c r="PGR143"/>
      <c r="PGS143"/>
      <c r="PGT143"/>
      <c r="PGU143"/>
      <c r="PGV143"/>
      <c r="PGW143"/>
      <c r="PGX143"/>
      <c r="PGY143"/>
      <c r="PGZ143"/>
      <c r="PHA143"/>
      <c r="PHB143"/>
      <c r="PHC143"/>
      <c r="PHD143"/>
      <c r="PHE143"/>
      <c r="PHF143"/>
      <c r="PHG143"/>
      <c r="PHH143"/>
      <c r="PHI143"/>
      <c r="PHJ143"/>
      <c r="PHK143"/>
      <c r="PHL143"/>
      <c r="PHM143"/>
      <c r="PHN143"/>
      <c r="PHO143"/>
      <c r="PHP143"/>
      <c r="PHQ143"/>
      <c r="PHR143"/>
      <c r="PHS143"/>
      <c r="PHT143"/>
      <c r="PHU143"/>
      <c r="PHV143"/>
      <c r="PHW143"/>
      <c r="PHX143"/>
      <c r="PHY143"/>
      <c r="PHZ143"/>
      <c r="PIA143"/>
      <c r="PIB143"/>
      <c r="PIC143"/>
      <c r="PID143"/>
      <c r="PIE143"/>
      <c r="PIF143"/>
      <c r="PIG143"/>
      <c r="PIH143"/>
      <c r="PII143"/>
      <c r="PIJ143"/>
      <c r="PIK143"/>
      <c r="PIL143"/>
      <c r="PIM143"/>
      <c r="PIN143"/>
      <c r="PIO143"/>
      <c r="PIP143"/>
      <c r="PIQ143"/>
      <c r="PIR143"/>
      <c r="PIS143"/>
      <c r="PIT143"/>
      <c r="PIU143"/>
      <c r="PIV143"/>
      <c r="PIW143"/>
      <c r="PIX143"/>
      <c r="PIY143"/>
      <c r="PIZ143"/>
      <c r="PJA143"/>
      <c r="PJB143"/>
      <c r="PJC143"/>
      <c r="PJD143"/>
      <c r="PJE143"/>
      <c r="PJF143"/>
      <c r="PJG143"/>
      <c r="PJH143"/>
      <c r="PJI143"/>
      <c r="PJJ143"/>
      <c r="PJK143"/>
      <c r="PJL143"/>
      <c r="PJM143"/>
      <c r="PJN143"/>
      <c r="PJO143"/>
      <c r="PJP143"/>
      <c r="PJQ143"/>
      <c r="PJR143"/>
      <c r="PJS143"/>
      <c r="PJT143"/>
      <c r="PJU143"/>
      <c r="PJV143"/>
      <c r="PJW143"/>
      <c r="PJX143"/>
      <c r="PJY143"/>
      <c r="PJZ143"/>
      <c r="PKA143"/>
      <c r="PKB143"/>
      <c r="PKC143"/>
      <c r="PKD143"/>
      <c r="PKE143"/>
      <c r="PKF143"/>
      <c r="PKG143"/>
      <c r="PKH143"/>
      <c r="PKI143"/>
      <c r="PKJ143"/>
      <c r="PKK143"/>
      <c r="PKL143"/>
      <c r="PKM143"/>
      <c r="PKN143"/>
      <c r="PKO143"/>
      <c r="PKP143"/>
      <c r="PKQ143"/>
      <c r="PKR143"/>
      <c r="PKS143"/>
      <c r="PKT143"/>
      <c r="PKU143"/>
      <c r="PKV143"/>
      <c r="PKW143"/>
      <c r="PKX143"/>
      <c r="PKY143"/>
      <c r="PKZ143"/>
      <c r="PLA143"/>
      <c r="PLB143"/>
      <c r="PLC143"/>
      <c r="PLD143"/>
      <c r="PLE143"/>
      <c r="PLF143"/>
      <c r="PLG143"/>
      <c r="PLH143"/>
      <c r="PLI143"/>
      <c r="PLJ143"/>
      <c r="PLK143"/>
      <c r="PLL143"/>
      <c r="PLM143"/>
      <c r="PLN143"/>
      <c r="PLO143"/>
      <c r="PLP143"/>
      <c r="PLQ143"/>
      <c r="PLR143"/>
      <c r="PLS143"/>
      <c r="PLT143"/>
      <c r="PLU143"/>
      <c r="PLV143"/>
      <c r="PLW143"/>
      <c r="PLX143"/>
      <c r="PLY143"/>
      <c r="PLZ143"/>
      <c r="PMA143"/>
      <c r="PMB143"/>
      <c r="PMC143"/>
      <c r="PMD143"/>
      <c r="PME143"/>
      <c r="PMF143"/>
      <c r="PMG143"/>
      <c r="PMH143"/>
      <c r="PMI143"/>
      <c r="PMJ143"/>
      <c r="PMK143"/>
      <c r="PML143"/>
      <c r="PMM143"/>
      <c r="PMN143"/>
      <c r="PMO143"/>
      <c r="PMP143"/>
      <c r="PMQ143"/>
      <c r="PMR143"/>
      <c r="PMS143"/>
      <c r="PMT143"/>
      <c r="PMU143"/>
      <c r="PMV143"/>
      <c r="PMW143"/>
      <c r="PMX143"/>
      <c r="PMY143"/>
      <c r="PMZ143"/>
      <c r="PNA143"/>
      <c r="PNB143"/>
      <c r="PNC143"/>
      <c r="PND143"/>
      <c r="PNE143"/>
      <c r="PNF143"/>
      <c r="PNG143"/>
      <c r="PNH143"/>
      <c r="PNI143"/>
      <c r="PNJ143"/>
      <c r="PNK143"/>
      <c r="PNL143"/>
      <c r="PNM143"/>
      <c r="PNN143"/>
      <c r="PNO143"/>
      <c r="PNP143"/>
      <c r="PNQ143"/>
      <c r="PNR143"/>
      <c r="PNS143"/>
      <c r="PNT143"/>
      <c r="PNU143"/>
      <c r="PNV143"/>
      <c r="PNW143"/>
      <c r="PNX143"/>
      <c r="PNY143"/>
      <c r="PNZ143"/>
      <c r="POA143"/>
      <c r="POB143"/>
      <c r="POC143"/>
      <c r="POD143"/>
      <c r="POE143"/>
      <c r="POF143"/>
      <c r="POG143"/>
      <c r="POH143"/>
      <c r="POI143"/>
      <c r="POJ143"/>
      <c r="POK143"/>
      <c r="POL143"/>
      <c r="POM143"/>
      <c r="PON143"/>
      <c r="POO143"/>
      <c r="POP143"/>
      <c r="POQ143"/>
      <c r="POR143"/>
      <c r="POS143"/>
      <c r="POT143"/>
      <c r="POU143"/>
      <c r="POV143"/>
      <c r="POW143"/>
      <c r="POX143"/>
      <c r="POY143"/>
      <c r="POZ143"/>
      <c r="PPA143"/>
      <c r="PPB143"/>
      <c r="PPC143"/>
      <c r="PPD143"/>
      <c r="PPE143"/>
      <c r="PPF143"/>
      <c r="PPG143"/>
      <c r="PPH143"/>
      <c r="PPI143"/>
      <c r="PPJ143"/>
      <c r="PPK143"/>
      <c r="PPL143"/>
      <c r="PPM143"/>
      <c r="PPN143"/>
      <c r="PPO143"/>
      <c r="PPP143"/>
      <c r="PPQ143"/>
      <c r="PPR143"/>
      <c r="PPS143"/>
      <c r="PPT143"/>
      <c r="PPU143"/>
      <c r="PPV143"/>
      <c r="PPW143"/>
      <c r="PPX143"/>
      <c r="PPY143"/>
      <c r="PPZ143"/>
      <c r="PQA143"/>
      <c r="PQB143"/>
      <c r="PQC143"/>
      <c r="PQD143"/>
      <c r="PQE143"/>
      <c r="PQF143"/>
      <c r="PQG143"/>
      <c r="PQH143"/>
      <c r="PQI143"/>
      <c r="PQJ143"/>
      <c r="PQK143"/>
      <c r="PQL143"/>
      <c r="PQM143"/>
      <c r="PQN143"/>
      <c r="PQO143"/>
      <c r="PQP143"/>
      <c r="PQQ143"/>
      <c r="PQR143"/>
      <c r="PQS143"/>
      <c r="PQT143"/>
      <c r="PQU143"/>
      <c r="PQV143"/>
      <c r="PQW143"/>
      <c r="PQX143"/>
      <c r="PQY143"/>
      <c r="PQZ143"/>
      <c r="PRA143"/>
      <c r="PRB143"/>
      <c r="PRC143"/>
      <c r="PRD143"/>
      <c r="PRE143"/>
      <c r="PRF143"/>
      <c r="PRG143"/>
      <c r="PRH143"/>
      <c r="PRI143"/>
      <c r="PRJ143"/>
      <c r="PRK143"/>
      <c r="PRL143"/>
      <c r="PRM143"/>
      <c r="PRN143"/>
      <c r="PRO143"/>
      <c r="PRP143"/>
      <c r="PRQ143"/>
      <c r="PRR143"/>
      <c r="PRS143"/>
      <c r="PRT143"/>
      <c r="PRU143"/>
      <c r="PRV143"/>
      <c r="PRW143"/>
      <c r="PRX143"/>
      <c r="PRY143"/>
      <c r="PRZ143"/>
      <c r="PSA143"/>
      <c r="PSB143"/>
      <c r="PSC143"/>
      <c r="PSD143"/>
      <c r="PSE143"/>
      <c r="PSF143"/>
      <c r="PSG143"/>
      <c r="PSH143"/>
      <c r="PSI143"/>
      <c r="PSJ143"/>
      <c r="PSK143"/>
      <c r="PSL143"/>
      <c r="PSM143"/>
      <c r="PSN143"/>
      <c r="PSO143"/>
      <c r="PSP143"/>
      <c r="PSQ143"/>
      <c r="PSR143"/>
      <c r="PSS143"/>
      <c r="PST143"/>
      <c r="PSU143"/>
      <c r="PSV143"/>
      <c r="PSW143"/>
      <c r="PSX143"/>
      <c r="PSY143"/>
      <c r="PSZ143"/>
      <c r="PTA143"/>
      <c r="PTB143"/>
      <c r="PTC143"/>
      <c r="PTD143"/>
      <c r="PTE143"/>
      <c r="PTF143"/>
      <c r="PTG143"/>
      <c r="PTH143"/>
      <c r="PTI143"/>
      <c r="PTJ143"/>
      <c r="PTK143"/>
      <c r="PTL143"/>
      <c r="PTM143"/>
      <c r="PTN143"/>
      <c r="PTO143"/>
      <c r="PTP143"/>
      <c r="PTQ143"/>
      <c r="PTR143"/>
      <c r="PTS143"/>
      <c r="PTT143"/>
      <c r="PTU143"/>
      <c r="PTV143"/>
      <c r="PTW143"/>
      <c r="PTX143"/>
      <c r="PTY143"/>
      <c r="PTZ143"/>
      <c r="PUA143"/>
      <c r="PUB143"/>
      <c r="PUC143"/>
      <c r="PUD143"/>
      <c r="PUE143"/>
      <c r="PUF143"/>
      <c r="PUG143"/>
      <c r="PUH143"/>
      <c r="PUI143"/>
      <c r="PUJ143"/>
      <c r="PUK143"/>
      <c r="PUL143"/>
      <c r="PUM143"/>
      <c r="PUN143"/>
      <c r="PUO143"/>
      <c r="PUP143"/>
      <c r="PUQ143"/>
      <c r="PUR143"/>
      <c r="PUS143"/>
      <c r="PUT143"/>
      <c r="PUU143"/>
      <c r="PUV143"/>
      <c r="PUW143"/>
      <c r="PUX143"/>
      <c r="PUY143"/>
      <c r="PUZ143"/>
      <c r="PVA143"/>
      <c r="PVB143"/>
      <c r="PVC143"/>
      <c r="PVD143"/>
      <c r="PVE143"/>
      <c r="PVF143"/>
      <c r="PVG143"/>
      <c r="PVH143"/>
      <c r="PVI143"/>
      <c r="PVJ143"/>
      <c r="PVK143"/>
      <c r="PVL143"/>
      <c r="PVM143"/>
      <c r="PVN143"/>
      <c r="PVO143"/>
      <c r="PVP143"/>
      <c r="PVQ143"/>
      <c r="PVR143"/>
      <c r="PVS143"/>
      <c r="PVT143"/>
      <c r="PVU143"/>
      <c r="PVV143"/>
      <c r="PVW143"/>
      <c r="PVX143"/>
      <c r="PVY143"/>
      <c r="PVZ143"/>
      <c r="PWA143"/>
      <c r="PWB143"/>
      <c r="PWC143"/>
      <c r="PWD143"/>
      <c r="PWE143"/>
      <c r="PWF143"/>
      <c r="PWG143"/>
      <c r="PWH143"/>
      <c r="PWI143"/>
      <c r="PWJ143"/>
      <c r="PWK143"/>
      <c r="PWL143"/>
      <c r="PWM143"/>
      <c r="PWN143"/>
      <c r="PWO143"/>
      <c r="PWP143"/>
      <c r="PWQ143"/>
      <c r="PWR143"/>
      <c r="PWS143"/>
      <c r="PWT143"/>
      <c r="PWU143"/>
      <c r="PWV143"/>
      <c r="PWW143"/>
      <c r="PWX143"/>
      <c r="PWY143"/>
      <c r="PWZ143"/>
      <c r="PXA143"/>
      <c r="PXB143"/>
      <c r="PXC143"/>
      <c r="PXD143"/>
      <c r="PXE143"/>
      <c r="PXF143"/>
      <c r="PXG143"/>
      <c r="PXH143"/>
      <c r="PXI143"/>
      <c r="PXJ143"/>
      <c r="PXK143"/>
      <c r="PXL143"/>
      <c r="PXM143"/>
      <c r="PXN143"/>
      <c r="PXO143"/>
      <c r="PXP143"/>
      <c r="PXQ143"/>
      <c r="PXR143"/>
      <c r="PXS143"/>
      <c r="PXT143"/>
      <c r="PXU143"/>
      <c r="PXV143"/>
      <c r="PXW143"/>
      <c r="PXX143"/>
      <c r="PXY143"/>
      <c r="PXZ143"/>
      <c r="PYA143"/>
      <c r="PYB143"/>
      <c r="PYC143"/>
      <c r="PYD143"/>
      <c r="PYE143"/>
      <c r="PYF143"/>
      <c r="PYG143"/>
      <c r="PYH143"/>
      <c r="PYI143"/>
      <c r="PYJ143"/>
      <c r="PYK143"/>
      <c r="PYL143"/>
      <c r="PYM143"/>
      <c r="PYN143"/>
      <c r="PYO143"/>
      <c r="PYP143"/>
      <c r="PYQ143"/>
      <c r="PYR143"/>
      <c r="PYS143"/>
      <c r="PYT143"/>
      <c r="PYU143"/>
      <c r="PYV143"/>
      <c r="PYW143"/>
      <c r="PYX143"/>
      <c r="PYY143"/>
      <c r="PYZ143"/>
      <c r="PZA143"/>
      <c r="PZB143"/>
      <c r="PZC143"/>
      <c r="PZD143"/>
      <c r="PZE143"/>
      <c r="PZF143"/>
      <c r="PZG143"/>
      <c r="PZH143"/>
      <c r="PZI143"/>
      <c r="PZJ143"/>
      <c r="PZK143"/>
      <c r="PZL143"/>
      <c r="PZM143"/>
      <c r="PZN143"/>
      <c r="PZO143"/>
      <c r="PZP143"/>
      <c r="PZQ143"/>
      <c r="PZR143"/>
      <c r="PZS143"/>
      <c r="PZT143"/>
      <c r="PZU143"/>
      <c r="PZV143"/>
      <c r="PZW143"/>
      <c r="PZX143"/>
      <c r="PZY143"/>
      <c r="PZZ143"/>
      <c r="QAA143"/>
      <c r="QAB143"/>
      <c r="QAC143"/>
      <c r="QAD143"/>
      <c r="QAE143"/>
      <c r="QAF143"/>
      <c r="QAG143"/>
      <c r="QAH143"/>
      <c r="QAI143"/>
      <c r="QAJ143"/>
      <c r="QAK143"/>
      <c r="QAL143"/>
      <c r="QAM143"/>
      <c r="QAN143"/>
      <c r="QAO143"/>
      <c r="QAP143"/>
      <c r="QAQ143"/>
      <c r="QAR143"/>
      <c r="QAS143"/>
      <c r="QAT143"/>
      <c r="QAU143"/>
      <c r="QAV143"/>
      <c r="QAW143"/>
      <c r="QAX143"/>
      <c r="QAY143"/>
      <c r="QAZ143"/>
      <c r="QBA143"/>
      <c r="QBB143"/>
      <c r="QBC143"/>
      <c r="QBD143"/>
      <c r="QBE143"/>
      <c r="QBF143"/>
      <c r="QBG143"/>
      <c r="QBH143"/>
      <c r="QBI143"/>
      <c r="QBJ143"/>
      <c r="QBK143"/>
      <c r="QBL143"/>
      <c r="QBM143"/>
      <c r="QBN143"/>
      <c r="QBO143"/>
      <c r="QBP143"/>
      <c r="QBQ143"/>
      <c r="QBR143"/>
      <c r="QBS143"/>
      <c r="QBT143"/>
      <c r="QBU143"/>
      <c r="QBV143"/>
      <c r="QBW143"/>
      <c r="QBX143"/>
      <c r="QBY143"/>
      <c r="QBZ143"/>
      <c r="QCA143"/>
      <c r="QCB143"/>
      <c r="QCC143"/>
      <c r="QCD143"/>
      <c r="QCE143"/>
      <c r="QCF143"/>
      <c r="QCG143"/>
      <c r="QCH143"/>
      <c r="QCI143"/>
      <c r="QCJ143"/>
      <c r="QCK143"/>
      <c r="QCL143"/>
      <c r="QCM143"/>
      <c r="QCN143"/>
      <c r="QCO143"/>
      <c r="QCP143"/>
      <c r="QCQ143"/>
      <c r="QCR143"/>
      <c r="QCS143"/>
      <c r="QCT143"/>
      <c r="QCU143"/>
      <c r="QCV143"/>
      <c r="QCW143"/>
      <c r="QCX143"/>
      <c r="QCY143"/>
      <c r="QCZ143"/>
      <c r="QDA143"/>
      <c r="QDB143"/>
      <c r="QDC143"/>
      <c r="QDD143"/>
      <c r="QDE143"/>
      <c r="QDF143"/>
      <c r="QDG143"/>
      <c r="QDH143"/>
      <c r="QDI143"/>
      <c r="QDJ143"/>
      <c r="QDK143"/>
      <c r="QDL143"/>
      <c r="QDM143"/>
      <c r="QDN143"/>
      <c r="QDO143"/>
      <c r="QDP143"/>
      <c r="QDQ143"/>
      <c r="QDR143"/>
      <c r="QDS143"/>
      <c r="QDT143"/>
      <c r="QDU143"/>
      <c r="QDV143"/>
      <c r="QDW143"/>
      <c r="QDX143"/>
      <c r="QDY143"/>
      <c r="QDZ143"/>
      <c r="QEA143"/>
      <c r="QEB143"/>
      <c r="QEC143"/>
      <c r="QED143"/>
      <c r="QEE143"/>
      <c r="QEF143"/>
      <c r="QEG143"/>
      <c r="QEH143"/>
      <c r="QEI143"/>
      <c r="QEJ143"/>
      <c r="QEK143"/>
      <c r="QEL143"/>
      <c r="QEM143"/>
      <c r="QEN143"/>
      <c r="QEO143"/>
      <c r="QEP143"/>
      <c r="QEQ143"/>
      <c r="QER143"/>
      <c r="QES143"/>
      <c r="QET143"/>
      <c r="QEU143"/>
      <c r="QEV143"/>
      <c r="QEW143"/>
      <c r="QEX143"/>
      <c r="QEY143"/>
      <c r="QEZ143"/>
      <c r="QFA143"/>
      <c r="QFB143"/>
      <c r="QFC143"/>
      <c r="QFD143"/>
      <c r="QFE143"/>
      <c r="QFF143"/>
      <c r="QFG143"/>
      <c r="QFH143"/>
      <c r="QFI143"/>
      <c r="QFJ143"/>
      <c r="QFK143"/>
      <c r="QFL143"/>
      <c r="QFM143"/>
      <c r="QFN143"/>
      <c r="QFO143"/>
      <c r="QFP143"/>
      <c r="QFQ143"/>
      <c r="QFR143"/>
      <c r="QFS143"/>
      <c r="QFT143"/>
      <c r="QFU143"/>
      <c r="QFV143"/>
      <c r="QFW143"/>
      <c r="QFX143"/>
      <c r="QFY143"/>
      <c r="QFZ143"/>
      <c r="QGA143"/>
      <c r="QGB143"/>
      <c r="QGC143"/>
      <c r="QGD143"/>
      <c r="QGE143"/>
      <c r="QGF143"/>
      <c r="QGG143"/>
      <c r="QGH143"/>
      <c r="QGI143"/>
      <c r="QGJ143"/>
      <c r="QGK143"/>
      <c r="QGL143"/>
      <c r="QGM143"/>
      <c r="QGN143"/>
      <c r="QGO143"/>
      <c r="QGP143"/>
      <c r="QGQ143"/>
      <c r="QGR143"/>
      <c r="QGS143"/>
      <c r="QGT143"/>
      <c r="QGU143"/>
      <c r="QGV143"/>
      <c r="QGW143"/>
      <c r="QGX143"/>
      <c r="QGY143"/>
      <c r="QGZ143"/>
      <c r="QHA143"/>
      <c r="QHB143"/>
      <c r="QHC143"/>
      <c r="QHD143"/>
      <c r="QHE143"/>
      <c r="QHF143"/>
      <c r="QHG143"/>
      <c r="QHH143"/>
      <c r="QHI143"/>
      <c r="QHJ143"/>
      <c r="QHK143"/>
      <c r="QHL143"/>
      <c r="QHM143"/>
      <c r="QHN143"/>
      <c r="QHO143"/>
      <c r="QHP143"/>
      <c r="QHQ143"/>
      <c r="QHR143"/>
      <c r="QHS143"/>
      <c r="QHT143"/>
      <c r="QHU143"/>
      <c r="QHV143"/>
      <c r="QHW143"/>
      <c r="QHX143"/>
      <c r="QHY143"/>
      <c r="QHZ143"/>
      <c r="QIA143"/>
      <c r="QIB143"/>
      <c r="QIC143"/>
      <c r="QID143"/>
      <c r="QIE143"/>
      <c r="QIF143"/>
      <c r="QIG143"/>
      <c r="QIH143"/>
      <c r="QII143"/>
      <c r="QIJ143"/>
      <c r="QIK143"/>
      <c r="QIL143"/>
      <c r="QIM143"/>
      <c r="QIN143"/>
      <c r="QIO143"/>
      <c r="QIP143"/>
      <c r="QIQ143"/>
      <c r="QIR143"/>
      <c r="QIS143"/>
      <c r="QIT143"/>
      <c r="QIU143"/>
      <c r="QIV143"/>
      <c r="QIW143"/>
      <c r="QIX143"/>
      <c r="QIY143"/>
      <c r="QIZ143"/>
      <c r="QJA143"/>
      <c r="QJB143"/>
      <c r="QJC143"/>
      <c r="QJD143"/>
      <c r="QJE143"/>
      <c r="QJF143"/>
      <c r="QJG143"/>
      <c r="QJH143"/>
      <c r="QJI143"/>
      <c r="QJJ143"/>
      <c r="QJK143"/>
      <c r="QJL143"/>
      <c r="QJM143"/>
      <c r="QJN143"/>
      <c r="QJO143"/>
      <c r="QJP143"/>
      <c r="QJQ143"/>
      <c r="QJR143"/>
      <c r="QJS143"/>
      <c r="QJT143"/>
      <c r="QJU143"/>
      <c r="QJV143"/>
      <c r="QJW143"/>
      <c r="QJX143"/>
      <c r="QJY143"/>
      <c r="QJZ143"/>
      <c r="QKA143"/>
      <c r="QKB143"/>
      <c r="QKC143"/>
      <c r="QKD143"/>
      <c r="QKE143"/>
      <c r="QKF143"/>
      <c r="QKG143"/>
      <c r="QKH143"/>
      <c r="QKI143"/>
      <c r="QKJ143"/>
      <c r="QKK143"/>
      <c r="QKL143"/>
      <c r="QKM143"/>
      <c r="QKN143"/>
      <c r="QKO143"/>
      <c r="QKP143"/>
      <c r="QKQ143"/>
      <c r="QKR143"/>
      <c r="QKS143"/>
      <c r="QKT143"/>
      <c r="QKU143"/>
      <c r="QKV143"/>
      <c r="QKW143"/>
      <c r="QKX143"/>
      <c r="QKY143"/>
      <c r="QKZ143"/>
      <c r="QLA143"/>
      <c r="QLB143"/>
      <c r="QLC143"/>
      <c r="QLD143"/>
      <c r="QLE143"/>
      <c r="QLF143"/>
      <c r="QLG143"/>
      <c r="QLH143"/>
      <c r="QLI143"/>
      <c r="QLJ143"/>
      <c r="QLK143"/>
      <c r="QLL143"/>
      <c r="QLM143"/>
      <c r="QLN143"/>
      <c r="QLO143"/>
      <c r="QLP143"/>
      <c r="QLQ143"/>
      <c r="QLR143"/>
      <c r="QLS143"/>
      <c r="QLT143"/>
      <c r="QLU143"/>
      <c r="QLV143"/>
      <c r="QLW143"/>
      <c r="QLX143"/>
      <c r="QLY143"/>
      <c r="QLZ143"/>
      <c r="QMA143"/>
      <c r="QMB143"/>
      <c r="QMC143"/>
      <c r="QMD143"/>
      <c r="QME143"/>
      <c r="QMF143"/>
      <c r="QMG143"/>
      <c r="QMH143"/>
      <c r="QMI143"/>
      <c r="QMJ143"/>
      <c r="QMK143"/>
      <c r="QML143"/>
      <c r="QMM143"/>
      <c r="QMN143"/>
      <c r="QMO143"/>
      <c r="QMP143"/>
      <c r="QMQ143"/>
      <c r="QMR143"/>
      <c r="QMS143"/>
      <c r="QMT143"/>
      <c r="QMU143"/>
      <c r="QMV143"/>
      <c r="QMW143"/>
      <c r="QMX143"/>
      <c r="QMY143"/>
      <c r="QMZ143"/>
      <c r="QNA143"/>
      <c r="QNB143"/>
      <c r="QNC143"/>
      <c r="QND143"/>
      <c r="QNE143"/>
      <c r="QNF143"/>
      <c r="QNG143"/>
      <c r="QNH143"/>
      <c r="QNI143"/>
      <c r="QNJ143"/>
      <c r="QNK143"/>
      <c r="QNL143"/>
      <c r="QNM143"/>
      <c r="QNN143"/>
      <c r="QNO143"/>
      <c r="QNP143"/>
      <c r="QNQ143"/>
      <c r="QNR143"/>
      <c r="QNS143"/>
      <c r="QNT143"/>
      <c r="QNU143"/>
      <c r="QNV143"/>
      <c r="QNW143"/>
      <c r="QNX143"/>
      <c r="QNY143"/>
      <c r="QNZ143"/>
      <c r="QOA143"/>
      <c r="QOB143"/>
      <c r="QOC143"/>
      <c r="QOD143"/>
      <c r="QOE143"/>
      <c r="QOF143"/>
      <c r="QOG143"/>
      <c r="QOH143"/>
      <c r="QOI143"/>
      <c r="QOJ143"/>
      <c r="QOK143"/>
      <c r="QOL143"/>
      <c r="QOM143"/>
      <c r="QON143"/>
      <c r="QOO143"/>
      <c r="QOP143"/>
      <c r="QOQ143"/>
      <c r="QOR143"/>
      <c r="QOS143"/>
      <c r="QOT143"/>
      <c r="QOU143"/>
      <c r="QOV143"/>
      <c r="QOW143"/>
      <c r="QOX143"/>
      <c r="QOY143"/>
      <c r="QOZ143"/>
      <c r="QPA143"/>
      <c r="QPB143"/>
      <c r="QPC143"/>
      <c r="QPD143"/>
      <c r="QPE143"/>
      <c r="QPF143"/>
      <c r="QPG143"/>
      <c r="QPH143"/>
      <c r="QPI143"/>
      <c r="QPJ143"/>
      <c r="QPK143"/>
      <c r="QPL143"/>
      <c r="QPM143"/>
      <c r="QPN143"/>
      <c r="QPO143"/>
      <c r="QPP143"/>
      <c r="QPQ143"/>
      <c r="QPR143"/>
      <c r="QPS143"/>
      <c r="QPT143"/>
      <c r="QPU143"/>
      <c r="QPV143"/>
      <c r="QPW143"/>
      <c r="QPX143"/>
      <c r="QPY143"/>
      <c r="QPZ143"/>
      <c r="QQA143"/>
      <c r="QQB143"/>
      <c r="QQC143"/>
      <c r="QQD143"/>
      <c r="QQE143"/>
      <c r="QQF143"/>
      <c r="QQG143"/>
      <c r="QQH143"/>
      <c r="QQI143"/>
      <c r="QQJ143"/>
      <c r="QQK143"/>
      <c r="QQL143"/>
      <c r="QQM143"/>
      <c r="QQN143"/>
      <c r="QQO143"/>
      <c r="QQP143"/>
      <c r="QQQ143"/>
      <c r="QQR143"/>
      <c r="QQS143"/>
      <c r="QQT143"/>
      <c r="QQU143"/>
      <c r="QQV143"/>
      <c r="QQW143"/>
      <c r="QQX143"/>
      <c r="QQY143"/>
      <c r="QQZ143"/>
      <c r="QRA143"/>
      <c r="QRB143"/>
      <c r="QRC143"/>
      <c r="QRD143"/>
      <c r="QRE143"/>
      <c r="QRF143"/>
      <c r="QRG143"/>
      <c r="QRH143"/>
      <c r="QRI143"/>
      <c r="QRJ143"/>
      <c r="QRK143"/>
      <c r="QRL143"/>
      <c r="QRM143"/>
      <c r="QRN143"/>
      <c r="QRO143"/>
      <c r="QRP143"/>
      <c r="QRQ143"/>
      <c r="QRR143"/>
      <c r="QRS143"/>
      <c r="QRT143"/>
      <c r="QRU143"/>
      <c r="QRV143"/>
      <c r="QRW143"/>
      <c r="QRX143"/>
      <c r="QRY143"/>
      <c r="QRZ143"/>
      <c r="QSA143"/>
      <c r="QSB143"/>
      <c r="QSC143"/>
      <c r="QSD143"/>
      <c r="QSE143"/>
      <c r="QSF143"/>
      <c r="QSG143"/>
      <c r="QSH143"/>
      <c r="QSI143"/>
      <c r="QSJ143"/>
      <c r="QSK143"/>
      <c r="QSL143"/>
      <c r="QSM143"/>
      <c r="QSN143"/>
      <c r="QSO143"/>
      <c r="QSP143"/>
      <c r="QSQ143"/>
      <c r="QSR143"/>
      <c r="QSS143"/>
      <c r="QST143"/>
      <c r="QSU143"/>
      <c r="QSV143"/>
      <c r="QSW143"/>
      <c r="QSX143"/>
      <c r="QSY143"/>
      <c r="QSZ143"/>
      <c r="QTA143"/>
      <c r="QTB143"/>
      <c r="QTC143"/>
      <c r="QTD143"/>
      <c r="QTE143"/>
      <c r="QTF143"/>
      <c r="QTG143"/>
      <c r="QTH143"/>
      <c r="QTI143"/>
      <c r="QTJ143"/>
      <c r="QTK143"/>
      <c r="QTL143"/>
      <c r="QTM143"/>
      <c r="QTN143"/>
      <c r="QTO143"/>
      <c r="QTP143"/>
      <c r="QTQ143"/>
      <c r="QTR143"/>
      <c r="QTS143"/>
      <c r="QTT143"/>
      <c r="QTU143"/>
      <c r="QTV143"/>
      <c r="QTW143"/>
      <c r="QTX143"/>
      <c r="QTY143"/>
      <c r="QTZ143"/>
      <c r="QUA143"/>
      <c r="QUB143"/>
      <c r="QUC143"/>
      <c r="QUD143"/>
      <c r="QUE143"/>
      <c r="QUF143"/>
      <c r="QUG143"/>
      <c r="QUH143"/>
      <c r="QUI143"/>
      <c r="QUJ143"/>
      <c r="QUK143"/>
      <c r="QUL143"/>
      <c r="QUM143"/>
      <c r="QUN143"/>
      <c r="QUO143"/>
      <c r="QUP143"/>
      <c r="QUQ143"/>
      <c r="QUR143"/>
      <c r="QUS143"/>
      <c r="QUT143"/>
      <c r="QUU143"/>
      <c r="QUV143"/>
      <c r="QUW143"/>
      <c r="QUX143"/>
      <c r="QUY143"/>
      <c r="QUZ143"/>
      <c r="QVA143"/>
      <c r="QVB143"/>
      <c r="QVC143"/>
      <c r="QVD143"/>
      <c r="QVE143"/>
      <c r="QVF143"/>
      <c r="QVG143"/>
      <c r="QVH143"/>
      <c r="QVI143"/>
      <c r="QVJ143"/>
      <c r="QVK143"/>
      <c r="QVL143"/>
      <c r="QVM143"/>
      <c r="QVN143"/>
      <c r="QVO143"/>
      <c r="QVP143"/>
      <c r="QVQ143"/>
      <c r="QVR143"/>
      <c r="QVS143"/>
      <c r="QVT143"/>
      <c r="QVU143"/>
      <c r="QVV143"/>
      <c r="QVW143"/>
      <c r="QVX143"/>
      <c r="QVY143"/>
      <c r="QVZ143"/>
      <c r="QWA143"/>
      <c r="QWB143"/>
      <c r="QWC143"/>
      <c r="QWD143"/>
      <c r="QWE143"/>
      <c r="QWF143"/>
      <c r="QWG143"/>
      <c r="QWH143"/>
      <c r="QWI143"/>
      <c r="QWJ143"/>
      <c r="QWK143"/>
      <c r="QWL143"/>
      <c r="QWM143"/>
      <c r="QWN143"/>
      <c r="QWO143"/>
      <c r="QWP143"/>
      <c r="QWQ143"/>
      <c r="QWR143"/>
      <c r="QWS143"/>
      <c r="QWT143"/>
      <c r="QWU143"/>
      <c r="QWV143"/>
      <c r="QWW143"/>
      <c r="QWX143"/>
      <c r="QWY143"/>
      <c r="QWZ143"/>
      <c r="QXA143"/>
      <c r="QXB143"/>
      <c r="QXC143"/>
      <c r="QXD143"/>
      <c r="QXE143"/>
      <c r="QXF143"/>
      <c r="QXG143"/>
      <c r="QXH143"/>
      <c r="QXI143"/>
      <c r="QXJ143"/>
      <c r="QXK143"/>
      <c r="QXL143"/>
      <c r="QXM143"/>
      <c r="QXN143"/>
      <c r="QXO143"/>
      <c r="QXP143"/>
      <c r="QXQ143"/>
      <c r="QXR143"/>
      <c r="QXS143"/>
      <c r="QXT143"/>
      <c r="QXU143"/>
      <c r="QXV143"/>
      <c r="QXW143"/>
      <c r="QXX143"/>
      <c r="QXY143"/>
      <c r="QXZ143"/>
      <c r="QYA143"/>
      <c r="QYB143"/>
      <c r="QYC143"/>
      <c r="QYD143"/>
      <c r="QYE143"/>
      <c r="QYF143"/>
      <c r="QYG143"/>
      <c r="QYH143"/>
      <c r="QYI143"/>
      <c r="QYJ143"/>
      <c r="QYK143"/>
      <c r="QYL143"/>
      <c r="QYM143"/>
      <c r="QYN143"/>
      <c r="QYO143"/>
      <c r="QYP143"/>
      <c r="QYQ143"/>
      <c r="QYR143"/>
      <c r="QYS143"/>
      <c r="QYT143"/>
      <c r="QYU143"/>
      <c r="QYV143"/>
      <c r="QYW143"/>
      <c r="QYX143"/>
      <c r="QYY143"/>
      <c r="QYZ143"/>
      <c r="QZA143"/>
      <c r="QZB143"/>
      <c r="QZC143"/>
      <c r="QZD143"/>
      <c r="QZE143"/>
      <c r="QZF143"/>
      <c r="QZG143"/>
      <c r="QZH143"/>
      <c r="QZI143"/>
      <c r="QZJ143"/>
      <c r="QZK143"/>
      <c r="QZL143"/>
      <c r="QZM143"/>
      <c r="QZN143"/>
      <c r="QZO143"/>
      <c r="QZP143"/>
      <c r="QZQ143"/>
      <c r="QZR143"/>
      <c r="QZS143"/>
      <c r="QZT143"/>
      <c r="QZU143"/>
      <c r="QZV143"/>
      <c r="QZW143"/>
      <c r="QZX143"/>
      <c r="QZY143"/>
      <c r="QZZ143"/>
      <c r="RAA143"/>
      <c r="RAB143"/>
      <c r="RAC143"/>
      <c r="RAD143"/>
      <c r="RAE143"/>
      <c r="RAF143"/>
      <c r="RAG143"/>
      <c r="RAH143"/>
      <c r="RAI143"/>
      <c r="RAJ143"/>
      <c r="RAK143"/>
      <c r="RAL143"/>
      <c r="RAM143"/>
      <c r="RAN143"/>
      <c r="RAO143"/>
      <c r="RAP143"/>
      <c r="RAQ143"/>
      <c r="RAR143"/>
      <c r="RAS143"/>
      <c r="RAT143"/>
      <c r="RAU143"/>
      <c r="RAV143"/>
      <c r="RAW143"/>
      <c r="RAX143"/>
      <c r="RAY143"/>
      <c r="RAZ143"/>
      <c r="RBA143"/>
      <c r="RBB143"/>
      <c r="RBC143"/>
      <c r="RBD143"/>
      <c r="RBE143"/>
      <c r="RBF143"/>
      <c r="RBG143"/>
      <c r="RBH143"/>
      <c r="RBI143"/>
      <c r="RBJ143"/>
      <c r="RBK143"/>
      <c r="RBL143"/>
      <c r="RBM143"/>
      <c r="RBN143"/>
      <c r="RBO143"/>
      <c r="RBP143"/>
      <c r="RBQ143"/>
      <c r="RBR143"/>
      <c r="RBS143"/>
      <c r="RBT143"/>
      <c r="RBU143"/>
      <c r="RBV143"/>
      <c r="RBW143"/>
      <c r="RBX143"/>
      <c r="RBY143"/>
      <c r="RBZ143"/>
      <c r="RCA143"/>
      <c r="RCB143"/>
      <c r="RCC143"/>
      <c r="RCD143"/>
      <c r="RCE143"/>
      <c r="RCF143"/>
      <c r="RCG143"/>
      <c r="RCH143"/>
      <c r="RCI143"/>
      <c r="RCJ143"/>
      <c r="RCK143"/>
      <c r="RCL143"/>
      <c r="RCM143"/>
      <c r="RCN143"/>
      <c r="RCO143"/>
      <c r="RCP143"/>
      <c r="RCQ143"/>
      <c r="RCR143"/>
      <c r="RCS143"/>
      <c r="RCT143"/>
      <c r="RCU143"/>
      <c r="RCV143"/>
      <c r="RCW143"/>
      <c r="RCX143"/>
      <c r="RCY143"/>
      <c r="RCZ143"/>
      <c r="RDA143"/>
      <c r="RDB143"/>
      <c r="RDC143"/>
      <c r="RDD143"/>
      <c r="RDE143"/>
      <c r="RDF143"/>
      <c r="RDG143"/>
      <c r="RDH143"/>
      <c r="RDI143"/>
      <c r="RDJ143"/>
      <c r="RDK143"/>
      <c r="RDL143"/>
      <c r="RDM143"/>
      <c r="RDN143"/>
      <c r="RDO143"/>
      <c r="RDP143"/>
      <c r="RDQ143"/>
      <c r="RDR143"/>
      <c r="RDS143"/>
      <c r="RDT143"/>
      <c r="RDU143"/>
      <c r="RDV143"/>
      <c r="RDW143"/>
      <c r="RDX143"/>
      <c r="RDY143"/>
      <c r="RDZ143"/>
      <c r="REA143"/>
      <c r="REB143"/>
      <c r="REC143"/>
      <c r="RED143"/>
      <c r="REE143"/>
      <c r="REF143"/>
      <c r="REG143"/>
      <c r="REH143"/>
      <c r="REI143"/>
      <c r="REJ143"/>
      <c r="REK143"/>
      <c r="REL143"/>
      <c r="REM143"/>
      <c r="REN143"/>
      <c r="REO143"/>
      <c r="REP143"/>
      <c r="REQ143"/>
      <c r="RER143"/>
      <c r="RES143"/>
      <c r="RET143"/>
      <c r="REU143"/>
      <c r="REV143"/>
      <c r="REW143"/>
      <c r="REX143"/>
      <c r="REY143"/>
      <c r="REZ143"/>
      <c r="RFA143"/>
      <c r="RFB143"/>
      <c r="RFC143"/>
      <c r="RFD143"/>
      <c r="RFE143"/>
      <c r="RFF143"/>
      <c r="RFG143"/>
      <c r="RFH143"/>
      <c r="RFI143"/>
      <c r="RFJ143"/>
      <c r="RFK143"/>
      <c r="RFL143"/>
      <c r="RFM143"/>
      <c r="RFN143"/>
      <c r="RFO143"/>
      <c r="RFP143"/>
      <c r="RFQ143"/>
      <c r="RFR143"/>
      <c r="RFS143"/>
      <c r="RFT143"/>
      <c r="RFU143"/>
      <c r="RFV143"/>
      <c r="RFW143"/>
      <c r="RFX143"/>
      <c r="RFY143"/>
      <c r="RFZ143"/>
      <c r="RGA143"/>
      <c r="RGB143"/>
      <c r="RGC143"/>
      <c r="RGD143"/>
      <c r="RGE143"/>
      <c r="RGF143"/>
      <c r="RGG143"/>
      <c r="RGH143"/>
      <c r="RGI143"/>
      <c r="RGJ143"/>
      <c r="RGK143"/>
      <c r="RGL143"/>
      <c r="RGM143"/>
      <c r="RGN143"/>
      <c r="RGO143"/>
      <c r="RGP143"/>
      <c r="RGQ143"/>
      <c r="RGR143"/>
      <c r="RGS143"/>
      <c r="RGT143"/>
      <c r="RGU143"/>
      <c r="RGV143"/>
      <c r="RGW143"/>
      <c r="RGX143"/>
      <c r="RGY143"/>
      <c r="RGZ143"/>
      <c r="RHA143"/>
      <c r="RHB143"/>
      <c r="RHC143"/>
      <c r="RHD143"/>
      <c r="RHE143"/>
      <c r="RHF143"/>
      <c r="RHG143"/>
      <c r="RHH143"/>
      <c r="RHI143"/>
      <c r="RHJ143"/>
      <c r="RHK143"/>
      <c r="RHL143"/>
      <c r="RHM143"/>
      <c r="RHN143"/>
      <c r="RHO143"/>
      <c r="RHP143"/>
      <c r="RHQ143"/>
      <c r="RHR143"/>
      <c r="RHS143"/>
      <c r="RHT143"/>
      <c r="RHU143"/>
      <c r="RHV143"/>
      <c r="RHW143"/>
      <c r="RHX143"/>
      <c r="RHY143"/>
      <c r="RHZ143"/>
      <c r="RIA143"/>
      <c r="RIB143"/>
      <c r="RIC143"/>
      <c r="RID143"/>
      <c r="RIE143"/>
      <c r="RIF143"/>
      <c r="RIG143"/>
      <c r="RIH143"/>
      <c r="RII143"/>
      <c r="RIJ143"/>
      <c r="RIK143"/>
      <c r="RIL143"/>
      <c r="RIM143"/>
      <c r="RIN143"/>
      <c r="RIO143"/>
      <c r="RIP143"/>
      <c r="RIQ143"/>
      <c r="RIR143"/>
      <c r="RIS143"/>
      <c r="RIT143"/>
      <c r="RIU143"/>
      <c r="RIV143"/>
      <c r="RIW143"/>
      <c r="RIX143"/>
      <c r="RIY143"/>
      <c r="RIZ143"/>
      <c r="RJA143"/>
      <c r="RJB143"/>
      <c r="RJC143"/>
      <c r="RJD143"/>
      <c r="RJE143"/>
      <c r="RJF143"/>
      <c r="RJG143"/>
      <c r="RJH143"/>
      <c r="RJI143"/>
      <c r="RJJ143"/>
      <c r="RJK143"/>
      <c r="RJL143"/>
      <c r="RJM143"/>
      <c r="RJN143"/>
      <c r="RJO143"/>
      <c r="RJP143"/>
      <c r="RJQ143"/>
      <c r="RJR143"/>
      <c r="RJS143"/>
      <c r="RJT143"/>
      <c r="RJU143"/>
      <c r="RJV143"/>
      <c r="RJW143"/>
      <c r="RJX143"/>
      <c r="RJY143"/>
      <c r="RJZ143"/>
      <c r="RKA143"/>
      <c r="RKB143"/>
      <c r="RKC143"/>
      <c r="RKD143"/>
      <c r="RKE143"/>
      <c r="RKF143"/>
      <c r="RKG143"/>
      <c r="RKH143"/>
      <c r="RKI143"/>
      <c r="RKJ143"/>
      <c r="RKK143"/>
      <c r="RKL143"/>
      <c r="RKM143"/>
      <c r="RKN143"/>
      <c r="RKO143"/>
      <c r="RKP143"/>
      <c r="RKQ143"/>
      <c r="RKR143"/>
      <c r="RKS143"/>
      <c r="RKT143"/>
      <c r="RKU143"/>
      <c r="RKV143"/>
      <c r="RKW143"/>
      <c r="RKX143"/>
      <c r="RKY143"/>
      <c r="RKZ143"/>
      <c r="RLA143"/>
      <c r="RLB143"/>
      <c r="RLC143"/>
      <c r="RLD143"/>
      <c r="RLE143"/>
      <c r="RLF143"/>
      <c r="RLG143"/>
      <c r="RLH143"/>
      <c r="RLI143"/>
      <c r="RLJ143"/>
      <c r="RLK143"/>
      <c r="RLL143"/>
      <c r="RLM143"/>
      <c r="RLN143"/>
      <c r="RLO143"/>
      <c r="RLP143"/>
      <c r="RLQ143"/>
      <c r="RLR143"/>
      <c r="RLS143"/>
      <c r="RLT143"/>
      <c r="RLU143"/>
      <c r="RLV143"/>
      <c r="RLW143"/>
      <c r="RLX143"/>
      <c r="RLY143"/>
      <c r="RLZ143"/>
      <c r="RMA143"/>
      <c r="RMB143"/>
      <c r="RMC143"/>
      <c r="RMD143"/>
      <c r="RME143"/>
      <c r="RMF143"/>
      <c r="RMG143"/>
      <c r="RMH143"/>
      <c r="RMI143"/>
      <c r="RMJ143"/>
      <c r="RMK143"/>
      <c r="RML143"/>
      <c r="RMM143"/>
      <c r="RMN143"/>
      <c r="RMO143"/>
      <c r="RMP143"/>
      <c r="RMQ143"/>
      <c r="RMR143"/>
      <c r="RMS143"/>
      <c r="RMT143"/>
      <c r="RMU143"/>
      <c r="RMV143"/>
      <c r="RMW143"/>
      <c r="RMX143"/>
      <c r="RMY143"/>
      <c r="RMZ143"/>
      <c r="RNA143"/>
      <c r="RNB143"/>
      <c r="RNC143"/>
      <c r="RND143"/>
      <c r="RNE143"/>
      <c r="RNF143"/>
      <c r="RNG143"/>
      <c r="RNH143"/>
      <c r="RNI143"/>
      <c r="RNJ143"/>
      <c r="RNK143"/>
      <c r="RNL143"/>
      <c r="RNM143"/>
      <c r="RNN143"/>
      <c r="RNO143"/>
      <c r="RNP143"/>
      <c r="RNQ143"/>
      <c r="RNR143"/>
      <c r="RNS143"/>
      <c r="RNT143"/>
      <c r="RNU143"/>
      <c r="RNV143"/>
      <c r="RNW143"/>
      <c r="RNX143"/>
      <c r="RNY143"/>
      <c r="RNZ143"/>
      <c r="ROA143"/>
      <c r="ROB143"/>
      <c r="ROC143"/>
      <c r="ROD143"/>
      <c r="ROE143"/>
      <c r="ROF143"/>
      <c r="ROG143"/>
      <c r="ROH143"/>
      <c r="ROI143"/>
      <c r="ROJ143"/>
      <c r="ROK143"/>
      <c r="ROL143"/>
      <c r="ROM143"/>
      <c r="RON143"/>
      <c r="ROO143"/>
      <c r="ROP143"/>
      <c r="ROQ143"/>
      <c r="ROR143"/>
      <c r="ROS143"/>
      <c r="ROT143"/>
      <c r="ROU143"/>
      <c r="ROV143"/>
      <c r="ROW143"/>
      <c r="ROX143"/>
      <c r="ROY143"/>
      <c r="ROZ143"/>
      <c r="RPA143"/>
      <c r="RPB143"/>
      <c r="RPC143"/>
      <c r="RPD143"/>
      <c r="RPE143"/>
      <c r="RPF143"/>
      <c r="RPG143"/>
      <c r="RPH143"/>
      <c r="RPI143"/>
      <c r="RPJ143"/>
      <c r="RPK143"/>
      <c r="RPL143"/>
      <c r="RPM143"/>
      <c r="RPN143"/>
      <c r="RPO143"/>
      <c r="RPP143"/>
      <c r="RPQ143"/>
      <c r="RPR143"/>
      <c r="RPS143"/>
      <c r="RPT143"/>
      <c r="RPU143"/>
      <c r="RPV143"/>
      <c r="RPW143"/>
      <c r="RPX143"/>
      <c r="RPY143"/>
      <c r="RPZ143"/>
      <c r="RQA143"/>
      <c r="RQB143"/>
      <c r="RQC143"/>
      <c r="RQD143"/>
      <c r="RQE143"/>
      <c r="RQF143"/>
      <c r="RQG143"/>
      <c r="RQH143"/>
      <c r="RQI143"/>
      <c r="RQJ143"/>
      <c r="RQK143"/>
      <c r="RQL143"/>
      <c r="RQM143"/>
      <c r="RQN143"/>
      <c r="RQO143"/>
      <c r="RQP143"/>
      <c r="RQQ143"/>
      <c r="RQR143"/>
      <c r="RQS143"/>
      <c r="RQT143"/>
      <c r="RQU143"/>
      <c r="RQV143"/>
      <c r="RQW143"/>
      <c r="RQX143"/>
      <c r="RQY143"/>
      <c r="RQZ143"/>
      <c r="RRA143"/>
      <c r="RRB143"/>
      <c r="RRC143"/>
      <c r="RRD143"/>
      <c r="RRE143"/>
      <c r="RRF143"/>
      <c r="RRG143"/>
      <c r="RRH143"/>
      <c r="RRI143"/>
      <c r="RRJ143"/>
      <c r="RRK143"/>
      <c r="RRL143"/>
      <c r="RRM143"/>
      <c r="RRN143"/>
      <c r="RRO143"/>
      <c r="RRP143"/>
      <c r="RRQ143"/>
      <c r="RRR143"/>
      <c r="RRS143"/>
      <c r="RRT143"/>
      <c r="RRU143"/>
      <c r="RRV143"/>
      <c r="RRW143"/>
      <c r="RRX143"/>
      <c r="RRY143"/>
      <c r="RRZ143"/>
      <c r="RSA143"/>
      <c r="RSB143"/>
      <c r="RSC143"/>
      <c r="RSD143"/>
      <c r="RSE143"/>
      <c r="RSF143"/>
      <c r="RSG143"/>
      <c r="RSH143"/>
      <c r="RSI143"/>
      <c r="RSJ143"/>
      <c r="RSK143"/>
      <c r="RSL143"/>
      <c r="RSM143"/>
      <c r="RSN143"/>
      <c r="RSO143"/>
      <c r="RSP143"/>
      <c r="RSQ143"/>
      <c r="RSR143"/>
      <c r="RSS143"/>
      <c r="RST143"/>
      <c r="RSU143"/>
      <c r="RSV143"/>
      <c r="RSW143"/>
      <c r="RSX143"/>
      <c r="RSY143"/>
      <c r="RSZ143"/>
      <c r="RTA143"/>
      <c r="RTB143"/>
      <c r="RTC143"/>
      <c r="RTD143"/>
      <c r="RTE143"/>
      <c r="RTF143"/>
      <c r="RTG143"/>
      <c r="RTH143"/>
      <c r="RTI143"/>
      <c r="RTJ143"/>
      <c r="RTK143"/>
      <c r="RTL143"/>
      <c r="RTM143"/>
      <c r="RTN143"/>
      <c r="RTO143"/>
      <c r="RTP143"/>
      <c r="RTQ143"/>
      <c r="RTR143"/>
      <c r="RTS143"/>
      <c r="RTT143"/>
      <c r="RTU143"/>
      <c r="RTV143"/>
      <c r="RTW143"/>
      <c r="RTX143"/>
      <c r="RTY143"/>
      <c r="RTZ143"/>
      <c r="RUA143"/>
      <c r="RUB143"/>
      <c r="RUC143"/>
      <c r="RUD143"/>
      <c r="RUE143"/>
      <c r="RUF143"/>
      <c r="RUG143"/>
      <c r="RUH143"/>
      <c r="RUI143"/>
      <c r="RUJ143"/>
      <c r="RUK143"/>
      <c r="RUL143"/>
      <c r="RUM143"/>
      <c r="RUN143"/>
      <c r="RUO143"/>
      <c r="RUP143"/>
      <c r="RUQ143"/>
      <c r="RUR143"/>
      <c r="RUS143"/>
      <c r="RUT143"/>
      <c r="RUU143"/>
      <c r="RUV143"/>
      <c r="RUW143"/>
      <c r="RUX143"/>
      <c r="RUY143"/>
      <c r="RUZ143"/>
      <c r="RVA143"/>
      <c r="RVB143"/>
      <c r="RVC143"/>
      <c r="RVD143"/>
      <c r="RVE143"/>
      <c r="RVF143"/>
      <c r="RVG143"/>
      <c r="RVH143"/>
      <c r="RVI143"/>
      <c r="RVJ143"/>
      <c r="RVK143"/>
      <c r="RVL143"/>
      <c r="RVM143"/>
      <c r="RVN143"/>
      <c r="RVO143"/>
      <c r="RVP143"/>
      <c r="RVQ143"/>
      <c r="RVR143"/>
      <c r="RVS143"/>
      <c r="RVT143"/>
      <c r="RVU143"/>
      <c r="RVV143"/>
      <c r="RVW143"/>
      <c r="RVX143"/>
      <c r="RVY143"/>
      <c r="RVZ143"/>
      <c r="RWA143"/>
      <c r="RWB143"/>
      <c r="RWC143"/>
      <c r="RWD143"/>
      <c r="RWE143"/>
      <c r="RWF143"/>
      <c r="RWG143"/>
      <c r="RWH143"/>
      <c r="RWI143"/>
      <c r="RWJ143"/>
      <c r="RWK143"/>
      <c r="RWL143"/>
      <c r="RWM143"/>
      <c r="RWN143"/>
      <c r="RWO143"/>
      <c r="RWP143"/>
      <c r="RWQ143"/>
      <c r="RWR143"/>
      <c r="RWS143"/>
      <c r="RWT143"/>
      <c r="RWU143"/>
      <c r="RWV143"/>
      <c r="RWW143"/>
      <c r="RWX143"/>
      <c r="RWY143"/>
      <c r="RWZ143"/>
      <c r="RXA143"/>
      <c r="RXB143"/>
      <c r="RXC143"/>
      <c r="RXD143"/>
      <c r="RXE143"/>
      <c r="RXF143"/>
      <c r="RXG143"/>
      <c r="RXH143"/>
      <c r="RXI143"/>
      <c r="RXJ143"/>
      <c r="RXK143"/>
      <c r="RXL143"/>
      <c r="RXM143"/>
      <c r="RXN143"/>
      <c r="RXO143"/>
      <c r="RXP143"/>
      <c r="RXQ143"/>
      <c r="RXR143"/>
      <c r="RXS143"/>
      <c r="RXT143"/>
      <c r="RXU143"/>
      <c r="RXV143"/>
      <c r="RXW143"/>
      <c r="RXX143"/>
      <c r="RXY143"/>
      <c r="RXZ143"/>
      <c r="RYA143"/>
      <c r="RYB143"/>
      <c r="RYC143"/>
      <c r="RYD143"/>
      <c r="RYE143"/>
      <c r="RYF143"/>
      <c r="RYG143"/>
      <c r="RYH143"/>
      <c r="RYI143"/>
      <c r="RYJ143"/>
      <c r="RYK143"/>
      <c r="RYL143"/>
      <c r="RYM143"/>
      <c r="RYN143"/>
      <c r="RYO143"/>
      <c r="RYP143"/>
      <c r="RYQ143"/>
      <c r="RYR143"/>
      <c r="RYS143"/>
      <c r="RYT143"/>
      <c r="RYU143"/>
      <c r="RYV143"/>
      <c r="RYW143"/>
      <c r="RYX143"/>
      <c r="RYY143"/>
      <c r="RYZ143"/>
      <c r="RZA143"/>
      <c r="RZB143"/>
      <c r="RZC143"/>
      <c r="RZD143"/>
      <c r="RZE143"/>
      <c r="RZF143"/>
      <c r="RZG143"/>
      <c r="RZH143"/>
      <c r="RZI143"/>
      <c r="RZJ143"/>
      <c r="RZK143"/>
      <c r="RZL143"/>
      <c r="RZM143"/>
      <c r="RZN143"/>
      <c r="RZO143"/>
      <c r="RZP143"/>
      <c r="RZQ143"/>
      <c r="RZR143"/>
      <c r="RZS143"/>
      <c r="RZT143"/>
      <c r="RZU143"/>
      <c r="RZV143"/>
      <c r="RZW143"/>
      <c r="RZX143"/>
      <c r="RZY143"/>
      <c r="RZZ143"/>
      <c r="SAA143"/>
      <c r="SAB143"/>
      <c r="SAC143"/>
      <c r="SAD143"/>
      <c r="SAE143"/>
      <c r="SAF143"/>
      <c r="SAG143"/>
      <c r="SAH143"/>
      <c r="SAI143"/>
      <c r="SAJ143"/>
      <c r="SAK143"/>
      <c r="SAL143"/>
      <c r="SAM143"/>
      <c r="SAN143"/>
      <c r="SAO143"/>
      <c r="SAP143"/>
      <c r="SAQ143"/>
      <c r="SAR143"/>
      <c r="SAS143"/>
      <c r="SAT143"/>
      <c r="SAU143"/>
      <c r="SAV143"/>
      <c r="SAW143"/>
      <c r="SAX143"/>
      <c r="SAY143"/>
      <c r="SAZ143"/>
      <c r="SBA143"/>
      <c r="SBB143"/>
      <c r="SBC143"/>
      <c r="SBD143"/>
      <c r="SBE143"/>
      <c r="SBF143"/>
      <c r="SBG143"/>
      <c r="SBH143"/>
      <c r="SBI143"/>
      <c r="SBJ143"/>
      <c r="SBK143"/>
      <c r="SBL143"/>
      <c r="SBM143"/>
      <c r="SBN143"/>
      <c r="SBO143"/>
      <c r="SBP143"/>
      <c r="SBQ143"/>
      <c r="SBR143"/>
      <c r="SBS143"/>
      <c r="SBT143"/>
      <c r="SBU143"/>
      <c r="SBV143"/>
      <c r="SBW143"/>
      <c r="SBX143"/>
      <c r="SBY143"/>
      <c r="SBZ143"/>
      <c r="SCA143"/>
      <c r="SCB143"/>
      <c r="SCC143"/>
      <c r="SCD143"/>
      <c r="SCE143"/>
      <c r="SCF143"/>
      <c r="SCG143"/>
      <c r="SCH143"/>
      <c r="SCI143"/>
      <c r="SCJ143"/>
      <c r="SCK143"/>
      <c r="SCL143"/>
      <c r="SCM143"/>
      <c r="SCN143"/>
      <c r="SCO143"/>
      <c r="SCP143"/>
      <c r="SCQ143"/>
      <c r="SCR143"/>
      <c r="SCS143"/>
      <c r="SCT143"/>
      <c r="SCU143"/>
      <c r="SCV143"/>
      <c r="SCW143"/>
      <c r="SCX143"/>
      <c r="SCY143"/>
      <c r="SCZ143"/>
      <c r="SDA143"/>
      <c r="SDB143"/>
      <c r="SDC143"/>
      <c r="SDD143"/>
      <c r="SDE143"/>
      <c r="SDF143"/>
      <c r="SDG143"/>
      <c r="SDH143"/>
      <c r="SDI143"/>
      <c r="SDJ143"/>
      <c r="SDK143"/>
      <c r="SDL143"/>
      <c r="SDM143"/>
      <c r="SDN143"/>
      <c r="SDO143"/>
      <c r="SDP143"/>
      <c r="SDQ143"/>
      <c r="SDR143"/>
      <c r="SDS143"/>
      <c r="SDT143"/>
      <c r="SDU143"/>
      <c r="SDV143"/>
      <c r="SDW143"/>
      <c r="SDX143"/>
      <c r="SDY143"/>
      <c r="SDZ143"/>
      <c r="SEA143"/>
      <c r="SEB143"/>
      <c r="SEC143"/>
      <c r="SED143"/>
      <c r="SEE143"/>
      <c r="SEF143"/>
      <c r="SEG143"/>
      <c r="SEH143"/>
      <c r="SEI143"/>
      <c r="SEJ143"/>
      <c r="SEK143"/>
      <c r="SEL143"/>
      <c r="SEM143"/>
      <c r="SEN143"/>
      <c r="SEO143"/>
      <c r="SEP143"/>
      <c r="SEQ143"/>
      <c r="SER143"/>
      <c r="SES143"/>
      <c r="SET143"/>
      <c r="SEU143"/>
      <c r="SEV143"/>
      <c r="SEW143"/>
      <c r="SEX143"/>
      <c r="SEY143"/>
      <c r="SEZ143"/>
      <c r="SFA143"/>
      <c r="SFB143"/>
      <c r="SFC143"/>
      <c r="SFD143"/>
      <c r="SFE143"/>
      <c r="SFF143"/>
      <c r="SFG143"/>
      <c r="SFH143"/>
      <c r="SFI143"/>
      <c r="SFJ143"/>
      <c r="SFK143"/>
      <c r="SFL143"/>
      <c r="SFM143"/>
      <c r="SFN143"/>
      <c r="SFO143"/>
      <c r="SFP143"/>
      <c r="SFQ143"/>
      <c r="SFR143"/>
      <c r="SFS143"/>
      <c r="SFT143"/>
      <c r="SFU143"/>
      <c r="SFV143"/>
      <c r="SFW143"/>
      <c r="SFX143"/>
      <c r="SFY143"/>
      <c r="SFZ143"/>
      <c r="SGA143"/>
      <c r="SGB143"/>
      <c r="SGC143"/>
      <c r="SGD143"/>
      <c r="SGE143"/>
      <c r="SGF143"/>
      <c r="SGG143"/>
      <c r="SGH143"/>
      <c r="SGI143"/>
      <c r="SGJ143"/>
      <c r="SGK143"/>
      <c r="SGL143"/>
      <c r="SGM143"/>
      <c r="SGN143"/>
      <c r="SGO143"/>
      <c r="SGP143"/>
      <c r="SGQ143"/>
      <c r="SGR143"/>
      <c r="SGS143"/>
      <c r="SGT143"/>
      <c r="SGU143"/>
      <c r="SGV143"/>
      <c r="SGW143"/>
      <c r="SGX143"/>
      <c r="SGY143"/>
      <c r="SGZ143"/>
      <c r="SHA143"/>
      <c r="SHB143"/>
      <c r="SHC143"/>
      <c r="SHD143"/>
      <c r="SHE143"/>
      <c r="SHF143"/>
      <c r="SHG143"/>
      <c r="SHH143"/>
      <c r="SHI143"/>
      <c r="SHJ143"/>
      <c r="SHK143"/>
      <c r="SHL143"/>
      <c r="SHM143"/>
      <c r="SHN143"/>
      <c r="SHO143"/>
      <c r="SHP143"/>
      <c r="SHQ143"/>
      <c r="SHR143"/>
      <c r="SHS143"/>
      <c r="SHT143"/>
      <c r="SHU143"/>
      <c r="SHV143"/>
      <c r="SHW143"/>
      <c r="SHX143"/>
      <c r="SHY143"/>
      <c r="SHZ143"/>
      <c r="SIA143"/>
      <c r="SIB143"/>
      <c r="SIC143"/>
      <c r="SID143"/>
      <c r="SIE143"/>
      <c r="SIF143"/>
      <c r="SIG143"/>
      <c r="SIH143"/>
      <c r="SII143"/>
      <c r="SIJ143"/>
      <c r="SIK143"/>
      <c r="SIL143"/>
      <c r="SIM143"/>
      <c r="SIN143"/>
      <c r="SIO143"/>
      <c r="SIP143"/>
      <c r="SIQ143"/>
      <c r="SIR143"/>
      <c r="SIS143"/>
      <c r="SIT143"/>
      <c r="SIU143"/>
      <c r="SIV143"/>
      <c r="SIW143"/>
      <c r="SIX143"/>
      <c r="SIY143"/>
      <c r="SIZ143"/>
      <c r="SJA143"/>
      <c r="SJB143"/>
      <c r="SJC143"/>
      <c r="SJD143"/>
      <c r="SJE143"/>
      <c r="SJF143"/>
      <c r="SJG143"/>
      <c r="SJH143"/>
      <c r="SJI143"/>
      <c r="SJJ143"/>
      <c r="SJK143"/>
      <c r="SJL143"/>
      <c r="SJM143"/>
      <c r="SJN143"/>
      <c r="SJO143"/>
      <c r="SJP143"/>
      <c r="SJQ143"/>
      <c r="SJR143"/>
      <c r="SJS143"/>
      <c r="SJT143"/>
      <c r="SJU143"/>
      <c r="SJV143"/>
      <c r="SJW143"/>
      <c r="SJX143"/>
      <c r="SJY143"/>
      <c r="SJZ143"/>
      <c r="SKA143"/>
      <c r="SKB143"/>
      <c r="SKC143"/>
      <c r="SKD143"/>
      <c r="SKE143"/>
      <c r="SKF143"/>
      <c r="SKG143"/>
      <c r="SKH143"/>
      <c r="SKI143"/>
      <c r="SKJ143"/>
      <c r="SKK143"/>
      <c r="SKL143"/>
      <c r="SKM143"/>
      <c r="SKN143"/>
      <c r="SKO143"/>
      <c r="SKP143"/>
      <c r="SKQ143"/>
      <c r="SKR143"/>
      <c r="SKS143"/>
      <c r="SKT143"/>
      <c r="SKU143"/>
      <c r="SKV143"/>
      <c r="SKW143"/>
      <c r="SKX143"/>
      <c r="SKY143"/>
      <c r="SKZ143"/>
      <c r="SLA143"/>
      <c r="SLB143"/>
      <c r="SLC143"/>
      <c r="SLD143"/>
      <c r="SLE143"/>
      <c r="SLF143"/>
      <c r="SLG143"/>
      <c r="SLH143"/>
      <c r="SLI143"/>
      <c r="SLJ143"/>
      <c r="SLK143"/>
      <c r="SLL143"/>
      <c r="SLM143"/>
      <c r="SLN143"/>
      <c r="SLO143"/>
      <c r="SLP143"/>
      <c r="SLQ143"/>
      <c r="SLR143"/>
      <c r="SLS143"/>
      <c r="SLT143"/>
      <c r="SLU143"/>
      <c r="SLV143"/>
      <c r="SLW143"/>
      <c r="SLX143"/>
      <c r="SLY143"/>
      <c r="SLZ143"/>
      <c r="SMA143"/>
      <c r="SMB143"/>
      <c r="SMC143"/>
      <c r="SMD143"/>
      <c r="SME143"/>
      <c r="SMF143"/>
      <c r="SMG143"/>
      <c r="SMH143"/>
      <c r="SMI143"/>
      <c r="SMJ143"/>
      <c r="SMK143"/>
      <c r="SML143"/>
      <c r="SMM143"/>
      <c r="SMN143"/>
      <c r="SMO143"/>
      <c r="SMP143"/>
      <c r="SMQ143"/>
      <c r="SMR143"/>
      <c r="SMS143"/>
      <c r="SMT143"/>
      <c r="SMU143"/>
      <c r="SMV143"/>
      <c r="SMW143"/>
      <c r="SMX143"/>
      <c r="SMY143"/>
      <c r="SMZ143"/>
      <c r="SNA143"/>
      <c r="SNB143"/>
      <c r="SNC143"/>
      <c r="SND143"/>
      <c r="SNE143"/>
      <c r="SNF143"/>
      <c r="SNG143"/>
      <c r="SNH143"/>
      <c r="SNI143"/>
      <c r="SNJ143"/>
      <c r="SNK143"/>
      <c r="SNL143"/>
      <c r="SNM143"/>
      <c r="SNN143"/>
      <c r="SNO143"/>
      <c r="SNP143"/>
      <c r="SNQ143"/>
      <c r="SNR143"/>
      <c r="SNS143"/>
      <c r="SNT143"/>
      <c r="SNU143"/>
      <c r="SNV143"/>
      <c r="SNW143"/>
      <c r="SNX143"/>
      <c r="SNY143"/>
      <c r="SNZ143"/>
      <c r="SOA143"/>
      <c r="SOB143"/>
      <c r="SOC143"/>
      <c r="SOD143"/>
      <c r="SOE143"/>
      <c r="SOF143"/>
      <c r="SOG143"/>
      <c r="SOH143"/>
      <c r="SOI143"/>
      <c r="SOJ143"/>
      <c r="SOK143"/>
      <c r="SOL143"/>
      <c r="SOM143"/>
      <c r="SON143"/>
      <c r="SOO143"/>
      <c r="SOP143"/>
      <c r="SOQ143"/>
      <c r="SOR143"/>
      <c r="SOS143"/>
      <c r="SOT143"/>
      <c r="SOU143"/>
      <c r="SOV143"/>
      <c r="SOW143"/>
      <c r="SOX143"/>
      <c r="SOY143"/>
      <c r="SOZ143"/>
      <c r="SPA143"/>
      <c r="SPB143"/>
      <c r="SPC143"/>
      <c r="SPD143"/>
      <c r="SPE143"/>
      <c r="SPF143"/>
      <c r="SPG143"/>
      <c r="SPH143"/>
      <c r="SPI143"/>
      <c r="SPJ143"/>
      <c r="SPK143"/>
      <c r="SPL143"/>
      <c r="SPM143"/>
      <c r="SPN143"/>
      <c r="SPO143"/>
      <c r="SPP143"/>
      <c r="SPQ143"/>
      <c r="SPR143"/>
      <c r="SPS143"/>
      <c r="SPT143"/>
      <c r="SPU143"/>
      <c r="SPV143"/>
      <c r="SPW143"/>
      <c r="SPX143"/>
      <c r="SPY143"/>
      <c r="SPZ143"/>
      <c r="SQA143"/>
      <c r="SQB143"/>
      <c r="SQC143"/>
      <c r="SQD143"/>
      <c r="SQE143"/>
      <c r="SQF143"/>
      <c r="SQG143"/>
      <c r="SQH143"/>
      <c r="SQI143"/>
      <c r="SQJ143"/>
      <c r="SQK143"/>
      <c r="SQL143"/>
      <c r="SQM143"/>
      <c r="SQN143"/>
      <c r="SQO143"/>
      <c r="SQP143"/>
      <c r="SQQ143"/>
      <c r="SQR143"/>
      <c r="SQS143"/>
      <c r="SQT143"/>
      <c r="SQU143"/>
      <c r="SQV143"/>
      <c r="SQW143"/>
      <c r="SQX143"/>
      <c r="SQY143"/>
      <c r="SQZ143"/>
      <c r="SRA143"/>
      <c r="SRB143"/>
      <c r="SRC143"/>
      <c r="SRD143"/>
      <c r="SRE143"/>
      <c r="SRF143"/>
      <c r="SRG143"/>
      <c r="SRH143"/>
      <c r="SRI143"/>
      <c r="SRJ143"/>
      <c r="SRK143"/>
      <c r="SRL143"/>
      <c r="SRM143"/>
      <c r="SRN143"/>
      <c r="SRO143"/>
      <c r="SRP143"/>
      <c r="SRQ143"/>
      <c r="SRR143"/>
      <c r="SRS143"/>
      <c r="SRT143"/>
      <c r="SRU143"/>
      <c r="SRV143"/>
      <c r="SRW143"/>
      <c r="SRX143"/>
      <c r="SRY143"/>
      <c r="SRZ143"/>
      <c r="SSA143"/>
      <c r="SSB143"/>
      <c r="SSC143"/>
      <c r="SSD143"/>
      <c r="SSE143"/>
      <c r="SSF143"/>
      <c r="SSG143"/>
      <c r="SSH143"/>
      <c r="SSI143"/>
      <c r="SSJ143"/>
      <c r="SSK143"/>
      <c r="SSL143"/>
      <c r="SSM143"/>
      <c r="SSN143"/>
      <c r="SSO143"/>
      <c r="SSP143"/>
      <c r="SSQ143"/>
      <c r="SSR143"/>
      <c r="SSS143"/>
      <c r="SST143"/>
      <c r="SSU143"/>
      <c r="SSV143"/>
      <c r="SSW143"/>
      <c r="SSX143"/>
      <c r="SSY143"/>
      <c r="SSZ143"/>
      <c r="STA143"/>
      <c r="STB143"/>
      <c r="STC143"/>
      <c r="STD143"/>
      <c r="STE143"/>
      <c r="STF143"/>
      <c r="STG143"/>
      <c r="STH143"/>
      <c r="STI143"/>
      <c r="STJ143"/>
      <c r="STK143"/>
      <c r="STL143"/>
      <c r="STM143"/>
      <c r="STN143"/>
      <c r="STO143"/>
      <c r="STP143"/>
      <c r="STQ143"/>
      <c r="STR143"/>
      <c r="STS143"/>
      <c r="STT143"/>
      <c r="STU143"/>
      <c r="STV143"/>
      <c r="STW143"/>
      <c r="STX143"/>
      <c r="STY143"/>
      <c r="STZ143"/>
      <c r="SUA143"/>
      <c r="SUB143"/>
      <c r="SUC143"/>
      <c r="SUD143"/>
      <c r="SUE143"/>
      <c r="SUF143"/>
      <c r="SUG143"/>
      <c r="SUH143"/>
      <c r="SUI143"/>
      <c r="SUJ143"/>
      <c r="SUK143"/>
      <c r="SUL143"/>
      <c r="SUM143"/>
      <c r="SUN143"/>
      <c r="SUO143"/>
      <c r="SUP143"/>
      <c r="SUQ143"/>
      <c r="SUR143"/>
      <c r="SUS143"/>
      <c r="SUT143"/>
      <c r="SUU143"/>
      <c r="SUV143"/>
      <c r="SUW143"/>
      <c r="SUX143"/>
      <c r="SUY143"/>
      <c r="SUZ143"/>
      <c r="SVA143"/>
      <c r="SVB143"/>
      <c r="SVC143"/>
      <c r="SVD143"/>
      <c r="SVE143"/>
      <c r="SVF143"/>
      <c r="SVG143"/>
      <c r="SVH143"/>
      <c r="SVI143"/>
      <c r="SVJ143"/>
      <c r="SVK143"/>
      <c r="SVL143"/>
      <c r="SVM143"/>
      <c r="SVN143"/>
      <c r="SVO143"/>
      <c r="SVP143"/>
      <c r="SVQ143"/>
      <c r="SVR143"/>
      <c r="SVS143"/>
      <c r="SVT143"/>
      <c r="SVU143"/>
      <c r="SVV143"/>
      <c r="SVW143"/>
      <c r="SVX143"/>
      <c r="SVY143"/>
      <c r="SVZ143"/>
      <c r="SWA143"/>
      <c r="SWB143"/>
      <c r="SWC143"/>
      <c r="SWD143"/>
      <c r="SWE143"/>
      <c r="SWF143"/>
      <c r="SWG143"/>
      <c r="SWH143"/>
      <c r="SWI143"/>
      <c r="SWJ143"/>
      <c r="SWK143"/>
      <c r="SWL143"/>
      <c r="SWM143"/>
      <c r="SWN143"/>
      <c r="SWO143"/>
      <c r="SWP143"/>
      <c r="SWQ143"/>
      <c r="SWR143"/>
      <c r="SWS143"/>
      <c r="SWT143"/>
      <c r="SWU143"/>
      <c r="SWV143"/>
      <c r="SWW143"/>
      <c r="SWX143"/>
      <c r="SWY143"/>
      <c r="SWZ143"/>
      <c r="SXA143"/>
      <c r="SXB143"/>
      <c r="SXC143"/>
      <c r="SXD143"/>
      <c r="SXE143"/>
      <c r="SXF143"/>
      <c r="SXG143"/>
      <c r="SXH143"/>
      <c r="SXI143"/>
      <c r="SXJ143"/>
      <c r="SXK143"/>
      <c r="SXL143"/>
      <c r="SXM143"/>
      <c r="SXN143"/>
      <c r="SXO143"/>
      <c r="SXP143"/>
      <c r="SXQ143"/>
      <c r="SXR143"/>
      <c r="SXS143"/>
      <c r="SXT143"/>
      <c r="SXU143"/>
      <c r="SXV143"/>
      <c r="SXW143"/>
      <c r="SXX143"/>
      <c r="SXY143"/>
      <c r="SXZ143"/>
      <c r="SYA143"/>
      <c r="SYB143"/>
      <c r="SYC143"/>
      <c r="SYD143"/>
      <c r="SYE143"/>
      <c r="SYF143"/>
      <c r="SYG143"/>
      <c r="SYH143"/>
      <c r="SYI143"/>
      <c r="SYJ143"/>
      <c r="SYK143"/>
      <c r="SYL143"/>
      <c r="SYM143"/>
      <c r="SYN143"/>
      <c r="SYO143"/>
      <c r="SYP143"/>
      <c r="SYQ143"/>
      <c r="SYR143"/>
      <c r="SYS143"/>
      <c r="SYT143"/>
      <c r="SYU143"/>
      <c r="SYV143"/>
      <c r="SYW143"/>
      <c r="SYX143"/>
      <c r="SYY143"/>
      <c r="SYZ143"/>
      <c r="SZA143"/>
      <c r="SZB143"/>
      <c r="SZC143"/>
      <c r="SZD143"/>
      <c r="SZE143"/>
      <c r="SZF143"/>
      <c r="SZG143"/>
      <c r="SZH143"/>
      <c r="SZI143"/>
      <c r="SZJ143"/>
      <c r="SZK143"/>
      <c r="SZL143"/>
      <c r="SZM143"/>
      <c r="SZN143"/>
      <c r="SZO143"/>
      <c r="SZP143"/>
      <c r="SZQ143"/>
      <c r="SZR143"/>
      <c r="SZS143"/>
      <c r="SZT143"/>
      <c r="SZU143"/>
      <c r="SZV143"/>
      <c r="SZW143"/>
      <c r="SZX143"/>
      <c r="SZY143"/>
      <c r="SZZ143"/>
      <c r="TAA143"/>
      <c r="TAB143"/>
      <c r="TAC143"/>
      <c r="TAD143"/>
      <c r="TAE143"/>
      <c r="TAF143"/>
      <c r="TAG143"/>
      <c r="TAH143"/>
      <c r="TAI143"/>
      <c r="TAJ143"/>
      <c r="TAK143"/>
      <c r="TAL143"/>
      <c r="TAM143"/>
      <c r="TAN143"/>
      <c r="TAO143"/>
      <c r="TAP143"/>
      <c r="TAQ143"/>
      <c r="TAR143"/>
      <c r="TAS143"/>
      <c r="TAT143"/>
      <c r="TAU143"/>
      <c r="TAV143"/>
      <c r="TAW143"/>
      <c r="TAX143"/>
      <c r="TAY143"/>
      <c r="TAZ143"/>
      <c r="TBA143"/>
      <c r="TBB143"/>
      <c r="TBC143"/>
      <c r="TBD143"/>
      <c r="TBE143"/>
      <c r="TBF143"/>
      <c r="TBG143"/>
      <c r="TBH143"/>
      <c r="TBI143"/>
      <c r="TBJ143"/>
      <c r="TBK143"/>
      <c r="TBL143"/>
      <c r="TBM143"/>
      <c r="TBN143"/>
      <c r="TBO143"/>
      <c r="TBP143"/>
      <c r="TBQ143"/>
      <c r="TBR143"/>
      <c r="TBS143"/>
      <c r="TBT143"/>
      <c r="TBU143"/>
      <c r="TBV143"/>
      <c r="TBW143"/>
      <c r="TBX143"/>
      <c r="TBY143"/>
      <c r="TBZ143"/>
      <c r="TCA143"/>
      <c r="TCB143"/>
      <c r="TCC143"/>
      <c r="TCD143"/>
      <c r="TCE143"/>
      <c r="TCF143"/>
      <c r="TCG143"/>
      <c r="TCH143"/>
      <c r="TCI143"/>
      <c r="TCJ143"/>
      <c r="TCK143"/>
      <c r="TCL143"/>
      <c r="TCM143"/>
      <c r="TCN143"/>
      <c r="TCO143"/>
      <c r="TCP143"/>
      <c r="TCQ143"/>
      <c r="TCR143"/>
      <c r="TCS143"/>
      <c r="TCT143"/>
      <c r="TCU143"/>
      <c r="TCV143"/>
      <c r="TCW143"/>
      <c r="TCX143"/>
      <c r="TCY143"/>
      <c r="TCZ143"/>
      <c r="TDA143"/>
      <c r="TDB143"/>
      <c r="TDC143"/>
      <c r="TDD143"/>
      <c r="TDE143"/>
      <c r="TDF143"/>
      <c r="TDG143"/>
      <c r="TDH143"/>
      <c r="TDI143"/>
      <c r="TDJ143"/>
      <c r="TDK143"/>
      <c r="TDL143"/>
      <c r="TDM143"/>
      <c r="TDN143"/>
      <c r="TDO143"/>
      <c r="TDP143"/>
      <c r="TDQ143"/>
      <c r="TDR143"/>
      <c r="TDS143"/>
      <c r="TDT143"/>
      <c r="TDU143"/>
      <c r="TDV143"/>
      <c r="TDW143"/>
      <c r="TDX143"/>
      <c r="TDY143"/>
      <c r="TDZ143"/>
      <c r="TEA143"/>
      <c r="TEB143"/>
      <c r="TEC143"/>
      <c r="TED143"/>
      <c r="TEE143"/>
      <c r="TEF143"/>
      <c r="TEG143"/>
      <c r="TEH143"/>
      <c r="TEI143"/>
      <c r="TEJ143"/>
      <c r="TEK143"/>
      <c r="TEL143"/>
      <c r="TEM143"/>
      <c r="TEN143"/>
      <c r="TEO143"/>
      <c r="TEP143"/>
      <c r="TEQ143"/>
      <c r="TER143"/>
      <c r="TES143"/>
      <c r="TET143"/>
      <c r="TEU143"/>
      <c r="TEV143"/>
      <c r="TEW143"/>
      <c r="TEX143"/>
      <c r="TEY143"/>
      <c r="TEZ143"/>
      <c r="TFA143"/>
      <c r="TFB143"/>
      <c r="TFC143"/>
      <c r="TFD143"/>
      <c r="TFE143"/>
      <c r="TFF143"/>
      <c r="TFG143"/>
      <c r="TFH143"/>
      <c r="TFI143"/>
      <c r="TFJ143"/>
      <c r="TFK143"/>
      <c r="TFL143"/>
      <c r="TFM143"/>
      <c r="TFN143"/>
      <c r="TFO143"/>
      <c r="TFP143"/>
      <c r="TFQ143"/>
      <c r="TFR143"/>
      <c r="TFS143"/>
      <c r="TFT143"/>
      <c r="TFU143"/>
      <c r="TFV143"/>
      <c r="TFW143"/>
      <c r="TFX143"/>
      <c r="TFY143"/>
      <c r="TFZ143"/>
      <c r="TGA143"/>
      <c r="TGB143"/>
      <c r="TGC143"/>
      <c r="TGD143"/>
      <c r="TGE143"/>
      <c r="TGF143"/>
      <c r="TGG143"/>
      <c r="TGH143"/>
      <c r="TGI143"/>
      <c r="TGJ143"/>
      <c r="TGK143"/>
      <c r="TGL143"/>
      <c r="TGM143"/>
      <c r="TGN143"/>
      <c r="TGO143"/>
      <c r="TGP143"/>
      <c r="TGQ143"/>
      <c r="TGR143"/>
      <c r="TGS143"/>
      <c r="TGT143"/>
      <c r="TGU143"/>
      <c r="TGV143"/>
      <c r="TGW143"/>
      <c r="TGX143"/>
      <c r="TGY143"/>
      <c r="TGZ143"/>
      <c r="THA143"/>
      <c r="THB143"/>
      <c r="THC143"/>
      <c r="THD143"/>
      <c r="THE143"/>
      <c r="THF143"/>
      <c r="THG143"/>
      <c r="THH143"/>
      <c r="THI143"/>
      <c r="THJ143"/>
      <c r="THK143"/>
      <c r="THL143"/>
      <c r="THM143"/>
      <c r="THN143"/>
      <c r="THO143"/>
      <c r="THP143"/>
      <c r="THQ143"/>
      <c r="THR143"/>
      <c r="THS143"/>
      <c r="THT143"/>
      <c r="THU143"/>
      <c r="THV143"/>
      <c r="THW143"/>
      <c r="THX143"/>
      <c r="THY143"/>
      <c r="THZ143"/>
      <c r="TIA143"/>
      <c r="TIB143"/>
      <c r="TIC143"/>
      <c r="TID143"/>
      <c r="TIE143"/>
      <c r="TIF143"/>
      <c r="TIG143"/>
      <c r="TIH143"/>
      <c r="TII143"/>
      <c r="TIJ143"/>
      <c r="TIK143"/>
      <c r="TIL143"/>
      <c r="TIM143"/>
      <c r="TIN143"/>
      <c r="TIO143"/>
      <c r="TIP143"/>
      <c r="TIQ143"/>
      <c r="TIR143"/>
      <c r="TIS143"/>
      <c r="TIT143"/>
      <c r="TIU143"/>
      <c r="TIV143"/>
      <c r="TIW143"/>
      <c r="TIX143"/>
      <c r="TIY143"/>
      <c r="TIZ143"/>
      <c r="TJA143"/>
      <c r="TJB143"/>
      <c r="TJC143"/>
      <c r="TJD143"/>
      <c r="TJE143"/>
      <c r="TJF143"/>
      <c r="TJG143"/>
      <c r="TJH143"/>
      <c r="TJI143"/>
      <c r="TJJ143"/>
      <c r="TJK143"/>
      <c r="TJL143"/>
      <c r="TJM143"/>
      <c r="TJN143"/>
      <c r="TJO143"/>
      <c r="TJP143"/>
      <c r="TJQ143"/>
      <c r="TJR143"/>
      <c r="TJS143"/>
      <c r="TJT143"/>
      <c r="TJU143"/>
      <c r="TJV143"/>
      <c r="TJW143"/>
      <c r="TJX143"/>
      <c r="TJY143"/>
      <c r="TJZ143"/>
      <c r="TKA143"/>
      <c r="TKB143"/>
      <c r="TKC143"/>
      <c r="TKD143"/>
      <c r="TKE143"/>
      <c r="TKF143"/>
      <c r="TKG143"/>
      <c r="TKH143"/>
      <c r="TKI143"/>
      <c r="TKJ143"/>
      <c r="TKK143"/>
      <c r="TKL143"/>
      <c r="TKM143"/>
      <c r="TKN143"/>
      <c r="TKO143"/>
      <c r="TKP143"/>
      <c r="TKQ143"/>
      <c r="TKR143"/>
      <c r="TKS143"/>
      <c r="TKT143"/>
      <c r="TKU143"/>
      <c r="TKV143"/>
      <c r="TKW143"/>
      <c r="TKX143"/>
      <c r="TKY143"/>
      <c r="TKZ143"/>
      <c r="TLA143"/>
      <c r="TLB143"/>
      <c r="TLC143"/>
      <c r="TLD143"/>
      <c r="TLE143"/>
      <c r="TLF143"/>
      <c r="TLG143"/>
      <c r="TLH143"/>
      <c r="TLI143"/>
      <c r="TLJ143"/>
      <c r="TLK143"/>
      <c r="TLL143"/>
      <c r="TLM143"/>
      <c r="TLN143"/>
      <c r="TLO143"/>
      <c r="TLP143"/>
      <c r="TLQ143"/>
      <c r="TLR143"/>
      <c r="TLS143"/>
      <c r="TLT143"/>
      <c r="TLU143"/>
      <c r="TLV143"/>
      <c r="TLW143"/>
      <c r="TLX143"/>
      <c r="TLY143"/>
      <c r="TLZ143"/>
      <c r="TMA143"/>
      <c r="TMB143"/>
      <c r="TMC143"/>
      <c r="TMD143"/>
      <c r="TME143"/>
      <c r="TMF143"/>
      <c r="TMG143"/>
      <c r="TMH143"/>
      <c r="TMI143"/>
      <c r="TMJ143"/>
      <c r="TMK143"/>
      <c r="TML143"/>
      <c r="TMM143"/>
      <c r="TMN143"/>
      <c r="TMO143"/>
      <c r="TMP143"/>
      <c r="TMQ143"/>
      <c r="TMR143"/>
      <c r="TMS143"/>
      <c r="TMT143"/>
      <c r="TMU143"/>
      <c r="TMV143"/>
      <c r="TMW143"/>
      <c r="TMX143"/>
      <c r="TMY143"/>
      <c r="TMZ143"/>
      <c r="TNA143"/>
      <c r="TNB143"/>
      <c r="TNC143"/>
      <c r="TND143"/>
      <c r="TNE143"/>
      <c r="TNF143"/>
      <c r="TNG143"/>
      <c r="TNH143"/>
      <c r="TNI143"/>
      <c r="TNJ143"/>
      <c r="TNK143"/>
      <c r="TNL143"/>
      <c r="TNM143"/>
      <c r="TNN143"/>
      <c r="TNO143"/>
      <c r="TNP143"/>
      <c r="TNQ143"/>
      <c r="TNR143"/>
      <c r="TNS143"/>
      <c r="TNT143"/>
      <c r="TNU143"/>
      <c r="TNV143"/>
      <c r="TNW143"/>
      <c r="TNX143"/>
      <c r="TNY143"/>
      <c r="TNZ143"/>
      <c r="TOA143"/>
      <c r="TOB143"/>
      <c r="TOC143"/>
      <c r="TOD143"/>
      <c r="TOE143"/>
      <c r="TOF143"/>
      <c r="TOG143"/>
      <c r="TOH143"/>
      <c r="TOI143"/>
      <c r="TOJ143"/>
      <c r="TOK143"/>
      <c r="TOL143"/>
      <c r="TOM143"/>
      <c r="TON143"/>
      <c r="TOO143"/>
      <c r="TOP143"/>
      <c r="TOQ143"/>
      <c r="TOR143"/>
      <c r="TOS143"/>
      <c r="TOT143"/>
      <c r="TOU143"/>
      <c r="TOV143"/>
      <c r="TOW143"/>
      <c r="TOX143"/>
      <c r="TOY143"/>
      <c r="TOZ143"/>
      <c r="TPA143"/>
      <c r="TPB143"/>
      <c r="TPC143"/>
      <c r="TPD143"/>
      <c r="TPE143"/>
      <c r="TPF143"/>
      <c r="TPG143"/>
      <c r="TPH143"/>
      <c r="TPI143"/>
      <c r="TPJ143"/>
      <c r="TPK143"/>
      <c r="TPL143"/>
      <c r="TPM143"/>
      <c r="TPN143"/>
      <c r="TPO143"/>
      <c r="TPP143"/>
      <c r="TPQ143"/>
      <c r="TPR143"/>
      <c r="TPS143"/>
      <c r="TPT143"/>
      <c r="TPU143"/>
      <c r="TPV143"/>
      <c r="TPW143"/>
      <c r="TPX143"/>
      <c r="TPY143"/>
      <c r="TPZ143"/>
      <c r="TQA143"/>
      <c r="TQB143"/>
      <c r="TQC143"/>
      <c r="TQD143"/>
      <c r="TQE143"/>
      <c r="TQF143"/>
      <c r="TQG143"/>
      <c r="TQH143"/>
      <c r="TQI143"/>
      <c r="TQJ143"/>
      <c r="TQK143"/>
      <c r="TQL143"/>
      <c r="TQM143"/>
      <c r="TQN143"/>
      <c r="TQO143"/>
      <c r="TQP143"/>
      <c r="TQQ143"/>
      <c r="TQR143"/>
      <c r="TQS143"/>
      <c r="TQT143"/>
      <c r="TQU143"/>
      <c r="TQV143"/>
      <c r="TQW143"/>
      <c r="TQX143"/>
      <c r="TQY143"/>
      <c r="TQZ143"/>
      <c r="TRA143"/>
      <c r="TRB143"/>
      <c r="TRC143"/>
      <c r="TRD143"/>
      <c r="TRE143"/>
      <c r="TRF143"/>
      <c r="TRG143"/>
      <c r="TRH143"/>
      <c r="TRI143"/>
      <c r="TRJ143"/>
      <c r="TRK143"/>
      <c r="TRL143"/>
      <c r="TRM143"/>
      <c r="TRN143"/>
      <c r="TRO143"/>
      <c r="TRP143"/>
      <c r="TRQ143"/>
      <c r="TRR143"/>
      <c r="TRS143"/>
      <c r="TRT143"/>
      <c r="TRU143"/>
      <c r="TRV143"/>
      <c r="TRW143"/>
      <c r="TRX143"/>
      <c r="TRY143"/>
      <c r="TRZ143"/>
      <c r="TSA143"/>
      <c r="TSB143"/>
      <c r="TSC143"/>
      <c r="TSD143"/>
      <c r="TSE143"/>
      <c r="TSF143"/>
      <c r="TSG143"/>
      <c r="TSH143"/>
      <c r="TSI143"/>
      <c r="TSJ143"/>
      <c r="TSK143"/>
      <c r="TSL143"/>
      <c r="TSM143"/>
      <c r="TSN143"/>
      <c r="TSO143"/>
      <c r="TSP143"/>
      <c r="TSQ143"/>
      <c r="TSR143"/>
      <c r="TSS143"/>
      <c r="TST143"/>
      <c r="TSU143"/>
      <c r="TSV143"/>
      <c r="TSW143"/>
      <c r="TSX143"/>
      <c r="TSY143"/>
      <c r="TSZ143"/>
      <c r="TTA143"/>
      <c r="TTB143"/>
      <c r="TTC143"/>
      <c r="TTD143"/>
      <c r="TTE143"/>
      <c r="TTF143"/>
      <c r="TTG143"/>
      <c r="TTH143"/>
      <c r="TTI143"/>
      <c r="TTJ143"/>
      <c r="TTK143"/>
      <c r="TTL143"/>
      <c r="TTM143"/>
      <c r="TTN143"/>
      <c r="TTO143"/>
      <c r="TTP143"/>
      <c r="TTQ143"/>
      <c r="TTR143"/>
      <c r="TTS143"/>
      <c r="TTT143"/>
      <c r="TTU143"/>
      <c r="TTV143"/>
      <c r="TTW143"/>
      <c r="TTX143"/>
      <c r="TTY143"/>
      <c r="TTZ143"/>
      <c r="TUA143"/>
      <c r="TUB143"/>
      <c r="TUC143"/>
      <c r="TUD143"/>
      <c r="TUE143"/>
      <c r="TUF143"/>
      <c r="TUG143"/>
      <c r="TUH143"/>
      <c r="TUI143"/>
      <c r="TUJ143"/>
      <c r="TUK143"/>
      <c r="TUL143"/>
      <c r="TUM143"/>
      <c r="TUN143"/>
      <c r="TUO143"/>
      <c r="TUP143"/>
      <c r="TUQ143"/>
      <c r="TUR143"/>
      <c r="TUS143"/>
      <c r="TUT143"/>
      <c r="TUU143"/>
      <c r="TUV143"/>
      <c r="TUW143"/>
      <c r="TUX143"/>
      <c r="TUY143"/>
      <c r="TUZ143"/>
      <c r="TVA143"/>
      <c r="TVB143"/>
      <c r="TVC143"/>
      <c r="TVD143"/>
      <c r="TVE143"/>
      <c r="TVF143"/>
      <c r="TVG143"/>
      <c r="TVH143"/>
      <c r="TVI143"/>
      <c r="TVJ143"/>
      <c r="TVK143"/>
      <c r="TVL143"/>
      <c r="TVM143"/>
      <c r="TVN143"/>
      <c r="TVO143"/>
      <c r="TVP143"/>
      <c r="TVQ143"/>
      <c r="TVR143"/>
      <c r="TVS143"/>
      <c r="TVT143"/>
      <c r="TVU143"/>
      <c r="TVV143"/>
      <c r="TVW143"/>
      <c r="TVX143"/>
      <c r="TVY143"/>
      <c r="TVZ143"/>
      <c r="TWA143"/>
      <c r="TWB143"/>
      <c r="TWC143"/>
      <c r="TWD143"/>
      <c r="TWE143"/>
      <c r="TWF143"/>
      <c r="TWG143"/>
      <c r="TWH143"/>
      <c r="TWI143"/>
      <c r="TWJ143"/>
      <c r="TWK143"/>
      <c r="TWL143"/>
      <c r="TWM143"/>
      <c r="TWN143"/>
      <c r="TWO143"/>
      <c r="TWP143"/>
      <c r="TWQ143"/>
      <c r="TWR143"/>
      <c r="TWS143"/>
      <c r="TWT143"/>
      <c r="TWU143"/>
      <c r="TWV143"/>
      <c r="TWW143"/>
      <c r="TWX143"/>
      <c r="TWY143"/>
      <c r="TWZ143"/>
      <c r="TXA143"/>
      <c r="TXB143"/>
      <c r="TXC143"/>
      <c r="TXD143"/>
      <c r="TXE143"/>
      <c r="TXF143"/>
      <c r="TXG143"/>
      <c r="TXH143"/>
      <c r="TXI143"/>
      <c r="TXJ143"/>
      <c r="TXK143"/>
      <c r="TXL143"/>
      <c r="TXM143"/>
      <c r="TXN143"/>
      <c r="TXO143"/>
      <c r="TXP143"/>
      <c r="TXQ143"/>
      <c r="TXR143"/>
      <c r="TXS143"/>
      <c r="TXT143"/>
      <c r="TXU143"/>
      <c r="TXV143"/>
      <c r="TXW143"/>
      <c r="TXX143"/>
      <c r="TXY143"/>
      <c r="TXZ143"/>
      <c r="TYA143"/>
      <c r="TYB143"/>
      <c r="TYC143"/>
      <c r="TYD143"/>
      <c r="TYE143"/>
      <c r="TYF143"/>
      <c r="TYG143"/>
      <c r="TYH143"/>
      <c r="TYI143"/>
      <c r="TYJ143"/>
      <c r="TYK143"/>
      <c r="TYL143"/>
      <c r="TYM143"/>
      <c r="TYN143"/>
      <c r="TYO143"/>
      <c r="TYP143"/>
      <c r="TYQ143"/>
      <c r="TYR143"/>
      <c r="TYS143"/>
      <c r="TYT143"/>
      <c r="TYU143"/>
      <c r="TYV143"/>
      <c r="TYW143"/>
      <c r="TYX143"/>
      <c r="TYY143"/>
      <c r="TYZ143"/>
      <c r="TZA143"/>
      <c r="TZB143"/>
      <c r="TZC143"/>
      <c r="TZD143"/>
      <c r="TZE143"/>
      <c r="TZF143"/>
      <c r="TZG143"/>
      <c r="TZH143"/>
      <c r="TZI143"/>
      <c r="TZJ143"/>
      <c r="TZK143"/>
      <c r="TZL143"/>
      <c r="TZM143"/>
      <c r="TZN143"/>
      <c r="TZO143"/>
      <c r="TZP143"/>
      <c r="TZQ143"/>
      <c r="TZR143"/>
      <c r="TZS143"/>
      <c r="TZT143"/>
      <c r="TZU143"/>
      <c r="TZV143"/>
      <c r="TZW143"/>
      <c r="TZX143"/>
      <c r="TZY143"/>
      <c r="TZZ143"/>
      <c r="UAA143"/>
      <c r="UAB143"/>
      <c r="UAC143"/>
      <c r="UAD143"/>
      <c r="UAE143"/>
      <c r="UAF143"/>
      <c r="UAG143"/>
      <c r="UAH143"/>
      <c r="UAI143"/>
      <c r="UAJ143"/>
      <c r="UAK143"/>
      <c r="UAL143"/>
      <c r="UAM143"/>
      <c r="UAN143"/>
      <c r="UAO143"/>
      <c r="UAP143"/>
      <c r="UAQ143"/>
      <c r="UAR143"/>
      <c r="UAS143"/>
      <c r="UAT143"/>
      <c r="UAU143"/>
      <c r="UAV143"/>
      <c r="UAW143"/>
      <c r="UAX143"/>
      <c r="UAY143"/>
      <c r="UAZ143"/>
      <c r="UBA143"/>
      <c r="UBB143"/>
      <c r="UBC143"/>
      <c r="UBD143"/>
      <c r="UBE143"/>
      <c r="UBF143"/>
      <c r="UBG143"/>
      <c r="UBH143"/>
      <c r="UBI143"/>
      <c r="UBJ143"/>
      <c r="UBK143"/>
      <c r="UBL143"/>
      <c r="UBM143"/>
      <c r="UBN143"/>
      <c r="UBO143"/>
      <c r="UBP143"/>
      <c r="UBQ143"/>
      <c r="UBR143"/>
      <c r="UBS143"/>
      <c r="UBT143"/>
      <c r="UBU143"/>
      <c r="UBV143"/>
      <c r="UBW143"/>
      <c r="UBX143"/>
      <c r="UBY143"/>
      <c r="UBZ143"/>
      <c r="UCA143"/>
      <c r="UCB143"/>
      <c r="UCC143"/>
      <c r="UCD143"/>
      <c r="UCE143"/>
      <c r="UCF143"/>
      <c r="UCG143"/>
      <c r="UCH143"/>
      <c r="UCI143"/>
      <c r="UCJ143"/>
      <c r="UCK143"/>
      <c r="UCL143"/>
      <c r="UCM143"/>
      <c r="UCN143"/>
      <c r="UCO143"/>
      <c r="UCP143"/>
      <c r="UCQ143"/>
      <c r="UCR143"/>
      <c r="UCS143"/>
      <c r="UCT143"/>
      <c r="UCU143"/>
      <c r="UCV143"/>
      <c r="UCW143"/>
      <c r="UCX143"/>
      <c r="UCY143"/>
      <c r="UCZ143"/>
      <c r="UDA143"/>
      <c r="UDB143"/>
      <c r="UDC143"/>
      <c r="UDD143"/>
      <c r="UDE143"/>
      <c r="UDF143"/>
      <c r="UDG143"/>
      <c r="UDH143"/>
      <c r="UDI143"/>
      <c r="UDJ143"/>
      <c r="UDK143"/>
      <c r="UDL143"/>
      <c r="UDM143"/>
      <c r="UDN143"/>
      <c r="UDO143"/>
      <c r="UDP143"/>
      <c r="UDQ143"/>
      <c r="UDR143"/>
      <c r="UDS143"/>
      <c r="UDT143"/>
      <c r="UDU143"/>
      <c r="UDV143"/>
      <c r="UDW143"/>
      <c r="UDX143"/>
      <c r="UDY143"/>
      <c r="UDZ143"/>
      <c r="UEA143"/>
      <c r="UEB143"/>
      <c r="UEC143"/>
      <c r="UED143"/>
      <c r="UEE143"/>
      <c r="UEF143"/>
      <c r="UEG143"/>
      <c r="UEH143"/>
      <c r="UEI143"/>
      <c r="UEJ143"/>
      <c r="UEK143"/>
      <c r="UEL143"/>
      <c r="UEM143"/>
      <c r="UEN143"/>
      <c r="UEO143"/>
      <c r="UEP143"/>
      <c r="UEQ143"/>
      <c r="UER143"/>
      <c r="UES143"/>
      <c r="UET143"/>
      <c r="UEU143"/>
      <c r="UEV143"/>
      <c r="UEW143"/>
      <c r="UEX143"/>
      <c r="UEY143"/>
      <c r="UEZ143"/>
      <c r="UFA143"/>
      <c r="UFB143"/>
      <c r="UFC143"/>
      <c r="UFD143"/>
      <c r="UFE143"/>
      <c r="UFF143"/>
      <c r="UFG143"/>
      <c r="UFH143"/>
      <c r="UFI143"/>
      <c r="UFJ143"/>
      <c r="UFK143"/>
      <c r="UFL143"/>
      <c r="UFM143"/>
      <c r="UFN143"/>
      <c r="UFO143"/>
      <c r="UFP143"/>
      <c r="UFQ143"/>
      <c r="UFR143"/>
      <c r="UFS143"/>
      <c r="UFT143"/>
      <c r="UFU143"/>
      <c r="UFV143"/>
      <c r="UFW143"/>
      <c r="UFX143"/>
      <c r="UFY143"/>
      <c r="UFZ143"/>
      <c r="UGA143"/>
      <c r="UGB143"/>
      <c r="UGC143"/>
      <c r="UGD143"/>
      <c r="UGE143"/>
      <c r="UGF143"/>
      <c r="UGG143"/>
      <c r="UGH143"/>
      <c r="UGI143"/>
      <c r="UGJ143"/>
      <c r="UGK143"/>
      <c r="UGL143"/>
      <c r="UGM143"/>
      <c r="UGN143"/>
      <c r="UGO143"/>
      <c r="UGP143"/>
      <c r="UGQ143"/>
      <c r="UGR143"/>
      <c r="UGS143"/>
      <c r="UGT143"/>
      <c r="UGU143"/>
      <c r="UGV143"/>
      <c r="UGW143"/>
      <c r="UGX143"/>
      <c r="UGY143"/>
      <c r="UGZ143"/>
      <c r="UHA143"/>
      <c r="UHB143"/>
      <c r="UHC143"/>
      <c r="UHD143"/>
      <c r="UHE143"/>
      <c r="UHF143"/>
      <c r="UHG143"/>
      <c r="UHH143"/>
      <c r="UHI143"/>
      <c r="UHJ143"/>
      <c r="UHK143"/>
      <c r="UHL143"/>
      <c r="UHM143"/>
      <c r="UHN143"/>
      <c r="UHO143"/>
      <c r="UHP143"/>
      <c r="UHQ143"/>
      <c r="UHR143"/>
      <c r="UHS143"/>
      <c r="UHT143"/>
      <c r="UHU143"/>
      <c r="UHV143"/>
      <c r="UHW143"/>
      <c r="UHX143"/>
      <c r="UHY143"/>
      <c r="UHZ143"/>
      <c r="UIA143"/>
      <c r="UIB143"/>
      <c r="UIC143"/>
      <c r="UID143"/>
      <c r="UIE143"/>
      <c r="UIF143"/>
      <c r="UIG143"/>
      <c r="UIH143"/>
      <c r="UII143"/>
      <c r="UIJ143"/>
      <c r="UIK143"/>
      <c r="UIL143"/>
      <c r="UIM143"/>
      <c r="UIN143"/>
      <c r="UIO143"/>
      <c r="UIP143"/>
      <c r="UIQ143"/>
      <c r="UIR143"/>
      <c r="UIS143"/>
      <c r="UIT143"/>
      <c r="UIU143"/>
      <c r="UIV143"/>
      <c r="UIW143"/>
      <c r="UIX143"/>
      <c r="UIY143"/>
      <c r="UIZ143"/>
      <c r="UJA143"/>
      <c r="UJB143"/>
      <c r="UJC143"/>
      <c r="UJD143"/>
      <c r="UJE143"/>
      <c r="UJF143"/>
      <c r="UJG143"/>
      <c r="UJH143"/>
      <c r="UJI143"/>
      <c r="UJJ143"/>
      <c r="UJK143"/>
      <c r="UJL143"/>
      <c r="UJM143"/>
      <c r="UJN143"/>
      <c r="UJO143"/>
      <c r="UJP143"/>
      <c r="UJQ143"/>
      <c r="UJR143"/>
      <c r="UJS143"/>
      <c r="UJT143"/>
      <c r="UJU143"/>
      <c r="UJV143"/>
      <c r="UJW143"/>
      <c r="UJX143"/>
      <c r="UJY143"/>
      <c r="UJZ143"/>
      <c r="UKA143"/>
      <c r="UKB143"/>
      <c r="UKC143"/>
      <c r="UKD143"/>
      <c r="UKE143"/>
      <c r="UKF143"/>
      <c r="UKG143"/>
      <c r="UKH143"/>
      <c r="UKI143"/>
      <c r="UKJ143"/>
      <c r="UKK143"/>
      <c r="UKL143"/>
      <c r="UKM143"/>
      <c r="UKN143"/>
      <c r="UKO143"/>
      <c r="UKP143"/>
      <c r="UKQ143"/>
      <c r="UKR143"/>
      <c r="UKS143"/>
      <c r="UKT143"/>
      <c r="UKU143"/>
      <c r="UKV143"/>
      <c r="UKW143"/>
      <c r="UKX143"/>
      <c r="UKY143"/>
      <c r="UKZ143"/>
      <c r="ULA143"/>
      <c r="ULB143"/>
      <c r="ULC143"/>
      <c r="ULD143"/>
      <c r="ULE143"/>
      <c r="ULF143"/>
      <c r="ULG143"/>
      <c r="ULH143"/>
      <c r="ULI143"/>
      <c r="ULJ143"/>
      <c r="ULK143"/>
      <c r="ULL143"/>
      <c r="ULM143"/>
      <c r="ULN143"/>
      <c r="ULO143"/>
      <c r="ULP143"/>
      <c r="ULQ143"/>
      <c r="ULR143"/>
      <c r="ULS143"/>
      <c r="ULT143"/>
      <c r="ULU143"/>
      <c r="ULV143"/>
      <c r="ULW143"/>
      <c r="ULX143"/>
      <c r="ULY143"/>
      <c r="ULZ143"/>
      <c r="UMA143"/>
      <c r="UMB143"/>
      <c r="UMC143"/>
      <c r="UMD143"/>
      <c r="UME143"/>
      <c r="UMF143"/>
      <c r="UMG143"/>
      <c r="UMH143"/>
      <c r="UMI143"/>
      <c r="UMJ143"/>
      <c r="UMK143"/>
      <c r="UML143"/>
      <c r="UMM143"/>
      <c r="UMN143"/>
      <c r="UMO143"/>
      <c r="UMP143"/>
      <c r="UMQ143"/>
      <c r="UMR143"/>
      <c r="UMS143"/>
      <c r="UMT143"/>
      <c r="UMU143"/>
      <c r="UMV143"/>
      <c r="UMW143"/>
      <c r="UMX143"/>
      <c r="UMY143"/>
      <c r="UMZ143"/>
      <c r="UNA143"/>
      <c r="UNB143"/>
      <c r="UNC143"/>
      <c r="UND143"/>
      <c r="UNE143"/>
      <c r="UNF143"/>
      <c r="UNG143"/>
      <c r="UNH143"/>
      <c r="UNI143"/>
      <c r="UNJ143"/>
      <c r="UNK143"/>
      <c r="UNL143"/>
      <c r="UNM143"/>
      <c r="UNN143"/>
      <c r="UNO143"/>
      <c r="UNP143"/>
      <c r="UNQ143"/>
      <c r="UNR143"/>
      <c r="UNS143"/>
      <c r="UNT143"/>
      <c r="UNU143"/>
      <c r="UNV143"/>
      <c r="UNW143"/>
      <c r="UNX143"/>
      <c r="UNY143"/>
      <c r="UNZ143"/>
      <c r="UOA143"/>
      <c r="UOB143"/>
      <c r="UOC143"/>
      <c r="UOD143"/>
      <c r="UOE143"/>
      <c r="UOF143"/>
      <c r="UOG143"/>
      <c r="UOH143"/>
      <c r="UOI143"/>
      <c r="UOJ143"/>
      <c r="UOK143"/>
      <c r="UOL143"/>
      <c r="UOM143"/>
      <c r="UON143"/>
      <c r="UOO143"/>
      <c r="UOP143"/>
      <c r="UOQ143"/>
      <c r="UOR143"/>
      <c r="UOS143"/>
      <c r="UOT143"/>
      <c r="UOU143"/>
      <c r="UOV143"/>
      <c r="UOW143"/>
      <c r="UOX143"/>
      <c r="UOY143"/>
      <c r="UOZ143"/>
      <c r="UPA143"/>
      <c r="UPB143"/>
      <c r="UPC143"/>
      <c r="UPD143"/>
      <c r="UPE143"/>
      <c r="UPF143"/>
      <c r="UPG143"/>
      <c r="UPH143"/>
      <c r="UPI143"/>
      <c r="UPJ143"/>
      <c r="UPK143"/>
      <c r="UPL143"/>
      <c r="UPM143"/>
      <c r="UPN143"/>
      <c r="UPO143"/>
      <c r="UPP143"/>
      <c r="UPQ143"/>
      <c r="UPR143"/>
      <c r="UPS143"/>
      <c r="UPT143"/>
      <c r="UPU143"/>
      <c r="UPV143"/>
      <c r="UPW143"/>
      <c r="UPX143"/>
      <c r="UPY143"/>
      <c r="UPZ143"/>
      <c r="UQA143"/>
      <c r="UQB143"/>
      <c r="UQC143"/>
      <c r="UQD143"/>
      <c r="UQE143"/>
      <c r="UQF143"/>
      <c r="UQG143"/>
      <c r="UQH143"/>
      <c r="UQI143"/>
      <c r="UQJ143"/>
      <c r="UQK143"/>
      <c r="UQL143"/>
      <c r="UQM143"/>
      <c r="UQN143"/>
      <c r="UQO143"/>
      <c r="UQP143"/>
      <c r="UQQ143"/>
      <c r="UQR143"/>
      <c r="UQS143"/>
      <c r="UQT143"/>
      <c r="UQU143"/>
      <c r="UQV143"/>
      <c r="UQW143"/>
      <c r="UQX143"/>
      <c r="UQY143"/>
      <c r="UQZ143"/>
      <c r="URA143"/>
      <c r="URB143"/>
      <c r="URC143"/>
      <c r="URD143"/>
      <c r="URE143"/>
      <c r="URF143"/>
      <c r="URG143"/>
      <c r="URH143"/>
      <c r="URI143"/>
      <c r="URJ143"/>
      <c r="URK143"/>
      <c r="URL143"/>
      <c r="URM143"/>
      <c r="URN143"/>
      <c r="URO143"/>
      <c r="URP143"/>
      <c r="URQ143"/>
      <c r="URR143"/>
      <c r="URS143"/>
      <c r="URT143"/>
      <c r="URU143"/>
      <c r="URV143"/>
      <c r="URW143"/>
      <c r="URX143"/>
      <c r="URY143"/>
      <c r="URZ143"/>
      <c r="USA143"/>
      <c r="USB143"/>
      <c r="USC143"/>
      <c r="USD143"/>
      <c r="USE143"/>
      <c r="USF143"/>
      <c r="USG143"/>
      <c r="USH143"/>
      <c r="USI143"/>
      <c r="USJ143"/>
      <c r="USK143"/>
      <c r="USL143"/>
      <c r="USM143"/>
      <c r="USN143"/>
      <c r="USO143"/>
      <c r="USP143"/>
      <c r="USQ143"/>
      <c r="USR143"/>
      <c r="USS143"/>
      <c r="UST143"/>
      <c r="USU143"/>
      <c r="USV143"/>
      <c r="USW143"/>
      <c r="USX143"/>
      <c r="USY143"/>
      <c r="USZ143"/>
      <c r="UTA143"/>
      <c r="UTB143"/>
      <c r="UTC143"/>
      <c r="UTD143"/>
      <c r="UTE143"/>
      <c r="UTF143"/>
      <c r="UTG143"/>
      <c r="UTH143"/>
      <c r="UTI143"/>
      <c r="UTJ143"/>
      <c r="UTK143"/>
      <c r="UTL143"/>
      <c r="UTM143"/>
      <c r="UTN143"/>
      <c r="UTO143"/>
      <c r="UTP143"/>
      <c r="UTQ143"/>
      <c r="UTR143"/>
      <c r="UTS143"/>
      <c r="UTT143"/>
      <c r="UTU143"/>
      <c r="UTV143"/>
      <c r="UTW143"/>
      <c r="UTX143"/>
      <c r="UTY143"/>
      <c r="UTZ143"/>
      <c r="UUA143"/>
      <c r="UUB143"/>
      <c r="UUC143"/>
      <c r="UUD143"/>
      <c r="UUE143"/>
      <c r="UUF143"/>
      <c r="UUG143"/>
      <c r="UUH143"/>
      <c r="UUI143"/>
      <c r="UUJ143"/>
      <c r="UUK143"/>
      <c r="UUL143"/>
      <c r="UUM143"/>
      <c r="UUN143"/>
      <c r="UUO143"/>
      <c r="UUP143"/>
      <c r="UUQ143"/>
      <c r="UUR143"/>
      <c r="UUS143"/>
      <c r="UUT143"/>
      <c r="UUU143"/>
      <c r="UUV143"/>
      <c r="UUW143"/>
      <c r="UUX143"/>
      <c r="UUY143"/>
      <c r="UUZ143"/>
      <c r="UVA143"/>
      <c r="UVB143"/>
      <c r="UVC143"/>
      <c r="UVD143"/>
      <c r="UVE143"/>
      <c r="UVF143"/>
      <c r="UVG143"/>
      <c r="UVH143"/>
      <c r="UVI143"/>
      <c r="UVJ143"/>
      <c r="UVK143"/>
      <c r="UVL143"/>
      <c r="UVM143"/>
      <c r="UVN143"/>
      <c r="UVO143"/>
      <c r="UVP143"/>
      <c r="UVQ143"/>
      <c r="UVR143"/>
      <c r="UVS143"/>
      <c r="UVT143"/>
      <c r="UVU143"/>
      <c r="UVV143"/>
      <c r="UVW143"/>
      <c r="UVX143"/>
      <c r="UVY143"/>
      <c r="UVZ143"/>
      <c r="UWA143"/>
      <c r="UWB143"/>
      <c r="UWC143"/>
      <c r="UWD143"/>
      <c r="UWE143"/>
      <c r="UWF143"/>
      <c r="UWG143"/>
      <c r="UWH143"/>
      <c r="UWI143"/>
      <c r="UWJ143"/>
      <c r="UWK143"/>
      <c r="UWL143"/>
      <c r="UWM143"/>
      <c r="UWN143"/>
      <c r="UWO143"/>
      <c r="UWP143"/>
      <c r="UWQ143"/>
      <c r="UWR143"/>
      <c r="UWS143"/>
      <c r="UWT143"/>
      <c r="UWU143"/>
      <c r="UWV143"/>
      <c r="UWW143"/>
      <c r="UWX143"/>
      <c r="UWY143"/>
      <c r="UWZ143"/>
      <c r="UXA143"/>
      <c r="UXB143"/>
      <c r="UXC143"/>
      <c r="UXD143"/>
      <c r="UXE143"/>
      <c r="UXF143"/>
      <c r="UXG143"/>
      <c r="UXH143"/>
      <c r="UXI143"/>
      <c r="UXJ143"/>
      <c r="UXK143"/>
      <c r="UXL143"/>
      <c r="UXM143"/>
      <c r="UXN143"/>
      <c r="UXO143"/>
      <c r="UXP143"/>
      <c r="UXQ143"/>
      <c r="UXR143"/>
      <c r="UXS143"/>
      <c r="UXT143"/>
      <c r="UXU143"/>
      <c r="UXV143"/>
      <c r="UXW143"/>
      <c r="UXX143"/>
      <c r="UXY143"/>
      <c r="UXZ143"/>
      <c r="UYA143"/>
      <c r="UYB143"/>
      <c r="UYC143"/>
      <c r="UYD143"/>
      <c r="UYE143"/>
      <c r="UYF143"/>
      <c r="UYG143"/>
      <c r="UYH143"/>
      <c r="UYI143"/>
      <c r="UYJ143"/>
      <c r="UYK143"/>
      <c r="UYL143"/>
      <c r="UYM143"/>
      <c r="UYN143"/>
      <c r="UYO143"/>
      <c r="UYP143"/>
      <c r="UYQ143"/>
      <c r="UYR143"/>
      <c r="UYS143"/>
      <c r="UYT143"/>
      <c r="UYU143"/>
      <c r="UYV143"/>
      <c r="UYW143"/>
      <c r="UYX143"/>
      <c r="UYY143"/>
      <c r="UYZ143"/>
      <c r="UZA143"/>
      <c r="UZB143"/>
      <c r="UZC143"/>
      <c r="UZD143"/>
      <c r="UZE143"/>
      <c r="UZF143"/>
      <c r="UZG143"/>
      <c r="UZH143"/>
      <c r="UZI143"/>
      <c r="UZJ143"/>
      <c r="UZK143"/>
      <c r="UZL143"/>
      <c r="UZM143"/>
      <c r="UZN143"/>
      <c r="UZO143"/>
      <c r="UZP143"/>
      <c r="UZQ143"/>
      <c r="UZR143"/>
      <c r="UZS143"/>
      <c r="UZT143"/>
      <c r="UZU143"/>
      <c r="UZV143"/>
      <c r="UZW143"/>
      <c r="UZX143"/>
      <c r="UZY143"/>
      <c r="UZZ143"/>
      <c r="VAA143"/>
      <c r="VAB143"/>
      <c r="VAC143"/>
      <c r="VAD143"/>
      <c r="VAE143"/>
      <c r="VAF143"/>
      <c r="VAG143"/>
      <c r="VAH143"/>
      <c r="VAI143"/>
      <c r="VAJ143"/>
      <c r="VAK143"/>
      <c r="VAL143"/>
      <c r="VAM143"/>
      <c r="VAN143"/>
      <c r="VAO143"/>
      <c r="VAP143"/>
      <c r="VAQ143"/>
      <c r="VAR143"/>
      <c r="VAS143"/>
      <c r="VAT143"/>
      <c r="VAU143"/>
      <c r="VAV143"/>
      <c r="VAW143"/>
      <c r="VAX143"/>
      <c r="VAY143"/>
      <c r="VAZ143"/>
      <c r="VBA143"/>
      <c r="VBB143"/>
      <c r="VBC143"/>
      <c r="VBD143"/>
      <c r="VBE143"/>
      <c r="VBF143"/>
      <c r="VBG143"/>
      <c r="VBH143"/>
      <c r="VBI143"/>
      <c r="VBJ143"/>
      <c r="VBK143"/>
      <c r="VBL143"/>
      <c r="VBM143"/>
      <c r="VBN143"/>
      <c r="VBO143"/>
      <c r="VBP143"/>
      <c r="VBQ143"/>
      <c r="VBR143"/>
      <c r="VBS143"/>
      <c r="VBT143"/>
      <c r="VBU143"/>
      <c r="VBV143"/>
      <c r="VBW143"/>
      <c r="VBX143"/>
      <c r="VBY143"/>
      <c r="VBZ143"/>
      <c r="VCA143"/>
      <c r="VCB143"/>
      <c r="VCC143"/>
      <c r="VCD143"/>
      <c r="VCE143"/>
      <c r="VCF143"/>
      <c r="VCG143"/>
      <c r="VCH143"/>
      <c r="VCI143"/>
      <c r="VCJ143"/>
      <c r="VCK143"/>
      <c r="VCL143"/>
      <c r="VCM143"/>
      <c r="VCN143"/>
      <c r="VCO143"/>
      <c r="VCP143"/>
      <c r="VCQ143"/>
      <c r="VCR143"/>
      <c r="VCS143"/>
      <c r="VCT143"/>
      <c r="VCU143"/>
      <c r="VCV143"/>
      <c r="VCW143"/>
      <c r="VCX143"/>
      <c r="VCY143"/>
      <c r="VCZ143"/>
      <c r="VDA143"/>
      <c r="VDB143"/>
      <c r="VDC143"/>
      <c r="VDD143"/>
      <c r="VDE143"/>
      <c r="VDF143"/>
      <c r="VDG143"/>
      <c r="VDH143"/>
      <c r="VDI143"/>
      <c r="VDJ143"/>
      <c r="VDK143"/>
      <c r="VDL143"/>
      <c r="VDM143"/>
      <c r="VDN143"/>
      <c r="VDO143"/>
      <c r="VDP143"/>
      <c r="VDQ143"/>
      <c r="VDR143"/>
      <c r="VDS143"/>
      <c r="VDT143"/>
      <c r="VDU143"/>
      <c r="VDV143"/>
      <c r="VDW143"/>
      <c r="VDX143"/>
      <c r="VDY143"/>
      <c r="VDZ143"/>
      <c r="VEA143"/>
      <c r="VEB143"/>
      <c r="VEC143"/>
      <c r="VED143"/>
      <c r="VEE143"/>
      <c r="VEF143"/>
      <c r="VEG143"/>
      <c r="VEH143"/>
      <c r="VEI143"/>
      <c r="VEJ143"/>
      <c r="VEK143"/>
      <c r="VEL143"/>
      <c r="VEM143"/>
      <c r="VEN143"/>
      <c r="VEO143"/>
      <c r="VEP143"/>
      <c r="VEQ143"/>
      <c r="VER143"/>
      <c r="VES143"/>
      <c r="VET143"/>
      <c r="VEU143"/>
      <c r="VEV143"/>
      <c r="VEW143"/>
      <c r="VEX143"/>
      <c r="VEY143"/>
      <c r="VEZ143"/>
      <c r="VFA143"/>
      <c r="VFB143"/>
      <c r="VFC143"/>
      <c r="VFD143"/>
      <c r="VFE143"/>
      <c r="VFF143"/>
      <c r="VFG143"/>
      <c r="VFH143"/>
      <c r="VFI143"/>
      <c r="VFJ143"/>
      <c r="VFK143"/>
      <c r="VFL143"/>
      <c r="VFM143"/>
      <c r="VFN143"/>
      <c r="VFO143"/>
      <c r="VFP143"/>
      <c r="VFQ143"/>
      <c r="VFR143"/>
      <c r="VFS143"/>
      <c r="VFT143"/>
      <c r="VFU143"/>
      <c r="VFV143"/>
      <c r="VFW143"/>
      <c r="VFX143"/>
      <c r="VFY143"/>
      <c r="VFZ143"/>
      <c r="VGA143"/>
      <c r="VGB143"/>
      <c r="VGC143"/>
      <c r="VGD143"/>
      <c r="VGE143"/>
      <c r="VGF143"/>
      <c r="VGG143"/>
      <c r="VGH143"/>
      <c r="VGI143"/>
      <c r="VGJ143"/>
      <c r="VGK143"/>
      <c r="VGL143"/>
      <c r="VGM143"/>
      <c r="VGN143"/>
      <c r="VGO143"/>
      <c r="VGP143"/>
      <c r="VGQ143"/>
      <c r="VGR143"/>
      <c r="VGS143"/>
      <c r="VGT143"/>
      <c r="VGU143"/>
      <c r="VGV143"/>
      <c r="VGW143"/>
      <c r="VGX143"/>
      <c r="VGY143"/>
      <c r="VGZ143"/>
      <c r="VHA143"/>
      <c r="VHB143"/>
      <c r="VHC143"/>
      <c r="VHD143"/>
      <c r="VHE143"/>
      <c r="VHF143"/>
      <c r="VHG143"/>
      <c r="VHH143"/>
      <c r="VHI143"/>
      <c r="VHJ143"/>
      <c r="VHK143"/>
      <c r="VHL143"/>
      <c r="VHM143"/>
      <c r="VHN143"/>
      <c r="VHO143"/>
      <c r="VHP143"/>
      <c r="VHQ143"/>
      <c r="VHR143"/>
      <c r="VHS143"/>
      <c r="VHT143"/>
      <c r="VHU143"/>
      <c r="VHV143"/>
      <c r="VHW143"/>
      <c r="VHX143"/>
      <c r="VHY143"/>
      <c r="VHZ143"/>
      <c r="VIA143"/>
      <c r="VIB143"/>
      <c r="VIC143"/>
      <c r="VID143"/>
      <c r="VIE143"/>
      <c r="VIF143"/>
      <c r="VIG143"/>
      <c r="VIH143"/>
      <c r="VII143"/>
      <c r="VIJ143"/>
      <c r="VIK143"/>
      <c r="VIL143"/>
      <c r="VIM143"/>
      <c r="VIN143"/>
      <c r="VIO143"/>
      <c r="VIP143"/>
      <c r="VIQ143"/>
      <c r="VIR143"/>
      <c r="VIS143"/>
      <c r="VIT143"/>
      <c r="VIU143"/>
      <c r="VIV143"/>
      <c r="VIW143"/>
      <c r="VIX143"/>
      <c r="VIY143"/>
      <c r="VIZ143"/>
      <c r="VJA143"/>
      <c r="VJB143"/>
      <c r="VJC143"/>
      <c r="VJD143"/>
      <c r="VJE143"/>
      <c r="VJF143"/>
      <c r="VJG143"/>
      <c r="VJH143"/>
      <c r="VJI143"/>
      <c r="VJJ143"/>
      <c r="VJK143"/>
      <c r="VJL143"/>
      <c r="VJM143"/>
      <c r="VJN143"/>
      <c r="VJO143"/>
      <c r="VJP143"/>
      <c r="VJQ143"/>
      <c r="VJR143"/>
      <c r="VJS143"/>
      <c r="VJT143"/>
      <c r="VJU143"/>
      <c r="VJV143"/>
      <c r="VJW143"/>
      <c r="VJX143"/>
      <c r="VJY143"/>
      <c r="VJZ143"/>
      <c r="VKA143"/>
      <c r="VKB143"/>
      <c r="VKC143"/>
      <c r="VKD143"/>
      <c r="VKE143"/>
      <c r="VKF143"/>
      <c r="VKG143"/>
      <c r="VKH143"/>
      <c r="VKI143"/>
      <c r="VKJ143"/>
      <c r="VKK143"/>
      <c r="VKL143"/>
      <c r="VKM143"/>
      <c r="VKN143"/>
      <c r="VKO143"/>
      <c r="VKP143"/>
      <c r="VKQ143"/>
      <c r="VKR143"/>
      <c r="VKS143"/>
      <c r="VKT143"/>
      <c r="VKU143"/>
      <c r="VKV143"/>
      <c r="VKW143"/>
      <c r="VKX143"/>
      <c r="VKY143"/>
      <c r="VKZ143"/>
      <c r="VLA143"/>
      <c r="VLB143"/>
      <c r="VLC143"/>
      <c r="VLD143"/>
      <c r="VLE143"/>
      <c r="VLF143"/>
      <c r="VLG143"/>
      <c r="VLH143"/>
      <c r="VLI143"/>
      <c r="VLJ143"/>
      <c r="VLK143"/>
      <c r="VLL143"/>
      <c r="VLM143"/>
      <c r="VLN143"/>
      <c r="VLO143"/>
      <c r="VLP143"/>
      <c r="VLQ143"/>
      <c r="VLR143"/>
      <c r="VLS143"/>
      <c r="VLT143"/>
      <c r="VLU143"/>
      <c r="VLV143"/>
      <c r="VLW143"/>
      <c r="VLX143"/>
      <c r="VLY143"/>
      <c r="VLZ143"/>
      <c r="VMA143"/>
      <c r="VMB143"/>
      <c r="VMC143"/>
      <c r="VMD143"/>
      <c r="VME143"/>
      <c r="VMF143"/>
      <c r="VMG143"/>
      <c r="VMH143"/>
      <c r="VMI143"/>
      <c r="VMJ143"/>
      <c r="VMK143"/>
      <c r="VML143"/>
      <c r="VMM143"/>
      <c r="VMN143"/>
      <c r="VMO143"/>
      <c r="VMP143"/>
      <c r="VMQ143"/>
      <c r="VMR143"/>
      <c r="VMS143"/>
      <c r="VMT143"/>
      <c r="VMU143"/>
      <c r="VMV143"/>
      <c r="VMW143"/>
      <c r="VMX143"/>
      <c r="VMY143"/>
      <c r="VMZ143"/>
      <c r="VNA143"/>
      <c r="VNB143"/>
      <c r="VNC143"/>
      <c r="VND143"/>
      <c r="VNE143"/>
      <c r="VNF143"/>
      <c r="VNG143"/>
      <c r="VNH143"/>
      <c r="VNI143"/>
      <c r="VNJ143"/>
      <c r="VNK143"/>
      <c r="VNL143"/>
      <c r="VNM143"/>
      <c r="VNN143"/>
      <c r="VNO143"/>
      <c r="VNP143"/>
      <c r="VNQ143"/>
      <c r="VNR143"/>
      <c r="VNS143"/>
      <c r="VNT143"/>
      <c r="VNU143"/>
      <c r="VNV143"/>
      <c r="VNW143"/>
      <c r="VNX143"/>
      <c r="VNY143"/>
      <c r="VNZ143"/>
      <c r="VOA143"/>
      <c r="VOB143"/>
      <c r="VOC143"/>
      <c r="VOD143"/>
      <c r="VOE143"/>
      <c r="VOF143"/>
      <c r="VOG143"/>
      <c r="VOH143"/>
      <c r="VOI143"/>
      <c r="VOJ143"/>
      <c r="VOK143"/>
      <c r="VOL143"/>
      <c r="VOM143"/>
      <c r="VON143"/>
      <c r="VOO143"/>
      <c r="VOP143"/>
      <c r="VOQ143"/>
      <c r="VOR143"/>
      <c r="VOS143"/>
      <c r="VOT143"/>
      <c r="VOU143"/>
      <c r="VOV143"/>
      <c r="VOW143"/>
      <c r="VOX143"/>
      <c r="VOY143"/>
      <c r="VOZ143"/>
      <c r="VPA143"/>
      <c r="VPB143"/>
      <c r="VPC143"/>
      <c r="VPD143"/>
      <c r="VPE143"/>
      <c r="VPF143"/>
      <c r="VPG143"/>
      <c r="VPH143"/>
      <c r="VPI143"/>
      <c r="VPJ143"/>
      <c r="VPK143"/>
      <c r="VPL143"/>
      <c r="VPM143"/>
      <c r="VPN143"/>
      <c r="VPO143"/>
      <c r="VPP143"/>
      <c r="VPQ143"/>
      <c r="VPR143"/>
      <c r="VPS143"/>
      <c r="VPT143"/>
      <c r="VPU143"/>
      <c r="VPV143"/>
      <c r="VPW143"/>
      <c r="VPX143"/>
      <c r="VPY143"/>
      <c r="VPZ143"/>
      <c r="VQA143"/>
      <c r="VQB143"/>
      <c r="VQC143"/>
      <c r="VQD143"/>
      <c r="VQE143"/>
      <c r="VQF143"/>
      <c r="VQG143"/>
      <c r="VQH143"/>
      <c r="VQI143"/>
      <c r="VQJ143"/>
      <c r="VQK143"/>
      <c r="VQL143"/>
      <c r="VQM143"/>
      <c r="VQN143"/>
      <c r="VQO143"/>
      <c r="VQP143"/>
      <c r="VQQ143"/>
      <c r="VQR143"/>
      <c r="VQS143"/>
      <c r="VQT143"/>
      <c r="VQU143"/>
      <c r="VQV143"/>
      <c r="VQW143"/>
      <c r="VQX143"/>
      <c r="VQY143"/>
      <c r="VQZ143"/>
      <c r="VRA143"/>
      <c r="VRB143"/>
      <c r="VRC143"/>
      <c r="VRD143"/>
      <c r="VRE143"/>
      <c r="VRF143"/>
      <c r="VRG143"/>
      <c r="VRH143"/>
      <c r="VRI143"/>
      <c r="VRJ143"/>
      <c r="VRK143"/>
      <c r="VRL143"/>
      <c r="VRM143"/>
      <c r="VRN143"/>
      <c r="VRO143"/>
      <c r="VRP143"/>
      <c r="VRQ143"/>
      <c r="VRR143"/>
      <c r="VRS143"/>
      <c r="VRT143"/>
      <c r="VRU143"/>
      <c r="VRV143"/>
      <c r="VRW143"/>
      <c r="VRX143"/>
      <c r="VRY143"/>
      <c r="VRZ143"/>
      <c r="VSA143"/>
      <c r="VSB143"/>
      <c r="VSC143"/>
      <c r="VSD143"/>
      <c r="VSE143"/>
      <c r="VSF143"/>
      <c r="VSG143"/>
      <c r="VSH143"/>
      <c r="VSI143"/>
      <c r="VSJ143"/>
      <c r="VSK143"/>
      <c r="VSL143"/>
      <c r="VSM143"/>
      <c r="VSN143"/>
      <c r="VSO143"/>
      <c r="VSP143"/>
      <c r="VSQ143"/>
      <c r="VSR143"/>
      <c r="VSS143"/>
      <c r="VST143"/>
      <c r="VSU143"/>
      <c r="VSV143"/>
      <c r="VSW143"/>
      <c r="VSX143"/>
      <c r="VSY143"/>
      <c r="VSZ143"/>
      <c r="VTA143"/>
      <c r="VTB143"/>
      <c r="VTC143"/>
      <c r="VTD143"/>
      <c r="VTE143"/>
      <c r="VTF143"/>
      <c r="VTG143"/>
      <c r="VTH143"/>
      <c r="VTI143"/>
      <c r="VTJ143"/>
      <c r="VTK143"/>
      <c r="VTL143"/>
      <c r="VTM143"/>
      <c r="VTN143"/>
      <c r="VTO143"/>
      <c r="VTP143"/>
      <c r="VTQ143"/>
      <c r="VTR143"/>
      <c r="VTS143"/>
      <c r="VTT143"/>
      <c r="VTU143"/>
      <c r="VTV143"/>
      <c r="VTW143"/>
      <c r="VTX143"/>
      <c r="VTY143"/>
      <c r="VTZ143"/>
      <c r="VUA143"/>
      <c r="VUB143"/>
      <c r="VUC143"/>
      <c r="VUD143"/>
      <c r="VUE143"/>
      <c r="VUF143"/>
      <c r="VUG143"/>
      <c r="VUH143"/>
      <c r="VUI143"/>
      <c r="VUJ143"/>
      <c r="VUK143"/>
      <c r="VUL143"/>
      <c r="VUM143"/>
      <c r="VUN143"/>
      <c r="VUO143"/>
      <c r="VUP143"/>
      <c r="VUQ143"/>
      <c r="VUR143"/>
      <c r="VUS143"/>
      <c r="VUT143"/>
      <c r="VUU143"/>
      <c r="VUV143"/>
      <c r="VUW143"/>
      <c r="VUX143"/>
      <c r="VUY143"/>
      <c r="VUZ143"/>
      <c r="VVA143"/>
      <c r="VVB143"/>
      <c r="VVC143"/>
      <c r="VVD143"/>
      <c r="VVE143"/>
      <c r="VVF143"/>
      <c r="VVG143"/>
      <c r="VVH143"/>
      <c r="VVI143"/>
      <c r="VVJ143"/>
      <c r="VVK143"/>
      <c r="VVL143"/>
      <c r="VVM143"/>
      <c r="VVN143"/>
      <c r="VVO143"/>
      <c r="VVP143"/>
      <c r="VVQ143"/>
      <c r="VVR143"/>
      <c r="VVS143"/>
      <c r="VVT143"/>
      <c r="VVU143"/>
      <c r="VVV143"/>
      <c r="VVW143"/>
      <c r="VVX143"/>
      <c r="VVY143"/>
      <c r="VVZ143"/>
      <c r="VWA143"/>
      <c r="VWB143"/>
      <c r="VWC143"/>
      <c r="VWD143"/>
      <c r="VWE143"/>
      <c r="VWF143"/>
      <c r="VWG143"/>
      <c r="VWH143"/>
      <c r="VWI143"/>
      <c r="VWJ143"/>
      <c r="VWK143"/>
      <c r="VWL143"/>
      <c r="VWM143"/>
      <c r="VWN143"/>
      <c r="VWO143"/>
      <c r="VWP143"/>
      <c r="VWQ143"/>
      <c r="VWR143"/>
      <c r="VWS143"/>
      <c r="VWT143"/>
      <c r="VWU143"/>
      <c r="VWV143"/>
      <c r="VWW143"/>
      <c r="VWX143"/>
      <c r="VWY143"/>
      <c r="VWZ143"/>
      <c r="VXA143"/>
      <c r="VXB143"/>
      <c r="VXC143"/>
      <c r="VXD143"/>
      <c r="VXE143"/>
      <c r="VXF143"/>
      <c r="VXG143"/>
      <c r="VXH143"/>
      <c r="VXI143"/>
      <c r="VXJ143"/>
      <c r="VXK143"/>
      <c r="VXL143"/>
      <c r="VXM143"/>
      <c r="VXN143"/>
      <c r="VXO143"/>
      <c r="VXP143"/>
      <c r="VXQ143"/>
      <c r="VXR143"/>
      <c r="VXS143"/>
      <c r="VXT143"/>
      <c r="VXU143"/>
      <c r="VXV143"/>
      <c r="VXW143"/>
      <c r="VXX143"/>
      <c r="VXY143"/>
      <c r="VXZ143"/>
      <c r="VYA143"/>
      <c r="VYB143"/>
      <c r="VYC143"/>
      <c r="VYD143"/>
      <c r="VYE143"/>
      <c r="VYF143"/>
      <c r="VYG143"/>
      <c r="VYH143"/>
      <c r="VYI143"/>
      <c r="VYJ143"/>
      <c r="VYK143"/>
      <c r="VYL143"/>
      <c r="VYM143"/>
      <c r="VYN143"/>
      <c r="VYO143"/>
      <c r="VYP143"/>
      <c r="VYQ143"/>
      <c r="VYR143"/>
      <c r="VYS143"/>
      <c r="VYT143"/>
      <c r="VYU143"/>
      <c r="VYV143"/>
      <c r="VYW143"/>
      <c r="VYX143"/>
      <c r="VYY143"/>
      <c r="VYZ143"/>
      <c r="VZA143"/>
      <c r="VZB143"/>
      <c r="VZC143"/>
      <c r="VZD143"/>
      <c r="VZE143"/>
      <c r="VZF143"/>
      <c r="VZG143"/>
      <c r="VZH143"/>
      <c r="VZI143"/>
      <c r="VZJ143"/>
      <c r="VZK143"/>
      <c r="VZL143"/>
      <c r="VZM143"/>
      <c r="VZN143"/>
      <c r="VZO143"/>
      <c r="VZP143"/>
      <c r="VZQ143"/>
      <c r="VZR143"/>
      <c r="VZS143"/>
      <c r="VZT143"/>
      <c r="VZU143"/>
      <c r="VZV143"/>
      <c r="VZW143"/>
      <c r="VZX143"/>
      <c r="VZY143"/>
      <c r="VZZ143"/>
      <c r="WAA143"/>
      <c r="WAB143"/>
      <c r="WAC143"/>
      <c r="WAD143"/>
      <c r="WAE143"/>
      <c r="WAF143"/>
      <c r="WAG143"/>
      <c r="WAH143"/>
      <c r="WAI143"/>
      <c r="WAJ143"/>
      <c r="WAK143"/>
      <c r="WAL143"/>
      <c r="WAM143"/>
      <c r="WAN143"/>
      <c r="WAO143"/>
      <c r="WAP143"/>
      <c r="WAQ143"/>
      <c r="WAR143"/>
      <c r="WAS143"/>
      <c r="WAT143"/>
      <c r="WAU143"/>
      <c r="WAV143"/>
      <c r="WAW143"/>
      <c r="WAX143"/>
      <c r="WAY143"/>
      <c r="WAZ143"/>
      <c r="WBA143"/>
      <c r="WBB143"/>
      <c r="WBC143"/>
      <c r="WBD143"/>
      <c r="WBE143"/>
      <c r="WBF143"/>
      <c r="WBG143"/>
      <c r="WBH143"/>
      <c r="WBI143"/>
      <c r="WBJ143"/>
      <c r="WBK143"/>
      <c r="WBL143"/>
      <c r="WBM143"/>
      <c r="WBN143"/>
      <c r="WBO143"/>
      <c r="WBP143"/>
      <c r="WBQ143"/>
      <c r="WBR143"/>
      <c r="WBS143"/>
      <c r="WBT143"/>
      <c r="WBU143"/>
      <c r="WBV143"/>
      <c r="WBW143"/>
      <c r="WBX143"/>
      <c r="WBY143"/>
      <c r="WBZ143"/>
      <c r="WCA143"/>
      <c r="WCB143"/>
      <c r="WCC143"/>
      <c r="WCD143"/>
      <c r="WCE143"/>
      <c r="WCF143"/>
      <c r="WCG143"/>
      <c r="WCH143"/>
      <c r="WCI143"/>
      <c r="WCJ143"/>
      <c r="WCK143"/>
      <c r="WCL143"/>
      <c r="WCM143"/>
      <c r="WCN143"/>
      <c r="WCO143"/>
      <c r="WCP143"/>
      <c r="WCQ143"/>
      <c r="WCR143"/>
      <c r="WCS143"/>
      <c r="WCT143"/>
      <c r="WCU143"/>
      <c r="WCV143"/>
      <c r="WCW143"/>
      <c r="WCX143"/>
      <c r="WCY143"/>
      <c r="WCZ143"/>
      <c r="WDA143"/>
      <c r="WDB143"/>
      <c r="WDC143"/>
      <c r="WDD143"/>
      <c r="WDE143"/>
      <c r="WDF143"/>
      <c r="WDG143"/>
      <c r="WDH143"/>
      <c r="WDI143"/>
      <c r="WDJ143"/>
      <c r="WDK143"/>
      <c r="WDL143"/>
      <c r="WDM143"/>
      <c r="WDN143"/>
      <c r="WDO143"/>
      <c r="WDP143"/>
      <c r="WDQ143"/>
      <c r="WDR143"/>
      <c r="WDS143"/>
      <c r="WDT143"/>
      <c r="WDU143"/>
      <c r="WDV143"/>
      <c r="WDW143"/>
      <c r="WDX143"/>
      <c r="WDY143"/>
      <c r="WDZ143"/>
      <c r="WEA143"/>
      <c r="WEB143"/>
      <c r="WEC143"/>
      <c r="WED143"/>
      <c r="WEE143"/>
      <c r="WEF143"/>
      <c r="WEG143"/>
      <c r="WEH143"/>
      <c r="WEI143"/>
      <c r="WEJ143"/>
      <c r="WEK143"/>
      <c r="WEL143"/>
      <c r="WEM143"/>
      <c r="WEN143"/>
      <c r="WEO143"/>
      <c r="WEP143"/>
      <c r="WEQ143"/>
      <c r="WER143"/>
      <c r="WES143"/>
      <c r="WET143"/>
      <c r="WEU143"/>
      <c r="WEV143"/>
      <c r="WEW143"/>
      <c r="WEX143"/>
      <c r="WEY143"/>
      <c r="WEZ143"/>
      <c r="WFA143"/>
      <c r="WFB143"/>
      <c r="WFC143"/>
      <c r="WFD143"/>
      <c r="WFE143"/>
      <c r="WFF143"/>
      <c r="WFG143"/>
      <c r="WFH143"/>
      <c r="WFI143"/>
      <c r="WFJ143"/>
      <c r="WFK143"/>
      <c r="WFL143"/>
      <c r="WFM143"/>
      <c r="WFN143"/>
      <c r="WFO143"/>
      <c r="WFP143"/>
      <c r="WFQ143"/>
      <c r="WFR143"/>
      <c r="WFS143"/>
      <c r="WFT143"/>
      <c r="WFU143"/>
      <c r="WFV143"/>
      <c r="WFW143"/>
      <c r="WFX143"/>
      <c r="WFY143"/>
      <c r="WFZ143"/>
      <c r="WGA143"/>
      <c r="WGB143"/>
      <c r="WGC143"/>
      <c r="WGD143"/>
      <c r="WGE143"/>
      <c r="WGF143"/>
      <c r="WGG143"/>
      <c r="WGH143"/>
      <c r="WGI143"/>
      <c r="WGJ143"/>
      <c r="WGK143"/>
      <c r="WGL143"/>
      <c r="WGM143"/>
      <c r="WGN143"/>
      <c r="WGO143"/>
      <c r="WGP143"/>
      <c r="WGQ143"/>
      <c r="WGR143"/>
      <c r="WGS143"/>
      <c r="WGT143"/>
      <c r="WGU143"/>
      <c r="WGV143"/>
      <c r="WGW143"/>
      <c r="WGX143"/>
      <c r="WGY143"/>
      <c r="WGZ143"/>
      <c r="WHA143"/>
      <c r="WHB143"/>
      <c r="WHC143"/>
      <c r="WHD143"/>
      <c r="WHE143"/>
      <c r="WHF143"/>
      <c r="WHG143"/>
      <c r="WHH143"/>
      <c r="WHI143"/>
      <c r="WHJ143"/>
      <c r="WHK143"/>
      <c r="WHL143"/>
      <c r="WHM143"/>
      <c r="WHN143"/>
      <c r="WHO143"/>
      <c r="WHP143"/>
      <c r="WHQ143"/>
      <c r="WHR143"/>
      <c r="WHS143"/>
      <c r="WHT143"/>
      <c r="WHU143"/>
      <c r="WHV143"/>
      <c r="WHW143"/>
      <c r="WHX143"/>
      <c r="WHY143"/>
      <c r="WHZ143"/>
      <c r="WIA143"/>
      <c r="WIB143"/>
      <c r="WIC143"/>
      <c r="WID143"/>
      <c r="WIE143"/>
      <c r="WIF143"/>
      <c r="WIG143"/>
      <c r="WIH143"/>
      <c r="WII143"/>
      <c r="WIJ143"/>
      <c r="WIK143"/>
      <c r="WIL143"/>
      <c r="WIM143"/>
      <c r="WIN143"/>
      <c r="WIO143"/>
      <c r="WIP143"/>
      <c r="WIQ143"/>
      <c r="WIR143"/>
      <c r="WIS143"/>
      <c r="WIT143"/>
      <c r="WIU143"/>
      <c r="WIV143"/>
      <c r="WIW143"/>
      <c r="WIX143"/>
      <c r="WIY143"/>
      <c r="WIZ143"/>
      <c r="WJA143"/>
      <c r="WJB143"/>
      <c r="WJC143"/>
      <c r="WJD143"/>
      <c r="WJE143"/>
      <c r="WJF143"/>
      <c r="WJG143"/>
      <c r="WJH143"/>
      <c r="WJI143"/>
      <c r="WJJ143"/>
      <c r="WJK143"/>
      <c r="WJL143"/>
      <c r="WJM143"/>
      <c r="WJN143"/>
      <c r="WJO143"/>
      <c r="WJP143"/>
      <c r="WJQ143"/>
      <c r="WJR143"/>
      <c r="WJS143"/>
      <c r="WJT143"/>
      <c r="WJU143"/>
      <c r="WJV143"/>
      <c r="WJW143"/>
      <c r="WJX143"/>
      <c r="WJY143"/>
      <c r="WJZ143"/>
      <c r="WKA143"/>
      <c r="WKB143"/>
      <c r="WKC143"/>
      <c r="WKD143"/>
      <c r="WKE143"/>
      <c r="WKF143"/>
      <c r="WKG143"/>
      <c r="WKH143"/>
      <c r="WKI143"/>
      <c r="WKJ143"/>
      <c r="WKK143"/>
      <c r="WKL143"/>
      <c r="WKM143"/>
      <c r="WKN143"/>
      <c r="WKO143"/>
      <c r="WKP143"/>
      <c r="WKQ143"/>
      <c r="WKR143"/>
      <c r="WKS143"/>
      <c r="WKT143"/>
      <c r="WKU143"/>
      <c r="WKV143"/>
      <c r="WKW143"/>
      <c r="WKX143"/>
      <c r="WKY143"/>
      <c r="WKZ143"/>
      <c r="WLA143"/>
      <c r="WLB143"/>
      <c r="WLC143"/>
      <c r="WLD143"/>
      <c r="WLE143"/>
      <c r="WLF143"/>
      <c r="WLG143"/>
      <c r="WLH143"/>
      <c r="WLI143"/>
      <c r="WLJ143"/>
      <c r="WLK143"/>
      <c r="WLL143"/>
      <c r="WLM143"/>
      <c r="WLN143"/>
      <c r="WLO143"/>
      <c r="WLP143"/>
      <c r="WLQ143"/>
      <c r="WLR143"/>
      <c r="WLS143"/>
      <c r="WLT143"/>
      <c r="WLU143"/>
      <c r="WLV143"/>
      <c r="WLW143"/>
      <c r="WLX143"/>
      <c r="WLY143"/>
      <c r="WLZ143"/>
      <c r="WMA143"/>
      <c r="WMB143"/>
      <c r="WMC143"/>
      <c r="WMD143"/>
      <c r="WME143"/>
      <c r="WMF143"/>
      <c r="WMG143"/>
      <c r="WMH143"/>
      <c r="WMI143"/>
      <c r="WMJ143"/>
      <c r="WMK143"/>
      <c r="WML143"/>
      <c r="WMM143"/>
      <c r="WMN143"/>
      <c r="WMO143"/>
      <c r="WMP143"/>
      <c r="WMQ143"/>
      <c r="WMR143"/>
      <c r="WMS143"/>
      <c r="WMT143"/>
      <c r="WMU143"/>
      <c r="WMV143"/>
      <c r="WMW143"/>
      <c r="WMX143"/>
      <c r="WMY143"/>
      <c r="WMZ143"/>
      <c r="WNA143"/>
      <c r="WNB143"/>
      <c r="WNC143"/>
      <c r="WND143"/>
      <c r="WNE143"/>
      <c r="WNF143"/>
      <c r="WNG143"/>
      <c r="WNH143"/>
      <c r="WNI143"/>
      <c r="WNJ143"/>
      <c r="WNK143"/>
      <c r="WNL143"/>
      <c r="WNM143"/>
      <c r="WNN143"/>
      <c r="WNO143"/>
      <c r="WNP143"/>
      <c r="WNQ143"/>
      <c r="WNR143"/>
      <c r="WNS143"/>
      <c r="WNT143"/>
      <c r="WNU143"/>
      <c r="WNV143"/>
      <c r="WNW143"/>
      <c r="WNX143"/>
      <c r="WNY143"/>
      <c r="WNZ143"/>
      <c r="WOA143"/>
      <c r="WOB143"/>
      <c r="WOC143"/>
      <c r="WOD143"/>
      <c r="WOE143"/>
      <c r="WOF143"/>
      <c r="WOG143"/>
      <c r="WOH143"/>
      <c r="WOI143"/>
      <c r="WOJ143"/>
      <c r="WOK143"/>
      <c r="WOL143"/>
      <c r="WOM143"/>
      <c r="WON143"/>
      <c r="WOO143"/>
      <c r="WOP143"/>
      <c r="WOQ143"/>
      <c r="WOR143"/>
      <c r="WOS143"/>
      <c r="WOT143"/>
      <c r="WOU143"/>
      <c r="WOV143"/>
      <c r="WOW143"/>
      <c r="WOX143"/>
      <c r="WOY143"/>
      <c r="WOZ143"/>
      <c r="WPA143"/>
      <c r="WPB143"/>
      <c r="WPC143"/>
      <c r="WPD143"/>
      <c r="WPE143"/>
      <c r="WPF143"/>
      <c r="WPG143"/>
      <c r="WPH143"/>
      <c r="WPI143"/>
      <c r="WPJ143"/>
      <c r="WPK143"/>
      <c r="WPL143"/>
      <c r="WPM143"/>
      <c r="WPN143"/>
      <c r="WPO143"/>
      <c r="WPP143"/>
      <c r="WPQ143"/>
      <c r="WPR143"/>
      <c r="WPS143"/>
      <c r="WPT143"/>
      <c r="WPU143"/>
      <c r="WPV143"/>
      <c r="WPW143"/>
      <c r="WPX143"/>
      <c r="WPY143"/>
      <c r="WPZ143"/>
      <c r="WQA143"/>
      <c r="WQB143"/>
      <c r="WQC143"/>
      <c r="WQD143"/>
      <c r="WQE143"/>
      <c r="WQF143"/>
      <c r="WQG143"/>
      <c r="WQH143"/>
      <c r="WQI143"/>
      <c r="WQJ143"/>
      <c r="WQK143"/>
      <c r="WQL143"/>
      <c r="WQM143"/>
      <c r="WQN143"/>
      <c r="WQO143"/>
      <c r="WQP143"/>
      <c r="WQQ143"/>
      <c r="WQR143"/>
      <c r="WQS143"/>
      <c r="WQT143"/>
      <c r="WQU143"/>
      <c r="WQV143"/>
      <c r="WQW143"/>
      <c r="WQX143"/>
      <c r="WQY143"/>
      <c r="WQZ143"/>
      <c r="WRA143"/>
      <c r="WRB143"/>
      <c r="WRC143"/>
      <c r="WRD143"/>
      <c r="WRE143"/>
      <c r="WRF143"/>
      <c r="WRG143"/>
      <c r="WRH143"/>
      <c r="WRI143"/>
      <c r="WRJ143"/>
      <c r="WRK143"/>
      <c r="WRL143"/>
      <c r="WRM143"/>
      <c r="WRN143"/>
      <c r="WRO143"/>
      <c r="WRP143"/>
      <c r="WRQ143"/>
      <c r="WRR143"/>
      <c r="WRS143"/>
      <c r="WRT143"/>
      <c r="WRU143"/>
      <c r="WRV143"/>
      <c r="WRW143"/>
      <c r="WRX143"/>
      <c r="WRY143"/>
      <c r="WRZ143"/>
      <c r="WSA143"/>
      <c r="WSB143"/>
      <c r="WSC143"/>
      <c r="WSD143"/>
      <c r="WSE143"/>
      <c r="WSF143"/>
      <c r="WSG143"/>
      <c r="WSH143"/>
      <c r="WSI143"/>
      <c r="WSJ143"/>
      <c r="WSK143"/>
      <c r="WSL143"/>
      <c r="WSM143"/>
      <c r="WSN143"/>
      <c r="WSO143"/>
      <c r="WSP143"/>
      <c r="WSQ143"/>
      <c r="WSR143"/>
      <c r="WSS143"/>
      <c r="WST143"/>
      <c r="WSU143"/>
      <c r="WSV143"/>
      <c r="WSW143"/>
      <c r="WSX143"/>
      <c r="WSY143"/>
      <c r="WSZ143"/>
      <c r="WTA143"/>
      <c r="WTB143"/>
      <c r="WTC143"/>
      <c r="WTD143"/>
      <c r="WTE143"/>
      <c r="WTF143"/>
      <c r="WTG143"/>
      <c r="WTH143"/>
      <c r="WTI143"/>
      <c r="WTJ143"/>
      <c r="WTK143"/>
      <c r="WTL143"/>
      <c r="WTM143"/>
      <c r="WTN143"/>
      <c r="WTO143"/>
      <c r="WTP143"/>
      <c r="WTQ143"/>
      <c r="WTR143"/>
      <c r="WTS143"/>
      <c r="WTT143"/>
      <c r="WTU143"/>
      <c r="WTV143"/>
      <c r="WTW143"/>
      <c r="WTX143"/>
      <c r="WTY143"/>
      <c r="WTZ143"/>
      <c r="WUA143"/>
      <c r="WUB143"/>
      <c r="WUC143"/>
      <c r="WUD143"/>
      <c r="WUE143"/>
      <c r="WUF143"/>
      <c r="WUG143"/>
      <c r="WUH143"/>
      <c r="WUI143"/>
      <c r="WUJ143"/>
      <c r="WUK143"/>
      <c r="WUL143"/>
      <c r="WUM143"/>
      <c r="WUN143"/>
      <c r="WUO143"/>
      <c r="WUP143"/>
      <c r="WUQ143"/>
      <c r="WUR143"/>
      <c r="WUS143"/>
      <c r="WUT143"/>
      <c r="WUU143"/>
      <c r="WUV143"/>
      <c r="WUW143"/>
      <c r="WUX143"/>
      <c r="WUY143"/>
      <c r="WUZ143"/>
      <c r="WVA143"/>
      <c r="WVB143"/>
      <c r="WVC143"/>
      <c r="WVD143"/>
      <c r="WVE143"/>
      <c r="WVF143"/>
      <c r="WVG143"/>
      <c r="WVH143"/>
      <c r="WVI143"/>
      <c r="WVJ143"/>
      <c r="WVK143"/>
      <c r="WVL143"/>
      <c r="WVM143"/>
      <c r="WVN143"/>
      <c r="WVO143"/>
      <c r="WVP143"/>
      <c r="WVQ143"/>
      <c r="WVR143"/>
      <c r="WVS143"/>
      <c r="WVT143"/>
      <c r="WVU143"/>
      <c r="WVV143"/>
      <c r="WVW143"/>
      <c r="WVX143"/>
      <c r="WVY143"/>
      <c r="WVZ143"/>
      <c r="WWA143"/>
      <c r="WWB143"/>
      <c r="WWC143"/>
      <c r="WWD143"/>
      <c r="WWE143"/>
      <c r="WWF143"/>
      <c r="WWG143"/>
      <c r="WWH143"/>
      <c r="WWI143"/>
      <c r="WWJ143"/>
      <c r="WWK143"/>
      <c r="WWL143"/>
      <c r="WWM143"/>
      <c r="WWN143"/>
      <c r="WWO143"/>
      <c r="WWP143"/>
      <c r="WWQ143"/>
      <c r="WWR143"/>
      <c r="WWS143"/>
      <c r="WWT143"/>
      <c r="WWU143"/>
      <c r="WWV143"/>
      <c r="WWW143"/>
      <c r="WWX143"/>
      <c r="WWY143"/>
      <c r="WWZ143"/>
      <c r="WXA143"/>
      <c r="WXB143"/>
      <c r="WXC143"/>
      <c r="WXD143"/>
      <c r="WXE143"/>
      <c r="WXF143"/>
      <c r="WXG143"/>
      <c r="WXH143"/>
      <c r="WXI143"/>
      <c r="WXJ143"/>
      <c r="WXK143"/>
      <c r="WXL143"/>
      <c r="WXM143"/>
      <c r="WXN143"/>
      <c r="WXO143"/>
      <c r="WXP143"/>
      <c r="WXQ143"/>
      <c r="WXR143"/>
      <c r="WXS143"/>
      <c r="WXT143"/>
      <c r="WXU143"/>
      <c r="WXV143"/>
      <c r="WXW143"/>
      <c r="WXX143"/>
      <c r="WXY143"/>
      <c r="WXZ143"/>
      <c r="WYA143"/>
      <c r="WYB143"/>
      <c r="WYC143"/>
      <c r="WYD143"/>
      <c r="WYE143"/>
      <c r="WYF143"/>
      <c r="WYG143"/>
      <c r="WYH143"/>
      <c r="WYI143"/>
      <c r="WYJ143"/>
      <c r="WYK143"/>
      <c r="WYL143"/>
      <c r="WYM143"/>
      <c r="WYN143"/>
      <c r="WYO143"/>
      <c r="WYP143"/>
      <c r="WYQ143"/>
      <c r="WYR143"/>
      <c r="WYS143"/>
      <c r="WYT143"/>
      <c r="WYU143"/>
      <c r="WYV143"/>
      <c r="WYW143"/>
      <c r="WYX143"/>
      <c r="WYY143"/>
      <c r="WYZ143"/>
      <c r="WZA143"/>
      <c r="WZB143"/>
      <c r="WZC143"/>
      <c r="WZD143"/>
      <c r="WZE143"/>
      <c r="WZF143"/>
      <c r="WZG143"/>
      <c r="WZH143"/>
      <c r="WZI143"/>
      <c r="WZJ143"/>
      <c r="WZK143"/>
      <c r="WZL143"/>
      <c r="WZM143"/>
      <c r="WZN143"/>
      <c r="WZO143"/>
      <c r="WZP143"/>
      <c r="WZQ143"/>
      <c r="WZR143"/>
      <c r="WZS143"/>
      <c r="WZT143"/>
      <c r="WZU143"/>
      <c r="WZV143"/>
      <c r="WZW143"/>
      <c r="WZX143"/>
      <c r="WZY143"/>
      <c r="WZZ143"/>
      <c r="XAA143"/>
      <c r="XAB143"/>
      <c r="XAC143"/>
      <c r="XAD143"/>
      <c r="XAE143"/>
      <c r="XAF143"/>
      <c r="XAG143"/>
      <c r="XAH143"/>
      <c r="XAI143"/>
      <c r="XAJ143"/>
      <c r="XAK143"/>
      <c r="XAL143"/>
      <c r="XAM143"/>
      <c r="XAN143"/>
      <c r="XAO143"/>
      <c r="XAP143"/>
      <c r="XAQ143"/>
      <c r="XAR143"/>
      <c r="XAS143"/>
      <c r="XAT143"/>
      <c r="XAU143"/>
      <c r="XAV143"/>
      <c r="XAW143"/>
      <c r="XAX143"/>
      <c r="XAY143"/>
      <c r="XAZ143"/>
      <c r="XBA143"/>
      <c r="XBB143"/>
      <c r="XBC143"/>
      <c r="XBD143"/>
      <c r="XBE143"/>
      <c r="XBF143"/>
      <c r="XBG143"/>
      <c r="XBH143"/>
      <c r="XBI143"/>
      <c r="XBJ143"/>
      <c r="XBK143"/>
      <c r="XBL143"/>
      <c r="XBM143"/>
      <c r="XBN143"/>
      <c r="XBO143"/>
      <c r="XBP143"/>
      <c r="XBQ143"/>
      <c r="XBR143"/>
      <c r="XBS143"/>
      <c r="XBT143"/>
      <c r="XBU143"/>
      <c r="XBV143"/>
      <c r="XBW143"/>
      <c r="XBX143"/>
      <c r="XBY143"/>
      <c r="XBZ143"/>
      <c r="XCA143"/>
      <c r="XCB143"/>
      <c r="XCC143"/>
      <c r="XCD143"/>
      <c r="XCE143"/>
      <c r="XCF143"/>
      <c r="XCG143"/>
      <c r="XCH143"/>
      <c r="XCI143"/>
      <c r="XCJ143"/>
      <c r="XCK143"/>
      <c r="XCL143"/>
      <c r="XCM143"/>
      <c r="XCN143"/>
      <c r="XCO143"/>
      <c r="XCP143"/>
      <c r="XCQ143"/>
      <c r="XCR143"/>
      <c r="XCS143"/>
      <c r="XCT143"/>
      <c r="XCU143"/>
      <c r="XCV143"/>
      <c r="XCW143"/>
      <c r="XCX143"/>
      <c r="XCY143"/>
      <c r="XCZ143"/>
      <c r="XDA143"/>
      <c r="XDB143"/>
      <c r="XDC143"/>
      <c r="XDD143"/>
      <c r="XDE143"/>
      <c r="XDF143"/>
      <c r="XDG143"/>
      <c r="XDH143"/>
      <c r="XDI143"/>
      <c r="XDJ143"/>
      <c r="XDK143"/>
      <c r="XDL143"/>
      <c r="XDM143"/>
      <c r="XDN143"/>
      <c r="XDO143"/>
      <c r="XDP143"/>
      <c r="XDQ143"/>
      <c r="XDR143"/>
      <c r="XDS143"/>
      <c r="XDT143"/>
      <c r="XDU143"/>
      <c r="XDV143"/>
      <c r="XDW143"/>
      <c r="XDX143"/>
      <c r="XDY143"/>
      <c r="XDZ143"/>
      <c r="XEA143"/>
      <c r="XEB143"/>
      <c r="XEC143"/>
      <c r="XED143"/>
      <c r="XEE143"/>
      <c r="XEF143"/>
      <c r="XEG143"/>
      <c r="XEH143"/>
      <c r="XEI143"/>
      <c r="XEJ143"/>
      <c r="XEK143"/>
      <c r="XEL143"/>
      <c r="XEM143"/>
      <c r="XEN143"/>
      <c r="XEO143"/>
      <c r="XEP143"/>
      <c r="XEQ143"/>
      <c r="XER143"/>
      <c r="XES143"/>
      <c r="XET143"/>
      <c r="XEU143"/>
      <c r="XEV143"/>
      <c r="XEW143"/>
      <c r="XEX143"/>
      <c r="XEY143"/>
      <c r="XEZ143"/>
      <c r="XFA143"/>
      <c r="XFB143"/>
      <c r="XFC143"/>
      <c r="XFD143"/>
    </row>
    <row r="144" spans="1:16384" x14ac:dyDescent="0.25">
      <c r="B144" s="1136"/>
      <c r="D144" s="478">
        <f>DATE(RIGHT(Producción_Ganadera[[#This Row],[Campaña]],4),6,30)</f>
        <v>43646</v>
      </c>
      <c r="E144" s="478"/>
      <c r="F144" s="866" t="str">
        <f t="shared" si="2"/>
        <v>2018-2019</v>
      </c>
      <c r="G144" s="481" t="str">
        <f t="shared" si="9"/>
        <v>Stock Cierre</v>
      </c>
      <c r="H144" s="481" t="s">
        <v>2</v>
      </c>
      <c r="I144" s="481" t="str">
        <f>Configuración!AZ6</f>
        <v>Vaca Preñada</v>
      </c>
      <c r="J144" s="549"/>
      <c r="K144" s="481"/>
      <c r="L144" s="520">
        <f>SUMPRODUCT((Producción_Ganadera[[#This Row],[Centro de Costo]]=$H$5:$H$101)*(Producción_Ganadera[[#This Row],[Categoría Hacienda]]=$I$5:$I$101)*($AE$5:$AE$101))</f>
        <v>0</v>
      </c>
      <c r="M14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44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450</v>
      </c>
      <c r="O144" s="483">
        <v>1</v>
      </c>
      <c r="P144" s="491" t="s">
        <v>140</v>
      </c>
      <c r="Q144" s="875">
        <f>IF(ISNUMBER(Producción_Ganadera[[#This Row],[Cabezas]])=TRUE,Producción_Ganadera[[#This Row],[Cabezas]]*Producción_Ganadera[[#This Row],[Cantidad]],Producción_Ganadera[[#This Row],[Cantidad]])</f>
        <v>0</v>
      </c>
      <c r="R144" s="491"/>
      <c r="S144" s="483" t="s">
        <v>48</v>
      </c>
      <c r="T144" s="485"/>
      <c r="U144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44" s="881">
        <f>IFERROR(Producción_Ganadera[[#This Row],[Económico $Corrientes]]/Producción_Ganadera[[#This Row],[Indexación Económico]],0)</f>
        <v>0</v>
      </c>
      <c r="W14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4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44" s="881">
        <f>IFERROR(Producción_Ganadera[[#This Row],[Financiero $Corrientes]]/Producción_Ganadera[[#This Row],[Indexación Financiero]],0)</f>
        <v>0</v>
      </c>
      <c r="Z144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4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44" s="885">
        <f>IFERROR(Producción_Ganadera[[#This Row],[Intereses $Corrientes]]/Producción_Ganadera[[#This Row],[Indexación Financiero]],0)</f>
        <v>0</v>
      </c>
      <c r="AC14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44" s="886" t="str">
        <f>IFERROR(INDEX(Produccion_Ganadera_Cuentas[],MATCH(Producción_Ganadera[[#This Row],[Cuenta Contable]],Produccion_Ganadera_Cuentas[Cuenta Contable],0),2),0)</f>
        <v>Stock Cierre</v>
      </c>
      <c r="AE144" s="887">
        <f>IF(Producción_Ganadera[[#This Row],[Mov. Stock]]="(+)",Producción_Ganadera[[#This Row],[Cabezas]],IF(Producción_Ganadera[[#This Row],[Mov. Stock]]="(-)",-Producción_Ganadera[[#This Row],[Cabezas]],0))</f>
        <v>0</v>
      </c>
      <c r="AF144" s="888" t="str">
        <f>IFERROR(INDEX(Produccion_Ganadera_Cuentas[],MATCH(Producción_Ganadera[[#This Row],[Cuenta Contable]],Produccion_Ganadera_Cuentas[Cuenta Contable],0),5),0)</f>
        <v>(-)</v>
      </c>
      <c r="AG144" s="889" t="str">
        <f>IF(Producción_Ganadera[[#This Row],[Cuenta Contable]]=Configuración!$AC$9,"Si","No")</f>
        <v>No</v>
      </c>
      <c r="AH144" s="887" t="str">
        <f>IFERROR(INDEX(Tabla9[],MATCH(Producción_Ganadera[[#This Row],[Movimiento]],Tabla9[Movimientos],0),2),0)</f>
        <v>No</v>
      </c>
      <c r="AI144" s="888" t="str">
        <f>IFERROR(INDEX(Tabla9[],MATCH(Producción_Ganadera[[#This Row],[Movimiento]],Tabla9[Movimientos],0),3),0)</f>
        <v>(+)</v>
      </c>
      <c r="AJ144" s="890">
        <f>IF(Producción_Ganadera[[#This Row],[Fecha Económico]]=0,0,MONTH(Producción_Ganadera[[#This Row],[Fecha Económico]]))</f>
        <v>6</v>
      </c>
      <c r="AK144" s="890">
        <f>IF(Producción_Ganadera[[#This Row],[Fecha Económico]]=0,0,YEAR(Producción_Ganadera[[#This Row],[Fecha Económico]]))</f>
        <v>2019</v>
      </c>
      <c r="AL144" s="891">
        <f>SUMPRODUCT((Producción_Ganadera[[#This Row],[Mes Económico]]=Tipo_Cambio[Mes])*(Producción_Ganadera[[#This Row],[Año Económico]]=Tipo_Cambio[Año])*(Tipo_Cambio[$/U$S]))</f>
        <v>24.544703626636963</v>
      </c>
      <c r="AM144" s="891">
        <f>SUMPRODUCT((Producción_Ganadera[[#This Row],[Mes Económico]]=Tipo_Cambio[Mes])*(Producción_Ganadera[[#This Row],[Año Económico]]=Tipo_Cambio[Año])*(Tipo_Cambio[Actualización]))</f>
        <v>1.2433743083946525</v>
      </c>
      <c r="AN144" s="890">
        <f>IF(ISNUMBER(Producción_Ganadera[[#This Row],[Fecha Financiero]])=TRUE,MONTH(Producción_Ganadera[[#This Row],[Fecha Financiero]]),0)</f>
        <v>0</v>
      </c>
      <c r="AO144" s="890">
        <f>IF(ISNUMBER(Producción_Ganadera[[#This Row],[Fecha Financiero]])=TRUE,YEAR(Producción_Ganadera[[#This Row],[Fecha Financiero]]),0)</f>
        <v>0</v>
      </c>
      <c r="AP144" s="891">
        <f>SUMPRODUCT((Producción_Ganadera[[#This Row],[Mes Financiero]]=Tipo_Cambio[Mes])*(Producción_Ganadera[[#This Row],[Año Financiero]]=Tipo_Cambio[Año])*(Tipo_Cambio[$/U$S]))</f>
        <v>0</v>
      </c>
      <c r="AQ144" s="891">
        <f>SUMPRODUCT((Producción_Ganadera[[#This Row],[Mes Financiero]]=Tipo_Cambio[Mes])*(Producción_Ganadera[[#This Row],[Año Financiero]]=Tipo_Cambio[Año])*(Tipo_Cambio[Actualización]))</f>
        <v>0</v>
      </c>
      <c r="AR144" s="892">
        <f>SUMPRODUCT((Producción_Ganadera[[#This Row],[Centro de Costo]]=Tabla19[Centro de Costo])*(Tabla19[Superficie])*(Producción_Ganadera[[#This Row],[Campaña]]=Tabla19[Campaña]))</f>
        <v>0</v>
      </c>
      <c r="AS144" s="891">
        <f>IFERROR(Producción_Ganadera[[#This Row],[Económico $Corrientes]]/Producción_Ganadera[[#This Row],[Superficie]],0)</f>
        <v>0</v>
      </c>
      <c r="AT144" s="891">
        <f>IFERROR(Producción_Ganadera[[#This Row],[Económico $Constantes]]/Producción_Ganadera[[#This Row],[Superficie]],0)</f>
        <v>0</v>
      </c>
      <c r="AU144" s="891">
        <f>IFERROR(Producción_Ganadera[[#This Row],[Económico U$S Dólares]]/Producción_Ganadera[[#This Row],[Superficie]],0)</f>
        <v>0</v>
      </c>
      <c r="AV144" s="887" t="str">
        <f>IF(Económico!$F$4=0,0,Producción_Ganadera[[#This Row],[Centro de Costo]])</f>
        <v>Campo 1</v>
      </c>
    </row>
    <row r="145" spans="2:48" x14ac:dyDescent="0.25">
      <c r="B145" s="1136"/>
      <c r="D145" s="478">
        <f>DATE(RIGHT(Producción_Ganadera[[#This Row],[Campaña]],4),6,30)</f>
        <v>43646</v>
      </c>
      <c r="E145" s="478"/>
      <c r="F145" s="866" t="str">
        <f t="shared" si="2"/>
        <v>2018-2019</v>
      </c>
      <c r="G145" s="481" t="str">
        <f t="shared" si="9"/>
        <v>Stock Cierre</v>
      </c>
      <c r="H145" s="481" t="s">
        <v>2</v>
      </c>
      <c r="I145" s="481" t="str">
        <f>Configuración!AZ7</f>
        <v>Vaca Vacía</v>
      </c>
      <c r="J145" s="549"/>
      <c r="K145" s="481"/>
      <c r="L145" s="520">
        <f>SUMPRODUCT((Producción_Ganadera[[#This Row],[Centro de Costo]]=$H$5:$H$101)*(Producción_Ganadera[[#This Row],[Categoría Hacienda]]=$I$5:$I$101)*($AE$5:$AE$101))</f>
        <v>0</v>
      </c>
      <c r="M14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45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450</v>
      </c>
      <c r="O145" s="483">
        <v>1</v>
      </c>
      <c r="P145" s="491" t="s">
        <v>140</v>
      </c>
      <c r="Q145" s="875">
        <f>IF(ISNUMBER(Producción_Ganadera[[#This Row],[Cabezas]])=TRUE,Producción_Ganadera[[#This Row],[Cabezas]]*Producción_Ganadera[[#This Row],[Cantidad]],Producción_Ganadera[[#This Row],[Cantidad]])</f>
        <v>0</v>
      </c>
      <c r="R145" s="491"/>
      <c r="S145" s="483" t="s">
        <v>48</v>
      </c>
      <c r="T145" s="485"/>
      <c r="U145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45" s="881">
        <f>IFERROR(Producción_Ganadera[[#This Row],[Económico $Corrientes]]/Producción_Ganadera[[#This Row],[Indexación Económico]],0)</f>
        <v>0</v>
      </c>
      <c r="W14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4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45" s="881">
        <f>IFERROR(Producción_Ganadera[[#This Row],[Financiero $Corrientes]]/Producción_Ganadera[[#This Row],[Indexación Financiero]],0)</f>
        <v>0</v>
      </c>
      <c r="Z145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4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45" s="885">
        <f>IFERROR(Producción_Ganadera[[#This Row],[Intereses $Corrientes]]/Producción_Ganadera[[#This Row],[Indexación Financiero]],0)</f>
        <v>0</v>
      </c>
      <c r="AC14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45" s="886" t="str">
        <f>IFERROR(INDEX(Produccion_Ganadera_Cuentas[],MATCH(Producción_Ganadera[[#This Row],[Cuenta Contable]],Produccion_Ganadera_Cuentas[Cuenta Contable],0),2),0)</f>
        <v>Stock Cierre</v>
      </c>
      <c r="AE145" s="887">
        <f>IF(Producción_Ganadera[[#This Row],[Mov. Stock]]="(+)",Producción_Ganadera[[#This Row],[Cabezas]],IF(Producción_Ganadera[[#This Row],[Mov. Stock]]="(-)",-Producción_Ganadera[[#This Row],[Cabezas]],0))</f>
        <v>0</v>
      </c>
      <c r="AF145" s="888" t="str">
        <f>IFERROR(INDEX(Produccion_Ganadera_Cuentas[],MATCH(Producción_Ganadera[[#This Row],[Cuenta Contable]],Produccion_Ganadera_Cuentas[Cuenta Contable],0),5),0)</f>
        <v>(-)</v>
      </c>
      <c r="AG145" s="889" t="str">
        <f>IF(Producción_Ganadera[[#This Row],[Cuenta Contable]]=Configuración!$AC$9,"Si","No")</f>
        <v>No</v>
      </c>
      <c r="AH145" s="887" t="str">
        <f>IFERROR(INDEX(Tabla9[],MATCH(Producción_Ganadera[[#This Row],[Movimiento]],Tabla9[Movimientos],0),2),0)</f>
        <v>No</v>
      </c>
      <c r="AI145" s="888" t="str">
        <f>IFERROR(INDEX(Tabla9[],MATCH(Producción_Ganadera[[#This Row],[Movimiento]],Tabla9[Movimientos],0),3),0)</f>
        <v>(+)</v>
      </c>
      <c r="AJ145" s="890">
        <f>IF(Producción_Ganadera[[#This Row],[Fecha Económico]]=0,0,MONTH(Producción_Ganadera[[#This Row],[Fecha Económico]]))</f>
        <v>6</v>
      </c>
      <c r="AK145" s="890">
        <f>IF(Producción_Ganadera[[#This Row],[Fecha Económico]]=0,0,YEAR(Producción_Ganadera[[#This Row],[Fecha Económico]]))</f>
        <v>2019</v>
      </c>
      <c r="AL145" s="891">
        <f>SUMPRODUCT((Producción_Ganadera[[#This Row],[Mes Económico]]=Tipo_Cambio[Mes])*(Producción_Ganadera[[#This Row],[Año Económico]]=Tipo_Cambio[Año])*(Tipo_Cambio[$/U$S]))</f>
        <v>24.544703626636963</v>
      </c>
      <c r="AM145" s="891">
        <f>SUMPRODUCT((Producción_Ganadera[[#This Row],[Mes Económico]]=Tipo_Cambio[Mes])*(Producción_Ganadera[[#This Row],[Año Económico]]=Tipo_Cambio[Año])*(Tipo_Cambio[Actualización]))</f>
        <v>1.2433743083946525</v>
      </c>
      <c r="AN145" s="890">
        <f>IF(ISNUMBER(Producción_Ganadera[[#This Row],[Fecha Financiero]])=TRUE,MONTH(Producción_Ganadera[[#This Row],[Fecha Financiero]]),0)</f>
        <v>0</v>
      </c>
      <c r="AO145" s="890">
        <f>IF(ISNUMBER(Producción_Ganadera[[#This Row],[Fecha Financiero]])=TRUE,YEAR(Producción_Ganadera[[#This Row],[Fecha Financiero]]),0)</f>
        <v>0</v>
      </c>
      <c r="AP145" s="891">
        <f>SUMPRODUCT((Producción_Ganadera[[#This Row],[Mes Financiero]]=Tipo_Cambio[Mes])*(Producción_Ganadera[[#This Row],[Año Financiero]]=Tipo_Cambio[Año])*(Tipo_Cambio[$/U$S]))</f>
        <v>0</v>
      </c>
      <c r="AQ145" s="891">
        <f>SUMPRODUCT((Producción_Ganadera[[#This Row],[Mes Financiero]]=Tipo_Cambio[Mes])*(Producción_Ganadera[[#This Row],[Año Financiero]]=Tipo_Cambio[Año])*(Tipo_Cambio[Actualización]))</f>
        <v>0</v>
      </c>
      <c r="AR145" s="892">
        <f>SUMPRODUCT((Producción_Ganadera[[#This Row],[Centro de Costo]]=Tabla19[Centro de Costo])*(Tabla19[Superficie])*(Producción_Ganadera[[#This Row],[Campaña]]=Tabla19[Campaña]))</f>
        <v>0</v>
      </c>
      <c r="AS145" s="891">
        <f>IFERROR(Producción_Ganadera[[#This Row],[Económico $Corrientes]]/Producción_Ganadera[[#This Row],[Superficie]],0)</f>
        <v>0</v>
      </c>
      <c r="AT145" s="891">
        <f>IFERROR(Producción_Ganadera[[#This Row],[Económico $Constantes]]/Producción_Ganadera[[#This Row],[Superficie]],0)</f>
        <v>0</v>
      </c>
      <c r="AU145" s="891">
        <f>IFERROR(Producción_Ganadera[[#This Row],[Económico U$S Dólares]]/Producción_Ganadera[[#This Row],[Superficie]],0)</f>
        <v>0</v>
      </c>
      <c r="AV145" s="887" t="str">
        <f>IF(Económico!$F$4=0,0,Producción_Ganadera[[#This Row],[Centro de Costo]])</f>
        <v>Campo 1</v>
      </c>
    </row>
    <row r="146" spans="2:48" x14ac:dyDescent="0.25">
      <c r="D146" s="478">
        <f>DATE(RIGHT(Producción_Ganadera[[#This Row],[Campaña]],4),6,30)</f>
        <v>43646</v>
      </c>
      <c r="E146" s="478"/>
      <c r="F146" s="866" t="str">
        <f t="shared" ref="F146:F166" si="10">Campaña_Actual</f>
        <v>2018-2019</v>
      </c>
      <c r="G146" s="481" t="str">
        <f t="shared" si="9"/>
        <v>Stock Cierre</v>
      </c>
      <c r="H146" s="481" t="s">
        <v>2</v>
      </c>
      <c r="I146" s="481" t="str">
        <f>Configuración!AZ8</f>
        <v>Vaquillona Preñada</v>
      </c>
      <c r="J146" s="549"/>
      <c r="K146" s="481"/>
      <c r="L146" s="520">
        <f>SUMPRODUCT((Producción_Ganadera[[#This Row],[Centro de Costo]]=$H$5:$H$101)*(Producción_Ganadera[[#This Row],[Categoría Hacienda]]=$I$5:$I$101)*($AE$5:$AE$101))</f>
        <v>0</v>
      </c>
      <c r="M14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46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400</v>
      </c>
      <c r="O146" s="483">
        <v>1</v>
      </c>
      <c r="P146" s="491" t="s">
        <v>140</v>
      </c>
      <c r="Q146" s="875">
        <f>IF(ISNUMBER(Producción_Ganadera[[#This Row],[Cabezas]])=TRUE,Producción_Ganadera[[#This Row],[Cabezas]]*Producción_Ganadera[[#This Row],[Cantidad]],Producción_Ganadera[[#This Row],[Cantidad]])</f>
        <v>0</v>
      </c>
      <c r="R146" s="491"/>
      <c r="S146" s="483" t="s">
        <v>48</v>
      </c>
      <c r="T146" s="485"/>
      <c r="U146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46" s="881">
        <f>IFERROR(Producción_Ganadera[[#This Row],[Económico $Corrientes]]/Producción_Ganadera[[#This Row],[Indexación Económico]],0)</f>
        <v>0</v>
      </c>
      <c r="W14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4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46" s="881">
        <f>IFERROR(Producción_Ganadera[[#This Row],[Financiero $Corrientes]]/Producción_Ganadera[[#This Row],[Indexación Financiero]],0)</f>
        <v>0</v>
      </c>
      <c r="Z146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4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46" s="885">
        <f>IFERROR(Producción_Ganadera[[#This Row],[Intereses $Corrientes]]/Producción_Ganadera[[#This Row],[Indexación Financiero]],0)</f>
        <v>0</v>
      </c>
      <c r="AC14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46" s="886" t="str">
        <f>IFERROR(INDEX(Produccion_Ganadera_Cuentas[],MATCH(Producción_Ganadera[[#This Row],[Cuenta Contable]],Produccion_Ganadera_Cuentas[Cuenta Contable],0),2),0)</f>
        <v>Stock Cierre</v>
      </c>
      <c r="AE146" s="887">
        <f>IF(Producción_Ganadera[[#This Row],[Mov. Stock]]="(+)",Producción_Ganadera[[#This Row],[Cabezas]],IF(Producción_Ganadera[[#This Row],[Mov. Stock]]="(-)",-Producción_Ganadera[[#This Row],[Cabezas]],0))</f>
        <v>0</v>
      </c>
      <c r="AF146" s="888" t="str">
        <f>IFERROR(INDEX(Produccion_Ganadera_Cuentas[],MATCH(Producción_Ganadera[[#This Row],[Cuenta Contable]],Produccion_Ganadera_Cuentas[Cuenta Contable],0),5),0)</f>
        <v>(-)</v>
      </c>
      <c r="AG146" s="889" t="str">
        <f>IF(Producción_Ganadera[[#This Row],[Cuenta Contable]]=Configuración!$AC$9,"Si","No")</f>
        <v>No</v>
      </c>
      <c r="AH146" s="887" t="str">
        <f>IFERROR(INDEX(Tabla9[],MATCH(Producción_Ganadera[[#This Row],[Movimiento]],Tabla9[Movimientos],0),2),0)</f>
        <v>No</v>
      </c>
      <c r="AI146" s="888" t="str">
        <f>IFERROR(INDEX(Tabla9[],MATCH(Producción_Ganadera[[#This Row],[Movimiento]],Tabla9[Movimientos],0),3),0)</f>
        <v>(+)</v>
      </c>
      <c r="AJ146" s="890">
        <f>IF(Producción_Ganadera[[#This Row],[Fecha Económico]]=0,0,MONTH(Producción_Ganadera[[#This Row],[Fecha Económico]]))</f>
        <v>6</v>
      </c>
      <c r="AK146" s="890">
        <f>IF(Producción_Ganadera[[#This Row],[Fecha Económico]]=0,0,YEAR(Producción_Ganadera[[#This Row],[Fecha Económico]]))</f>
        <v>2019</v>
      </c>
      <c r="AL146" s="891">
        <f>SUMPRODUCT((Producción_Ganadera[[#This Row],[Mes Económico]]=Tipo_Cambio[Mes])*(Producción_Ganadera[[#This Row],[Año Económico]]=Tipo_Cambio[Año])*(Tipo_Cambio[$/U$S]))</f>
        <v>24.544703626636963</v>
      </c>
      <c r="AM146" s="891">
        <f>SUMPRODUCT((Producción_Ganadera[[#This Row],[Mes Económico]]=Tipo_Cambio[Mes])*(Producción_Ganadera[[#This Row],[Año Económico]]=Tipo_Cambio[Año])*(Tipo_Cambio[Actualización]))</f>
        <v>1.2433743083946525</v>
      </c>
      <c r="AN146" s="890">
        <f>IF(ISNUMBER(Producción_Ganadera[[#This Row],[Fecha Financiero]])=TRUE,MONTH(Producción_Ganadera[[#This Row],[Fecha Financiero]]),0)</f>
        <v>0</v>
      </c>
      <c r="AO146" s="890">
        <f>IF(ISNUMBER(Producción_Ganadera[[#This Row],[Fecha Financiero]])=TRUE,YEAR(Producción_Ganadera[[#This Row],[Fecha Financiero]]),0)</f>
        <v>0</v>
      </c>
      <c r="AP146" s="891">
        <f>SUMPRODUCT((Producción_Ganadera[[#This Row],[Mes Financiero]]=Tipo_Cambio[Mes])*(Producción_Ganadera[[#This Row],[Año Financiero]]=Tipo_Cambio[Año])*(Tipo_Cambio[$/U$S]))</f>
        <v>0</v>
      </c>
      <c r="AQ146" s="891">
        <f>SUMPRODUCT((Producción_Ganadera[[#This Row],[Mes Financiero]]=Tipo_Cambio[Mes])*(Producción_Ganadera[[#This Row],[Año Financiero]]=Tipo_Cambio[Año])*(Tipo_Cambio[Actualización]))</f>
        <v>0</v>
      </c>
      <c r="AR146" s="892">
        <f>SUMPRODUCT((Producción_Ganadera[[#This Row],[Centro de Costo]]=Tabla19[Centro de Costo])*(Tabla19[Superficie])*(Producción_Ganadera[[#This Row],[Campaña]]=Tabla19[Campaña]))</f>
        <v>0</v>
      </c>
      <c r="AS146" s="891">
        <f>IFERROR(Producción_Ganadera[[#This Row],[Económico $Corrientes]]/Producción_Ganadera[[#This Row],[Superficie]],0)</f>
        <v>0</v>
      </c>
      <c r="AT146" s="891">
        <f>IFERROR(Producción_Ganadera[[#This Row],[Económico $Constantes]]/Producción_Ganadera[[#This Row],[Superficie]],0)</f>
        <v>0</v>
      </c>
      <c r="AU146" s="891">
        <f>IFERROR(Producción_Ganadera[[#This Row],[Económico U$S Dólares]]/Producción_Ganadera[[#This Row],[Superficie]],0)</f>
        <v>0</v>
      </c>
      <c r="AV146" s="887" t="str">
        <f>IF(Económico!$F$4=0,0,Producción_Ganadera[[#This Row],[Centro de Costo]])</f>
        <v>Campo 1</v>
      </c>
    </row>
    <row r="147" spans="2:48" x14ac:dyDescent="0.25">
      <c r="D147" s="478">
        <f>DATE(RIGHT(Producción_Ganadera[[#This Row],[Campaña]],4),6,30)</f>
        <v>43646</v>
      </c>
      <c r="E147" s="478"/>
      <c r="F147" s="866" t="str">
        <f t="shared" si="10"/>
        <v>2018-2019</v>
      </c>
      <c r="G147" s="481" t="str">
        <f t="shared" si="9"/>
        <v>Stock Cierre</v>
      </c>
      <c r="H147" s="481" t="s">
        <v>2</v>
      </c>
      <c r="I147" s="481" t="str">
        <f>Configuración!AZ9</f>
        <v>Vaquillona 06-15</v>
      </c>
      <c r="J147" s="549"/>
      <c r="K147" s="481"/>
      <c r="L147" s="520">
        <f>SUMPRODUCT((Producción_Ganadera[[#This Row],[Centro de Costo]]=$H$5:$H$101)*(Producción_Ganadera[[#This Row],[Categoría Hacienda]]=$I$5:$I$101)*($AE$5:$AE$101))</f>
        <v>0</v>
      </c>
      <c r="M14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47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200</v>
      </c>
      <c r="O147" s="483">
        <v>1</v>
      </c>
      <c r="P147" s="491" t="s">
        <v>140</v>
      </c>
      <c r="Q147" s="875">
        <f>IF(ISNUMBER(Producción_Ganadera[[#This Row],[Cabezas]])=TRUE,Producción_Ganadera[[#This Row],[Cabezas]]*Producción_Ganadera[[#This Row],[Cantidad]],Producción_Ganadera[[#This Row],[Cantidad]])</f>
        <v>0</v>
      </c>
      <c r="R147" s="491"/>
      <c r="S147" s="483" t="s">
        <v>48</v>
      </c>
      <c r="T147" s="485"/>
      <c r="U147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47" s="881">
        <f>IFERROR(Producción_Ganadera[[#This Row],[Económico $Corrientes]]/Producción_Ganadera[[#This Row],[Indexación Económico]],0)</f>
        <v>0</v>
      </c>
      <c r="W14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4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47" s="881">
        <f>IFERROR(Producción_Ganadera[[#This Row],[Financiero $Corrientes]]/Producción_Ganadera[[#This Row],[Indexación Financiero]],0)</f>
        <v>0</v>
      </c>
      <c r="Z147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4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47" s="885">
        <f>IFERROR(Producción_Ganadera[[#This Row],[Intereses $Corrientes]]/Producción_Ganadera[[#This Row],[Indexación Financiero]],0)</f>
        <v>0</v>
      </c>
      <c r="AC14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47" s="886" t="str">
        <f>IFERROR(INDEX(Produccion_Ganadera_Cuentas[],MATCH(Producción_Ganadera[[#This Row],[Cuenta Contable]],Produccion_Ganadera_Cuentas[Cuenta Contable],0),2),0)</f>
        <v>Stock Cierre</v>
      </c>
      <c r="AE147" s="887">
        <f>IF(Producción_Ganadera[[#This Row],[Mov. Stock]]="(+)",Producción_Ganadera[[#This Row],[Cabezas]],IF(Producción_Ganadera[[#This Row],[Mov. Stock]]="(-)",-Producción_Ganadera[[#This Row],[Cabezas]],0))</f>
        <v>0</v>
      </c>
      <c r="AF147" s="888" t="str">
        <f>IFERROR(INDEX(Produccion_Ganadera_Cuentas[],MATCH(Producción_Ganadera[[#This Row],[Cuenta Contable]],Produccion_Ganadera_Cuentas[Cuenta Contable],0),5),0)</f>
        <v>(-)</v>
      </c>
      <c r="AG147" s="889" t="str">
        <f>IF(Producción_Ganadera[[#This Row],[Cuenta Contable]]=Configuración!$AC$9,"Si","No")</f>
        <v>No</v>
      </c>
      <c r="AH147" s="887" t="str">
        <f>IFERROR(INDEX(Tabla9[],MATCH(Producción_Ganadera[[#This Row],[Movimiento]],Tabla9[Movimientos],0),2),0)</f>
        <v>No</v>
      </c>
      <c r="AI147" s="888" t="str">
        <f>IFERROR(INDEX(Tabla9[],MATCH(Producción_Ganadera[[#This Row],[Movimiento]],Tabla9[Movimientos],0),3),0)</f>
        <v>(+)</v>
      </c>
      <c r="AJ147" s="890">
        <f>IF(Producción_Ganadera[[#This Row],[Fecha Económico]]=0,0,MONTH(Producción_Ganadera[[#This Row],[Fecha Económico]]))</f>
        <v>6</v>
      </c>
      <c r="AK147" s="890">
        <f>IF(Producción_Ganadera[[#This Row],[Fecha Económico]]=0,0,YEAR(Producción_Ganadera[[#This Row],[Fecha Económico]]))</f>
        <v>2019</v>
      </c>
      <c r="AL147" s="891">
        <f>SUMPRODUCT((Producción_Ganadera[[#This Row],[Mes Económico]]=Tipo_Cambio[Mes])*(Producción_Ganadera[[#This Row],[Año Económico]]=Tipo_Cambio[Año])*(Tipo_Cambio[$/U$S]))</f>
        <v>24.544703626636963</v>
      </c>
      <c r="AM147" s="891">
        <f>SUMPRODUCT((Producción_Ganadera[[#This Row],[Mes Económico]]=Tipo_Cambio[Mes])*(Producción_Ganadera[[#This Row],[Año Económico]]=Tipo_Cambio[Año])*(Tipo_Cambio[Actualización]))</f>
        <v>1.2433743083946525</v>
      </c>
      <c r="AN147" s="890">
        <f>IF(ISNUMBER(Producción_Ganadera[[#This Row],[Fecha Financiero]])=TRUE,MONTH(Producción_Ganadera[[#This Row],[Fecha Financiero]]),0)</f>
        <v>0</v>
      </c>
      <c r="AO147" s="890">
        <f>IF(ISNUMBER(Producción_Ganadera[[#This Row],[Fecha Financiero]])=TRUE,YEAR(Producción_Ganadera[[#This Row],[Fecha Financiero]]),0)</f>
        <v>0</v>
      </c>
      <c r="AP147" s="891">
        <f>SUMPRODUCT((Producción_Ganadera[[#This Row],[Mes Financiero]]=Tipo_Cambio[Mes])*(Producción_Ganadera[[#This Row],[Año Financiero]]=Tipo_Cambio[Año])*(Tipo_Cambio[$/U$S]))</f>
        <v>0</v>
      </c>
      <c r="AQ147" s="891">
        <f>SUMPRODUCT((Producción_Ganadera[[#This Row],[Mes Financiero]]=Tipo_Cambio[Mes])*(Producción_Ganadera[[#This Row],[Año Financiero]]=Tipo_Cambio[Año])*(Tipo_Cambio[Actualización]))</f>
        <v>0</v>
      </c>
      <c r="AR147" s="892">
        <f>SUMPRODUCT((Producción_Ganadera[[#This Row],[Centro de Costo]]=Tabla19[Centro de Costo])*(Tabla19[Superficie])*(Producción_Ganadera[[#This Row],[Campaña]]=Tabla19[Campaña]))</f>
        <v>0</v>
      </c>
      <c r="AS147" s="891">
        <f>IFERROR(Producción_Ganadera[[#This Row],[Económico $Corrientes]]/Producción_Ganadera[[#This Row],[Superficie]],0)</f>
        <v>0</v>
      </c>
      <c r="AT147" s="891">
        <f>IFERROR(Producción_Ganadera[[#This Row],[Económico $Constantes]]/Producción_Ganadera[[#This Row],[Superficie]],0)</f>
        <v>0</v>
      </c>
      <c r="AU147" s="891">
        <f>IFERROR(Producción_Ganadera[[#This Row],[Económico U$S Dólares]]/Producción_Ganadera[[#This Row],[Superficie]],0)</f>
        <v>0</v>
      </c>
      <c r="AV147" s="887" t="str">
        <f>IF(Económico!$F$4=0,0,Producción_Ganadera[[#This Row],[Centro de Costo]])</f>
        <v>Campo 1</v>
      </c>
    </row>
    <row r="148" spans="2:48" x14ac:dyDescent="0.25">
      <c r="D148" s="478">
        <f>DATE(RIGHT(Producción_Ganadera[[#This Row],[Campaña]],4),6,30)</f>
        <v>43646</v>
      </c>
      <c r="E148" s="478"/>
      <c r="F148" s="866" t="str">
        <f t="shared" si="10"/>
        <v>2018-2019</v>
      </c>
      <c r="G148" s="481" t="str">
        <f t="shared" si="9"/>
        <v>Stock Cierre</v>
      </c>
      <c r="H148" s="481" t="s">
        <v>2</v>
      </c>
      <c r="I148" s="481" t="str">
        <f>Configuración!AZ10</f>
        <v>Vaquillona 15-27</v>
      </c>
      <c r="J148" s="549"/>
      <c r="K148" s="481"/>
      <c r="L148" s="520">
        <f>SUMPRODUCT((Producción_Ganadera[[#This Row],[Centro de Costo]]=$H$5:$H$101)*(Producción_Ganadera[[#This Row],[Categoría Hacienda]]=$I$5:$I$101)*($AE$5:$AE$101))</f>
        <v>0</v>
      </c>
      <c r="M14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48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300</v>
      </c>
      <c r="O148" s="483">
        <v>1</v>
      </c>
      <c r="P148" s="491" t="s">
        <v>140</v>
      </c>
      <c r="Q148" s="875">
        <f>IF(ISNUMBER(Producción_Ganadera[[#This Row],[Cabezas]])=TRUE,Producción_Ganadera[[#This Row],[Cabezas]]*Producción_Ganadera[[#This Row],[Cantidad]],Producción_Ganadera[[#This Row],[Cantidad]])</f>
        <v>0</v>
      </c>
      <c r="R148" s="491"/>
      <c r="S148" s="483" t="s">
        <v>48</v>
      </c>
      <c r="T148" s="485"/>
      <c r="U148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48" s="881">
        <f>IFERROR(Producción_Ganadera[[#This Row],[Económico $Corrientes]]/Producción_Ganadera[[#This Row],[Indexación Económico]],0)</f>
        <v>0</v>
      </c>
      <c r="W14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4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48" s="881">
        <f>IFERROR(Producción_Ganadera[[#This Row],[Financiero $Corrientes]]/Producción_Ganadera[[#This Row],[Indexación Financiero]],0)</f>
        <v>0</v>
      </c>
      <c r="Z148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4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48" s="885">
        <f>IFERROR(Producción_Ganadera[[#This Row],[Intereses $Corrientes]]/Producción_Ganadera[[#This Row],[Indexación Financiero]],0)</f>
        <v>0</v>
      </c>
      <c r="AC14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48" s="886" t="str">
        <f>IFERROR(INDEX(Produccion_Ganadera_Cuentas[],MATCH(Producción_Ganadera[[#This Row],[Cuenta Contable]],Produccion_Ganadera_Cuentas[Cuenta Contable],0),2),0)</f>
        <v>Stock Cierre</v>
      </c>
      <c r="AE148" s="887">
        <f>IF(Producción_Ganadera[[#This Row],[Mov. Stock]]="(+)",Producción_Ganadera[[#This Row],[Cabezas]],IF(Producción_Ganadera[[#This Row],[Mov. Stock]]="(-)",-Producción_Ganadera[[#This Row],[Cabezas]],0))</f>
        <v>0</v>
      </c>
      <c r="AF148" s="888" t="str">
        <f>IFERROR(INDEX(Produccion_Ganadera_Cuentas[],MATCH(Producción_Ganadera[[#This Row],[Cuenta Contable]],Produccion_Ganadera_Cuentas[Cuenta Contable],0),5),0)</f>
        <v>(-)</v>
      </c>
      <c r="AG148" s="889" t="str">
        <f>IF(Producción_Ganadera[[#This Row],[Cuenta Contable]]=Configuración!$AC$9,"Si","No")</f>
        <v>No</v>
      </c>
      <c r="AH148" s="887" t="str">
        <f>IFERROR(INDEX(Tabla9[],MATCH(Producción_Ganadera[[#This Row],[Movimiento]],Tabla9[Movimientos],0),2),0)</f>
        <v>No</v>
      </c>
      <c r="AI148" s="888" t="str">
        <f>IFERROR(INDEX(Tabla9[],MATCH(Producción_Ganadera[[#This Row],[Movimiento]],Tabla9[Movimientos],0),3),0)</f>
        <v>(+)</v>
      </c>
      <c r="AJ148" s="890">
        <f>IF(Producción_Ganadera[[#This Row],[Fecha Económico]]=0,0,MONTH(Producción_Ganadera[[#This Row],[Fecha Económico]]))</f>
        <v>6</v>
      </c>
      <c r="AK148" s="890">
        <f>IF(Producción_Ganadera[[#This Row],[Fecha Económico]]=0,0,YEAR(Producción_Ganadera[[#This Row],[Fecha Económico]]))</f>
        <v>2019</v>
      </c>
      <c r="AL148" s="891">
        <f>SUMPRODUCT((Producción_Ganadera[[#This Row],[Mes Económico]]=Tipo_Cambio[Mes])*(Producción_Ganadera[[#This Row],[Año Económico]]=Tipo_Cambio[Año])*(Tipo_Cambio[$/U$S]))</f>
        <v>24.544703626636963</v>
      </c>
      <c r="AM148" s="891">
        <f>SUMPRODUCT((Producción_Ganadera[[#This Row],[Mes Económico]]=Tipo_Cambio[Mes])*(Producción_Ganadera[[#This Row],[Año Económico]]=Tipo_Cambio[Año])*(Tipo_Cambio[Actualización]))</f>
        <v>1.2433743083946525</v>
      </c>
      <c r="AN148" s="890">
        <f>IF(ISNUMBER(Producción_Ganadera[[#This Row],[Fecha Financiero]])=TRUE,MONTH(Producción_Ganadera[[#This Row],[Fecha Financiero]]),0)</f>
        <v>0</v>
      </c>
      <c r="AO148" s="890">
        <f>IF(ISNUMBER(Producción_Ganadera[[#This Row],[Fecha Financiero]])=TRUE,YEAR(Producción_Ganadera[[#This Row],[Fecha Financiero]]),0)</f>
        <v>0</v>
      </c>
      <c r="AP148" s="891">
        <f>SUMPRODUCT((Producción_Ganadera[[#This Row],[Mes Financiero]]=Tipo_Cambio[Mes])*(Producción_Ganadera[[#This Row],[Año Financiero]]=Tipo_Cambio[Año])*(Tipo_Cambio[$/U$S]))</f>
        <v>0</v>
      </c>
      <c r="AQ148" s="891">
        <f>SUMPRODUCT((Producción_Ganadera[[#This Row],[Mes Financiero]]=Tipo_Cambio[Mes])*(Producción_Ganadera[[#This Row],[Año Financiero]]=Tipo_Cambio[Año])*(Tipo_Cambio[Actualización]))</f>
        <v>0</v>
      </c>
      <c r="AR148" s="892">
        <f>SUMPRODUCT((Producción_Ganadera[[#This Row],[Centro de Costo]]=Tabla19[Centro de Costo])*(Tabla19[Superficie])*(Producción_Ganadera[[#This Row],[Campaña]]=Tabla19[Campaña]))</f>
        <v>0</v>
      </c>
      <c r="AS148" s="891">
        <f>IFERROR(Producción_Ganadera[[#This Row],[Económico $Corrientes]]/Producción_Ganadera[[#This Row],[Superficie]],0)</f>
        <v>0</v>
      </c>
      <c r="AT148" s="891">
        <f>IFERROR(Producción_Ganadera[[#This Row],[Económico $Constantes]]/Producción_Ganadera[[#This Row],[Superficie]],0)</f>
        <v>0</v>
      </c>
      <c r="AU148" s="891">
        <f>IFERROR(Producción_Ganadera[[#This Row],[Económico U$S Dólares]]/Producción_Ganadera[[#This Row],[Superficie]],0)</f>
        <v>0</v>
      </c>
      <c r="AV148" s="887" t="str">
        <f>IF(Económico!$F$4=0,0,Producción_Ganadera[[#This Row],[Centro de Costo]])</f>
        <v>Campo 1</v>
      </c>
    </row>
    <row r="149" spans="2:48" x14ac:dyDescent="0.25">
      <c r="D149" s="478">
        <f>DATE(RIGHT(Producción_Ganadera[[#This Row],[Campaña]],4),6,30)</f>
        <v>43646</v>
      </c>
      <c r="E149" s="478"/>
      <c r="F149" s="866" t="str">
        <f t="shared" si="10"/>
        <v>2018-2019</v>
      </c>
      <c r="G149" s="481" t="str">
        <f t="shared" si="9"/>
        <v>Stock Cierre</v>
      </c>
      <c r="H149" s="481" t="s">
        <v>2</v>
      </c>
      <c r="I149" s="481" t="str">
        <f>Configuración!AZ11</f>
        <v>Ternera</v>
      </c>
      <c r="J149" s="549"/>
      <c r="K149" s="481"/>
      <c r="L149" s="520">
        <f>SUMPRODUCT((Producción_Ganadera[[#This Row],[Centro de Costo]]=$H$5:$H$101)*(Producción_Ganadera[[#This Row],[Categoría Hacienda]]=$I$5:$I$101)*($AE$5:$AE$101))</f>
        <v>0</v>
      </c>
      <c r="M14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49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80</v>
      </c>
      <c r="O149" s="483">
        <v>1</v>
      </c>
      <c r="P149" s="491" t="s">
        <v>140</v>
      </c>
      <c r="Q149" s="875">
        <f>IF(ISNUMBER(Producción_Ganadera[[#This Row],[Cabezas]])=TRUE,Producción_Ganadera[[#This Row],[Cabezas]]*Producción_Ganadera[[#This Row],[Cantidad]],Producción_Ganadera[[#This Row],[Cantidad]])</f>
        <v>0</v>
      </c>
      <c r="R149" s="491"/>
      <c r="S149" s="483" t="s">
        <v>48</v>
      </c>
      <c r="T149" s="485"/>
      <c r="U149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49" s="881">
        <f>IFERROR(Producción_Ganadera[[#This Row],[Económico $Corrientes]]/Producción_Ganadera[[#This Row],[Indexación Económico]],0)</f>
        <v>0</v>
      </c>
      <c r="W14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4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49" s="881">
        <f>IFERROR(Producción_Ganadera[[#This Row],[Financiero $Corrientes]]/Producción_Ganadera[[#This Row],[Indexación Financiero]],0)</f>
        <v>0</v>
      </c>
      <c r="Z149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4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49" s="885">
        <f>IFERROR(Producción_Ganadera[[#This Row],[Intereses $Corrientes]]/Producción_Ganadera[[#This Row],[Indexación Financiero]],0)</f>
        <v>0</v>
      </c>
      <c r="AC14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49" s="886" t="str">
        <f>IFERROR(INDEX(Produccion_Ganadera_Cuentas[],MATCH(Producción_Ganadera[[#This Row],[Cuenta Contable]],Produccion_Ganadera_Cuentas[Cuenta Contable],0),2),0)</f>
        <v>Stock Cierre</v>
      </c>
      <c r="AE149" s="887">
        <f>IF(Producción_Ganadera[[#This Row],[Mov. Stock]]="(+)",Producción_Ganadera[[#This Row],[Cabezas]],IF(Producción_Ganadera[[#This Row],[Mov. Stock]]="(-)",-Producción_Ganadera[[#This Row],[Cabezas]],0))</f>
        <v>0</v>
      </c>
      <c r="AF149" s="888" t="str">
        <f>IFERROR(INDEX(Produccion_Ganadera_Cuentas[],MATCH(Producción_Ganadera[[#This Row],[Cuenta Contable]],Produccion_Ganadera_Cuentas[Cuenta Contable],0),5),0)</f>
        <v>(-)</v>
      </c>
      <c r="AG149" s="889" t="str">
        <f>IF(Producción_Ganadera[[#This Row],[Cuenta Contable]]=Configuración!$AC$9,"Si","No")</f>
        <v>No</v>
      </c>
      <c r="AH149" s="887" t="str">
        <f>IFERROR(INDEX(Tabla9[],MATCH(Producción_Ganadera[[#This Row],[Movimiento]],Tabla9[Movimientos],0),2),0)</f>
        <v>No</v>
      </c>
      <c r="AI149" s="888" t="str">
        <f>IFERROR(INDEX(Tabla9[],MATCH(Producción_Ganadera[[#This Row],[Movimiento]],Tabla9[Movimientos],0),3),0)</f>
        <v>(+)</v>
      </c>
      <c r="AJ149" s="890">
        <f>IF(Producción_Ganadera[[#This Row],[Fecha Económico]]=0,0,MONTH(Producción_Ganadera[[#This Row],[Fecha Económico]]))</f>
        <v>6</v>
      </c>
      <c r="AK149" s="890">
        <f>IF(Producción_Ganadera[[#This Row],[Fecha Económico]]=0,0,YEAR(Producción_Ganadera[[#This Row],[Fecha Económico]]))</f>
        <v>2019</v>
      </c>
      <c r="AL149" s="891">
        <f>SUMPRODUCT((Producción_Ganadera[[#This Row],[Mes Económico]]=Tipo_Cambio[Mes])*(Producción_Ganadera[[#This Row],[Año Económico]]=Tipo_Cambio[Año])*(Tipo_Cambio[$/U$S]))</f>
        <v>24.544703626636963</v>
      </c>
      <c r="AM149" s="891">
        <f>SUMPRODUCT((Producción_Ganadera[[#This Row],[Mes Económico]]=Tipo_Cambio[Mes])*(Producción_Ganadera[[#This Row],[Año Económico]]=Tipo_Cambio[Año])*(Tipo_Cambio[Actualización]))</f>
        <v>1.2433743083946525</v>
      </c>
      <c r="AN149" s="890">
        <f>IF(ISNUMBER(Producción_Ganadera[[#This Row],[Fecha Financiero]])=TRUE,MONTH(Producción_Ganadera[[#This Row],[Fecha Financiero]]),0)</f>
        <v>0</v>
      </c>
      <c r="AO149" s="890">
        <f>IF(ISNUMBER(Producción_Ganadera[[#This Row],[Fecha Financiero]])=TRUE,YEAR(Producción_Ganadera[[#This Row],[Fecha Financiero]]),0)</f>
        <v>0</v>
      </c>
      <c r="AP149" s="891">
        <f>SUMPRODUCT((Producción_Ganadera[[#This Row],[Mes Financiero]]=Tipo_Cambio[Mes])*(Producción_Ganadera[[#This Row],[Año Financiero]]=Tipo_Cambio[Año])*(Tipo_Cambio[$/U$S]))</f>
        <v>0</v>
      </c>
      <c r="AQ149" s="891">
        <f>SUMPRODUCT((Producción_Ganadera[[#This Row],[Mes Financiero]]=Tipo_Cambio[Mes])*(Producción_Ganadera[[#This Row],[Año Financiero]]=Tipo_Cambio[Año])*(Tipo_Cambio[Actualización]))</f>
        <v>0</v>
      </c>
      <c r="AR149" s="892">
        <f>SUMPRODUCT((Producción_Ganadera[[#This Row],[Centro de Costo]]=Tabla19[Centro de Costo])*(Tabla19[Superficie])*(Producción_Ganadera[[#This Row],[Campaña]]=Tabla19[Campaña]))</f>
        <v>0</v>
      </c>
      <c r="AS149" s="891">
        <f>IFERROR(Producción_Ganadera[[#This Row],[Económico $Corrientes]]/Producción_Ganadera[[#This Row],[Superficie]],0)</f>
        <v>0</v>
      </c>
      <c r="AT149" s="891">
        <f>IFERROR(Producción_Ganadera[[#This Row],[Económico $Constantes]]/Producción_Ganadera[[#This Row],[Superficie]],0)</f>
        <v>0</v>
      </c>
      <c r="AU149" s="891">
        <f>IFERROR(Producción_Ganadera[[#This Row],[Económico U$S Dólares]]/Producción_Ganadera[[#This Row],[Superficie]],0)</f>
        <v>0</v>
      </c>
      <c r="AV149" s="887" t="str">
        <f>IF(Económico!$F$4=0,0,Producción_Ganadera[[#This Row],[Centro de Costo]])</f>
        <v>Campo 1</v>
      </c>
    </row>
    <row r="150" spans="2:48" x14ac:dyDescent="0.25">
      <c r="D150" s="478">
        <f>DATE(RIGHT(Producción_Ganadera[[#This Row],[Campaña]],4),6,30)</f>
        <v>43646</v>
      </c>
      <c r="E150" s="478"/>
      <c r="F150" s="866" t="str">
        <f t="shared" si="10"/>
        <v>2018-2019</v>
      </c>
      <c r="G150" s="481" t="str">
        <f t="shared" si="9"/>
        <v>Stock Cierre</v>
      </c>
      <c r="H150" s="481" t="s">
        <v>2</v>
      </c>
      <c r="I150" s="481" t="str">
        <f>Configuración!AZ12</f>
        <v>Ternero</v>
      </c>
      <c r="J150" s="549"/>
      <c r="K150" s="481"/>
      <c r="L150" s="520">
        <f>SUMPRODUCT((Producción_Ganadera[[#This Row],[Centro de Costo]]=$H$5:$H$101)*(Producción_Ganadera[[#This Row],[Categoría Hacienda]]=$I$5:$I$101)*($AE$5:$AE$101))</f>
        <v>0</v>
      </c>
      <c r="M15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50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80</v>
      </c>
      <c r="O150" s="483">
        <v>1</v>
      </c>
      <c r="P150" s="491" t="s">
        <v>140</v>
      </c>
      <c r="Q150" s="875">
        <f>IF(ISNUMBER(Producción_Ganadera[[#This Row],[Cabezas]])=TRUE,Producción_Ganadera[[#This Row],[Cabezas]]*Producción_Ganadera[[#This Row],[Cantidad]],Producción_Ganadera[[#This Row],[Cantidad]])</f>
        <v>0</v>
      </c>
      <c r="R150" s="491"/>
      <c r="S150" s="483" t="s">
        <v>48</v>
      </c>
      <c r="T150" s="485"/>
      <c r="U150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50" s="881">
        <f>IFERROR(Producción_Ganadera[[#This Row],[Económico $Corrientes]]/Producción_Ganadera[[#This Row],[Indexación Económico]],0)</f>
        <v>0</v>
      </c>
      <c r="W15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5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50" s="881">
        <f>IFERROR(Producción_Ganadera[[#This Row],[Financiero $Corrientes]]/Producción_Ganadera[[#This Row],[Indexación Financiero]],0)</f>
        <v>0</v>
      </c>
      <c r="Z150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5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50" s="885">
        <f>IFERROR(Producción_Ganadera[[#This Row],[Intereses $Corrientes]]/Producción_Ganadera[[#This Row],[Indexación Financiero]],0)</f>
        <v>0</v>
      </c>
      <c r="AC15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50" s="886" t="str">
        <f>IFERROR(INDEX(Produccion_Ganadera_Cuentas[],MATCH(Producción_Ganadera[[#This Row],[Cuenta Contable]],Produccion_Ganadera_Cuentas[Cuenta Contable],0),2),0)</f>
        <v>Stock Cierre</v>
      </c>
      <c r="AE150" s="887">
        <f>IF(Producción_Ganadera[[#This Row],[Mov. Stock]]="(+)",Producción_Ganadera[[#This Row],[Cabezas]],IF(Producción_Ganadera[[#This Row],[Mov. Stock]]="(-)",-Producción_Ganadera[[#This Row],[Cabezas]],0))</f>
        <v>0</v>
      </c>
      <c r="AF150" s="888" t="str">
        <f>IFERROR(INDEX(Produccion_Ganadera_Cuentas[],MATCH(Producción_Ganadera[[#This Row],[Cuenta Contable]],Produccion_Ganadera_Cuentas[Cuenta Contable],0),5),0)</f>
        <v>(-)</v>
      </c>
      <c r="AG150" s="889" t="str">
        <f>IF(Producción_Ganadera[[#This Row],[Cuenta Contable]]=Configuración!$AC$9,"Si","No")</f>
        <v>No</v>
      </c>
      <c r="AH150" s="887" t="str">
        <f>IFERROR(INDEX(Tabla9[],MATCH(Producción_Ganadera[[#This Row],[Movimiento]],Tabla9[Movimientos],0),2),0)</f>
        <v>No</v>
      </c>
      <c r="AI150" s="888" t="str">
        <f>IFERROR(INDEX(Tabla9[],MATCH(Producción_Ganadera[[#This Row],[Movimiento]],Tabla9[Movimientos],0),3),0)</f>
        <v>(+)</v>
      </c>
      <c r="AJ150" s="890">
        <f>IF(Producción_Ganadera[[#This Row],[Fecha Económico]]=0,0,MONTH(Producción_Ganadera[[#This Row],[Fecha Económico]]))</f>
        <v>6</v>
      </c>
      <c r="AK150" s="890">
        <f>IF(Producción_Ganadera[[#This Row],[Fecha Económico]]=0,0,YEAR(Producción_Ganadera[[#This Row],[Fecha Económico]]))</f>
        <v>2019</v>
      </c>
      <c r="AL150" s="891">
        <f>SUMPRODUCT((Producción_Ganadera[[#This Row],[Mes Económico]]=Tipo_Cambio[Mes])*(Producción_Ganadera[[#This Row],[Año Económico]]=Tipo_Cambio[Año])*(Tipo_Cambio[$/U$S]))</f>
        <v>24.544703626636963</v>
      </c>
      <c r="AM150" s="891">
        <f>SUMPRODUCT((Producción_Ganadera[[#This Row],[Mes Económico]]=Tipo_Cambio[Mes])*(Producción_Ganadera[[#This Row],[Año Económico]]=Tipo_Cambio[Año])*(Tipo_Cambio[Actualización]))</f>
        <v>1.2433743083946525</v>
      </c>
      <c r="AN150" s="890">
        <f>IF(ISNUMBER(Producción_Ganadera[[#This Row],[Fecha Financiero]])=TRUE,MONTH(Producción_Ganadera[[#This Row],[Fecha Financiero]]),0)</f>
        <v>0</v>
      </c>
      <c r="AO150" s="890">
        <f>IF(ISNUMBER(Producción_Ganadera[[#This Row],[Fecha Financiero]])=TRUE,YEAR(Producción_Ganadera[[#This Row],[Fecha Financiero]]),0)</f>
        <v>0</v>
      </c>
      <c r="AP150" s="891">
        <f>SUMPRODUCT((Producción_Ganadera[[#This Row],[Mes Financiero]]=Tipo_Cambio[Mes])*(Producción_Ganadera[[#This Row],[Año Financiero]]=Tipo_Cambio[Año])*(Tipo_Cambio[$/U$S]))</f>
        <v>0</v>
      </c>
      <c r="AQ150" s="891">
        <f>SUMPRODUCT((Producción_Ganadera[[#This Row],[Mes Financiero]]=Tipo_Cambio[Mes])*(Producción_Ganadera[[#This Row],[Año Financiero]]=Tipo_Cambio[Año])*(Tipo_Cambio[Actualización]))</f>
        <v>0</v>
      </c>
      <c r="AR150" s="892">
        <f>SUMPRODUCT((Producción_Ganadera[[#This Row],[Centro de Costo]]=Tabla19[Centro de Costo])*(Tabla19[Superficie])*(Producción_Ganadera[[#This Row],[Campaña]]=Tabla19[Campaña]))</f>
        <v>0</v>
      </c>
      <c r="AS150" s="891">
        <f>IFERROR(Producción_Ganadera[[#This Row],[Económico $Corrientes]]/Producción_Ganadera[[#This Row],[Superficie]],0)</f>
        <v>0</v>
      </c>
      <c r="AT150" s="891">
        <f>IFERROR(Producción_Ganadera[[#This Row],[Económico $Constantes]]/Producción_Ganadera[[#This Row],[Superficie]],0)</f>
        <v>0</v>
      </c>
      <c r="AU150" s="891">
        <f>IFERROR(Producción_Ganadera[[#This Row],[Económico U$S Dólares]]/Producción_Ganadera[[#This Row],[Superficie]],0)</f>
        <v>0</v>
      </c>
      <c r="AV150" s="887" t="str">
        <f>IF(Económico!$F$4=0,0,Producción_Ganadera[[#This Row],[Centro de Costo]])</f>
        <v>Campo 1</v>
      </c>
    </row>
    <row r="151" spans="2:48" x14ac:dyDescent="0.25">
      <c r="D151" s="478">
        <f>DATE(RIGHT(Producción_Ganadera[[#This Row],[Campaña]],4),6,30)</f>
        <v>43646</v>
      </c>
      <c r="E151" s="478"/>
      <c r="F151" s="866" t="str">
        <f t="shared" si="10"/>
        <v>2018-2019</v>
      </c>
      <c r="G151" s="481" t="str">
        <f t="shared" si="9"/>
        <v>Stock Cierre</v>
      </c>
      <c r="H151" s="481" t="s">
        <v>2</v>
      </c>
      <c r="I151" s="481" t="str">
        <f>Configuración!AZ13</f>
        <v>Toro</v>
      </c>
      <c r="J151" s="549"/>
      <c r="K151" s="481"/>
      <c r="L151" s="520">
        <f>SUMPRODUCT((Producción_Ganadera[[#This Row],[Centro de Costo]]=$H$5:$H$101)*(Producción_Ganadera[[#This Row],[Categoría Hacienda]]=$I$5:$I$101)*($AE$5:$AE$101))</f>
        <v>0</v>
      </c>
      <c r="M15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51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600</v>
      </c>
      <c r="O151" s="483">
        <v>1</v>
      </c>
      <c r="P151" s="491" t="s">
        <v>140</v>
      </c>
      <c r="Q151" s="875">
        <f>IF(ISNUMBER(Producción_Ganadera[[#This Row],[Cabezas]])=TRUE,Producción_Ganadera[[#This Row],[Cabezas]]*Producción_Ganadera[[#This Row],[Cantidad]],Producción_Ganadera[[#This Row],[Cantidad]])</f>
        <v>0</v>
      </c>
      <c r="R151" s="491"/>
      <c r="S151" s="483" t="s">
        <v>48</v>
      </c>
      <c r="T151" s="485"/>
      <c r="U151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51" s="881">
        <f>IFERROR(Producción_Ganadera[[#This Row],[Económico $Corrientes]]/Producción_Ganadera[[#This Row],[Indexación Económico]],0)</f>
        <v>0</v>
      </c>
      <c r="W15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5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51" s="881">
        <f>IFERROR(Producción_Ganadera[[#This Row],[Financiero $Corrientes]]/Producción_Ganadera[[#This Row],[Indexación Financiero]],0)</f>
        <v>0</v>
      </c>
      <c r="Z151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5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51" s="885">
        <f>IFERROR(Producción_Ganadera[[#This Row],[Intereses $Corrientes]]/Producción_Ganadera[[#This Row],[Indexación Financiero]],0)</f>
        <v>0</v>
      </c>
      <c r="AC15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51" s="886" t="str">
        <f>IFERROR(INDEX(Produccion_Ganadera_Cuentas[],MATCH(Producción_Ganadera[[#This Row],[Cuenta Contable]],Produccion_Ganadera_Cuentas[Cuenta Contable],0),2),0)</f>
        <v>Stock Cierre</v>
      </c>
      <c r="AE151" s="887">
        <f>IF(Producción_Ganadera[[#This Row],[Mov. Stock]]="(+)",Producción_Ganadera[[#This Row],[Cabezas]],IF(Producción_Ganadera[[#This Row],[Mov. Stock]]="(-)",-Producción_Ganadera[[#This Row],[Cabezas]],0))</f>
        <v>0</v>
      </c>
      <c r="AF151" s="888" t="str">
        <f>IFERROR(INDEX(Produccion_Ganadera_Cuentas[],MATCH(Producción_Ganadera[[#This Row],[Cuenta Contable]],Produccion_Ganadera_Cuentas[Cuenta Contable],0),5),0)</f>
        <v>(-)</v>
      </c>
      <c r="AG151" s="889" t="str">
        <f>IF(Producción_Ganadera[[#This Row],[Cuenta Contable]]=Configuración!$AC$9,"Si","No")</f>
        <v>No</v>
      </c>
      <c r="AH151" s="887" t="str">
        <f>IFERROR(INDEX(Tabla9[],MATCH(Producción_Ganadera[[#This Row],[Movimiento]],Tabla9[Movimientos],0),2),0)</f>
        <v>No</v>
      </c>
      <c r="AI151" s="888" t="str">
        <f>IFERROR(INDEX(Tabla9[],MATCH(Producción_Ganadera[[#This Row],[Movimiento]],Tabla9[Movimientos],0),3),0)</f>
        <v>(+)</v>
      </c>
      <c r="AJ151" s="890">
        <f>IF(Producción_Ganadera[[#This Row],[Fecha Económico]]=0,0,MONTH(Producción_Ganadera[[#This Row],[Fecha Económico]]))</f>
        <v>6</v>
      </c>
      <c r="AK151" s="890">
        <f>IF(Producción_Ganadera[[#This Row],[Fecha Económico]]=0,0,YEAR(Producción_Ganadera[[#This Row],[Fecha Económico]]))</f>
        <v>2019</v>
      </c>
      <c r="AL151" s="891">
        <f>SUMPRODUCT((Producción_Ganadera[[#This Row],[Mes Económico]]=Tipo_Cambio[Mes])*(Producción_Ganadera[[#This Row],[Año Económico]]=Tipo_Cambio[Año])*(Tipo_Cambio[$/U$S]))</f>
        <v>24.544703626636963</v>
      </c>
      <c r="AM151" s="891">
        <f>SUMPRODUCT((Producción_Ganadera[[#This Row],[Mes Económico]]=Tipo_Cambio[Mes])*(Producción_Ganadera[[#This Row],[Año Económico]]=Tipo_Cambio[Año])*(Tipo_Cambio[Actualización]))</f>
        <v>1.2433743083946525</v>
      </c>
      <c r="AN151" s="890">
        <f>IF(ISNUMBER(Producción_Ganadera[[#This Row],[Fecha Financiero]])=TRUE,MONTH(Producción_Ganadera[[#This Row],[Fecha Financiero]]),0)</f>
        <v>0</v>
      </c>
      <c r="AO151" s="890">
        <f>IF(ISNUMBER(Producción_Ganadera[[#This Row],[Fecha Financiero]])=TRUE,YEAR(Producción_Ganadera[[#This Row],[Fecha Financiero]]),0)</f>
        <v>0</v>
      </c>
      <c r="AP151" s="891">
        <f>SUMPRODUCT((Producción_Ganadera[[#This Row],[Mes Financiero]]=Tipo_Cambio[Mes])*(Producción_Ganadera[[#This Row],[Año Financiero]]=Tipo_Cambio[Año])*(Tipo_Cambio[$/U$S]))</f>
        <v>0</v>
      </c>
      <c r="AQ151" s="891">
        <f>SUMPRODUCT((Producción_Ganadera[[#This Row],[Mes Financiero]]=Tipo_Cambio[Mes])*(Producción_Ganadera[[#This Row],[Año Financiero]]=Tipo_Cambio[Año])*(Tipo_Cambio[Actualización]))</f>
        <v>0</v>
      </c>
      <c r="AR151" s="892">
        <f>SUMPRODUCT((Producción_Ganadera[[#This Row],[Centro de Costo]]=Tabla19[Centro de Costo])*(Tabla19[Superficie])*(Producción_Ganadera[[#This Row],[Campaña]]=Tabla19[Campaña]))</f>
        <v>0</v>
      </c>
      <c r="AS151" s="891">
        <f>IFERROR(Producción_Ganadera[[#This Row],[Económico $Corrientes]]/Producción_Ganadera[[#This Row],[Superficie]],0)</f>
        <v>0</v>
      </c>
      <c r="AT151" s="891">
        <f>IFERROR(Producción_Ganadera[[#This Row],[Económico $Constantes]]/Producción_Ganadera[[#This Row],[Superficie]],0)</f>
        <v>0</v>
      </c>
      <c r="AU151" s="891">
        <f>IFERROR(Producción_Ganadera[[#This Row],[Económico U$S Dólares]]/Producción_Ganadera[[#This Row],[Superficie]],0)</f>
        <v>0</v>
      </c>
      <c r="AV151" s="887" t="str">
        <f>IF(Económico!$F$4=0,0,Producción_Ganadera[[#This Row],[Centro de Costo]])</f>
        <v>Campo 1</v>
      </c>
    </row>
    <row r="152" spans="2:48" x14ac:dyDescent="0.25">
      <c r="D152" s="478">
        <f>DATE(RIGHT(Producción_Ganadera[[#This Row],[Campaña]],4),6,30)</f>
        <v>43646</v>
      </c>
      <c r="E152" s="478"/>
      <c r="F152" s="866" t="str">
        <f t="shared" si="10"/>
        <v>2018-2019</v>
      </c>
      <c r="G152" s="481" t="str">
        <f t="shared" si="9"/>
        <v>Stock Cierre</v>
      </c>
      <c r="H152" s="481" t="s">
        <v>2</v>
      </c>
      <c r="I152" s="481" t="str">
        <f>Configuración!AZ14</f>
        <v>Toro Descarte</v>
      </c>
      <c r="J152" s="549"/>
      <c r="K152" s="481"/>
      <c r="L152" s="520">
        <f>SUMPRODUCT((Producción_Ganadera[[#This Row],[Centro de Costo]]=$H$5:$H$101)*(Producción_Ganadera[[#This Row],[Categoría Hacienda]]=$I$5:$I$101)*($AE$5:$AE$101))</f>
        <v>0</v>
      </c>
      <c r="M15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52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600</v>
      </c>
      <c r="O152" s="483">
        <v>1</v>
      </c>
      <c r="P152" s="491" t="s">
        <v>140</v>
      </c>
      <c r="Q152" s="875">
        <f>IF(ISNUMBER(Producción_Ganadera[[#This Row],[Cabezas]])=TRUE,Producción_Ganadera[[#This Row],[Cabezas]]*Producción_Ganadera[[#This Row],[Cantidad]],Producción_Ganadera[[#This Row],[Cantidad]])</f>
        <v>0</v>
      </c>
      <c r="R152" s="491"/>
      <c r="S152" s="483" t="s">
        <v>48</v>
      </c>
      <c r="T152" s="485"/>
      <c r="U152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52" s="881">
        <f>IFERROR(Producción_Ganadera[[#This Row],[Económico $Corrientes]]/Producción_Ganadera[[#This Row],[Indexación Económico]],0)</f>
        <v>0</v>
      </c>
      <c r="W15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5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52" s="881">
        <f>IFERROR(Producción_Ganadera[[#This Row],[Financiero $Corrientes]]/Producción_Ganadera[[#This Row],[Indexación Financiero]],0)</f>
        <v>0</v>
      </c>
      <c r="Z152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5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52" s="885">
        <f>IFERROR(Producción_Ganadera[[#This Row],[Intereses $Corrientes]]/Producción_Ganadera[[#This Row],[Indexación Financiero]],0)</f>
        <v>0</v>
      </c>
      <c r="AC15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52" s="886" t="str">
        <f>IFERROR(INDEX(Produccion_Ganadera_Cuentas[],MATCH(Producción_Ganadera[[#This Row],[Cuenta Contable]],Produccion_Ganadera_Cuentas[Cuenta Contable],0),2),0)</f>
        <v>Stock Cierre</v>
      </c>
      <c r="AE152" s="887">
        <f>IF(Producción_Ganadera[[#This Row],[Mov. Stock]]="(+)",Producción_Ganadera[[#This Row],[Cabezas]],IF(Producción_Ganadera[[#This Row],[Mov. Stock]]="(-)",-Producción_Ganadera[[#This Row],[Cabezas]],0))</f>
        <v>0</v>
      </c>
      <c r="AF152" s="888" t="str">
        <f>IFERROR(INDEX(Produccion_Ganadera_Cuentas[],MATCH(Producción_Ganadera[[#This Row],[Cuenta Contable]],Produccion_Ganadera_Cuentas[Cuenta Contable],0),5),0)</f>
        <v>(-)</v>
      </c>
      <c r="AG152" s="889" t="str">
        <f>IF(Producción_Ganadera[[#This Row],[Cuenta Contable]]=Configuración!$AC$9,"Si","No")</f>
        <v>No</v>
      </c>
      <c r="AH152" s="887" t="str">
        <f>IFERROR(INDEX(Tabla9[],MATCH(Producción_Ganadera[[#This Row],[Movimiento]],Tabla9[Movimientos],0),2),0)</f>
        <v>No</v>
      </c>
      <c r="AI152" s="888" t="str">
        <f>IFERROR(INDEX(Tabla9[],MATCH(Producción_Ganadera[[#This Row],[Movimiento]],Tabla9[Movimientos],0),3),0)</f>
        <v>(+)</v>
      </c>
      <c r="AJ152" s="890">
        <f>IF(Producción_Ganadera[[#This Row],[Fecha Económico]]=0,0,MONTH(Producción_Ganadera[[#This Row],[Fecha Económico]]))</f>
        <v>6</v>
      </c>
      <c r="AK152" s="890">
        <f>IF(Producción_Ganadera[[#This Row],[Fecha Económico]]=0,0,YEAR(Producción_Ganadera[[#This Row],[Fecha Económico]]))</f>
        <v>2019</v>
      </c>
      <c r="AL152" s="891">
        <f>SUMPRODUCT((Producción_Ganadera[[#This Row],[Mes Económico]]=Tipo_Cambio[Mes])*(Producción_Ganadera[[#This Row],[Año Económico]]=Tipo_Cambio[Año])*(Tipo_Cambio[$/U$S]))</f>
        <v>24.544703626636963</v>
      </c>
      <c r="AM152" s="891">
        <f>SUMPRODUCT((Producción_Ganadera[[#This Row],[Mes Económico]]=Tipo_Cambio[Mes])*(Producción_Ganadera[[#This Row],[Año Económico]]=Tipo_Cambio[Año])*(Tipo_Cambio[Actualización]))</f>
        <v>1.2433743083946525</v>
      </c>
      <c r="AN152" s="890">
        <f>IF(ISNUMBER(Producción_Ganadera[[#This Row],[Fecha Financiero]])=TRUE,MONTH(Producción_Ganadera[[#This Row],[Fecha Financiero]]),0)</f>
        <v>0</v>
      </c>
      <c r="AO152" s="890">
        <f>IF(ISNUMBER(Producción_Ganadera[[#This Row],[Fecha Financiero]])=TRUE,YEAR(Producción_Ganadera[[#This Row],[Fecha Financiero]]),0)</f>
        <v>0</v>
      </c>
      <c r="AP152" s="891">
        <f>SUMPRODUCT((Producción_Ganadera[[#This Row],[Mes Financiero]]=Tipo_Cambio[Mes])*(Producción_Ganadera[[#This Row],[Año Financiero]]=Tipo_Cambio[Año])*(Tipo_Cambio[$/U$S]))</f>
        <v>0</v>
      </c>
      <c r="AQ152" s="891">
        <f>SUMPRODUCT((Producción_Ganadera[[#This Row],[Mes Financiero]]=Tipo_Cambio[Mes])*(Producción_Ganadera[[#This Row],[Año Financiero]]=Tipo_Cambio[Año])*(Tipo_Cambio[Actualización]))</f>
        <v>0</v>
      </c>
      <c r="AR152" s="892">
        <f>SUMPRODUCT((Producción_Ganadera[[#This Row],[Centro de Costo]]=Tabla19[Centro de Costo])*(Tabla19[Superficie])*(Producción_Ganadera[[#This Row],[Campaña]]=Tabla19[Campaña]))</f>
        <v>0</v>
      </c>
      <c r="AS152" s="891">
        <f>IFERROR(Producción_Ganadera[[#This Row],[Económico $Corrientes]]/Producción_Ganadera[[#This Row],[Superficie]],0)</f>
        <v>0</v>
      </c>
      <c r="AT152" s="891">
        <f>IFERROR(Producción_Ganadera[[#This Row],[Económico $Constantes]]/Producción_Ganadera[[#This Row],[Superficie]],0)</f>
        <v>0</v>
      </c>
      <c r="AU152" s="891">
        <f>IFERROR(Producción_Ganadera[[#This Row],[Económico U$S Dólares]]/Producción_Ganadera[[#This Row],[Superficie]],0)</f>
        <v>0</v>
      </c>
      <c r="AV152" s="887" t="str">
        <f>IF(Económico!$F$4=0,0,Producción_Ganadera[[#This Row],[Centro de Costo]])</f>
        <v>Campo 1</v>
      </c>
    </row>
    <row r="153" spans="2:48" x14ac:dyDescent="0.25">
      <c r="D153" s="478">
        <f>DATE(RIGHT(Producción_Ganadera[[#This Row],[Campaña]],4),6,30)</f>
        <v>43646</v>
      </c>
      <c r="E153" s="478"/>
      <c r="F153" s="866" t="str">
        <f t="shared" si="10"/>
        <v>2018-2019</v>
      </c>
      <c r="G153" s="481" t="str">
        <f t="shared" si="9"/>
        <v>Stock Cierre</v>
      </c>
      <c r="H153" s="481" t="s">
        <v>2</v>
      </c>
      <c r="I153" s="481" t="str">
        <f>Configuración!AZ15</f>
        <v>Novillo 06-15</v>
      </c>
      <c r="J153" s="549"/>
      <c r="K153" s="481"/>
      <c r="L153" s="520">
        <f>SUMPRODUCT((Producción_Ganadera[[#This Row],[Centro de Costo]]=$H$5:$H$101)*(Producción_Ganadera[[#This Row],[Categoría Hacienda]]=$I$5:$I$101)*($AE$5:$AE$101))</f>
        <v>0</v>
      </c>
      <c r="M15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53" s="866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200</v>
      </c>
      <c r="O153" s="483">
        <v>1</v>
      </c>
      <c r="P153" s="491" t="s">
        <v>140</v>
      </c>
      <c r="Q153" s="875">
        <f>IF(ISNUMBER(Producción_Ganadera[[#This Row],[Cabezas]])=TRUE,Producción_Ganadera[[#This Row],[Cabezas]]*Producción_Ganadera[[#This Row],[Cantidad]],Producción_Ganadera[[#This Row],[Cantidad]])</f>
        <v>0</v>
      </c>
      <c r="R153" s="491"/>
      <c r="S153" s="483" t="s">
        <v>48</v>
      </c>
      <c r="T153" s="485"/>
      <c r="U153" s="881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53" s="881">
        <f>IFERROR(Producción_Ganadera[[#This Row],[Económico $Corrientes]]/Producción_Ganadera[[#This Row],[Indexación Económico]],0)</f>
        <v>0</v>
      </c>
      <c r="W15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5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53" s="881">
        <f>IFERROR(Producción_Ganadera[[#This Row],[Financiero $Corrientes]]/Producción_Ganadera[[#This Row],[Indexación Financiero]],0)</f>
        <v>0</v>
      </c>
      <c r="Z153" s="88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5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53" s="885">
        <f>IFERROR(Producción_Ganadera[[#This Row],[Intereses $Corrientes]]/Producción_Ganadera[[#This Row],[Indexación Financiero]],0)</f>
        <v>0</v>
      </c>
      <c r="AC15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53" s="886" t="str">
        <f>IFERROR(INDEX(Produccion_Ganadera_Cuentas[],MATCH(Producción_Ganadera[[#This Row],[Cuenta Contable]],Produccion_Ganadera_Cuentas[Cuenta Contable],0),2),0)</f>
        <v>Stock Cierre</v>
      </c>
      <c r="AE153" s="887">
        <f>IF(Producción_Ganadera[[#This Row],[Mov. Stock]]="(+)",Producción_Ganadera[[#This Row],[Cabezas]],IF(Producción_Ganadera[[#This Row],[Mov. Stock]]="(-)",-Producción_Ganadera[[#This Row],[Cabezas]],0))</f>
        <v>0</v>
      </c>
      <c r="AF153" s="888" t="str">
        <f>IFERROR(INDEX(Produccion_Ganadera_Cuentas[],MATCH(Producción_Ganadera[[#This Row],[Cuenta Contable]],Produccion_Ganadera_Cuentas[Cuenta Contable],0),5),0)</f>
        <v>(-)</v>
      </c>
      <c r="AG153" s="889" t="str">
        <f>IF(Producción_Ganadera[[#This Row],[Cuenta Contable]]=Configuración!$AC$9,"Si","No")</f>
        <v>No</v>
      </c>
      <c r="AH153" s="887" t="str">
        <f>IFERROR(INDEX(Tabla9[],MATCH(Producción_Ganadera[[#This Row],[Movimiento]],Tabla9[Movimientos],0),2),0)</f>
        <v>No</v>
      </c>
      <c r="AI153" s="888" t="str">
        <f>IFERROR(INDEX(Tabla9[],MATCH(Producción_Ganadera[[#This Row],[Movimiento]],Tabla9[Movimientos],0),3),0)</f>
        <v>(+)</v>
      </c>
      <c r="AJ153" s="890">
        <f>IF(Producción_Ganadera[[#This Row],[Fecha Económico]]=0,0,MONTH(Producción_Ganadera[[#This Row],[Fecha Económico]]))</f>
        <v>6</v>
      </c>
      <c r="AK153" s="890">
        <f>IF(Producción_Ganadera[[#This Row],[Fecha Económico]]=0,0,YEAR(Producción_Ganadera[[#This Row],[Fecha Económico]]))</f>
        <v>2019</v>
      </c>
      <c r="AL153" s="891">
        <f>SUMPRODUCT((Producción_Ganadera[[#This Row],[Mes Económico]]=Tipo_Cambio[Mes])*(Producción_Ganadera[[#This Row],[Año Económico]]=Tipo_Cambio[Año])*(Tipo_Cambio[$/U$S]))</f>
        <v>24.544703626636963</v>
      </c>
      <c r="AM153" s="891">
        <f>SUMPRODUCT((Producción_Ganadera[[#This Row],[Mes Económico]]=Tipo_Cambio[Mes])*(Producción_Ganadera[[#This Row],[Año Económico]]=Tipo_Cambio[Año])*(Tipo_Cambio[Actualización]))</f>
        <v>1.2433743083946525</v>
      </c>
      <c r="AN153" s="890">
        <f>IF(ISNUMBER(Producción_Ganadera[[#This Row],[Fecha Financiero]])=TRUE,MONTH(Producción_Ganadera[[#This Row],[Fecha Financiero]]),0)</f>
        <v>0</v>
      </c>
      <c r="AO153" s="890">
        <f>IF(ISNUMBER(Producción_Ganadera[[#This Row],[Fecha Financiero]])=TRUE,YEAR(Producción_Ganadera[[#This Row],[Fecha Financiero]]),0)</f>
        <v>0</v>
      </c>
      <c r="AP153" s="891">
        <f>SUMPRODUCT((Producción_Ganadera[[#This Row],[Mes Financiero]]=Tipo_Cambio[Mes])*(Producción_Ganadera[[#This Row],[Año Financiero]]=Tipo_Cambio[Año])*(Tipo_Cambio[$/U$S]))</f>
        <v>0</v>
      </c>
      <c r="AQ153" s="891">
        <f>SUMPRODUCT((Producción_Ganadera[[#This Row],[Mes Financiero]]=Tipo_Cambio[Mes])*(Producción_Ganadera[[#This Row],[Año Financiero]]=Tipo_Cambio[Año])*(Tipo_Cambio[Actualización]))</f>
        <v>0</v>
      </c>
      <c r="AR153" s="892">
        <f>SUMPRODUCT((Producción_Ganadera[[#This Row],[Centro de Costo]]=Tabla19[Centro de Costo])*(Tabla19[Superficie])*(Producción_Ganadera[[#This Row],[Campaña]]=Tabla19[Campaña]))</f>
        <v>0</v>
      </c>
      <c r="AS153" s="891">
        <f>IFERROR(Producción_Ganadera[[#This Row],[Económico $Corrientes]]/Producción_Ganadera[[#This Row],[Superficie]],0)</f>
        <v>0</v>
      </c>
      <c r="AT153" s="891">
        <f>IFERROR(Producción_Ganadera[[#This Row],[Económico $Constantes]]/Producción_Ganadera[[#This Row],[Superficie]],0)</f>
        <v>0</v>
      </c>
      <c r="AU153" s="891">
        <f>IFERROR(Producción_Ganadera[[#This Row],[Económico U$S Dólares]]/Producción_Ganadera[[#This Row],[Superficie]],0)</f>
        <v>0</v>
      </c>
      <c r="AV153" s="887" t="str">
        <f>IF(Económico!$F$4=0,0,Producción_Ganadera[[#This Row],[Centro de Costo]])</f>
        <v>Campo 1</v>
      </c>
    </row>
    <row r="154" spans="2:48" x14ac:dyDescent="0.25">
      <c r="D154" s="535">
        <f>DATE(RIGHT(Producción_Ganadera[[#This Row],[Campaña]],4),6,30)</f>
        <v>43646</v>
      </c>
      <c r="E154" s="535"/>
      <c r="F154" s="867" t="str">
        <f t="shared" si="10"/>
        <v>2018-2019</v>
      </c>
      <c r="G154" s="538" t="str">
        <f t="shared" si="9"/>
        <v>Stock Cierre</v>
      </c>
      <c r="H154" s="538" t="s">
        <v>2</v>
      </c>
      <c r="I154" s="538" t="str">
        <f>Configuración!AZ16</f>
        <v>Novillo 15-27</v>
      </c>
      <c r="J154" s="584"/>
      <c r="K154" s="538"/>
      <c r="L154" s="585">
        <f>SUMPRODUCT((Producción_Ganadera[[#This Row],[Centro de Costo]]=$H$5:$H$101)*(Producción_Ganadera[[#This Row],[Categoría Hacienda]]=$I$5:$I$101)*($AE$5:$AE$101))</f>
        <v>0</v>
      </c>
      <c r="M154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54" s="867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300</v>
      </c>
      <c r="O154" s="602">
        <v>1</v>
      </c>
      <c r="P154" s="538" t="s">
        <v>140</v>
      </c>
      <c r="Q154" s="876">
        <f>IF(ISNUMBER(Producción_Ganadera[[#This Row],[Cabezas]])=TRUE,Producción_Ganadera[[#This Row],[Cabezas]]*Producción_Ganadera[[#This Row],[Cantidad]],Producción_Ganadera[[#This Row],[Cantidad]])</f>
        <v>0</v>
      </c>
      <c r="R154" s="538"/>
      <c r="S154" s="602" t="s">
        <v>48</v>
      </c>
      <c r="T154" s="589"/>
      <c r="U154" s="895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54" s="893">
        <f>IFERROR(Producción_Ganadera[[#This Row],[Económico $Corrientes]]/Producción_Ganadera[[#This Row],[Indexación Económico]],0)</f>
        <v>0</v>
      </c>
      <c r="W154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54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54" s="893">
        <f>IFERROR(Producción_Ganadera[[#This Row],[Financiero $Corrientes]]/Producción_Ganadera[[#This Row],[Indexación Financiero]],0)</f>
        <v>0</v>
      </c>
      <c r="Z154" s="92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54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54" s="897">
        <f>IFERROR(Producción_Ganadera[[#This Row],[Intereses $Corrientes]]/Producción_Ganadera[[#This Row],[Indexación Financiero]],0)</f>
        <v>0</v>
      </c>
      <c r="AC154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54" s="922" t="str">
        <f>IFERROR(INDEX(Produccion_Ganadera_Cuentas[],MATCH(Producción_Ganadera[[#This Row],[Cuenta Contable]],Produccion_Ganadera_Cuentas[Cuenta Contable],0),2),0)</f>
        <v>Stock Cierre</v>
      </c>
      <c r="AE154" s="923">
        <f>IF(Producción_Ganadera[[#This Row],[Mov. Stock]]="(+)",Producción_Ganadera[[#This Row],[Cabezas]],IF(Producción_Ganadera[[#This Row],[Mov. Stock]]="(-)",-Producción_Ganadera[[#This Row],[Cabezas]],0))</f>
        <v>0</v>
      </c>
      <c r="AF154" s="924" t="str">
        <f>IFERROR(INDEX(Produccion_Ganadera_Cuentas[],MATCH(Producción_Ganadera[[#This Row],[Cuenta Contable]],Produccion_Ganadera_Cuentas[Cuenta Contable],0),5),0)</f>
        <v>(-)</v>
      </c>
      <c r="AG154" s="925" t="str">
        <f>IF(Producción_Ganadera[[#This Row],[Cuenta Contable]]=Configuración!$AC$9,"Si","No")</f>
        <v>No</v>
      </c>
      <c r="AH154" s="899" t="str">
        <f>IFERROR(INDEX(Tabla9[],MATCH(Producción_Ganadera[[#This Row],[Movimiento]],Tabla9[Movimientos],0),2),0)</f>
        <v>No</v>
      </c>
      <c r="AI154" s="900" t="str">
        <f>IFERROR(INDEX(Tabla9[],MATCH(Producción_Ganadera[[#This Row],[Movimiento]],Tabla9[Movimientos],0),3),0)</f>
        <v>(+)</v>
      </c>
      <c r="AJ154" s="897">
        <f>IF(Producción_Ganadera[[#This Row],[Fecha Económico]]=0,0,MONTH(Producción_Ganadera[[#This Row],[Fecha Económico]]))</f>
        <v>6</v>
      </c>
      <c r="AK154" s="897">
        <f>IF(Producción_Ganadera[[#This Row],[Fecha Económico]]=0,0,YEAR(Producción_Ganadera[[#This Row],[Fecha Económico]]))</f>
        <v>2019</v>
      </c>
      <c r="AL154" s="901">
        <f>SUMPRODUCT((Producción_Ganadera[[#This Row],[Mes Económico]]=Tipo_Cambio[Mes])*(Producción_Ganadera[[#This Row],[Año Económico]]=Tipo_Cambio[Año])*(Tipo_Cambio[$/U$S]))</f>
        <v>24.544703626636963</v>
      </c>
      <c r="AM154" s="901">
        <f>SUMPRODUCT((Producción_Ganadera[[#This Row],[Mes Económico]]=Tipo_Cambio[Mes])*(Producción_Ganadera[[#This Row],[Año Económico]]=Tipo_Cambio[Año])*(Tipo_Cambio[Actualización]))</f>
        <v>1.2433743083946525</v>
      </c>
      <c r="AN154" s="897">
        <f>IF(ISNUMBER(Producción_Ganadera[[#This Row],[Fecha Financiero]])=TRUE,MONTH(Producción_Ganadera[[#This Row],[Fecha Financiero]]),0)</f>
        <v>0</v>
      </c>
      <c r="AO154" s="897">
        <f>IF(ISNUMBER(Producción_Ganadera[[#This Row],[Fecha Financiero]])=TRUE,YEAR(Producción_Ganadera[[#This Row],[Fecha Financiero]]),0)</f>
        <v>0</v>
      </c>
      <c r="AP154" s="901">
        <f>SUMPRODUCT((Producción_Ganadera[[#This Row],[Mes Financiero]]=Tipo_Cambio[Mes])*(Producción_Ganadera[[#This Row],[Año Financiero]]=Tipo_Cambio[Año])*(Tipo_Cambio[$/U$S]))</f>
        <v>0</v>
      </c>
      <c r="AQ154" s="901">
        <f>SUMPRODUCT((Producción_Ganadera[[#This Row],[Mes Financiero]]=Tipo_Cambio[Mes])*(Producción_Ganadera[[#This Row],[Año Financiero]]=Tipo_Cambio[Año])*(Tipo_Cambio[Actualización]))</f>
        <v>0</v>
      </c>
      <c r="AR154" s="902">
        <f>SUMPRODUCT((Producción_Ganadera[[#This Row],[Centro de Costo]]=Tabla19[Centro de Costo])*(Tabla19[Superficie])*(Producción_Ganadera[[#This Row],[Campaña]]=Tabla19[Campaña]))</f>
        <v>0</v>
      </c>
      <c r="AS154" s="901">
        <f>IFERROR(Producción_Ganadera[[#This Row],[Económico $Corrientes]]/Producción_Ganadera[[#This Row],[Superficie]],0)</f>
        <v>0</v>
      </c>
      <c r="AT154" s="901">
        <f>IFERROR(Producción_Ganadera[[#This Row],[Económico $Constantes]]/Producción_Ganadera[[#This Row],[Superficie]],0)</f>
        <v>0</v>
      </c>
      <c r="AU154" s="901">
        <f>IFERROR(Producción_Ganadera[[#This Row],[Económico U$S Dólares]]/Producción_Ganadera[[#This Row],[Superficie]],0)</f>
        <v>0</v>
      </c>
      <c r="AV154" s="899" t="str">
        <f>IF(Económico!$F$4=0,0,Producción_Ganadera[[#This Row],[Centro de Costo]])</f>
        <v>Campo 1</v>
      </c>
    </row>
    <row r="155" spans="2:48" x14ac:dyDescent="0.25">
      <c r="D155" s="478">
        <f>DATE(RIGHT(Producción_Ganadera[[#This Row],[Campaña]],4),6,30)</f>
        <v>43646</v>
      </c>
      <c r="E155" s="478"/>
      <c r="F155" s="866" t="str">
        <f t="shared" si="10"/>
        <v>2018-2019</v>
      </c>
      <c r="G155" s="491" t="str">
        <f t="shared" si="9"/>
        <v>Stock Cierre</v>
      </c>
      <c r="H155" s="491" t="s">
        <v>8</v>
      </c>
      <c r="I155" s="491" t="str">
        <f>Configuración!AZ5</f>
        <v>Vaca CUT</v>
      </c>
      <c r="J155" s="549"/>
      <c r="K155" s="481"/>
      <c r="L155" s="520">
        <f>SUMPRODUCT((Producción_Ganadera[[#This Row],[Centro de Costo]]=$H$5:$H$101)*(Producción_Ganadera[[#This Row],[Categoría Hacienda]]=$I$5:$I$101)*($AE$5:$AE$101))</f>
        <v>0</v>
      </c>
      <c r="M15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5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450</v>
      </c>
      <c r="O155" s="611">
        <v>1</v>
      </c>
      <c r="P155" s="484" t="s">
        <v>140</v>
      </c>
      <c r="Q155" s="875">
        <f>IF(ISNUMBER(Producción_Ganadera[[#This Row],[Cabezas]])=TRUE,Producción_Ganadera[[#This Row],[Cabezas]]*Producción_Ganadera[[#This Row],[Cantidad]],Producción_Ganadera[[#This Row],[Cantidad]])</f>
        <v>0</v>
      </c>
      <c r="R155" s="482"/>
      <c r="S155" s="552"/>
      <c r="T155" s="553"/>
      <c r="U15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55" s="881">
        <f>IFERROR(Producción_Ganadera[[#This Row],[Económico $Corrientes]]/Producción_Ganadera[[#This Row],[Indexación Económico]],0)</f>
        <v>0</v>
      </c>
      <c r="W15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5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55" s="881">
        <f>IFERROR(Producción_Ganadera[[#This Row],[Financiero $Corrientes]]/Producción_Ganadera[[#This Row],[Indexación Financiero]],0)</f>
        <v>0</v>
      </c>
      <c r="Z15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5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55" s="885">
        <f>IFERROR(Producción_Ganadera[[#This Row],[Intereses $Corrientes]]/Producción_Ganadera[[#This Row],[Indexación Financiero]],0)</f>
        <v>0</v>
      </c>
      <c r="AC15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55" s="915" t="str">
        <f>IFERROR(INDEX(Produccion_Ganadera_Cuentas[],MATCH(Producción_Ganadera[[#This Row],[Cuenta Contable]],Produccion_Ganadera_Cuentas[Cuenta Contable],0),2),0)</f>
        <v>Stock Cierre</v>
      </c>
      <c r="AE155" s="916">
        <f>IF(Producción_Ganadera[[#This Row],[Mov. Stock]]="(+)",Producción_Ganadera[[#This Row],[Cabezas]],IF(Producción_Ganadera[[#This Row],[Mov. Stock]]="(-)",-Producción_Ganadera[[#This Row],[Cabezas]],0))</f>
        <v>0</v>
      </c>
      <c r="AF155" s="917" t="str">
        <f>IFERROR(INDEX(Produccion_Ganadera_Cuentas[],MATCH(Producción_Ganadera[[#This Row],[Cuenta Contable]],Produccion_Ganadera_Cuentas[Cuenta Contable],0),5),0)</f>
        <v>(-)</v>
      </c>
      <c r="AG155" s="918" t="str">
        <f>IF(Producción_Ganadera[[#This Row],[Cuenta Contable]]=Configuración!$AC$9,"Si","No")</f>
        <v>No</v>
      </c>
      <c r="AH155" s="887" t="str">
        <f>IFERROR(INDEX(Tabla9[],MATCH(Producción_Ganadera[[#This Row],[Movimiento]],Tabla9[Movimientos],0),2),0)</f>
        <v>No</v>
      </c>
      <c r="AI155" s="888" t="str">
        <f>IFERROR(INDEX(Tabla9[],MATCH(Producción_Ganadera[[#This Row],[Movimiento]],Tabla9[Movimientos],0),3),0)</f>
        <v>(+)</v>
      </c>
      <c r="AJ155" s="890">
        <f>IF(Producción_Ganadera[[#This Row],[Fecha Económico]]=0,0,MONTH(Producción_Ganadera[[#This Row],[Fecha Económico]]))</f>
        <v>6</v>
      </c>
      <c r="AK155" s="890">
        <f>IF(Producción_Ganadera[[#This Row],[Fecha Económico]]=0,0,YEAR(Producción_Ganadera[[#This Row],[Fecha Económico]]))</f>
        <v>2019</v>
      </c>
      <c r="AL155" s="891">
        <f>SUMPRODUCT((Producción_Ganadera[[#This Row],[Mes Económico]]=Tipo_Cambio[Mes])*(Producción_Ganadera[[#This Row],[Año Económico]]=Tipo_Cambio[Año])*(Tipo_Cambio[$/U$S]))</f>
        <v>24.544703626636963</v>
      </c>
      <c r="AM155" s="891">
        <f>SUMPRODUCT((Producción_Ganadera[[#This Row],[Mes Económico]]=Tipo_Cambio[Mes])*(Producción_Ganadera[[#This Row],[Año Económico]]=Tipo_Cambio[Año])*(Tipo_Cambio[Actualización]))</f>
        <v>1.2433743083946525</v>
      </c>
      <c r="AN155" s="890">
        <f>IF(ISNUMBER(Producción_Ganadera[[#This Row],[Fecha Financiero]])=TRUE,MONTH(Producción_Ganadera[[#This Row],[Fecha Financiero]]),0)</f>
        <v>0</v>
      </c>
      <c r="AO155" s="890">
        <f>IF(ISNUMBER(Producción_Ganadera[[#This Row],[Fecha Financiero]])=TRUE,YEAR(Producción_Ganadera[[#This Row],[Fecha Financiero]]),0)</f>
        <v>0</v>
      </c>
      <c r="AP155" s="891">
        <f>SUMPRODUCT((Producción_Ganadera[[#This Row],[Mes Financiero]]=Tipo_Cambio[Mes])*(Producción_Ganadera[[#This Row],[Año Financiero]]=Tipo_Cambio[Año])*(Tipo_Cambio[$/U$S]))</f>
        <v>0</v>
      </c>
      <c r="AQ155" s="891">
        <f>SUMPRODUCT((Producción_Ganadera[[#This Row],[Mes Financiero]]=Tipo_Cambio[Mes])*(Producción_Ganadera[[#This Row],[Año Financiero]]=Tipo_Cambio[Año])*(Tipo_Cambio[Actualización]))</f>
        <v>0</v>
      </c>
      <c r="AR155" s="919">
        <f>SUMPRODUCT((Producción_Ganadera[[#This Row],[Centro de Costo]]=Tabla19[Centro de Costo])*(Tabla19[Superficie])*(Producción_Ganadera[[#This Row],[Campaña]]=Tabla19[Campaña]))</f>
        <v>0</v>
      </c>
      <c r="AS155" s="920">
        <f>IFERROR(Producción_Ganadera[[#This Row],[Económico $Corrientes]]/Producción_Ganadera[[#This Row],[Superficie]],0)</f>
        <v>0</v>
      </c>
      <c r="AT155" s="920">
        <f>IFERROR(Producción_Ganadera[[#This Row],[Económico $Constantes]]/Producción_Ganadera[[#This Row],[Superficie]],0)</f>
        <v>0</v>
      </c>
      <c r="AU155" s="920">
        <f>IFERROR(Producción_Ganadera[[#This Row],[Económico U$S Dólares]]/Producción_Ganadera[[#This Row],[Superficie]],0)</f>
        <v>0</v>
      </c>
      <c r="AV155" s="916" t="str">
        <f>IF(Económico!$F$4=0,0,Producción_Ganadera[[#This Row],[Centro de Costo]])</f>
        <v>Campo 2</v>
      </c>
    </row>
    <row r="156" spans="2:48" x14ac:dyDescent="0.25">
      <c r="D156" s="478">
        <f>DATE(RIGHT(Producción_Ganadera[[#This Row],[Campaña]],4),6,30)</f>
        <v>43646</v>
      </c>
      <c r="E156" s="478"/>
      <c r="F156" s="866" t="str">
        <f t="shared" si="10"/>
        <v>2018-2019</v>
      </c>
      <c r="G156" s="481" t="str">
        <f t="shared" si="9"/>
        <v>Stock Cierre</v>
      </c>
      <c r="H156" s="481" t="s">
        <v>8</v>
      </c>
      <c r="I156" s="481" t="str">
        <f>Configuración!AZ6</f>
        <v>Vaca Preñada</v>
      </c>
      <c r="J156" s="549"/>
      <c r="K156" s="481"/>
      <c r="L156" s="520">
        <f>SUMPRODUCT((Producción_Ganadera[[#This Row],[Centro de Costo]]=$H$5:$H$101)*(Producción_Ganadera[[#This Row],[Categoría Hacienda]]=$I$5:$I$101)*($AE$5:$AE$101))</f>
        <v>0</v>
      </c>
      <c r="M15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5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450</v>
      </c>
      <c r="O156" s="611">
        <v>1</v>
      </c>
      <c r="P156" s="484" t="s">
        <v>140</v>
      </c>
      <c r="Q156" s="875">
        <f>IF(ISNUMBER(Producción_Ganadera[[#This Row],[Cabezas]])=TRUE,Producción_Ganadera[[#This Row],[Cabezas]]*Producción_Ganadera[[#This Row],[Cantidad]],Producción_Ganadera[[#This Row],[Cantidad]])</f>
        <v>0</v>
      </c>
      <c r="R156" s="482"/>
      <c r="S156" s="552"/>
      <c r="T156" s="553"/>
      <c r="U15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56" s="881">
        <f>IFERROR(Producción_Ganadera[[#This Row],[Económico $Corrientes]]/Producción_Ganadera[[#This Row],[Indexación Económico]],0)</f>
        <v>0</v>
      </c>
      <c r="W15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5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56" s="881">
        <f>IFERROR(Producción_Ganadera[[#This Row],[Financiero $Corrientes]]/Producción_Ganadera[[#This Row],[Indexación Financiero]],0)</f>
        <v>0</v>
      </c>
      <c r="Z15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5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56" s="885">
        <f>IFERROR(Producción_Ganadera[[#This Row],[Intereses $Corrientes]]/Producción_Ganadera[[#This Row],[Indexación Financiero]],0)</f>
        <v>0</v>
      </c>
      <c r="AC15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56" s="915" t="str">
        <f>IFERROR(INDEX(Produccion_Ganadera_Cuentas[],MATCH(Producción_Ganadera[[#This Row],[Cuenta Contable]],Produccion_Ganadera_Cuentas[Cuenta Contable],0),2),0)</f>
        <v>Stock Cierre</v>
      </c>
      <c r="AE156" s="916">
        <f>IF(Producción_Ganadera[[#This Row],[Mov. Stock]]="(+)",Producción_Ganadera[[#This Row],[Cabezas]],IF(Producción_Ganadera[[#This Row],[Mov. Stock]]="(-)",-Producción_Ganadera[[#This Row],[Cabezas]],0))</f>
        <v>0</v>
      </c>
      <c r="AF156" s="917" t="str">
        <f>IFERROR(INDEX(Produccion_Ganadera_Cuentas[],MATCH(Producción_Ganadera[[#This Row],[Cuenta Contable]],Produccion_Ganadera_Cuentas[Cuenta Contable],0),5),0)</f>
        <v>(-)</v>
      </c>
      <c r="AG156" s="918" t="str">
        <f>IF(Producción_Ganadera[[#This Row],[Cuenta Contable]]=Configuración!$AC$9,"Si","No")</f>
        <v>No</v>
      </c>
      <c r="AH156" s="887" t="str">
        <f>IFERROR(INDEX(Tabla9[],MATCH(Producción_Ganadera[[#This Row],[Movimiento]],Tabla9[Movimientos],0),2),0)</f>
        <v>No</v>
      </c>
      <c r="AI156" s="888" t="str">
        <f>IFERROR(INDEX(Tabla9[],MATCH(Producción_Ganadera[[#This Row],[Movimiento]],Tabla9[Movimientos],0),3),0)</f>
        <v>(+)</v>
      </c>
      <c r="AJ156" s="890">
        <f>IF(Producción_Ganadera[[#This Row],[Fecha Económico]]=0,0,MONTH(Producción_Ganadera[[#This Row],[Fecha Económico]]))</f>
        <v>6</v>
      </c>
      <c r="AK156" s="890">
        <f>IF(Producción_Ganadera[[#This Row],[Fecha Económico]]=0,0,YEAR(Producción_Ganadera[[#This Row],[Fecha Económico]]))</f>
        <v>2019</v>
      </c>
      <c r="AL156" s="891">
        <f>SUMPRODUCT((Producción_Ganadera[[#This Row],[Mes Económico]]=Tipo_Cambio[Mes])*(Producción_Ganadera[[#This Row],[Año Económico]]=Tipo_Cambio[Año])*(Tipo_Cambio[$/U$S]))</f>
        <v>24.544703626636963</v>
      </c>
      <c r="AM156" s="891">
        <f>SUMPRODUCT((Producción_Ganadera[[#This Row],[Mes Económico]]=Tipo_Cambio[Mes])*(Producción_Ganadera[[#This Row],[Año Económico]]=Tipo_Cambio[Año])*(Tipo_Cambio[Actualización]))</f>
        <v>1.2433743083946525</v>
      </c>
      <c r="AN156" s="890">
        <f>IF(ISNUMBER(Producción_Ganadera[[#This Row],[Fecha Financiero]])=TRUE,MONTH(Producción_Ganadera[[#This Row],[Fecha Financiero]]),0)</f>
        <v>0</v>
      </c>
      <c r="AO156" s="890">
        <f>IF(ISNUMBER(Producción_Ganadera[[#This Row],[Fecha Financiero]])=TRUE,YEAR(Producción_Ganadera[[#This Row],[Fecha Financiero]]),0)</f>
        <v>0</v>
      </c>
      <c r="AP156" s="891">
        <f>SUMPRODUCT((Producción_Ganadera[[#This Row],[Mes Financiero]]=Tipo_Cambio[Mes])*(Producción_Ganadera[[#This Row],[Año Financiero]]=Tipo_Cambio[Año])*(Tipo_Cambio[$/U$S]))</f>
        <v>0</v>
      </c>
      <c r="AQ156" s="891">
        <f>SUMPRODUCT((Producción_Ganadera[[#This Row],[Mes Financiero]]=Tipo_Cambio[Mes])*(Producción_Ganadera[[#This Row],[Año Financiero]]=Tipo_Cambio[Año])*(Tipo_Cambio[Actualización]))</f>
        <v>0</v>
      </c>
      <c r="AR156" s="919">
        <f>SUMPRODUCT((Producción_Ganadera[[#This Row],[Centro de Costo]]=Tabla19[Centro de Costo])*(Tabla19[Superficie])*(Producción_Ganadera[[#This Row],[Campaña]]=Tabla19[Campaña]))</f>
        <v>0</v>
      </c>
      <c r="AS156" s="920">
        <f>IFERROR(Producción_Ganadera[[#This Row],[Económico $Corrientes]]/Producción_Ganadera[[#This Row],[Superficie]],0)</f>
        <v>0</v>
      </c>
      <c r="AT156" s="920">
        <f>IFERROR(Producción_Ganadera[[#This Row],[Económico $Constantes]]/Producción_Ganadera[[#This Row],[Superficie]],0)</f>
        <v>0</v>
      </c>
      <c r="AU156" s="920">
        <f>IFERROR(Producción_Ganadera[[#This Row],[Económico U$S Dólares]]/Producción_Ganadera[[#This Row],[Superficie]],0)</f>
        <v>0</v>
      </c>
      <c r="AV156" s="916" t="str">
        <f>IF(Económico!$F$4=0,0,Producción_Ganadera[[#This Row],[Centro de Costo]])</f>
        <v>Campo 2</v>
      </c>
    </row>
    <row r="157" spans="2:48" x14ac:dyDescent="0.25">
      <c r="D157" s="478">
        <f>DATE(RIGHT(Producción_Ganadera[[#This Row],[Campaña]],4),6,30)</f>
        <v>43646</v>
      </c>
      <c r="E157" s="478"/>
      <c r="F157" s="866" t="str">
        <f t="shared" si="10"/>
        <v>2018-2019</v>
      </c>
      <c r="G157" s="481" t="str">
        <f t="shared" si="9"/>
        <v>Stock Cierre</v>
      </c>
      <c r="H157" s="481" t="s">
        <v>8</v>
      </c>
      <c r="I157" s="481" t="str">
        <f>Configuración!AZ7</f>
        <v>Vaca Vacía</v>
      </c>
      <c r="J157" s="549"/>
      <c r="K157" s="481"/>
      <c r="L157" s="520">
        <f>SUMPRODUCT((Producción_Ganadera[[#This Row],[Centro de Costo]]=$H$5:$H$101)*(Producción_Ganadera[[#This Row],[Categoría Hacienda]]=$I$5:$I$101)*($AE$5:$AE$101))</f>
        <v>0</v>
      </c>
      <c r="M15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5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450</v>
      </c>
      <c r="O157" s="611">
        <v>1</v>
      </c>
      <c r="P157" s="484" t="s">
        <v>140</v>
      </c>
      <c r="Q157" s="875">
        <f>IF(ISNUMBER(Producción_Ganadera[[#This Row],[Cabezas]])=TRUE,Producción_Ganadera[[#This Row],[Cabezas]]*Producción_Ganadera[[#This Row],[Cantidad]],Producción_Ganadera[[#This Row],[Cantidad]])</f>
        <v>0</v>
      </c>
      <c r="R157" s="482"/>
      <c r="S157" s="552"/>
      <c r="T157" s="553"/>
      <c r="U15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57" s="881">
        <f>IFERROR(Producción_Ganadera[[#This Row],[Económico $Corrientes]]/Producción_Ganadera[[#This Row],[Indexación Económico]],0)</f>
        <v>0</v>
      </c>
      <c r="W15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5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57" s="881">
        <f>IFERROR(Producción_Ganadera[[#This Row],[Financiero $Corrientes]]/Producción_Ganadera[[#This Row],[Indexación Financiero]],0)</f>
        <v>0</v>
      </c>
      <c r="Z15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5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57" s="885">
        <f>IFERROR(Producción_Ganadera[[#This Row],[Intereses $Corrientes]]/Producción_Ganadera[[#This Row],[Indexación Financiero]],0)</f>
        <v>0</v>
      </c>
      <c r="AC15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57" s="915" t="str">
        <f>IFERROR(INDEX(Produccion_Ganadera_Cuentas[],MATCH(Producción_Ganadera[[#This Row],[Cuenta Contable]],Produccion_Ganadera_Cuentas[Cuenta Contable],0),2),0)</f>
        <v>Stock Cierre</v>
      </c>
      <c r="AE157" s="916">
        <f>IF(Producción_Ganadera[[#This Row],[Mov. Stock]]="(+)",Producción_Ganadera[[#This Row],[Cabezas]],IF(Producción_Ganadera[[#This Row],[Mov. Stock]]="(-)",-Producción_Ganadera[[#This Row],[Cabezas]],0))</f>
        <v>0</v>
      </c>
      <c r="AF157" s="917" t="str">
        <f>IFERROR(INDEX(Produccion_Ganadera_Cuentas[],MATCH(Producción_Ganadera[[#This Row],[Cuenta Contable]],Produccion_Ganadera_Cuentas[Cuenta Contable],0),5),0)</f>
        <v>(-)</v>
      </c>
      <c r="AG157" s="918" t="str">
        <f>IF(Producción_Ganadera[[#This Row],[Cuenta Contable]]=Configuración!$AC$9,"Si","No")</f>
        <v>No</v>
      </c>
      <c r="AH157" s="887" t="str">
        <f>IFERROR(INDEX(Tabla9[],MATCH(Producción_Ganadera[[#This Row],[Movimiento]],Tabla9[Movimientos],0),2),0)</f>
        <v>No</v>
      </c>
      <c r="AI157" s="888" t="str">
        <f>IFERROR(INDEX(Tabla9[],MATCH(Producción_Ganadera[[#This Row],[Movimiento]],Tabla9[Movimientos],0),3),0)</f>
        <v>(+)</v>
      </c>
      <c r="AJ157" s="890">
        <f>IF(Producción_Ganadera[[#This Row],[Fecha Económico]]=0,0,MONTH(Producción_Ganadera[[#This Row],[Fecha Económico]]))</f>
        <v>6</v>
      </c>
      <c r="AK157" s="890">
        <f>IF(Producción_Ganadera[[#This Row],[Fecha Económico]]=0,0,YEAR(Producción_Ganadera[[#This Row],[Fecha Económico]]))</f>
        <v>2019</v>
      </c>
      <c r="AL157" s="891">
        <f>SUMPRODUCT((Producción_Ganadera[[#This Row],[Mes Económico]]=Tipo_Cambio[Mes])*(Producción_Ganadera[[#This Row],[Año Económico]]=Tipo_Cambio[Año])*(Tipo_Cambio[$/U$S]))</f>
        <v>24.544703626636963</v>
      </c>
      <c r="AM157" s="891">
        <f>SUMPRODUCT((Producción_Ganadera[[#This Row],[Mes Económico]]=Tipo_Cambio[Mes])*(Producción_Ganadera[[#This Row],[Año Económico]]=Tipo_Cambio[Año])*(Tipo_Cambio[Actualización]))</f>
        <v>1.2433743083946525</v>
      </c>
      <c r="AN157" s="890">
        <f>IF(ISNUMBER(Producción_Ganadera[[#This Row],[Fecha Financiero]])=TRUE,MONTH(Producción_Ganadera[[#This Row],[Fecha Financiero]]),0)</f>
        <v>0</v>
      </c>
      <c r="AO157" s="890">
        <f>IF(ISNUMBER(Producción_Ganadera[[#This Row],[Fecha Financiero]])=TRUE,YEAR(Producción_Ganadera[[#This Row],[Fecha Financiero]]),0)</f>
        <v>0</v>
      </c>
      <c r="AP157" s="891">
        <f>SUMPRODUCT((Producción_Ganadera[[#This Row],[Mes Financiero]]=Tipo_Cambio[Mes])*(Producción_Ganadera[[#This Row],[Año Financiero]]=Tipo_Cambio[Año])*(Tipo_Cambio[$/U$S]))</f>
        <v>0</v>
      </c>
      <c r="AQ157" s="891">
        <f>SUMPRODUCT((Producción_Ganadera[[#This Row],[Mes Financiero]]=Tipo_Cambio[Mes])*(Producción_Ganadera[[#This Row],[Año Financiero]]=Tipo_Cambio[Año])*(Tipo_Cambio[Actualización]))</f>
        <v>0</v>
      </c>
      <c r="AR157" s="919">
        <f>SUMPRODUCT((Producción_Ganadera[[#This Row],[Centro de Costo]]=Tabla19[Centro de Costo])*(Tabla19[Superficie])*(Producción_Ganadera[[#This Row],[Campaña]]=Tabla19[Campaña]))</f>
        <v>0</v>
      </c>
      <c r="AS157" s="920">
        <f>IFERROR(Producción_Ganadera[[#This Row],[Económico $Corrientes]]/Producción_Ganadera[[#This Row],[Superficie]],0)</f>
        <v>0</v>
      </c>
      <c r="AT157" s="920">
        <f>IFERROR(Producción_Ganadera[[#This Row],[Económico $Constantes]]/Producción_Ganadera[[#This Row],[Superficie]],0)</f>
        <v>0</v>
      </c>
      <c r="AU157" s="920">
        <f>IFERROR(Producción_Ganadera[[#This Row],[Económico U$S Dólares]]/Producción_Ganadera[[#This Row],[Superficie]],0)</f>
        <v>0</v>
      </c>
      <c r="AV157" s="916" t="str">
        <f>IF(Económico!$F$4=0,0,Producción_Ganadera[[#This Row],[Centro de Costo]])</f>
        <v>Campo 2</v>
      </c>
    </row>
    <row r="158" spans="2:48" x14ac:dyDescent="0.25">
      <c r="D158" s="478">
        <f>DATE(RIGHT(Producción_Ganadera[[#This Row],[Campaña]],4),6,30)</f>
        <v>43646</v>
      </c>
      <c r="E158" s="478"/>
      <c r="F158" s="866" t="str">
        <f t="shared" si="10"/>
        <v>2018-2019</v>
      </c>
      <c r="G158" s="481" t="str">
        <f t="shared" si="9"/>
        <v>Stock Cierre</v>
      </c>
      <c r="H158" s="481" t="s">
        <v>8</v>
      </c>
      <c r="I158" s="481" t="str">
        <f>Configuración!AZ8</f>
        <v>Vaquillona Preñada</v>
      </c>
      <c r="J158" s="549"/>
      <c r="K158" s="481"/>
      <c r="L158" s="520">
        <f>SUMPRODUCT((Producción_Ganadera[[#This Row],[Centro de Costo]]=$H$5:$H$101)*(Producción_Ganadera[[#This Row],[Categoría Hacienda]]=$I$5:$I$101)*($AE$5:$AE$101))</f>
        <v>0</v>
      </c>
      <c r="M15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5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400</v>
      </c>
      <c r="O158" s="611">
        <v>1</v>
      </c>
      <c r="P158" s="484" t="s">
        <v>140</v>
      </c>
      <c r="Q158" s="875">
        <f>IF(ISNUMBER(Producción_Ganadera[[#This Row],[Cabezas]])=TRUE,Producción_Ganadera[[#This Row],[Cabezas]]*Producción_Ganadera[[#This Row],[Cantidad]],Producción_Ganadera[[#This Row],[Cantidad]])</f>
        <v>0</v>
      </c>
      <c r="R158" s="482"/>
      <c r="S158" s="552"/>
      <c r="T158" s="553"/>
      <c r="U15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58" s="881">
        <f>IFERROR(Producción_Ganadera[[#This Row],[Económico $Corrientes]]/Producción_Ganadera[[#This Row],[Indexación Económico]],0)</f>
        <v>0</v>
      </c>
      <c r="W15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5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58" s="881">
        <f>IFERROR(Producción_Ganadera[[#This Row],[Financiero $Corrientes]]/Producción_Ganadera[[#This Row],[Indexación Financiero]],0)</f>
        <v>0</v>
      </c>
      <c r="Z15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5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58" s="885">
        <f>IFERROR(Producción_Ganadera[[#This Row],[Intereses $Corrientes]]/Producción_Ganadera[[#This Row],[Indexación Financiero]],0)</f>
        <v>0</v>
      </c>
      <c r="AC15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58" s="915" t="str">
        <f>IFERROR(INDEX(Produccion_Ganadera_Cuentas[],MATCH(Producción_Ganadera[[#This Row],[Cuenta Contable]],Produccion_Ganadera_Cuentas[Cuenta Contable],0),2),0)</f>
        <v>Stock Cierre</v>
      </c>
      <c r="AE158" s="916">
        <f>IF(Producción_Ganadera[[#This Row],[Mov. Stock]]="(+)",Producción_Ganadera[[#This Row],[Cabezas]],IF(Producción_Ganadera[[#This Row],[Mov. Stock]]="(-)",-Producción_Ganadera[[#This Row],[Cabezas]],0))</f>
        <v>0</v>
      </c>
      <c r="AF158" s="917" t="str">
        <f>IFERROR(INDEX(Produccion_Ganadera_Cuentas[],MATCH(Producción_Ganadera[[#This Row],[Cuenta Contable]],Produccion_Ganadera_Cuentas[Cuenta Contable],0),5),0)</f>
        <v>(-)</v>
      </c>
      <c r="AG158" s="918" t="str">
        <f>IF(Producción_Ganadera[[#This Row],[Cuenta Contable]]=Configuración!$AC$9,"Si","No")</f>
        <v>No</v>
      </c>
      <c r="AH158" s="887" t="str">
        <f>IFERROR(INDEX(Tabla9[],MATCH(Producción_Ganadera[[#This Row],[Movimiento]],Tabla9[Movimientos],0),2),0)</f>
        <v>No</v>
      </c>
      <c r="AI158" s="888" t="str">
        <f>IFERROR(INDEX(Tabla9[],MATCH(Producción_Ganadera[[#This Row],[Movimiento]],Tabla9[Movimientos],0),3),0)</f>
        <v>(+)</v>
      </c>
      <c r="AJ158" s="890">
        <f>IF(Producción_Ganadera[[#This Row],[Fecha Económico]]=0,0,MONTH(Producción_Ganadera[[#This Row],[Fecha Económico]]))</f>
        <v>6</v>
      </c>
      <c r="AK158" s="890">
        <f>IF(Producción_Ganadera[[#This Row],[Fecha Económico]]=0,0,YEAR(Producción_Ganadera[[#This Row],[Fecha Económico]]))</f>
        <v>2019</v>
      </c>
      <c r="AL158" s="891">
        <f>SUMPRODUCT((Producción_Ganadera[[#This Row],[Mes Económico]]=Tipo_Cambio[Mes])*(Producción_Ganadera[[#This Row],[Año Económico]]=Tipo_Cambio[Año])*(Tipo_Cambio[$/U$S]))</f>
        <v>24.544703626636963</v>
      </c>
      <c r="AM158" s="891">
        <f>SUMPRODUCT((Producción_Ganadera[[#This Row],[Mes Económico]]=Tipo_Cambio[Mes])*(Producción_Ganadera[[#This Row],[Año Económico]]=Tipo_Cambio[Año])*(Tipo_Cambio[Actualización]))</f>
        <v>1.2433743083946525</v>
      </c>
      <c r="AN158" s="890">
        <f>IF(ISNUMBER(Producción_Ganadera[[#This Row],[Fecha Financiero]])=TRUE,MONTH(Producción_Ganadera[[#This Row],[Fecha Financiero]]),0)</f>
        <v>0</v>
      </c>
      <c r="AO158" s="890">
        <f>IF(ISNUMBER(Producción_Ganadera[[#This Row],[Fecha Financiero]])=TRUE,YEAR(Producción_Ganadera[[#This Row],[Fecha Financiero]]),0)</f>
        <v>0</v>
      </c>
      <c r="AP158" s="891">
        <f>SUMPRODUCT((Producción_Ganadera[[#This Row],[Mes Financiero]]=Tipo_Cambio[Mes])*(Producción_Ganadera[[#This Row],[Año Financiero]]=Tipo_Cambio[Año])*(Tipo_Cambio[$/U$S]))</f>
        <v>0</v>
      </c>
      <c r="AQ158" s="891">
        <f>SUMPRODUCT((Producción_Ganadera[[#This Row],[Mes Financiero]]=Tipo_Cambio[Mes])*(Producción_Ganadera[[#This Row],[Año Financiero]]=Tipo_Cambio[Año])*(Tipo_Cambio[Actualización]))</f>
        <v>0</v>
      </c>
      <c r="AR158" s="919">
        <f>SUMPRODUCT((Producción_Ganadera[[#This Row],[Centro de Costo]]=Tabla19[Centro de Costo])*(Tabla19[Superficie])*(Producción_Ganadera[[#This Row],[Campaña]]=Tabla19[Campaña]))</f>
        <v>0</v>
      </c>
      <c r="AS158" s="920">
        <f>IFERROR(Producción_Ganadera[[#This Row],[Económico $Corrientes]]/Producción_Ganadera[[#This Row],[Superficie]],0)</f>
        <v>0</v>
      </c>
      <c r="AT158" s="920">
        <f>IFERROR(Producción_Ganadera[[#This Row],[Económico $Constantes]]/Producción_Ganadera[[#This Row],[Superficie]],0)</f>
        <v>0</v>
      </c>
      <c r="AU158" s="920">
        <f>IFERROR(Producción_Ganadera[[#This Row],[Económico U$S Dólares]]/Producción_Ganadera[[#This Row],[Superficie]],0)</f>
        <v>0</v>
      </c>
      <c r="AV158" s="916" t="str">
        <f>IF(Económico!$F$4=0,0,Producción_Ganadera[[#This Row],[Centro de Costo]])</f>
        <v>Campo 2</v>
      </c>
    </row>
    <row r="159" spans="2:48" x14ac:dyDescent="0.25">
      <c r="D159" s="478">
        <f>DATE(RIGHT(Producción_Ganadera[[#This Row],[Campaña]],4),6,30)</f>
        <v>43646</v>
      </c>
      <c r="E159" s="478"/>
      <c r="F159" s="866" t="str">
        <f t="shared" si="10"/>
        <v>2018-2019</v>
      </c>
      <c r="G159" s="481" t="str">
        <f t="shared" si="9"/>
        <v>Stock Cierre</v>
      </c>
      <c r="H159" s="481" t="s">
        <v>8</v>
      </c>
      <c r="I159" s="481" t="str">
        <f>Configuración!AZ9</f>
        <v>Vaquillona 06-15</v>
      </c>
      <c r="J159" s="549"/>
      <c r="K159" s="481"/>
      <c r="L159" s="520">
        <f>SUMPRODUCT((Producción_Ganadera[[#This Row],[Centro de Costo]]=$H$5:$H$101)*(Producción_Ganadera[[#This Row],[Categoría Hacienda]]=$I$5:$I$101)*($AE$5:$AE$101))</f>
        <v>0</v>
      </c>
      <c r="M15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5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200</v>
      </c>
      <c r="O159" s="611">
        <v>1</v>
      </c>
      <c r="P159" s="484" t="s">
        <v>140</v>
      </c>
      <c r="Q159" s="875">
        <f>IF(ISNUMBER(Producción_Ganadera[[#This Row],[Cabezas]])=TRUE,Producción_Ganadera[[#This Row],[Cabezas]]*Producción_Ganadera[[#This Row],[Cantidad]],Producción_Ganadera[[#This Row],[Cantidad]])</f>
        <v>0</v>
      </c>
      <c r="R159" s="482"/>
      <c r="S159" s="552"/>
      <c r="T159" s="553"/>
      <c r="U15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59" s="881">
        <f>IFERROR(Producción_Ganadera[[#This Row],[Económico $Corrientes]]/Producción_Ganadera[[#This Row],[Indexación Económico]],0)</f>
        <v>0</v>
      </c>
      <c r="W15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5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59" s="881">
        <f>IFERROR(Producción_Ganadera[[#This Row],[Financiero $Corrientes]]/Producción_Ganadera[[#This Row],[Indexación Financiero]],0)</f>
        <v>0</v>
      </c>
      <c r="Z15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5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59" s="885">
        <f>IFERROR(Producción_Ganadera[[#This Row],[Intereses $Corrientes]]/Producción_Ganadera[[#This Row],[Indexación Financiero]],0)</f>
        <v>0</v>
      </c>
      <c r="AC15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59" s="915" t="str">
        <f>IFERROR(INDEX(Produccion_Ganadera_Cuentas[],MATCH(Producción_Ganadera[[#This Row],[Cuenta Contable]],Produccion_Ganadera_Cuentas[Cuenta Contable],0),2),0)</f>
        <v>Stock Cierre</v>
      </c>
      <c r="AE159" s="916">
        <f>IF(Producción_Ganadera[[#This Row],[Mov. Stock]]="(+)",Producción_Ganadera[[#This Row],[Cabezas]],IF(Producción_Ganadera[[#This Row],[Mov. Stock]]="(-)",-Producción_Ganadera[[#This Row],[Cabezas]],0))</f>
        <v>0</v>
      </c>
      <c r="AF159" s="917" t="str">
        <f>IFERROR(INDEX(Produccion_Ganadera_Cuentas[],MATCH(Producción_Ganadera[[#This Row],[Cuenta Contable]],Produccion_Ganadera_Cuentas[Cuenta Contable],0),5),0)</f>
        <v>(-)</v>
      </c>
      <c r="AG159" s="918" t="str">
        <f>IF(Producción_Ganadera[[#This Row],[Cuenta Contable]]=Configuración!$AC$9,"Si","No")</f>
        <v>No</v>
      </c>
      <c r="AH159" s="887" t="str">
        <f>IFERROR(INDEX(Tabla9[],MATCH(Producción_Ganadera[[#This Row],[Movimiento]],Tabla9[Movimientos],0),2),0)</f>
        <v>No</v>
      </c>
      <c r="AI159" s="888" t="str">
        <f>IFERROR(INDEX(Tabla9[],MATCH(Producción_Ganadera[[#This Row],[Movimiento]],Tabla9[Movimientos],0),3),0)</f>
        <v>(+)</v>
      </c>
      <c r="AJ159" s="890">
        <f>IF(Producción_Ganadera[[#This Row],[Fecha Económico]]=0,0,MONTH(Producción_Ganadera[[#This Row],[Fecha Económico]]))</f>
        <v>6</v>
      </c>
      <c r="AK159" s="890">
        <f>IF(Producción_Ganadera[[#This Row],[Fecha Económico]]=0,0,YEAR(Producción_Ganadera[[#This Row],[Fecha Económico]]))</f>
        <v>2019</v>
      </c>
      <c r="AL159" s="891">
        <f>SUMPRODUCT((Producción_Ganadera[[#This Row],[Mes Económico]]=Tipo_Cambio[Mes])*(Producción_Ganadera[[#This Row],[Año Económico]]=Tipo_Cambio[Año])*(Tipo_Cambio[$/U$S]))</f>
        <v>24.544703626636963</v>
      </c>
      <c r="AM159" s="891">
        <f>SUMPRODUCT((Producción_Ganadera[[#This Row],[Mes Económico]]=Tipo_Cambio[Mes])*(Producción_Ganadera[[#This Row],[Año Económico]]=Tipo_Cambio[Año])*(Tipo_Cambio[Actualización]))</f>
        <v>1.2433743083946525</v>
      </c>
      <c r="AN159" s="890">
        <f>IF(ISNUMBER(Producción_Ganadera[[#This Row],[Fecha Financiero]])=TRUE,MONTH(Producción_Ganadera[[#This Row],[Fecha Financiero]]),0)</f>
        <v>0</v>
      </c>
      <c r="AO159" s="890">
        <f>IF(ISNUMBER(Producción_Ganadera[[#This Row],[Fecha Financiero]])=TRUE,YEAR(Producción_Ganadera[[#This Row],[Fecha Financiero]]),0)</f>
        <v>0</v>
      </c>
      <c r="AP159" s="891">
        <f>SUMPRODUCT((Producción_Ganadera[[#This Row],[Mes Financiero]]=Tipo_Cambio[Mes])*(Producción_Ganadera[[#This Row],[Año Financiero]]=Tipo_Cambio[Año])*(Tipo_Cambio[$/U$S]))</f>
        <v>0</v>
      </c>
      <c r="AQ159" s="891">
        <f>SUMPRODUCT((Producción_Ganadera[[#This Row],[Mes Financiero]]=Tipo_Cambio[Mes])*(Producción_Ganadera[[#This Row],[Año Financiero]]=Tipo_Cambio[Año])*(Tipo_Cambio[Actualización]))</f>
        <v>0</v>
      </c>
      <c r="AR159" s="919">
        <f>SUMPRODUCT((Producción_Ganadera[[#This Row],[Centro de Costo]]=Tabla19[Centro de Costo])*(Tabla19[Superficie])*(Producción_Ganadera[[#This Row],[Campaña]]=Tabla19[Campaña]))</f>
        <v>0</v>
      </c>
      <c r="AS159" s="920">
        <f>IFERROR(Producción_Ganadera[[#This Row],[Económico $Corrientes]]/Producción_Ganadera[[#This Row],[Superficie]],0)</f>
        <v>0</v>
      </c>
      <c r="AT159" s="920">
        <f>IFERROR(Producción_Ganadera[[#This Row],[Económico $Constantes]]/Producción_Ganadera[[#This Row],[Superficie]],0)</f>
        <v>0</v>
      </c>
      <c r="AU159" s="920">
        <f>IFERROR(Producción_Ganadera[[#This Row],[Económico U$S Dólares]]/Producción_Ganadera[[#This Row],[Superficie]],0)</f>
        <v>0</v>
      </c>
      <c r="AV159" s="916" t="str">
        <f>IF(Económico!$F$4=0,0,Producción_Ganadera[[#This Row],[Centro de Costo]])</f>
        <v>Campo 2</v>
      </c>
    </row>
    <row r="160" spans="2:48" x14ac:dyDescent="0.25">
      <c r="D160" s="478">
        <f>DATE(RIGHT(Producción_Ganadera[[#This Row],[Campaña]],4),6,30)</f>
        <v>43646</v>
      </c>
      <c r="E160" s="478"/>
      <c r="F160" s="866" t="str">
        <f t="shared" si="10"/>
        <v>2018-2019</v>
      </c>
      <c r="G160" s="481" t="str">
        <f t="shared" si="9"/>
        <v>Stock Cierre</v>
      </c>
      <c r="H160" s="481" t="s">
        <v>8</v>
      </c>
      <c r="I160" s="481" t="str">
        <f>Configuración!AZ10</f>
        <v>Vaquillona 15-27</v>
      </c>
      <c r="J160" s="549"/>
      <c r="K160" s="481"/>
      <c r="L160" s="520">
        <f>SUMPRODUCT((Producción_Ganadera[[#This Row],[Centro de Costo]]=$H$5:$H$101)*(Producción_Ganadera[[#This Row],[Categoría Hacienda]]=$I$5:$I$101)*($AE$5:$AE$101))</f>
        <v>0</v>
      </c>
      <c r="M16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6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300</v>
      </c>
      <c r="O160" s="611">
        <v>1</v>
      </c>
      <c r="P160" s="484" t="s">
        <v>140</v>
      </c>
      <c r="Q160" s="875">
        <f>IF(ISNUMBER(Producción_Ganadera[[#This Row],[Cabezas]])=TRUE,Producción_Ganadera[[#This Row],[Cabezas]]*Producción_Ganadera[[#This Row],[Cantidad]],Producción_Ganadera[[#This Row],[Cantidad]])</f>
        <v>0</v>
      </c>
      <c r="R160" s="482"/>
      <c r="S160" s="552"/>
      <c r="T160" s="553"/>
      <c r="U16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60" s="881">
        <f>IFERROR(Producción_Ganadera[[#This Row],[Económico $Corrientes]]/Producción_Ganadera[[#This Row],[Indexación Económico]],0)</f>
        <v>0</v>
      </c>
      <c r="W16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6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60" s="881">
        <f>IFERROR(Producción_Ganadera[[#This Row],[Financiero $Corrientes]]/Producción_Ganadera[[#This Row],[Indexación Financiero]],0)</f>
        <v>0</v>
      </c>
      <c r="Z16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6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60" s="885">
        <f>IFERROR(Producción_Ganadera[[#This Row],[Intereses $Corrientes]]/Producción_Ganadera[[#This Row],[Indexación Financiero]],0)</f>
        <v>0</v>
      </c>
      <c r="AC16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60" s="915" t="str">
        <f>IFERROR(INDEX(Produccion_Ganadera_Cuentas[],MATCH(Producción_Ganadera[[#This Row],[Cuenta Contable]],Produccion_Ganadera_Cuentas[Cuenta Contable],0),2),0)</f>
        <v>Stock Cierre</v>
      </c>
      <c r="AE160" s="916">
        <f>IF(Producción_Ganadera[[#This Row],[Mov. Stock]]="(+)",Producción_Ganadera[[#This Row],[Cabezas]],IF(Producción_Ganadera[[#This Row],[Mov. Stock]]="(-)",-Producción_Ganadera[[#This Row],[Cabezas]],0))</f>
        <v>0</v>
      </c>
      <c r="AF160" s="917" t="str">
        <f>IFERROR(INDEX(Produccion_Ganadera_Cuentas[],MATCH(Producción_Ganadera[[#This Row],[Cuenta Contable]],Produccion_Ganadera_Cuentas[Cuenta Contable],0),5),0)</f>
        <v>(-)</v>
      </c>
      <c r="AG160" s="918" t="str">
        <f>IF(Producción_Ganadera[[#This Row],[Cuenta Contable]]=Configuración!$AC$9,"Si","No")</f>
        <v>No</v>
      </c>
      <c r="AH160" s="887" t="str">
        <f>IFERROR(INDEX(Tabla9[],MATCH(Producción_Ganadera[[#This Row],[Movimiento]],Tabla9[Movimientos],0),2),0)</f>
        <v>No</v>
      </c>
      <c r="AI160" s="888" t="str">
        <f>IFERROR(INDEX(Tabla9[],MATCH(Producción_Ganadera[[#This Row],[Movimiento]],Tabla9[Movimientos],0),3),0)</f>
        <v>(+)</v>
      </c>
      <c r="AJ160" s="890">
        <f>IF(Producción_Ganadera[[#This Row],[Fecha Económico]]=0,0,MONTH(Producción_Ganadera[[#This Row],[Fecha Económico]]))</f>
        <v>6</v>
      </c>
      <c r="AK160" s="890">
        <f>IF(Producción_Ganadera[[#This Row],[Fecha Económico]]=0,0,YEAR(Producción_Ganadera[[#This Row],[Fecha Económico]]))</f>
        <v>2019</v>
      </c>
      <c r="AL160" s="891">
        <f>SUMPRODUCT((Producción_Ganadera[[#This Row],[Mes Económico]]=Tipo_Cambio[Mes])*(Producción_Ganadera[[#This Row],[Año Económico]]=Tipo_Cambio[Año])*(Tipo_Cambio[$/U$S]))</f>
        <v>24.544703626636963</v>
      </c>
      <c r="AM160" s="891">
        <f>SUMPRODUCT((Producción_Ganadera[[#This Row],[Mes Económico]]=Tipo_Cambio[Mes])*(Producción_Ganadera[[#This Row],[Año Económico]]=Tipo_Cambio[Año])*(Tipo_Cambio[Actualización]))</f>
        <v>1.2433743083946525</v>
      </c>
      <c r="AN160" s="890">
        <f>IF(ISNUMBER(Producción_Ganadera[[#This Row],[Fecha Financiero]])=TRUE,MONTH(Producción_Ganadera[[#This Row],[Fecha Financiero]]),0)</f>
        <v>0</v>
      </c>
      <c r="AO160" s="890">
        <f>IF(ISNUMBER(Producción_Ganadera[[#This Row],[Fecha Financiero]])=TRUE,YEAR(Producción_Ganadera[[#This Row],[Fecha Financiero]]),0)</f>
        <v>0</v>
      </c>
      <c r="AP160" s="891">
        <f>SUMPRODUCT((Producción_Ganadera[[#This Row],[Mes Financiero]]=Tipo_Cambio[Mes])*(Producción_Ganadera[[#This Row],[Año Financiero]]=Tipo_Cambio[Año])*(Tipo_Cambio[$/U$S]))</f>
        <v>0</v>
      </c>
      <c r="AQ160" s="891">
        <f>SUMPRODUCT((Producción_Ganadera[[#This Row],[Mes Financiero]]=Tipo_Cambio[Mes])*(Producción_Ganadera[[#This Row],[Año Financiero]]=Tipo_Cambio[Año])*(Tipo_Cambio[Actualización]))</f>
        <v>0</v>
      </c>
      <c r="AR160" s="919">
        <f>SUMPRODUCT((Producción_Ganadera[[#This Row],[Centro de Costo]]=Tabla19[Centro de Costo])*(Tabla19[Superficie])*(Producción_Ganadera[[#This Row],[Campaña]]=Tabla19[Campaña]))</f>
        <v>0</v>
      </c>
      <c r="AS160" s="920">
        <f>IFERROR(Producción_Ganadera[[#This Row],[Económico $Corrientes]]/Producción_Ganadera[[#This Row],[Superficie]],0)</f>
        <v>0</v>
      </c>
      <c r="AT160" s="920">
        <f>IFERROR(Producción_Ganadera[[#This Row],[Económico $Constantes]]/Producción_Ganadera[[#This Row],[Superficie]],0)</f>
        <v>0</v>
      </c>
      <c r="AU160" s="920">
        <f>IFERROR(Producción_Ganadera[[#This Row],[Económico U$S Dólares]]/Producción_Ganadera[[#This Row],[Superficie]],0)</f>
        <v>0</v>
      </c>
      <c r="AV160" s="916" t="str">
        <f>IF(Económico!$F$4=0,0,Producción_Ganadera[[#This Row],[Centro de Costo]])</f>
        <v>Campo 2</v>
      </c>
    </row>
    <row r="161" spans="2:48" x14ac:dyDescent="0.25">
      <c r="D161" s="478">
        <f>DATE(RIGHT(Producción_Ganadera[[#This Row],[Campaña]],4),6,30)</f>
        <v>43646</v>
      </c>
      <c r="E161" s="478"/>
      <c r="F161" s="866" t="str">
        <f t="shared" si="10"/>
        <v>2018-2019</v>
      </c>
      <c r="G161" s="481" t="str">
        <f t="shared" si="9"/>
        <v>Stock Cierre</v>
      </c>
      <c r="H161" s="481" t="s">
        <v>8</v>
      </c>
      <c r="I161" s="481" t="str">
        <f>Configuración!AZ11</f>
        <v>Ternera</v>
      </c>
      <c r="J161" s="549"/>
      <c r="K161" s="481"/>
      <c r="L161" s="520">
        <f>SUMPRODUCT((Producción_Ganadera[[#This Row],[Centro de Costo]]=$H$5:$H$101)*(Producción_Ganadera[[#This Row],[Categoría Hacienda]]=$I$5:$I$101)*($AE$5:$AE$101))</f>
        <v>0</v>
      </c>
      <c r="M16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6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80</v>
      </c>
      <c r="O161" s="611">
        <v>1</v>
      </c>
      <c r="P161" s="484" t="s">
        <v>140</v>
      </c>
      <c r="Q161" s="875">
        <f>IF(ISNUMBER(Producción_Ganadera[[#This Row],[Cabezas]])=TRUE,Producción_Ganadera[[#This Row],[Cabezas]]*Producción_Ganadera[[#This Row],[Cantidad]],Producción_Ganadera[[#This Row],[Cantidad]])</f>
        <v>0</v>
      </c>
      <c r="R161" s="482"/>
      <c r="S161" s="552"/>
      <c r="T161" s="553"/>
      <c r="U16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61" s="881">
        <f>IFERROR(Producción_Ganadera[[#This Row],[Económico $Corrientes]]/Producción_Ganadera[[#This Row],[Indexación Económico]],0)</f>
        <v>0</v>
      </c>
      <c r="W16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6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61" s="881">
        <f>IFERROR(Producción_Ganadera[[#This Row],[Financiero $Corrientes]]/Producción_Ganadera[[#This Row],[Indexación Financiero]],0)</f>
        <v>0</v>
      </c>
      <c r="Z16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6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61" s="885">
        <f>IFERROR(Producción_Ganadera[[#This Row],[Intereses $Corrientes]]/Producción_Ganadera[[#This Row],[Indexación Financiero]],0)</f>
        <v>0</v>
      </c>
      <c r="AC16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61" s="915" t="str">
        <f>IFERROR(INDEX(Produccion_Ganadera_Cuentas[],MATCH(Producción_Ganadera[[#This Row],[Cuenta Contable]],Produccion_Ganadera_Cuentas[Cuenta Contable],0),2),0)</f>
        <v>Stock Cierre</v>
      </c>
      <c r="AE161" s="916">
        <f>IF(Producción_Ganadera[[#This Row],[Mov. Stock]]="(+)",Producción_Ganadera[[#This Row],[Cabezas]],IF(Producción_Ganadera[[#This Row],[Mov. Stock]]="(-)",-Producción_Ganadera[[#This Row],[Cabezas]],0))</f>
        <v>0</v>
      </c>
      <c r="AF161" s="917" t="str">
        <f>IFERROR(INDEX(Produccion_Ganadera_Cuentas[],MATCH(Producción_Ganadera[[#This Row],[Cuenta Contable]],Produccion_Ganadera_Cuentas[Cuenta Contable],0),5),0)</f>
        <v>(-)</v>
      </c>
      <c r="AG161" s="918" t="str">
        <f>IF(Producción_Ganadera[[#This Row],[Cuenta Contable]]=Configuración!$AC$9,"Si","No")</f>
        <v>No</v>
      </c>
      <c r="AH161" s="887" t="str">
        <f>IFERROR(INDEX(Tabla9[],MATCH(Producción_Ganadera[[#This Row],[Movimiento]],Tabla9[Movimientos],0),2),0)</f>
        <v>No</v>
      </c>
      <c r="AI161" s="888" t="str">
        <f>IFERROR(INDEX(Tabla9[],MATCH(Producción_Ganadera[[#This Row],[Movimiento]],Tabla9[Movimientos],0),3),0)</f>
        <v>(+)</v>
      </c>
      <c r="AJ161" s="890">
        <f>IF(Producción_Ganadera[[#This Row],[Fecha Económico]]=0,0,MONTH(Producción_Ganadera[[#This Row],[Fecha Económico]]))</f>
        <v>6</v>
      </c>
      <c r="AK161" s="890">
        <f>IF(Producción_Ganadera[[#This Row],[Fecha Económico]]=0,0,YEAR(Producción_Ganadera[[#This Row],[Fecha Económico]]))</f>
        <v>2019</v>
      </c>
      <c r="AL161" s="891">
        <f>SUMPRODUCT((Producción_Ganadera[[#This Row],[Mes Económico]]=Tipo_Cambio[Mes])*(Producción_Ganadera[[#This Row],[Año Económico]]=Tipo_Cambio[Año])*(Tipo_Cambio[$/U$S]))</f>
        <v>24.544703626636963</v>
      </c>
      <c r="AM161" s="891">
        <f>SUMPRODUCT((Producción_Ganadera[[#This Row],[Mes Económico]]=Tipo_Cambio[Mes])*(Producción_Ganadera[[#This Row],[Año Económico]]=Tipo_Cambio[Año])*(Tipo_Cambio[Actualización]))</f>
        <v>1.2433743083946525</v>
      </c>
      <c r="AN161" s="890">
        <f>IF(ISNUMBER(Producción_Ganadera[[#This Row],[Fecha Financiero]])=TRUE,MONTH(Producción_Ganadera[[#This Row],[Fecha Financiero]]),0)</f>
        <v>0</v>
      </c>
      <c r="AO161" s="890">
        <f>IF(ISNUMBER(Producción_Ganadera[[#This Row],[Fecha Financiero]])=TRUE,YEAR(Producción_Ganadera[[#This Row],[Fecha Financiero]]),0)</f>
        <v>0</v>
      </c>
      <c r="AP161" s="891">
        <f>SUMPRODUCT((Producción_Ganadera[[#This Row],[Mes Financiero]]=Tipo_Cambio[Mes])*(Producción_Ganadera[[#This Row],[Año Financiero]]=Tipo_Cambio[Año])*(Tipo_Cambio[$/U$S]))</f>
        <v>0</v>
      </c>
      <c r="AQ161" s="891">
        <f>SUMPRODUCT((Producción_Ganadera[[#This Row],[Mes Financiero]]=Tipo_Cambio[Mes])*(Producción_Ganadera[[#This Row],[Año Financiero]]=Tipo_Cambio[Año])*(Tipo_Cambio[Actualización]))</f>
        <v>0</v>
      </c>
      <c r="AR161" s="919">
        <f>SUMPRODUCT((Producción_Ganadera[[#This Row],[Centro de Costo]]=Tabla19[Centro de Costo])*(Tabla19[Superficie])*(Producción_Ganadera[[#This Row],[Campaña]]=Tabla19[Campaña]))</f>
        <v>0</v>
      </c>
      <c r="AS161" s="920">
        <f>IFERROR(Producción_Ganadera[[#This Row],[Económico $Corrientes]]/Producción_Ganadera[[#This Row],[Superficie]],0)</f>
        <v>0</v>
      </c>
      <c r="AT161" s="920">
        <f>IFERROR(Producción_Ganadera[[#This Row],[Económico $Constantes]]/Producción_Ganadera[[#This Row],[Superficie]],0)</f>
        <v>0</v>
      </c>
      <c r="AU161" s="920">
        <f>IFERROR(Producción_Ganadera[[#This Row],[Económico U$S Dólares]]/Producción_Ganadera[[#This Row],[Superficie]],0)</f>
        <v>0</v>
      </c>
      <c r="AV161" s="916" t="str">
        <f>IF(Económico!$F$4=0,0,Producción_Ganadera[[#This Row],[Centro de Costo]])</f>
        <v>Campo 2</v>
      </c>
    </row>
    <row r="162" spans="2:48" x14ac:dyDescent="0.25">
      <c r="D162" s="478">
        <f>DATE(RIGHT(Producción_Ganadera[[#This Row],[Campaña]],4),6,30)</f>
        <v>43646</v>
      </c>
      <c r="E162" s="478"/>
      <c r="F162" s="866" t="str">
        <f t="shared" si="10"/>
        <v>2018-2019</v>
      </c>
      <c r="G162" s="481" t="str">
        <f t="shared" si="9"/>
        <v>Stock Cierre</v>
      </c>
      <c r="H162" s="481" t="s">
        <v>8</v>
      </c>
      <c r="I162" s="481" t="str">
        <f>Configuración!AZ12</f>
        <v>Ternero</v>
      </c>
      <c r="J162" s="549"/>
      <c r="K162" s="481"/>
      <c r="L162" s="520">
        <f>SUMPRODUCT((Producción_Ganadera[[#This Row],[Centro de Costo]]=$H$5:$H$101)*(Producción_Ganadera[[#This Row],[Categoría Hacienda]]=$I$5:$I$101)*($AE$5:$AE$101))</f>
        <v>0</v>
      </c>
      <c r="M16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6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80</v>
      </c>
      <c r="O162" s="611">
        <v>1</v>
      </c>
      <c r="P162" s="484" t="s">
        <v>140</v>
      </c>
      <c r="Q162" s="875">
        <f>IF(ISNUMBER(Producción_Ganadera[[#This Row],[Cabezas]])=TRUE,Producción_Ganadera[[#This Row],[Cabezas]]*Producción_Ganadera[[#This Row],[Cantidad]],Producción_Ganadera[[#This Row],[Cantidad]])</f>
        <v>0</v>
      </c>
      <c r="R162" s="482"/>
      <c r="S162" s="552"/>
      <c r="T162" s="553"/>
      <c r="U16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62" s="881">
        <f>IFERROR(Producción_Ganadera[[#This Row],[Económico $Corrientes]]/Producción_Ganadera[[#This Row],[Indexación Económico]],0)</f>
        <v>0</v>
      </c>
      <c r="W16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6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62" s="881">
        <f>IFERROR(Producción_Ganadera[[#This Row],[Financiero $Corrientes]]/Producción_Ganadera[[#This Row],[Indexación Financiero]],0)</f>
        <v>0</v>
      </c>
      <c r="Z16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6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62" s="885">
        <f>IFERROR(Producción_Ganadera[[#This Row],[Intereses $Corrientes]]/Producción_Ganadera[[#This Row],[Indexación Financiero]],0)</f>
        <v>0</v>
      </c>
      <c r="AC16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62" s="915" t="str">
        <f>IFERROR(INDEX(Produccion_Ganadera_Cuentas[],MATCH(Producción_Ganadera[[#This Row],[Cuenta Contable]],Produccion_Ganadera_Cuentas[Cuenta Contable],0),2),0)</f>
        <v>Stock Cierre</v>
      </c>
      <c r="AE162" s="916">
        <f>IF(Producción_Ganadera[[#This Row],[Mov. Stock]]="(+)",Producción_Ganadera[[#This Row],[Cabezas]],IF(Producción_Ganadera[[#This Row],[Mov. Stock]]="(-)",-Producción_Ganadera[[#This Row],[Cabezas]],0))</f>
        <v>0</v>
      </c>
      <c r="AF162" s="917" t="str">
        <f>IFERROR(INDEX(Produccion_Ganadera_Cuentas[],MATCH(Producción_Ganadera[[#This Row],[Cuenta Contable]],Produccion_Ganadera_Cuentas[Cuenta Contable],0),5),0)</f>
        <v>(-)</v>
      </c>
      <c r="AG162" s="918" t="str">
        <f>IF(Producción_Ganadera[[#This Row],[Cuenta Contable]]=Configuración!$AC$9,"Si","No")</f>
        <v>No</v>
      </c>
      <c r="AH162" s="887" t="str">
        <f>IFERROR(INDEX(Tabla9[],MATCH(Producción_Ganadera[[#This Row],[Movimiento]],Tabla9[Movimientos],0),2),0)</f>
        <v>No</v>
      </c>
      <c r="AI162" s="888" t="str">
        <f>IFERROR(INDEX(Tabla9[],MATCH(Producción_Ganadera[[#This Row],[Movimiento]],Tabla9[Movimientos],0),3),0)</f>
        <v>(+)</v>
      </c>
      <c r="AJ162" s="890">
        <f>IF(Producción_Ganadera[[#This Row],[Fecha Económico]]=0,0,MONTH(Producción_Ganadera[[#This Row],[Fecha Económico]]))</f>
        <v>6</v>
      </c>
      <c r="AK162" s="890">
        <f>IF(Producción_Ganadera[[#This Row],[Fecha Económico]]=0,0,YEAR(Producción_Ganadera[[#This Row],[Fecha Económico]]))</f>
        <v>2019</v>
      </c>
      <c r="AL162" s="891">
        <f>SUMPRODUCT((Producción_Ganadera[[#This Row],[Mes Económico]]=Tipo_Cambio[Mes])*(Producción_Ganadera[[#This Row],[Año Económico]]=Tipo_Cambio[Año])*(Tipo_Cambio[$/U$S]))</f>
        <v>24.544703626636963</v>
      </c>
      <c r="AM162" s="891">
        <f>SUMPRODUCT((Producción_Ganadera[[#This Row],[Mes Económico]]=Tipo_Cambio[Mes])*(Producción_Ganadera[[#This Row],[Año Económico]]=Tipo_Cambio[Año])*(Tipo_Cambio[Actualización]))</f>
        <v>1.2433743083946525</v>
      </c>
      <c r="AN162" s="890">
        <f>IF(ISNUMBER(Producción_Ganadera[[#This Row],[Fecha Financiero]])=TRUE,MONTH(Producción_Ganadera[[#This Row],[Fecha Financiero]]),0)</f>
        <v>0</v>
      </c>
      <c r="AO162" s="890">
        <f>IF(ISNUMBER(Producción_Ganadera[[#This Row],[Fecha Financiero]])=TRUE,YEAR(Producción_Ganadera[[#This Row],[Fecha Financiero]]),0)</f>
        <v>0</v>
      </c>
      <c r="AP162" s="891">
        <f>SUMPRODUCT((Producción_Ganadera[[#This Row],[Mes Financiero]]=Tipo_Cambio[Mes])*(Producción_Ganadera[[#This Row],[Año Financiero]]=Tipo_Cambio[Año])*(Tipo_Cambio[$/U$S]))</f>
        <v>0</v>
      </c>
      <c r="AQ162" s="891">
        <f>SUMPRODUCT((Producción_Ganadera[[#This Row],[Mes Financiero]]=Tipo_Cambio[Mes])*(Producción_Ganadera[[#This Row],[Año Financiero]]=Tipo_Cambio[Año])*(Tipo_Cambio[Actualización]))</f>
        <v>0</v>
      </c>
      <c r="AR162" s="919">
        <f>SUMPRODUCT((Producción_Ganadera[[#This Row],[Centro de Costo]]=Tabla19[Centro de Costo])*(Tabla19[Superficie])*(Producción_Ganadera[[#This Row],[Campaña]]=Tabla19[Campaña]))</f>
        <v>0</v>
      </c>
      <c r="AS162" s="920">
        <f>IFERROR(Producción_Ganadera[[#This Row],[Económico $Corrientes]]/Producción_Ganadera[[#This Row],[Superficie]],0)</f>
        <v>0</v>
      </c>
      <c r="AT162" s="920">
        <f>IFERROR(Producción_Ganadera[[#This Row],[Económico $Constantes]]/Producción_Ganadera[[#This Row],[Superficie]],0)</f>
        <v>0</v>
      </c>
      <c r="AU162" s="920">
        <f>IFERROR(Producción_Ganadera[[#This Row],[Económico U$S Dólares]]/Producción_Ganadera[[#This Row],[Superficie]],0)</f>
        <v>0</v>
      </c>
      <c r="AV162" s="916" t="str">
        <f>IF(Económico!$F$4=0,0,Producción_Ganadera[[#This Row],[Centro de Costo]])</f>
        <v>Campo 2</v>
      </c>
    </row>
    <row r="163" spans="2:48" x14ac:dyDescent="0.25">
      <c r="D163" s="478">
        <f>DATE(RIGHT(Producción_Ganadera[[#This Row],[Campaña]],4),6,30)</f>
        <v>43646</v>
      </c>
      <c r="E163" s="478"/>
      <c r="F163" s="866" t="str">
        <f t="shared" si="10"/>
        <v>2018-2019</v>
      </c>
      <c r="G163" s="481" t="str">
        <f t="shared" si="9"/>
        <v>Stock Cierre</v>
      </c>
      <c r="H163" s="481" t="s">
        <v>8</v>
      </c>
      <c r="I163" s="481" t="str">
        <f>Configuración!AZ13</f>
        <v>Toro</v>
      </c>
      <c r="J163" s="549"/>
      <c r="K163" s="481"/>
      <c r="L163" s="520">
        <f>SUMPRODUCT((Producción_Ganadera[[#This Row],[Centro de Costo]]=$H$5:$H$101)*(Producción_Ganadera[[#This Row],[Categoría Hacienda]]=$I$5:$I$101)*($AE$5:$AE$101))</f>
        <v>0</v>
      </c>
      <c r="M16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6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600</v>
      </c>
      <c r="O163" s="611">
        <v>1</v>
      </c>
      <c r="P163" s="484" t="s">
        <v>140</v>
      </c>
      <c r="Q163" s="875">
        <f>IF(ISNUMBER(Producción_Ganadera[[#This Row],[Cabezas]])=TRUE,Producción_Ganadera[[#This Row],[Cabezas]]*Producción_Ganadera[[#This Row],[Cantidad]],Producción_Ganadera[[#This Row],[Cantidad]])</f>
        <v>0</v>
      </c>
      <c r="R163" s="482"/>
      <c r="S163" s="552"/>
      <c r="T163" s="553"/>
      <c r="U16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63" s="881">
        <f>IFERROR(Producción_Ganadera[[#This Row],[Económico $Corrientes]]/Producción_Ganadera[[#This Row],[Indexación Económico]],0)</f>
        <v>0</v>
      </c>
      <c r="W16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6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63" s="881">
        <f>IFERROR(Producción_Ganadera[[#This Row],[Financiero $Corrientes]]/Producción_Ganadera[[#This Row],[Indexación Financiero]],0)</f>
        <v>0</v>
      </c>
      <c r="Z16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6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63" s="885">
        <f>IFERROR(Producción_Ganadera[[#This Row],[Intereses $Corrientes]]/Producción_Ganadera[[#This Row],[Indexación Financiero]],0)</f>
        <v>0</v>
      </c>
      <c r="AC16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63" s="915" t="str">
        <f>IFERROR(INDEX(Produccion_Ganadera_Cuentas[],MATCH(Producción_Ganadera[[#This Row],[Cuenta Contable]],Produccion_Ganadera_Cuentas[Cuenta Contable],0),2),0)</f>
        <v>Stock Cierre</v>
      </c>
      <c r="AE163" s="916">
        <f>IF(Producción_Ganadera[[#This Row],[Mov. Stock]]="(+)",Producción_Ganadera[[#This Row],[Cabezas]],IF(Producción_Ganadera[[#This Row],[Mov. Stock]]="(-)",-Producción_Ganadera[[#This Row],[Cabezas]],0))</f>
        <v>0</v>
      </c>
      <c r="AF163" s="917" t="str">
        <f>IFERROR(INDEX(Produccion_Ganadera_Cuentas[],MATCH(Producción_Ganadera[[#This Row],[Cuenta Contable]],Produccion_Ganadera_Cuentas[Cuenta Contable],0),5),0)</f>
        <v>(-)</v>
      </c>
      <c r="AG163" s="918" t="str">
        <f>IF(Producción_Ganadera[[#This Row],[Cuenta Contable]]=Configuración!$AC$9,"Si","No")</f>
        <v>No</v>
      </c>
      <c r="AH163" s="887" t="str">
        <f>IFERROR(INDEX(Tabla9[],MATCH(Producción_Ganadera[[#This Row],[Movimiento]],Tabla9[Movimientos],0),2),0)</f>
        <v>No</v>
      </c>
      <c r="AI163" s="888" t="str">
        <f>IFERROR(INDEX(Tabla9[],MATCH(Producción_Ganadera[[#This Row],[Movimiento]],Tabla9[Movimientos],0),3),0)</f>
        <v>(+)</v>
      </c>
      <c r="AJ163" s="890">
        <f>IF(Producción_Ganadera[[#This Row],[Fecha Económico]]=0,0,MONTH(Producción_Ganadera[[#This Row],[Fecha Económico]]))</f>
        <v>6</v>
      </c>
      <c r="AK163" s="890">
        <f>IF(Producción_Ganadera[[#This Row],[Fecha Económico]]=0,0,YEAR(Producción_Ganadera[[#This Row],[Fecha Económico]]))</f>
        <v>2019</v>
      </c>
      <c r="AL163" s="891">
        <f>SUMPRODUCT((Producción_Ganadera[[#This Row],[Mes Económico]]=Tipo_Cambio[Mes])*(Producción_Ganadera[[#This Row],[Año Económico]]=Tipo_Cambio[Año])*(Tipo_Cambio[$/U$S]))</f>
        <v>24.544703626636963</v>
      </c>
      <c r="AM163" s="891">
        <f>SUMPRODUCT((Producción_Ganadera[[#This Row],[Mes Económico]]=Tipo_Cambio[Mes])*(Producción_Ganadera[[#This Row],[Año Económico]]=Tipo_Cambio[Año])*(Tipo_Cambio[Actualización]))</f>
        <v>1.2433743083946525</v>
      </c>
      <c r="AN163" s="890">
        <f>IF(ISNUMBER(Producción_Ganadera[[#This Row],[Fecha Financiero]])=TRUE,MONTH(Producción_Ganadera[[#This Row],[Fecha Financiero]]),0)</f>
        <v>0</v>
      </c>
      <c r="AO163" s="890">
        <f>IF(ISNUMBER(Producción_Ganadera[[#This Row],[Fecha Financiero]])=TRUE,YEAR(Producción_Ganadera[[#This Row],[Fecha Financiero]]),0)</f>
        <v>0</v>
      </c>
      <c r="AP163" s="891">
        <f>SUMPRODUCT((Producción_Ganadera[[#This Row],[Mes Financiero]]=Tipo_Cambio[Mes])*(Producción_Ganadera[[#This Row],[Año Financiero]]=Tipo_Cambio[Año])*(Tipo_Cambio[$/U$S]))</f>
        <v>0</v>
      </c>
      <c r="AQ163" s="891">
        <f>SUMPRODUCT((Producción_Ganadera[[#This Row],[Mes Financiero]]=Tipo_Cambio[Mes])*(Producción_Ganadera[[#This Row],[Año Financiero]]=Tipo_Cambio[Año])*(Tipo_Cambio[Actualización]))</f>
        <v>0</v>
      </c>
      <c r="AR163" s="919">
        <f>SUMPRODUCT((Producción_Ganadera[[#This Row],[Centro de Costo]]=Tabla19[Centro de Costo])*(Tabla19[Superficie])*(Producción_Ganadera[[#This Row],[Campaña]]=Tabla19[Campaña]))</f>
        <v>0</v>
      </c>
      <c r="AS163" s="920">
        <f>IFERROR(Producción_Ganadera[[#This Row],[Económico $Corrientes]]/Producción_Ganadera[[#This Row],[Superficie]],0)</f>
        <v>0</v>
      </c>
      <c r="AT163" s="920">
        <f>IFERROR(Producción_Ganadera[[#This Row],[Económico $Constantes]]/Producción_Ganadera[[#This Row],[Superficie]],0)</f>
        <v>0</v>
      </c>
      <c r="AU163" s="920">
        <f>IFERROR(Producción_Ganadera[[#This Row],[Económico U$S Dólares]]/Producción_Ganadera[[#This Row],[Superficie]],0)</f>
        <v>0</v>
      </c>
      <c r="AV163" s="916" t="str">
        <f>IF(Económico!$F$4=0,0,Producción_Ganadera[[#This Row],[Centro de Costo]])</f>
        <v>Campo 2</v>
      </c>
    </row>
    <row r="164" spans="2:48" x14ac:dyDescent="0.25">
      <c r="D164" s="478">
        <f>DATE(RIGHT(Producción_Ganadera[[#This Row],[Campaña]],4),6,30)</f>
        <v>43646</v>
      </c>
      <c r="E164" s="478"/>
      <c r="F164" s="866" t="str">
        <f t="shared" si="10"/>
        <v>2018-2019</v>
      </c>
      <c r="G164" s="481" t="str">
        <f t="shared" si="9"/>
        <v>Stock Cierre</v>
      </c>
      <c r="H164" s="481" t="s">
        <v>8</v>
      </c>
      <c r="I164" s="481" t="str">
        <f>Configuración!AZ14</f>
        <v>Toro Descarte</v>
      </c>
      <c r="J164" s="549"/>
      <c r="K164" s="481"/>
      <c r="L164" s="520">
        <f>SUMPRODUCT((Producción_Ganadera[[#This Row],[Centro de Costo]]=$H$5:$H$101)*(Producción_Ganadera[[#This Row],[Categoría Hacienda]]=$I$5:$I$101)*($AE$5:$AE$101))</f>
        <v>0</v>
      </c>
      <c r="M16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6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600</v>
      </c>
      <c r="O164" s="611">
        <v>1</v>
      </c>
      <c r="P164" s="484" t="s">
        <v>140</v>
      </c>
      <c r="Q164" s="875">
        <f>IF(ISNUMBER(Producción_Ganadera[[#This Row],[Cabezas]])=TRUE,Producción_Ganadera[[#This Row],[Cabezas]]*Producción_Ganadera[[#This Row],[Cantidad]],Producción_Ganadera[[#This Row],[Cantidad]])</f>
        <v>0</v>
      </c>
      <c r="R164" s="482"/>
      <c r="S164" s="552"/>
      <c r="T164" s="553"/>
      <c r="U16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64" s="881">
        <f>IFERROR(Producción_Ganadera[[#This Row],[Económico $Corrientes]]/Producción_Ganadera[[#This Row],[Indexación Económico]],0)</f>
        <v>0</v>
      </c>
      <c r="W16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6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64" s="881">
        <f>IFERROR(Producción_Ganadera[[#This Row],[Financiero $Corrientes]]/Producción_Ganadera[[#This Row],[Indexación Financiero]],0)</f>
        <v>0</v>
      </c>
      <c r="Z16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6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64" s="885">
        <f>IFERROR(Producción_Ganadera[[#This Row],[Intereses $Corrientes]]/Producción_Ganadera[[#This Row],[Indexación Financiero]],0)</f>
        <v>0</v>
      </c>
      <c r="AC16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64" s="915" t="str">
        <f>IFERROR(INDEX(Produccion_Ganadera_Cuentas[],MATCH(Producción_Ganadera[[#This Row],[Cuenta Contable]],Produccion_Ganadera_Cuentas[Cuenta Contable],0),2),0)</f>
        <v>Stock Cierre</v>
      </c>
      <c r="AE164" s="916">
        <f>IF(Producción_Ganadera[[#This Row],[Mov. Stock]]="(+)",Producción_Ganadera[[#This Row],[Cabezas]],IF(Producción_Ganadera[[#This Row],[Mov. Stock]]="(-)",-Producción_Ganadera[[#This Row],[Cabezas]],0))</f>
        <v>0</v>
      </c>
      <c r="AF164" s="917" t="str">
        <f>IFERROR(INDEX(Produccion_Ganadera_Cuentas[],MATCH(Producción_Ganadera[[#This Row],[Cuenta Contable]],Produccion_Ganadera_Cuentas[Cuenta Contable],0),5),0)</f>
        <v>(-)</v>
      </c>
      <c r="AG164" s="918" t="str">
        <f>IF(Producción_Ganadera[[#This Row],[Cuenta Contable]]=Configuración!$AC$9,"Si","No")</f>
        <v>No</v>
      </c>
      <c r="AH164" s="887" t="str">
        <f>IFERROR(INDEX(Tabla9[],MATCH(Producción_Ganadera[[#This Row],[Movimiento]],Tabla9[Movimientos],0),2),0)</f>
        <v>No</v>
      </c>
      <c r="AI164" s="888" t="str">
        <f>IFERROR(INDEX(Tabla9[],MATCH(Producción_Ganadera[[#This Row],[Movimiento]],Tabla9[Movimientos],0),3),0)</f>
        <v>(+)</v>
      </c>
      <c r="AJ164" s="890">
        <f>IF(Producción_Ganadera[[#This Row],[Fecha Económico]]=0,0,MONTH(Producción_Ganadera[[#This Row],[Fecha Económico]]))</f>
        <v>6</v>
      </c>
      <c r="AK164" s="890">
        <f>IF(Producción_Ganadera[[#This Row],[Fecha Económico]]=0,0,YEAR(Producción_Ganadera[[#This Row],[Fecha Económico]]))</f>
        <v>2019</v>
      </c>
      <c r="AL164" s="891">
        <f>SUMPRODUCT((Producción_Ganadera[[#This Row],[Mes Económico]]=Tipo_Cambio[Mes])*(Producción_Ganadera[[#This Row],[Año Económico]]=Tipo_Cambio[Año])*(Tipo_Cambio[$/U$S]))</f>
        <v>24.544703626636963</v>
      </c>
      <c r="AM164" s="891">
        <f>SUMPRODUCT((Producción_Ganadera[[#This Row],[Mes Económico]]=Tipo_Cambio[Mes])*(Producción_Ganadera[[#This Row],[Año Económico]]=Tipo_Cambio[Año])*(Tipo_Cambio[Actualización]))</f>
        <v>1.2433743083946525</v>
      </c>
      <c r="AN164" s="890">
        <f>IF(ISNUMBER(Producción_Ganadera[[#This Row],[Fecha Financiero]])=TRUE,MONTH(Producción_Ganadera[[#This Row],[Fecha Financiero]]),0)</f>
        <v>0</v>
      </c>
      <c r="AO164" s="890">
        <f>IF(ISNUMBER(Producción_Ganadera[[#This Row],[Fecha Financiero]])=TRUE,YEAR(Producción_Ganadera[[#This Row],[Fecha Financiero]]),0)</f>
        <v>0</v>
      </c>
      <c r="AP164" s="891">
        <f>SUMPRODUCT((Producción_Ganadera[[#This Row],[Mes Financiero]]=Tipo_Cambio[Mes])*(Producción_Ganadera[[#This Row],[Año Financiero]]=Tipo_Cambio[Año])*(Tipo_Cambio[$/U$S]))</f>
        <v>0</v>
      </c>
      <c r="AQ164" s="891">
        <f>SUMPRODUCT((Producción_Ganadera[[#This Row],[Mes Financiero]]=Tipo_Cambio[Mes])*(Producción_Ganadera[[#This Row],[Año Financiero]]=Tipo_Cambio[Año])*(Tipo_Cambio[Actualización]))</f>
        <v>0</v>
      </c>
      <c r="AR164" s="919">
        <f>SUMPRODUCT((Producción_Ganadera[[#This Row],[Centro de Costo]]=Tabla19[Centro de Costo])*(Tabla19[Superficie])*(Producción_Ganadera[[#This Row],[Campaña]]=Tabla19[Campaña]))</f>
        <v>0</v>
      </c>
      <c r="AS164" s="920">
        <f>IFERROR(Producción_Ganadera[[#This Row],[Económico $Corrientes]]/Producción_Ganadera[[#This Row],[Superficie]],0)</f>
        <v>0</v>
      </c>
      <c r="AT164" s="920">
        <f>IFERROR(Producción_Ganadera[[#This Row],[Económico $Constantes]]/Producción_Ganadera[[#This Row],[Superficie]],0)</f>
        <v>0</v>
      </c>
      <c r="AU164" s="920">
        <f>IFERROR(Producción_Ganadera[[#This Row],[Económico U$S Dólares]]/Producción_Ganadera[[#This Row],[Superficie]],0)</f>
        <v>0</v>
      </c>
      <c r="AV164" s="916" t="str">
        <f>IF(Económico!$F$4=0,0,Producción_Ganadera[[#This Row],[Centro de Costo]])</f>
        <v>Campo 2</v>
      </c>
    </row>
    <row r="165" spans="2:48" x14ac:dyDescent="0.25">
      <c r="D165" s="478">
        <f>DATE(RIGHT(Producción_Ganadera[[#This Row],[Campaña]],4),6,30)</f>
        <v>43646</v>
      </c>
      <c r="E165" s="478"/>
      <c r="F165" s="866" t="str">
        <f t="shared" si="10"/>
        <v>2018-2019</v>
      </c>
      <c r="G165" s="481" t="str">
        <f t="shared" si="9"/>
        <v>Stock Cierre</v>
      </c>
      <c r="H165" s="481" t="s">
        <v>8</v>
      </c>
      <c r="I165" s="481" t="str">
        <f>Configuración!AZ15</f>
        <v>Novillo 06-15</v>
      </c>
      <c r="J165" s="549"/>
      <c r="K165" s="481"/>
      <c r="L165" s="520">
        <f>SUMPRODUCT((Producción_Ganadera[[#This Row],[Centro de Costo]]=$H$5:$H$101)*(Producción_Ganadera[[#This Row],[Categoría Hacienda]]=$I$5:$I$101)*($AE$5:$AE$101))</f>
        <v>0</v>
      </c>
      <c r="M16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6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200</v>
      </c>
      <c r="O165" s="611">
        <v>1</v>
      </c>
      <c r="P165" s="484" t="s">
        <v>140</v>
      </c>
      <c r="Q165" s="875">
        <f>IF(ISNUMBER(Producción_Ganadera[[#This Row],[Cabezas]])=TRUE,Producción_Ganadera[[#This Row],[Cabezas]]*Producción_Ganadera[[#This Row],[Cantidad]],Producción_Ganadera[[#This Row],[Cantidad]])</f>
        <v>0</v>
      </c>
      <c r="R165" s="482"/>
      <c r="S165" s="552"/>
      <c r="T165" s="553"/>
      <c r="U16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65" s="881">
        <f>IFERROR(Producción_Ganadera[[#This Row],[Económico $Corrientes]]/Producción_Ganadera[[#This Row],[Indexación Económico]],0)</f>
        <v>0</v>
      </c>
      <c r="W16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6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65" s="881">
        <f>IFERROR(Producción_Ganadera[[#This Row],[Financiero $Corrientes]]/Producción_Ganadera[[#This Row],[Indexación Financiero]],0)</f>
        <v>0</v>
      </c>
      <c r="Z16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6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65" s="885">
        <f>IFERROR(Producción_Ganadera[[#This Row],[Intereses $Corrientes]]/Producción_Ganadera[[#This Row],[Indexación Financiero]],0)</f>
        <v>0</v>
      </c>
      <c r="AC16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65" s="915" t="str">
        <f>IFERROR(INDEX(Produccion_Ganadera_Cuentas[],MATCH(Producción_Ganadera[[#This Row],[Cuenta Contable]],Produccion_Ganadera_Cuentas[Cuenta Contable],0),2),0)</f>
        <v>Stock Cierre</v>
      </c>
      <c r="AE165" s="916">
        <f>IF(Producción_Ganadera[[#This Row],[Mov. Stock]]="(+)",Producción_Ganadera[[#This Row],[Cabezas]],IF(Producción_Ganadera[[#This Row],[Mov. Stock]]="(-)",-Producción_Ganadera[[#This Row],[Cabezas]],0))</f>
        <v>0</v>
      </c>
      <c r="AF165" s="917" t="str">
        <f>IFERROR(INDEX(Produccion_Ganadera_Cuentas[],MATCH(Producción_Ganadera[[#This Row],[Cuenta Contable]],Produccion_Ganadera_Cuentas[Cuenta Contable],0),5),0)</f>
        <v>(-)</v>
      </c>
      <c r="AG165" s="918" t="str">
        <f>IF(Producción_Ganadera[[#This Row],[Cuenta Contable]]=Configuración!$AC$9,"Si","No")</f>
        <v>No</v>
      </c>
      <c r="AH165" s="887" t="str">
        <f>IFERROR(INDEX(Tabla9[],MATCH(Producción_Ganadera[[#This Row],[Movimiento]],Tabla9[Movimientos],0),2),0)</f>
        <v>No</v>
      </c>
      <c r="AI165" s="888" t="str">
        <f>IFERROR(INDEX(Tabla9[],MATCH(Producción_Ganadera[[#This Row],[Movimiento]],Tabla9[Movimientos],0),3),0)</f>
        <v>(+)</v>
      </c>
      <c r="AJ165" s="890">
        <f>IF(Producción_Ganadera[[#This Row],[Fecha Económico]]=0,0,MONTH(Producción_Ganadera[[#This Row],[Fecha Económico]]))</f>
        <v>6</v>
      </c>
      <c r="AK165" s="890">
        <f>IF(Producción_Ganadera[[#This Row],[Fecha Económico]]=0,0,YEAR(Producción_Ganadera[[#This Row],[Fecha Económico]]))</f>
        <v>2019</v>
      </c>
      <c r="AL165" s="891">
        <f>SUMPRODUCT((Producción_Ganadera[[#This Row],[Mes Económico]]=Tipo_Cambio[Mes])*(Producción_Ganadera[[#This Row],[Año Económico]]=Tipo_Cambio[Año])*(Tipo_Cambio[$/U$S]))</f>
        <v>24.544703626636963</v>
      </c>
      <c r="AM165" s="891">
        <f>SUMPRODUCT((Producción_Ganadera[[#This Row],[Mes Económico]]=Tipo_Cambio[Mes])*(Producción_Ganadera[[#This Row],[Año Económico]]=Tipo_Cambio[Año])*(Tipo_Cambio[Actualización]))</f>
        <v>1.2433743083946525</v>
      </c>
      <c r="AN165" s="890">
        <f>IF(ISNUMBER(Producción_Ganadera[[#This Row],[Fecha Financiero]])=TRUE,MONTH(Producción_Ganadera[[#This Row],[Fecha Financiero]]),0)</f>
        <v>0</v>
      </c>
      <c r="AO165" s="890">
        <f>IF(ISNUMBER(Producción_Ganadera[[#This Row],[Fecha Financiero]])=TRUE,YEAR(Producción_Ganadera[[#This Row],[Fecha Financiero]]),0)</f>
        <v>0</v>
      </c>
      <c r="AP165" s="891">
        <f>SUMPRODUCT((Producción_Ganadera[[#This Row],[Mes Financiero]]=Tipo_Cambio[Mes])*(Producción_Ganadera[[#This Row],[Año Financiero]]=Tipo_Cambio[Año])*(Tipo_Cambio[$/U$S]))</f>
        <v>0</v>
      </c>
      <c r="AQ165" s="891">
        <f>SUMPRODUCT((Producción_Ganadera[[#This Row],[Mes Financiero]]=Tipo_Cambio[Mes])*(Producción_Ganadera[[#This Row],[Año Financiero]]=Tipo_Cambio[Año])*(Tipo_Cambio[Actualización]))</f>
        <v>0</v>
      </c>
      <c r="AR165" s="919">
        <f>SUMPRODUCT((Producción_Ganadera[[#This Row],[Centro de Costo]]=Tabla19[Centro de Costo])*(Tabla19[Superficie])*(Producción_Ganadera[[#This Row],[Campaña]]=Tabla19[Campaña]))</f>
        <v>0</v>
      </c>
      <c r="AS165" s="920">
        <f>IFERROR(Producción_Ganadera[[#This Row],[Económico $Corrientes]]/Producción_Ganadera[[#This Row],[Superficie]],0)</f>
        <v>0</v>
      </c>
      <c r="AT165" s="920">
        <f>IFERROR(Producción_Ganadera[[#This Row],[Económico $Constantes]]/Producción_Ganadera[[#This Row],[Superficie]],0)</f>
        <v>0</v>
      </c>
      <c r="AU165" s="920">
        <f>IFERROR(Producción_Ganadera[[#This Row],[Económico U$S Dólares]]/Producción_Ganadera[[#This Row],[Superficie]],0)</f>
        <v>0</v>
      </c>
      <c r="AV165" s="916" t="str">
        <f>IF(Económico!$F$4=0,0,Producción_Ganadera[[#This Row],[Centro de Costo]])</f>
        <v>Campo 2</v>
      </c>
    </row>
    <row r="166" spans="2:48" x14ac:dyDescent="0.25">
      <c r="D166" s="535">
        <f>DATE(RIGHT(Producción_Ganadera[[#This Row],[Campaña]],4),6,30)</f>
        <v>43646</v>
      </c>
      <c r="E166" s="535"/>
      <c r="F166" s="867" t="str">
        <f t="shared" si="10"/>
        <v>2018-2019</v>
      </c>
      <c r="G166" s="538" t="str">
        <f t="shared" si="9"/>
        <v>Stock Cierre</v>
      </c>
      <c r="H166" s="538" t="s">
        <v>8</v>
      </c>
      <c r="I166" s="538" t="str">
        <f>Configuración!AZ16</f>
        <v>Novillo 15-27</v>
      </c>
      <c r="J166" s="584"/>
      <c r="K166" s="538"/>
      <c r="L166" s="585">
        <f>SUMPRODUCT((Producción_Ganadera[[#This Row],[Centro de Costo]]=$H$5:$H$101)*(Producción_Ganadera[[#This Row],[Categoría Hacienda]]=$I$5:$I$101)*($AE$5:$AE$101))</f>
        <v>0</v>
      </c>
      <c r="M166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66" s="870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300</v>
      </c>
      <c r="O166" s="612">
        <v>1</v>
      </c>
      <c r="P166" s="540" t="s">
        <v>140</v>
      </c>
      <c r="Q166" s="876">
        <f>IF(ISNUMBER(Producción_Ganadera[[#This Row],[Cabezas]])=TRUE,Producción_Ganadera[[#This Row],[Cabezas]]*Producción_Ganadera[[#This Row],[Cantidad]],Producción_Ganadera[[#This Row],[Cantidad]])</f>
        <v>0</v>
      </c>
      <c r="R166" s="613"/>
      <c r="S166" s="588"/>
      <c r="T166" s="589"/>
      <c r="U166" s="895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66" s="893">
        <f>IFERROR(Producción_Ganadera[[#This Row],[Económico $Corrientes]]/Producción_Ganadera[[#This Row],[Indexación Económico]],0)</f>
        <v>0</v>
      </c>
      <c r="W166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66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66" s="893">
        <f>IFERROR(Producción_Ganadera[[#This Row],[Financiero $Corrientes]]/Producción_Ganadera[[#This Row],[Indexación Financiero]],0)</f>
        <v>0</v>
      </c>
      <c r="Z166" s="92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66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66" s="897">
        <f>IFERROR(Producción_Ganadera[[#This Row],[Intereses $Corrientes]]/Producción_Ganadera[[#This Row],[Indexación Financiero]],0)</f>
        <v>0</v>
      </c>
      <c r="AC166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66" s="922" t="str">
        <f>IFERROR(INDEX(Produccion_Ganadera_Cuentas[],MATCH(Producción_Ganadera[[#This Row],[Cuenta Contable]],Produccion_Ganadera_Cuentas[Cuenta Contable],0),2),0)</f>
        <v>Stock Cierre</v>
      </c>
      <c r="AE166" s="923">
        <f>IF(Producción_Ganadera[[#This Row],[Mov. Stock]]="(+)",Producción_Ganadera[[#This Row],[Cabezas]],IF(Producción_Ganadera[[#This Row],[Mov. Stock]]="(-)",-Producción_Ganadera[[#This Row],[Cabezas]],0))</f>
        <v>0</v>
      </c>
      <c r="AF166" s="924" t="str">
        <f>IFERROR(INDEX(Produccion_Ganadera_Cuentas[],MATCH(Producción_Ganadera[[#This Row],[Cuenta Contable]],Produccion_Ganadera_Cuentas[Cuenta Contable],0),5),0)</f>
        <v>(-)</v>
      </c>
      <c r="AG166" s="925" t="str">
        <f>IF(Producción_Ganadera[[#This Row],[Cuenta Contable]]=Configuración!$AC$9,"Si","No")</f>
        <v>No</v>
      </c>
      <c r="AH166" s="899" t="str">
        <f>IFERROR(INDEX(Tabla9[],MATCH(Producción_Ganadera[[#This Row],[Movimiento]],Tabla9[Movimientos],0),2),0)</f>
        <v>No</v>
      </c>
      <c r="AI166" s="900" t="str">
        <f>IFERROR(INDEX(Tabla9[],MATCH(Producción_Ganadera[[#This Row],[Movimiento]],Tabla9[Movimientos],0),3),0)</f>
        <v>(+)</v>
      </c>
      <c r="AJ166" s="897">
        <f>IF(Producción_Ganadera[[#This Row],[Fecha Económico]]=0,0,MONTH(Producción_Ganadera[[#This Row],[Fecha Económico]]))</f>
        <v>6</v>
      </c>
      <c r="AK166" s="897">
        <f>IF(Producción_Ganadera[[#This Row],[Fecha Económico]]=0,0,YEAR(Producción_Ganadera[[#This Row],[Fecha Económico]]))</f>
        <v>2019</v>
      </c>
      <c r="AL166" s="901">
        <f>SUMPRODUCT((Producción_Ganadera[[#This Row],[Mes Económico]]=Tipo_Cambio[Mes])*(Producción_Ganadera[[#This Row],[Año Económico]]=Tipo_Cambio[Año])*(Tipo_Cambio[$/U$S]))</f>
        <v>24.544703626636963</v>
      </c>
      <c r="AM166" s="901">
        <f>SUMPRODUCT((Producción_Ganadera[[#This Row],[Mes Económico]]=Tipo_Cambio[Mes])*(Producción_Ganadera[[#This Row],[Año Económico]]=Tipo_Cambio[Año])*(Tipo_Cambio[Actualización]))</f>
        <v>1.2433743083946525</v>
      </c>
      <c r="AN166" s="897">
        <f>IF(ISNUMBER(Producción_Ganadera[[#This Row],[Fecha Financiero]])=TRUE,MONTH(Producción_Ganadera[[#This Row],[Fecha Financiero]]),0)</f>
        <v>0</v>
      </c>
      <c r="AO166" s="897">
        <f>IF(ISNUMBER(Producción_Ganadera[[#This Row],[Fecha Financiero]])=TRUE,YEAR(Producción_Ganadera[[#This Row],[Fecha Financiero]]),0)</f>
        <v>0</v>
      </c>
      <c r="AP166" s="901">
        <f>SUMPRODUCT((Producción_Ganadera[[#This Row],[Mes Financiero]]=Tipo_Cambio[Mes])*(Producción_Ganadera[[#This Row],[Año Financiero]]=Tipo_Cambio[Año])*(Tipo_Cambio[$/U$S]))</f>
        <v>0</v>
      </c>
      <c r="AQ166" s="901">
        <f>SUMPRODUCT((Producción_Ganadera[[#This Row],[Mes Financiero]]=Tipo_Cambio[Mes])*(Producción_Ganadera[[#This Row],[Año Financiero]]=Tipo_Cambio[Año])*(Tipo_Cambio[Actualización]))</f>
        <v>0</v>
      </c>
      <c r="AR166" s="926">
        <f>SUMPRODUCT((Producción_Ganadera[[#This Row],[Centro de Costo]]=Tabla19[Centro de Costo])*(Tabla19[Superficie])*(Producción_Ganadera[[#This Row],[Campaña]]=Tabla19[Campaña]))</f>
        <v>0</v>
      </c>
      <c r="AS166" s="925">
        <f>IFERROR(Producción_Ganadera[[#This Row],[Económico $Corrientes]]/Producción_Ganadera[[#This Row],[Superficie]],0)</f>
        <v>0</v>
      </c>
      <c r="AT166" s="925">
        <f>IFERROR(Producción_Ganadera[[#This Row],[Económico $Constantes]]/Producción_Ganadera[[#This Row],[Superficie]],0)</f>
        <v>0</v>
      </c>
      <c r="AU166" s="925">
        <f>IFERROR(Producción_Ganadera[[#This Row],[Económico U$S Dólares]]/Producción_Ganadera[[#This Row],[Superficie]],0)</f>
        <v>0</v>
      </c>
      <c r="AV166" s="923" t="str">
        <f>IF(Económico!$F$4=0,0,Producción_Ganadera[[#This Row],[Centro de Costo]])</f>
        <v>Campo 2</v>
      </c>
    </row>
    <row r="167" spans="2:48" ht="15.75" thickBot="1" x14ac:dyDescent="0.3">
      <c r="B167" s="373" t="s">
        <v>101</v>
      </c>
      <c r="D167" s="478">
        <f>DATE(RIGHT(Producción_Ganadera[[#This Row],[Campaña]],4),6,30)</f>
        <v>43646</v>
      </c>
      <c r="E167" s="522"/>
      <c r="F167" s="869" t="str">
        <f t="shared" ref="F167:F198" si="11">Campaña_Actual</f>
        <v>2018-2019</v>
      </c>
      <c r="G167" s="491" t="str">
        <f t="shared" si="9"/>
        <v>Stock Cierre</v>
      </c>
      <c r="H167" s="491"/>
      <c r="I167" s="491"/>
      <c r="J167" s="549"/>
      <c r="K167" s="491"/>
      <c r="L167" s="520"/>
      <c r="M16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6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67" s="611"/>
      <c r="P167" s="484"/>
      <c r="Q167" s="875">
        <f>IF(ISNUMBER(Producción_Ganadera[[#This Row],[Cabezas]])=TRUE,Producción_Ganadera[[#This Row],[Cabezas]]*Producción_Ganadera[[#This Row],[Cantidad]],Producción_Ganadera[[#This Row],[Cantidad]])</f>
        <v>0</v>
      </c>
      <c r="R167" s="482"/>
      <c r="S167" s="552"/>
      <c r="T167" s="553"/>
      <c r="U16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67" s="881">
        <f>IFERROR(Producción_Ganadera[[#This Row],[Económico $Corrientes]]/Producción_Ganadera[[#This Row],[Indexación Económico]],0)</f>
        <v>0</v>
      </c>
      <c r="W16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6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67" s="881">
        <f>IFERROR(Producción_Ganadera[[#This Row],[Financiero $Corrientes]]/Producción_Ganadera[[#This Row],[Indexación Financiero]],0)</f>
        <v>0</v>
      </c>
      <c r="Z16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6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67" s="885">
        <f>IFERROR(Producción_Ganadera[[#This Row],[Intereses $Corrientes]]/Producción_Ganadera[[#This Row],[Indexación Financiero]],0)</f>
        <v>0</v>
      </c>
      <c r="AC16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67" s="915" t="str">
        <f>IFERROR(INDEX(Produccion_Ganadera_Cuentas[],MATCH(Producción_Ganadera[[#This Row],[Cuenta Contable]],Produccion_Ganadera_Cuentas[Cuenta Contable],0),2),0)</f>
        <v>Stock Cierre</v>
      </c>
      <c r="AE167" s="916">
        <f>IF(Producción_Ganadera[[#This Row],[Mov. Stock]]="(+)",Producción_Ganadera[[#This Row],[Cabezas]],IF(Producción_Ganadera[[#This Row],[Mov. Stock]]="(-)",-Producción_Ganadera[[#This Row],[Cabezas]],0))</f>
        <v>0</v>
      </c>
      <c r="AF167" s="917" t="str">
        <f>IFERROR(INDEX(Produccion_Ganadera_Cuentas[],MATCH(Producción_Ganadera[[#This Row],[Cuenta Contable]],Produccion_Ganadera_Cuentas[Cuenta Contable],0),5),0)</f>
        <v>(-)</v>
      </c>
      <c r="AG167" s="918" t="str">
        <f>IF(Producción_Ganadera[[#This Row],[Cuenta Contable]]=Configuración!$AC$9,"Si","No")</f>
        <v>No</v>
      </c>
      <c r="AH167" s="887" t="str">
        <f>IFERROR(INDEX(Tabla9[],MATCH(Producción_Ganadera[[#This Row],[Movimiento]],Tabla9[Movimientos],0),2),0)</f>
        <v>No</v>
      </c>
      <c r="AI167" s="888" t="str">
        <f>IFERROR(INDEX(Tabla9[],MATCH(Producción_Ganadera[[#This Row],[Movimiento]],Tabla9[Movimientos],0),3),0)</f>
        <v>(+)</v>
      </c>
      <c r="AJ167" s="885">
        <f>IF(Producción_Ganadera[[#This Row],[Fecha Económico]]=0,0,MONTH(Producción_Ganadera[[#This Row],[Fecha Económico]]))</f>
        <v>6</v>
      </c>
      <c r="AK167" s="885">
        <f>IF(Producción_Ganadera[[#This Row],[Fecha Económico]]=0,0,YEAR(Producción_Ganadera[[#This Row],[Fecha Económico]]))</f>
        <v>2019</v>
      </c>
      <c r="AL167" s="889">
        <f>SUMPRODUCT((Producción_Ganadera[[#This Row],[Mes Económico]]=Tipo_Cambio[Mes])*(Producción_Ganadera[[#This Row],[Año Económico]]=Tipo_Cambio[Año])*(Tipo_Cambio[$/U$S]))</f>
        <v>24.544703626636963</v>
      </c>
      <c r="AM167" s="889">
        <f>SUMPRODUCT((Producción_Ganadera[[#This Row],[Mes Económico]]=Tipo_Cambio[Mes])*(Producción_Ganadera[[#This Row],[Año Económico]]=Tipo_Cambio[Año])*(Tipo_Cambio[Actualización]))</f>
        <v>1.2433743083946525</v>
      </c>
      <c r="AN167" s="885">
        <f>IF(ISNUMBER(Producción_Ganadera[[#This Row],[Fecha Financiero]])=TRUE,MONTH(Producción_Ganadera[[#This Row],[Fecha Financiero]]),0)</f>
        <v>0</v>
      </c>
      <c r="AO167" s="885">
        <f>IF(ISNUMBER(Producción_Ganadera[[#This Row],[Fecha Financiero]])=TRUE,YEAR(Producción_Ganadera[[#This Row],[Fecha Financiero]]),0)</f>
        <v>0</v>
      </c>
      <c r="AP167" s="889">
        <f>SUMPRODUCT((Producción_Ganadera[[#This Row],[Mes Financiero]]=Tipo_Cambio[Mes])*(Producción_Ganadera[[#This Row],[Año Financiero]]=Tipo_Cambio[Año])*(Tipo_Cambio[$/U$S]))</f>
        <v>0</v>
      </c>
      <c r="AQ167" s="889">
        <f>SUMPRODUCT((Producción_Ganadera[[#This Row],[Mes Financiero]]=Tipo_Cambio[Mes])*(Producción_Ganadera[[#This Row],[Año Financiero]]=Tipo_Cambio[Año])*(Tipo_Cambio[Actualización]))</f>
        <v>0</v>
      </c>
      <c r="AR167" s="919">
        <f>SUMPRODUCT((Producción_Ganadera[[#This Row],[Centro de Costo]]=Tabla19[Centro de Costo])*(Tabla19[Superficie])*(Producción_Ganadera[[#This Row],[Campaña]]=Tabla19[Campaña]))</f>
        <v>0</v>
      </c>
      <c r="AS167" s="918">
        <f>IFERROR(Producción_Ganadera[[#This Row],[Económico $Corrientes]]/Producción_Ganadera[[#This Row],[Superficie]],0)</f>
        <v>0</v>
      </c>
      <c r="AT167" s="918">
        <f>IFERROR(Producción_Ganadera[[#This Row],[Económico $Constantes]]/Producción_Ganadera[[#This Row],[Superficie]],0)</f>
        <v>0</v>
      </c>
      <c r="AU167" s="918">
        <f>IFERROR(Producción_Ganadera[[#This Row],[Económico U$S Dólares]]/Producción_Ganadera[[#This Row],[Superficie]],0)</f>
        <v>0</v>
      </c>
      <c r="AV167" s="916">
        <f>IF(Económico!$F$4=0,0,Producción_Ganadera[[#This Row],[Centro de Costo]])</f>
        <v>0</v>
      </c>
    </row>
    <row r="168" spans="2:48" ht="15.75" thickTop="1" x14ac:dyDescent="0.25">
      <c r="B168" s="378" t="s">
        <v>107</v>
      </c>
      <c r="D168" s="614">
        <f>DATE(LEFT(Producción_Ganadera[[#This Row],[Campaña]],4),7,1)</f>
        <v>43282</v>
      </c>
      <c r="E168" s="615">
        <f>+Producción_Ganadera[[#This Row],[Fecha Económico]]+9</f>
        <v>43291</v>
      </c>
      <c r="F168" s="871" t="str">
        <f t="shared" si="11"/>
        <v>2018-2019</v>
      </c>
      <c r="G168" s="616" t="str">
        <f>GAN_Personal</f>
        <v>Personal</v>
      </c>
      <c r="H168" s="616" t="s">
        <v>2</v>
      </c>
      <c r="I168" s="616"/>
      <c r="J168" s="617"/>
      <c r="K168" s="616"/>
      <c r="L168" s="618"/>
      <c r="M168" s="61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68" s="871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68" s="620"/>
      <c r="P168" s="621"/>
      <c r="Q168" s="878">
        <f>IF(ISNUMBER(Producción_Ganadera[[#This Row],[Cabezas]])=TRUE,Producción_Ganadera[[#This Row],[Cabezas]]*Producción_Ganadera[[#This Row],[Cantidad]],Producción_Ganadera[[#This Row],[Cantidad]])</f>
        <v>0</v>
      </c>
      <c r="R168" s="622"/>
      <c r="S168" s="623" t="s">
        <v>48</v>
      </c>
      <c r="T168" s="624"/>
      <c r="U168" s="927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68" s="928">
        <f>IFERROR(Producción_Ganadera[[#This Row],[Económico $Corrientes]]/Producción_Ganadera[[#This Row],[Indexación Económico]],0)</f>
        <v>0</v>
      </c>
      <c r="W168" s="929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68" s="927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68" s="928">
        <f>IFERROR(Producción_Ganadera[[#This Row],[Financiero $Corrientes]]/Producción_Ganadera[[#This Row],[Indexación Financiero]],0)</f>
        <v>0</v>
      </c>
      <c r="Z168" s="930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68" s="93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68" s="932">
        <f>IFERROR(Producción_Ganadera[[#This Row],[Intereses $Corrientes]]/Producción_Ganadera[[#This Row],[Indexación Financiero]],0)</f>
        <v>0</v>
      </c>
      <c r="AC168" s="93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68" s="933" t="str">
        <f>IFERROR(INDEX(Produccion_Ganadera_Cuentas[],MATCH(Producción_Ganadera[[#This Row],[Cuenta Contable]],Produccion_Ganadera_Cuentas[Cuenta Contable],0),2),0)</f>
        <v>Egreso</v>
      </c>
      <c r="AE168" s="934">
        <f>IF(Producción_Ganadera[[#This Row],[Mov. Stock]]="(+)",Producción_Ganadera[[#This Row],[Cabezas]],IF(Producción_Ganadera[[#This Row],[Mov. Stock]]="(-)",-Producción_Ganadera[[#This Row],[Cabezas]],0))</f>
        <v>0</v>
      </c>
      <c r="AF168" s="935">
        <f>IFERROR(INDEX(Produccion_Ganadera_Cuentas[],MATCH(Producción_Ganadera[[#This Row],[Cuenta Contable]],Produccion_Ganadera_Cuentas[Cuenta Contable],0),5),0)</f>
        <v>0</v>
      </c>
      <c r="AG168" s="936" t="str">
        <f>IF(Producción_Ganadera[[#This Row],[Cuenta Contable]]=Configuración!$AC$9,"Si","No")</f>
        <v>No</v>
      </c>
      <c r="AH168" s="937" t="str">
        <f>IFERROR(INDEX(Tabla9[],MATCH(Producción_Ganadera[[#This Row],[Movimiento]],Tabla9[Movimientos],0),2),0)</f>
        <v>Si</v>
      </c>
      <c r="AI168" s="938" t="str">
        <f>IFERROR(INDEX(Tabla9[],MATCH(Producción_Ganadera[[#This Row],[Movimiento]],Tabla9[Movimientos],0),3),0)</f>
        <v>(-)</v>
      </c>
      <c r="AJ168" s="932">
        <f>IF(Producción_Ganadera[[#This Row],[Fecha Económico]]=0,0,MONTH(Producción_Ganadera[[#This Row],[Fecha Económico]]))</f>
        <v>7</v>
      </c>
      <c r="AK168" s="932">
        <f>IF(Producción_Ganadera[[#This Row],[Fecha Económico]]=0,0,YEAR(Producción_Ganadera[[#This Row],[Fecha Económico]]))</f>
        <v>2018</v>
      </c>
      <c r="AL168" s="939">
        <f>SUMPRODUCT((Producción_Ganadera[[#This Row],[Mes Económico]]=Tipo_Cambio[Mes])*(Producción_Ganadera[[#This Row],[Año Económico]]=Tipo_Cambio[Año])*(Tipo_Cambio[$/U$S]))</f>
        <v>22</v>
      </c>
      <c r="AM168" s="939">
        <f>SUMPRODUCT((Producción_Ganadera[[#This Row],[Mes Económico]]=Tipo_Cambio[Mes])*(Producción_Ganadera[[#This Row],[Año Económico]]=Tipo_Cambio[Año])*(Tipo_Cambio[Actualización]))</f>
        <v>1</v>
      </c>
      <c r="AN168" s="932">
        <f>IF(ISNUMBER(Producción_Ganadera[[#This Row],[Fecha Financiero]])=TRUE,MONTH(Producción_Ganadera[[#This Row],[Fecha Financiero]]),0)</f>
        <v>7</v>
      </c>
      <c r="AO168" s="932">
        <f>IF(ISNUMBER(Producción_Ganadera[[#This Row],[Fecha Financiero]])=TRUE,YEAR(Producción_Ganadera[[#This Row],[Fecha Financiero]]),0)</f>
        <v>2018</v>
      </c>
      <c r="AP168" s="939">
        <f>SUMPRODUCT((Producción_Ganadera[[#This Row],[Mes Financiero]]=Tipo_Cambio[Mes])*(Producción_Ganadera[[#This Row],[Año Financiero]]=Tipo_Cambio[Año])*(Tipo_Cambio[$/U$S]))</f>
        <v>22</v>
      </c>
      <c r="AQ168" s="939">
        <f>SUMPRODUCT((Producción_Ganadera[[#This Row],[Mes Financiero]]=Tipo_Cambio[Mes])*(Producción_Ganadera[[#This Row],[Año Financiero]]=Tipo_Cambio[Año])*(Tipo_Cambio[Actualización]))</f>
        <v>1</v>
      </c>
      <c r="AR168" s="940">
        <f>SUMPRODUCT((Producción_Ganadera[[#This Row],[Centro de Costo]]=Tabla19[Centro de Costo])*(Tabla19[Superficie])*(Producción_Ganadera[[#This Row],[Campaña]]=Tabla19[Campaña]))</f>
        <v>0</v>
      </c>
      <c r="AS168" s="936">
        <f>IFERROR(Producción_Ganadera[[#This Row],[Económico $Corrientes]]/Producción_Ganadera[[#This Row],[Superficie]],0)</f>
        <v>0</v>
      </c>
      <c r="AT168" s="936">
        <f>IFERROR(Producción_Ganadera[[#This Row],[Económico $Constantes]]/Producción_Ganadera[[#This Row],[Superficie]],0)</f>
        <v>0</v>
      </c>
      <c r="AU168" s="936">
        <f>IFERROR(Producción_Ganadera[[#This Row],[Económico U$S Dólares]]/Producción_Ganadera[[#This Row],[Superficie]],0)</f>
        <v>0</v>
      </c>
      <c r="AV168" s="934" t="str">
        <f>IF(Económico!$F$4=0,0,Producción_Ganadera[[#This Row],[Centro de Costo]])</f>
        <v>Campo 1</v>
      </c>
    </row>
    <row r="169" spans="2:48" x14ac:dyDescent="0.25">
      <c r="B169" s="378" t="s">
        <v>108</v>
      </c>
      <c r="D169" s="478">
        <f>DATE(LEFT(Producción_Ganadera[[#This Row],[Campaña]],4),7,1)</f>
        <v>43282</v>
      </c>
      <c r="E169" s="522">
        <f>+Producción_Ganadera[[#This Row],[Fecha Económico]]+9</f>
        <v>43291</v>
      </c>
      <c r="F169" s="869" t="str">
        <f t="shared" si="11"/>
        <v>2018-2019</v>
      </c>
      <c r="G169" s="491" t="str">
        <f>GAN_Cargas_Sociales</f>
        <v>Cargas Sociales</v>
      </c>
      <c r="H169" s="491" t="s">
        <v>2</v>
      </c>
      <c r="I169" s="491"/>
      <c r="J169" s="549"/>
      <c r="K169" s="491"/>
      <c r="L169" s="520"/>
      <c r="M16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6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69" s="611"/>
      <c r="P169" s="484"/>
      <c r="Q169" s="875">
        <f>IF(ISNUMBER(Producción_Ganadera[[#This Row],[Cabezas]])=TRUE,Producción_Ganadera[[#This Row],[Cabezas]]*Producción_Ganadera[[#This Row],[Cantidad]],Producción_Ganadera[[#This Row],[Cantidad]])</f>
        <v>0</v>
      </c>
      <c r="R169" s="482"/>
      <c r="S169" s="552" t="s">
        <v>48</v>
      </c>
      <c r="T169" s="553"/>
      <c r="U16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69" s="881">
        <f>IFERROR(Producción_Ganadera[[#This Row],[Económico $Corrientes]]/Producción_Ganadera[[#This Row],[Indexación Económico]],0)</f>
        <v>0</v>
      </c>
      <c r="W16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6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69" s="881">
        <f>IFERROR(Producción_Ganadera[[#This Row],[Financiero $Corrientes]]/Producción_Ganadera[[#This Row],[Indexación Financiero]],0)</f>
        <v>0</v>
      </c>
      <c r="Z16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6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69" s="885">
        <f>IFERROR(Producción_Ganadera[[#This Row],[Intereses $Corrientes]]/Producción_Ganadera[[#This Row],[Indexación Financiero]],0)</f>
        <v>0</v>
      </c>
      <c r="AC16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69" s="915" t="str">
        <f>IFERROR(INDEX(Produccion_Ganadera_Cuentas[],MATCH(Producción_Ganadera[[#This Row],[Cuenta Contable]],Produccion_Ganadera_Cuentas[Cuenta Contable],0),2),0)</f>
        <v>Egreso</v>
      </c>
      <c r="AE169" s="916">
        <f>IF(Producción_Ganadera[[#This Row],[Mov. Stock]]="(+)",Producción_Ganadera[[#This Row],[Cabezas]],IF(Producción_Ganadera[[#This Row],[Mov. Stock]]="(-)",-Producción_Ganadera[[#This Row],[Cabezas]],0))</f>
        <v>0</v>
      </c>
      <c r="AF169" s="917">
        <f>IFERROR(INDEX(Produccion_Ganadera_Cuentas[],MATCH(Producción_Ganadera[[#This Row],[Cuenta Contable]],Produccion_Ganadera_Cuentas[Cuenta Contable],0),5),0)</f>
        <v>0</v>
      </c>
      <c r="AG169" s="918" t="str">
        <f>IF(Producción_Ganadera[[#This Row],[Cuenta Contable]]=Configuración!$AC$9,"Si","No")</f>
        <v>No</v>
      </c>
      <c r="AH169" s="887" t="str">
        <f>IFERROR(INDEX(Tabla9[],MATCH(Producción_Ganadera[[#This Row],[Movimiento]],Tabla9[Movimientos],0),2),0)</f>
        <v>Si</v>
      </c>
      <c r="AI169" s="888" t="str">
        <f>IFERROR(INDEX(Tabla9[],MATCH(Producción_Ganadera[[#This Row],[Movimiento]],Tabla9[Movimientos],0),3),0)</f>
        <v>(-)</v>
      </c>
      <c r="AJ169" s="885">
        <f>IF(Producción_Ganadera[[#This Row],[Fecha Económico]]=0,0,MONTH(Producción_Ganadera[[#This Row],[Fecha Económico]]))</f>
        <v>7</v>
      </c>
      <c r="AK169" s="885">
        <f>IF(Producción_Ganadera[[#This Row],[Fecha Económico]]=0,0,YEAR(Producción_Ganadera[[#This Row],[Fecha Económico]]))</f>
        <v>2018</v>
      </c>
      <c r="AL169" s="889">
        <f>SUMPRODUCT((Producción_Ganadera[[#This Row],[Mes Económico]]=Tipo_Cambio[Mes])*(Producción_Ganadera[[#This Row],[Año Económico]]=Tipo_Cambio[Año])*(Tipo_Cambio[$/U$S]))</f>
        <v>22</v>
      </c>
      <c r="AM169" s="889">
        <f>SUMPRODUCT((Producción_Ganadera[[#This Row],[Mes Económico]]=Tipo_Cambio[Mes])*(Producción_Ganadera[[#This Row],[Año Económico]]=Tipo_Cambio[Año])*(Tipo_Cambio[Actualización]))</f>
        <v>1</v>
      </c>
      <c r="AN169" s="885">
        <f>IF(ISNUMBER(Producción_Ganadera[[#This Row],[Fecha Financiero]])=TRUE,MONTH(Producción_Ganadera[[#This Row],[Fecha Financiero]]),0)</f>
        <v>7</v>
      </c>
      <c r="AO169" s="885">
        <f>IF(ISNUMBER(Producción_Ganadera[[#This Row],[Fecha Financiero]])=TRUE,YEAR(Producción_Ganadera[[#This Row],[Fecha Financiero]]),0)</f>
        <v>2018</v>
      </c>
      <c r="AP169" s="889">
        <f>SUMPRODUCT((Producción_Ganadera[[#This Row],[Mes Financiero]]=Tipo_Cambio[Mes])*(Producción_Ganadera[[#This Row],[Año Financiero]]=Tipo_Cambio[Año])*(Tipo_Cambio[$/U$S]))</f>
        <v>22</v>
      </c>
      <c r="AQ169" s="889">
        <f>SUMPRODUCT((Producción_Ganadera[[#This Row],[Mes Financiero]]=Tipo_Cambio[Mes])*(Producción_Ganadera[[#This Row],[Año Financiero]]=Tipo_Cambio[Año])*(Tipo_Cambio[Actualización]))</f>
        <v>1</v>
      </c>
      <c r="AR169" s="919">
        <f>SUMPRODUCT((Producción_Ganadera[[#This Row],[Centro de Costo]]=Tabla19[Centro de Costo])*(Tabla19[Superficie])*(Producción_Ganadera[[#This Row],[Campaña]]=Tabla19[Campaña]))</f>
        <v>0</v>
      </c>
      <c r="AS169" s="918">
        <f>IFERROR(Producción_Ganadera[[#This Row],[Económico $Corrientes]]/Producción_Ganadera[[#This Row],[Superficie]],0)</f>
        <v>0</v>
      </c>
      <c r="AT169" s="918">
        <f>IFERROR(Producción_Ganadera[[#This Row],[Económico $Constantes]]/Producción_Ganadera[[#This Row],[Superficie]],0)</f>
        <v>0</v>
      </c>
      <c r="AU169" s="918">
        <f>IFERROR(Producción_Ganadera[[#This Row],[Económico U$S Dólares]]/Producción_Ganadera[[#This Row],[Superficie]],0)</f>
        <v>0</v>
      </c>
      <c r="AV169" s="916" t="str">
        <f>IF(Económico!$F$4=0,0,Producción_Ganadera[[#This Row],[Centro de Costo]])</f>
        <v>Campo 1</v>
      </c>
    </row>
    <row r="170" spans="2:48" x14ac:dyDescent="0.25">
      <c r="B170" s="378" t="s">
        <v>120</v>
      </c>
      <c r="D170" s="478">
        <f>DATE(LEFT(Producción_Ganadera[[#This Row],[Campaña]],4),7,1)</f>
        <v>43282</v>
      </c>
      <c r="E170" s="522">
        <f>+Producción_Ganadera[[#This Row],[Fecha Económico]]+9</f>
        <v>43291</v>
      </c>
      <c r="F170" s="869" t="str">
        <f t="shared" si="11"/>
        <v>2018-2019</v>
      </c>
      <c r="G170" s="491" t="str">
        <f>GAN_Manutención_Personal</f>
        <v>Manutención Personal</v>
      </c>
      <c r="H170" s="491" t="s">
        <v>2</v>
      </c>
      <c r="I170" s="491"/>
      <c r="J170" s="549"/>
      <c r="K170" s="491"/>
      <c r="L170" s="520"/>
      <c r="M17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7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70" s="611"/>
      <c r="P170" s="484"/>
      <c r="Q170" s="875">
        <f>IF(ISNUMBER(Producción_Ganadera[[#This Row],[Cabezas]])=TRUE,Producción_Ganadera[[#This Row],[Cabezas]]*Producción_Ganadera[[#This Row],[Cantidad]],Producción_Ganadera[[#This Row],[Cantidad]])</f>
        <v>0</v>
      </c>
      <c r="R170" s="482"/>
      <c r="S170" s="552" t="s">
        <v>48</v>
      </c>
      <c r="T170" s="553"/>
      <c r="U17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70" s="881">
        <f>IFERROR(Producción_Ganadera[[#This Row],[Económico $Corrientes]]/Producción_Ganadera[[#This Row],[Indexación Económico]],0)</f>
        <v>0</v>
      </c>
      <c r="W17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7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70" s="881">
        <f>IFERROR(Producción_Ganadera[[#This Row],[Financiero $Corrientes]]/Producción_Ganadera[[#This Row],[Indexación Financiero]],0)</f>
        <v>0</v>
      </c>
      <c r="Z17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7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70" s="885">
        <f>IFERROR(Producción_Ganadera[[#This Row],[Intereses $Corrientes]]/Producción_Ganadera[[#This Row],[Indexación Financiero]],0)</f>
        <v>0</v>
      </c>
      <c r="AC17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70" s="915" t="str">
        <f>IFERROR(INDEX(Produccion_Ganadera_Cuentas[],MATCH(Producción_Ganadera[[#This Row],[Cuenta Contable]],Produccion_Ganadera_Cuentas[Cuenta Contable],0),2),0)</f>
        <v>Egreso</v>
      </c>
      <c r="AE170" s="916">
        <f>IF(Producción_Ganadera[[#This Row],[Mov. Stock]]="(+)",Producción_Ganadera[[#This Row],[Cabezas]],IF(Producción_Ganadera[[#This Row],[Mov. Stock]]="(-)",-Producción_Ganadera[[#This Row],[Cabezas]],0))</f>
        <v>0</v>
      </c>
      <c r="AF170" s="917">
        <f>IFERROR(INDEX(Produccion_Ganadera_Cuentas[],MATCH(Producción_Ganadera[[#This Row],[Cuenta Contable]],Produccion_Ganadera_Cuentas[Cuenta Contable],0),5),0)</f>
        <v>0</v>
      </c>
      <c r="AG170" s="918" t="str">
        <f>IF(Producción_Ganadera[[#This Row],[Cuenta Contable]]=Configuración!$AC$9,"Si","No")</f>
        <v>No</v>
      </c>
      <c r="AH170" s="887" t="str">
        <f>IFERROR(INDEX(Tabla9[],MATCH(Producción_Ganadera[[#This Row],[Movimiento]],Tabla9[Movimientos],0),2),0)</f>
        <v>Si</v>
      </c>
      <c r="AI170" s="888" t="str">
        <f>IFERROR(INDEX(Tabla9[],MATCH(Producción_Ganadera[[#This Row],[Movimiento]],Tabla9[Movimientos],0),3),0)</f>
        <v>(-)</v>
      </c>
      <c r="AJ170" s="885">
        <f>IF(Producción_Ganadera[[#This Row],[Fecha Económico]]=0,0,MONTH(Producción_Ganadera[[#This Row],[Fecha Económico]]))</f>
        <v>7</v>
      </c>
      <c r="AK170" s="885">
        <f>IF(Producción_Ganadera[[#This Row],[Fecha Económico]]=0,0,YEAR(Producción_Ganadera[[#This Row],[Fecha Económico]]))</f>
        <v>2018</v>
      </c>
      <c r="AL170" s="889">
        <f>SUMPRODUCT((Producción_Ganadera[[#This Row],[Mes Económico]]=Tipo_Cambio[Mes])*(Producción_Ganadera[[#This Row],[Año Económico]]=Tipo_Cambio[Año])*(Tipo_Cambio[$/U$S]))</f>
        <v>22</v>
      </c>
      <c r="AM170" s="889">
        <f>SUMPRODUCT((Producción_Ganadera[[#This Row],[Mes Económico]]=Tipo_Cambio[Mes])*(Producción_Ganadera[[#This Row],[Año Económico]]=Tipo_Cambio[Año])*(Tipo_Cambio[Actualización]))</f>
        <v>1</v>
      </c>
      <c r="AN170" s="885">
        <f>IF(ISNUMBER(Producción_Ganadera[[#This Row],[Fecha Financiero]])=TRUE,MONTH(Producción_Ganadera[[#This Row],[Fecha Financiero]]),0)</f>
        <v>7</v>
      </c>
      <c r="AO170" s="885">
        <f>IF(ISNUMBER(Producción_Ganadera[[#This Row],[Fecha Financiero]])=TRUE,YEAR(Producción_Ganadera[[#This Row],[Fecha Financiero]]),0)</f>
        <v>2018</v>
      </c>
      <c r="AP170" s="889">
        <f>SUMPRODUCT((Producción_Ganadera[[#This Row],[Mes Financiero]]=Tipo_Cambio[Mes])*(Producción_Ganadera[[#This Row],[Año Financiero]]=Tipo_Cambio[Año])*(Tipo_Cambio[$/U$S]))</f>
        <v>22</v>
      </c>
      <c r="AQ170" s="889">
        <f>SUMPRODUCT((Producción_Ganadera[[#This Row],[Mes Financiero]]=Tipo_Cambio[Mes])*(Producción_Ganadera[[#This Row],[Año Financiero]]=Tipo_Cambio[Año])*(Tipo_Cambio[Actualización]))</f>
        <v>1</v>
      </c>
      <c r="AR170" s="919">
        <f>SUMPRODUCT((Producción_Ganadera[[#This Row],[Centro de Costo]]=Tabla19[Centro de Costo])*(Tabla19[Superficie])*(Producción_Ganadera[[#This Row],[Campaña]]=Tabla19[Campaña]))</f>
        <v>0</v>
      </c>
      <c r="AS170" s="918">
        <f>IFERROR(Producción_Ganadera[[#This Row],[Económico $Corrientes]]/Producción_Ganadera[[#This Row],[Superficie]],0)</f>
        <v>0</v>
      </c>
      <c r="AT170" s="918">
        <f>IFERROR(Producción_Ganadera[[#This Row],[Económico $Constantes]]/Producción_Ganadera[[#This Row],[Superficie]],0)</f>
        <v>0</v>
      </c>
      <c r="AU170" s="918">
        <f>IFERROR(Producción_Ganadera[[#This Row],[Económico U$S Dólares]]/Producción_Ganadera[[#This Row],[Superficie]],0)</f>
        <v>0</v>
      </c>
      <c r="AV170" s="916" t="str">
        <f>IF(Económico!$F$4=0,0,Producción_Ganadera[[#This Row],[Centro de Costo]])</f>
        <v>Campo 1</v>
      </c>
    </row>
    <row r="171" spans="2:48" x14ac:dyDescent="0.25">
      <c r="D171" s="478">
        <f>DATE(IF(MONTH(D168)=1,YEAR(D168+1),YEAR(D168)),MONTH(D168)+1,1)</f>
        <v>43313</v>
      </c>
      <c r="E171" s="522">
        <f>+Producción_Ganadera[[#This Row],[Fecha Económico]]+9</f>
        <v>43322</v>
      </c>
      <c r="F171" s="869" t="str">
        <f t="shared" si="11"/>
        <v>2018-2019</v>
      </c>
      <c r="G171" s="491" t="str">
        <f>GAN_Personal</f>
        <v>Personal</v>
      </c>
      <c r="H171" s="491" t="s">
        <v>2</v>
      </c>
      <c r="I171" s="491"/>
      <c r="J171" s="549"/>
      <c r="K171" s="491"/>
      <c r="L171" s="520"/>
      <c r="M17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7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71" s="611"/>
      <c r="P171" s="484"/>
      <c r="Q171" s="875">
        <f>IF(ISNUMBER(Producción_Ganadera[[#This Row],[Cabezas]])=TRUE,Producción_Ganadera[[#This Row],[Cabezas]]*Producción_Ganadera[[#This Row],[Cantidad]],Producción_Ganadera[[#This Row],[Cantidad]])</f>
        <v>0</v>
      </c>
      <c r="R171" s="482"/>
      <c r="S171" s="552" t="s">
        <v>48</v>
      </c>
      <c r="T171" s="553"/>
      <c r="U17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71" s="881">
        <f>IFERROR(Producción_Ganadera[[#This Row],[Económico $Corrientes]]/Producción_Ganadera[[#This Row],[Indexación Económico]],0)</f>
        <v>0</v>
      </c>
      <c r="W17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7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71" s="881">
        <f>IFERROR(Producción_Ganadera[[#This Row],[Financiero $Corrientes]]/Producción_Ganadera[[#This Row],[Indexación Financiero]],0)</f>
        <v>0</v>
      </c>
      <c r="Z17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7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71" s="885">
        <f>IFERROR(Producción_Ganadera[[#This Row],[Intereses $Corrientes]]/Producción_Ganadera[[#This Row],[Indexación Financiero]],0)</f>
        <v>0</v>
      </c>
      <c r="AC17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71" s="915" t="str">
        <f>IFERROR(INDEX(Produccion_Ganadera_Cuentas[],MATCH(Producción_Ganadera[[#This Row],[Cuenta Contable]],Produccion_Ganadera_Cuentas[Cuenta Contable],0),2),0)</f>
        <v>Egreso</v>
      </c>
      <c r="AE171" s="916">
        <f>IF(Producción_Ganadera[[#This Row],[Mov. Stock]]="(+)",Producción_Ganadera[[#This Row],[Cabezas]],IF(Producción_Ganadera[[#This Row],[Mov. Stock]]="(-)",-Producción_Ganadera[[#This Row],[Cabezas]],0))</f>
        <v>0</v>
      </c>
      <c r="AF171" s="917">
        <f>IFERROR(INDEX(Produccion_Ganadera_Cuentas[],MATCH(Producción_Ganadera[[#This Row],[Cuenta Contable]],Produccion_Ganadera_Cuentas[Cuenta Contable],0),5),0)</f>
        <v>0</v>
      </c>
      <c r="AG171" s="918" t="str">
        <f>IF(Producción_Ganadera[[#This Row],[Cuenta Contable]]=Configuración!$AC$9,"Si","No")</f>
        <v>No</v>
      </c>
      <c r="AH171" s="887" t="str">
        <f>IFERROR(INDEX(Tabla9[],MATCH(Producción_Ganadera[[#This Row],[Movimiento]],Tabla9[Movimientos],0),2),0)</f>
        <v>Si</v>
      </c>
      <c r="AI171" s="888" t="str">
        <f>IFERROR(INDEX(Tabla9[],MATCH(Producción_Ganadera[[#This Row],[Movimiento]],Tabla9[Movimientos],0),3),0)</f>
        <v>(-)</v>
      </c>
      <c r="AJ171" s="885">
        <f>IF(Producción_Ganadera[[#This Row],[Fecha Económico]]=0,0,MONTH(Producción_Ganadera[[#This Row],[Fecha Económico]]))</f>
        <v>8</v>
      </c>
      <c r="AK171" s="885">
        <f>IF(Producción_Ganadera[[#This Row],[Fecha Económico]]=0,0,YEAR(Producción_Ganadera[[#This Row],[Fecha Económico]]))</f>
        <v>2018</v>
      </c>
      <c r="AL171" s="889">
        <f>SUMPRODUCT((Producción_Ganadera[[#This Row],[Mes Económico]]=Tipo_Cambio[Mes])*(Producción_Ganadera[[#This Row],[Año Económico]]=Tipo_Cambio[Año])*(Tipo_Cambio[$/U$S]))</f>
        <v>22.22</v>
      </c>
      <c r="AM171" s="889">
        <f>SUMPRODUCT((Producción_Ganadera[[#This Row],[Mes Económico]]=Tipo_Cambio[Mes])*(Producción_Ganadera[[#This Row],[Año Económico]]=Tipo_Cambio[Año])*(Tipo_Cambio[Actualización]))</f>
        <v>1.02</v>
      </c>
      <c r="AN171" s="885">
        <f>IF(ISNUMBER(Producción_Ganadera[[#This Row],[Fecha Financiero]])=TRUE,MONTH(Producción_Ganadera[[#This Row],[Fecha Financiero]]),0)</f>
        <v>8</v>
      </c>
      <c r="AO171" s="885">
        <f>IF(ISNUMBER(Producción_Ganadera[[#This Row],[Fecha Financiero]])=TRUE,YEAR(Producción_Ganadera[[#This Row],[Fecha Financiero]]),0)</f>
        <v>2018</v>
      </c>
      <c r="AP171" s="889">
        <f>SUMPRODUCT((Producción_Ganadera[[#This Row],[Mes Financiero]]=Tipo_Cambio[Mes])*(Producción_Ganadera[[#This Row],[Año Financiero]]=Tipo_Cambio[Año])*(Tipo_Cambio[$/U$S]))</f>
        <v>22.22</v>
      </c>
      <c r="AQ171" s="889">
        <f>SUMPRODUCT((Producción_Ganadera[[#This Row],[Mes Financiero]]=Tipo_Cambio[Mes])*(Producción_Ganadera[[#This Row],[Año Financiero]]=Tipo_Cambio[Año])*(Tipo_Cambio[Actualización]))</f>
        <v>1.02</v>
      </c>
      <c r="AR171" s="919">
        <f>SUMPRODUCT((Producción_Ganadera[[#This Row],[Centro de Costo]]=Tabla19[Centro de Costo])*(Tabla19[Superficie])*(Producción_Ganadera[[#This Row],[Campaña]]=Tabla19[Campaña]))</f>
        <v>0</v>
      </c>
      <c r="AS171" s="918">
        <f>IFERROR(Producción_Ganadera[[#This Row],[Económico $Corrientes]]/Producción_Ganadera[[#This Row],[Superficie]],0)</f>
        <v>0</v>
      </c>
      <c r="AT171" s="918">
        <f>IFERROR(Producción_Ganadera[[#This Row],[Económico $Constantes]]/Producción_Ganadera[[#This Row],[Superficie]],0)</f>
        <v>0</v>
      </c>
      <c r="AU171" s="918">
        <f>IFERROR(Producción_Ganadera[[#This Row],[Económico U$S Dólares]]/Producción_Ganadera[[#This Row],[Superficie]],0)</f>
        <v>0</v>
      </c>
      <c r="AV171" s="916" t="str">
        <f>IF(Económico!$F$4=0,0,Producción_Ganadera[[#This Row],[Centro de Costo]])</f>
        <v>Campo 1</v>
      </c>
    </row>
    <row r="172" spans="2:48" x14ac:dyDescent="0.25">
      <c r="D172" s="478">
        <f t="shared" ref="D172:D203" si="12">DATE(IF(MONTH(D169)=1,YEAR(D169+1),YEAR(D169)),MONTH(D169)+1,1)</f>
        <v>43313</v>
      </c>
      <c r="E172" s="522">
        <f>+Producción_Ganadera[[#This Row],[Fecha Económico]]+9</f>
        <v>43322</v>
      </c>
      <c r="F172" s="869" t="str">
        <f t="shared" si="11"/>
        <v>2018-2019</v>
      </c>
      <c r="G172" s="491" t="str">
        <f>GAN_Cargas_Sociales</f>
        <v>Cargas Sociales</v>
      </c>
      <c r="H172" s="491" t="s">
        <v>2</v>
      </c>
      <c r="I172" s="491"/>
      <c r="J172" s="549"/>
      <c r="K172" s="491"/>
      <c r="L172" s="520"/>
      <c r="M17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7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72" s="611"/>
      <c r="P172" s="484"/>
      <c r="Q172" s="875">
        <f>IF(ISNUMBER(Producción_Ganadera[[#This Row],[Cabezas]])=TRUE,Producción_Ganadera[[#This Row],[Cabezas]]*Producción_Ganadera[[#This Row],[Cantidad]],Producción_Ganadera[[#This Row],[Cantidad]])</f>
        <v>0</v>
      </c>
      <c r="R172" s="482"/>
      <c r="S172" s="552" t="s">
        <v>48</v>
      </c>
      <c r="T172" s="553"/>
      <c r="U17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72" s="881">
        <f>IFERROR(Producción_Ganadera[[#This Row],[Económico $Corrientes]]/Producción_Ganadera[[#This Row],[Indexación Económico]],0)</f>
        <v>0</v>
      </c>
      <c r="W17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7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72" s="881">
        <f>IFERROR(Producción_Ganadera[[#This Row],[Financiero $Corrientes]]/Producción_Ganadera[[#This Row],[Indexación Financiero]],0)</f>
        <v>0</v>
      </c>
      <c r="Z17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7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72" s="885">
        <f>IFERROR(Producción_Ganadera[[#This Row],[Intereses $Corrientes]]/Producción_Ganadera[[#This Row],[Indexación Financiero]],0)</f>
        <v>0</v>
      </c>
      <c r="AC17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72" s="915" t="str">
        <f>IFERROR(INDEX(Produccion_Ganadera_Cuentas[],MATCH(Producción_Ganadera[[#This Row],[Cuenta Contable]],Produccion_Ganadera_Cuentas[Cuenta Contable],0),2),0)</f>
        <v>Egreso</v>
      </c>
      <c r="AE172" s="916">
        <f>IF(Producción_Ganadera[[#This Row],[Mov. Stock]]="(+)",Producción_Ganadera[[#This Row],[Cabezas]],IF(Producción_Ganadera[[#This Row],[Mov. Stock]]="(-)",-Producción_Ganadera[[#This Row],[Cabezas]],0))</f>
        <v>0</v>
      </c>
      <c r="AF172" s="917">
        <f>IFERROR(INDEX(Produccion_Ganadera_Cuentas[],MATCH(Producción_Ganadera[[#This Row],[Cuenta Contable]],Produccion_Ganadera_Cuentas[Cuenta Contable],0),5),0)</f>
        <v>0</v>
      </c>
      <c r="AG172" s="918" t="str">
        <f>IF(Producción_Ganadera[[#This Row],[Cuenta Contable]]=Configuración!$AC$9,"Si","No")</f>
        <v>No</v>
      </c>
      <c r="AH172" s="887" t="str">
        <f>IFERROR(INDEX(Tabla9[],MATCH(Producción_Ganadera[[#This Row],[Movimiento]],Tabla9[Movimientos],0),2),0)</f>
        <v>Si</v>
      </c>
      <c r="AI172" s="888" t="str">
        <f>IFERROR(INDEX(Tabla9[],MATCH(Producción_Ganadera[[#This Row],[Movimiento]],Tabla9[Movimientos],0),3),0)</f>
        <v>(-)</v>
      </c>
      <c r="AJ172" s="885">
        <f>IF(Producción_Ganadera[[#This Row],[Fecha Económico]]=0,0,MONTH(Producción_Ganadera[[#This Row],[Fecha Económico]]))</f>
        <v>8</v>
      </c>
      <c r="AK172" s="885">
        <f>IF(Producción_Ganadera[[#This Row],[Fecha Económico]]=0,0,YEAR(Producción_Ganadera[[#This Row],[Fecha Económico]]))</f>
        <v>2018</v>
      </c>
      <c r="AL172" s="889">
        <f>SUMPRODUCT((Producción_Ganadera[[#This Row],[Mes Económico]]=Tipo_Cambio[Mes])*(Producción_Ganadera[[#This Row],[Año Económico]]=Tipo_Cambio[Año])*(Tipo_Cambio[$/U$S]))</f>
        <v>22.22</v>
      </c>
      <c r="AM172" s="889">
        <f>SUMPRODUCT((Producción_Ganadera[[#This Row],[Mes Económico]]=Tipo_Cambio[Mes])*(Producción_Ganadera[[#This Row],[Año Económico]]=Tipo_Cambio[Año])*(Tipo_Cambio[Actualización]))</f>
        <v>1.02</v>
      </c>
      <c r="AN172" s="885">
        <f>IF(ISNUMBER(Producción_Ganadera[[#This Row],[Fecha Financiero]])=TRUE,MONTH(Producción_Ganadera[[#This Row],[Fecha Financiero]]),0)</f>
        <v>8</v>
      </c>
      <c r="AO172" s="885">
        <f>IF(ISNUMBER(Producción_Ganadera[[#This Row],[Fecha Financiero]])=TRUE,YEAR(Producción_Ganadera[[#This Row],[Fecha Financiero]]),0)</f>
        <v>2018</v>
      </c>
      <c r="AP172" s="889">
        <f>SUMPRODUCT((Producción_Ganadera[[#This Row],[Mes Financiero]]=Tipo_Cambio[Mes])*(Producción_Ganadera[[#This Row],[Año Financiero]]=Tipo_Cambio[Año])*(Tipo_Cambio[$/U$S]))</f>
        <v>22.22</v>
      </c>
      <c r="AQ172" s="889">
        <f>SUMPRODUCT((Producción_Ganadera[[#This Row],[Mes Financiero]]=Tipo_Cambio[Mes])*(Producción_Ganadera[[#This Row],[Año Financiero]]=Tipo_Cambio[Año])*(Tipo_Cambio[Actualización]))</f>
        <v>1.02</v>
      </c>
      <c r="AR172" s="919">
        <f>SUMPRODUCT((Producción_Ganadera[[#This Row],[Centro de Costo]]=Tabla19[Centro de Costo])*(Tabla19[Superficie])*(Producción_Ganadera[[#This Row],[Campaña]]=Tabla19[Campaña]))</f>
        <v>0</v>
      </c>
      <c r="AS172" s="918">
        <f>IFERROR(Producción_Ganadera[[#This Row],[Económico $Corrientes]]/Producción_Ganadera[[#This Row],[Superficie]],0)</f>
        <v>0</v>
      </c>
      <c r="AT172" s="918">
        <f>IFERROR(Producción_Ganadera[[#This Row],[Económico $Constantes]]/Producción_Ganadera[[#This Row],[Superficie]],0)</f>
        <v>0</v>
      </c>
      <c r="AU172" s="918">
        <f>IFERROR(Producción_Ganadera[[#This Row],[Económico U$S Dólares]]/Producción_Ganadera[[#This Row],[Superficie]],0)</f>
        <v>0</v>
      </c>
      <c r="AV172" s="916" t="str">
        <f>IF(Económico!$F$4=0,0,Producción_Ganadera[[#This Row],[Centro de Costo]])</f>
        <v>Campo 1</v>
      </c>
    </row>
    <row r="173" spans="2:48" x14ac:dyDescent="0.25">
      <c r="D173" s="478">
        <f t="shared" si="12"/>
        <v>43313</v>
      </c>
      <c r="E173" s="522">
        <f>+Producción_Ganadera[[#This Row],[Fecha Económico]]+9</f>
        <v>43322</v>
      </c>
      <c r="F173" s="869" t="str">
        <f t="shared" si="11"/>
        <v>2018-2019</v>
      </c>
      <c r="G173" s="491" t="str">
        <f>GAN_Manutención_Personal</f>
        <v>Manutención Personal</v>
      </c>
      <c r="H173" s="491" t="s">
        <v>2</v>
      </c>
      <c r="I173" s="491"/>
      <c r="J173" s="549"/>
      <c r="K173" s="491"/>
      <c r="L173" s="520"/>
      <c r="M17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7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73" s="611"/>
      <c r="P173" s="484"/>
      <c r="Q173" s="875">
        <f>IF(ISNUMBER(Producción_Ganadera[[#This Row],[Cabezas]])=TRUE,Producción_Ganadera[[#This Row],[Cabezas]]*Producción_Ganadera[[#This Row],[Cantidad]],Producción_Ganadera[[#This Row],[Cantidad]])</f>
        <v>0</v>
      </c>
      <c r="R173" s="482"/>
      <c r="S173" s="552" t="s">
        <v>48</v>
      </c>
      <c r="T173" s="553"/>
      <c r="U17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73" s="881">
        <f>IFERROR(Producción_Ganadera[[#This Row],[Económico $Corrientes]]/Producción_Ganadera[[#This Row],[Indexación Económico]],0)</f>
        <v>0</v>
      </c>
      <c r="W17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7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73" s="881">
        <f>IFERROR(Producción_Ganadera[[#This Row],[Financiero $Corrientes]]/Producción_Ganadera[[#This Row],[Indexación Financiero]],0)</f>
        <v>0</v>
      </c>
      <c r="Z17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7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73" s="885">
        <f>IFERROR(Producción_Ganadera[[#This Row],[Intereses $Corrientes]]/Producción_Ganadera[[#This Row],[Indexación Financiero]],0)</f>
        <v>0</v>
      </c>
      <c r="AC17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73" s="915" t="str">
        <f>IFERROR(INDEX(Produccion_Ganadera_Cuentas[],MATCH(Producción_Ganadera[[#This Row],[Cuenta Contable]],Produccion_Ganadera_Cuentas[Cuenta Contable],0),2),0)</f>
        <v>Egreso</v>
      </c>
      <c r="AE173" s="916">
        <f>IF(Producción_Ganadera[[#This Row],[Mov. Stock]]="(+)",Producción_Ganadera[[#This Row],[Cabezas]],IF(Producción_Ganadera[[#This Row],[Mov. Stock]]="(-)",-Producción_Ganadera[[#This Row],[Cabezas]],0))</f>
        <v>0</v>
      </c>
      <c r="AF173" s="917">
        <f>IFERROR(INDEX(Produccion_Ganadera_Cuentas[],MATCH(Producción_Ganadera[[#This Row],[Cuenta Contable]],Produccion_Ganadera_Cuentas[Cuenta Contable],0),5),0)</f>
        <v>0</v>
      </c>
      <c r="AG173" s="918" t="str">
        <f>IF(Producción_Ganadera[[#This Row],[Cuenta Contable]]=Configuración!$AC$9,"Si","No")</f>
        <v>No</v>
      </c>
      <c r="AH173" s="887" t="str">
        <f>IFERROR(INDEX(Tabla9[],MATCH(Producción_Ganadera[[#This Row],[Movimiento]],Tabla9[Movimientos],0),2),0)</f>
        <v>Si</v>
      </c>
      <c r="AI173" s="888" t="str">
        <f>IFERROR(INDEX(Tabla9[],MATCH(Producción_Ganadera[[#This Row],[Movimiento]],Tabla9[Movimientos],0),3),0)</f>
        <v>(-)</v>
      </c>
      <c r="AJ173" s="885">
        <f>IF(Producción_Ganadera[[#This Row],[Fecha Económico]]=0,0,MONTH(Producción_Ganadera[[#This Row],[Fecha Económico]]))</f>
        <v>8</v>
      </c>
      <c r="AK173" s="885">
        <f>IF(Producción_Ganadera[[#This Row],[Fecha Económico]]=0,0,YEAR(Producción_Ganadera[[#This Row],[Fecha Económico]]))</f>
        <v>2018</v>
      </c>
      <c r="AL173" s="889">
        <f>SUMPRODUCT((Producción_Ganadera[[#This Row],[Mes Económico]]=Tipo_Cambio[Mes])*(Producción_Ganadera[[#This Row],[Año Económico]]=Tipo_Cambio[Año])*(Tipo_Cambio[$/U$S]))</f>
        <v>22.22</v>
      </c>
      <c r="AM173" s="889">
        <f>SUMPRODUCT((Producción_Ganadera[[#This Row],[Mes Económico]]=Tipo_Cambio[Mes])*(Producción_Ganadera[[#This Row],[Año Económico]]=Tipo_Cambio[Año])*(Tipo_Cambio[Actualización]))</f>
        <v>1.02</v>
      </c>
      <c r="AN173" s="885">
        <f>IF(ISNUMBER(Producción_Ganadera[[#This Row],[Fecha Financiero]])=TRUE,MONTH(Producción_Ganadera[[#This Row],[Fecha Financiero]]),0)</f>
        <v>8</v>
      </c>
      <c r="AO173" s="885">
        <f>IF(ISNUMBER(Producción_Ganadera[[#This Row],[Fecha Financiero]])=TRUE,YEAR(Producción_Ganadera[[#This Row],[Fecha Financiero]]),0)</f>
        <v>2018</v>
      </c>
      <c r="AP173" s="889">
        <f>SUMPRODUCT((Producción_Ganadera[[#This Row],[Mes Financiero]]=Tipo_Cambio[Mes])*(Producción_Ganadera[[#This Row],[Año Financiero]]=Tipo_Cambio[Año])*(Tipo_Cambio[$/U$S]))</f>
        <v>22.22</v>
      </c>
      <c r="AQ173" s="889">
        <f>SUMPRODUCT((Producción_Ganadera[[#This Row],[Mes Financiero]]=Tipo_Cambio[Mes])*(Producción_Ganadera[[#This Row],[Año Financiero]]=Tipo_Cambio[Año])*(Tipo_Cambio[Actualización]))</f>
        <v>1.02</v>
      </c>
      <c r="AR173" s="919">
        <f>SUMPRODUCT((Producción_Ganadera[[#This Row],[Centro de Costo]]=Tabla19[Centro de Costo])*(Tabla19[Superficie])*(Producción_Ganadera[[#This Row],[Campaña]]=Tabla19[Campaña]))</f>
        <v>0</v>
      </c>
      <c r="AS173" s="918">
        <f>IFERROR(Producción_Ganadera[[#This Row],[Económico $Corrientes]]/Producción_Ganadera[[#This Row],[Superficie]],0)</f>
        <v>0</v>
      </c>
      <c r="AT173" s="918">
        <f>IFERROR(Producción_Ganadera[[#This Row],[Económico $Constantes]]/Producción_Ganadera[[#This Row],[Superficie]],0)</f>
        <v>0</v>
      </c>
      <c r="AU173" s="918">
        <f>IFERROR(Producción_Ganadera[[#This Row],[Económico U$S Dólares]]/Producción_Ganadera[[#This Row],[Superficie]],0)</f>
        <v>0</v>
      </c>
      <c r="AV173" s="916" t="str">
        <f>IF(Económico!$F$4=0,0,Producción_Ganadera[[#This Row],[Centro de Costo]])</f>
        <v>Campo 1</v>
      </c>
    </row>
    <row r="174" spans="2:48" x14ac:dyDescent="0.25">
      <c r="D174" s="478">
        <f t="shared" si="12"/>
        <v>43344</v>
      </c>
      <c r="E174" s="522">
        <f>+Producción_Ganadera[[#This Row],[Fecha Económico]]+9</f>
        <v>43353</v>
      </c>
      <c r="F174" s="869" t="str">
        <f t="shared" si="11"/>
        <v>2018-2019</v>
      </c>
      <c r="G174" s="491" t="str">
        <f>GAN_Personal</f>
        <v>Personal</v>
      </c>
      <c r="H174" s="491" t="s">
        <v>2</v>
      </c>
      <c r="I174" s="491"/>
      <c r="J174" s="549"/>
      <c r="K174" s="491"/>
      <c r="L174" s="520"/>
      <c r="M17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7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74" s="611"/>
      <c r="P174" s="484"/>
      <c r="Q174" s="875">
        <f>IF(ISNUMBER(Producción_Ganadera[[#This Row],[Cabezas]])=TRUE,Producción_Ganadera[[#This Row],[Cabezas]]*Producción_Ganadera[[#This Row],[Cantidad]],Producción_Ganadera[[#This Row],[Cantidad]])</f>
        <v>0</v>
      </c>
      <c r="R174" s="482"/>
      <c r="S174" s="552" t="s">
        <v>48</v>
      </c>
      <c r="T174" s="553"/>
      <c r="U17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74" s="881">
        <f>IFERROR(Producción_Ganadera[[#This Row],[Económico $Corrientes]]/Producción_Ganadera[[#This Row],[Indexación Económico]],0)</f>
        <v>0</v>
      </c>
      <c r="W17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7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74" s="881">
        <f>IFERROR(Producción_Ganadera[[#This Row],[Financiero $Corrientes]]/Producción_Ganadera[[#This Row],[Indexación Financiero]],0)</f>
        <v>0</v>
      </c>
      <c r="Z17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7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74" s="885">
        <f>IFERROR(Producción_Ganadera[[#This Row],[Intereses $Corrientes]]/Producción_Ganadera[[#This Row],[Indexación Financiero]],0)</f>
        <v>0</v>
      </c>
      <c r="AC17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74" s="915" t="str">
        <f>IFERROR(INDEX(Produccion_Ganadera_Cuentas[],MATCH(Producción_Ganadera[[#This Row],[Cuenta Contable]],Produccion_Ganadera_Cuentas[Cuenta Contable],0),2),0)</f>
        <v>Egreso</v>
      </c>
      <c r="AE174" s="916">
        <f>IF(Producción_Ganadera[[#This Row],[Mov. Stock]]="(+)",Producción_Ganadera[[#This Row],[Cabezas]],IF(Producción_Ganadera[[#This Row],[Mov. Stock]]="(-)",-Producción_Ganadera[[#This Row],[Cabezas]],0))</f>
        <v>0</v>
      </c>
      <c r="AF174" s="917">
        <f>IFERROR(INDEX(Produccion_Ganadera_Cuentas[],MATCH(Producción_Ganadera[[#This Row],[Cuenta Contable]],Produccion_Ganadera_Cuentas[Cuenta Contable],0),5),0)</f>
        <v>0</v>
      </c>
      <c r="AG174" s="918" t="str">
        <f>IF(Producción_Ganadera[[#This Row],[Cuenta Contable]]=Configuración!$AC$9,"Si","No")</f>
        <v>No</v>
      </c>
      <c r="AH174" s="887" t="str">
        <f>IFERROR(INDEX(Tabla9[],MATCH(Producción_Ganadera[[#This Row],[Movimiento]],Tabla9[Movimientos],0),2),0)</f>
        <v>Si</v>
      </c>
      <c r="AI174" s="888" t="str">
        <f>IFERROR(INDEX(Tabla9[],MATCH(Producción_Ganadera[[#This Row],[Movimiento]],Tabla9[Movimientos],0),3),0)</f>
        <v>(-)</v>
      </c>
      <c r="AJ174" s="885">
        <f>IF(Producción_Ganadera[[#This Row],[Fecha Económico]]=0,0,MONTH(Producción_Ganadera[[#This Row],[Fecha Económico]]))</f>
        <v>9</v>
      </c>
      <c r="AK174" s="885">
        <f>IF(Producción_Ganadera[[#This Row],[Fecha Económico]]=0,0,YEAR(Producción_Ganadera[[#This Row],[Fecha Económico]]))</f>
        <v>2018</v>
      </c>
      <c r="AL174" s="889">
        <f>SUMPRODUCT((Producción_Ganadera[[#This Row],[Mes Económico]]=Tipo_Cambio[Mes])*(Producción_Ganadera[[#This Row],[Año Económico]]=Tipo_Cambio[Año])*(Tipo_Cambio[$/U$S]))</f>
        <v>22.4422</v>
      </c>
      <c r="AM174" s="889">
        <f>SUMPRODUCT((Producción_Ganadera[[#This Row],[Mes Económico]]=Tipo_Cambio[Mes])*(Producción_Ganadera[[#This Row],[Año Económico]]=Tipo_Cambio[Año])*(Tipo_Cambio[Actualización]))</f>
        <v>1.0404</v>
      </c>
      <c r="AN174" s="885">
        <f>IF(ISNUMBER(Producción_Ganadera[[#This Row],[Fecha Financiero]])=TRUE,MONTH(Producción_Ganadera[[#This Row],[Fecha Financiero]]),0)</f>
        <v>9</v>
      </c>
      <c r="AO174" s="885">
        <f>IF(ISNUMBER(Producción_Ganadera[[#This Row],[Fecha Financiero]])=TRUE,YEAR(Producción_Ganadera[[#This Row],[Fecha Financiero]]),0)</f>
        <v>2018</v>
      </c>
      <c r="AP174" s="889">
        <f>SUMPRODUCT((Producción_Ganadera[[#This Row],[Mes Financiero]]=Tipo_Cambio[Mes])*(Producción_Ganadera[[#This Row],[Año Financiero]]=Tipo_Cambio[Año])*(Tipo_Cambio[$/U$S]))</f>
        <v>22.4422</v>
      </c>
      <c r="AQ174" s="889">
        <f>SUMPRODUCT((Producción_Ganadera[[#This Row],[Mes Financiero]]=Tipo_Cambio[Mes])*(Producción_Ganadera[[#This Row],[Año Financiero]]=Tipo_Cambio[Año])*(Tipo_Cambio[Actualización]))</f>
        <v>1.0404</v>
      </c>
      <c r="AR174" s="919">
        <f>SUMPRODUCT((Producción_Ganadera[[#This Row],[Centro de Costo]]=Tabla19[Centro de Costo])*(Tabla19[Superficie])*(Producción_Ganadera[[#This Row],[Campaña]]=Tabla19[Campaña]))</f>
        <v>0</v>
      </c>
      <c r="AS174" s="918">
        <f>IFERROR(Producción_Ganadera[[#This Row],[Económico $Corrientes]]/Producción_Ganadera[[#This Row],[Superficie]],0)</f>
        <v>0</v>
      </c>
      <c r="AT174" s="918">
        <f>IFERROR(Producción_Ganadera[[#This Row],[Económico $Constantes]]/Producción_Ganadera[[#This Row],[Superficie]],0)</f>
        <v>0</v>
      </c>
      <c r="AU174" s="918">
        <f>IFERROR(Producción_Ganadera[[#This Row],[Económico U$S Dólares]]/Producción_Ganadera[[#This Row],[Superficie]],0)</f>
        <v>0</v>
      </c>
      <c r="AV174" s="916" t="str">
        <f>IF(Económico!$F$4=0,0,Producción_Ganadera[[#This Row],[Centro de Costo]])</f>
        <v>Campo 1</v>
      </c>
    </row>
    <row r="175" spans="2:48" x14ac:dyDescent="0.25">
      <c r="D175" s="478">
        <f t="shared" si="12"/>
        <v>43344</v>
      </c>
      <c r="E175" s="522">
        <f>+Producción_Ganadera[[#This Row],[Fecha Económico]]+9</f>
        <v>43353</v>
      </c>
      <c r="F175" s="869" t="str">
        <f t="shared" si="11"/>
        <v>2018-2019</v>
      </c>
      <c r="G175" s="491" t="str">
        <f>GAN_Cargas_Sociales</f>
        <v>Cargas Sociales</v>
      </c>
      <c r="H175" s="491" t="s">
        <v>2</v>
      </c>
      <c r="I175" s="491"/>
      <c r="J175" s="549"/>
      <c r="K175" s="491"/>
      <c r="L175" s="520"/>
      <c r="M17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7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75" s="611"/>
      <c r="P175" s="484"/>
      <c r="Q175" s="875">
        <f>IF(ISNUMBER(Producción_Ganadera[[#This Row],[Cabezas]])=TRUE,Producción_Ganadera[[#This Row],[Cabezas]]*Producción_Ganadera[[#This Row],[Cantidad]],Producción_Ganadera[[#This Row],[Cantidad]])</f>
        <v>0</v>
      </c>
      <c r="R175" s="482"/>
      <c r="S175" s="552" t="s">
        <v>48</v>
      </c>
      <c r="T175" s="553"/>
      <c r="U17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75" s="881">
        <f>IFERROR(Producción_Ganadera[[#This Row],[Económico $Corrientes]]/Producción_Ganadera[[#This Row],[Indexación Económico]],0)</f>
        <v>0</v>
      </c>
      <c r="W17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7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75" s="881">
        <f>IFERROR(Producción_Ganadera[[#This Row],[Financiero $Corrientes]]/Producción_Ganadera[[#This Row],[Indexación Financiero]],0)</f>
        <v>0</v>
      </c>
      <c r="Z17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7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75" s="885">
        <f>IFERROR(Producción_Ganadera[[#This Row],[Intereses $Corrientes]]/Producción_Ganadera[[#This Row],[Indexación Financiero]],0)</f>
        <v>0</v>
      </c>
      <c r="AC17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75" s="915" t="str">
        <f>IFERROR(INDEX(Produccion_Ganadera_Cuentas[],MATCH(Producción_Ganadera[[#This Row],[Cuenta Contable]],Produccion_Ganadera_Cuentas[Cuenta Contable],0),2),0)</f>
        <v>Egreso</v>
      </c>
      <c r="AE175" s="916">
        <f>IF(Producción_Ganadera[[#This Row],[Mov. Stock]]="(+)",Producción_Ganadera[[#This Row],[Cabezas]],IF(Producción_Ganadera[[#This Row],[Mov. Stock]]="(-)",-Producción_Ganadera[[#This Row],[Cabezas]],0))</f>
        <v>0</v>
      </c>
      <c r="AF175" s="917">
        <f>IFERROR(INDEX(Produccion_Ganadera_Cuentas[],MATCH(Producción_Ganadera[[#This Row],[Cuenta Contable]],Produccion_Ganadera_Cuentas[Cuenta Contable],0),5),0)</f>
        <v>0</v>
      </c>
      <c r="AG175" s="918" t="str">
        <f>IF(Producción_Ganadera[[#This Row],[Cuenta Contable]]=Configuración!$AC$9,"Si","No")</f>
        <v>No</v>
      </c>
      <c r="AH175" s="887" t="str">
        <f>IFERROR(INDEX(Tabla9[],MATCH(Producción_Ganadera[[#This Row],[Movimiento]],Tabla9[Movimientos],0),2),0)</f>
        <v>Si</v>
      </c>
      <c r="AI175" s="888" t="str">
        <f>IFERROR(INDEX(Tabla9[],MATCH(Producción_Ganadera[[#This Row],[Movimiento]],Tabla9[Movimientos],0),3),0)</f>
        <v>(-)</v>
      </c>
      <c r="AJ175" s="885">
        <f>IF(Producción_Ganadera[[#This Row],[Fecha Económico]]=0,0,MONTH(Producción_Ganadera[[#This Row],[Fecha Económico]]))</f>
        <v>9</v>
      </c>
      <c r="AK175" s="885">
        <f>IF(Producción_Ganadera[[#This Row],[Fecha Económico]]=0,0,YEAR(Producción_Ganadera[[#This Row],[Fecha Económico]]))</f>
        <v>2018</v>
      </c>
      <c r="AL175" s="889">
        <f>SUMPRODUCT((Producción_Ganadera[[#This Row],[Mes Económico]]=Tipo_Cambio[Mes])*(Producción_Ganadera[[#This Row],[Año Económico]]=Tipo_Cambio[Año])*(Tipo_Cambio[$/U$S]))</f>
        <v>22.4422</v>
      </c>
      <c r="AM175" s="889">
        <f>SUMPRODUCT((Producción_Ganadera[[#This Row],[Mes Económico]]=Tipo_Cambio[Mes])*(Producción_Ganadera[[#This Row],[Año Económico]]=Tipo_Cambio[Año])*(Tipo_Cambio[Actualización]))</f>
        <v>1.0404</v>
      </c>
      <c r="AN175" s="885">
        <f>IF(ISNUMBER(Producción_Ganadera[[#This Row],[Fecha Financiero]])=TRUE,MONTH(Producción_Ganadera[[#This Row],[Fecha Financiero]]),0)</f>
        <v>9</v>
      </c>
      <c r="AO175" s="885">
        <f>IF(ISNUMBER(Producción_Ganadera[[#This Row],[Fecha Financiero]])=TRUE,YEAR(Producción_Ganadera[[#This Row],[Fecha Financiero]]),0)</f>
        <v>2018</v>
      </c>
      <c r="AP175" s="889">
        <f>SUMPRODUCT((Producción_Ganadera[[#This Row],[Mes Financiero]]=Tipo_Cambio[Mes])*(Producción_Ganadera[[#This Row],[Año Financiero]]=Tipo_Cambio[Año])*(Tipo_Cambio[$/U$S]))</f>
        <v>22.4422</v>
      </c>
      <c r="AQ175" s="889">
        <f>SUMPRODUCT((Producción_Ganadera[[#This Row],[Mes Financiero]]=Tipo_Cambio[Mes])*(Producción_Ganadera[[#This Row],[Año Financiero]]=Tipo_Cambio[Año])*(Tipo_Cambio[Actualización]))</f>
        <v>1.0404</v>
      </c>
      <c r="AR175" s="919">
        <f>SUMPRODUCT((Producción_Ganadera[[#This Row],[Centro de Costo]]=Tabla19[Centro de Costo])*(Tabla19[Superficie])*(Producción_Ganadera[[#This Row],[Campaña]]=Tabla19[Campaña]))</f>
        <v>0</v>
      </c>
      <c r="AS175" s="918">
        <f>IFERROR(Producción_Ganadera[[#This Row],[Económico $Corrientes]]/Producción_Ganadera[[#This Row],[Superficie]],0)</f>
        <v>0</v>
      </c>
      <c r="AT175" s="918">
        <f>IFERROR(Producción_Ganadera[[#This Row],[Económico $Constantes]]/Producción_Ganadera[[#This Row],[Superficie]],0)</f>
        <v>0</v>
      </c>
      <c r="AU175" s="918">
        <f>IFERROR(Producción_Ganadera[[#This Row],[Económico U$S Dólares]]/Producción_Ganadera[[#This Row],[Superficie]],0)</f>
        <v>0</v>
      </c>
      <c r="AV175" s="916" t="str">
        <f>IF(Económico!$F$4=0,0,Producción_Ganadera[[#This Row],[Centro de Costo]])</f>
        <v>Campo 1</v>
      </c>
    </row>
    <row r="176" spans="2:48" x14ac:dyDescent="0.25">
      <c r="D176" s="478">
        <f t="shared" si="12"/>
        <v>43344</v>
      </c>
      <c r="E176" s="522">
        <f>+Producción_Ganadera[[#This Row],[Fecha Económico]]+9</f>
        <v>43353</v>
      </c>
      <c r="F176" s="869" t="str">
        <f t="shared" si="11"/>
        <v>2018-2019</v>
      </c>
      <c r="G176" s="491" t="str">
        <f>GAN_Manutención_Personal</f>
        <v>Manutención Personal</v>
      </c>
      <c r="H176" s="491" t="s">
        <v>2</v>
      </c>
      <c r="I176" s="491"/>
      <c r="J176" s="549"/>
      <c r="K176" s="491"/>
      <c r="L176" s="520"/>
      <c r="M17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7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76" s="611"/>
      <c r="P176" s="484"/>
      <c r="Q176" s="875">
        <f>IF(ISNUMBER(Producción_Ganadera[[#This Row],[Cabezas]])=TRUE,Producción_Ganadera[[#This Row],[Cabezas]]*Producción_Ganadera[[#This Row],[Cantidad]],Producción_Ganadera[[#This Row],[Cantidad]])</f>
        <v>0</v>
      </c>
      <c r="R176" s="482"/>
      <c r="S176" s="552" t="s">
        <v>48</v>
      </c>
      <c r="T176" s="553"/>
      <c r="U17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76" s="881">
        <f>IFERROR(Producción_Ganadera[[#This Row],[Económico $Corrientes]]/Producción_Ganadera[[#This Row],[Indexación Económico]],0)</f>
        <v>0</v>
      </c>
      <c r="W17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7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76" s="881">
        <f>IFERROR(Producción_Ganadera[[#This Row],[Financiero $Corrientes]]/Producción_Ganadera[[#This Row],[Indexación Financiero]],0)</f>
        <v>0</v>
      </c>
      <c r="Z17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7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76" s="885">
        <f>IFERROR(Producción_Ganadera[[#This Row],[Intereses $Corrientes]]/Producción_Ganadera[[#This Row],[Indexación Financiero]],0)</f>
        <v>0</v>
      </c>
      <c r="AC17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76" s="915" t="str">
        <f>IFERROR(INDEX(Produccion_Ganadera_Cuentas[],MATCH(Producción_Ganadera[[#This Row],[Cuenta Contable]],Produccion_Ganadera_Cuentas[Cuenta Contable],0),2),0)</f>
        <v>Egreso</v>
      </c>
      <c r="AE176" s="916">
        <f>IF(Producción_Ganadera[[#This Row],[Mov. Stock]]="(+)",Producción_Ganadera[[#This Row],[Cabezas]],IF(Producción_Ganadera[[#This Row],[Mov. Stock]]="(-)",-Producción_Ganadera[[#This Row],[Cabezas]],0))</f>
        <v>0</v>
      </c>
      <c r="AF176" s="917">
        <f>IFERROR(INDEX(Produccion_Ganadera_Cuentas[],MATCH(Producción_Ganadera[[#This Row],[Cuenta Contable]],Produccion_Ganadera_Cuentas[Cuenta Contable],0),5),0)</f>
        <v>0</v>
      </c>
      <c r="AG176" s="918" t="str">
        <f>IF(Producción_Ganadera[[#This Row],[Cuenta Contable]]=Configuración!$AC$9,"Si","No")</f>
        <v>No</v>
      </c>
      <c r="AH176" s="887" t="str">
        <f>IFERROR(INDEX(Tabla9[],MATCH(Producción_Ganadera[[#This Row],[Movimiento]],Tabla9[Movimientos],0),2),0)</f>
        <v>Si</v>
      </c>
      <c r="AI176" s="888" t="str">
        <f>IFERROR(INDEX(Tabla9[],MATCH(Producción_Ganadera[[#This Row],[Movimiento]],Tabla9[Movimientos],0),3),0)</f>
        <v>(-)</v>
      </c>
      <c r="AJ176" s="885">
        <f>IF(Producción_Ganadera[[#This Row],[Fecha Económico]]=0,0,MONTH(Producción_Ganadera[[#This Row],[Fecha Económico]]))</f>
        <v>9</v>
      </c>
      <c r="AK176" s="885">
        <f>IF(Producción_Ganadera[[#This Row],[Fecha Económico]]=0,0,YEAR(Producción_Ganadera[[#This Row],[Fecha Económico]]))</f>
        <v>2018</v>
      </c>
      <c r="AL176" s="889">
        <f>SUMPRODUCT((Producción_Ganadera[[#This Row],[Mes Económico]]=Tipo_Cambio[Mes])*(Producción_Ganadera[[#This Row],[Año Económico]]=Tipo_Cambio[Año])*(Tipo_Cambio[$/U$S]))</f>
        <v>22.4422</v>
      </c>
      <c r="AM176" s="889">
        <f>SUMPRODUCT((Producción_Ganadera[[#This Row],[Mes Económico]]=Tipo_Cambio[Mes])*(Producción_Ganadera[[#This Row],[Año Económico]]=Tipo_Cambio[Año])*(Tipo_Cambio[Actualización]))</f>
        <v>1.0404</v>
      </c>
      <c r="AN176" s="885">
        <f>IF(ISNUMBER(Producción_Ganadera[[#This Row],[Fecha Financiero]])=TRUE,MONTH(Producción_Ganadera[[#This Row],[Fecha Financiero]]),0)</f>
        <v>9</v>
      </c>
      <c r="AO176" s="885">
        <f>IF(ISNUMBER(Producción_Ganadera[[#This Row],[Fecha Financiero]])=TRUE,YEAR(Producción_Ganadera[[#This Row],[Fecha Financiero]]),0)</f>
        <v>2018</v>
      </c>
      <c r="AP176" s="889">
        <f>SUMPRODUCT((Producción_Ganadera[[#This Row],[Mes Financiero]]=Tipo_Cambio[Mes])*(Producción_Ganadera[[#This Row],[Año Financiero]]=Tipo_Cambio[Año])*(Tipo_Cambio[$/U$S]))</f>
        <v>22.4422</v>
      </c>
      <c r="AQ176" s="889">
        <f>SUMPRODUCT((Producción_Ganadera[[#This Row],[Mes Financiero]]=Tipo_Cambio[Mes])*(Producción_Ganadera[[#This Row],[Año Financiero]]=Tipo_Cambio[Año])*(Tipo_Cambio[Actualización]))</f>
        <v>1.0404</v>
      </c>
      <c r="AR176" s="919">
        <f>SUMPRODUCT((Producción_Ganadera[[#This Row],[Centro de Costo]]=Tabla19[Centro de Costo])*(Tabla19[Superficie])*(Producción_Ganadera[[#This Row],[Campaña]]=Tabla19[Campaña]))</f>
        <v>0</v>
      </c>
      <c r="AS176" s="918">
        <f>IFERROR(Producción_Ganadera[[#This Row],[Económico $Corrientes]]/Producción_Ganadera[[#This Row],[Superficie]],0)</f>
        <v>0</v>
      </c>
      <c r="AT176" s="918">
        <f>IFERROR(Producción_Ganadera[[#This Row],[Económico $Constantes]]/Producción_Ganadera[[#This Row],[Superficie]],0)</f>
        <v>0</v>
      </c>
      <c r="AU176" s="918">
        <f>IFERROR(Producción_Ganadera[[#This Row],[Económico U$S Dólares]]/Producción_Ganadera[[#This Row],[Superficie]],0)</f>
        <v>0</v>
      </c>
      <c r="AV176" s="916" t="str">
        <f>IF(Económico!$F$4=0,0,Producción_Ganadera[[#This Row],[Centro de Costo]])</f>
        <v>Campo 1</v>
      </c>
    </row>
    <row r="177" spans="4:48" x14ac:dyDescent="0.25">
      <c r="D177" s="478">
        <f t="shared" si="12"/>
        <v>43374</v>
      </c>
      <c r="E177" s="522">
        <f>+Producción_Ganadera[[#This Row],[Fecha Económico]]+9</f>
        <v>43383</v>
      </c>
      <c r="F177" s="869" t="str">
        <f t="shared" si="11"/>
        <v>2018-2019</v>
      </c>
      <c r="G177" s="491" t="str">
        <f>GAN_Personal</f>
        <v>Personal</v>
      </c>
      <c r="H177" s="491" t="s">
        <v>2</v>
      </c>
      <c r="I177" s="491"/>
      <c r="J177" s="549"/>
      <c r="K177" s="491"/>
      <c r="L177" s="520"/>
      <c r="M17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7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77" s="611"/>
      <c r="P177" s="484"/>
      <c r="Q177" s="875">
        <f>IF(ISNUMBER(Producción_Ganadera[[#This Row],[Cabezas]])=TRUE,Producción_Ganadera[[#This Row],[Cabezas]]*Producción_Ganadera[[#This Row],[Cantidad]],Producción_Ganadera[[#This Row],[Cantidad]])</f>
        <v>0</v>
      </c>
      <c r="R177" s="482"/>
      <c r="S177" s="552" t="s">
        <v>48</v>
      </c>
      <c r="T177" s="553"/>
      <c r="U17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77" s="881">
        <f>IFERROR(Producción_Ganadera[[#This Row],[Económico $Corrientes]]/Producción_Ganadera[[#This Row],[Indexación Económico]],0)</f>
        <v>0</v>
      </c>
      <c r="W17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7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77" s="881">
        <f>IFERROR(Producción_Ganadera[[#This Row],[Financiero $Corrientes]]/Producción_Ganadera[[#This Row],[Indexación Financiero]],0)</f>
        <v>0</v>
      </c>
      <c r="Z17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7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77" s="885">
        <f>IFERROR(Producción_Ganadera[[#This Row],[Intereses $Corrientes]]/Producción_Ganadera[[#This Row],[Indexación Financiero]],0)</f>
        <v>0</v>
      </c>
      <c r="AC17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77" s="915" t="str">
        <f>IFERROR(INDEX(Produccion_Ganadera_Cuentas[],MATCH(Producción_Ganadera[[#This Row],[Cuenta Contable]],Produccion_Ganadera_Cuentas[Cuenta Contable],0),2),0)</f>
        <v>Egreso</v>
      </c>
      <c r="AE177" s="916">
        <f>IF(Producción_Ganadera[[#This Row],[Mov. Stock]]="(+)",Producción_Ganadera[[#This Row],[Cabezas]],IF(Producción_Ganadera[[#This Row],[Mov. Stock]]="(-)",-Producción_Ganadera[[#This Row],[Cabezas]],0))</f>
        <v>0</v>
      </c>
      <c r="AF177" s="917">
        <f>IFERROR(INDEX(Produccion_Ganadera_Cuentas[],MATCH(Producción_Ganadera[[#This Row],[Cuenta Contable]],Produccion_Ganadera_Cuentas[Cuenta Contable],0),5),0)</f>
        <v>0</v>
      </c>
      <c r="AG177" s="918" t="str">
        <f>IF(Producción_Ganadera[[#This Row],[Cuenta Contable]]=Configuración!$AC$9,"Si","No")</f>
        <v>No</v>
      </c>
      <c r="AH177" s="887" t="str">
        <f>IFERROR(INDEX(Tabla9[],MATCH(Producción_Ganadera[[#This Row],[Movimiento]],Tabla9[Movimientos],0),2),0)</f>
        <v>Si</v>
      </c>
      <c r="AI177" s="888" t="str">
        <f>IFERROR(INDEX(Tabla9[],MATCH(Producción_Ganadera[[#This Row],[Movimiento]],Tabla9[Movimientos],0),3),0)</f>
        <v>(-)</v>
      </c>
      <c r="AJ177" s="885">
        <f>IF(Producción_Ganadera[[#This Row],[Fecha Económico]]=0,0,MONTH(Producción_Ganadera[[#This Row],[Fecha Económico]]))</f>
        <v>10</v>
      </c>
      <c r="AK177" s="885">
        <f>IF(Producción_Ganadera[[#This Row],[Fecha Económico]]=0,0,YEAR(Producción_Ganadera[[#This Row],[Fecha Económico]]))</f>
        <v>2018</v>
      </c>
      <c r="AL177" s="889">
        <f>SUMPRODUCT((Producción_Ganadera[[#This Row],[Mes Económico]]=Tipo_Cambio[Mes])*(Producción_Ganadera[[#This Row],[Año Económico]]=Tipo_Cambio[Año])*(Tipo_Cambio[$/U$S]))</f>
        <v>22.666622</v>
      </c>
      <c r="AM177" s="889">
        <f>SUMPRODUCT((Producción_Ganadera[[#This Row],[Mes Económico]]=Tipo_Cambio[Mes])*(Producción_Ganadera[[#This Row],[Año Económico]]=Tipo_Cambio[Año])*(Tipo_Cambio[Actualización]))</f>
        <v>1.0612079999999999</v>
      </c>
      <c r="AN177" s="885">
        <f>IF(ISNUMBER(Producción_Ganadera[[#This Row],[Fecha Financiero]])=TRUE,MONTH(Producción_Ganadera[[#This Row],[Fecha Financiero]]),0)</f>
        <v>10</v>
      </c>
      <c r="AO177" s="885">
        <f>IF(ISNUMBER(Producción_Ganadera[[#This Row],[Fecha Financiero]])=TRUE,YEAR(Producción_Ganadera[[#This Row],[Fecha Financiero]]),0)</f>
        <v>2018</v>
      </c>
      <c r="AP177" s="889">
        <f>SUMPRODUCT((Producción_Ganadera[[#This Row],[Mes Financiero]]=Tipo_Cambio[Mes])*(Producción_Ganadera[[#This Row],[Año Financiero]]=Tipo_Cambio[Año])*(Tipo_Cambio[$/U$S]))</f>
        <v>22.666622</v>
      </c>
      <c r="AQ177" s="889">
        <f>SUMPRODUCT((Producción_Ganadera[[#This Row],[Mes Financiero]]=Tipo_Cambio[Mes])*(Producción_Ganadera[[#This Row],[Año Financiero]]=Tipo_Cambio[Año])*(Tipo_Cambio[Actualización]))</f>
        <v>1.0612079999999999</v>
      </c>
      <c r="AR177" s="919">
        <f>SUMPRODUCT((Producción_Ganadera[[#This Row],[Centro de Costo]]=Tabla19[Centro de Costo])*(Tabla19[Superficie])*(Producción_Ganadera[[#This Row],[Campaña]]=Tabla19[Campaña]))</f>
        <v>0</v>
      </c>
      <c r="AS177" s="918">
        <f>IFERROR(Producción_Ganadera[[#This Row],[Económico $Corrientes]]/Producción_Ganadera[[#This Row],[Superficie]],0)</f>
        <v>0</v>
      </c>
      <c r="AT177" s="918">
        <f>IFERROR(Producción_Ganadera[[#This Row],[Económico $Constantes]]/Producción_Ganadera[[#This Row],[Superficie]],0)</f>
        <v>0</v>
      </c>
      <c r="AU177" s="918">
        <f>IFERROR(Producción_Ganadera[[#This Row],[Económico U$S Dólares]]/Producción_Ganadera[[#This Row],[Superficie]],0)</f>
        <v>0</v>
      </c>
      <c r="AV177" s="916" t="str">
        <f>IF(Económico!$F$4=0,0,Producción_Ganadera[[#This Row],[Centro de Costo]])</f>
        <v>Campo 1</v>
      </c>
    </row>
    <row r="178" spans="4:48" x14ac:dyDescent="0.25">
      <c r="D178" s="478">
        <f t="shared" si="12"/>
        <v>43374</v>
      </c>
      <c r="E178" s="522">
        <f>+Producción_Ganadera[[#This Row],[Fecha Económico]]+9</f>
        <v>43383</v>
      </c>
      <c r="F178" s="869" t="str">
        <f t="shared" si="11"/>
        <v>2018-2019</v>
      </c>
      <c r="G178" s="491" t="str">
        <f>GAN_Cargas_Sociales</f>
        <v>Cargas Sociales</v>
      </c>
      <c r="H178" s="491" t="s">
        <v>2</v>
      </c>
      <c r="I178" s="491"/>
      <c r="J178" s="549"/>
      <c r="K178" s="491"/>
      <c r="L178" s="520"/>
      <c r="M17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7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78" s="611"/>
      <c r="P178" s="484"/>
      <c r="Q178" s="875">
        <f>IF(ISNUMBER(Producción_Ganadera[[#This Row],[Cabezas]])=TRUE,Producción_Ganadera[[#This Row],[Cabezas]]*Producción_Ganadera[[#This Row],[Cantidad]],Producción_Ganadera[[#This Row],[Cantidad]])</f>
        <v>0</v>
      </c>
      <c r="R178" s="482"/>
      <c r="S178" s="552" t="s">
        <v>48</v>
      </c>
      <c r="T178" s="553"/>
      <c r="U17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78" s="881">
        <f>IFERROR(Producción_Ganadera[[#This Row],[Económico $Corrientes]]/Producción_Ganadera[[#This Row],[Indexación Económico]],0)</f>
        <v>0</v>
      </c>
      <c r="W17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7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78" s="881">
        <f>IFERROR(Producción_Ganadera[[#This Row],[Financiero $Corrientes]]/Producción_Ganadera[[#This Row],[Indexación Financiero]],0)</f>
        <v>0</v>
      </c>
      <c r="Z17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7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78" s="885">
        <f>IFERROR(Producción_Ganadera[[#This Row],[Intereses $Corrientes]]/Producción_Ganadera[[#This Row],[Indexación Financiero]],0)</f>
        <v>0</v>
      </c>
      <c r="AC17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78" s="915" t="str">
        <f>IFERROR(INDEX(Produccion_Ganadera_Cuentas[],MATCH(Producción_Ganadera[[#This Row],[Cuenta Contable]],Produccion_Ganadera_Cuentas[Cuenta Contable],0),2),0)</f>
        <v>Egreso</v>
      </c>
      <c r="AE178" s="916">
        <f>IF(Producción_Ganadera[[#This Row],[Mov. Stock]]="(+)",Producción_Ganadera[[#This Row],[Cabezas]],IF(Producción_Ganadera[[#This Row],[Mov. Stock]]="(-)",-Producción_Ganadera[[#This Row],[Cabezas]],0))</f>
        <v>0</v>
      </c>
      <c r="AF178" s="917">
        <f>IFERROR(INDEX(Produccion_Ganadera_Cuentas[],MATCH(Producción_Ganadera[[#This Row],[Cuenta Contable]],Produccion_Ganadera_Cuentas[Cuenta Contable],0),5),0)</f>
        <v>0</v>
      </c>
      <c r="AG178" s="918" t="str">
        <f>IF(Producción_Ganadera[[#This Row],[Cuenta Contable]]=Configuración!$AC$9,"Si","No")</f>
        <v>No</v>
      </c>
      <c r="AH178" s="887" t="str">
        <f>IFERROR(INDEX(Tabla9[],MATCH(Producción_Ganadera[[#This Row],[Movimiento]],Tabla9[Movimientos],0),2),0)</f>
        <v>Si</v>
      </c>
      <c r="AI178" s="888" t="str">
        <f>IFERROR(INDEX(Tabla9[],MATCH(Producción_Ganadera[[#This Row],[Movimiento]],Tabla9[Movimientos],0),3),0)</f>
        <v>(-)</v>
      </c>
      <c r="AJ178" s="885">
        <f>IF(Producción_Ganadera[[#This Row],[Fecha Económico]]=0,0,MONTH(Producción_Ganadera[[#This Row],[Fecha Económico]]))</f>
        <v>10</v>
      </c>
      <c r="AK178" s="885">
        <f>IF(Producción_Ganadera[[#This Row],[Fecha Económico]]=0,0,YEAR(Producción_Ganadera[[#This Row],[Fecha Económico]]))</f>
        <v>2018</v>
      </c>
      <c r="AL178" s="889">
        <f>SUMPRODUCT((Producción_Ganadera[[#This Row],[Mes Económico]]=Tipo_Cambio[Mes])*(Producción_Ganadera[[#This Row],[Año Económico]]=Tipo_Cambio[Año])*(Tipo_Cambio[$/U$S]))</f>
        <v>22.666622</v>
      </c>
      <c r="AM178" s="889">
        <f>SUMPRODUCT((Producción_Ganadera[[#This Row],[Mes Económico]]=Tipo_Cambio[Mes])*(Producción_Ganadera[[#This Row],[Año Económico]]=Tipo_Cambio[Año])*(Tipo_Cambio[Actualización]))</f>
        <v>1.0612079999999999</v>
      </c>
      <c r="AN178" s="885">
        <f>IF(ISNUMBER(Producción_Ganadera[[#This Row],[Fecha Financiero]])=TRUE,MONTH(Producción_Ganadera[[#This Row],[Fecha Financiero]]),0)</f>
        <v>10</v>
      </c>
      <c r="AO178" s="885">
        <f>IF(ISNUMBER(Producción_Ganadera[[#This Row],[Fecha Financiero]])=TRUE,YEAR(Producción_Ganadera[[#This Row],[Fecha Financiero]]),0)</f>
        <v>2018</v>
      </c>
      <c r="AP178" s="889">
        <f>SUMPRODUCT((Producción_Ganadera[[#This Row],[Mes Financiero]]=Tipo_Cambio[Mes])*(Producción_Ganadera[[#This Row],[Año Financiero]]=Tipo_Cambio[Año])*(Tipo_Cambio[$/U$S]))</f>
        <v>22.666622</v>
      </c>
      <c r="AQ178" s="889">
        <f>SUMPRODUCT((Producción_Ganadera[[#This Row],[Mes Financiero]]=Tipo_Cambio[Mes])*(Producción_Ganadera[[#This Row],[Año Financiero]]=Tipo_Cambio[Año])*(Tipo_Cambio[Actualización]))</f>
        <v>1.0612079999999999</v>
      </c>
      <c r="AR178" s="919">
        <f>SUMPRODUCT((Producción_Ganadera[[#This Row],[Centro de Costo]]=Tabla19[Centro de Costo])*(Tabla19[Superficie])*(Producción_Ganadera[[#This Row],[Campaña]]=Tabla19[Campaña]))</f>
        <v>0</v>
      </c>
      <c r="AS178" s="918">
        <f>IFERROR(Producción_Ganadera[[#This Row],[Económico $Corrientes]]/Producción_Ganadera[[#This Row],[Superficie]],0)</f>
        <v>0</v>
      </c>
      <c r="AT178" s="918">
        <f>IFERROR(Producción_Ganadera[[#This Row],[Económico $Constantes]]/Producción_Ganadera[[#This Row],[Superficie]],0)</f>
        <v>0</v>
      </c>
      <c r="AU178" s="918">
        <f>IFERROR(Producción_Ganadera[[#This Row],[Económico U$S Dólares]]/Producción_Ganadera[[#This Row],[Superficie]],0)</f>
        <v>0</v>
      </c>
      <c r="AV178" s="916" t="str">
        <f>IF(Económico!$F$4=0,0,Producción_Ganadera[[#This Row],[Centro de Costo]])</f>
        <v>Campo 1</v>
      </c>
    </row>
    <row r="179" spans="4:48" x14ac:dyDescent="0.25">
      <c r="D179" s="478">
        <f t="shared" si="12"/>
        <v>43374</v>
      </c>
      <c r="E179" s="522">
        <f>+Producción_Ganadera[[#This Row],[Fecha Económico]]+9</f>
        <v>43383</v>
      </c>
      <c r="F179" s="869" t="str">
        <f t="shared" si="11"/>
        <v>2018-2019</v>
      </c>
      <c r="G179" s="491" t="str">
        <f>GAN_Manutención_Personal</f>
        <v>Manutención Personal</v>
      </c>
      <c r="H179" s="491" t="s">
        <v>2</v>
      </c>
      <c r="I179" s="491"/>
      <c r="J179" s="549"/>
      <c r="K179" s="491"/>
      <c r="L179" s="520"/>
      <c r="M17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7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79" s="611"/>
      <c r="P179" s="484"/>
      <c r="Q179" s="875">
        <f>IF(ISNUMBER(Producción_Ganadera[[#This Row],[Cabezas]])=TRUE,Producción_Ganadera[[#This Row],[Cabezas]]*Producción_Ganadera[[#This Row],[Cantidad]],Producción_Ganadera[[#This Row],[Cantidad]])</f>
        <v>0</v>
      </c>
      <c r="R179" s="482"/>
      <c r="S179" s="552" t="s">
        <v>48</v>
      </c>
      <c r="T179" s="553"/>
      <c r="U17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79" s="881">
        <f>IFERROR(Producción_Ganadera[[#This Row],[Económico $Corrientes]]/Producción_Ganadera[[#This Row],[Indexación Económico]],0)</f>
        <v>0</v>
      </c>
      <c r="W17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7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79" s="881">
        <f>IFERROR(Producción_Ganadera[[#This Row],[Financiero $Corrientes]]/Producción_Ganadera[[#This Row],[Indexación Financiero]],0)</f>
        <v>0</v>
      </c>
      <c r="Z17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7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79" s="885">
        <f>IFERROR(Producción_Ganadera[[#This Row],[Intereses $Corrientes]]/Producción_Ganadera[[#This Row],[Indexación Financiero]],0)</f>
        <v>0</v>
      </c>
      <c r="AC17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79" s="915" t="str">
        <f>IFERROR(INDEX(Produccion_Ganadera_Cuentas[],MATCH(Producción_Ganadera[[#This Row],[Cuenta Contable]],Produccion_Ganadera_Cuentas[Cuenta Contable],0),2),0)</f>
        <v>Egreso</v>
      </c>
      <c r="AE179" s="916">
        <f>IF(Producción_Ganadera[[#This Row],[Mov. Stock]]="(+)",Producción_Ganadera[[#This Row],[Cabezas]],IF(Producción_Ganadera[[#This Row],[Mov. Stock]]="(-)",-Producción_Ganadera[[#This Row],[Cabezas]],0))</f>
        <v>0</v>
      </c>
      <c r="AF179" s="917">
        <f>IFERROR(INDEX(Produccion_Ganadera_Cuentas[],MATCH(Producción_Ganadera[[#This Row],[Cuenta Contable]],Produccion_Ganadera_Cuentas[Cuenta Contable],0),5),0)</f>
        <v>0</v>
      </c>
      <c r="AG179" s="918" t="str">
        <f>IF(Producción_Ganadera[[#This Row],[Cuenta Contable]]=Configuración!$AC$9,"Si","No")</f>
        <v>No</v>
      </c>
      <c r="AH179" s="887" t="str">
        <f>IFERROR(INDEX(Tabla9[],MATCH(Producción_Ganadera[[#This Row],[Movimiento]],Tabla9[Movimientos],0),2),0)</f>
        <v>Si</v>
      </c>
      <c r="AI179" s="888" t="str">
        <f>IFERROR(INDEX(Tabla9[],MATCH(Producción_Ganadera[[#This Row],[Movimiento]],Tabla9[Movimientos],0),3),0)</f>
        <v>(-)</v>
      </c>
      <c r="AJ179" s="885">
        <f>IF(Producción_Ganadera[[#This Row],[Fecha Económico]]=0,0,MONTH(Producción_Ganadera[[#This Row],[Fecha Económico]]))</f>
        <v>10</v>
      </c>
      <c r="AK179" s="885">
        <f>IF(Producción_Ganadera[[#This Row],[Fecha Económico]]=0,0,YEAR(Producción_Ganadera[[#This Row],[Fecha Económico]]))</f>
        <v>2018</v>
      </c>
      <c r="AL179" s="889">
        <f>SUMPRODUCT((Producción_Ganadera[[#This Row],[Mes Económico]]=Tipo_Cambio[Mes])*(Producción_Ganadera[[#This Row],[Año Económico]]=Tipo_Cambio[Año])*(Tipo_Cambio[$/U$S]))</f>
        <v>22.666622</v>
      </c>
      <c r="AM179" s="889">
        <f>SUMPRODUCT((Producción_Ganadera[[#This Row],[Mes Económico]]=Tipo_Cambio[Mes])*(Producción_Ganadera[[#This Row],[Año Económico]]=Tipo_Cambio[Año])*(Tipo_Cambio[Actualización]))</f>
        <v>1.0612079999999999</v>
      </c>
      <c r="AN179" s="885">
        <f>IF(ISNUMBER(Producción_Ganadera[[#This Row],[Fecha Financiero]])=TRUE,MONTH(Producción_Ganadera[[#This Row],[Fecha Financiero]]),0)</f>
        <v>10</v>
      </c>
      <c r="AO179" s="885">
        <f>IF(ISNUMBER(Producción_Ganadera[[#This Row],[Fecha Financiero]])=TRUE,YEAR(Producción_Ganadera[[#This Row],[Fecha Financiero]]),0)</f>
        <v>2018</v>
      </c>
      <c r="AP179" s="889">
        <f>SUMPRODUCT((Producción_Ganadera[[#This Row],[Mes Financiero]]=Tipo_Cambio[Mes])*(Producción_Ganadera[[#This Row],[Año Financiero]]=Tipo_Cambio[Año])*(Tipo_Cambio[$/U$S]))</f>
        <v>22.666622</v>
      </c>
      <c r="AQ179" s="889">
        <f>SUMPRODUCT((Producción_Ganadera[[#This Row],[Mes Financiero]]=Tipo_Cambio[Mes])*(Producción_Ganadera[[#This Row],[Año Financiero]]=Tipo_Cambio[Año])*(Tipo_Cambio[Actualización]))</f>
        <v>1.0612079999999999</v>
      </c>
      <c r="AR179" s="919">
        <f>SUMPRODUCT((Producción_Ganadera[[#This Row],[Centro de Costo]]=Tabla19[Centro de Costo])*(Tabla19[Superficie])*(Producción_Ganadera[[#This Row],[Campaña]]=Tabla19[Campaña]))</f>
        <v>0</v>
      </c>
      <c r="AS179" s="918">
        <f>IFERROR(Producción_Ganadera[[#This Row],[Económico $Corrientes]]/Producción_Ganadera[[#This Row],[Superficie]],0)</f>
        <v>0</v>
      </c>
      <c r="AT179" s="918">
        <f>IFERROR(Producción_Ganadera[[#This Row],[Económico $Constantes]]/Producción_Ganadera[[#This Row],[Superficie]],0)</f>
        <v>0</v>
      </c>
      <c r="AU179" s="918">
        <f>IFERROR(Producción_Ganadera[[#This Row],[Económico U$S Dólares]]/Producción_Ganadera[[#This Row],[Superficie]],0)</f>
        <v>0</v>
      </c>
      <c r="AV179" s="916" t="str">
        <f>IF(Económico!$F$4=0,0,Producción_Ganadera[[#This Row],[Centro de Costo]])</f>
        <v>Campo 1</v>
      </c>
    </row>
    <row r="180" spans="4:48" x14ac:dyDescent="0.25">
      <c r="D180" s="478">
        <f t="shared" si="12"/>
        <v>43405</v>
      </c>
      <c r="E180" s="522">
        <f>+Producción_Ganadera[[#This Row],[Fecha Económico]]+9</f>
        <v>43414</v>
      </c>
      <c r="F180" s="869" t="str">
        <f t="shared" si="11"/>
        <v>2018-2019</v>
      </c>
      <c r="G180" s="491" t="str">
        <f>GAN_Personal</f>
        <v>Personal</v>
      </c>
      <c r="H180" s="491" t="s">
        <v>2</v>
      </c>
      <c r="I180" s="491"/>
      <c r="J180" s="549"/>
      <c r="K180" s="491"/>
      <c r="L180" s="520"/>
      <c r="M18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8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80" s="611"/>
      <c r="P180" s="484"/>
      <c r="Q180" s="875">
        <f>IF(ISNUMBER(Producción_Ganadera[[#This Row],[Cabezas]])=TRUE,Producción_Ganadera[[#This Row],[Cabezas]]*Producción_Ganadera[[#This Row],[Cantidad]],Producción_Ganadera[[#This Row],[Cantidad]])</f>
        <v>0</v>
      </c>
      <c r="R180" s="482"/>
      <c r="S180" s="552" t="s">
        <v>48</v>
      </c>
      <c r="T180" s="553"/>
      <c r="U18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80" s="881">
        <f>IFERROR(Producción_Ganadera[[#This Row],[Económico $Corrientes]]/Producción_Ganadera[[#This Row],[Indexación Económico]],0)</f>
        <v>0</v>
      </c>
      <c r="W18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8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80" s="881">
        <f>IFERROR(Producción_Ganadera[[#This Row],[Financiero $Corrientes]]/Producción_Ganadera[[#This Row],[Indexación Financiero]],0)</f>
        <v>0</v>
      </c>
      <c r="Z18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8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80" s="885">
        <f>IFERROR(Producción_Ganadera[[#This Row],[Intereses $Corrientes]]/Producción_Ganadera[[#This Row],[Indexación Financiero]],0)</f>
        <v>0</v>
      </c>
      <c r="AC18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80" s="915" t="str">
        <f>IFERROR(INDEX(Produccion_Ganadera_Cuentas[],MATCH(Producción_Ganadera[[#This Row],[Cuenta Contable]],Produccion_Ganadera_Cuentas[Cuenta Contable],0),2),0)</f>
        <v>Egreso</v>
      </c>
      <c r="AE180" s="916">
        <f>IF(Producción_Ganadera[[#This Row],[Mov. Stock]]="(+)",Producción_Ganadera[[#This Row],[Cabezas]],IF(Producción_Ganadera[[#This Row],[Mov. Stock]]="(-)",-Producción_Ganadera[[#This Row],[Cabezas]],0))</f>
        <v>0</v>
      </c>
      <c r="AF180" s="917">
        <f>IFERROR(INDEX(Produccion_Ganadera_Cuentas[],MATCH(Producción_Ganadera[[#This Row],[Cuenta Contable]],Produccion_Ganadera_Cuentas[Cuenta Contable],0),5),0)</f>
        <v>0</v>
      </c>
      <c r="AG180" s="918" t="str">
        <f>IF(Producción_Ganadera[[#This Row],[Cuenta Contable]]=Configuración!$AC$9,"Si","No")</f>
        <v>No</v>
      </c>
      <c r="AH180" s="887" t="str">
        <f>IFERROR(INDEX(Tabla9[],MATCH(Producción_Ganadera[[#This Row],[Movimiento]],Tabla9[Movimientos],0),2),0)</f>
        <v>Si</v>
      </c>
      <c r="AI180" s="888" t="str">
        <f>IFERROR(INDEX(Tabla9[],MATCH(Producción_Ganadera[[#This Row],[Movimiento]],Tabla9[Movimientos],0),3),0)</f>
        <v>(-)</v>
      </c>
      <c r="AJ180" s="885">
        <f>IF(Producción_Ganadera[[#This Row],[Fecha Económico]]=0,0,MONTH(Producción_Ganadera[[#This Row],[Fecha Económico]]))</f>
        <v>11</v>
      </c>
      <c r="AK180" s="885">
        <f>IF(Producción_Ganadera[[#This Row],[Fecha Económico]]=0,0,YEAR(Producción_Ganadera[[#This Row],[Fecha Económico]]))</f>
        <v>2018</v>
      </c>
      <c r="AL180" s="889">
        <f>SUMPRODUCT((Producción_Ganadera[[#This Row],[Mes Económico]]=Tipo_Cambio[Mes])*(Producción_Ganadera[[#This Row],[Año Económico]]=Tipo_Cambio[Año])*(Tipo_Cambio[$/U$S]))</f>
        <v>22.893288219999999</v>
      </c>
      <c r="AM180" s="889">
        <f>SUMPRODUCT((Producción_Ganadera[[#This Row],[Mes Económico]]=Tipo_Cambio[Mes])*(Producción_Ganadera[[#This Row],[Año Económico]]=Tipo_Cambio[Año])*(Tipo_Cambio[Actualización]))</f>
        <v>1.08243216</v>
      </c>
      <c r="AN180" s="885">
        <f>IF(ISNUMBER(Producción_Ganadera[[#This Row],[Fecha Financiero]])=TRUE,MONTH(Producción_Ganadera[[#This Row],[Fecha Financiero]]),0)</f>
        <v>11</v>
      </c>
      <c r="AO180" s="885">
        <f>IF(ISNUMBER(Producción_Ganadera[[#This Row],[Fecha Financiero]])=TRUE,YEAR(Producción_Ganadera[[#This Row],[Fecha Financiero]]),0)</f>
        <v>2018</v>
      </c>
      <c r="AP180" s="889">
        <f>SUMPRODUCT((Producción_Ganadera[[#This Row],[Mes Financiero]]=Tipo_Cambio[Mes])*(Producción_Ganadera[[#This Row],[Año Financiero]]=Tipo_Cambio[Año])*(Tipo_Cambio[$/U$S]))</f>
        <v>22.893288219999999</v>
      </c>
      <c r="AQ180" s="889">
        <f>SUMPRODUCT((Producción_Ganadera[[#This Row],[Mes Financiero]]=Tipo_Cambio[Mes])*(Producción_Ganadera[[#This Row],[Año Financiero]]=Tipo_Cambio[Año])*(Tipo_Cambio[Actualización]))</f>
        <v>1.08243216</v>
      </c>
      <c r="AR180" s="919">
        <f>SUMPRODUCT((Producción_Ganadera[[#This Row],[Centro de Costo]]=Tabla19[Centro de Costo])*(Tabla19[Superficie])*(Producción_Ganadera[[#This Row],[Campaña]]=Tabla19[Campaña]))</f>
        <v>0</v>
      </c>
      <c r="AS180" s="918">
        <f>IFERROR(Producción_Ganadera[[#This Row],[Económico $Corrientes]]/Producción_Ganadera[[#This Row],[Superficie]],0)</f>
        <v>0</v>
      </c>
      <c r="AT180" s="918">
        <f>IFERROR(Producción_Ganadera[[#This Row],[Económico $Constantes]]/Producción_Ganadera[[#This Row],[Superficie]],0)</f>
        <v>0</v>
      </c>
      <c r="AU180" s="918">
        <f>IFERROR(Producción_Ganadera[[#This Row],[Económico U$S Dólares]]/Producción_Ganadera[[#This Row],[Superficie]],0)</f>
        <v>0</v>
      </c>
      <c r="AV180" s="916" t="str">
        <f>IF(Económico!$F$4=0,0,Producción_Ganadera[[#This Row],[Centro de Costo]])</f>
        <v>Campo 1</v>
      </c>
    </row>
    <row r="181" spans="4:48" x14ac:dyDescent="0.25">
      <c r="D181" s="478">
        <f t="shared" si="12"/>
        <v>43405</v>
      </c>
      <c r="E181" s="522">
        <f>+Producción_Ganadera[[#This Row],[Fecha Económico]]+9</f>
        <v>43414</v>
      </c>
      <c r="F181" s="869" t="str">
        <f t="shared" si="11"/>
        <v>2018-2019</v>
      </c>
      <c r="G181" s="491" t="str">
        <f>GAN_Cargas_Sociales</f>
        <v>Cargas Sociales</v>
      </c>
      <c r="H181" s="491" t="s">
        <v>2</v>
      </c>
      <c r="I181" s="491"/>
      <c r="J181" s="549"/>
      <c r="K181" s="491"/>
      <c r="L181" s="520"/>
      <c r="M18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8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81" s="611"/>
      <c r="P181" s="484"/>
      <c r="Q181" s="875">
        <f>IF(ISNUMBER(Producción_Ganadera[[#This Row],[Cabezas]])=TRUE,Producción_Ganadera[[#This Row],[Cabezas]]*Producción_Ganadera[[#This Row],[Cantidad]],Producción_Ganadera[[#This Row],[Cantidad]])</f>
        <v>0</v>
      </c>
      <c r="R181" s="482"/>
      <c r="S181" s="552" t="s">
        <v>48</v>
      </c>
      <c r="T181" s="553"/>
      <c r="U18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81" s="881">
        <f>IFERROR(Producción_Ganadera[[#This Row],[Económico $Corrientes]]/Producción_Ganadera[[#This Row],[Indexación Económico]],0)</f>
        <v>0</v>
      </c>
      <c r="W18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8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81" s="881">
        <f>IFERROR(Producción_Ganadera[[#This Row],[Financiero $Corrientes]]/Producción_Ganadera[[#This Row],[Indexación Financiero]],0)</f>
        <v>0</v>
      </c>
      <c r="Z18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8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81" s="885">
        <f>IFERROR(Producción_Ganadera[[#This Row],[Intereses $Corrientes]]/Producción_Ganadera[[#This Row],[Indexación Financiero]],0)</f>
        <v>0</v>
      </c>
      <c r="AC18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81" s="915" t="str">
        <f>IFERROR(INDEX(Produccion_Ganadera_Cuentas[],MATCH(Producción_Ganadera[[#This Row],[Cuenta Contable]],Produccion_Ganadera_Cuentas[Cuenta Contable],0),2),0)</f>
        <v>Egreso</v>
      </c>
      <c r="AE181" s="916">
        <f>IF(Producción_Ganadera[[#This Row],[Mov. Stock]]="(+)",Producción_Ganadera[[#This Row],[Cabezas]],IF(Producción_Ganadera[[#This Row],[Mov. Stock]]="(-)",-Producción_Ganadera[[#This Row],[Cabezas]],0))</f>
        <v>0</v>
      </c>
      <c r="AF181" s="917">
        <f>IFERROR(INDEX(Produccion_Ganadera_Cuentas[],MATCH(Producción_Ganadera[[#This Row],[Cuenta Contable]],Produccion_Ganadera_Cuentas[Cuenta Contable],0),5),0)</f>
        <v>0</v>
      </c>
      <c r="AG181" s="918" t="str">
        <f>IF(Producción_Ganadera[[#This Row],[Cuenta Contable]]=Configuración!$AC$9,"Si","No")</f>
        <v>No</v>
      </c>
      <c r="AH181" s="887" t="str">
        <f>IFERROR(INDEX(Tabla9[],MATCH(Producción_Ganadera[[#This Row],[Movimiento]],Tabla9[Movimientos],0),2),0)</f>
        <v>Si</v>
      </c>
      <c r="AI181" s="888" t="str">
        <f>IFERROR(INDEX(Tabla9[],MATCH(Producción_Ganadera[[#This Row],[Movimiento]],Tabla9[Movimientos],0),3),0)</f>
        <v>(-)</v>
      </c>
      <c r="AJ181" s="885">
        <f>IF(Producción_Ganadera[[#This Row],[Fecha Económico]]=0,0,MONTH(Producción_Ganadera[[#This Row],[Fecha Económico]]))</f>
        <v>11</v>
      </c>
      <c r="AK181" s="885">
        <f>IF(Producción_Ganadera[[#This Row],[Fecha Económico]]=0,0,YEAR(Producción_Ganadera[[#This Row],[Fecha Económico]]))</f>
        <v>2018</v>
      </c>
      <c r="AL181" s="889">
        <f>SUMPRODUCT((Producción_Ganadera[[#This Row],[Mes Económico]]=Tipo_Cambio[Mes])*(Producción_Ganadera[[#This Row],[Año Económico]]=Tipo_Cambio[Año])*(Tipo_Cambio[$/U$S]))</f>
        <v>22.893288219999999</v>
      </c>
      <c r="AM181" s="889">
        <f>SUMPRODUCT((Producción_Ganadera[[#This Row],[Mes Económico]]=Tipo_Cambio[Mes])*(Producción_Ganadera[[#This Row],[Año Económico]]=Tipo_Cambio[Año])*(Tipo_Cambio[Actualización]))</f>
        <v>1.08243216</v>
      </c>
      <c r="AN181" s="885">
        <f>IF(ISNUMBER(Producción_Ganadera[[#This Row],[Fecha Financiero]])=TRUE,MONTH(Producción_Ganadera[[#This Row],[Fecha Financiero]]),0)</f>
        <v>11</v>
      </c>
      <c r="AO181" s="885">
        <f>IF(ISNUMBER(Producción_Ganadera[[#This Row],[Fecha Financiero]])=TRUE,YEAR(Producción_Ganadera[[#This Row],[Fecha Financiero]]),0)</f>
        <v>2018</v>
      </c>
      <c r="AP181" s="889">
        <f>SUMPRODUCT((Producción_Ganadera[[#This Row],[Mes Financiero]]=Tipo_Cambio[Mes])*(Producción_Ganadera[[#This Row],[Año Financiero]]=Tipo_Cambio[Año])*(Tipo_Cambio[$/U$S]))</f>
        <v>22.893288219999999</v>
      </c>
      <c r="AQ181" s="889">
        <f>SUMPRODUCT((Producción_Ganadera[[#This Row],[Mes Financiero]]=Tipo_Cambio[Mes])*(Producción_Ganadera[[#This Row],[Año Financiero]]=Tipo_Cambio[Año])*(Tipo_Cambio[Actualización]))</f>
        <v>1.08243216</v>
      </c>
      <c r="AR181" s="919">
        <f>SUMPRODUCT((Producción_Ganadera[[#This Row],[Centro de Costo]]=Tabla19[Centro de Costo])*(Tabla19[Superficie])*(Producción_Ganadera[[#This Row],[Campaña]]=Tabla19[Campaña]))</f>
        <v>0</v>
      </c>
      <c r="AS181" s="918">
        <f>IFERROR(Producción_Ganadera[[#This Row],[Económico $Corrientes]]/Producción_Ganadera[[#This Row],[Superficie]],0)</f>
        <v>0</v>
      </c>
      <c r="AT181" s="918">
        <f>IFERROR(Producción_Ganadera[[#This Row],[Económico $Constantes]]/Producción_Ganadera[[#This Row],[Superficie]],0)</f>
        <v>0</v>
      </c>
      <c r="AU181" s="918">
        <f>IFERROR(Producción_Ganadera[[#This Row],[Económico U$S Dólares]]/Producción_Ganadera[[#This Row],[Superficie]],0)</f>
        <v>0</v>
      </c>
      <c r="AV181" s="916" t="str">
        <f>IF(Económico!$F$4=0,0,Producción_Ganadera[[#This Row],[Centro de Costo]])</f>
        <v>Campo 1</v>
      </c>
    </row>
    <row r="182" spans="4:48" x14ac:dyDescent="0.25">
      <c r="D182" s="478">
        <f t="shared" si="12"/>
        <v>43405</v>
      </c>
      <c r="E182" s="522">
        <f>+Producción_Ganadera[[#This Row],[Fecha Económico]]+9</f>
        <v>43414</v>
      </c>
      <c r="F182" s="869" t="str">
        <f t="shared" si="11"/>
        <v>2018-2019</v>
      </c>
      <c r="G182" s="491" t="str">
        <f>GAN_Manutención_Personal</f>
        <v>Manutención Personal</v>
      </c>
      <c r="H182" s="491" t="s">
        <v>2</v>
      </c>
      <c r="I182" s="491"/>
      <c r="J182" s="549"/>
      <c r="K182" s="491"/>
      <c r="L182" s="520"/>
      <c r="M18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8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82" s="611"/>
      <c r="P182" s="484"/>
      <c r="Q182" s="875">
        <f>IF(ISNUMBER(Producción_Ganadera[[#This Row],[Cabezas]])=TRUE,Producción_Ganadera[[#This Row],[Cabezas]]*Producción_Ganadera[[#This Row],[Cantidad]],Producción_Ganadera[[#This Row],[Cantidad]])</f>
        <v>0</v>
      </c>
      <c r="R182" s="482"/>
      <c r="S182" s="552" t="s">
        <v>48</v>
      </c>
      <c r="T182" s="553"/>
      <c r="U18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82" s="881">
        <f>IFERROR(Producción_Ganadera[[#This Row],[Económico $Corrientes]]/Producción_Ganadera[[#This Row],[Indexación Económico]],0)</f>
        <v>0</v>
      </c>
      <c r="W18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8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82" s="881">
        <f>IFERROR(Producción_Ganadera[[#This Row],[Financiero $Corrientes]]/Producción_Ganadera[[#This Row],[Indexación Financiero]],0)</f>
        <v>0</v>
      </c>
      <c r="Z18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8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82" s="885">
        <f>IFERROR(Producción_Ganadera[[#This Row],[Intereses $Corrientes]]/Producción_Ganadera[[#This Row],[Indexación Financiero]],0)</f>
        <v>0</v>
      </c>
      <c r="AC18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82" s="915" t="str">
        <f>IFERROR(INDEX(Produccion_Ganadera_Cuentas[],MATCH(Producción_Ganadera[[#This Row],[Cuenta Contable]],Produccion_Ganadera_Cuentas[Cuenta Contable],0),2),0)</f>
        <v>Egreso</v>
      </c>
      <c r="AE182" s="916">
        <f>IF(Producción_Ganadera[[#This Row],[Mov. Stock]]="(+)",Producción_Ganadera[[#This Row],[Cabezas]],IF(Producción_Ganadera[[#This Row],[Mov. Stock]]="(-)",-Producción_Ganadera[[#This Row],[Cabezas]],0))</f>
        <v>0</v>
      </c>
      <c r="AF182" s="917">
        <f>IFERROR(INDEX(Produccion_Ganadera_Cuentas[],MATCH(Producción_Ganadera[[#This Row],[Cuenta Contable]],Produccion_Ganadera_Cuentas[Cuenta Contable],0),5),0)</f>
        <v>0</v>
      </c>
      <c r="AG182" s="918" t="str">
        <f>IF(Producción_Ganadera[[#This Row],[Cuenta Contable]]=Configuración!$AC$9,"Si","No")</f>
        <v>No</v>
      </c>
      <c r="AH182" s="887" t="str">
        <f>IFERROR(INDEX(Tabla9[],MATCH(Producción_Ganadera[[#This Row],[Movimiento]],Tabla9[Movimientos],0),2),0)</f>
        <v>Si</v>
      </c>
      <c r="AI182" s="888" t="str">
        <f>IFERROR(INDEX(Tabla9[],MATCH(Producción_Ganadera[[#This Row],[Movimiento]],Tabla9[Movimientos],0),3),0)</f>
        <v>(-)</v>
      </c>
      <c r="AJ182" s="885">
        <f>IF(Producción_Ganadera[[#This Row],[Fecha Económico]]=0,0,MONTH(Producción_Ganadera[[#This Row],[Fecha Económico]]))</f>
        <v>11</v>
      </c>
      <c r="AK182" s="885">
        <f>IF(Producción_Ganadera[[#This Row],[Fecha Económico]]=0,0,YEAR(Producción_Ganadera[[#This Row],[Fecha Económico]]))</f>
        <v>2018</v>
      </c>
      <c r="AL182" s="889">
        <f>SUMPRODUCT((Producción_Ganadera[[#This Row],[Mes Económico]]=Tipo_Cambio[Mes])*(Producción_Ganadera[[#This Row],[Año Económico]]=Tipo_Cambio[Año])*(Tipo_Cambio[$/U$S]))</f>
        <v>22.893288219999999</v>
      </c>
      <c r="AM182" s="889">
        <f>SUMPRODUCT((Producción_Ganadera[[#This Row],[Mes Económico]]=Tipo_Cambio[Mes])*(Producción_Ganadera[[#This Row],[Año Económico]]=Tipo_Cambio[Año])*(Tipo_Cambio[Actualización]))</f>
        <v>1.08243216</v>
      </c>
      <c r="AN182" s="885">
        <f>IF(ISNUMBER(Producción_Ganadera[[#This Row],[Fecha Financiero]])=TRUE,MONTH(Producción_Ganadera[[#This Row],[Fecha Financiero]]),0)</f>
        <v>11</v>
      </c>
      <c r="AO182" s="885">
        <f>IF(ISNUMBER(Producción_Ganadera[[#This Row],[Fecha Financiero]])=TRUE,YEAR(Producción_Ganadera[[#This Row],[Fecha Financiero]]),0)</f>
        <v>2018</v>
      </c>
      <c r="AP182" s="889">
        <f>SUMPRODUCT((Producción_Ganadera[[#This Row],[Mes Financiero]]=Tipo_Cambio[Mes])*(Producción_Ganadera[[#This Row],[Año Financiero]]=Tipo_Cambio[Año])*(Tipo_Cambio[$/U$S]))</f>
        <v>22.893288219999999</v>
      </c>
      <c r="AQ182" s="889">
        <f>SUMPRODUCT((Producción_Ganadera[[#This Row],[Mes Financiero]]=Tipo_Cambio[Mes])*(Producción_Ganadera[[#This Row],[Año Financiero]]=Tipo_Cambio[Año])*(Tipo_Cambio[Actualización]))</f>
        <v>1.08243216</v>
      </c>
      <c r="AR182" s="919">
        <f>SUMPRODUCT((Producción_Ganadera[[#This Row],[Centro de Costo]]=Tabla19[Centro de Costo])*(Tabla19[Superficie])*(Producción_Ganadera[[#This Row],[Campaña]]=Tabla19[Campaña]))</f>
        <v>0</v>
      </c>
      <c r="AS182" s="918">
        <f>IFERROR(Producción_Ganadera[[#This Row],[Económico $Corrientes]]/Producción_Ganadera[[#This Row],[Superficie]],0)</f>
        <v>0</v>
      </c>
      <c r="AT182" s="918">
        <f>IFERROR(Producción_Ganadera[[#This Row],[Económico $Constantes]]/Producción_Ganadera[[#This Row],[Superficie]],0)</f>
        <v>0</v>
      </c>
      <c r="AU182" s="918">
        <f>IFERROR(Producción_Ganadera[[#This Row],[Económico U$S Dólares]]/Producción_Ganadera[[#This Row],[Superficie]],0)</f>
        <v>0</v>
      </c>
      <c r="AV182" s="916" t="str">
        <f>IF(Económico!$F$4=0,0,Producción_Ganadera[[#This Row],[Centro de Costo]])</f>
        <v>Campo 1</v>
      </c>
    </row>
    <row r="183" spans="4:48" x14ac:dyDescent="0.25">
      <c r="D183" s="478">
        <f t="shared" si="12"/>
        <v>43435</v>
      </c>
      <c r="E183" s="522">
        <f>+Producción_Ganadera[[#This Row],[Fecha Económico]]+9</f>
        <v>43444</v>
      </c>
      <c r="F183" s="869" t="str">
        <f t="shared" si="11"/>
        <v>2018-2019</v>
      </c>
      <c r="G183" s="491" t="str">
        <f>GAN_Personal</f>
        <v>Personal</v>
      </c>
      <c r="H183" s="491" t="s">
        <v>2</v>
      </c>
      <c r="I183" s="491"/>
      <c r="J183" s="549"/>
      <c r="K183" s="491"/>
      <c r="L183" s="520"/>
      <c r="M18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8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83" s="611"/>
      <c r="P183" s="484"/>
      <c r="Q183" s="875">
        <f>IF(ISNUMBER(Producción_Ganadera[[#This Row],[Cabezas]])=TRUE,Producción_Ganadera[[#This Row],[Cabezas]]*Producción_Ganadera[[#This Row],[Cantidad]],Producción_Ganadera[[#This Row],[Cantidad]])</f>
        <v>0</v>
      </c>
      <c r="R183" s="482"/>
      <c r="S183" s="552" t="s">
        <v>48</v>
      </c>
      <c r="T183" s="553"/>
      <c r="U18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83" s="881">
        <f>IFERROR(Producción_Ganadera[[#This Row],[Económico $Corrientes]]/Producción_Ganadera[[#This Row],[Indexación Económico]],0)</f>
        <v>0</v>
      </c>
      <c r="W18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8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83" s="881">
        <f>IFERROR(Producción_Ganadera[[#This Row],[Financiero $Corrientes]]/Producción_Ganadera[[#This Row],[Indexación Financiero]],0)</f>
        <v>0</v>
      </c>
      <c r="Z18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8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83" s="885">
        <f>IFERROR(Producción_Ganadera[[#This Row],[Intereses $Corrientes]]/Producción_Ganadera[[#This Row],[Indexación Financiero]],0)</f>
        <v>0</v>
      </c>
      <c r="AC18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83" s="915" t="str">
        <f>IFERROR(INDEX(Produccion_Ganadera_Cuentas[],MATCH(Producción_Ganadera[[#This Row],[Cuenta Contable]],Produccion_Ganadera_Cuentas[Cuenta Contable],0),2),0)</f>
        <v>Egreso</v>
      </c>
      <c r="AE183" s="916">
        <f>IF(Producción_Ganadera[[#This Row],[Mov. Stock]]="(+)",Producción_Ganadera[[#This Row],[Cabezas]],IF(Producción_Ganadera[[#This Row],[Mov. Stock]]="(-)",-Producción_Ganadera[[#This Row],[Cabezas]],0))</f>
        <v>0</v>
      </c>
      <c r="AF183" s="917">
        <f>IFERROR(INDEX(Produccion_Ganadera_Cuentas[],MATCH(Producción_Ganadera[[#This Row],[Cuenta Contable]],Produccion_Ganadera_Cuentas[Cuenta Contable],0),5),0)</f>
        <v>0</v>
      </c>
      <c r="AG183" s="918" t="str">
        <f>IF(Producción_Ganadera[[#This Row],[Cuenta Contable]]=Configuración!$AC$9,"Si","No")</f>
        <v>No</v>
      </c>
      <c r="AH183" s="887" t="str">
        <f>IFERROR(INDEX(Tabla9[],MATCH(Producción_Ganadera[[#This Row],[Movimiento]],Tabla9[Movimientos],0),2),0)</f>
        <v>Si</v>
      </c>
      <c r="AI183" s="888" t="str">
        <f>IFERROR(INDEX(Tabla9[],MATCH(Producción_Ganadera[[#This Row],[Movimiento]],Tabla9[Movimientos],0),3),0)</f>
        <v>(-)</v>
      </c>
      <c r="AJ183" s="885">
        <f>IF(Producción_Ganadera[[#This Row],[Fecha Económico]]=0,0,MONTH(Producción_Ganadera[[#This Row],[Fecha Económico]]))</f>
        <v>12</v>
      </c>
      <c r="AK183" s="885">
        <f>IF(Producción_Ganadera[[#This Row],[Fecha Económico]]=0,0,YEAR(Producción_Ganadera[[#This Row],[Fecha Económico]]))</f>
        <v>2018</v>
      </c>
      <c r="AL183" s="889">
        <f>SUMPRODUCT((Producción_Ganadera[[#This Row],[Mes Económico]]=Tipo_Cambio[Mes])*(Producción_Ganadera[[#This Row],[Año Económico]]=Tipo_Cambio[Año])*(Tipo_Cambio[$/U$S]))</f>
        <v>23.122221102199997</v>
      </c>
      <c r="AM183" s="889">
        <f>SUMPRODUCT((Producción_Ganadera[[#This Row],[Mes Económico]]=Tipo_Cambio[Mes])*(Producción_Ganadera[[#This Row],[Año Económico]]=Tipo_Cambio[Año])*(Tipo_Cambio[Actualización]))</f>
        <v>1.1040808032</v>
      </c>
      <c r="AN183" s="885">
        <f>IF(ISNUMBER(Producción_Ganadera[[#This Row],[Fecha Financiero]])=TRUE,MONTH(Producción_Ganadera[[#This Row],[Fecha Financiero]]),0)</f>
        <v>12</v>
      </c>
      <c r="AO183" s="885">
        <f>IF(ISNUMBER(Producción_Ganadera[[#This Row],[Fecha Financiero]])=TRUE,YEAR(Producción_Ganadera[[#This Row],[Fecha Financiero]]),0)</f>
        <v>2018</v>
      </c>
      <c r="AP183" s="889">
        <f>SUMPRODUCT((Producción_Ganadera[[#This Row],[Mes Financiero]]=Tipo_Cambio[Mes])*(Producción_Ganadera[[#This Row],[Año Financiero]]=Tipo_Cambio[Año])*(Tipo_Cambio[$/U$S]))</f>
        <v>23.122221102199997</v>
      </c>
      <c r="AQ183" s="889">
        <f>SUMPRODUCT((Producción_Ganadera[[#This Row],[Mes Financiero]]=Tipo_Cambio[Mes])*(Producción_Ganadera[[#This Row],[Año Financiero]]=Tipo_Cambio[Año])*(Tipo_Cambio[Actualización]))</f>
        <v>1.1040808032</v>
      </c>
      <c r="AR183" s="919">
        <f>SUMPRODUCT((Producción_Ganadera[[#This Row],[Centro de Costo]]=Tabla19[Centro de Costo])*(Tabla19[Superficie])*(Producción_Ganadera[[#This Row],[Campaña]]=Tabla19[Campaña]))</f>
        <v>0</v>
      </c>
      <c r="AS183" s="918">
        <f>IFERROR(Producción_Ganadera[[#This Row],[Económico $Corrientes]]/Producción_Ganadera[[#This Row],[Superficie]],0)</f>
        <v>0</v>
      </c>
      <c r="AT183" s="918">
        <f>IFERROR(Producción_Ganadera[[#This Row],[Económico $Constantes]]/Producción_Ganadera[[#This Row],[Superficie]],0)</f>
        <v>0</v>
      </c>
      <c r="AU183" s="918">
        <f>IFERROR(Producción_Ganadera[[#This Row],[Económico U$S Dólares]]/Producción_Ganadera[[#This Row],[Superficie]],0)</f>
        <v>0</v>
      </c>
      <c r="AV183" s="916" t="str">
        <f>IF(Económico!$F$4=0,0,Producción_Ganadera[[#This Row],[Centro de Costo]])</f>
        <v>Campo 1</v>
      </c>
    </row>
    <row r="184" spans="4:48" x14ac:dyDescent="0.25">
      <c r="D184" s="478">
        <f t="shared" si="12"/>
        <v>43435</v>
      </c>
      <c r="E184" s="522">
        <f>+Producción_Ganadera[[#This Row],[Fecha Económico]]+9</f>
        <v>43444</v>
      </c>
      <c r="F184" s="869" t="str">
        <f t="shared" si="11"/>
        <v>2018-2019</v>
      </c>
      <c r="G184" s="491" t="str">
        <f>GAN_Cargas_Sociales</f>
        <v>Cargas Sociales</v>
      </c>
      <c r="H184" s="491" t="s">
        <v>2</v>
      </c>
      <c r="I184" s="491"/>
      <c r="J184" s="549"/>
      <c r="K184" s="491"/>
      <c r="L184" s="520"/>
      <c r="M18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8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84" s="611"/>
      <c r="P184" s="484"/>
      <c r="Q184" s="875">
        <f>IF(ISNUMBER(Producción_Ganadera[[#This Row],[Cabezas]])=TRUE,Producción_Ganadera[[#This Row],[Cabezas]]*Producción_Ganadera[[#This Row],[Cantidad]],Producción_Ganadera[[#This Row],[Cantidad]])</f>
        <v>0</v>
      </c>
      <c r="R184" s="482"/>
      <c r="S184" s="552" t="s">
        <v>48</v>
      </c>
      <c r="T184" s="553"/>
      <c r="U18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84" s="881">
        <f>IFERROR(Producción_Ganadera[[#This Row],[Económico $Corrientes]]/Producción_Ganadera[[#This Row],[Indexación Económico]],0)</f>
        <v>0</v>
      </c>
      <c r="W18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8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84" s="881">
        <f>IFERROR(Producción_Ganadera[[#This Row],[Financiero $Corrientes]]/Producción_Ganadera[[#This Row],[Indexación Financiero]],0)</f>
        <v>0</v>
      </c>
      <c r="Z18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8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84" s="885">
        <f>IFERROR(Producción_Ganadera[[#This Row],[Intereses $Corrientes]]/Producción_Ganadera[[#This Row],[Indexación Financiero]],0)</f>
        <v>0</v>
      </c>
      <c r="AC18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84" s="915" t="str">
        <f>IFERROR(INDEX(Produccion_Ganadera_Cuentas[],MATCH(Producción_Ganadera[[#This Row],[Cuenta Contable]],Produccion_Ganadera_Cuentas[Cuenta Contable],0),2),0)</f>
        <v>Egreso</v>
      </c>
      <c r="AE184" s="916">
        <f>IF(Producción_Ganadera[[#This Row],[Mov. Stock]]="(+)",Producción_Ganadera[[#This Row],[Cabezas]],IF(Producción_Ganadera[[#This Row],[Mov. Stock]]="(-)",-Producción_Ganadera[[#This Row],[Cabezas]],0))</f>
        <v>0</v>
      </c>
      <c r="AF184" s="917">
        <f>IFERROR(INDEX(Produccion_Ganadera_Cuentas[],MATCH(Producción_Ganadera[[#This Row],[Cuenta Contable]],Produccion_Ganadera_Cuentas[Cuenta Contable],0),5),0)</f>
        <v>0</v>
      </c>
      <c r="AG184" s="918" t="str">
        <f>IF(Producción_Ganadera[[#This Row],[Cuenta Contable]]=Configuración!$AC$9,"Si","No")</f>
        <v>No</v>
      </c>
      <c r="AH184" s="887" t="str">
        <f>IFERROR(INDEX(Tabla9[],MATCH(Producción_Ganadera[[#This Row],[Movimiento]],Tabla9[Movimientos],0),2),0)</f>
        <v>Si</v>
      </c>
      <c r="AI184" s="888" t="str">
        <f>IFERROR(INDEX(Tabla9[],MATCH(Producción_Ganadera[[#This Row],[Movimiento]],Tabla9[Movimientos],0),3),0)</f>
        <v>(-)</v>
      </c>
      <c r="AJ184" s="885">
        <f>IF(Producción_Ganadera[[#This Row],[Fecha Económico]]=0,0,MONTH(Producción_Ganadera[[#This Row],[Fecha Económico]]))</f>
        <v>12</v>
      </c>
      <c r="AK184" s="885">
        <f>IF(Producción_Ganadera[[#This Row],[Fecha Económico]]=0,0,YEAR(Producción_Ganadera[[#This Row],[Fecha Económico]]))</f>
        <v>2018</v>
      </c>
      <c r="AL184" s="889">
        <f>SUMPRODUCT((Producción_Ganadera[[#This Row],[Mes Económico]]=Tipo_Cambio[Mes])*(Producción_Ganadera[[#This Row],[Año Económico]]=Tipo_Cambio[Año])*(Tipo_Cambio[$/U$S]))</f>
        <v>23.122221102199997</v>
      </c>
      <c r="AM184" s="889">
        <f>SUMPRODUCT((Producción_Ganadera[[#This Row],[Mes Económico]]=Tipo_Cambio[Mes])*(Producción_Ganadera[[#This Row],[Año Económico]]=Tipo_Cambio[Año])*(Tipo_Cambio[Actualización]))</f>
        <v>1.1040808032</v>
      </c>
      <c r="AN184" s="885">
        <f>IF(ISNUMBER(Producción_Ganadera[[#This Row],[Fecha Financiero]])=TRUE,MONTH(Producción_Ganadera[[#This Row],[Fecha Financiero]]),0)</f>
        <v>12</v>
      </c>
      <c r="AO184" s="885">
        <f>IF(ISNUMBER(Producción_Ganadera[[#This Row],[Fecha Financiero]])=TRUE,YEAR(Producción_Ganadera[[#This Row],[Fecha Financiero]]),0)</f>
        <v>2018</v>
      </c>
      <c r="AP184" s="889">
        <f>SUMPRODUCT((Producción_Ganadera[[#This Row],[Mes Financiero]]=Tipo_Cambio[Mes])*(Producción_Ganadera[[#This Row],[Año Financiero]]=Tipo_Cambio[Año])*(Tipo_Cambio[$/U$S]))</f>
        <v>23.122221102199997</v>
      </c>
      <c r="AQ184" s="889">
        <f>SUMPRODUCT((Producción_Ganadera[[#This Row],[Mes Financiero]]=Tipo_Cambio[Mes])*(Producción_Ganadera[[#This Row],[Año Financiero]]=Tipo_Cambio[Año])*(Tipo_Cambio[Actualización]))</f>
        <v>1.1040808032</v>
      </c>
      <c r="AR184" s="919">
        <f>SUMPRODUCT((Producción_Ganadera[[#This Row],[Centro de Costo]]=Tabla19[Centro de Costo])*(Tabla19[Superficie])*(Producción_Ganadera[[#This Row],[Campaña]]=Tabla19[Campaña]))</f>
        <v>0</v>
      </c>
      <c r="AS184" s="918">
        <f>IFERROR(Producción_Ganadera[[#This Row],[Económico $Corrientes]]/Producción_Ganadera[[#This Row],[Superficie]],0)</f>
        <v>0</v>
      </c>
      <c r="AT184" s="918">
        <f>IFERROR(Producción_Ganadera[[#This Row],[Económico $Constantes]]/Producción_Ganadera[[#This Row],[Superficie]],0)</f>
        <v>0</v>
      </c>
      <c r="AU184" s="918">
        <f>IFERROR(Producción_Ganadera[[#This Row],[Económico U$S Dólares]]/Producción_Ganadera[[#This Row],[Superficie]],0)</f>
        <v>0</v>
      </c>
      <c r="AV184" s="916" t="str">
        <f>IF(Económico!$F$4=0,0,Producción_Ganadera[[#This Row],[Centro de Costo]])</f>
        <v>Campo 1</v>
      </c>
    </row>
    <row r="185" spans="4:48" x14ac:dyDescent="0.25">
      <c r="D185" s="478">
        <f t="shared" si="12"/>
        <v>43435</v>
      </c>
      <c r="E185" s="522">
        <f>+Producción_Ganadera[[#This Row],[Fecha Económico]]+9</f>
        <v>43444</v>
      </c>
      <c r="F185" s="869" t="str">
        <f t="shared" si="11"/>
        <v>2018-2019</v>
      </c>
      <c r="G185" s="491" t="str">
        <f>GAN_Manutención_Personal</f>
        <v>Manutención Personal</v>
      </c>
      <c r="H185" s="491" t="s">
        <v>2</v>
      </c>
      <c r="I185" s="491"/>
      <c r="J185" s="549"/>
      <c r="K185" s="491"/>
      <c r="L185" s="520"/>
      <c r="M18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8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85" s="611"/>
      <c r="P185" s="484"/>
      <c r="Q185" s="875">
        <f>IF(ISNUMBER(Producción_Ganadera[[#This Row],[Cabezas]])=TRUE,Producción_Ganadera[[#This Row],[Cabezas]]*Producción_Ganadera[[#This Row],[Cantidad]],Producción_Ganadera[[#This Row],[Cantidad]])</f>
        <v>0</v>
      </c>
      <c r="R185" s="482"/>
      <c r="S185" s="552" t="s">
        <v>48</v>
      </c>
      <c r="T185" s="553"/>
      <c r="U18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85" s="881">
        <f>IFERROR(Producción_Ganadera[[#This Row],[Económico $Corrientes]]/Producción_Ganadera[[#This Row],[Indexación Económico]],0)</f>
        <v>0</v>
      </c>
      <c r="W18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8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85" s="881">
        <f>IFERROR(Producción_Ganadera[[#This Row],[Financiero $Corrientes]]/Producción_Ganadera[[#This Row],[Indexación Financiero]],0)</f>
        <v>0</v>
      </c>
      <c r="Z18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8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85" s="885">
        <f>IFERROR(Producción_Ganadera[[#This Row],[Intereses $Corrientes]]/Producción_Ganadera[[#This Row],[Indexación Financiero]],0)</f>
        <v>0</v>
      </c>
      <c r="AC18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85" s="915" t="str">
        <f>IFERROR(INDEX(Produccion_Ganadera_Cuentas[],MATCH(Producción_Ganadera[[#This Row],[Cuenta Contable]],Produccion_Ganadera_Cuentas[Cuenta Contable],0),2),0)</f>
        <v>Egreso</v>
      </c>
      <c r="AE185" s="916">
        <f>IF(Producción_Ganadera[[#This Row],[Mov. Stock]]="(+)",Producción_Ganadera[[#This Row],[Cabezas]],IF(Producción_Ganadera[[#This Row],[Mov. Stock]]="(-)",-Producción_Ganadera[[#This Row],[Cabezas]],0))</f>
        <v>0</v>
      </c>
      <c r="AF185" s="917">
        <f>IFERROR(INDEX(Produccion_Ganadera_Cuentas[],MATCH(Producción_Ganadera[[#This Row],[Cuenta Contable]],Produccion_Ganadera_Cuentas[Cuenta Contable],0),5),0)</f>
        <v>0</v>
      </c>
      <c r="AG185" s="918" t="str">
        <f>IF(Producción_Ganadera[[#This Row],[Cuenta Contable]]=Configuración!$AC$9,"Si","No")</f>
        <v>No</v>
      </c>
      <c r="AH185" s="887" t="str">
        <f>IFERROR(INDEX(Tabla9[],MATCH(Producción_Ganadera[[#This Row],[Movimiento]],Tabla9[Movimientos],0),2),0)</f>
        <v>Si</v>
      </c>
      <c r="AI185" s="888" t="str">
        <f>IFERROR(INDEX(Tabla9[],MATCH(Producción_Ganadera[[#This Row],[Movimiento]],Tabla9[Movimientos],0),3),0)</f>
        <v>(-)</v>
      </c>
      <c r="AJ185" s="885">
        <f>IF(Producción_Ganadera[[#This Row],[Fecha Económico]]=0,0,MONTH(Producción_Ganadera[[#This Row],[Fecha Económico]]))</f>
        <v>12</v>
      </c>
      <c r="AK185" s="885">
        <f>IF(Producción_Ganadera[[#This Row],[Fecha Económico]]=0,0,YEAR(Producción_Ganadera[[#This Row],[Fecha Económico]]))</f>
        <v>2018</v>
      </c>
      <c r="AL185" s="889">
        <f>SUMPRODUCT((Producción_Ganadera[[#This Row],[Mes Económico]]=Tipo_Cambio[Mes])*(Producción_Ganadera[[#This Row],[Año Económico]]=Tipo_Cambio[Año])*(Tipo_Cambio[$/U$S]))</f>
        <v>23.122221102199997</v>
      </c>
      <c r="AM185" s="889">
        <f>SUMPRODUCT((Producción_Ganadera[[#This Row],[Mes Económico]]=Tipo_Cambio[Mes])*(Producción_Ganadera[[#This Row],[Año Económico]]=Tipo_Cambio[Año])*(Tipo_Cambio[Actualización]))</f>
        <v>1.1040808032</v>
      </c>
      <c r="AN185" s="885">
        <f>IF(ISNUMBER(Producción_Ganadera[[#This Row],[Fecha Financiero]])=TRUE,MONTH(Producción_Ganadera[[#This Row],[Fecha Financiero]]),0)</f>
        <v>12</v>
      </c>
      <c r="AO185" s="885">
        <f>IF(ISNUMBER(Producción_Ganadera[[#This Row],[Fecha Financiero]])=TRUE,YEAR(Producción_Ganadera[[#This Row],[Fecha Financiero]]),0)</f>
        <v>2018</v>
      </c>
      <c r="AP185" s="889">
        <f>SUMPRODUCT((Producción_Ganadera[[#This Row],[Mes Financiero]]=Tipo_Cambio[Mes])*(Producción_Ganadera[[#This Row],[Año Financiero]]=Tipo_Cambio[Año])*(Tipo_Cambio[$/U$S]))</f>
        <v>23.122221102199997</v>
      </c>
      <c r="AQ185" s="889">
        <f>SUMPRODUCT((Producción_Ganadera[[#This Row],[Mes Financiero]]=Tipo_Cambio[Mes])*(Producción_Ganadera[[#This Row],[Año Financiero]]=Tipo_Cambio[Año])*(Tipo_Cambio[Actualización]))</f>
        <v>1.1040808032</v>
      </c>
      <c r="AR185" s="919">
        <f>SUMPRODUCT((Producción_Ganadera[[#This Row],[Centro de Costo]]=Tabla19[Centro de Costo])*(Tabla19[Superficie])*(Producción_Ganadera[[#This Row],[Campaña]]=Tabla19[Campaña]))</f>
        <v>0</v>
      </c>
      <c r="AS185" s="918">
        <f>IFERROR(Producción_Ganadera[[#This Row],[Económico $Corrientes]]/Producción_Ganadera[[#This Row],[Superficie]],0)</f>
        <v>0</v>
      </c>
      <c r="AT185" s="918">
        <f>IFERROR(Producción_Ganadera[[#This Row],[Económico $Constantes]]/Producción_Ganadera[[#This Row],[Superficie]],0)</f>
        <v>0</v>
      </c>
      <c r="AU185" s="918">
        <f>IFERROR(Producción_Ganadera[[#This Row],[Económico U$S Dólares]]/Producción_Ganadera[[#This Row],[Superficie]],0)</f>
        <v>0</v>
      </c>
      <c r="AV185" s="916" t="str">
        <f>IF(Económico!$F$4=0,0,Producción_Ganadera[[#This Row],[Centro de Costo]])</f>
        <v>Campo 1</v>
      </c>
    </row>
    <row r="186" spans="4:48" x14ac:dyDescent="0.25">
      <c r="D186" s="478">
        <f t="shared" si="12"/>
        <v>43466</v>
      </c>
      <c r="E186" s="522">
        <f>+Producción_Ganadera[[#This Row],[Fecha Económico]]+9</f>
        <v>43475</v>
      </c>
      <c r="F186" s="869" t="str">
        <f t="shared" si="11"/>
        <v>2018-2019</v>
      </c>
      <c r="G186" s="491" t="str">
        <f>GAN_Personal</f>
        <v>Personal</v>
      </c>
      <c r="H186" s="491" t="s">
        <v>2</v>
      </c>
      <c r="I186" s="491"/>
      <c r="J186" s="549"/>
      <c r="K186" s="491"/>
      <c r="L186" s="520"/>
      <c r="M18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8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86" s="611"/>
      <c r="P186" s="484"/>
      <c r="Q186" s="875">
        <f>IF(ISNUMBER(Producción_Ganadera[[#This Row],[Cabezas]])=TRUE,Producción_Ganadera[[#This Row],[Cabezas]]*Producción_Ganadera[[#This Row],[Cantidad]],Producción_Ganadera[[#This Row],[Cantidad]])</f>
        <v>0</v>
      </c>
      <c r="R186" s="482"/>
      <c r="S186" s="552" t="s">
        <v>48</v>
      </c>
      <c r="T186" s="553"/>
      <c r="U18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86" s="881">
        <f>IFERROR(Producción_Ganadera[[#This Row],[Económico $Corrientes]]/Producción_Ganadera[[#This Row],[Indexación Económico]],0)</f>
        <v>0</v>
      </c>
      <c r="W18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8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86" s="881">
        <f>IFERROR(Producción_Ganadera[[#This Row],[Financiero $Corrientes]]/Producción_Ganadera[[#This Row],[Indexación Financiero]],0)</f>
        <v>0</v>
      </c>
      <c r="Z18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8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86" s="885">
        <f>IFERROR(Producción_Ganadera[[#This Row],[Intereses $Corrientes]]/Producción_Ganadera[[#This Row],[Indexación Financiero]],0)</f>
        <v>0</v>
      </c>
      <c r="AC18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86" s="915" t="str">
        <f>IFERROR(INDEX(Produccion_Ganadera_Cuentas[],MATCH(Producción_Ganadera[[#This Row],[Cuenta Contable]],Produccion_Ganadera_Cuentas[Cuenta Contable],0),2),0)</f>
        <v>Egreso</v>
      </c>
      <c r="AE186" s="916">
        <f>IF(Producción_Ganadera[[#This Row],[Mov. Stock]]="(+)",Producción_Ganadera[[#This Row],[Cabezas]],IF(Producción_Ganadera[[#This Row],[Mov. Stock]]="(-)",-Producción_Ganadera[[#This Row],[Cabezas]],0))</f>
        <v>0</v>
      </c>
      <c r="AF186" s="917">
        <f>IFERROR(INDEX(Produccion_Ganadera_Cuentas[],MATCH(Producción_Ganadera[[#This Row],[Cuenta Contable]],Produccion_Ganadera_Cuentas[Cuenta Contable],0),5),0)</f>
        <v>0</v>
      </c>
      <c r="AG186" s="918" t="str">
        <f>IF(Producción_Ganadera[[#This Row],[Cuenta Contable]]=Configuración!$AC$9,"Si","No")</f>
        <v>No</v>
      </c>
      <c r="AH186" s="887" t="str">
        <f>IFERROR(INDEX(Tabla9[],MATCH(Producción_Ganadera[[#This Row],[Movimiento]],Tabla9[Movimientos],0),2),0)</f>
        <v>Si</v>
      </c>
      <c r="AI186" s="888" t="str">
        <f>IFERROR(INDEX(Tabla9[],MATCH(Producción_Ganadera[[#This Row],[Movimiento]],Tabla9[Movimientos],0),3),0)</f>
        <v>(-)</v>
      </c>
      <c r="AJ186" s="885">
        <f>IF(Producción_Ganadera[[#This Row],[Fecha Económico]]=0,0,MONTH(Producción_Ganadera[[#This Row],[Fecha Económico]]))</f>
        <v>1</v>
      </c>
      <c r="AK186" s="885">
        <f>IF(Producción_Ganadera[[#This Row],[Fecha Económico]]=0,0,YEAR(Producción_Ganadera[[#This Row],[Fecha Económico]]))</f>
        <v>2019</v>
      </c>
      <c r="AL186" s="889">
        <f>SUMPRODUCT((Producción_Ganadera[[#This Row],[Mes Económico]]=Tipo_Cambio[Mes])*(Producción_Ganadera[[#This Row],[Año Económico]]=Tipo_Cambio[Año])*(Tipo_Cambio[$/U$S]))</f>
        <v>23.353443313221998</v>
      </c>
      <c r="AM186" s="889">
        <f>SUMPRODUCT((Producción_Ganadera[[#This Row],[Mes Económico]]=Tipo_Cambio[Mes])*(Producción_Ganadera[[#This Row],[Año Económico]]=Tipo_Cambio[Año])*(Tipo_Cambio[Actualización]))</f>
        <v>1.1261624192640001</v>
      </c>
      <c r="AN186" s="885">
        <f>IF(ISNUMBER(Producción_Ganadera[[#This Row],[Fecha Financiero]])=TRUE,MONTH(Producción_Ganadera[[#This Row],[Fecha Financiero]]),0)</f>
        <v>1</v>
      </c>
      <c r="AO186" s="885">
        <f>IF(ISNUMBER(Producción_Ganadera[[#This Row],[Fecha Financiero]])=TRUE,YEAR(Producción_Ganadera[[#This Row],[Fecha Financiero]]),0)</f>
        <v>2019</v>
      </c>
      <c r="AP186" s="889">
        <f>SUMPRODUCT((Producción_Ganadera[[#This Row],[Mes Financiero]]=Tipo_Cambio[Mes])*(Producción_Ganadera[[#This Row],[Año Financiero]]=Tipo_Cambio[Año])*(Tipo_Cambio[$/U$S]))</f>
        <v>23.353443313221998</v>
      </c>
      <c r="AQ186" s="889">
        <f>SUMPRODUCT((Producción_Ganadera[[#This Row],[Mes Financiero]]=Tipo_Cambio[Mes])*(Producción_Ganadera[[#This Row],[Año Financiero]]=Tipo_Cambio[Año])*(Tipo_Cambio[Actualización]))</f>
        <v>1.1261624192640001</v>
      </c>
      <c r="AR186" s="919">
        <f>SUMPRODUCT((Producción_Ganadera[[#This Row],[Centro de Costo]]=Tabla19[Centro de Costo])*(Tabla19[Superficie])*(Producción_Ganadera[[#This Row],[Campaña]]=Tabla19[Campaña]))</f>
        <v>0</v>
      </c>
      <c r="AS186" s="918">
        <f>IFERROR(Producción_Ganadera[[#This Row],[Económico $Corrientes]]/Producción_Ganadera[[#This Row],[Superficie]],0)</f>
        <v>0</v>
      </c>
      <c r="AT186" s="918">
        <f>IFERROR(Producción_Ganadera[[#This Row],[Económico $Constantes]]/Producción_Ganadera[[#This Row],[Superficie]],0)</f>
        <v>0</v>
      </c>
      <c r="AU186" s="918">
        <f>IFERROR(Producción_Ganadera[[#This Row],[Económico U$S Dólares]]/Producción_Ganadera[[#This Row],[Superficie]],0)</f>
        <v>0</v>
      </c>
      <c r="AV186" s="916" t="str">
        <f>IF(Económico!$F$4=0,0,Producción_Ganadera[[#This Row],[Centro de Costo]])</f>
        <v>Campo 1</v>
      </c>
    </row>
    <row r="187" spans="4:48" x14ac:dyDescent="0.25">
      <c r="D187" s="478">
        <f t="shared" si="12"/>
        <v>43466</v>
      </c>
      <c r="E187" s="522">
        <f>+Producción_Ganadera[[#This Row],[Fecha Económico]]+9</f>
        <v>43475</v>
      </c>
      <c r="F187" s="869" t="str">
        <f t="shared" si="11"/>
        <v>2018-2019</v>
      </c>
      <c r="G187" s="491" t="str">
        <f>GAN_Cargas_Sociales</f>
        <v>Cargas Sociales</v>
      </c>
      <c r="H187" s="491" t="s">
        <v>2</v>
      </c>
      <c r="I187" s="491"/>
      <c r="J187" s="549"/>
      <c r="K187" s="491"/>
      <c r="L187" s="520"/>
      <c r="M18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8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87" s="611"/>
      <c r="P187" s="484"/>
      <c r="Q187" s="875">
        <f>IF(ISNUMBER(Producción_Ganadera[[#This Row],[Cabezas]])=TRUE,Producción_Ganadera[[#This Row],[Cabezas]]*Producción_Ganadera[[#This Row],[Cantidad]],Producción_Ganadera[[#This Row],[Cantidad]])</f>
        <v>0</v>
      </c>
      <c r="R187" s="482"/>
      <c r="S187" s="552" t="s">
        <v>48</v>
      </c>
      <c r="T187" s="553"/>
      <c r="U18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87" s="881">
        <f>IFERROR(Producción_Ganadera[[#This Row],[Económico $Corrientes]]/Producción_Ganadera[[#This Row],[Indexación Económico]],0)</f>
        <v>0</v>
      </c>
      <c r="W18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8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87" s="881">
        <f>IFERROR(Producción_Ganadera[[#This Row],[Financiero $Corrientes]]/Producción_Ganadera[[#This Row],[Indexación Financiero]],0)</f>
        <v>0</v>
      </c>
      <c r="Z18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8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87" s="885">
        <f>IFERROR(Producción_Ganadera[[#This Row],[Intereses $Corrientes]]/Producción_Ganadera[[#This Row],[Indexación Financiero]],0)</f>
        <v>0</v>
      </c>
      <c r="AC18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87" s="915" t="str">
        <f>IFERROR(INDEX(Produccion_Ganadera_Cuentas[],MATCH(Producción_Ganadera[[#This Row],[Cuenta Contable]],Produccion_Ganadera_Cuentas[Cuenta Contable],0),2),0)</f>
        <v>Egreso</v>
      </c>
      <c r="AE187" s="916">
        <f>IF(Producción_Ganadera[[#This Row],[Mov. Stock]]="(+)",Producción_Ganadera[[#This Row],[Cabezas]],IF(Producción_Ganadera[[#This Row],[Mov. Stock]]="(-)",-Producción_Ganadera[[#This Row],[Cabezas]],0))</f>
        <v>0</v>
      </c>
      <c r="AF187" s="917">
        <f>IFERROR(INDEX(Produccion_Ganadera_Cuentas[],MATCH(Producción_Ganadera[[#This Row],[Cuenta Contable]],Produccion_Ganadera_Cuentas[Cuenta Contable],0),5),0)</f>
        <v>0</v>
      </c>
      <c r="AG187" s="918" t="str">
        <f>IF(Producción_Ganadera[[#This Row],[Cuenta Contable]]=Configuración!$AC$9,"Si","No")</f>
        <v>No</v>
      </c>
      <c r="AH187" s="887" t="str">
        <f>IFERROR(INDEX(Tabla9[],MATCH(Producción_Ganadera[[#This Row],[Movimiento]],Tabla9[Movimientos],0),2),0)</f>
        <v>Si</v>
      </c>
      <c r="AI187" s="888" t="str">
        <f>IFERROR(INDEX(Tabla9[],MATCH(Producción_Ganadera[[#This Row],[Movimiento]],Tabla9[Movimientos],0),3),0)</f>
        <v>(-)</v>
      </c>
      <c r="AJ187" s="885">
        <f>IF(Producción_Ganadera[[#This Row],[Fecha Económico]]=0,0,MONTH(Producción_Ganadera[[#This Row],[Fecha Económico]]))</f>
        <v>1</v>
      </c>
      <c r="AK187" s="885">
        <f>IF(Producción_Ganadera[[#This Row],[Fecha Económico]]=0,0,YEAR(Producción_Ganadera[[#This Row],[Fecha Económico]]))</f>
        <v>2019</v>
      </c>
      <c r="AL187" s="889">
        <f>SUMPRODUCT((Producción_Ganadera[[#This Row],[Mes Económico]]=Tipo_Cambio[Mes])*(Producción_Ganadera[[#This Row],[Año Económico]]=Tipo_Cambio[Año])*(Tipo_Cambio[$/U$S]))</f>
        <v>23.353443313221998</v>
      </c>
      <c r="AM187" s="889">
        <f>SUMPRODUCT((Producción_Ganadera[[#This Row],[Mes Económico]]=Tipo_Cambio[Mes])*(Producción_Ganadera[[#This Row],[Año Económico]]=Tipo_Cambio[Año])*(Tipo_Cambio[Actualización]))</f>
        <v>1.1261624192640001</v>
      </c>
      <c r="AN187" s="885">
        <f>IF(ISNUMBER(Producción_Ganadera[[#This Row],[Fecha Financiero]])=TRUE,MONTH(Producción_Ganadera[[#This Row],[Fecha Financiero]]),0)</f>
        <v>1</v>
      </c>
      <c r="AO187" s="885">
        <f>IF(ISNUMBER(Producción_Ganadera[[#This Row],[Fecha Financiero]])=TRUE,YEAR(Producción_Ganadera[[#This Row],[Fecha Financiero]]),0)</f>
        <v>2019</v>
      </c>
      <c r="AP187" s="889">
        <f>SUMPRODUCT((Producción_Ganadera[[#This Row],[Mes Financiero]]=Tipo_Cambio[Mes])*(Producción_Ganadera[[#This Row],[Año Financiero]]=Tipo_Cambio[Año])*(Tipo_Cambio[$/U$S]))</f>
        <v>23.353443313221998</v>
      </c>
      <c r="AQ187" s="889">
        <f>SUMPRODUCT((Producción_Ganadera[[#This Row],[Mes Financiero]]=Tipo_Cambio[Mes])*(Producción_Ganadera[[#This Row],[Año Financiero]]=Tipo_Cambio[Año])*(Tipo_Cambio[Actualización]))</f>
        <v>1.1261624192640001</v>
      </c>
      <c r="AR187" s="919">
        <f>SUMPRODUCT((Producción_Ganadera[[#This Row],[Centro de Costo]]=Tabla19[Centro de Costo])*(Tabla19[Superficie])*(Producción_Ganadera[[#This Row],[Campaña]]=Tabla19[Campaña]))</f>
        <v>0</v>
      </c>
      <c r="AS187" s="918">
        <f>IFERROR(Producción_Ganadera[[#This Row],[Económico $Corrientes]]/Producción_Ganadera[[#This Row],[Superficie]],0)</f>
        <v>0</v>
      </c>
      <c r="AT187" s="918">
        <f>IFERROR(Producción_Ganadera[[#This Row],[Económico $Constantes]]/Producción_Ganadera[[#This Row],[Superficie]],0)</f>
        <v>0</v>
      </c>
      <c r="AU187" s="918">
        <f>IFERROR(Producción_Ganadera[[#This Row],[Económico U$S Dólares]]/Producción_Ganadera[[#This Row],[Superficie]],0)</f>
        <v>0</v>
      </c>
      <c r="AV187" s="916" t="str">
        <f>IF(Económico!$F$4=0,0,Producción_Ganadera[[#This Row],[Centro de Costo]])</f>
        <v>Campo 1</v>
      </c>
    </row>
    <row r="188" spans="4:48" x14ac:dyDescent="0.25">
      <c r="D188" s="478">
        <f t="shared" si="12"/>
        <v>43466</v>
      </c>
      <c r="E188" s="522">
        <f>+Producción_Ganadera[[#This Row],[Fecha Económico]]+9</f>
        <v>43475</v>
      </c>
      <c r="F188" s="869" t="str">
        <f t="shared" si="11"/>
        <v>2018-2019</v>
      </c>
      <c r="G188" s="491" t="str">
        <f>GAN_Manutención_Personal</f>
        <v>Manutención Personal</v>
      </c>
      <c r="H188" s="491" t="s">
        <v>2</v>
      </c>
      <c r="I188" s="491"/>
      <c r="J188" s="549"/>
      <c r="K188" s="491"/>
      <c r="L188" s="520"/>
      <c r="M18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8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88" s="611"/>
      <c r="P188" s="484"/>
      <c r="Q188" s="875">
        <f>IF(ISNUMBER(Producción_Ganadera[[#This Row],[Cabezas]])=TRUE,Producción_Ganadera[[#This Row],[Cabezas]]*Producción_Ganadera[[#This Row],[Cantidad]],Producción_Ganadera[[#This Row],[Cantidad]])</f>
        <v>0</v>
      </c>
      <c r="R188" s="482"/>
      <c r="S188" s="552" t="s">
        <v>48</v>
      </c>
      <c r="T188" s="553"/>
      <c r="U18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88" s="881">
        <f>IFERROR(Producción_Ganadera[[#This Row],[Económico $Corrientes]]/Producción_Ganadera[[#This Row],[Indexación Económico]],0)</f>
        <v>0</v>
      </c>
      <c r="W18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8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88" s="881">
        <f>IFERROR(Producción_Ganadera[[#This Row],[Financiero $Corrientes]]/Producción_Ganadera[[#This Row],[Indexación Financiero]],0)</f>
        <v>0</v>
      </c>
      <c r="Z18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8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88" s="885">
        <f>IFERROR(Producción_Ganadera[[#This Row],[Intereses $Corrientes]]/Producción_Ganadera[[#This Row],[Indexación Financiero]],0)</f>
        <v>0</v>
      </c>
      <c r="AC18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88" s="915" t="str">
        <f>IFERROR(INDEX(Produccion_Ganadera_Cuentas[],MATCH(Producción_Ganadera[[#This Row],[Cuenta Contable]],Produccion_Ganadera_Cuentas[Cuenta Contable],0),2),0)</f>
        <v>Egreso</v>
      </c>
      <c r="AE188" s="916">
        <f>IF(Producción_Ganadera[[#This Row],[Mov. Stock]]="(+)",Producción_Ganadera[[#This Row],[Cabezas]],IF(Producción_Ganadera[[#This Row],[Mov. Stock]]="(-)",-Producción_Ganadera[[#This Row],[Cabezas]],0))</f>
        <v>0</v>
      </c>
      <c r="AF188" s="917">
        <f>IFERROR(INDEX(Produccion_Ganadera_Cuentas[],MATCH(Producción_Ganadera[[#This Row],[Cuenta Contable]],Produccion_Ganadera_Cuentas[Cuenta Contable],0),5),0)</f>
        <v>0</v>
      </c>
      <c r="AG188" s="918" t="str">
        <f>IF(Producción_Ganadera[[#This Row],[Cuenta Contable]]=Configuración!$AC$9,"Si","No")</f>
        <v>No</v>
      </c>
      <c r="AH188" s="887" t="str">
        <f>IFERROR(INDEX(Tabla9[],MATCH(Producción_Ganadera[[#This Row],[Movimiento]],Tabla9[Movimientos],0),2),0)</f>
        <v>Si</v>
      </c>
      <c r="AI188" s="888" t="str">
        <f>IFERROR(INDEX(Tabla9[],MATCH(Producción_Ganadera[[#This Row],[Movimiento]],Tabla9[Movimientos],0),3),0)</f>
        <v>(-)</v>
      </c>
      <c r="AJ188" s="885">
        <f>IF(Producción_Ganadera[[#This Row],[Fecha Económico]]=0,0,MONTH(Producción_Ganadera[[#This Row],[Fecha Económico]]))</f>
        <v>1</v>
      </c>
      <c r="AK188" s="885">
        <f>IF(Producción_Ganadera[[#This Row],[Fecha Económico]]=0,0,YEAR(Producción_Ganadera[[#This Row],[Fecha Económico]]))</f>
        <v>2019</v>
      </c>
      <c r="AL188" s="889">
        <f>SUMPRODUCT((Producción_Ganadera[[#This Row],[Mes Económico]]=Tipo_Cambio[Mes])*(Producción_Ganadera[[#This Row],[Año Económico]]=Tipo_Cambio[Año])*(Tipo_Cambio[$/U$S]))</f>
        <v>23.353443313221998</v>
      </c>
      <c r="AM188" s="889">
        <f>SUMPRODUCT((Producción_Ganadera[[#This Row],[Mes Económico]]=Tipo_Cambio[Mes])*(Producción_Ganadera[[#This Row],[Año Económico]]=Tipo_Cambio[Año])*(Tipo_Cambio[Actualización]))</f>
        <v>1.1261624192640001</v>
      </c>
      <c r="AN188" s="885">
        <f>IF(ISNUMBER(Producción_Ganadera[[#This Row],[Fecha Financiero]])=TRUE,MONTH(Producción_Ganadera[[#This Row],[Fecha Financiero]]),0)</f>
        <v>1</v>
      </c>
      <c r="AO188" s="885">
        <f>IF(ISNUMBER(Producción_Ganadera[[#This Row],[Fecha Financiero]])=TRUE,YEAR(Producción_Ganadera[[#This Row],[Fecha Financiero]]),0)</f>
        <v>2019</v>
      </c>
      <c r="AP188" s="889">
        <f>SUMPRODUCT((Producción_Ganadera[[#This Row],[Mes Financiero]]=Tipo_Cambio[Mes])*(Producción_Ganadera[[#This Row],[Año Financiero]]=Tipo_Cambio[Año])*(Tipo_Cambio[$/U$S]))</f>
        <v>23.353443313221998</v>
      </c>
      <c r="AQ188" s="889">
        <f>SUMPRODUCT((Producción_Ganadera[[#This Row],[Mes Financiero]]=Tipo_Cambio[Mes])*(Producción_Ganadera[[#This Row],[Año Financiero]]=Tipo_Cambio[Año])*(Tipo_Cambio[Actualización]))</f>
        <v>1.1261624192640001</v>
      </c>
      <c r="AR188" s="919">
        <f>SUMPRODUCT((Producción_Ganadera[[#This Row],[Centro de Costo]]=Tabla19[Centro de Costo])*(Tabla19[Superficie])*(Producción_Ganadera[[#This Row],[Campaña]]=Tabla19[Campaña]))</f>
        <v>0</v>
      </c>
      <c r="AS188" s="918">
        <f>IFERROR(Producción_Ganadera[[#This Row],[Económico $Corrientes]]/Producción_Ganadera[[#This Row],[Superficie]],0)</f>
        <v>0</v>
      </c>
      <c r="AT188" s="918">
        <f>IFERROR(Producción_Ganadera[[#This Row],[Económico $Constantes]]/Producción_Ganadera[[#This Row],[Superficie]],0)</f>
        <v>0</v>
      </c>
      <c r="AU188" s="918">
        <f>IFERROR(Producción_Ganadera[[#This Row],[Económico U$S Dólares]]/Producción_Ganadera[[#This Row],[Superficie]],0)</f>
        <v>0</v>
      </c>
      <c r="AV188" s="916" t="str">
        <f>IF(Económico!$F$4=0,0,Producción_Ganadera[[#This Row],[Centro de Costo]])</f>
        <v>Campo 1</v>
      </c>
    </row>
    <row r="189" spans="4:48" x14ac:dyDescent="0.25">
      <c r="D189" s="478">
        <f t="shared" si="12"/>
        <v>43497</v>
      </c>
      <c r="E189" s="522">
        <f>+Producción_Ganadera[[#This Row],[Fecha Económico]]+9</f>
        <v>43506</v>
      </c>
      <c r="F189" s="869" t="str">
        <f t="shared" si="11"/>
        <v>2018-2019</v>
      </c>
      <c r="G189" s="491" t="str">
        <f>GAN_Personal</f>
        <v>Personal</v>
      </c>
      <c r="H189" s="491" t="s">
        <v>2</v>
      </c>
      <c r="I189" s="491"/>
      <c r="J189" s="549"/>
      <c r="K189" s="491"/>
      <c r="L189" s="520"/>
      <c r="M18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8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89" s="611"/>
      <c r="P189" s="484"/>
      <c r="Q189" s="875">
        <f>IF(ISNUMBER(Producción_Ganadera[[#This Row],[Cabezas]])=TRUE,Producción_Ganadera[[#This Row],[Cabezas]]*Producción_Ganadera[[#This Row],[Cantidad]],Producción_Ganadera[[#This Row],[Cantidad]])</f>
        <v>0</v>
      </c>
      <c r="R189" s="482"/>
      <c r="S189" s="552" t="s">
        <v>48</v>
      </c>
      <c r="T189" s="553"/>
      <c r="U18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89" s="881">
        <f>IFERROR(Producción_Ganadera[[#This Row],[Económico $Corrientes]]/Producción_Ganadera[[#This Row],[Indexación Económico]],0)</f>
        <v>0</v>
      </c>
      <c r="W18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8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89" s="881">
        <f>IFERROR(Producción_Ganadera[[#This Row],[Financiero $Corrientes]]/Producción_Ganadera[[#This Row],[Indexación Financiero]],0)</f>
        <v>0</v>
      </c>
      <c r="Z18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8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89" s="885">
        <f>IFERROR(Producción_Ganadera[[#This Row],[Intereses $Corrientes]]/Producción_Ganadera[[#This Row],[Indexación Financiero]],0)</f>
        <v>0</v>
      </c>
      <c r="AC18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89" s="915" t="str">
        <f>IFERROR(INDEX(Produccion_Ganadera_Cuentas[],MATCH(Producción_Ganadera[[#This Row],[Cuenta Contable]],Produccion_Ganadera_Cuentas[Cuenta Contable],0),2),0)</f>
        <v>Egreso</v>
      </c>
      <c r="AE189" s="916">
        <f>IF(Producción_Ganadera[[#This Row],[Mov. Stock]]="(+)",Producción_Ganadera[[#This Row],[Cabezas]],IF(Producción_Ganadera[[#This Row],[Mov. Stock]]="(-)",-Producción_Ganadera[[#This Row],[Cabezas]],0))</f>
        <v>0</v>
      </c>
      <c r="AF189" s="917">
        <f>IFERROR(INDEX(Produccion_Ganadera_Cuentas[],MATCH(Producción_Ganadera[[#This Row],[Cuenta Contable]],Produccion_Ganadera_Cuentas[Cuenta Contable],0),5),0)</f>
        <v>0</v>
      </c>
      <c r="AG189" s="918" t="str">
        <f>IF(Producción_Ganadera[[#This Row],[Cuenta Contable]]=Configuración!$AC$9,"Si","No")</f>
        <v>No</v>
      </c>
      <c r="AH189" s="887" t="str">
        <f>IFERROR(INDEX(Tabla9[],MATCH(Producción_Ganadera[[#This Row],[Movimiento]],Tabla9[Movimientos],0),2),0)</f>
        <v>Si</v>
      </c>
      <c r="AI189" s="888" t="str">
        <f>IFERROR(INDEX(Tabla9[],MATCH(Producción_Ganadera[[#This Row],[Movimiento]],Tabla9[Movimientos],0),3),0)</f>
        <v>(-)</v>
      </c>
      <c r="AJ189" s="885">
        <f>IF(Producción_Ganadera[[#This Row],[Fecha Económico]]=0,0,MONTH(Producción_Ganadera[[#This Row],[Fecha Económico]]))</f>
        <v>2</v>
      </c>
      <c r="AK189" s="885">
        <f>IF(Producción_Ganadera[[#This Row],[Fecha Económico]]=0,0,YEAR(Producción_Ganadera[[#This Row],[Fecha Económico]]))</f>
        <v>2019</v>
      </c>
      <c r="AL189" s="889">
        <f>SUMPRODUCT((Producción_Ganadera[[#This Row],[Mes Económico]]=Tipo_Cambio[Mes])*(Producción_Ganadera[[#This Row],[Año Económico]]=Tipo_Cambio[Año])*(Tipo_Cambio[$/U$S]))</f>
        <v>23.586977746354219</v>
      </c>
      <c r="AM189" s="889">
        <f>SUMPRODUCT((Producción_Ganadera[[#This Row],[Mes Económico]]=Tipo_Cambio[Mes])*(Producción_Ganadera[[#This Row],[Año Económico]]=Tipo_Cambio[Año])*(Tipo_Cambio[Actualización]))</f>
        <v>1.14868566764928</v>
      </c>
      <c r="AN189" s="885">
        <f>IF(ISNUMBER(Producción_Ganadera[[#This Row],[Fecha Financiero]])=TRUE,MONTH(Producción_Ganadera[[#This Row],[Fecha Financiero]]),0)</f>
        <v>2</v>
      </c>
      <c r="AO189" s="885">
        <f>IF(ISNUMBER(Producción_Ganadera[[#This Row],[Fecha Financiero]])=TRUE,YEAR(Producción_Ganadera[[#This Row],[Fecha Financiero]]),0)</f>
        <v>2019</v>
      </c>
      <c r="AP189" s="889">
        <f>SUMPRODUCT((Producción_Ganadera[[#This Row],[Mes Financiero]]=Tipo_Cambio[Mes])*(Producción_Ganadera[[#This Row],[Año Financiero]]=Tipo_Cambio[Año])*(Tipo_Cambio[$/U$S]))</f>
        <v>23.586977746354219</v>
      </c>
      <c r="AQ189" s="889">
        <f>SUMPRODUCT((Producción_Ganadera[[#This Row],[Mes Financiero]]=Tipo_Cambio[Mes])*(Producción_Ganadera[[#This Row],[Año Financiero]]=Tipo_Cambio[Año])*(Tipo_Cambio[Actualización]))</f>
        <v>1.14868566764928</v>
      </c>
      <c r="AR189" s="919">
        <f>SUMPRODUCT((Producción_Ganadera[[#This Row],[Centro de Costo]]=Tabla19[Centro de Costo])*(Tabla19[Superficie])*(Producción_Ganadera[[#This Row],[Campaña]]=Tabla19[Campaña]))</f>
        <v>0</v>
      </c>
      <c r="AS189" s="918">
        <f>IFERROR(Producción_Ganadera[[#This Row],[Económico $Corrientes]]/Producción_Ganadera[[#This Row],[Superficie]],0)</f>
        <v>0</v>
      </c>
      <c r="AT189" s="918">
        <f>IFERROR(Producción_Ganadera[[#This Row],[Económico $Constantes]]/Producción_Ganadera[[#This Row],[Superficie]],0)</f>
        <v>0</v>
      </c>
      <c r="AU189" s="918">
        <f>IFERROR(Producción_Ganadera[[#This Row],[Económico U$S Dólares]]/Producción_Ganadera[[#This Row],[Superficie]],0)</f>
        <v>0</v>
      </c>
      <c r="AV189" s="916" t="str">
        <f>IF(Económico!$F$4=0,0,Producción_Ganadera[[#This Row],[Centro de Costo]])</f>
        <v>Campo 1</v>
      </c>
    </row>
    <row r="190" spans="4:48" x14ac:dyDescent="0.25">
      <c r="D190" s="478">
        <f t="shared" si="12"/>
        <v>43497</v>
      </c>
      <c r="E190" s="522">
        <f>+Producción_Ganadera[[#This Row],[Fecha Económico]]+9</f>
        <v>43506</v>
      </c>
      <c r="F190" s="869" t="str">
        <f t="shared" si="11"/>
        <v>2018-2019</v>
      </c>
      <c r="G190" s="491" t="str">
        <f>GAN_Cargas_Sociales</f>
        <v>Cargas Sociales</v>
      </c>
      <c r="H190" s="491" t="s">
        <v>2</v>
      </c>
      <c r="I190" s="491"/>
      <c r="J190" s="549"/>
      <c r="K190" s="491"/>
      <c r="L190" s="520"/>
      <c r="M19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9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90" s="611"/>
      <c r="P190" s="484"/>
      <c r="Q190" s="875">
        <f>IF(ISNUMBER(Producción_Ganadera[[#This Row],[Cabezas]])=TRUE,Producción_Ganadera[[#This Row],[Cabezas]]*Producción_Ganadera[[#This Row],[Cantidad]],Producción_Ganadera[[#This Row],[Cantidad]])</f>
        <v>0</v>
      </c>
      <c r="R190" s="482"/>
      <c r="S190" s="552" t="s">
        <v>48</v>
      </c>
      <c r="T190" s="553"/>
      <c r="U19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90" s="881">
        <f>IFERROR(Producción_Ganadera[[#This Row],[Económico $Corrientes]]/Producción_Ganadera[[#This Row],[Indexación Económico]],0)</f>
        <v>0</v>
      </c>
      <c r="W19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9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90" s="881">
        <f>IFERROR(Producción_Ganadera[[#This Row],[Financiero $Corrientes]]/Producción_Ganadera[[#This Row],[Indexación Financiero]],0)</f>
        <v>0</v>
      </c>
      <c r="Z19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9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90" s="885">
        <f>IFERROR(Producción_Ganadera[[#This Row],[Intereses $Corrientes]]/Producción_Ganadera[[#This Row],[Indexación Financiero]],0)</f>
        <v>0</v>
      </c>
      <c r="AC19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90" s="915" t="str">
        <f>IFERROR(INDEX(Produccion_Ganadera_Cuentas[],MATCH(Producción_Ganadera[[#This Row],[Cuenta Contable]],Produccion_Ganadera_Cuentas[Cuenta Contable],0),2),0)</f>
        <v>Egreso</v>
      </c>
      <c r="AE190" s="916">
        <f>IF(Producción_Ganadera[[#This Row],[Mov. Stock]]="(+)",Producción_Ganadera[[#This Row],[Cabezas]],IF(Producción_Ganadera[[#This Row],[Mov. Stock]]="(-)",-Producción_Ganadera[[#This Row],[Cabezas]],0))</f>
        <v>0</v>
      </c>
      <c r="AF190" s="917">
        <f>IFERROR(INDEX(Produccion_Ganadera_Cuentas[],MATCH(Producción_Ganadera[[#This Row],[Cuenta Contable]],Produccion_Ganadera_Cuentas[Cuenta Contable],0),5),0)</f>
        <v>0</v>
      </c>
      <c r="AG190" s="918" t="str">
        <f>IF(Producción_Ganadera[[#This Row],[Cuenta Contable]]=Configuración!$AC$9,"Si","No")</f>
        <v>No</v>
      </c>
      <c r="AH190" s="887" t="str">
        <f>IFERROR(INDEX(Tabla9[],MATCH(Producción_Ganadera[[#This Row],[Movimiento]],Tabla9[Movimientos],0),2),0)</f>
        <v>Si</v>
      </c>
      <c r="AI190" s="888" t="str">
        <f>IFERROR(INDEX(Tabla9[],MATCH(Producción_Ganadera[[#This Row],[Movimiento]],Tabla9[Movimientos],0),3),0)</f>
        <v>(-)</v>
      </c>
      <c r="AJ190" s="885">
        <f>IF(Producción_Ganadera[[#This Row],[Fecha Económico]]=0,0,MONTH(Producción_Ganadera[[#This Row],[Fecha Económico]]))</f>
        <v>2</v>
      </c>
      <c r="AK190" s="885">
        <f>IF(Producción_Ganadera[[#This Row],[Fecha Económico]]=0,0,YEAR(Producción_Ganadera[[#This Row],[Fecha Económico]]))</f>
        <v>2019</v>
      </c>
      <c r="AL190" s="889">
        <f>SUMPRODUCT((Producción_Ganadera[[#This Row],[Mes Económico]]=Tipo_Cambio[Mes])*(Producción_Ganadera[[#This Row],[Año Económico]]=Tipo_Cambio[Año])*(Tipo_Cambio[$/U$S]))</f>
        <v>23.586977746354219</v>
      </c>
      <c r="AM190" s="889">
        <f>SUMPRODUCT((Producción_Ganadera[[#This Row],[Mes Económico]]=Tipo_Cambio[Mes])*(Producción_Ganadera[[#This Row],[Año Económico]]=Tipo_Cambio[Año])*(Tipo_Cambio[Actualización]))</f>
        <v>1.14868566764928</v>
      </c>
      <c r="AN190" s="885">
        <f>IF(ISNUMBER(Producción_Ganadera[[#This Row],[Fecha Financiero]])=TRUE,MONTH(Producción_Ganadera[[#This Row],[Fecha Financiero]]),0)</f>
        <v>2</v>
      </c>
      <c r="AO190" s="885">
        <f>IF(ISNUMBER(Producción_Ganadera[[#This Row],[Fecha Financiero]])=TRUE,YEAR(Producción_Ganadera[[#This Row],[Fecha Financiero]]),0)</f>
        <v>2019</v>
      </c>
      <c r="AP190" s="889">
        <f>SUMPRODUCT((Producción_Ganadera[[#This Row],[Mes Financiero]]=Tipo_Cambio[Mes])*(Producción_Ganadera[[#This Row],[Año Financiero]]=Tipo_Cambio[Año])*(Tipo_Cambio[$/U$S]))</f>
        <v>23.586977746354219</v>
      </c>
      <c r="AQ190" s="889">
        <f>SUMPRODUCT((Producción_Ganadera[[#This Row],[Mes Financiero]]=Tipo_Cambio[Mes])*(Producción_Ganadera[[#This Row],[Año Financiero]]=Tipo_Cambio[Año])*(Tipo_Cambio[Actualización]))</f>
        <v>1.14868566764928</v>
      </c>
      <c r="AR190" s="919">
        <f>SUMPRODUCT((Producción_Ganadera[[#This Row],[Centro de Costo]]=Tabla19[Centro de Costo])*(Tabla19[Superficie])*(Producción_Ganadera[[#This Row],[Campaña]]=Tabla19[Campaña]))</f>
        <v>0</v>
      </c>
      <c r="AS190" s="918">
        <f>IFERROR(Producción_Ganadera[[#This Row],[Económico $Corrientes]]/Producción_Ganadera[[#This Row],[Superficie]],0)</f>
        <v>0</v>
      </c>
      <c r="AT190" s="918">
        <f>IFERROR(Producción_Ganadera[[#This Row],[Económico $Constantes]]/Producción_Ganadera[[#This Row],[Superficie]],0)</f>
        <v>0</v>
      </c>
      <c r="AU190" s="918">
        <f>IFERROR(Producción_Ganadera[[#This Row],[Económico U$S Dólares]]/Producción_Ganadera[[#This Row],[Superficie]],0)</f>
        <v>0</v>
      </c>
      <c r="AV190" s="916" t="str">
        <f>IF(Económico!$F$4=0,0,Producción_Ganadera[[#This Row],[Centro de Costo]])</f>
        <v>Campo 1</v>
      </c>
    </row>
    <row r="191" spans="4:48" x14ac:dyDescent="0.25">
      <c r="D191" s="478">
        <f t="shared" si="12"/>
        <v>43497</v>
      </c>
      <c r="E191" s="522">
        <f>+Producción_Ganadera[[#This Row],[Fecha Económico]]+9</f>
        <v>43506</v>
      </c>
      <c r="F191" s="869" t="str">
        <f t="shared" si="11"/>
        <v>2018-2019</v>
      </c>
      <c r="G191" s="491" t="str">
        <f>GAN_Manutención_Personal</f>
        <v>Manutención Personal</v>
      </c>
      <c r="H191" s="491" t="s">
        <v>2</v>
      </c>
      <c r="I191" s="491"/>
      <c r="J191" s="549"/>
      <c r="K191" s="491"/>
      <c r="L191" s="520"/>
      <c r="M19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9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91" s="611"/>
      <c r="P191" s="484"/>
      <c r="Q191" s="875">
        <f>IF(ISNUMBER(Producción_Ganadera[[#This Row],[Cabezas]])=TRUE,Producción_Ganadera[[#This Row],[Cabezas]]*Producción_Ganadera[[#This Row],[Cantidad]],Producción_Ganadera[[#This Row],[Cantidad]])</f>
        <v>0</v>
      </c>
      <c r="R191" s="482"/>
      <c r="S191" s="552" t="s">
        <v>48</v>
      </c>
      <c r="T191" s="553"/>
      <c r="U19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91" s="881">
        <f>IFERROR(Producción_Ganadera[[#This Row],[Económico $Corrientes]]/Producción_Ganadera[[#This Row],[Indexación Económico]],0)</f>
        <v>0</v>
      </c>
      <c r="W19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9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91" s="881">
        <f>IFERROR(Producción_Ganadera[[#This Row],[Financiero $Corrientes]]/Producción_Ganadera[[#This Row],[Indexación Financiero]],0)</f>
        <v>0</v>
      </c>
      <c r="Z19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9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91" s="885">
        <f>IFERROR(Producción_Ganadera[[#This Row],[Intereses $Corrientes]]/Producción_Ganadera[[#This Row],[Indexación Financiero]],0)</f>
        <v>0</v>
      </c>
      <c r="AC19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91" s="915" t="str">
        <f>IFERROR(INDEX(Produccion_Ganadera_Cuentas[],MATCH(Producción_Ganadera[[#This Row],[Cuenta Contable]],Produccion_Ganadera_Cuentas[Cuenta Contable],0),2),0)</f>
        <v>Egreso</v>
      </c>
      <c r="AE191" s="916">
        <f>IF(Producción_Ganadera[[#This Row],[Mov. Stock]]="(+)",Producción_Ganadera[[#This Row],[Cabezas]],IF(Producción_Ganadera[[#This Row],[Mov. Stock]]="(-)",-Producción_Ganadera[[#This Row],[Cabezas]],0))</f>
        <v>0</v>
      </c>
      <c r="AF191" s="917">
        <f>IFERROR(INDEX(Produccion_Ganadera_Cuentas[],MATCH(Producción_Ganadera[[#This Row],[Cuenta Contable]],Produccion_Ganadera_Cuentas[Cuenta Contable],0),5),0)</f>
        <v>0</v>
      </c>
      <c r="AG191" s="918" t="str">
        <f>IF(Producción_Ganadera[[#This Row],[Cuenta Contable]]=Configuración!$AC$9,"Si","No")</f>
        <v>No</v>
      </c>
      <c r="AH191" s="887" t="str">
        <f>IFERROR(INDEX(Tabla9[],MATCH(Producción_Ganadera[[#This Row],[Movimiento]],Tabla9[Movimientos],0),2),0)</f>
        <v>Si</v>
      </c>
      <c r="AI191" s="888" t="str">
        <f>IFERROR(INDEX(Tabla9[],MATCH(Producción_Ganadera[[#This Row],[Movimiento]],Tabla9[Movimientos],0),3),0)</f>
        <v>(-)</v>
      </c>
      <c r="AJ191" s="885">
        <f>IF(Producción_Ganadera[[#This Row],[Fecha Económico]]=0,0,MONTH(Producción_Ganadera[[#This Row],[Fecha Económico]]))</f>
        <v>2</v>
      </c>
      <c r="AK191" s="885">
        <f>IF(Producción_Ganadera[[#This Row],[Fecha Económico]]=0,0,YEAR(Producción_Ganadera[[#This Row],[Fecha Económico]]))</f>
        <v>2019</v>
      </c>
      <c r="AL191" s="889">
        <f>SUMPRODUCT((Producción_Ganadera[[#This Row],[Mes Económico]]=Tipo_Cambio[Mes])*(Producción_Ganadera[[#This Row],[Año Económico]]=Tipo_Cambio[Año])*(Tipo_Cambio[$/U$S]))</f>
        <v>23.586977746354219</v>
      </c>
      <c r="AM191" s="889">
        <f>SUMPRODUCT((Producción_Ganadera[[#This Row],[Mes Económico]]=Tipo_Cambio[Mes])*(Producción_Ganadera[[#This Row],[Año Económico]]=Tipo_Cambio[Año])*(Tipo_Cambio[Actualización]))</f>
        <v>1.14868566764928</v>
      </c>
      <c r="AN191" s="885">
        <f>IF(ISNUMBER(Producción_Ganadera[[#This Row],[Fecha Financiero]])=TRUE,MONTH(Producción_Ganadera[[#This Row],[Fecha Financiero]]),0)</f>
        <v>2</v>
      </c>
      <c r="AO191" s="885">
        <f>IF(ISNUMBER(Producción_Ganadera[[#This Row],[Fecha Financiero]])=TRUE,YEAR(Producción_Ganadera[[#This Row],[Fecha Financiero]]),0)</f>
        <v>2019</v>
      </c>
      <c r="AP191" s="889">
        <f>SUMPRODUCT((Producción_Ganadera[[#This Row],[Mes Financiero]]=Tipo_Cambio[Mes])*(Producción_Ganadera[[#This Row],[Año Financiero]]=Tipo_Cambio[Año])*(Tipo_Cambio[$/U$S]))</f>
        <v>23.586977746354219</v>
      </c>
      <c r="AQ191" s="889">
        <f>SUMPRODUCT((Producción_Ganadera[[#This Row],[Mes Financiero]]=Tipo_Cambio[Mes])*(Producción_Ganadera[[#This Row],[Año Financiero]]=Tipo_Cambio[Año])*(Tipo_Cambio[Actualización]))</f>
        <v>1.14868566764928</v>
      </c>
      <c r="AR191" s="919">
        <f>SUMPRODUCT((Producción_Ganadera[[#This Row],[Centro de Costo]]=Tabla19[Centro de Costo])*(Tabla19[Superficie])*(Producción_Ganadera[[#This Row],[Campaña]]=Tabla19[Campaña]))</f>
        <v>0</v>
      </c>
      <c r="AS191" s="918">
        <f>IFERROR(Producción_Ganadera[[#This Row],[Económico $Corrientes]]/Producción_Ganadera[[#This Row],[Superficie]],0)</f>
        <v>0</v>
      </c>
      <c r="AT191" s="918">
        <f>IFERROR(Producción_Ganadera[[#This Row],[Económico $Constantes]]/Producción_Ganadera[[#This Row],[Superficie]],0)</f>
        <v>0</v>
      </c>
      <c r="AU191" s="918">
        <f>IFERROR(Producción_Ganadera[[#This Row],[Económico U$S Dólares]]/Producción_Ganadera[[#This Row],[Superficie]],0)</f>
        <v>0</v>
      </c>
      <c r="AV191" s="916" t="str">
        <f>IF(Económico!$F$4=0,0,Producción_Ganadera[[#This Row],[Centro de Costo]])</f>
        <v>Campo 1</v>
      </c>
    </row>
    <row r="192" spans="4:48" x14ac:dyDescent="0.25">
      <c r="D192" s="478">
        <f t="shared" si="12"/>
        <v>43525</v>
      </c>
      <c r="E192" s="522">
        <f>+Producción_Ganadera[[#This Row],[Fecha Económico]]+9</f>
        <v>43534</v>
      </c>
      <c r="F192" s="869" t="str">
        <f t="shared" si="11"/>
        <v>2018-2019</v>
      </c>
      <c r="G192" s="491" t="str">
        <f>GAN_Personal</f>
        <v>Personal</v>
      </c>
      <c r="H192" s="491" t="s">
        <v>2</v>
      </c>
      <c r="I192" s="491"/>
      <c r="J192" s="549"/>
      <c r="K192" s="491"/>
      <c r="L192" s="520"/>
      <c r="M19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9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92" s="611"/>
      <c r="P192" s="484"/>
      <c r="Q192" s="875">
        <f>IF(ISNUMBER(Producción_Ganadera[[#This Row],[Cabezas]])=TRUE,Producción_Ganadera[[#This Row],[Cabezas]]*Producción_Ganadera[[#This Row],[Cantidad]],Producción_Ganadera[[#This Row],[Cantidad]])</f>
        <v>0</v>
      </c>
      <c r="R192" s="482"/>
      <c r="S192" s="552" t="s">
        <v>48</v>
      </c>
      <c r="T192" s="553"/>
      <c r="U19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92" s="881">
        <f>IFERROR(Producción_Ganadera[[#This Row],[Económico $Corrientes]]/Producción_Ganadera[[#This Row],[Indexación Económico]],0)</f>
        <v>0</v>
      </c>
      <c r="W19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9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92" s="881">
        <f>IFERROR(Producción_Ganadera[[#This Row],[Financiero $Corrientes]]/Producción_Ganadera[[#This Row],[Indexación Financiero]],0)</f>
        <v>0</v>
      </c>
      <c r="Z19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9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92" s="885">
        <f>IFERROR(Producción_Ganadera[[#This Row],[Intereses $Corrientes]]/Producción_Ganadera[[#This Row],[Indexación Financiero]],0)</f>
        <v>0</v>
      </c>
      <c r="AC19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92" s="915" t="str">
        <f>IFERROR(INDEX(Produccion_Ganadera_Cuentas[],MATCH(Producción_Ganadera[[#This Row],[Cuenta Contable]],Produccion_Ganadera_Cuentas[Cuenta Contable],0),2),0)</f>
        <v>Egreso</v>
      </c>
      <c r="AE192" s="916">
        <f>IF(Producción_Ganadera[[#This Row],[Mov. Stock]]="(+)",Producción_Ganadera[[#This Row],[Cabezas]],IF(Producción_Ganadera[[#This Row],[Mov. Stock]]="(-)",-Producción_Ganadera[[#This Row],[Cabezas]],0))</f>
        <v>0</v>
      </c>
      <c r="AF192" s="917">
        <f>IFERROR(INDEX(Produccion_Ganadera_Cuentas[],MATCH(Producción_Ganadera[[#This Row],[Cuenta Contable]],Produccion_Ganadera_Cuentas[Cuenta Contable],0),5),0)</f>
        <v>0</v>
      </c>
      <c r="AG192" s="918" t="str">
        <f>IF(Producción_Ganadera[[#This Row],[Cuenta Contable]]=Configuración!$AC$9,"Si","No")</f>
        <v>No</v>
      </c>
      <c r="AH192" s="887" t="str">
        <f>IFERROR(INDEX(Tabla9[],MATCH(Producción_Ganadera[[#This Row],[Movimiento]],Tabla9[Movimientos],0),2),0)</f>
        <v>Si</v>
      </c>
      <c r="AI192" s="888" t="str">
        <f>IFERROR(INDEX(Tabla9[],MATCH(Producción_Ganadera[[#This Row],[Movimiento]],Tabla9[Movimientos],0),3),0)</f>
        <v>(-)</v>
      </c>
      <c r="AJ192" s="885">
        <f>IF(Producción_Ganadera[[#This Row],[Fecha Económico]]=0,0,MONTH(Producción_Ganadera[[#This Row],[Fecha Económico]]))</f>
        <v>3</v>
      </c>
      <c r="AK192" s="885">
        <f>IF(Producción_Ganadera[[#This Row],[Fecha Económico]]=0,0,YEAR(Producción_Ganadera[[#This Row],[Fecha Económico]]))</f>
        <v>2019</v>
      </c>
      <c r="AL192" s="889">
        <f>SUMPRODUCT((Producción_Ganadera[[#This Row],[Mes Económico]]=Tipo_Cambio[Mes])*(Producción_Ganadera[[#This Row],[Año Económico]]=Tipo_Cambio[Año])*(Tipo_Cambio[$/U$S]))</f>
        <v>23.82284752381776</v>
      </c>
      <c r="AM192" s="889">
        <f>SUMPRODUCT((Producción_Ganadera[[#This Row],[Mes Económico]]=Tipo_Cambio[Mes])*(Producción_Ganadera[[#This Row],[Año Económico]]=Tipo_Cambio[Año])*(Tipo_Cambio[Actualización]))</f>
        <v>1.1716593810022657</v>
      </c>
      <c r="AN192" s="885">
        <f>IF(ISNUMBER(Producción_Ganadera[[#This Row],[Fecha Financiero]])=TRUE,MONTH(Producción_Ganadera[[#This Row],[Fecha Financiero]]),0)</f>
        <v>3</v>
      </c>
      <c r="AO192" s="885">
        <f>IF(ISNUMBER(Producción_Ganadera[[#This Row],[Fecha Financiero]])=TRUE,YEAR(Producción_Ganadera[[#This Row],[Fecha Financiero]]),0)</f>
        <v>2019</v>
      </c>
      <c r="AP192" s="889">
        <f>SUMPRODUCT((Producción_Ganadera[[#This Row],[Mes Financiero]]=Tipo_Cambio[Mes])*(Producción_Ganadera[[#This Row],[Año Financiero]]=Tipo_Cambio[Año])*(Tipo_Cambio[$/U$S]))</f>
        <v>23.82284752381776</v>
      </c>
      <c r="AQ192" s="889">
        <f>SUMPRODUCT((Producción_Ganadera[[#This Row],[Mes Financiero]]=Tipo_Cambio[Mes])*(Producción_Ganadera[[#This Row],[Año Financiero]]=Tipo_Cambio[Año])*(Tipo_Cambio[Actualización]))</f>
        <v>1.1716593810022657</v>
      </c>
      <c r="AR192" s="919">
        <f>SUMPRODUCT((Producción_Ganadera[[#This Row],[Centro de Costo]]=Tabla19[Centro de Costo])*(Tabla19[Superficie])*(Producción_Ganadera[[#This Row],[Campaña]]=Tabla19[Campaña]))</f>
        <v>0</v>
      </c>
      <c r="AS192" s="918">
        <f>IFERROR(Producción_Ganadera[[#This Row],[Económico $Corrientes]]/Producción_Ganadera[[#This Row],[Superficie]],0)</f>
        <v>0</v>
      </c>
      <c r="AT192" s="918">
        <f>IFERROR(Producción_Ganadera[[#This Row],[Económico $Constantes]]/Producción_Ganadera[[#This Row],[Superficie]],0)</f>
        <v>0</v>
      </c>
      <c r="AU192" s="918">
        <f>IFERROR(Producción_Ganadera[[#This Row],[Económico U$S Dólares]]/Producción_Ganadera[[#This Row],[Superficie]],0)</f>
        <v>0</v>
      </c>
      <c r="AV192" s="916" t="str">
        <f>IF(Económico!$F$4=0,0,Producción_Ganadera[[#This Row],[Centro de Costo]])</f>
        <v>Campo 1</v>
      </c>
    </row>
    <row r="193" spans="4:48" x14ac:dyDescent="0.25">
      <c r="D193" s="478">
        <f t="shared" si="12"/>
        <v>43525</v>
      </c>
      <c r="E193" s="522">
        <f>+Producción_Ganadera[[#This Row],[Fecha Económico]]+9</f>
        <v>43534</v>
      </c>
      <c r="F193" s="869" t="str">
        <f t="shared" si="11"/>
        <v>2018-2019</v>
      </c>
      <c r="G193" s="491" t="str">
        <f>GAN_Cargas_Sociales</f>
        <v>Cargas Sociales</v>
      </c>
      <c r="H193" s="491" t="s">
        <v>2</v>
      </c>
      <c r="I193" s="491"/>
      <c r="J193" s="549"/>
      <c r="K193" s="491"/>
      <c r="L193" s="520"/>
      <c r="M19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9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93" s="611"/>
      <c r="P193" s="484"/>
      <c r="Q193" s="875">
        <f>IF(ISNUMBER(Producción_Ganadera[[#This Row],[Cabezas]])=TRUE,Producción_Ganadera[[#This Row],[Cabezas]]*Producción_Ganadera[[#This Row],[Cantidad]],Producción_Ganadera[[#This Row],[Cantidad]])</f>
        <v>0</v>
      </c>
      <c r="R193" s="482"/>
      <c r="S193" s="552" t="s">
        <v>48</v>
      </c>
      <c r="T193" s="553"/>
      <c r="U19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93" s="881">
        <f>IFERROR(Producción_Ganadera[[#This Row],[Económico $Corrientes]]/Producción_Ganadera[[#This Row],[Indexación Económico]],0)</f>
        <v>0</v>
      </c>
      <c r="W19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9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93" s="881">
        <f>IFERROR(Producción_Ganadera[[#This Row],[Financiero $Corrientes]]/Producción_Ganadera[[#This Row],[Indexación Financiero]],0)</f>
        <v>0</v>
      </c>
      <c r="Z19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9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93" s="885">
        <f>IFERROR(Producción_Ganadera[[#This Row],[Intereses $Corrientes]]/Producción_Ganadera[[#This Row],[Indexación Financiero]],0)</f>
        <v>0</v>
      </c>
      <c r="AC19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93" s="915" t="str">
        <f>IFERROR(INDEX(Produccion_Ganadera_Cuentas[],MATCH(Producción_Ganadera[[#This Row],[Cuenta Contable]],Produccion_Ganadera_Cuentas[Cuenta Contable],0),2),0)</f>
        <v>Egreso</v>
      </c>
      <c r="AE193" s="916">
        <f>IF(Producción_Ganadera[[#This Row],[Mov. Stock]]="(+)",Producción_Ganadera[[#This Row],[Cabezas]],IF(Producción_Ganadera[[#This Row],[Mov. Stock]]="(-)",-Producción_Ganadera[[#This Row],[Cabezas]],0))</f>
        <v>0</v>
      </c>
      <c r="AF193" s="917">
        <f>IFERROR(INDEX(Produccion_Ganadera_Cuentas[],MATCH(Producción_Ganadera[[#This Row],[Cuenta Contable]],Produccion_Ganadera_Cuentas[Cuenta Contable],0),5),0)</f>
        <v>0</v>
      </c>
      <c r="AG193" s="918" t="str">
        <f>IF(Producción_Ganadera[[#This Row],[Cuenta Contable]]=Configuración!$AC$9,"Si","No")</f>
        <v>No</v>
      </c>
      <c r="AH193" s="887" t="str">
        <f>IFERROR(INDEX(Tabla9[],MATCH(Producción_Ganadera[[#This Row],[Movimiento]],Tabla9[Movimientos],0),2),0)</f>
        <v>Si</v>
      </c>
      <c r="AI193" s="888" t="str">
        <f>IFERROR(INDEX(Tabla9[],MATCH(Producción_Ganadera[[#This Row],[Movimiento]],Tabla9[Movimientos],0),3),0)</f>
        <v>(-)</v>
      </c>
      <c r="AJ193" s="885">
        <f>IF(Producción_Ganadera[[#This Row],[Fecha Económico]]=0,0,MONTH(Producción_Ganadera[[#This Row],[Fecha Económico]]))</f>
        <v>3</v>
      </c>
      <c r="AK193" s="885">
        <f>IF(Producción_Ganadera[[#This Row],[Fecha Económico]]=0,0,YEAR(Producción_Ganadera[[#This Row],[Fecha Económico]]))</f>
        <v>2019</v>
      </c>
      <c r="AL193" s="889">
        <f>SUMPRODUCT((Producción_Ganadera[[#This Row],[Mes Económico]]=Tipo_Cambio[Mes])*(Producción_Ganadera[[#This Row],[Año Económico]]=Tipo_Cambio[Año])*(Tipo_Cambio[$/U$S]))</f>
        <v>23.82284752381776</v>
      </c>
      <c r="AM193" s="889">
        <f>SUMPRODUCT((Producción_Ganadera[[#This Row],[Mes Económico]]=Tipo_Cambio[Mes])*(Producción_Ganadera[[#This Row],[Año Económico]]=Tipo_Cambio[Año])*(Tipo_Cambio[Actualización]))</f>
        <v>1.1716593810022657</v>
      </c>
      <c r="AN193" s="885">
        <f>IF(ISNUMBER(Producción_Ganadera[[#This Row],[Fecha Financiero]])=TRUE,MONTH(Producción_Ganadera[[#This Row],[Fecha Financiero]]),0)</f>
        <v>3</v>
      </c>
      <c r="AO193" s="885">
        <f>IF(ISNUMBER(Producción_Ganadera[[#This Row],[Fecha Financiero]])=TRUE,YEAR(Producción_Ganadera[[#This Row],[Fecha Financiero]]),0)</f>
        <v>2019</v>
      </c>
      <c r="AP193" s="889">
        <f>SUMPRODUCT((Producción_Ganadera[[#This Row],[Mes Financiero]]=Tipo_Cambio[Mes])*(Producción_Ganadera[[#This Row],[Año Financiero]]=Tipo_Cambio[Año])*(Tipo_Cambio[$/U$S]))</f>
        <v>23.82284752381776</v>
      </c>
      <c r="AQ193" s="889">
        <f>SUMPRODUCT((Producción_Ganadera[[#This Row],[Mes Financiero]]=Tipo_Cambio[Mes])*(Producción_Ganadera[[#This Row],[Año Financiero]]=Tipo_Cambio[Año])*(Tipo_Cambio[Actualización]))</f>
        <v>1.1716593810022657</v>
      </c>
      <c r="AR193" s="919">
        <f>SUMPRODUCT((Producción_Ganadera[[#This Row],[Centro de Costo]]=Tabla19[Centro de Costo])*(Tabla19[Superficie])*(Producción_Ganadera[[#This Row],[Campaña]]=Tabla19[Campaña]))</f>
        <v>0</v>
      </c>
      <c r="AS193" s="918">
        <f>IFERROR(Producción_Ganadera[[#This Row],[Económico $Corrientes]]/Producción_Ganadera[[#This Row],[Superficie]],0)</f>
        <v>0</v>
      </c>
      <c r="AT193" s="918">
        <f>IFERROR(Producción_Ganadera[[#This Row],[Económico $Constantes]]/Producción_Ganadera[[#This Row],[Superficie]],0)</f>
        <v>0</v>
      </c>
      <c r="AU193" s="918">
        <f>IFERROR(Producción_Ganadera[[#This Row],[Económico U$S Dólares]]/Producción_Ganadera[[#This Row],[Superficie]],0)</f>
        <v>0</v>
      </c>
      <c r="AV193" s="916" t="str">
        <f>IF(Económico!$F$4=0,0,Producción_Ganadera[[#This Row],[Centro de Costo]])</f>
        <v>Campo 1</v>
      </c>
    </row>
    <row r="194" spans="4:48" x14ac:dyDescent="0.25">
      <c r="D194" s="478">
        <f t="shared" si="12"/>
        <v>43525</v>
      </c>
      <c r="E194" s="522">
        <f>+Producción_Ganadera[[#This Row],[Fecha Económico]]+9</f>
        <v>43534</v>
      </c>
      <c r="F194" s="869" t="str">
        <f t="shared" si="11"/>
        <v>2018-2019</v>
      </c>
      <c r="G194" s="491" t="str">
        <f>GAN_Manutención_Personal</f>
        <v>Manutención Personal</v>
      </c>
      <c r="H194" s="491" t="s">
        <v>2</v>
      </c>
      <c r="I194" s="491"/>
      <c r="J194" s="549"/>
      <c r="K194" s="491"/>
      <c r="L194" s="520"/>
      <c r="M19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9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94" s="611"/>
      <c r="P194" s="484"/>
      <c r="Q194" s="875">
        <f>IF(ISNUMBER(Producción_Ganadera[[#This Row],[Cabezas]])=TRUE,Producción_Ganadera[[#This Row],[Cabezas]]*Producción_Ganadera[[#This Row],[Cantidad]],Producción_Ganadera[[#This Row],[Cantidad]])</f>
        <v>0</v>
      </c>
      <c r="R194" s="482"/>
      <c r="S194" s="552" t="s">
        <v>48</v>
      </c>
      <c r="T194" s="553"/>
      <c r="U19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94" s="881">
        <f>IFERROR(Producción_Ganadera[[#This Row],[Económico $Corrientes]]/Producción_Ganadera[[#This Row],[Indexación Económico]],0)</f>
        <v>0</v>
      </c>
      <c r="W19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9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94" s="881">
        <f>IFERROR(Producción_Ganadera[[#This Row],[Financiero $Corrientes]]/Producción_Ganadera[[#This Row],[Indexación Financiero]],0)</f>
        <v>0</v>
      </c>
      <c r="Z19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9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94" s="885">
        <f>IFERROR(Producción_Ganadera[[#This Row],[Intereses $Corrientes]]/Producción_Ganadera[[#This Row],[Indexación Financiero]],0)</f>
        <v>0</v>
      </c>
      <c r="AC19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94" s="915" t="str">
        <f>IFERROR(INDEX(Produccion_Ganadera_Cuentas[],MATCH(Producción_Ganadera[[#This Row],[Cuenta Contable]],Produccion_Ganadera_Cuentas[Cuenta Contable],0),2),0)</f>
        <v>Egreso</v>
      </c>
      <c r="AE194" s="916">
        <f>IF(Producción_Ganadera[[#This Row],[Mov. Stock]]="(+)",Producción_Ganadera[[#This Row],[Cabezas]],IF(Producción_Ganadera[[#This Row],[Mov. Stock]]="(-)",-Producción_Ganadera[[#This Row],[Cabezas]],0))</f>
        <v>0</v>
      </c>
      <c r="AF194" s="917">
        <f>IFERROR(INDEX(Produccion_Ganadera_Cuentas[],MATCH(Producción_Ganadera[[#This Row],[Cuenta Contable]],Produccion_Ganadera_Cuentas[Cuenta Contable],0),5),0)</f>
        <v>0</v>
      </c>
      <c r="AG194" s="918" t="str">
        <f>IF(Producción_Ganadera[[#This Row],[Cuenta Contable]]=Configuración!$AC$9,"Si","No")</f>
        <v>No</v>
      </c>
      <c r="AH194" s="887" t="str">
        <f>IFERROR(INDEX(Tabla9[],MATCH(Producción_Ganadera[[#This Row],[Movimiento]],Tabla9[Movimientos],0),2),0)</f>
        <v>Si</v>
      </c>
      <c r="AI194" s="888" t="str">
        <f>IFERROR(INDEX(Tabla9[],MATCH(Producción_Ganadera[[#This Row],[Movimiento]],Tabla9[Movimientos],0),3),0)</f>
        <v>(-)</v>
      </c>
      <c r="AJ194" s="885">
        <f>IF(Producción_Ganadera[[#This Row],[Fecha Económico]]=0,0,MONTH(Producción_Ganadera[[#This Row],[Fecha Económico]]))</f>
        <v>3</v>
      </c>
      <c r="AK194" s="885">
        <f>IF(Producción_Ganadera[[#This Row],[Fecha Económico]]=0,0,YEAR(Producción_Ganadera[[#This Row],[Fecha Económico]]))</f>
        <v>2019</v>
      </c>
      <c r="AL194" s="889">
        <f>SUMPRODUCT((Producción_Ganadera[[#This Row],[Mes Económico]]=Tipo_Cambio[Mes])*(Producción_Ganadera[[#This Row],[Año Económico]]=Tipo_Cambio[Año])*(Tipo_Cambio[$/U$S]))</f>
        <v>23.82284752381776</v>
      </c>
      <c r="AM194" s="889">
        <f>SUMPRODUCT((Producción_Ganadera[[#This Row],[Mes Económico]]=Tipo_Cambio[Mes])*(Producción_Ganadera[[#This Row],[Año Económico]]=Tipo_Cambio[Año])*(Tipo_Cambio[Actualización]))</f>
        <v>1.1716593810022657</v>
      </c>
      <c r="AN194" s="885">
        <f>IF(ISNUMBER(Producción_Ganadera[[#This Row],[Fecha Financiero]])=TRUE,MONTH(Producción_Ganadera[[#This Row],[Fecha Financiero]]),0)</f>
        <v>3</v>
      </c>
      <c r="AO194" s="885">
        <f>IF(ISNUMBER(Producción_Ganadera[[#This Row],[Fecha Financiero]])=TRUE,YEAR(Producción_Ganadera[[#This Row],[Fecha Financiero]]),0)</f>
        <v>2019</v>
      </c>
      <c r="AP194" s="889">
        <f>SUMPRODUCT((Producción_Ganadera[[#This Row],[Mes Financiero]]=Tipo_Cambio[Mes])*(Producción_Ganadera[[#This Row],[Año Financiero]]=Tipo_Cambio[Año])*(Tipo_Cambio[$/U$S]))</f>
        <v>23.82284752381776</v>
      </c>
      <c r="AQ194" s="889">
        <f>SUMPRODUCT((Producción_Ganadera[[#This Row],[Mes Financiero]]=Tipo_Cambio[Mes])*(Producción_Ganadera[[#This Row],[Año Financiero]]=Tipo_Cambio[Año])*(Tipo_Cambio[Actualización]))</f>
        <v>1.1716593810022657</v>
      </c>
      <c r="AR194" s="919">
        <f>SUMPRODUCT((Producción_Ganadera[[#This Row],[Centro de Costo]]=Tabla19[Centro de Costo])*(Tabla19[Superficie])*(Producción_Ganadera[[#This Row],[Campaña]]=Tabla19[Campaña]))</f>
        <v>0</v>
      </c>
      <c r="AS194" s="918">
        <f>IFERROR(Producción_Ganadera[[#This Row],[Económico $Corrientes]]/Producción_Ganadera[[#This Row],[Superficie]],0)</f>
        <v>0</v>
      </c>
      <c r="AT194" s="918">
        <f>IFERROR(Producción_Ganadera[[#This Row],[Económico $Constantes]]/Producción_Ganadera[[#This Row],[Superficie]],0)</f>
        <v>0</v>
      </c>
      <c r="AU194" s="918">
        <f>IFERROR(Producción_Ganadera[[#This Row],[Económico U$S Dólares]]/Producción_Ganadera[[#This Row],[Superficie]],0)</f>
        <v>0</v>
      </c>
      <c r="AV194" s="916" t="str">
        <f>IF(Económico!$F$4=0,0,Producción_Ganadera[[#This Row],[Centro de Costo]])</f>
        <v>Campo 1</v>
      </c>
    </row>
    <row r="195" spans="4:48" x14ac:dyDescent="0.25">
      <c r="D195" s="478">
        <f t="shared" si="12"/>
        <v>43556</v>
      </c>
      <c r="E195" s="522">
        <f>+Producción_Ganadera[[#This Row],[Fecha Económico]]+9</f>
        <v>43565</v>
      </c>
      <c r="F195" s="869" t="str">
        <f t="shared" si="11"/>
        <v>2018-2019</v>
      </c>
      <c r="G195" s="491" t="str">
        <f>GAN_Personal</f>
        <v>Personal</v>
      </c>
      <c r="H195" s="491" t="s">
        <v>2</v>
      </c>
      <c r="I195" s="491"/>
      <c r="J195" s="549"/>
      <c r="K195" s="491"/>
      <c r="L195" s="520"/>
      <c r="M19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9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95" s="611"/>
      <c r="P195" s="484"/>
      <c r="Q195" s="875">
        <f>IF(ISNUMBER(Producción_Ganadera[[#This Row],[Cabezas]])=TRUE,Producción_Ganadera[[#This Row],[Cabezas]]*Producción_Ganadera[[#This Row],[Cantidad]],Producción_Ganadera[[#This Row],[Cantidad]])</f>
        <v>0</v>
      </c>
      <c r="R195" s="482"/>
      <c r="S195" s="552" t="s">
        <v>48</v>
      </c>
      <c r="T195" s="553"/>
      <c r="U19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95" s="881">
        <f>IFERROR(Producción_Ganadera[[#This Row],[Económico $Corrientes]]/Producción_Ganadera[[#This Row],[Indexación Económico]],0)</f>
        <v>0</v>
      </c>
      <c r="W19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9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95" s="881">
        <f>IFERROR(Producción_Ganadera[[#This Row],[Financiero $Corrientes]]/Producción_Ganadera[[#This Row],[Indexación Financiero]],0)</f>
        <v>0</v>
      </c>
      <c r="Z19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9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95" s="885">
        <f>IFERROR(Producción_Ganadera[[#This Row],[Intereses $Corrientes]]/Producción_Ganadera[[#This Row],[Indexación Financiero]],0)</f>
        <v>0</v>
      </c>
      <c r="AC19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95" s="915" t="str">
        <f>IFERROR(INDEX(Produccion_Ganadera_Cuentas[],MATCH(Producción_Ganadera[[#This Row],[Cuenta Contable]],Produccion_Ganadera_Cuentas[Cuenta Contable],0),2),0)</f>
        <v>Egreso</v>
      </c>
      <c r="AE195" s="916">
        <f>IF(Producción_Ganadera[[#This Row],[Mov. Stock]]="(+)",Producción_Ganadera[[#This Row],[Cabezas]],IF(Producción_Ganadera[[#This Row],[Mov. Stock]]="(-)",-Producción_Ganadera[[#This Row],[Cabezas]],0))</f>
        <v>0</v>
      </c>
      <c r="AF195" s="917">
        <f>IFERROR(INDEX(Produccion_Ganadera_Cuentas[],MATCH(Producción_Ganadera[[#This Row],[Cuenta Contable]],Produccion_Ganadera_Cuentas[Cuenta Contable],0),5),0)</f>
        <v>0</v>
      </c>
      <c r="AG195" s="918" t="str">
        <f>IF(Producción_Ganadera[[#This Row],[Cuenta Contable]]=Configuración!$AC$9,"Si","No")</f>
        <v>No</v>
      </c>
      <c r="AH195" s="887" t="str">
        <f>IFERROR(INDEX(Tabla9[],MATCH(Producción_Ganadera[[#This Row],[Movimiento]],Tabla9[Movimientos],0),2),0)</f>
        <v>Si</v>
      </c>
      <c r="AI195" s="888" t="str">
        <f>IFERROR(INDEX(Tabla9[],MATCH(Producción_Ganadera[[#This Row],[Movimiento]],Tabla9[Movimientos],0),3),0)</f>
        <v>(-)</v>
      </c>
      <c r="AJ195" s="885">
        <f>IF(Producción_Ganadera[[#This Row],[Fecha Económico]]=0,0,MONTH(Producción_Ganadera[[#This Row],[Fecha Económico]]))</f>
        <v>4</v>
      </c>
      <c r="AK195" s="885">
        <f>IF(Producción_Ganadera[[#This Row],[Fecha Económico]]=0,0,YEAR(Producción_Ganadera[[#This Row],[Fecha Económico]]))</f>
        <v>2019</v>
      </c>
      <c r="AL195" s="889">
        <f>SUMPRODUCT((Producción_Ganadera[[#This Row],[Mes Económico]]=Tipo_Cambio[Mes])*(Producción_Ganadera[[#This Row],[Año Económico]]=Tipo_Cambio[Año])*(Tipo_Cambio[$/U$S]))</f>
        <v>24.061075999055937</v>
      </c>
      <c r="AM195" s="889">
        <f>SUMPRODUCT((Producción_Ganadera[[#This Row],[Mes Económico]]=Tipo_Cambio[Mes])*(Producción_Ganadera[[#This Row],[Año Económico]]=Tipo_Cambio[Año])*(Tipo_Cambio[Actualización]))</f>
        <v>1.1950925686223111</v>
      </c>
      <c r="AN195" s="885">
        <f>IF(ISNUMBER(Producción_Ganadera[[#This Row],[Fecha Financiero]])=TRUE,MONTH(Producción_Ganadera[[#This Row],[Fecha Financiero]]),0)</f>
        <v>4</v>
      </c>
      <c r="AO195" s="885">
        <f>IF(ISNUMBER(Producción_Ganadera[[#This Row],[Fecha Financiero]])=TRUE,YEAR(Producción_Ganadera[[#This Row],[Fecha Financiero]]),0)</f>
        <v>2019</v>
      </c>
      <c r="AP195" s="889">
        <f>SUMPRODUCT((Producción_Ganadera[[#This Row],[Mes Financiero]]=Tipo_Cambio[Mes])*(Producción_Ganadera[[#This Row],[Año Financiero]]=Tipo_Cambio[Año])*(Tipo_Cambio[$/U$S]))</f>
        <v>24.061075999055937</v>
      </c>
      <c r="AQ195" s="889">
        <f>SUMPRODUCT((Producción_Ganadera[[#This Row],[Mes Financiero]]=Tipo_Cambio[Mes])*(Producción_Ganadera[[#This Row],[Año Financiero]]=Tipo_Cambio[Año])*(Tipo_Cambio[Actualización]))</f>
        <v>1.1950925686223111</v>
      </c>
      <c r="AR195" s="919">
        <f>SUMPRODUCT((Producción_Ganadera[[#This Row],[Centro de Costo]]=Tabla19[Centro de Costo])*(Tabla19[Superficie])*(Producción_Ganadera[[#This Row],[Campaña]]=Tabla19[Campaña]))</f>
        <v>0</v>
      </c>
      <c r="AS195" s="918">
        <f>IFERROR(Producción_Ganadera[[#This Row],[Económico $Corrientes]]/Producción_Ganadera[[#This Row],[Superficie]],0)</f>
        <v>0</v>
      </c>
      <c r="AT195" s="918">
        <f>IFERROR(Producción_Ganadera[[#This Row],[Económico $Constantes]]/Producción_Ganadera[[#This Row],[Superficie]],0)</f>
        <v>0</v>
      </c>
      <c r="AU195" s="918">
        <f>IFERROR(Producción_Ganadera[[#This Row],[Económico U$S Dólares]]/Producción_Ganadera[[#This Row],[Superficie]],0)</f>
        <v>0</v>
      </c>
      <c r="AV195" s="916" t="str">
        <f>IF(Económico!$F$4=0,0,Producción_Ganadera[[#This Row],[Centro de Costo]])</f>
        <v>Campo 1</v>
      </c>
    </row>
    <row r="196" spans="4:48" x14ac:dyDescent="0.25">
      <c r="D196" s="478">
        <f t="shared" si="12"/>
        <v>43556</v>
      </c>
      <c r="E196" s="522">
        <f>+Producción_Ganadera[[#This Row],[Fecha Económico]]+9</f>
        <v>43565</v>
      </c>
      <c r="F196" s="869" t="str">
        <f t="shared" si="11"/>
        <v>2018-2019</v>
      </c>
      <c r="G196" s="491" t="str">
        <f>GAN_Cargas_Sociales</f>
        <v>Cargas Sociales</v>
      </c>
      <c r="H196" s="491" t="s">
        <v>2</v>
      </c>
      <c r="I196" s="491"/>
      <c r="J196" s="549"/>
      <c r="K196" s="491"/>
      <c r="L196" s="520"/>
      <c r="M19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9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96" s="611"/>
      <c r="P196" s="484"/>
      <c r="Q196" s="875">
        <f>IF(ISNUMBER(Producción_Ganadera[[#This Row],[Cabezas]])=TRUE,Producción_Ganadera[[#This Row],[Cabezas]]*Producción_Ganadera[[#This Row],[Cantidad]],Producción_Ganadera[[#This Row],[Cantidad]])</f>
        <v>0</v>
      </c>
      <c r="R196" s="482"/>
      <c r="S196" s="552" t="s">
        <v>48</v>
      </c>
      <c r="T196" s="553"/>
      <c r="U19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96" s="881">
        <f>IFERROR(Producción_Ganadera[[#This Row],[Económico $Corrientes]]/Producción_Ganadera[[#This Row],[Indexación Económico]],0)</f>
        <v>0</v>
      </c>
      <c r="W19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9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96" s="881">
        <f>IFERROR(Producción_Ganadera[[#This Row],[Financiero $Corrientes]]/Producción_Ganadera[[#This Row],[Indexación Financiero]],0)</f>
        <v>0</v>
      </c>
      <c r="Z19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9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96" s="885">
        <f>IFERROR(Producción_Ganadera[[#This Row],[Intereses $Corrientes]]/Producción_Ganadera[[#This Row],[Indexación Financiero]],0)</f>
        <v>0</v>
      </c>
      <c r="AC19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96" s="915" t="str">
        <f>IFERROR(INDEX(Produccion_Ganadera_Cuentas[],MATCH(Producción_Ganadera[[#This Row],[Cuenta Contable]],Produccion_Ganadera_Cuentas[Cuenta Contable],0),2),0)</f>
        <v>Egreso</v>
      </c>
      <c r="AE196" s="916">
        <f>IF(Producción_Ganadera[[#This Row],[Mov. Stock]]="(+)",Producción_Ganadera[[#This Row],[Cabezas]],IF(Producción_Ganadera[[#This Row],[Mov. Stock]]="(-)",-Producción_Ganadera[[#This Row],[Cabezas]],0))</f>
        <v>0</v>
      </c>
      <c r="AF196" s="917">
        <f>IFERROR(INDEX(Produccion_Ganadera_Cuentas[],MATCH(Producción_Ganadera[[#This Row],[Cuenta Contable]],Produccion_Ganadera_Cuentas[Cuenta Contable],0),5),0)</f>
        <v>0</v>
      </c>
      <c r="AG196" s="918" t="str">
        <f>IF(Producción_Ganadera[[#This Row],[Cuenta Contable]]=Configuración!$AC$9,"Si","No")</f>
        <v>No</v>
      </c>
      <c r="AH196" s="887" t="str">
        <f>IFERROR(INDEX(Tabla9[],MATCH(Producción_Ganadera[[#This Row],[Movimiento]],Tabla9[Movimientos],0),2),0)</f>
        <v>Si</v>
      </c>
      <c r="AI196" s="888" t="str">
        <f>IFERROR(INDEX(Tabla9[],MATCH(Producción_Ganadera[[#This Row],[Movimiento]],Tabla9[Movimientos],0),3),0)</f>
        <v>(-)</v>
      </c>
      <c r="AJ196" s="885">
        <f>IF(Producción_Ganadera[[#This Row],[Fecha Económico]]=0,0,MONTH(Producción_Ganadera[[#This Row],[Fecha Económico]]))</f>
        <v>4</v>
      </c>
      <c r="AK196" s="885">
        <f>IF(Producción_Ganadera[[#This Row],[Fecha Económico]]=0,0,YEAR(Producción_Ganadera[[#This Row],[Fecha Económico]]))</f>
        <v>2019</v>
      </c>
      <c r="AL196" s="889">
        <f>SUMPRODUCT((Producción_Ganadera[[#This Row],[Mes Económico]]=Tipo_Cambio[Mes])*(Producción_Ganadera[[#This Row],[Año Económico]]=Tipo_Cambio[Año])*(Tipo_Cambio[$/U$S]))</f>
        <v>24.061075999055937</v>
      </c>
      <c r="AM196" s="889">
        <f>SUMPRODUCT((Producción_Ganadera[[#This Row],[Mes Económico]]=Tipo_Cambio[Mes])*(Producción_Ganadera[[#This Row],[Año Económico]]=Tipo_Cambio[Año])*(Tipo_Cambio[Actualización]))</f>
        <v>1.1950925686223111</v>
      </c>
      <c r="AN196" s="885">
        <f>IF(ISNUMBER(Producción_Ganadera[[#This Row],[Fecha Financiero]])=TRUE,MONTH(Producción_Ganadera[[#This Row],[Fecha Financiero]]),0)</f>
        <v>4</v>
      </c>
      <c r="AO196" s="885">
        <f>IF(ISNUMBER(Producción_Ganadera[[#This Row],[Fecha Financiero]])=TRUE,YEAR(Producción_Ganadera[[#This Row],[Fecha Financiero]]),0)</f>
        <v>2019</v>
      </c>
      <c r="AP196" s="889">
        <f>SUMPRODUCT((Producción_Ganadera[[#This Row],[Mes Financiero]]=Tipo_Cambio[Mes])*(Producción_Ganadera[[#This Row],[Año Financiero]]=Tipo_Cambio[Año])*(Tipo_Cambio[$/U$S]))</f>
        <v>24.061075999055937</v>
      </c>
      <c r="AQ196" s="889">
        <f>SUMPRODUCT((Producción_Ganadera[[#This Row],[Mes Financiero]]=Tipo_Cambio[Mes])*(Producción_Ganadera[[#This Row],[Año Financiero]]=Tipo_Cambio[Año])*(Tipo_Cambio[Actualización]))</f>
        <v>1.1950925686223111</v>
      </c>
      <c r="AR196" s="919">
        <f>SUMPRODUCT((Producción_Ganadera[[#This Row],[Centro de Costo]]=Tabla19[Centro de Costo])*(Tabla19[Superficie])*(Producción_Ganadera[[#This Row],[Campaña]]=Tabla19[Campaña]))</f>
        <v>0</v>
      </c>
      <c r="AS196" s="918">
        <f>IFERROR(Producción_Ganadera[[#This Row],[Económico $Corrientes]]/Producción_Ganadera[[#This Row],[Superficie]],0)</f>
        <v>0</v>
      </c>
      <c r="AT196" s="918">
        <f>IFERROR(Producción_Ganadera[[#This Row],[Económico $Constantes]]/Producción_Ganadera[[#This Row],[Superficie]],0)</f>
        <v>0</v>
      </c>
      <c r="AU196" s="918">
        <f>IFERROR(Producción_Ganadera[[#This Row],[Económico U$S Dólares]]/Producción_Ganadera[[#This Row],[Superficie]],0)</f>
        <v>0</v>
      </c>
      <c r="AV196" s="916" t="str">
        <f>IF(Económico!$F$4=0,0,Producción_Ganadera[[#This Row],[Centro de Costo]])</f>
        <v>Campo 1</v>
      </c>
    </row>
    <row r="197" spans="4:48" x14ac:dyDescent="0.25">
      <c r="D197" s="478">
        <f t="shared" si="12"/>
        <v>43556</v>
      </c>
      <c r="E197" s="522">
        <f>+Producción_Ganadera[[#This Row],[Fecha Económico]]+9</f>
        <v>43565</v>
      </c>
      <c r="F197" s="869" t="str">
        <f t="shared" si="11"/>
        <v>2018-2019</v>
      </c>
      <c r="G197" s="491" t="str">
        <f>GAN_Manutención_Personal</f>
        <v>Manutención Personal</v>
      </c>
      <c r="H197" s="491" t="s">
        <v>2</v>
      </c>
      <c r="I197" s="491"/>
      <c r="J197" s="549"/>
      <c r="K197" s="491"/>
      <c r="L197" s="520"/>
      <c r="M19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9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97" s="611"/>
      <c r="P197" s="484"/>
      <c r="Q197" s="875">
        <f>IF(ISNUMBER(Producción_Ganadera[[#This Row],[Cabezas]])=TRUE,Producción_Ganadera[[#This Row],[Cabezas]]*Producción_Ganadera[[#This Row],[Cantidad]],Producción_Ganadera[[#This Row],[Cantidad]])</f>
        <v>0</v>
      </c>
      <c r="R197" s="482"/>
      <c r="S197" s="552" t="s">
        <v>48</v>
      </c>
      <c r="T197" s="553"/>
      <c r="U19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97" s="881">
        <f>IFERROR(Producción_Ganadera[[#This Row],[Económico $Corrientes]]/Producción_Ganadera[[#This Row],[Indexación Económico]],0)</f>
        <v>0</v>
      </c>
      <c r="W19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9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97" s="881">
        <f>IFERROR(Producción_Ganadera[[#This Row],[Financiero $Corrientes]]/Producción_Ganadera[[#This Row],[Indexación Financiero]],0)</f>
        <v>0</v>
      </c>
      <c r="Z19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9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97" s="885">
        <f>IFERROR(Producción_Ganadera[[#This Row],[Intereses $Corrientes]]/Producción_Ganadera[[#This Row],[Indexación Financiero]],0)</f>
        <v>0</v>
      </c>
      <c r="AC19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97" s="915" t="str">
        <f>IFERROR(INDEX(Produccion_Ganadera_Cuentas[],MATCH(Producción_Ganadera[[#This Row],[Cuenta Contable]],Produccion_Ganadera_Cuentas[Cuenta Contable],0),2),0)</f>
        <v>Egreso</v>
      </c>
      <c r="AE197" s="916">
        <f>IF(Producción_Ganadera[[#This Row],[Mov. Stock]]="(+)",Producción_Ganadera[[#This Row],[Cabezas]],IF(Producción_Ganadera[[#This Row],[Mov. Stock]]="(-)",-Producción_Ganadera[[#This Row],[Cabezas]],0))</f>
        <v>0</v>
      </c>
      <c r="AF197" s="917">
        <f>IFERROR(INDEX(Produccion_Ganadera_Cuentas[],MATCH(Producción_Ganadera[[#This Row],[Cuenta Contable]],Produccion_Ganadera_Cuentas[Cuenta Contable],0),5),0)</f>
        <v>0</v>
      </c>
      <c r="AG197" s="918" t="str">
        <f>IF(Producción_Ganadera[[#This Row],[Cuenta Contable]]=Configuración!$AC$9,"Si","No")</f>
        <v>No</v>
      </c>
      <c r="AH197" s="887" t="str">
        <f>IFERROR(INDEX(Tabla9[],MATCH(Producción_Ganadera[[#This Row],[Movimiento]],Tabla9[Movimientos],0),2),0)</f>
        <v>Si</v>
      </c>
      <c r="AI197" s="888" t="str">
        <f>IFERROR(INDEX(Tabla9[],MATCH(Producción_Ganadera[[#This Row],[Movimiento]],Tabla9[Movimientos],0),3),0)</f>
        <v>(-)</v>
      </c>
      <c r="AJ197" s="885">
        <f>IF(Producción_Ganadera[[#This Row],[Fecha Económico]]=0,0,MONTH(Producción_Ganadera[[#This Row],[Fecha Económico]]))</f>
        <v>4</v>
      </c>
      <c r="AK197" s="885">
        <f>IF(Producción_Ganadera[[#This Row],[Fecha Económico]]=0,0,YEAR(Producción_Ganadera[[#This Row],[Fecha Económico]]))</f>
        <v>2019</v>
      </c>
      <c r="AL197" s="889">
        <f>SUMPRODUCT((Producción_Ganadera[[#This Row],[Mes Económico]]=Tipo_Cambio[Mes])*(Producción_Ganadera[[#This Row],[Año Económico]]=Tipo_Cambio[Año])*(Tipo_Cambio[$/U$S]))</f>
        <v>24.061075999055937</v>
      </c>
      <c r="AM197" s="889">
        <f>SUMPRODUCT((Producción_Ganadera[[#This Row],[Mes Económico]]=Tipo_Cambio[Mes])*(Producción_Ganadera[[#This Row],[Año Económico]]=Tipo_Cambio[Año])*(Tipo_Cambio[Actualización]))</f>
        <v>1.1950925686223111</v>
      </c>
      <c r="AN197" s="885">
        <f>IF(ISNUMBER(Producción_Ganadera[[#This Row],[Fecha Financiero]])=TRUE,MONTH(Producción_Ganadera[[#This Row],[Fecha Financiero]]),0)</f>
        <v>4</v>
      </c>
      <c r="AO197" s="885">
        <f>IF(ISNUMBER(Producción_Ganadera[[#This Row],[Fecha Financiero]])=TRUE,YEAR(Producción_Ganadera[[#This Row],[Fecha Financiero]]),0)</f>
        <v>2019</v>
      </c>
      <c r="AP197" s="889">
        <f>SUMPRODUCT((Producción_Ganadera[[#This Row],[Mes Financiero]]=Tipo_Cambio[Mes])*(Producción_Ganadera[[#This Row],[Año Financiero]]=Tipo_Cambio[Año])*(Tipo_Cambio[$/U$S]))</f>
        <v>24.061075999055937</v>
      </c>
      <c r="AQ197" s="889">
        <f>SUMPRODUCT((Producción_Ganadera[[#This Row],[Mes Financiero]]=Tipo_Cambio[Mes])*(Producción_Ganadera[[#This Row],[Año Financiero]]=Tipo_Cambio[Año])*(Tipo_Cambio[Actualización]))</f>
        <v>1.1950925686223111</v>
      </c>
      <c r="AR197" s="919">
        <f>SUMPRODUCT((Producción_Ganadera[[#This Row],[Centro de Costo]]=Tabla19[Centro de Costo])*(Tabla19[Superficie])*(Producción_Ganadera[[#This Row],[Campaña]]=Tabla19[Campaña]))</f>
        <v>0</v>
      </c>
      <c r="AS197" s="918">
        <f>IFERROR(Producción_Ganadera[[#This Row],[Económico $Corrientes]]/Producción_Ganadera[[#This Row],[Superficie]],0)</f>
        <v>0</v>
      </c>
      <c r="AT197" s="918">
        <f>IFERROR(Producción_Ganadera[[#This Row],[Económico $Constantes]]/Producción_Ganadera[[#This Row],[Superficie]],0)</f>
        <v>0</v>
      </c>
      <c r="AU197" s="918">
        <f>IFERROR(Producción_Ganadera[[#This Row],[Económico U$S Dólares]]/Producción_Ganadera[[#This Row],[Superficie]],0)</f>
        <v>0</v>
      </c>
      <c r="AV197" s="916" t="str">
        <f>IF(Económico!$F$4=0,0,Producción_Ganadera[[#This Row],[Centro de Costo]])</f>
        <v>Campo 1</v>
      </c>
    </row>
    <row r="198" spans="4:48" x14ac:dyDescent="0.25">
      <c r="D198" s="478">
        <f t="shared" si="12"/>
        <v>43586</v>
      </c>
      <c r="E198" s="522">
        <f>+Producción_Ganadera[[#This Row],[Fecha Económico]]+9</f>
        <v>43595</v>
      </c>
      <c r="F198" s="869" t="str">
        <f t="shared" si="11"/>
        <v>2018-2019</v>
      </c>
      <c r="G198" s="491" t="str">
        <f>GAN_Personal</f>
        <v>Personal</v>
      </c>
      <c r="H198" s="491" t="s">
        <v>2</v>
      </c>
      <c r="I198" s="491"/>
      <c r="J198" s="549"/>
      <c r="K198" s="491"/>
      <c r="L198" s="520"/>
      <c r="M19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9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98" s="611"/>
      <c r="P198" s="484"/>
      <c r="Q198" s="875">
        <f>IF(ISNUMBER(Producción_Ganadera[[#This Row],[Cabezas]])=TRUE,Producción_Ganadera[[#This Row],[Cabezas]]*Producción_Ganadera[[#This Row],[Cantidad]],Producción_Ganadera[[#This Row],[Cantidad]])</f>
        <v>0</v>
      </c>
      <c r="R198" s="482"/>
      <c r="S198" s="552" t="s">
        <v>48</v>
      </c>
      <c r="T198" s="553"/>
      <c r="U19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98" s="881">
        <f>IFERROR(Producción_Ganadera[[#This Row],[Económico $Corrientes]]/Producción_Ganadera[[#This Row],[Indexación Económico]],0)</f>
        <v>0</v>
      </c>
      <c r="W19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9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98" s="881">
        <f>IFERROR(Producción_Ganadera[[#This Row],[Financiero $Corrientes]]/Producción_Ganadera[[#This Row],[Indexación Financiero]],0)</f>
        <v>0</v>
      </c>
      <c r="Z19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9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98" s="885">
        <f>IFERROR(Producción_Ganadera[[#This Row],[Intereses $Corrientes]]/Producción_Ganadera[[#This Row],[Indexación Financiero]],0)</f>
        <v>0</v>
      </c>
      <c r="AC19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98" s="915" t="str">
        <f>IFERROR(INDEX(Produccion_Ganadera_Cuentas[],MATCH(Producción_Ganadera[[#This Row],[Cuenta Contable]],Produccion_Ganadera_Cuentas[Cuenta Contable],0),2),0)</f>
        <v>Egreso</v>
      </c>
      <c r="AE198" s="916">
        <f>IF(Producción_Ganadera[[#This Row],[Mov. Stock]]="(+)",Producción_Ganadera[[#This Row],[Cabezas]],IF(Producción_Ganadera[[#This Row],[Mov. Stock]]="(-)",-Producción_Ganadera[[#This Row],[Cabezas]],0))</f>
        <v>0</v>
      </c>
      <c r="AF198" s="917">
        <f>IFERROR(INDEX(Produccion_Ganadera_Cuentas[],MATCH(Producción_Ganadera[[#This Row],[Cuenta Contable]],Produccion_Ganadera_Cuentas[Cuenta Contable],0),5),0)</f>
        <v>0</v>
      </c>
      <c r="AG198" s="918" t="str">
        <f>IF(Producción_Ganadera[[#This Row],[Cuenta Contable]]=Configuración!$AC$9,"Si","No")</f>
        <v>No</v>
      </c>
      <c r="AH198" s="887" t="str">
        <f>IFERROR(INDEX(Tabla9[],MATCH(Producción_Ganadera[[#This Row],[Movimiento]],Tabla9[Movimientos],0),2),0)</f>
        <v>Si</v>
      </c>
      <c r="AI198" s="888" t="str">
        <f>IFERROR(INDEX(Tabla9[],MATCH(Producción_Ganadera[[#This Row],[Movimiento]],Tabla9[Movimientos],0),3),0)</f>
        <v>(-)</v>
      </c>
      <c r="AJ198" s="885">
        <f>IF(Producción_Ganadera[[#This Row],[Fecha Económico]]=0,0,MONTH(Producción_Ganadera[[#This Row],[Fecha Económico]]))</f>
        <v>5</v>
      </c>
      <c r="AK198" s="885">
        <f>IF(Producción_Ganadera[[#This Row],[Fecha Económico]]=0,0,YEAR(Producción_Ganadera[[#This Row],[Fecha Económico]]))</f>
        <v>2019</v>
      </c>
      <c r="AL198" s="889">
        <f>SUMPRODUCT((Producción_Ganadera[[#This Row],[Mes Económico]]=Tipo_Cambio[Mes])*(Producción_Ganadera[[#This Row],[Año Económico]]=Tipo_Cambio[Año])*(Tipo_Cambio[$/U$S]))</f>
        <v>24.301686759046497</v>
      </c>
      <c r="AM198" s="889">
        <f>SUMPRODUCT((Producción_Ganadera[[#This Row],[Mes Económico]]=Tipo_Cambio[Mes])*(Producción_Ganadera[[#This Row],[Año Económico]]=Tipo_Cambio[Año])*(Tipo_Cambio[Actualización]))</f>
        <v>1.2189944199947573</v>
      </c>
      <c r="AN198" s="885">
        <f>IF(ISNUMBER(Producción_Ganadera[[#This Row],[Fecha Financiero]])=TRUE,MONTH(Producción_Ganadera[[#This Row],[Fecha Financiero]]),0)</f>
        <v>5</v>
      </c>
      <c r="AO198" s="885">
        <f>IF(ISNUMBER(Producción_Ganadera[[#This Row],[Fecha Financiero]])=TRUE,YEAR(Producción_Ganadera[[#This Row],[Fecha Financiero]]),0)</f>
        <v>2019</v>
      </c>
      <c r="AP198" s="889">
        <f>SUMPRODUCT((Producción_Ganadera[[#This Row],[Mes Financiero]]=Tipo_Cambio[Mes])*(Producción_Ganadera[[#This Row],[Año Financiero]]=Tipo_Cambio[Año])*(Tipo_Cambio[$/U$S]))</f>
        <v>24.301686759046497</v>
      </c>
      <c r="AQ198" s="889">
        <f>SUMPRODUCT((Producción_Ganadera[[#This Row],[Mes Financiero]]=Tipo_Cambio[Mes])*(Producción_Ganadera[[#This Row],[Año Financiero]]=Tipo_Cambio[Año])*(Tipo_Cambio[Actualización]))</f>
        <v>1.2189944199947573</v>
      </c>
      <c r="AR198" s="919">
        <f>SUMPRODUCT((Producción_Ganadera[[#This Row],[Centro de Costo]]=Tabla19[Centro de Costo])*(Tabla19[Superficie])*(Producción_Ganadera[[#This Row],[Campaña]]=Tabla19[Campaña]))</f>
        <v>0</v>
      </c>
      <c r="AS198" s="918">
        <f>IFERROR(Producción_Ganadera[[#This Row],[Económico $Corrientes]]/Producción_Ganadera[[#This Row],[Superficie]],0)</f>
        <v>0</v>
      </c>
      <c r="AT198" s="918">
        <f>IFERROR(Producción_Ganadera[[#This Row],[Económico $Constantes]]/Producción_Ganadera[[#This Row],[Superficie]],0)</f>
        <v>0</v>
      </c>
      <c r="AU198" s="918">
        <f>IFERROR(Producción_Ganadera[[#This Row],[Económico U$S Dólares]]/Producción_Ganadera[[#This Row],[Superficie]],0)</f>
        <v>0</v>
      </c>
      <c r="AV198" s="916" t="str">
        <f>IF(Económico!$F$4=0,0,Producción_Ganadera[[#This Row],[Centro de Costo]])</f>
        <v>Campo 1</v>
      </c>
    </row>
    <row r="199" spans="4:48" x14ac:dyDescent="0.25">
      <c r="D199" s="478">
        <f t="shared" si="12"/>
        <v>43586</v>
      </c>
      <c r="E199" s="522">
        <f>+Producción_Ganadera[[#This Row],[Fecha Económico]]+9</f>
        <v>43595</v>
      </c>
      <c r="F199" s="869" t="str">
        <f t="shared" ref="F199:F230" si="13">Campaña_Actual</f>
        <v>2018-2019</v>
      </c>
      <c r="G199" s="491" t="str">
        <f>GAN_Cargas_Sociales</f>
        <v>Cargas Sociales</v>
      </c>
      <c r="H199" s="491" t="s">
        <v>2</v>
      </c>
      <c r="I199" s="491"/>
      <c r="J199" s="549"/>
      <c r="K199" s="491"/>
      <c r="L199" s="520"/>
      <c r="M19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19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199" s="611"/>
      <c r="P199" s="484"/>
      <c r="Q199" s="875">
        <f>IF(ISNUMBER(Producción_Ganadera[[#This Row],[Cabezas]])=TRUE,Producción_Ganadera[[#This Row],[Cabezas]]*Producción_Ganadera[[#This Row],[Cantidad]],Producción_Ganadera[[#This Row],[Cantidad]])</f>
        <v>0</v>
      </c>
      <c r="R199" s="482"/>
      <c r="S199" s="552" t="s">
        <v>48</v>
      </c>
      <c r="T199" s="553"/>
      <c r="U19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199" s="881">
        <f>IFERROR(Producción_Ganadera[[#This Row],[Económico $Corrientes]]/Producción_Ganadera[[#This Row],[Indexación Económico]],0)</f>
        <v>0</v>
      </c>
      <c r="W19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19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199" s="881">
        <f>IFERROR(Producción_Ganadera[[#This Row],[Financiero $Corrientes]]/Producción_Ganadera[[#This Row],[Indexación Financiero]],0)</f>
        <v>0</v>
      </c>
      <c r="Z19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19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199" s="885">
        <f>IFERROR(Producción_Ganadera[[#This Row],[Intereses $Corrientes]]/Producción_Ganadera[[#This Row],[Indexación Financiero]],0)</f>
        <v>0</v>
      </c>
      <c r="AC19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199" s="915" t="str">
        <f>IFERROR(INDEX(Produccion_Ganadera_Cuentas[],MATCH(Producción_Ganadera[[#This Row],[Cuenta Contable]],Produccion_Ganadera_Cuentas[Cuenta Contable],0),2),0)</f>
        <v>Egreso</v>
      </c>
      <c r="AE199" s="916">
        <f>IF(Producción_Ganadera[[#This Row],[Mov. Stock]]="(+)",Producción_Ganadera[[#This Row],[Cabezas]],IF(Producción_Ganadera[[#This Row],[Mov. Stock]]="(-)",-Producción_Ganadera[[#This Row],[Cabezas]],0))</f>
        <v>0</v>
      </c>
      <c r="AF199" s="917">
        <f>IFERROR(INDEX(Produccion_Ganadera_Cuentas[],MATCH(Producción_Ganadera[[#This Row],[Cuenta Contable]],Produccion_Ganadera_Cuentas[Cuenta Contable],0),5),0)</f>
        <v>0</v>
      </c>
      <c r="AG199" s="918" t="str">
        <f>IF(Producción_Ganadera[[#This Row],[Cuenta Contable]]=Configuración!$AC$9,"Si","No")</f>
        <v>No</v>
      </c>
      <c r="AH199" s="887" t="str">
        <f>IFERROR(INDEX(Tabla9[],MATCH(Producción_Ganadera[[#This Row],[Movimiento]],Tabla9[Movimientos],0),2),0)</f>
        <v>Si</v>
      </c>
      <c r="AI199" s="888" t="str">
        <f>IFERROR(INDEX(Tabla9[],MATCH(Producción_Ganadera[[#This Row],[Movimiento]],Tabla9[Movimientos],0),3),0)</f>
        <v>(-)</v>
      </c>
      <c r="AJ199" s="885">
        <f>IF(Producción_Ganadera[[#This Row],[Fecha Económico]]=0,0,MONTH(Producción_Ganadera[[#This Row],[Fecha Económico]]))</f>
        <v>5</v>
      </c>
      <c r="AK199" s="885">
        <f>IF(Producción_Ganadera[[#This Row],[Fecha Económico]]=0,0,YEAR(Producción_Ganadera[[#This Row],[Fecha Económico]]))</f>
        <v>2019</v>
      </c>
      <c r="AL199" s="889">
        <f>SUMPRODUCT((Producción_Ganadera[[#This Row],[Mes Económico]]=Tipo_Cambio[Mes])*(Producción_Ganadera[[#This Row],[Año Económico]]=Tipo_Cambio[Año])*(Tipo_Cambio[$/U$S]))</f>
        <v>24.301686759046497</v>
      </c>
      <c r="AM199" s="889">
        <f>SUMPRODUCT((Producción_Ganadera[[#This Row],[Mes Económico]]=Tipo_Cambio[Mes])*(Producción_Ganadera[[#This Row],[Año Económico]]=Tipo_Cambio[Año])*(Tipo_Cambio[Actualización]))</f>
        <v>1.2189944199947573</v>
      </c>
      <c r="AN199" s="885">
        <f>IF(ISNUMBER(Producción_Ganadera[[#This Row],[Fecha Financiero]])=TRUE,MONTH(Producción_Ganadera[[#This Row],[Fecha Financiero]]),0)</f>
        <v>5</v>
      </c>
      <c r="AO199" s="885">
        <f>IF(ISNUMBER(Producción_Ganadera[[#This Row],[Fecha Financiero]])=TRUE,YEAR(Producción_Ganadera[[#This Row],[Fecha Financiero]]),0)</f>
        <v>2019</v>
      </c>
      <c r="AP199" s="889">
        <f>SUMPRODUCT((Producción_Ganadera[[#This Row],[Mes Financiero]]=Tipo_Cambio[Mes])*(Producción_Ganadera[[#This Row],[Año Financiero]]=Tipo_Cambio[Año])*(Tipo_Cambio[$/U$S]))</f>
        <v>24.301686759046497</v>
      </c>
      <c r="AQ199" s="889">
        <f>SUMPRODUCT((Producción_Ganadera[[#This Row],[Mes Financiero]]=Tipo_Cambio[Mes])*(Producción_Ganadera[[#This Row],[Año Financiero]]=Tipo_Cambio[Año])*(Tipo_Cambio[Actualización]))</f>
        <v>1.2189944199947573</v>
      </c>
      <c r="AR199" s="919">
        <f>SUMPRODUCT((Producción_Ganadera[[#This Row],[Centro de Costo]]=Tabla19[Centro de Costo])*(Tabla19[Superficie])*(Producción_Ganadera[[#This Row],[Campaña]]=Tabla19[Campaña]))</f>
        <v>0</v>
      </c>
      <c r="AS199" s="918">
        <f>IFERROR(Producción_Ganadera[[#This Row],[Económico $Corrientes]]/Producción_Ganadera[[#This Row],[Superficie]],0)</f>
        <v>0</v>
      </c>
      <c r="AT199" s="918">
        <f>IFERROR(Producción_Ganadera[[#This Row],[Económico $Constantes]]/Producción_Ganadera[[#This Row],[Superficie]],0)</f>
        <v>0</v>
      </c>
      <c r="AU199" s="918">
        <f>IFERROR(Producción_Ganadera[[#This Row],[Económico U$S Dólares]]/Producción_Ganadera[[#This Row],[Superficie]],0)</f>
        <v>0</v>
      </c>
      <c r="AV199" s="916" t="str">
        <f>IF(Económico!$F$4=0,0,Producción_Ganadera[[#This Row],[Centro de Costo]])</f>
        <v>Campo 1</v>
      </c>
    </row>
    <row r="200" spans="4:48" x14ac:dyDescent="0.25">
      <c r="D200" s="478">
        <f t="shared" si="12"/>
        <v>43586</v>
      </c>
      <c r="E200" s="522">
        <f>+Producción_Ganadera[[#This Row],[Fecha Económico]]+9</f>
        <v>43595</v>
      </c>
      <c r="F200" s="869" t="str">
        <f t="shared" si="13"/>
        <v>2018-2019</v>
      </c>
      <c r="G200" s="491" t="str">
        <f>GAN_Manutención_Personal</f>
        <v>Manutención Personal</v>
      </c>
      <c r="H200" s="491" t="s">
        <v>2</v>
      </c>
      <c r="I200" s="491"/>
      <c r="J200" s="549"/>
      <c r="K200" s="491"/>
      <c r="L200" s="520"/>
      <c r="M20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0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00" s="611"/>
      <c r="P200" s="484"/>
      <c r="Q200" s="875">
        <f>IF(ISNUMBER(Producción_Ganadera[[#This Row],[Cabezas]])=TRUE,Producción_Ganadera[[#This Row],[Cabezas]]*Producción_Ganadera[[#This Row],[Cantidad]],Producción_Ganadera[[#This Row],[Cantidad]])</f>
        <v>0</v>
      </c>
      <c r="R200" s="482"/>
      <c r="S200" s="552" t="s">
        <v>48</v>
      </c>
      <c r="T200" s="553"/>
      <c r="U20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00" s="881">
        <f>IFERROR(Producción_Ganadera[[#This Row],[Económico $Corrientes]]/Producción_Ganadera[[#This Row],[Indexación Económico]],0)</f>
        <v>0</v>
      </c>
      <c r="W20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0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00" s="881">
        <f>IFERROR(Producción_Ganadera[[#This Row],[Financiero $Corrientes]]/Producción_Ganadera[[#This Row],[Indexación Financiero]],0)</f>
        <v>0</v>
      </c>
      <c r="Z20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0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00" s="885">
        <f>IFERROR(Producción_Ganadera[[#This Row],[Intereses $Corrientes]]/Producción_Ganadera[[#This Row],[Indexación Financiero]],0)</f>
        <v>0</v>
      </c>
      <c r="AC20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00" s="915" t="str">
        <f>IFERROR(INDEX(Produccion_Ganadera_Cuentas[],MATCH(Producción_Ganadera[[#This Row],[Cuenta Contable]],Produccion_Ganadera_Cuentas[Cuenta Contable],0),2),0)</f>
        <v>Egreso</v>
      </c>
      <c r="AE200" s="916">
        <f>IF(Producción_Ganadera[[#This Row],[Mov. Stock]]="(+)",Producción_Ganadera[[#This Row],[Cabezas]],IF(Producción_Ganadera[[#This Row],[Mov. Stock]]="(-)",-Producción_Ganadera[[#This Row],[Cabezas]],0))</f>
        <v>0</v>
      </c>
      <c r="AF200" s="917">
        <f>IFERROR(INDEX(Produccion_Ganadera_Cuentas[],MATCH(Producción_Ganadera[[#This Row],[Cuenta Contable]],Produccion_Ganadera_Cuentas[Cuenta Contable],0),5),0)</f>
        <v>0</v>
      </c>
      <c r="AG200" s="918" t="str">
        <f>IF(Producción_Ganadera[[#This Row],[Cuenta Contable]]=Configuración!$AC$9,"Si","No")</f>
        <v>No</v>
      </c>
      <c r="AH200" s="887" t="str">
        <f>IFERROR(INDEX(Tabla9[],MATCH(Producción_Ganadera[[#This Row],[Movimiento]],Tabla9[Movimientos],0),2),0)</f>
        <v>Si</v>
      </c>
      <c r="AI200" s="888" t="str">
        <f>IFERROR(INDEX(Tabla9[],MATCH(Producción_Ganadera[[#This Row],[Movimiento]],Tabla9[Movimientos],0),3),0)</f>
        <v>(-)</v>
      </c>
      <c r="AJ200" s="885">
        <f>IF(Producción_Ganadera[[#This Row],[Fecha Económico]]=0,0,MONTH(Producción_Ganadera[[#This Row],[Fecha Económico]]))</f>
        <v>5</v>
      </c>
      <c r="AK200" s="885">
        <f>IF(Producción_Ganadera[[#This Row],[Fecha Económico]]=0,0,YEAR(Producción_Ganadera[[#This Row],[Fecha Económico]]))</f>
        <v>2019</v>
      </c>
      <c r="AL200" s="889">
        <f>SUMPRODUCT((Producción_Ganadera[[#This Row],[Mes Económico]]=Tipo_Cambio[Mes])*(Producción_Ganadera[[#This Row],[Año Económico]]=Tipo_Cambio[Año])*(Tipo_Cambio[$/U$S]))</f>
        <v>24.301686759046497</v>
      </c>
      <c r="AM200" s="889">
        <f>SUMPRODUCT((Producción_Ganadera[[#This Row],[Mes Económico]]=Tipo_Cambio[Mes])*(Producción_Ganadera[[#This Row],[Año Económico]]=Tipo_Cambio[Año])*(Tipo_Cambio[Actualización]))</f>
        <v>1.2189944199947573</v>
      </c>
      <c r="AN200" s="885">
        <f>IF(ISNUMBER(Producción_Ganadera[[#This Row],[Fecha Financiero]])=TRUE,MONTH(Producción_Ganadera[[#This Row],[Fecha Financiero]]),0)</f>
        <v>5</v>
      </c>
      <c r="AO200" s="885">
        <f>IF(ISNUMBER(Producción_Ganadera[[#This Row],[Fecha Financiero]])=TRUE,YEAR(Producción_Ganadera[[#This Row],[Fecha Financiero]]),0)</f>
        <v>2019</v>
      </c>
      <c r="AP200" s="889">
        <f>SUMPRODUCT((Producción_Ganadera[[#This Row],[Mes Financiero]]=Tipo_Cambio[Mes])*(Producción_Ganadera[[#This Row],[Año Financiero]]=Tipo_Cambio[Año])*(Tipo_Cambio[$/U$S]))</f>
        <v>24.301686759046497</v>
      </c>
      <c r="AQ200" s="889">
        <f>SUMPRODUCT((Producción_Ganadera[[#This Row],[Mes Financiero]]=Tipo_Cambio[Mes])*(Producción_Ganadera[[#This Row],[Año Financiero]]=Tipo_Cambio[Año])*(Tipo_Cambio[Actualización]))</f>
        <v>1.2189944199947573</v>
      </c>
      <c r="AR200" s="919">
        <f>SUMPRODUCT((Producción_Ganadera[[#This Row],[Centro de Costo]]=Tabla19[Centro de Costo])*(Tabla19[Superficie])*(Producción_Ganadera[[#This Row],[Campaña]]=Tabla19[Campaña]))</f>
        <v>0</v>
      </c>
      <c r="AS200" s="918">
        <f>IFERROR(Producción_Ganadera[[#This Row],[Económico $Corrientes]]/Producción_Ganadera[[#This Row],[Superficie]],0)</f>
        <v>0</v>
      </c>
      <c r="AT200" s="918">
        <f>IFERROR(Producción_Ganadera[[#This Row],[Económico $Constantes]]/Producción_Ganadera[[#This Row],[Superficie]],0)</f>
        <v>0</v>
      </c>
      <c r="AU200" s="918">
        <f>IFERROR(Producción_Ganadera[[#This Row],[Económico U$S Dólares]]/Producción_Ganadera[[#This Row],[Superficie]],0)</f>
        <v>0</v>
      </c>
      <c r="AV200" s="916" t="str">
        <f>IF(Económico!$F$4=0,0,Producción_Ganadera[[#This Row],[Centro de Costo]])</f>
        <v>Campo 1</v>
      </c>
    </row>
    <row r="201" spans="4:48" x14ac:dyDescent="0.25">
      <c r="D201" s="478">
        <f t="shared" si="12"/>
        <v>43617</v>
      </c>
      <c r="E201" s="522">
        <f>+Producción_Ganadera[[#This Row],[Fecha Económico]]+9</f>
        <v>43626</v>
      </c>
      <c r="F201" s="869" t="str">
        <f t="shared" si="13"/>
        <v>2018-2019</v>
      </c>
      <c r="G201" s="491" t="str">
        <f>GAN_Personal</f>
        <v>Personal</v>
      </c>
      <c r="H201" s="491" t="s">
        <v>2</v>
      </c>
      <c r="I201" s="491"/>
      <c r="J201" s="549"/>
      <c r="K201" s="491"/>
      <c r="L201" s="520"/>
      <c r="M20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0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01" s="611"/>
      <c r="P201" s="484"/>
      <c r="Q201" s="875">
        <f>IF(ISNUMBER(Producción_Ganadera[[#This Row],[Cabezas]])=TRUE,Producción_Ganadera[[#This Row],[Cabezas]]*Producción_Ganadera[[#This Row],[Cantidad]],Producción_Ganadera[[#This Row],[Cantidad]])</f>
        <v>0</v>
      </c>
      <c r="R201" s="482"/>
      <c r="S201" s="552" t="s">
        <v>48</v>
      </c>
      <c r="T201" s="553"/>
      <c r="U20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01" s="881">
        <f>IFERROR(Producción_Ganadera[[#This Row],[Económico $Corrientes]]/Producción_Ganadera[[#This Row],[Indexación Económico]],0)</f>
        <v>0</v>
      </c>
      <c r="W20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0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01" s="881">
        <f>IFERROR(Producción_Ganadera[[#This Row],[Financiero $Corrientes]]/Producción_Ganadera[[#This Row],[Indexación Financiero]],0)</f>
        <v>0</v>
      </c>
      <c r="Z20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0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01" s="885">
        <f>IFERROR(Producción_Ganadera[[#This Row],[Intereses $Corrientes]]/Producción_Ganadera[[#This Row],[Indexación Financiero]],0)</f>
        <v>0</v>
      </c>
      <c r="AC20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01" s="915" t="str">
        <f>IFERROR(INDEX(Produccion_Ganadera_Cuentas[],MATCH(Producción_Ganadera[[#This Row],[Cuenta Contable]],Produccion_Ganadera_Cuentas[Cuenta Contable],0),2),0)</f>
        <v>Egreso</v>
      </c>
      <c r="AE201" s="916">
        <f>IF(Producción_Ganadera[[#This Row],[Mov. Stock]]="(+)",Producción_Ganadera[[#This Row],[Cabezas]],IF(Producción_Ganadera[[#This Row],[Mov. Stock]]="(-)",-Producción_Ganadera[[#This Row],[Cabezas]],0))</f>
        <v>0</v>
      </c>
      <c r="AF201" s="917">
        <f>IFERROR(INDEX(Produccion_Ganadera_Cuentas[],MATCH(Producción_Ganadera[[#This Row],[Cuenta Contable]],Produccion_Ganadera_Cuentas[Cuenta Contable],0),5),0)</f>
        <v>0</v>
      </c>
      <c r="AG201" s="918" t="str">
        <f>IF(Producción_Ganadera[[#This Row],[Cuenta Contable]]=Configuración!$AC$9,"Si","No")</f>
        <v>No</v>
      </c>
      <c r="AH201" s="887" t="str">
        <f>IFERROR(INDEX(Tabla9[],MATCH(Producción_Ganadera[[#This Row],[Movimiento]],Tabla9[Movimientos],0),2),0)</f>
        <v>Si</v>
      </c>
      <c r="AI201" s="888" t="str">
        <f>IFERROR(INDEX(Tabla9[],MATCH(Producción_Ganadera[[#This Row],[Movimiento]],Tabla9[Movimientos],0),3),0)</f>
        <v>(-)</v>
      </c>
      <c r="AJ201" s="885">
        <f>IF(Producción_Ganadera[[#This Row],[Fecha Económico]]=0,0,MONTH(Producción_Ganadera[[#This Row],[Fecha Económico]]))</f>
        <v>6</v>
      </c>
      <c r="AK201" s="885">
        <f>IF(Producción_Ganadera[[#This Row],[Fecha Económico]]=0,0,YEAR(Producción_Ganadera[[#This Row],[Fecha Económico]]))</f>
        <v>2019</v>
      </c>
      <c r="AL201" s="889">
        <f>SUMPRODUCT((Producción_Ganadera[[#This Row],[Mes Económico]]=Tipo_Cambio[Mes])*(Producción_Ganadera[[#This Row],[Año Económico]]=Tipo_Cambio[Año])*(Tipo_Cambio[$/U$S]))</f>
        <v>24.544703626636963</v>
      </c>
      <c r="AM201" s="889">
        <f>SUMPRODUCT((Producción_Ganadera[[#This Row],[Mes Económico]]=Tipo_Cambio[Mes])*(Producción_Ganadera[[#This Row],[Año Económico]]=Tipo_Cambio[Año])*(Tipo_Cambio[Actualización]))</f>
        <v>1.2433743083946525</v>
      </c>
      <c r="AN201" s="885">
        <f>IF(ISNUMBER(Producción_Ganadera[[#This Row],[Fecha Financiero]])=TRUE,MONTH(Producción_Ganadera[[#This Row],[Fecha Financiero]]),0)</f>
        <v>6</v>
      </c>
      <c r="AO201" s="885">
        <f>IF(ISNUMBER(Producción_Ganadera[[#This Row],[Fecha Financiero]])=TRUE,YEAR(Producción_Ganadera[[#This Row],[Fecha Financiero]]),0)</f>
        <v>2019</v>
      </c>
      <c r="AP201" s="889">
        <f>SUMPRODUCT((Producción_Ganadera[[#This Row],[Mes Financiero]]=Tipo_Cambio[Mes])*(Producción_Ganadera[[#This Row],[Año Financiero]]=Tipo_Cambio[Año])*(Tipo_Cambio[$/U$S]))</f>
        <v>24.544703626636963</v>
      </c>
      <c r="AQ201" s="889">
        <f>SUMPRODUCT((Producción_Ganadera[[#This Row],[Mes Financiero]]=Tipo_Cambio[Mes])*(Producción_Ganadera[[#This Row],[Año Financiero]]=Tipo_Cambio[Año])*(Tipo_Cambio[Actualización]))</f>
        <v>1.2433743083946525</v>
      </c>
      <c r="AR201" s="919">
        <f>SUMPRODUCT((Producción_Ganadera[[#This Row],[Centro de Costo]]=Tabla19[Centro de Costo])*(Tabla19[Superficie])*(Producción_Ganadera[[#This Row],[Campaña]]=Tabla19[Campaña]))</f>
        <v>0</v>
      </c>
      <c r="AS201" s="918">
        <f>IFERROR(Producción_Ganadera[[#This Row],[Económico $Corrientes]]/Producción_Ganadera[[#This Row],[Superficie]],0)</f>
        <v>0</v>
      </c>
      <c r="AT201" s="918">
        <f>IFERROR(Producción_Ganadera[[#This Row],[Económico $Constantes]]/Producción_Ganadera[[#This Row],[Superficie]],0)</f>
        <v>0</v>
      </c>
      <c r="AU201" s="918">
        <f>IFERROR(Producción_Ganadera[[#This Row],[Económico U$S Dólares]]/Producción_Ganadera[[#This Row],[Superficie]],0)</f>
        <v>0</v>
      </c>
      <c r="AV201" s="916" t="str">
        <f>IF(Económico!$F$4=0,0,Producción_Ganadera[[#This Row],[Centro de Costo]])</f>
        <v>Campo 1</v>
      </c>
    </row>
    <row r="202" spans="4:48" x14ac:dyDescent="0.25">
      <c r="D202" s="478">
        <f t="shared" si="12"/>
        <v>43617</v>
      </c>
      <c r="E202" s="522">
        <f>+Producción_Ganadera[[#This Row],[Fecha Económico]]+9</f>
        <v>43626</v>
      </c>
      <c r="F202" s="869" t="str">
        <f t="shared" si="13"/>
        <v>2018-2019</v>
      </c>
      <c r="G202" s="491" t="str">
        <f>GAN_Cargas_Sociales</f>
        <v>Cargas Sociales</v>
      </c>
      <c r="H202" s="491" t="s">
        <v>2</v>
      </c>
      <c r="I202" s="491"/>
      <c r="J202" s="549"/>
      <c r="K202" s="491"/>
      <c r="L202" s="520"/>
      <c r="M20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0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02" s="611"/>
      <c r="P202" s="484"/>
      <c r="Q202" s="875">
        <f>IF(ISNUMBER(Producción_Ganadera[[#This Row],[Cabezas]])=TRUE,Producción_Ganadera[[#This Row],[Cabezas]]*Producción_Ganadera[[#This Row],[Cantidad]],Producción_Ganadera[[#This Row],[Cantidad]])</f>
        <v>0</v>
      </c>
      <c r="R202" s="482"/>
      <c r="S202" s="552" t="s">
        <v>48</v>
      </c>
      <c r="T202" s="553"/>
      <c r="U20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02" s="881">
        <f>IFERROR(Producción_Ganadera[[#This Row],[Económico $Corrientes]]/Producción_Ganadera[[#This Row],[Indexación Económico]],0)</f>
        <v>0</v>
      </c>
      <c r="W20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0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02" s="881">
        <f>IFERROR(Producción_Ganadera[[#This Row],[Financiero $Corrientes]]/Producción_Ganadera[[#This Row],[Indexación Financiero]],0)</f>
        <v>0</v>
      </c>
      <c r="Z20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0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02" s="885">
        <f>IFERROR(Producción_Ganadera[[#This Row],[Intereses $Corrientes]]/Producción_Ganadera[[#This Row],[Indexación Financiero]],0)</f>
        <v>0</v>
      </c>
      <c r="AC20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02" s="915" t="str">
        <f>IFERROR(INDEX(Produccion_Ganadera_Cuentas[],MATCH(Producción_Ganadera[[#This Row],[Cuenta Contable]],Produccion_Ganadera_Cuentas[Cuenta Contable],0),2),0)</f>
        <v>Egreso</v>
      </c>
      <c r="AE202" s="916">
        <f>IF(Producción_Ganadera[[#This Row],[Mov. Stock]]="(+)",Producción_Ganadera[[#This Row],[Cabezas]],IF(Producción_Ganadera[[#This Row],[Mov. Stock]]="(-)",-Producción_Ganadera[[#This Row],[Cabezas]],0))</f>
        <v>0</v>
      </c>
      <c r="AF202" s="917">
        <f>IFERROR(INDEX(Produccion_Ganadera_Cuentas[],MATCH(Producción_Ganadera[[#This Row],[Cuenta Contable]],Produccion_Ganadera_Cuentas[Cuenta Contable],0),5),0)</f>
        <v>0</v>
      </c>
      <c r="AG202" s="918" t="str">
        <f>IF(Producción_Ganadera[[#This Row],[Cuenta Contable]]=Configuración!$AC$9,"Si","No")</f>
        <v>No</v>
      </c>
      <c r="AH202" s="887" t="str">
        <f>IFERROR(INDEX(Tabla9[],MATCH(Producción_Ganadera[[#This Row],[Movimiento]],Tabla9[Movimientos],0),2),0)</f>
        <v>Si</v>
      </c>
      <c r="AI202" s="888" t="str">
        <f>IFERROR(INDEX(Tabla9[],MATCH(Producción_Ganadera[[#This Row],[Movimiento]],Tabla9[Movimientos],0),3),0)</f>
        <v>(-)</v>
      </c>
      <c r="AJ202" s="885">
        <f>IF(Producción_Ganadera[[#This Row],[Fecha Económico]]=0,0,MONTH(Producción_Ganadera[[#This Row],[Fecha Económico]]))</f>
        <v>6</v>
      </c>
      <c r="AK202" s="885">
        <f>IF(Producción_Ganadera[[#This Row],[Fecha Económico]]=0,0,YEAR(Producción_Ganadera[[#This Row],[Fecha Económico]]))</f>
        <v>2019</v>
      </c>
      <c r="AL202" s="889">
        <f>SUMPRODUCT((Producción_Ganadera[[#This Row],[Mes Económico]]=Tipo_Cambio[Mes])*(Producción_Ganadera[[#This Row],[Año Económico]]=Tipo_Cambio[Año])*(Tipo_Cambio[$/U$S]))</f>
        <v>24.544703626636963</v>
      </c>
      <c r="AM202" s="889">
        <f>SUMPRODUCT((Producción_Ganadera[[#This Row],[Mes Económico]]=Tipo_Cambio[Mes])*(Producción_Ganadera[[#This Row],[Año Económico]]=Tipo_Cambio[Año])*(Tipo_Cambio[Actualización]))</f>
        <v>1.2433743083946525</v>
      </c>
      <c r="AN202" s="885">
        <f>IF(ISNUMBER(Producción_Ganadera[[#This Row],[Fecha Financiero]])=TRUE,MONTH(Producción_Ganadera[[#This Row],[Fecha Financiero]]),0)</f>
        <v>6</v>
      </c>
      <c r="AO202" s="885">
        <f>IF(ISNUMBER(Producción_Ganadera[[#This Row],[Fecha Financiero]])=TRUE,YEAR(Producción_Ganadera[[#This Row],[Fecha Financiero]]),0)</f>
        <v>2019</v>
      </c>
      <c r="AP202" s="889">
        <f>SUMPRODUCT((Producción_Ganadera[[#This Row],[Mes Financiero]]=Tipo_Cambio[Mes])*(Producción_Ganadera[[#This Row],[Año Financiero]]=Tipo_Cambio[Año])*(Tipo_Cambio[$/U$S]))</f>
        <v>24.544703626636963</v>
      </c>
      <c r="AQ202" s="889">
        <f>SUMPRODUCT((Producción_Ganadera[[#This Row],[Mes Financiero]]=Tipo_Cambio[Mes])*(Producción_Ganadera[[#This Row],[Año Financiero]]=Tipo_Cambio[Año])*(Tipo_Cambio[Actualización]))</f>
        <v>1.2433743083946525</v>
      </c>
      <c r="AR202" s="919">
        <f>SUMPRODUCT((Producción_Ganadera[[#This Row],[Centro de Costo]]=Tabla19[Centro de Costo])*(Tabla19[Superficie])*(Producción_Ganadera[[#This Row],[Campaña]]=Tabla19[Campaña]))</f>
        <v>0</v>
      </c>
      <c r="AS202" s="918">
        <f>IFERROR(Producción_Ganadera[[#This Row],[Económico $Corrientes]]/Producción_Ganadera[[#This Row],[Superficie]],0)</f>
        <v>0</v>
      </c>
      <c r="AT202" s="918">
        <f>IFERROR(Producción_Ganadera[[#This Row],[Económico $Constantes]]/Producción_Ganadera[[#This Row],[Superficie]],0)</f>
        <v>0</v>
      </c>
      <c r="AU202" s="918">
        <f>IFERROR(Producción_Ganadera[[#This Row],[Económico U$S Dólares]]/Producción_Ganadera[[#This Row],[Superficie]],0)</f>
        <v>0</v>
      </c>
      <c r="AV202" s="916" t="str">
        <f>IF(Económico!$F$4=0,0,Producción_Ganadera[[#This Row],[Centro de Costo]])</f>
        <v>Campo 1</v>
      </c>
    </row>
    <row r="203" spans="4:48" x14ac:dyDescent="0.25">
      <c r="D203" s="535">
        <f t="shared" si="12"/>
        <v>43617</v>
      </c>
      <c r="E203" s="610">
        <f>+Producción_Ganadera[[#This Row],[Fecha Económico]]+9</f>
        <v>43626</v>
      </c>
      <c r="F203" s="870" t="str">
        <f t="shared" si="13"/>
        <v>2018-2019</v>
      </c>
      <c r="G203" s="538" t="str">
        <f>GAN_Manutención_Personal</f>
        <v>Manutención Personal</v>
      </c>
      <c r="H203" s="538" t="s">
        <v>2</v>
      </c>
      <c r="I203" s="538"/>
      <c r="J203" s="584"/>
      <c r="K203" s="538"/>
      <c r="L203" s="585"/>
      <c r="M203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03" s="870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03" s="612"/>
      <c r="P203" s="540"/>
      <c r="Q203" s="876">
        <f>IF(ISNUMBER(Producción_Ganadera[[#This Row],[Cabezas]])=TRUE,Producción_Ganadera[[#This Row],[Cabezas]]*Producción_Ganadera[[#This Row],[Cantidad]],Producción_Ganadera[[#This Row],[Cantidad]])</f>
        <v>0</v>
      </c>
      <c r="R203" s="613"/>
      <c r="S203" s="588" t="s">
        <v>48</v>
      </c>
      <c r="T203" s="589"/>
      <c r="U203" s="895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03" s="893">
        <f>IFERROR(Producción_Ganadera[[#This Row],[Económico $Corrientes]]/Producción_Ganadera[[#This Row],[Indexación Económico]],0)</f>
        <v>0</v>
      </c>
      <c r="W203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03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03" s="893">
        <f>IFERROR(Producción_Ganadera[[#This Row],[Financiero $Corrientes]]/Producción_Ganadera[[#This Row],[Indexación Financiero]],0)</f>
        <v>0</v>
      </c>
      <c r="Z203" s="92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03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03" s="897">
        <f>IFERROR(Producción_Ganadera[[#This Row],[Intereses $Corrientes]]/Producción_Ganadera[[#This Row],[Indexación Financiero]],0)</f>
        <v>0</v>
      </c>
      <c r="AC203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03" s="922" t="str">
        <f>IFERROR(INDEX(Produccion_Ganadera_Cuentas[],MATCH(Producción_Ganadera[[#This Row],[Cuenta Contable]],Produccion_Ganadera_Cuentas[Cuenta Contable],0),2),0)</f>
        <v>Egreso</v>
      </c>
      <c r="AE203" s="923">
        <f>IF(Producción_Ganadera[[#This Row],[Mov. Stock]]="(+)",Producción_Ganadera[[#This Row],[Cabezas]],IF(Producción_Ganadera[[#This Row],[Mov. Stock]]="(-)",-Producción_Ganadera[[#This Row],[Cabezas]],0))</f>
        <v>0</v>
      </c>
      <c r="AF203" s="924">
        <f>IFERROR(INDEX(Produccion_Ganadera_Cuentas[],MATCH(Producción_Ganadera[[#This Row],[Cuenta Contable]],Produccion_Ganadera_Cuentas[Cuenta Contable],0),5),0)</f>
        <v>0</v>
      </c>
      <c r="AG203" s="925" t="str">
        <f>IF(Producción_Ganadera[[#This Row],[Cuenta Contable]]=Configuración!$AC$9,"Si","No")</f>
        <v>No</v>
      </c>
      <c r="AH203" s="899" t="str">
        <f>IFERROR(INDEX(Tabla9[],MATCH(Producción_Ganadera[[#This Row],[Movimiento]],Tabla9[Movimientos],0),2),0)</f>
        <v>Si</v>
      </c>
      <c r="AI203" s="900" t="str">
        <f>IFERROR(INDEX(Tabla9[],MATCH(Producción_Ganadera[[#This Row],[Movimiento]],Tabla9[Movimientos],0),3),0)</f>
        <v>(-)</v>
      </c>
      <c r="AJ203" s="897">
        <f>IF(Producción_Ganadera[[#This Row],[Fecha Económico]]=0,0,MONTH(Producción_Ganadera[[#This Row],[Fecha Económico]]))</f>
        <v>6</v>
      </c>
      <c r="AK203" s="897">
        <f>IF(Producción_Ganadera[[#This Row],[Fecha Económico]]=0,0,YEAR(Producción_Ganadera[[#This Row],[Fecha Económico]]))</f>
        <v>2019</v>
      </c>
      <c r="AL203" s="901">
        <f>SUMPRODUCT((Producción_Ganadera[[#This Row],[Mes Económico]]=Tipo_Cambio[Mes])*(Producción_Ganadera[[#This Row],[Año Económico]]=Tipo_Cambio[Año])*(Tipo_Cambio[$/U$S]))</f>
        <v>24.544703626636963</v>
      </c>
      <c r="AM203" s="901">
        <f>SUMPRODUCT((Producción_Ganadera[[#This Row],[Mes Económico]]=Tipo_Cambio[Mes])*(Producción_Ganadera[[#This Row],[Año Económico]]=Tipo_Cambio[Año])*(Tipo_Cambio[Actualización]))</f>
        <v>1.2433743083946525</v>
      </c>
      <c r="AN203" s="897">
        <f>IF(ISNUMBER(Producción_Ganadera[[#This Row],[Fecha Financiero]])=TRUE,MONTH(Producción_Ganadera[[#This Row],[Fecha Financiero]]),0)</f>
        <v>6</v>
      </c>
      <c r="AO203" s="897">
        <f>IF(ISNUMBER(Producción_Ganadera[[#This Row],[Fecha Financiero]])=TRUE,YEAR(Producción_Ganadera[[#This Row],[Fecha Financiero]]),0)</f>
        <v>2019</v>
      </c>
      <c r="AP203" s="901">
        <f>SUMPRODUCT((Producción_Ganadera[[#This Row],[Mes Financiero]]=Tipo_Cambio[Mes])*(Producción_Ganadera[[#This Row],[Año Financiero]]=Tipo_Cambio[Año])*(Tipo_Cambio[$/U$S]))</f>
        <v>24.544703626636963</v>
      </c>
      <c r="AQ203" s="901">
        <f>SUMPRODUCT((Producción_Ganadera[[#This Row],[Mes Financiero]]=Tipo_Cambio[Mes])*(Producción_Ganadera[[#This Row],[Año Financiero]]=Tipo_Cambio[Año])*(Tipo_Cambio[Actualización]))</f>
        <v>1.2433743083946525</v>
      </c>
      <c r="AR203" s="926">
        <f>SUMPRODUCT((Producción_Ganadera[[#This Row],[Centro de Costo]]=Tabla19[Centro de Costo])*(Tabla19[Superficie])*(Producción_Ganadera[[#This Row],[Campaña]]=Tabla19[Campaña]))</f>
        <v>0</v>
      </c>
      <c r="AS203" s="925">
        <f>IFERROR(Producción_Ganadera[[#This Row],[Económico $Corrientes]]/Producción_Ganadera[[#This Row],[Superficie]],0)</f>
        <v>0</v>
      </c>
      <c r="AT203" s="925">
        <f>IFERROR(Producción_Ganadera[[#This Row],[Económico $Constantes]]/Producción_Ganadera[[#This Row],[Superficie]],0)</f>
        <v>0</v>
      </c>
      <c r="AU203" s="925">
        <f>IFERROR(Producción_Ganadera[[#This Row],[Económico U$S Dólares]]/Producción_Ganadera[[#This Row],[Superficie]],0)</f>
        <v>0</v>
      </c>
      <c r="AV203" s="923" t="str">
        <f>IF(Económico!$F$4=0,0,Producción_Ganadera[[#This Row],[Centro de Costo]])</f>
        <v>Campo 1</v>
      </c>
    </row>
    <row r="204" spans="4:48" x14ac:dyDescent="0.25">
      <c r="D204" s="478">
        <f>DATE(LEFT(Producción_Ganadera[[#This Row],[Campaña]],4),7,1)</f>
        <v>43282</v>
      </c>
      <c r="E204" s="522">
        <f>+Producción_Ganadera[[#This Row],[Fecha Económico]]+9</f>
        <v>43291</v>
      </c>
      <c r="F204" s="869" t="str">
        <f t="shared" si="13"/>
        <v>2018-2019</v>
      </c>
      <c r="G204" s="491" t="str">
        <f>GAN_Personal</f>
        <v>Personal</v>
      </c>
      <c r="H204" s="491" t="s">
        <v>8</v>
      </c>
      <c r="I204" s="491"/>
      <c r="J204" s="549"/>
      <c r="K204" s="491"/>
      <c r="L204" s="520"/>
      <c r="M20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0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04" s="611"/>
      <c r="P204" s="484"/>
      <c r="Q204" s="875">
        <f>IF(ISNUMBER(Producción_Ganadera[[#This Row],[Cabezas]])=TRUE,Producción_Ganadera[[#This Row],[Cabezas]]*Producción_Ganadera[[#This Row],[Cantidad]],Producción_Ganadera[[#This Row],[Cantidad]])</f>
        <v>0</v>
      </c>
      <c r="R204" s="482"/>
      <c r="S204" s="552" t="s">
        <v>48</v>
      </c>
      <c r="T204" s="553"/>
      <c r="U20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04" s="881">
        <f>IFERROR(Producción_Ganadera[[#This Row],[Económico $Corrientes]]/Producción_Ganadera[[#This Row],[Indexación Económico]],0)</f>
        <v>0</v>
      </c>
      <c r="W20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0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04" s="881">
        <f>IFERROR(Producción_Ganadera[[#This Row],[Financiero $Corrientes]]/Producción_Ganadera[[#This Row],[Indexación Financiero]],0)</f>
        <v>0</v>
      </c>
      <c r="Z20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0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04" s="885">
        <f>IFERROR(Producción_Ganadera[[#This Row],[Intereses $Corrientes]]/Producción_Ganadera[[#This Row],[Indexación Financiero]],0)</f>
        <v>0</v>
      </c>
      <c r="AC20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04" s="915" t="str">
        <f>IFERROR(INDEX(Produccion_Ganadera_Cuentas[],MATCH(Producción_Ganadera[[#This Row],[Cuenta Contable]],Produccion_Ganadera_Cuentas[Cuenta Contable],0),2),0)</f>
        <v>Egreso</v>
      </c>
      <c r="AE204" s="916">
        <f>IF(Producción_Ganadera[[#This Row],[Mov. Stock]]="(+)",Producción_Ganadera[[#This Row],[Cabezas]],IF(Producción_Ganadera[[#This Row],[Mov. Stock]]="(-)",-Producción_Ganadera[[#This Row],[Cabezas]],0))</f>
        <v>0</v>
      </c>
      <c r="AF204" s="917">
        <f>IFERROR(INDEX(Produccion_Ganadera_Cuentas[],MATCH(Producción_Ganadera[[#This Row],[Cuenta Contable]],Produccion_Ganadera_Cuentas[Cuenta Contable],0),5),0)</f>
        <v>0</v>
      </c>
      <c r="AG204" s="918" t="str">
        <f>IF(Producción_Ganadera[[#This Row],[Cuenta Contable]]=Configuración!$AC$9,"Si","No")</f>
        <v>No</v>
      </c>
      <c r="AH204" s="887" t="str">
        <f>IFERROR(INDEX(Tabla9[],MATCH(Producción_Ganadera[[#This Row],[Movimiento]],Tabla9[Movimientos],0),2),0)</f>
        <v>Si</v>
      </c>
      <c r="AI204" s="888" t="str">
        <f>IFERROR(INDEX(Tabla9[],MATCH(Producción_Ganadera[[#This Row],[Movimiento]],Tabla9[Movimientos],0),3),0)</f>
        <v>(-)</v>
      </c>
      <c r="AJ204" s="885">
        <f>IF(Producción_Ganadera[[#This Row],[Fecha Económico]]=0,0,MONTH(Producción_Ganadera[[#This Row],[Fecha Económico]]))</f>
        <v>7</v>
      </c>
      <c r="AK204" s="885">
        <f>IF(Producción_Ganadera[[#This Row],[Fecha Económico]]=0,0,YEAR(Producción_Ganadera[[#This Row],[Fecha Económico]]))</f>
        <v>2018</v>
      </c>
      <c r="AL204" s="889">
        <f>SUMPRODUCT((Producción_Ganadera[[#This Row],[Mes Económico]]=Tipo_Cambio[Mes])*(Producción_Ganadera[[#This Row],[Año Económico]]=Tipo_Cambio[Año])*(Tipo_Cambio[$/U$S]))</f>
        <v>22</v>
      </c>
      <c r="AM204" s="889">
        <f>SUMPRODUCT((Producción_Ganadera[[#This Row],[Mes Económico]]=Tipo_Cambio[Mes])*(Producción_Ganadera[[#This Row],[Año Económico]]=Tipo_Cambio[Año])*(Tipo_Cambio[Actualización]))</f>
        <v>1</v>
      </c>
      <c r="AN204" s="885">
        <f>IF(ISNUMBER(Producción_Ganadera[[#This Row],[Fecha Financiero]])=TRUE,MONTH(Producción_Ganadera[[#This Row],[Fecha Financiero]]),0)</f>
        <v>7</v>
      </c>
      <c r="AO204" s="885">
        <f>IF(ISNUMBER(Producción_Ganadera[[#This Row],[Fecha Financiero]])=TRUE,YEAR(Producción_Ganadera[[#This Row],[Fecha Financiero]]),0)</f>
        <v>2018</v>
      </c>
      <c r="AP204" s="889">
        <f>SUMPRODUCT((Producción_Ganadera[[#This Row],[Mes Financiero]]=Tipo_Cambio[Mes])*(Producción_Ganadera[[#This Row],[Año Financiero]]=Tipo_Cambio[Año])*(Tipo_Cambio[$/U$S]))</f>
        <v>22</v>
      </c>
      <c r="AQ204" s="889">
        <f>SUMPRODUCT((Producción_Ganadera[[#This Row],[Mes Financiero]]=Tipo_Cambio[Mes])*(Producción_Ganadera[[#This Row],[Año Financiero]]=Tipo_Cambio[Año])*(Tipo_Cambio[Actualización]))</f>
        <v>1</v>
      </c>
      <c r="AR204" s="919">
        <f>SUMPRODUCT((Producción_Ganadera[[#This Row],[Centro de Costo]]=Tabla19[Centro de Costo])*(Tabla19[Superficie])*(Producción_Ganadera[[#This Row],[Campaña]]=Tabla19[Campaña]))</f>
        <v>0</v>
      </c>
      <c r="AS204" s="918">
        <f>IFERROR(Producción_Ganadera[[#This Row],[Económico $Corrientes]]/Producción_Ganadera[[#This Row],[Superficie]],0)</f>
        <v>0</v>
      </c>
      <c r="AT204" s="918">
        <f>IFERROR(Producción_Ganadera[[#This Row],[Económico $Constantes]]/Producción_Ganadera[[#This Row],[Superficie]],0)</f>
        <v>0</v>
      </c>
      <c r="AU204" s="918">
        <f>IFERROR(Producción_Ganadera[[#This Row],[Económico U$S Dólares]]/Producción_Ganadera[[#This Row],[Superficie]],0)</f>
        <v>0</v>
      </c>
      <c r="AV204" s="916" t="str">
        <f>IF(Económico!$F$4=0,0,Producción_Ganadera[[#This Row],[Centro de Costo]])</f>
        <v>Campo 2</v>
      </c>
    </row>
    <row r="205" spans="4:48" x14ac:dyDescent="0.25">
      <c r="D205" s="478">
        <f>DATE(LEFT(Producción_Ganadera[[#This Row],[Campaña]],4),7,1)</f>
        <v>43282</v>
      </c>
      <c r="E205" s="522">
        <f>+Producción_Ganadera[[#This Row],[Fecha Económico]]+9</f>
        <v>43291</v>
      </c>
      <c r="F205" s="869" t="str">
        <f t="shared" si="13"/>
        <v>2018-2019</v>
      </c>
      <c r="G205" s="491" t="str">
        <f>GAN_Cargas_Sociales</f>
        <v>Cargas Sociales</v>
      </c>
      <c r="H205" s="491" t="s">
        <v>8</v>
      </c>
      <c r="I205" s="491"/>
      <c r="J205" s="549"/>
      <c r="K205" s="491"/>
      <c r="L205" s="520"/>
      <c r="M20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0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05" s="611"/>
      <c r="P205" s="484"/>
      <c r="Q205" s="875">
        <f>IF(ISNUMBER(Producción_Ganadera[[#This Row],[Cabezas]])=TRUE,Producción_Ganadera[[#This Row],[Cabezas]]*Producción_Ganadera[[#This Row],[Cantidad]],Producción_Ganadera[[#This Row],[Cantidad]])</f>
        <v>0</v>
      </c>
      <c r="R205" s="482"/>
      <c r="S205" s="552" t="s">
        <v>48</v>
      </c>
      <c r="T205" s="553"/>
      <c r="U20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05" s="881">
        <f>IFERROR(Producción_Ganadera[[#This Row],[Económico $Corrientes]]/Producción_Ganadera[[#This Row],[Indexación Económico]],0)</f>
        <v>0</v>
      </c>
      <c r="W20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0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05" s="881">
        <f>IFERROR(Producción_Ganadera[[#This Row],[Financiero $Corrientes]]/Producción_Ganadera[[#This Row],[Indexación Financiero]],0)</f>
        <v>0</v>
      </c>
      <c r="Z20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0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05" s="885">
        <f>IFERROR(Producción_Ganadera[[#This Row],[Intereses $Corrientes]]/Producción_Ganadera[[#This Row],[Indexación Financiero]],0)</f>
        <v>0</v>
      </c>
      <c r="AC20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05" s="915" t="str">
        <f>IFERROR(INDEX(Produccion_Ganadera_Cuentas[],MATCH(Producción_Ganadera[[#This Row],[Cuenta Contable]],Produccion_Ganadera_Cuentas[Cuenta Contable],0),2),0)</f>
        <v>Egreso</v>
      </c>
      <c r="AE205" s="916">
        <f>IF(Producción_Ganadera[[#This Row],[Mov. Stock]]="(+)",Producción_Ganadera[[#This Row],[Cabezas]],IF(Producción_Ganadera[[#This Row],[Mov. Stock]]="(-)",-Producción_Ganadera[[#This Row],[Cabezas]],0))</f>
        <v>0</v>
      </c>
      <c r="AF205" s="917">
        <f>IFERROR(INDEX(Produccion_Ganadera_Cuentas[],MATCH(Producción_Ganadera[[#This Row],[Cuenta Contable]],Produccion_Ganadera_Cuentas[Cuenta Contable],0),5),0)</f>
        <v>0</v>
      </c>
      <c r="AG205" s="918" t="str">
        <f>IF(Producción_Ganadera[[#This Row],[Cuenta Contable]]=Configuración!$AC$9,"Si","No")</f>
        <v>No</v>
      </c>
      <c r="AH205" s="887" t="str">
        <f>IFERROR(INDEX(Tabla9[],MATCH(Producción_Ganadera[[#This Row],[Movimiento]],Tabla9[Movimientos],0),2),0)</f>
        <v>Si</v>
      </c>
      <c r="AI205" s="888" t="str">
        <f>IFERROR(INDEX(Tabla9[],MATCH(Producción_Ganadera[[#This Row],[Movimiento]],Tabla9[Movimientos],0),3),0)</f>
        <v>(-)</v>
      </c>
      <c r="AJ205" s="885">
        <f>IF(Producción_Ganadera[[#This Row],[Fecha Económico]]=0,0,MONTH(Producción_Ganadera[[#This Row],[Fecha Económico]]))</f>
        <v>7</v>
      </c>
      <c r="AK205" s="885">
        <f>IF(Producción_Ganadera[[#This Row],[Fecha Económico]]=0,0,YEAR(Producción_Ganadera[[#This Row],[Fecha Económico]]))</f>
        <v>2018</v>
      </c>
      <c r="AL205" s="889">
        <f>SUMPRODUCT((Producción_Ganadera[[#This Row],[Mes Económico]]=Tipo_Cambio[Mes])*(Producción_Ganadera[[#This Row],[Año Económico]]=Tipo_Cambio[Año])*(Tipo_Cambio[$/U$S]))</f>
        <v>22</v>
      </c>
      <c r="AM205" s="889">
        <f>SUMPRODUCT((Producción_Ganadera[[#This Row],[Mes Económico]]=Tipo_Cambio[Mes])*(Producción_Ganadera[[#This Row],[Año Económico]]=Tipo_Cambio[Año])*(Tipo_Cambio[Actualización]))</f>
        <v>1</v>
      </c>
      <c r="AN205" s="885">
        <f>IF(ISNUMBER(Producción_Ganadera[[#This Row],[Fecha Financiero]])=TRUE,MONTH(Producción_Ganadera[[#This Row],[Fecha Financiero]]),0)</f>
        <v>7</v>
      </c>
      <c r="AO205" s="885">
        <f>IF(ISNUMBER(Producción_Ganadera[[#This Row],[Fecha Financiero]])=TRUE,YEAR(Producción_Ganadera[[#This Row],[Fecha Financiero]]),0)</f>
        <v>2018</v>
      </c>
      <c r="AP205" s="889">
        <f>SUMPRODUCT((Producción_Ganadera[[#This Row],[Mes Financiero]]=Tipo_Cambio[Mes])*(Producción_Ganadera[[#This Row],[Año Financiero]]=Tipo_Cambio[Año])*(Tipo_Cambio[$/U$S]))</f>
        <v>22</v>
      </c>
      <c r="AQ205" s="889">
        <f>SUMPRODUCT((Producción_Ganadera[[#This Row],[Mes Financiero]]=Tipo_Cambio[Mes])*(Producción_Ganadera[[#This Row],[Año Financiero]]=Tipo_Cambio[Año])*(Tipo_Cambio[Actualización]))</f>
        <v>1</v>
      </c>
      <c r="AR205" s="919">
        <f>SUMPRODUCT((Producción_Ganadera[[#This Row],[Centro de Costo]]=Tabla19[Centro de Costo])*(Tabla19[Superficie])*(Producción_Ganadera[[#This Row],[Campaña]]=Tabla19[Campaña]))</f>
        <v>0</v>
      </c>
      <c r="AS205" s="918">
        <f>IFERROR(Producción_Ganadera[[#This Row],[Económico $Corrientes]]/Producción_Ganadera[[#This Row],[Superficie]],0)</f>
        <v>0</v>
      </c>
      <c r="AT205" s="918">
        <f>IFERROR(Producción_Ganadera[[#This Row],[Económico $Constantes]]/Producción_Ganadera[[#This Row],[Superficie]],0)</f>
        <v>0</v>
      </c>
      <c r="AU205" s="918">
        <f>IFERROR(Producción_Ganadera[[#This Row],[Económico U$S Dólares]]/Producción_Ganadera[[#This Row],[Superficie]],0)</f>
        <v>0</v>
      </c>
      <c r="AV205" s="916" t="str">
        <f>IF(Económico!$F$4=0,0,Producción_Ganadera[[#This Row],[Centro de Costo]])</f>
        <v>Campo 2</v>
      </c>
    </row>
    <row r="206" spans="4:48" x14ac:dyDescent="0.25">
      <c r="D206" s="478">
        <f>DATE(LEFT(Producción_Ganadera[[#This Row],[Campaña]],4),7,1)</f>
        <v>43282</v>
      </c>
      <c r="E206" s="522">
        <f>+Producción_Ganadera[[#This Row],[Fecha Económico]]+9</f>
        <v>43291</v>
      </c>
      <c r="F206" s="869" t="str">
        <f t="shared" si="13"/>
        <v>2018-2019</v>
      </c>
      <c r="G206" s="491" t="str">
        <f>GAN_Manutención_Personal</f>
        <v>Manutención Personal</v>
      </c>
      <c r="H206" s="491" t="s">
        <v>8</v>
      </c>
      <c r="I206" s="491"/>
      <c r="J206" s="549"/>
      <c r="K206" s="491"/>
      <c r="L206" s="520"/>
      <c r="M20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0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06" s="611"/>
      <c r="P206" s="484"/>
      <c r="Q206" s="875">
        <f>IF(ISNUMBER(Producción_Ganadera[[#This Row],[Cabezas]])=TRUE,Producción_Ganadera[[#This Row],[Cabezas]]*Producción_Ganadera[[#This Row],[Cantidad]],Producción_Ganadera[[#This Row],[Cantidad]])</f>
        <v>0</v>
      </c>
      <c r="R206" s="482"/>
      <c r="S206" s="552" t="s">
        <v>48</v>
      </c>
      <c r="T206" s="553"/>
      <c r="U20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06" s="881">
        <f>IFERROR(Producción_Ganadera[[#This Row],[Económico $Corrientes]]/Producción_Ganadera[[#This Row],[Indexación Económico]],0)</f>
        <v>0</v>
      </c>
      <c r="W20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0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06" s="881">
        <f>IFERROR(Producción_Ganadera[[#This Row],[Financiero $Corrientes]]/Producción_Ganadera[[#This Row],[Indexación Financiero]],0)</f>
        <v>0</v>
      </c>
      <c r="Z20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0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06" s="885">
        <f>IFERROR(Producción_Ganadera[[#This Row],[Intereses $Corrientes]]/Producción_Ganadera[[#This Row],[Indexación Financiero]],0)</f>
        <v>0</v>
      </c>
      <c r="AC20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06" s="915" t="str">
        <f>IFERROR(INDEX(Produccion_Ganadera_Cuentas[],MATCH(Producción_Ganadera[[#This Row],[Cuenta Contable]],Produccion_Ganadera_Cuentas[Cuenta Contable],0),2),0)</f>
        <v>Egreso</v>
      </c>
      <c r="AE206" s="916">
        <f>IF(Producción_Ganadera[[#This Row],[Mov. Stock]]="(+)",Producción_Ganadera[[#This Row],[Cabezas]],IF(Producción_Ganadera[[#This Row],[Mov. Stock]]="(-)",-Producción_Ganadera[[#This Row],[Cabezas]],0))</f>
        <v>0</v>
      </c>
      <c r="AF206" s="917">
        <f>IFERROR(INDEX(Produccion_Ganadera_Cuentas[],MATCH(Producción_Ganadera[[#This Row],[Cuenta Contable]],Produccion_Ganadera_Cuentas[Cuenta Contable],0),5),0)</f>
        <v>0</v>
      </c>
      <c r="AG206" s="918" t="str">
        <f>IF(Producción_Ganadera[[#This Row],[Cuenta Contable]]=Configuración!$AC$9,"Si","No")</f>
        <v>No</v>
      </c>
      <c r="AH206" s="887" t="str">
        <f>IFERROR(INDEX(Tabla9[],MATCH(Producción_Ganadera[[#This Row],[Movimiento]],Tabla9[Movimientos],0),2),0)</f>
        <v>Si</v>
      </c>
      <c r="AI206" s="888" t="str">
        <f>IFERROR(INDEX(Tabla9[],MATCH(Producción_Ganadera[[#This Row],[Movimiento]],Tabla9[Movimientos],0),3),0)</f>
        <v>(-)</v>
      </c>
      <c r="AJ206" s="885">
        <f>IF(Producción_Ganadera[[#This Row],[Fecha Económico]]=0,0,MONTH(Producción_Ganadera[[#This Row],[Fecha Económico]]))</f>
        <v>7</v>
      </c>
      <c r="AK206" s="885">
        <f>IF(Producción_Ganadera[[#This Row],[Fecha Económico]]=0,0,YEAR(Producción_Ganadera[[#This Row],[Fecha Económico]]))</f>
        <v>2018</v>
      </c>
      <c r="AL206" s="889">
        <f>SUMPRODUCT((Producción_Ganadera[[#This Row],[Mes Económico]]=Tipo_Cambio[Mes])*(Producción_Ganadera[[#This Row],[Año Económico]]=Tipo_Cambio[Año])*(Tipo_Cambio[$/U$S]))</f>
        <v>22</v>
      </c>
      <c r="AM206" s="889">
        <f>SUMPRODUCT((Producción_Ganadera[[#This Row],[Mes Económico]]=Tipo_Cambio[Mes])*(Producción_Ganadera[[#This Row],[Año Económico]]=Tipo_Cambio[Año])*(Tipo_Cambio[Actualización]))</f>
        <v>1</v>
      </c>
      <c r="AN206" s="885">
        <f>IF(ISNUMBER(Producción_Ganadera[[#This Row],[Fecha Financiero]])=TRUE,MONTH(Producción_Ganadera[[#This Row],[Fecha Financiero]]),0)</f>
        <v>7</v>
      </c>
      <c r="AO206" s="885">
        <f>IF(ISNUMBER(Producción_Ganadera[[#This Row],[Fecha Financiero]])=TRUE,YEAR(Producción_Ganadera[[#This Row],[Fecha Financiero]]),0)</f>
        <v>2018</v>
      </c>
      <c r="AP206" s="889">
        <f>SUMPRODUCT((Producción_Ganadera[[#This Row],[Mes Financiero]]=Tipo_Cambio[Mes])*(Producción_Ganadera[[#This Row],[Año Financiero]]=Tipo_Cambio[Año])*(Tipo_Cambio[$/U$S]))</f>
        <v>22</v>
      </c>
      <c r="AQ206" s="889">
        <f>SUMPRODUCT((Producción_Ganadera[[#This Row],[Mes Financiero]]=Tipo_Cambio[Mes])*(Producción_Ganadera[[#This Row],[Año Financiero]]=Tipo_Cambio[Año])*(Tipo_Cambio[Actualización]))</f>
        <v>1</v>
      </c>
      <c r="AR206" s="919">
        <f>SUMPRODUCT((Producción_Ganadera[[#This Row],[Centro de Costo]]=Tabla19[Centro de Costo])*(Tabla19[Superficie])*(Producción_Ganadera[[#This Row],[Campaña]]=Tabla19[Campaña]))</f>
        <v>0</v>
      </c>
      <c r="AS206" s="918">
        <f>IFERROR(Producción_Ganadera[[#This Row],[Económico $Corrientes]]/Producción_Ganadera[[#This Row],[Superficie]],0)</f>
        <v>0</v>
      </c>
      <c r="AT206" s="918">
        <f>IFERROR(Producción_Ganadera[[#This Row],[Económico $Constantes]]/Producción_Ganadera[[#This Row],[Superficie]],0)</f>
        <v>0</v>
      </c>
      <c r="AU206" s="918">
        <f>IFERROR(Producción_Ganadera[[#This Row],[Económico U$S Dólares]]/Producción_Ganadera[[#This Row],[Superficie]],0)</f>
        <v>0</v>
      </c>
      <c r="AV206" s="916" t="str">
        <f>IF(Económico!$F$4=0,0,Producción_Ganadera[[#This Row],[Centro de Costo]])</f>
        <v>Campo 2</v>
      </c>
    </row>
    <row r="207" spans="4:48" x14ac:dyDescent="0.25">
      <c r="D207" s="478">
        <f>DATE(IF(MONTH(D204)=1,YEAR(D204+1),YEAR(D204)),MONTH(D204)+1,1)</f>
        <v>43313</v>
      </c>
      <c r="E207" s="522">
        <f>+Producción_Ganadera[[#This Row],[Fecha Económico]]+9</f>
        <v>43322</v>
      </c>
      <c r="F207" s="869" t="str">
        <f t="shared" si="13"/>
        <v>2018-2019</v>
      </c>
      <c r="G207" s="491" t="str">
        <f>GAN_Personal</f>
        <v>Personal</v>
      </c>
      <c r="H207" s="491" t="s">
        <v>8</v>
      </c>
      <c r="I207" s="491"/>
      <c r="J207" s="549"/>
      <c r="K207" s="491"/>
      <c r="L207" s="520"/>
      <c r="M20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0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07" s="611"/>
      <c r="P207" s="484"/>
      <c r="Q207" s="875">
        <f>IF(ISNUMBER(Producción_Ganadera[[#This Row],[Cabezas]])=TRUE,Producción_Ganadera[[#This Row],[Cabezas]]*Producción_Ganadera[[#This Row],[Cantidad]],Producción_Ganadera[[#This Row],[Cantidad]])</f>
        <v>0</v>
      </c>
      <c r="R207" s="482"/>
      <c r="S207" s="552" t="s">
        <v>48</v>
      </c>
      <c r="T207" s="553"/>
      <c r="U20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07" s="881">
        <f>IFERROR(Producción_Ganadera[[#This Row],[Económico $Corrientes]]/Producción_Ganadera[[#This Row],[Indexación Económico]],0)</f>
        <v>0</v>
      </c>
      <c r="W20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0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07" s="881">
        <f>IFERROR(Producción_Ganadera[[#This Row],[Financiero $Corrientes]]/Producción_Ganadera[[#This Row],[Indexación Financiero]],0)</f>
        <v>0</v>
      </c>
      <c r="Z20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0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07" s="885">
        <f>IFERROR(Producción_Ganadera[[#This Row],[Intereses $Corrientes]]/Producción_Ganadera[[#This Row],[Indexación Financiero]],0)</f>
        <v>0</v>
      </c>
      <c r="AC20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07" s="915" t="str">
        <f>IFERROR(INDEX(Produccion_Ganadera_Cuentas[],MATCH(Producción_Ganadera[[#This Row],[Cuenta Contable]],Produccion_Ganadera_Cuentas[Cuenta Contable],0),2),0)</f>
        <v>Egreso</v>
      </c>
      <c r="AE207" s="916">
        <f>IF(Producción_Ganadera[[#This Row],[Mov. Stock]]="(+)",Producción_Ganadera[[#This Row],[Cabezas]],IF(Producción_Ganadera[[#This Row],[Mov. Stock]]="(-)",-Producción_Ganadera[[#This Row],[Cabezas]],0))</f>
        <v>0</v>
      </c>
      <c r="AF207" s="917">
        <f>IFERROR(INDEX(Produccion_Ganadera_Cuentas[],MATCH(Producción_Ganadera[[#This Row],[Cuenta Contable]],Produccion_Ganadera_Cuentas[Cuenta Contable],0),5),0)</f>
        <v>0</v>
      </c>
      <c r="AG207" s="918" t="str">
        <f>IF(Producción_Ganadera[[#This Row],[Cuenta Contable]]=Configuración!$AC$9,"Si","No")</f>
        <v>No</v>
      </c>
      <c r="AH207" s="887" t="str">
        <f>IFERROR(INDEX(Tabla9[],MATCH(Producción_Ganadera[[#This Row],[Movimiento]],Tabla9[Movimientos],0),2),0)</f>
        <v>Si</v>
      </c>
      <c r="AI207" s="888" t="str">
        <f>IFERROR(INDEX(Tabla9[],MATCH(Producción_Ganadera[[#This Row],[Movimiento]],Tabla9[Movimientos],0),3),0)</f>
        <v>(-)</v>
      </c>
      <c r="AJ207" s="885">
        <f>IF(Producción_Ganadera[[#This Row],[Fecha Económico]]=0,0,MONTH(Producción_Ganadera[[#This Row],[Fecha Económico]]))</f>
        <v>8</v>
      </c>
      <c r="AK207" s="885">
        <f>IF(Producción_Ganadera[[#This Row],[Fecha Económico]]=0,0,YEAR(Producción_Ganadera[[#This Row],[Fecha Económico]]))</f>
        <v>2018</v>
      </c>
      <c r="AL207" s="889">
        <f>SUMPRODUCT((Producción_Ganadera[[#This Row],[Mes Económico]]=Tipo_Cambio[Mes])*(Producción_Ganadera[[#This Row],[Año Económico]]=Tipo_Cambio[Año])*(Tipo_Cambio[$/U$S]))</f>
        <v>22.22</v>
      </c>
      <c r="AM207" s="889">
        <f>SUMPRODUCT((Producción_Ganadera[[#This Row],[Mes Económico]]=Tipo_Cambio[Mes])*(Producción_Ganadera[[#This Row],[Año Económico]]=Tipo_Cambio[Año])*(Tipo_Cambio[Actualización]))</f>
        <v>1.02</v>
      </c>
      <c r="AN207" s="885">
        <f>IF(ISNUMBER(Producción_Ganadera[[#This Row],[Fecha Financiero]])=TRUE,MONTH(Producción_Ganadera[[#This Row],[Fecha Financiero]]),0)</f>
        <v>8</v>
      </c>
      <c r="AO207" s="885">
        <f>IF(ISNUMBER(Producción_Ganadera[[#This Row],[Fecha Financiero]])=TRUE,YEAR(Producción_Ganadera[[#This Row],[Fecha Financiero]]),0)</f>
        <v>2018</v>
      </c>
      <c r="AP207" s="889">
        <f>SUMPRODUCT((Producción_Ganadera[[#This Row],[Mes Financiero]]=Tipo_Cambio[Mes])*(Producción_Ganadera[[#This Row],[Año Financiero]]=Tipo_Cambio[Año])*(Tipo_Cambio[$/U$S]))</f>
        <v>22.22</v>
      </c>
      <c r="AQ207" s="889">
        <f>SUMPRODUCT((Producción_Ganadera[[#This Row],[Mes Financiero]]=Tipo_Cambio[Mes])*(Producción_Ganadera[[#This Row],[Año Financiero]]=Tipo_Cambio[Año])*(Tipo_Cambio[Actualización]))</f>
        <v>1.02</v>
      </c>
      <c r="AR207" s="919">
        <f>SUMPRODUCT((Producción_Ganadera[[#This Row],[Centro de Costo]]=Tabla19[Centro de Costo])*(Tabla19[Superficie])*(Producción_Ganadera[[#This Row],[Campaña]]=Tabla19[Campaña]))</f>
        <v>0</v>
      </c>
      <c r="AS207" s="918">
        <f>IFERROR(Producción_Ganadera[[#This Row],[Económico $Corrientes]]/Producción_Ganadera[[#This Row],[Superficie]],0)</f>
        <v>0</v>
      </c>
      <c r="AT207" s="918">
        <f>IFERROR(Producción_Ganadera[[#This Row],[Económico $Constantes]]/Producción_Ganadera[[#This Row],[Superficie]],0)</f>
        <v>0</v>
      </c>
      <c r="AU207" s="918">
        <f>IFERROR(Producción_Ganadera[[#This Row],[Económico U$S Dólares]]/Producción_Ganadera[[#This Row],[Superficie]],0)</f>
        <v>0</v>
      </c>
      <c r="AV207" s="916" t="str">
        <f>IF(Económico!$F$4=0,0,Producción_Ganadera[[#This Row],[Centro de Costo]])</f>
        <v>Campo 2</v>
      </c>
    </row>
    <row r="208" spans="4:48" x14ac:dyDescent="0.25">
      <c r="D208" s="478">
        <f t="shared" ref="D208:D239" si="14">DATE(IF(MONTH(D205)=1,YEAR(D205+1),YEAR(D205)),MONTH(D205)+1,1)</f>
        <v>43313</v>
      </c>
      <c r="E208" s="522">
        <f>+Producción_Ganadera[[#This Row],[Fecha Económico]]+9</f>
        <v>43322</v>
      </c>
      <c r="F208" s="869" t="str">
        <f t="shared" si="13"/>
        <v>2018-2019</v>
      </c>
      <c r="G208" s="491" t="str">
        <f>GAN_Cargas_Sociales</f>
        <v>Cargas Sociales</v>
      </c>
      <c r="H208" s="491" t="s">
        <v>8</v>
      </c>
      <c r="I208" s="491"/>
      <c r="J208" s="549"/>
      <c r="K208" s="491"/>
      <c r="L208" s="520"/>
      <c r="M20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0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08" s="611"/>
      <c r="P208" s="484"/>
      <c r="Q208" s="875">
        <f>IF(ISNUMBER(Producción_Ganadera[[#This Row],[Cabezas]])=TRUE,Producción_Ganadera[[#This Row],[Cabezas]]*Producción_Ganadera[[#This Row],[Cantidad]],Producción_Ganadera[[#This Row],[Cantidad]])</f>
        <v>0</v>
      </c>
      <c r="R208" s="482"/>
      <c r="S208" s="552" t="s">
        <v>48</v>
      </c>
      <c r="T208" s="553"/>
      <c r="U20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08" s="881">
        <f>IFERROR(Producción_Ganadera[[#This Row],[Económico $Corrientes]]/Producción_Ganadera[[#This Row],[Indexación Económico]],0)</f>
        <v>0</v>
      </c>
      <c r="W20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0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08" s="881">
        <f>IFERROR(Producción_Ganadera[[#This Row],[Financiero $Corrientes]]/Producción_Ganadera[[#This Row],[Indexación Financiero]],0)</f>
        <v>0</v>
      </c>
      <c r="Z20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0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08" s="885">
        <f>IFERROR(Producción_Ganadera[[#This Row],[Intereses $Corrientes]]/Producción_Ganadera[[#This Row],[Indexación Financiero]],0)</f>
        <v>0</v>
      </c>
      <c r="AC20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08" s="915" t="str">
        <f>IFERROR(INDEX(Produccion_Ganadera_Cuentas[],MATCH(Producción_Ganadera[[#This Row],[Cuenta Contable]],Produccion_Ganadera_Cuentas[Cuenta Contable],0),2),0)</f>
        <v>Egreso</v>
      </c>
      <c r="AE208" s="916">
        <f>IF(Producción_Ganadera[[#This Row],[Mov. Stock]]="(+)",Producción_Ganadera[[#This Row],[Cabezas]],IF(Producción_Ganadera[[#This Row],[Mov. Stock]]="(-)",-Producción_Ganadera[[#This Row],[Cabezas]],0))</f>
        <v>0</v>
      </c>
      <c r="AF208" s="917">
        <f>IFERROR(INDEX(Produccion_Ganadera_Cuentas[],MATCH(Producción_Ganadera[[#This Row],[Cuenta Contable]],Produccion_Ganadera_Cuentas[Cuenta Contable],0),5),0)</f>
        <v>0</v>
      </c>
      <c r="AG208" s="918" t="str">
        <f>IF(Producción_Ganadera[[#This Row],[Cuenta Contable]]=Configuración!$AC$9,"Si","No")</f>
        <v>No</v>
      </c>
      <c r="AH208" s="887" t="str">
        <f>IFERROR(INDEX(Tabla9[],MATCH(Producción_Ganadera[[#This Row],[Movimiento]],Tabla9[Movimientos],0),2),0)</f>
        <v>Si</v>
      </c>
      <c r="AI208" s="888" t="str">
        <f>IFERROR(INDEX(Tabla9[],MATCH(Producción_Ganadera[[#This Row],[Movimiento]],Tabla9[Movimientos],0),3),0)</f>
        <v>(-)</v>
      </c>
      <c r="AJ208" s="885">
        <f>IF(Producción_Ganadera[[#This Row],[Fecha Económico]]=0,0,MONTH(Producción_Ganadera[[#This Row],[Fecha Económico]]))</f>
        <v>8</v>
      </c>
      <c r="AK208" s="885">
        <f>IF(Producción_Ganadera[[#This Row],[Fecha Económico]]=0,0,YEAR(Producción_Ganadera[[#This Row],[Fecha Económico]]))</f>
        <v>2018</v>
      </c>
      <c r="AL208" s="889">
        <f>SUMPRODUCT((Producción_Ganadera[[#This Row],[Mes Económico]]=Tipo_Cambio[Mes])*(Producción_Ganadera[[#This Row],[Año Económico]]=Tipo_Cambio[Año])*(Tipo_Cambio[$/U$S]))</f>
        <v>22.22</v>
      </c>
      <c r="AM208" s="889">
        <f>SUMPRODUCT((Producción_Ganadera[[#This Row],[Mes Económico]]=Tipo_Cambio[Mes])*(Producción_Ganadera[[#This Row],[Año Económico]]=Tipo_Cambio[Año])*(Tipo_Cambio[Actualización]))</f>
        <v>1.02</v>
      </c>
      <c r="AN208" s="885">
        <f>IF(ISNUMBER(Producción_Ganadera[[#This Row],[Fecha Financiero]])=TRUE,MONTH(Producción_Ganadera[[#This Row],[Fecha Financiero]]),0)</f>
        <v>8</v>
      </c>
      <c r="AO208" s="885">
        <f>IF(ISNUMBER(Producción_Ganadera[[#This Row],[Fecha Financiero]])=TRUE,YEAR(Producción_Ganadera[[#This Row],[Fecha Financiero]]),0)</f>
        <v>2018</v>
      </c>
      <c r="AP208" s="889">
        <f>SUMPRODUCT((Producción_Ganadera[[#This Row],[Mes Financiero]]=Tipo_Cambio[Mes])*(Producción_Ganadera[[#This Row],[Año Financiero]]=Tipo_Cambio[Año])*(Tipo_Cambio[$/U$S]))</f>
        <v>22.22</v>
      </c>
      <c r="AQ208" s="889">
        <f>SUMPRODUCT((Producción_Ganadera[[#This Row],[Mes Financiero]]=Tipo_Cambio[Mes])*(Producción_Ganadera[[#This Row],[Año Financiero]]=Tipo_Cambio[Año])*(Tipo_Cambio[Actualización]))</f>
        <v>1.02</v>
      </c>
      <c r="AR208" s="919">
        <f>SUMPRODUCT((Producción_Ganadera[[#This Row],[Centro de Costo]]=Tabla19[Centro de Costo])*(Tabla19[Superficie])*(Producción_Ganadera[[#This Row],[Campaña]]=Tabla19[Campaña]))</f>
        <v>0</v>
      </c>
      <c r="AS208" s="918">
        <f>IFERROR(Producción_Ganadera[[#This Row],[Económico $Corrientes]]/Producción_Ganadera[[#This Row],[Superficie]],0)</f>
        <v>0</v>
      </c>
      <c r="AT208" s="918">
        <f>IFERROR(Producción_Ganadera[[#This Row],[Económico $Constantes]]/Producción_Ganadera[[#This Row],[Superficie]],0)</f>
        <v>0</v>
      </c>
      <c r="AU208" s="918">
        <f>IFERROR(Producción_Ganadera[[#This Row],[Económico U$S Dólares]]/Producción_Ganadera[[#This Row],[Superficie]],0)</f>
        <v>0</v>
      </c>
      <c r="AV208" s="916" t="str">
        <f>IF(Económico!$F$4=0,0,Producción_Ganadera[[#This Row],[Centro de Costo]])</f>
        <v>Campo 2</v>
      </c>
    </row>
    <row r="209" spans="4:48" x14ac:dyDescent="0.25">
      <c r="D209" s="478">
        <f t="shared" si="14"/>
        <v>43313</v>
      </c>
      <c r="E209" s="522">
        <f>+Producción_Ganadera[[#This Row],[Fecha Económico]]+9</f>
        <v>43322</v>
      </c>
      <c r="F209" s="869" t="str">
        <f t="shared" si="13"/>
        <v>2018-2019</v>
      </c>
      <c r="G209" s="491" t="str">
        <f>GAN_Manutención_Personal</f>
        <v>Manutención Personal</v>
      </c>
      <c r="H209" s="491" t="s">
        <v>8</v>
      </c>
      <c r="I209" s="491"/>
      <c r="J209" s="549"/>
      <c r="K209" s="491"/>
      <c r="L209" s="520"/>
      <c r="M20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0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09" s="611"/>
      <c r="P209" s="484"/>
      <c r="Q209" s="875">
        <f>IF(ISNUMBER(Producción_Ganadera[[#This Row],[Cabezas]])=TRUE,Producción_Ganadera[[#This Row],[Cabezas]]*Producción_Ganadera[[#This Row],[Cantidad]],Producción_Ganadera[[#This Row],[Cantidad]])</f>
        <v>0</v>
      </c>
      <c r="R209" s="482"/>
      <c r="S209" s="552" t="s">
        <v>48</v>
      </c>
      <c r="T209" s="553"/>
      <c r="U20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09" s="881">
        <f>IFERROR(Producción_Ganadera[[#This Row],[Económico $Corrientes]]/Producción_Ganadera[[#This Row],[Indexación Económico]],0)</f>
        <v>0</v>
      </c>
      <c r="W20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0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09" s="881">
        <f>IFERROR(Producción_Ganadera[[#This Row],[Financiero $Corrientes]]/Producción_Ganadera[[#This Row],[Indexación Financiero]],0)</f>
        <v>0</v>
      </c>
      <c r="Z20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0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09" s="885">
        <f>IFERROR(Producción_Ganadera[[#This Row],[Intereses $Corrientes]]/Producción_Ganadera[[#This Row],[Indexación Financiero]],0)</f>
        <v>0</v>
      </c>
      <c r="AC20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09" s="915" t="str">
        <f>IFERROR(INDEX(Produccion_Ganadera_Cuentas[],MATCH(Producción_Ganadera[[#This Row],[Cuenta Contable]],Produccion_Ganadera_Cuentas[Cuenta Contable],0),2),0)</f>
        <v>Egreso</v>
      </c>
      <c r="AE209" s="916">
        <f>IF(Producción_Ganadera[[#This Row],[Mov. Stock]]="(+)",Producción_Ganadera[[#This Row],[Cabezas]],IF(Producción_Ganadera[[#This Row],[Mov. Stock]]="(-)",-Producción_Ganadera[[#This Row],[Cabezas]],0))</f>
        <v>0</v>
      </c>
      <c r="AF209" s="917">
        <f>IFERROR(INDEX(Produccion_Ganadera_Cuentas[],MATCH(Producción_Ganadera[[#This Row],[Cuenta Contable]],Produccion_Ganadera_Cuentas[Cuenta Contable],0),5),0)</f>
        <v>0</v>
      </c>
      <c r="AG209" s="918" t="str">
        <f>IF(Producción_Ganadera[[#This Row],[Cuenta Contable]]=Configuración!$AC$9,"Si","No")</f>
        <v>No</v>
      </c>
      <c r="AH209" s="887" t="str">
        <f>IFERROR(INDEX(Tabla9[],MATCH(Producción_Ganadera[[#This Row],[Movimiento]],Tabla9[Movimientos],0),2),0)</f>
        <v>Si</v>
      </c>
      <c r="AI209" s="888" t="str">
        <f>IFERROR(INDEX(Tabla9[],MATCH(Producción_Ganadera[[#This Row],[Movimiento]],Tabla9[Movimientos],0),3),0)</f>
        <v>(-)</v>
      </c>
      <c r="AJ209" s="885">
        <f>IF(Producción_Ganadera[[#This Row],[Fecha Económico]]=0,0,MONTH(Producción_Ganadera[[#This Row],[Fecha Económico]]))</f>
        <v>8</v>
      </c>
      <c r="AK209" s="885">
        <f>IF(Producción_Ganadera[[#This Row],[Fecha Económico]]=0,0,YEAR(Producción_Ganadera[[#This Row],[Fecha Económico]]))</f>
        <v>2018</v>
      </c>
      <c r="AL209" s="889">
        <f>SUMPRODUCT((Producción_Ganadera[[#This Row],[Mes Económico]]=Tipo_Cambio[Mes])*(Producción_Ganadera[[#This Row],[Año Económico]]=Tipo_Cambio[Año])*(Tipo_Cambio[$/U$S]))</f>
        <v>22.22</v>
      </c>
      <c r="AM209" s="889">
        <f>SUMPRODUCT((Producción_Ganadera[[#This Row],[Mes Económico]]=Tipo_Cambio[Mes])*(Producción_Ganadera[[#This Row],[Año Económico]]=Tipo_Cambio[Año])*(Tipo_Cambio[Actualización]))</f>
        <v>1.02</v>
      </c>
      <c r="AN209" s="885">
        <f>IF(ISNUMBER(Producción_Ganadera[[#This Row],[Fecha Financiero]])=TRUE,MONTH(Producción_Ganadera[[#This Row],[Fecha Financiero]]),0)</f>
        <v>8</v>
      </c>
      <c r="AO209" s="885">
        <f>IF(ISNUMBER(Producción_Ganadera[[#This Row],[Fecha Financiero]])=TRUE,YEAR(Producción_Ganadera[[#This Row],[Fecha Financiero]]),0)</f>
        <v>2018</v>
      </c>
      <c r="AP209" s="889">
        <f>SUMPRODUCT((Producción_Ganadera[[#This Row],[Mes Financiero]]=Tipo_Cambio[Mes])*(Producción_Ganadera[[#This Row],[Año Financiero]]=Tipo_Cambio[Año])*(Tipo_Cambio[$/U$S]))</f>
        <v>22.22</v>
      </c>
      <c r="AQ209" s="889">
        <f>SUMPRODUCT((Producción_Ganadera[[#This Row],[Mes Financiero]]=Tipo_Cambio[Mes])*(Producción_Ganadera[[#This Row],[Año Financiero]]=Tipo_Cambio[Año])*(Tipo_Cambio[Actualización]))</f>
        <v>1.02</v>
      </c>
      <c r="AR209" s="919">
        <f>SUMPRODUCT((Producción_Ganadera[[#This Row],[Centro de Costo]]=Tabla19[Centro de Costo])*(Tabla19[Superficie])*(Producción_Ganadera[[#This Row],[Campaña]]=Tabla19[Campaña]))</f>
        <v>0</v>
      </c>
      <c r="AS209" s="918">
        <f>IFERROR(Producción_Ganadera[[#This Row],[Económico $Corrientes]]/Producción_Ganadera[[#This Row],[Superficie]],0)</f>
        <v>0</v>
      </c>
      <c r="AT209" s="918">
        <f>IFERROR(Producción_Ganadera[[#This Row],[Económico $Constantes]]/Producción_Ganadera[[#This Row],[Superficie]],0)</f>
        <v>0</v>
      </c>
      <c r="AU209" s="918">
        <f>IFERROR(Producción_Ganadera[[#This Row],[Económico U$S Dólares]]/Producción_Ganadera[[#This Row],[Superficie]],0)</f>
        <v>0</v>
      </c>
      <c r="AV209" s="916" t="str">
        <f>IF(Económico!$F$4=0,0,Producción_Ganadera[[#This Row],[Centro de Costo]])</f>
        <v>Campo 2</v>
      </c>
    </row>
    <row r="210" spans="4:48" x14ac:dyDescent="0.25">
      <c r="D210" s="478">
        <f t="shared" si="14"/>
        <v>43344</v>
      </c>
      <c r="E210" s="522">
        <f>+Producción_Ganadera[[#This Row],[Fecha Económico]]+9</f>
        <v>43353</v>
      </c>
      <c r="F210" s="869" t="str">
        <f t="shared" si="13"/>
        <v>2018-2019</v>
      </c>
      <c r="G210" s="491" t="str">
        <f>GAN_Personal</f>
        <v>Personal</v>
      </c>
      <c r="H210" s="491" t="s">
        <v>8</v>
      </c>
      <c r="I210" s="491"/>
      <c r="J210" s="549"/>
      <c r="K210" s="491"/>
      <c r="L210" s="520"/>
      <c r="M21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1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10" s="611"/>
      <c r="P210" s="484"/>
      <c r="Q210" s="875">
        <f>IF(ISNUMBER(Producción_Ganadera[[#This Row],[Cabezas]])=TRUE,Producción_Ganadera[[#This Row],[Cabezas]]*Producción_Ganadera[[#This Row],[Cantidad]],Producción_Ganadera[[#This Row],[Cantidad]])</f>
        <v>0</v>
      </c>
      <c r="R210" s="482"/>
      <c r="S210" s="552" t="s">
        <v>48</v>
      </c>
      <c r="T210" s="553"/>
      <c r="U21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10" s="881">
        <f>IFERROR(Producción_Ganadera[[#This Row],[Económico $Corrientes]]/Producción_Ganadera[[#This Row],[Indexación Económico]],0)</f>
        <v>0</v>
      </c>
      <c r="W21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1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10" s="881">
        <f>IFERROR(Producción_Ganadera[[#This Row],[Financiero $Corrientes]]/Producción_Ganadera[[#This Row],[Indexación Financiero]],0)</f>
        <v>0</v>
      </c>
      <c r="Z21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1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10" s="885">
        <f>IFERROR(Producción_Ganadera[[#This Row],[Intereses $Corrientes]]/Producción_Ganadera[[#This Row],[Indexación Financiero]],0)</f>
        <v>0</v>
      </c>
      <c r="AC21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10" s="915" t="str">
        <f>IFERROR(INDEX(Produccion_Ganadera_Cuentas[],MATCH(Producción_Ganadera[[#This Row],[Cuenta Contable]],Produccion_Ganadera_Cuentas[Cuenta Contable],0),2),0)</f>
        <v>Egreso</v>
      </c>
      <c r="AE210" s="916">
        <f>IF(Producción_Ganadera[[#This Row],[Mov. Stock]]="(+)",Producción_Ganadera[[#This Row],[Cabezas]],IF(Producción_Ganadera[[#This Row],[Mov. Stock]]="(-)",-Producción_Ganadera[[#This Row],[Cabezas]],0))</f>
        <v>0</v>
      </c>
      <c r="AF210" s="917">
        <f>IFERROR(INDEX(Produccion_Ganadera_Cuentas[],MATCH(Producción_Ganadera[[#This Row],[Cuenta Contable]],Produccion_Ganadera_Cuentas[Cuenta Contable],0),5),0)</f>
        <v>0</v>
      </c>
      <c r="AG210" s="918" t="str">
        <f>IF(Producción_Ganadera[[#This Row],[Cuenta Contable]]=Configuración!$AC$9,"Si","No")</f>
        <v>No</v>
      </c>
      <c r="AH210" s="887" t="str">
        <f>IFERROR(INDEX(Tabla9[],MATCH(Producción_Ganadera[[#This Row],[Movimiento]],Tabla9[Movimientos],0),2),0)</f>
        <v>Si</v>
      </c>
      <c r="AI210" s="888" t="str">
        <f>IFERROR(INDEX(Tabla9[],MATCH(Producción_Ganadera[[#This Row],[Movimiento]],Tabla9[Movimientos],0),3),0)</f>
        <v>(-)</v>
      </c>
      <c r="AJ210" s="885">
        <f>IF(Producción_Ganadera[[#This Row],[Fecha Económico]]=0,0,MONTH(Producción_Ganadera[[#This Row],[Fecha Económico]]))</f>
        <v>9</v>
      </c>
      <c r="AK210" s="885">
        <f>IF(Producción_Ganadera[[#This Row],[Fecha Económico]]=0,0,YEAR(Producción_Ganadera[[#This Row],[Fecha Económico]]))</f>
        <v>2018</v>
      </c>
      <c r="AL210" s="889">
        <f>SUMPRODUCT((Producción_Ganadera[[#This Row],[Mes Económico]]=Tipo_Cambio[Mes])*(Producción_Ganadera[[#This Row],[Año Económico]]=Tipo_Cambio[Año])*(Tipo_Cambio[$/U$S]))</f>
        <v>22.4422</v>
      </c>
      <c r="AM210" s="889">
        <f>SUMPRODUCT((Producción_Ganadera[[#This Row],[Mes Económico]]=Tipo_Cambio[Mes])*(Producción_Ganadera[[#This Row],[Año Económico]]=Tipo_Cambio[Año])*(Tipo_Cambio[Actualización]))</f>
        <v>1.0404</v>
      </c>
      <c r="AN210" s="885">
        <f>IF(ISNUMBER(Producción_Ganadera[[#This Row],[Fecha Financiero]])=TRUE,MONTH(Producción_Ganadera[[#This Row],[Fecha Financiero]]),0)</f>
        <v>9</v>
      </c>
      <c r="AO210" s="885">
        <f>IF(ISNUMBER(Producción_Ganadera[[#This Row],[Fecha Financiero]])=TRUE,YEAR(Producción_Ganadera[[#This Row],[Fecha Financiero]]),0)</f>
        <v>2018</v>
      </c>
      <c r="AP210" s="889">
        <f>SUMPRODUCT((Producción_Ganadera[[#This Row],[Mes Financiero]]=Tipo_Cambio[Mes])*(Producción_Ganadera[[#This Row],[Año Financiero]]=Tipo_Cambio[Año])*(Tipo_Cambio[$/U$S]))</f>
        <v>22.4422</v>
      </c>
      <c r="AQ210" s="889">
        <f>SUMPRODUCT((Producción_Ganadera[[#This Row],[Mes Financiero]]=Tipo_Cambio[Mes])*(Producción_Ganadera[[#This Row],[Año Financiero]]=Tipo_Cambio[Año])*(Tipo_Cambio[Actualización]))</f>
        <v>1.0404</v>
      </c>
      <c r="AR210" s="919">
        <f>SUMPRODUCT((Producción_Ganadera[[#This Row],[Centro de Costo]]=Tabla19[Centro de Costo])*(Tabla19[Superficie])*(Producción_Ganadera[[#This Row],[Campaña]]=Tabla19[Campaña]))</f>
        <v>0</v>
      </c>
      <c r="AS210" s="918">
        <f>IFERROR(Producción_Ganadera[[#This Row],[Económico $Corrientes]]/Producción_Ganadera[[#This Row],[Superficie]],0)</f>
        <v>0</v>
      </c>
      <c r="AT210" s="918">
        <f>IFERROR(Producción_Ganadera[[#This Row],[Económico $Constantes]]/Producción_Ganadera[[#This Row],[Superficie]],0)</f>
        <v>0</v>
      </c>
      <c r="AU210" s="918">
        <f>IFERROR(Producción_Ganadera[[#This Row],[Económico U$S Dólares]]/Producción_Ganadera[[#This Row],[Superficie]],0)</f>
        <v>0</v>
      </c>
      <c r="AV210" s="916" t="str">
        <f>IF(Económico!$F$4=0,0,Producción_Ganadera[[#This Row],[Centro de Costo]])</f>
        <v>Campo 2</v>
      </c>
    </row>
    <row r="211" spans="4:48" x14ac:dyDescent="0.25">
      <c r="D211" s="478">
        <f t="shared" si="14"/>
        <v>43344</v>
      </c>
      <c r="E211" s="522">
        <f>+Producción_Ganadera[[#This Row],[Fecha Económico]]+9</f>
        <v>43353</v>
      </c>
      <c r="F211" s="869" t="str">
        <f t="shared" si="13"/>
        <v>2018-2019</v>
      </c>
      <c r="G211" s="491" t="str">
        <f>GAN_Cargas_Sociales</f>
        <v>Cargas Sociales</v>
      </c>
      <c r="H211" s="491" t="s">
        <v>8</v>
      </c>
      <c r="I211" s="491"/>
      <c r="J211" s="549"/>
      <c r="K211" s="491"/>
      <c r="L211" s="520"/>
      <c r="M21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1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11" s="611"/>
      <c r="P211" s="484"/>
      <c r="Q211" s="875">
        <f>IF(ISNUMBER(Producción_Ganadera[[#This Row],[Cabezas]])=TRUE,Producción_Ganadera[[#This Row],[Cabezas]]*Producción_Ganadera[[#This Row],[Cantidad]],Producción_Ganadera[[#This Row],[Cantidad]])</f>
        <v>0</v>
      </c>
      <c r="R211" s="482"/>
      <c r="S211" s="552" t="s">
        <v>48</v>
      </c>
      <c r="T211" s="553"/>
      <c r="U21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11" s="881">
        <f>IFERROR(Producción_Ganadera[[#This Row],[Económico $Corrientes]]/Producción_Ganadera[[#This Row],[Indexación Económico]],0)</f>
        <v>0</v>
      </c>
      <c r="W21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1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11" s="881">
        <f>IFERROR(Producción_Ganadera[[#This Row],[Financiero $Corrientes]]/Producción_Ganadera[[#This Row],[Indexación Financiero]],0)</f>
        <v>0</v>
      </c>
      <c r="Z21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1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11" s="885">
        <f>IFERROR(Producción_Ganadera[[#This Row],[Intereses $Corrientes]]/Producción_Ganadera[[#This Row],[Indexación Financiero]],0)</f>
        <v>0</v>
      </c>
      <c r="AC21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11" s="915" t="str">
        <f>IFERROR(INDEX(Produccion_Ganadera_Cuentas[],MATCH(Producción_Ganadera[[#This Row],[Cuenta Contable]],Produccion_Ganadera_Cuentas[Cuenta Contable],0),2),0)</f>
        <v>Egreso</v>
      </c>
      <c r="AE211" s="916">
        <f>IF(Producción_Ganadera[[#This Row],[Mov. Stock]]="(+)",Producción_Ganadera[[#This Row],[Cabezas]],IF(Producción_Ganadera[[#This Row],[Mov. Stock]]="(-)",-Producción_Ganadera[[#This Row],[Cabezas]],0))</f>
        <v>0</v>
      </c>
      <c r="AF211" s="917">
        <f>IFERROR(INDEX(Produccion_Ganadera_Cuentas[],MATCH(Producción_Ganadera[[#This Row],[Cuenta Contable]],Produccion_Ganadera_Cuentas[Cuenta Contable],0),5),0)</f>
        <v>0</v>
      </c>
      <c r="AG211" s="918" t="str">
        <f>IF(Producción_Ganadera[[#This Row],[Cuenta Contable]]=Configuración!$AC$9,"Si","No")</f>
        <v>No</v>
      </c>
      <c r="AH211" s="887" t="str">
        <f>IFERROR(INDEX(Tabla9[],MATCH(Producción_Ganadera[[#This Row],[Movimiento]],Tabla9[Movimientos],0),2),0)</f>
        <v>Si</v>
      </c>
      <c r="AI211" s="888" t="str">
        <f>IFERROR(INDEX(Tabla9[],MATCH(Producción_Ganadera[[#This Row],[Movimiento]],Tabla9[Movimientos],0),3),0)</f>
        <v>(-)</v>
      </c>
      <c r="AJ211" s="885">
        <f>IF(Producción_Ganadera[[#This Row],[Fecha Económico]]=0,0,MONTH(Producción_Ganadera[[#This Row],[Fecha Económico]]))</f>
        <v>9</v>
      </c>
      <c r="AK211" s="885">
        <f>IF(Producción_Ganadera[[#This Row],[Fecha Económico]]=0,0,YEAR(Producción_Ganadera[[#This Row],[Fecha Económico]]))</f>
        <v>2018</v>
      </c>
      <c r="AL211" s="889">
        <f>SUMPRODUCT((Producción_Ganadera[[#This Row],[Mes Económico]]=Tipo_Cambio[Mes])*(Producción_Ganadera[[#This Row],[Año Económico]]=Tipo_Cambio[Año])*(Tipo_Cambio[$/U$S]))</f>
        <v>22.4422</v>
      </c>
      <c r="AM211" s="889">
        <f>SUMPRODUCT((Producción_Ganadera[[#This Row],[Mes Económico]]=Tipo_Cambio[Mes])*(Producción_Ganadera[[#This Row],[Año Económico]]=Tipo_Cambio[Año])*(Tipo_Cambio[Actualización]))</f>
        <v>1.0404</v>
      </c>
      <c r="AN211" s="885">
        <f>IF(ISNUMBER(Producción_Ganadera[[#This Row],[Fecha Financiero]])=TRUE,MONTH(Producción_Ganadera[[#This Row],[Fecha Financiero]]),0)</f>
        <v>9</v>
      </c>
      <c r="AO211" s="885">
        <f>IF(ISNUMBER(Producción_Ganadera[[#This Row],[Fecha Financiero]])=TRUE,YEAR(Producción_Ganadera[[#This Row],[Fecha Financiero]]),0)</f>
        <v>2018</v>
      </c>
      <c r="AP211" s="889">
        <f>SUMPRODUCT((Producción_Ganadera[[#This Row],[Mes Financiero]]=Tipo_Cambio[Mes])*(Producción_Ganadera[[#This Row],[Año Financiero]]=Tipo_Cambio[Año])*(Tipo_Cambio[$/U$S]))</f>
        <v>22.4422</v>
      </c>
      <c r="AQ211" s="889">
        <f>SUMPRODUCT((Producción_Ganadera[[#This Row],[Mes Financiero]]=Tipo_Cambio[Mes])*(Producción_Ganadera[[#This Row],[Año Financiero]]=Tipo_Cambio[Año])*(Tipo_Cambio[Actualización]))</f>
        <v>1.0404</v>
      </c>
      <c r="AR211" s="919">
        <f>SUMPRODUCT((Producción_Ganadera[[#This Row],[Centro de Costo]]=Tabla19[Centro de Costo])*(Tabla19[Superficie])*(Producción_Ganadera[[#This Row],[Campaña]]=Tabla19[Campaña]))</f>
        <v>0</v>
      </c>
      <c r="AS211" s="918">
        <f>IFERROR(Producción_Ganadera[[#This Row],[Económico $Corrientes]]/Producción_Ganadera[[#This Row],[Superficie]],0)</f>
        <v>0</v>
      </c>
      <c r="AT211" s="918">
        <f>IFERROR(Producción_Ganadera[[#This Row],[Económico $Constantes]]/Producción_Ganadera[[#This Row],[Superficie]],0)</f>
        <v>0</v>
      </c>
      <c r="AU211" s="918">
        <f>IFERROR(Producción_Ganadera[[#This Row],[Económico U$S Dólares]]/Producción_Ganadera[[#This Row],[Superficie]],0)</f>
        <v>0</v>
      </c>
      <c r="AV211" s="916" t="str">
        <f>IF(Económico!$F$4=0,0,Producción_Ganadera[[#This Row],[Centro de Costo]])</f>
        <v>Campo 2</v>
      </c>
    </row>
    <row r="212" spans="4:48" x14ac:dyDescent="0.25">
      <c r="D212" s="478">
        <f t="shared" si="14"/>
        <v>43344</v>
      </c>
      <c r="E212" s="522">
        <f>+Producción_Ganadera[[#This Row],[Fecha Económico]]+9</f>
        <v>43353</v>
      </c>
      <c r="F212" s="869" t="str">
        <f t="shared" si="13"/>
        <v>2018-2019</v>
      </c>
      <c r="G212" s="491" t="str">
        <f>GAN_Manutención_Personal</f>
        <v>Manutención Personal</v>
      </c>
      <c r="H212" s="491" t="s">
        <v>8</v>
      </c>
      <c r="I212" s="491"/>
      <c r="J212" s="549"/>
      <c r="K212" s="491"/>
      <c r="L212" s="520"/>
      <c r="M21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1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12" s="611"/>
      <c r="P212" s="484"/>
      <c r="Q212" s="875">
        <f>IF(ISNUMBER(Producción_Ganadera[[#This Row],[Cabezas]])=TRUE,Producción_Ganadera[[#This Row],[Cabezas]]*Producción_Ganadera[[#This Row],[Cantidad]],Producción_Ganadera[[#This Row],[Cantidad]])</f>
        <v>0</v>
      </c>
      <c r="R212" s="482"/>
      <c r="S212" s="552" t="s">
        <v>48</v>
      </c>
      <c r="T212" s="553"/>
      <c r="U21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12" s="881">
        <f>IFERROR(Producción_Ganadera[[#This Row],[Económico $Corrientes]]/Producción_Ganadera[[#This Row],[Indexación Económico]],0)</f>
        <v>0</v>
      </c>
      <c r="W21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1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12" s="881">
        <f>IFERROR(Producción_Ganadera[[#This Row],[Financiero $Corrientes]]/Producción_Ganadera[[#This Row],[Indexación Financiero]],0)</f>
        <v>0</v>
      </c>
      <c r="Z21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1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12" s="885">
        <f>IFERROR(Producción_Ganadera[[#This Row],[Intereses $Corrientes]]/Producción_Ganadera[[#This Row],[Indexación Financiero]],0)</f>
        <v>0</v>
      </c>
      <c r="AC21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12" s="915" t="str">
        <f>IFERROR(INDEX(Produccion_Ganadera_Cuentas[],MATCH(Producción_Ganadera[[#This Row],[Cuenta Contable]],Produccion_Ganadera_Cuentas[Cuenta Contable],0),2),0)</f>
        <v>Egreso</v>
      </c>
      <c r="AE212" s="916">
        <f>IF(Producción_Ganadera[[#This Row],[Mov. Stock]]="(+)",Producción_Ganadera[[#This Row],[Cabezas]],IF(Producción_Ganadera[[#This Row],[Mov. Stock]]="(-)",-Producción_Ganadera[[#This Row],[Cabezas]],0))</f>
        <v>0</v>
      </c>
      <c r="AF212" s="917">
        <f>IFERROR(INDEX(Produccion_Ganadera_Cuentas[],MATCH(Producción_Ganadera[[#This Row],[Cuenta Contable]],Produccion_Ganadera_Cuentas[Cuenta Contable],0),5),0)</f>
        <v>0</v>
      </c>
      <c r="AG212" s="918" t="str">
        <f>IF(Producción_Ganadera[[#This Row],[Cuenta Contable]]=Configuración!$AC$9,"Si","No")</f>
        <v>No</v>
      </c>
      <c r="AH212" s="887" t="str">
        <f>IFERROR(INDEX(Tabla9[],MATCH(Producción_Ganadera[[#This Row],[Movimiento]],Tabla9[Movimientos],0),2),0)</f>
        <v>Si</v>
      </c>
      <c r="AI212" s="888" t="str">
        <f>IFERROR(INDEX(Tabla9[],MATCH(Producción_Ganadera[[#This Row],[Movimiento]],Tabla9[Movimientos],0),3),0)</f>
        <v>(-)</v>
      </c>
      <c r="AJ212" s="885">
        <f>IF(Producción_Ganadera[[#This Row],[Fecha Económico]]=0,0,MONTH(Producción_Ganadera[[#This Row],[Fecha Económico]]))</f>
        <v>9</v>
      </c>
      <c r="AK212" s="885">
        <f>IF(Producción_Ganadera[[#This Row],[Fecha Económico]]=0,0,YEAR(Producción_Ganadera[[#This Row],[Fecha Económico]]))</f>
        <v>2018</v>
      </c>
      <c r="AL212" s="889">
        <f>SUMPRODUCT((Producción_Ganadera[[#This Row],[Mes Económico]]=Tipo_Cambio[Mes])*(Producción_Ganadera[[#This Row],[Año Económico]]=Tipo_Cambio[Año])*(Tipo_Cambio[$/U$S]))</f>
        <v>22.4422</v>
      </c>
      <c r="AM212" s="889">
        <f>SUMPRODUCT((Producción_Ganadera[[#This Row],[Mes Económico]]=Tipo_Cambio[Mes])*(Producción_Ganadera[[#This Row],[Año Económico]]=Tipo_Cambio[Año])*(Tipo_Cambio[Actualización]))</f>
        <v>1.0404</v>
      </c>
      <c r="AN212" s="885">
        <f>IF(ISNUMBER(Producción_Ganadera[[#This Row],[Fecha Financiero]])=TRUE,MONTH(Producción_Ganadera[[#This Row],[Fecha Financiero]]),0)</f>
        <v>9</v>
      </c>
      <c r="AO212" s="885">
        <f>IF(ISNUMBER(Producción_Ganadera[[#This Row],[Fecha Financiero]])=TRUE,YEAR(Producción_Ganadera[[#This Row],[Fecha Financiero]]),0)</f>
        <v>2018</v>
      </c>
      <c r="AP212" s="889">
        <f>SUMPRODUCT((Producción_Ganadera[[#This Row],[Mes Financiero]]=Tipo_Cambio[Mes])*(Producción_Ganadera[[#This Row],[Año Financiero]]=Tipo_Cambio[Año])*(Tipo_Cambio[$/U$S]))</f>
        <v>22.4422</v>
      </c>
      <c r="AQ212" s="889">
        <f>SUMPRODUCT((Producción_Ganadera[[#This Row],[Mes Financiero]]=Tipo_Cambio[Mes])*(Producción_Ganadera[[#This Row],[Año Financiero]]=Tipo_Cambio[Año])*(Tipo_Cambio[Actualización]))</f>
        <v>1.0404</v>
      </c>
      <c r="AR212" s="919">
        <f>SUMPRODUCT((Producción_Ganadera[[#This Row],[Centro de Costo]]=Tabla19[Centro de Costo])*(Tabla19[Superficie])*(Producción_Ganadera[[#This Row],[Campaña]]=Tabla19[Campaña]))</f>
        <v>0</v>
      </c>
      <c r="AS212" s="918">
        <f>IFERROR(Producción_Ganadera[[#This Row],[Económico $Corrientes]]/Producción_Ganadera[[#This Row],[Superficie]],0)</f>
        <v>0</v>
      </c>
      <c r="AT212" s="918">
        <f>IFERROR(Producción_Ganadera[[#This Row],[Económico $Constantes]]/Producción_Ganadera[[#This Row],[Superficie]],0)</f>
        <v>0</v>
      </c>
      <c r="AU212" s="918">
        <f>IFERROR(Producción_Ganadera[[#This Row],[Económico U$S Dólares]]/Producción_Ganadera[[#This Row],[Superficie]],0)</f>
        <v>0</v>
      </c>
      <c r="AV212" s="916" t="str">
        <f>IF(Económico!$F$4=0,0,Producción_Ganadera[[#This Row],[Centro de Costo]])</f>
        <v>Campo 2</v>
      </c>
    </row>
    <row r="213" spans="4:48" x14ac:dyDescent="0.25">
      <c r="D213" s="478">
        <f t="shared" si="14"/>
        <v>43374</v>
      </c>
      <c r="E213" s="522">
        <f>+Producción_Ganadera[[#This Row],[Fecha Económico]]+9</f>
        <v>43383</v>
      </c>
      <c r="F213" s="869" t="str">
        <f t="shared" si="13"/>
        <v>2018-2019</v>
      </c>
      <c r="G213" s="491" t="str">
        <f>GAN_Personal</f>
        <v>Personal</v>
      </c>
      <c r="H213" s="491" t="s">
        <v>8</v>
      </c>
      <c r="I213" s="491"/>
      <c r="J213" s="549"/>
      <c r="K213" s="491"/>
      <c r="L213" s="520"/>
      <c r="M21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1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13" s="611"/>
      <c r="P213" s="484"/>
      <c r="Q213" s="875">
        <f>IF(ISNUMBER(Producción_Ganadera[[#This Row],[Cabezas]])=TRUE,Producción_Ganadera[[#This Row],[Cabezas]]*Producción_Ganadera[[#This Row],[Cantidad]],Producción_Ganadera[[#This Row],[Cantidad]])</f>
        <v>0</v>
      </c>
      <c r="R213" s="482"/>
      <c r="S213" s="552" t="s">
        <v>48</v>
      </c>
      <c r="T213" s="553"/>
      <c r="U21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13" s="881">
        <f>IFERROR(Producción_Ganadera[[#This Row],[Económico $Corrientes]]/Producción_Ganadera[[#This Row],[Indexación Económico]],0)</f>
        <v>0</v>
      </c>
      <c r="W21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1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13" s="881">
        <f>IFERROR(Producción_Ganadera[[#This Row],[Financiero $Corrientes]]/Producción_Ganadera[[#This Row],[Indexación Financiero]],0)</f>
        <v>0</v>
      </c>
      <c r="Z21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1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13" s="885">
        <f>IFERROR(Producción_Ganadera[[#This Row],[Intereses $Corrientes]]/Producción_Ganadera[[#This Row],[Indexación Financiero]],0)</f>
        <v>0</v>
      </c>
      <c r="AC21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13" s="915" t="str">
        <f>IFERROR(INDEX(Produccion_Ganadera_Cuentas[],MATCH(Producción_Ganadera[[#This Row],[Cuenta Contable]],Produccion_Ganadera_Cuentas[Cuenta Contable],0),2),0)</f>
        <v>Egreso</v>
      </c>
      <c r="AE213" s="916">
        <f>IF(Producción_Ganadera[[#This Row],[Mov. Stock]]="(+)",Producción_Ganadera[[#This Row],[Cabezas]],IF(Producción_Ganadera[[#This Row],[Mov. Stock]]="(-)",-Producción_Ganadera[[#This Row],[Cabezas]],0))</f>
        <v>0</v>
      </c>
      <c r="AF213" s="917">
        <f>IFERROR(INDEX(Produccion_Ganadera_Cuentas[],MATCH(Producción_Ganadera[[#This Row],[Cuenta Contable]],Produccion_Ganadera_Cuentas[Cuenta Contable],0),5),0)</f>
        <v>0</v>
      </c>
      <c r="AG213" s="918" t="str">
        <f>IF(Producción_Ganadera[[#This Row],[Cuenta Contable]]=Configuración!$AC$9,"Si","No")</f>
        <v>No</v>
      </c>
      <c r="AH213" s="887" t="str">
        <f>IFERROR(INDEX(Tabla9[],MATCH(Producción_Ganadera[[#This Row],[Movimiento]],Tabla9[Movimientos],0),2),0)</f>
        <v>Si</v>
      </c>
      <c r="AI213" s="888" t="str">
        <f>IFERROR(INDEX(Tabla9[],MATCH(Producción_Ganadera[[#This Row],[Movimiento]],Tabla9[Movimientos],0),3),0)</f>
        <v>(-)</v>
      </c>
      <c r="AJ213" s="885">
        <f>IF(Producción_Ganadera[[#This Row],[Fecha Económico]]=0,0,MONTH(Producción_Ganadera[[#This Row],[Fecha Económico]]))</f>
        <v>10</v>
      </c>
      <c r="AK213" s="885">
        <f>IF(Producción_Ganadera[[#This Row],[Fecha Económico]]=0,0,YEAR(Producción_Ganadera[[#This Row],[Fecha Económico]]))</f>
        <v>2018</v>
      </c>
      <c r="AL213" s="889">
        <f>SUMPRODUCT((Producción_Ganadera[[#This Row],[Mes Económico]]=Tipo_Cambio[Mes])*(Producción_Ganadera[[#This Row],[Año Económico]]=Tipo_Cambio[Año])*(Tipo_Cambio[$/U$S]))</f>
        <v>22.666622</v>
      </c>
      <c r="AM213" s="889">
        <f>SUMPRODUCT((Producción_Ganadera[[#This Row],[Mes Económico]]=Tipo_Cambio[Mes])*(Producción_Ganadera[[#This Row],[Año Económico]]=Tipo_Cambio[Año])*(Tipo_Cambio[Actualización]))</f>
        <v>1.0612079999999999</v>
      </c>
      <c r="AN213" s="885">
        <f>IF(ISNUMBER(Producción_Ganadera[[#This Row],[Fecha Financiero]])=TRUE,MONTH(Producción_Ganadera[[#This Row],[Fecha Financiero]]),0)</f>
        <v>10</v>
      </c>
      <c r="AO213" s="885">
        <f>IF(ISNUMBER(Producción_Ganadera[[#This Row],[Fecha Financiero]])=TRUE,YEAR(Producción_Ganadera[[#This Row],[Fecha Financiero]]),0)</f>
        <v>2018</v>
      </c>
      <c r="AP213" s="889">
        <f>SUMPRODUCT((Producción_Ganadera[[#This Row],[Mes Financiero]]=Tipo_Cambio[Mes])*(Producción_Ganadera[[#This Row],[Año Financiero]]=Tipo_Cambio[Año])*(Tipo_Cambio[$/U$S]))</f>
        <v>22.666622</v>
      </c>
      <c r="AQ213" s="889">
        <f>SUMPRODUCT((Producción_Ganadera[[#This Row],[Mes Financiero]]=Tipo_Cambio[Mes])*(Producción_Ganadera[[#This Row],[Año Financiero]]=Tipo_Cambio[Año])*(Tipo_Cambio[Actualización]))</f>
        <v>1.0612079999999999</v>
      </c>
      <c r="AR213" s="919">
        <f>SUMPRODUCT((Producción_Ganadera[[#This Row],[Centro de Costo]]=Tabla19[Centro de Costo])*(Tabla19[Superficie])*(Producción_Ganadera[[#This Row],[Campaña]]=Tabla19[Campaña]))</f>
        <v>0</v>
      </c>
      <c r="AS213" s="918">
        <f>IFERROR(Producción_Ganadera[[#This Row],[Económico $Corrientes]]/Producción_Ganadera[[#This Row],[Superficie]],0)</f>
        <v>0</v>
      </c>
      <c r="AT213" s="918">
        <f>IFERROR(Producción_Ganadera[[#This Row],[Económico $Constantes]]/Producción_Ganadera[[#This Row],[Superficie]],0)</f>
        <v>0</v>
      </c>
      <c r="AU213" s="918">
        <f>IFERROR(Producción_Ganadera[[#This Row],[Económico U$S Dólares]]/Producción_Ganadera[[#This Row],[Superficie]],0)</f>
        <v>0</v>
      </c>
      <c r="AV213" s="916" t="str">
        <f>IF(Económico!$F$4=0,0,Producción_Ganadera[[#This Row],[Centro de Costo]])</f>
        <v>Campo 2</v>
      </c>
    </row>
    <row r="214" spans="4:48" x14ac:dyDescent="0.25">
      <c r="D214" s="478">
        <f t="shared" si="14"/>
        <v>43374</v>
      </c>
      <c r="E214" s="522">
        <f>+Producción_Ganadera[[#This Row],[Fecha Económico]]+9</f>
        <v>43383</v>
      </c>
      <c r="F214" s="869" t="str">
        <f t="shared" si="13"/>
        <v>2018-2019</v>
      </c>
      <c r="G214" s="491" t="str">
        <f>GAN_Cargas_Sociales</f>
        <v>Cargas Sociales</v>
      </c>
      <c r="H214" s="491" t="s">
        <v>8</v>
      </c>
      <c r="I214" s="491"/>
      <c r="J214" s="549"/>
      <c r="K214" s="491"/>
      <c r="L214" s="520"/>
      <c r="M21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1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14" s="611"/>
      <c r="P214" s="484"/>
      <c r="Q214" s="875">
        <f>IF(ISNUMBER(Producción_Ganadera[[#This Row],[Cabezas]])=TRUE,Producción_Ganadera[[#This Row],[Cabezas]]*Producción_Ganadera[[#This Row],[Cantidad]],Producción_Ganadera[[#This Row],[Cantidad]])</f>
        <v>0</v>
      </c>
      <c r="R214" s="482"/>
      <c r="S214" s="552" t="s">
        <v>48</v>
      </c>
      <c r="T214" s="553"/>
      <c r="U21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14" s="881">
        <f>IFERROR(Producción_Ganadera[[#This Row],[Económico $Corrientes]]/Producción_Ganadera[[#This Row],[Indexación Económico]],0)</f>
        <v>0</v>
      </c>
      <c r="W21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1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14" s="881">
        <f>IFERROR(Producción_Ganadera[[#This Row],[Financiero $Corrientes]]/Producción_Ganadera[[#This Row],[Indexación Financiero]],0)</f>
        <v>0</v>
      </c>
      <c r="Z21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1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14" s="885">
        <f>IFERROR(Producción_Ganadera[[#This Row],[Intereses $Corrientes]]/Producción_Ganadera[[#This Row],[Indexación Financiero]],0)</f>
        <v>0</v>
      </c>
      <c r="AC21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14" s="915" t="str">
        <f>IFERROR(INDEX(Produccion_Ganadera_Cuentas[],MATCH(Producción_Ganadera[[#This Row],[Cuenta Contable]],Produccion_Ganadera_Cuentas[Cuenta Contable],0),2),0)</f>
        <v>Egreso</v>
      </c>
      <c r="AE214" s="916">
        <f>IF(Producción_Ganadera[[#This Row],[Mov. Stock]]="(+)",Producción_Ganadera[[#This Row],[Cabezas]],IF(Producción_Ganadera[[#This Row],[Mov. Stock]]="(-)",-Producción_Ganadera[[#This Row],[Cabezas]],0))</f>
        <v>0</v>
      </c>
      <c r="AF214" s="917">
        <f>IFERROR(INDEX(Produccion_Ganadera_Cuentas[],MATCH(Producción_Ganadera[[#This Row],[Cuenta Contable]],Produccion_Ganadera_Cuentas[Cuenta Contable],0),5),0)</f>
        <v>0</v>
      </c>
      <c r="AG214" s="918" t="str">
        <f>IF(Producción_Ganadera[[#This Row],[Cuenta Contable]]=Configuración!$AC$9,"Si","No")</f>
        <v>No</v>
      </c>
      <c r="AH214" s="887" t="str">
        <f>IFERROR(INDEX(Tabla9[],MATCH(Producción_Ganadera[[#This Row],[Movimiento]],Tabla9[Movimientos],0),2),0)</f>
        <v>Si</v>
      </c>
      <c r="AI214" s="888" t="str">
        <f>IFERROR(INDEX(Tabla9[],MATCH(Producción_Ganadera[[#This Row],[Movimiento]],Tabla9[Movimientos],0),3),0)</f>
        <v>(-)</v>
      </c>
      <c r="AJ214" s="885">
        <f>IF(Producción_Ganadera[[#This Row],[Fecha Económico]]=0,0,MONTH(Producción_Ganadera[[#This Row],[Fecha Económico]]))</f>
        <v>10</v>
      </c>
      <c r="AK214" s="885">
        <f>IF(Producción_Ganadera[[#This Row],[Fecha Económico]]=0,0,YEAR(Producción_Ganadera[[#This Row],[Fecha Económico]]))</f>
        <v>2018</v>
      </c>
      <c r="AL214" s="889">
        <f>SUMPRODUCT((Producción_Ganadera[[#This Row],[Mes Económico]]=Tipo_Cambio[Mes])*(Producción_Ganadera[[#This Row],[Año Económico]]=Tipo_Cambio[Año])*(Tipo_Cambio[$/U$S]))</f>
        <v>22.666622</v>
      </c>
      <c r="AM214" s="889">
        <f>SUMPRODUCT((Producción_Ganadera[[#This Row],[Mes Económico]]=Tipo_Cambio[Mes])*(Producción_Ganadera[[#This Row],[Año Económico]]=Tipo_Cambio[Año])*(Tipo_Cambio[Actualización]))</f>
        <v>1.0612079999999999</v>
      </c>
      <c r="AN214" s="885">
        <f>IF(ISNUMBER(Producción_Ganadera[[#This Row],[Fecha Financiero]])=TRUE,MONTH(Producción_Ganadera[[#This Row],[Fecha Financiero]]),0)</f>
        <v>10</v>
      </c>
      <c r="AO214" s="885">
        <f>IF(ISNUMBER(Producción_Ganadera[[#This Row],[Fecha Financiero]])=TRUE,YEAR(Producción_Ganadera[[#This Row],[Fecha Financiero]]),0)</f>
        <v>2018</v>
      </c>
      <c r="AP214" s="889">
        <f>SUMPRODUCT((Producción_Ganadera[[#This Row],[Mes Financiero]]=Tipo_Cambio[Mes])*(Producción_Ganadera[[#This Row],[Año Financiero]]=Tipo_Cambio[Año])*(Tipo_Cambio[$/U$S]))</f>
        <v>22.666622</v>
      </c>
      <c r="AQ214" s="889">
        <f>SUMPRODUCT((Producción_Ganadera[[#This Row],[Mes Financiero]]=Tipo_Cambio[Mes])*(Producción_Ganadera[[#This Row],[Año Financiero]]=Tipo_Cambio[Año])*(Tipo_Cambio[Actualización]))</f>
        <v>1.0612079999999999</v>
      </c>
      <c r="AR214" s="919">
        <f>SUMPRODUCT((Producción_Ganadera[[#This Row],[Centro de Costo]]=Tabla19[Centro de Costo])*(Tabla19[Superficie])*(Producción_Ganadera[[#This Row],[Campaña]]=Tabla19[Campaña]))</f>
        <v>0</v>
      </c>
      <c r="AS214" s="918">
        <f>IFERROR(Producción_Ganadera[[#This Row],[Económico $Corrientes]]/Producción_Ganadera[[#This Row],[Superficie]],0)</f>
        <v>0</v>
      </c>
      <c r="AT214" s="918">
        <f>IFERROR(Producción_Ganadera[[#This Row],[Económico $Constantes]]/Producción_Ganadera[[#This Row],[Superficie]],0)</f>
        <v>0</v>
      </c>
      <c r="AU214" s="918">
        <f>IFERROR(Producción_Ganadera[[#This Row],[Económico U$S Dólares]]/Producción_Ganadera[[#This Row],[Superficie]],0)</f>
        <v>0</v>
      </c>
      <c r="AV214" s="916" t="str">
        <f>IF(Económico!$F$4=0,0,Producción_Ganadera[[#This Row],[Centro de Costo]])</f>
        <v>Campo 2</v>
      </c>
    </row>
    <row r="215" spans="4:48" x14ac:dyDescent="0.25">
      <c r="D215" s="478">
        <f t="shared" si="14"/>
        <v>43374</v>
      </c>
      <c r="E215" s="522">
        <f>+Producción_Ganadera[[#This Row],[Fecha Económico]]+9</f>
        <v>43383</v>
      </c>
      <c r="F215" s="869" t="str">
        <f t="shared" si="13"/>
        <v>2018-2019</v>
      </c>
      <c r="G215" s="491" t="str">
        <f>GAN_Manutención_Personal</f>
        <v>Manutención Personal</v>
      </c>
      <c r="H215" s="491" t="s">
        <v>8</v>
      </c>
      <c r="I215" s="491"/>
      <c r="J215" s="549"/>
      <c r="K215" s="491"/>
      <c r="L215" s="520"/>
      <c r="M21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1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15" s="611"/>
      <c r="P215" s="484"/>
      <c r="Q215" s="875">
        <f>IF(ISNUMBER(Producción_Ganadera[[#This Row],[Cabezas]])=TRUE,Producción_Ganadera[[#This Row],[Cabezas]]*Producción_Ganadera[[#This Row],[Cantidad]],Producción_Ganadera[[#This Row],[Cantidad]])</f>
        <v>0</v>
      </c>
      <c r="R215" s="482"/>
      <c r="S215" s="552" t="s">
        <v>48</v>
      </c>
      <c r="T215" s="553"/>
      <c r="U21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15" s="881">
        <f>IFERROR(Producción_Ganadera[[#This Row],[Económico $Corrientes]]/Producción_Ganadera[[#This Row],[Indexación Económico]],0)</f>
        <v>0</v>
      </c>
      <c r="W21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1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15" s="881">
        <f>IFERROR(Producción_Ganadera[[#This Row],[Financiero $Corrientes]]/Producción_Ganadera[[#This Row],[Indexación Financiero]],0)</f>
        <v>0</v>
      </c>
      <c r="Z21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1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15" s="885">
        <f>IFERROR(Producción_Ganadera[[#This Row],[Intereses $Corrientes]]/Producción_Ganadera[[#This Row],[Indexación Financiero]],0)</f>
        <v>0</v>
      </c>
      <c r="AC21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15" s="915" t="str">
        <f>IFERROR(INDEX(Produccion_Ganadera_Cuentas[],MATCH(Producción_Ganadera[[#This Row],[Cuenta Contable]],Produccion_Ganadera_Cuentas[Cuenta Contable],0),2),0)</f>
        <v>Egreso</v>
      </c>
      <c r="AE215" s="916">
        <f>IF(Producción_Ganadera[[#This Row],[Mov. Stock]]="(+)",Producción_Ganadera[[#This Row],[Cabezas]],IF(Producción_Ganadera[[#This Row],[Mov. Stock]]="(-)",-Producción_Ganadera[[#This Row],[Cabezas]],0))</f>
        <v>0</v>
      </c>
      <c r="AF215" s="917">
        <f>IFERROR(INDEX(Produccion_Ganadera_Cuentas[],MATCH(Producción_Ganadera[[#This Row],[Cuenta Contable]],Produccion_Ganadera_Cuentas[Cuenta Contable],0),5),0)</f>
        <v>0</v>
      </c>
      <c r="AG215" s="918" t="str">
        <f>IF(Producción_Ganadera[[#This Row],[Cuenta Contable]]=Configuración!$AC$9,"Si","No")</f>
        <v>No</v>
      </c>
      <c r="AH215" s="887" t="str">
        <f>IFERROR(INDEX(Tabla9[],MATCH(Producción_Ganadera[[#This Row],[Movimiento]],Tabla9[Movimientos],0),2),0)</f>
        <v>Si</v>
      </c>
      <c r="AI215" s="888" t="str">
        <f>IFERROR(INDEX(Tabla9[],MATCH(Producción_Ganadera[[#This Row],[Movimiento]],Tabla9[Movimientos],0),3),0)</f>
        <v>(-)</v>
      </c>
      <c r="AJ215" s="885">
        <f>IF(Producción_Ganadera[[#This Row],[Fecha Económico]]=0,0,MONTH(Producción_Ganadera[[#This Row],[Fecha Económico]]))</f>
        <v>10</v>
      </c>
      <c r="AK215" s="885">
        <f>IF(Producción_Ganadera[[#This Row],[Fecha Económico]]=0,0,YEAR(Producción_Ganadera[[#This Row],[Fecha Económico]]))</f>
        <v>2018</v>
      </c>
      <c r="AL215" s="889">
        <f>SUMPRODUCT((Producción_Ganadera[[#This Row],[Mes Económico]]=Tipo_Cambio[Mes])*(Producción_Ganadera[[#This Row],[Año Económico]]=Tipo_Cambio[Año])*(Tipo_Cambio[$/U$S]))</f>
        <v>22.666622</v>
      </c>
      <c r="AM215" s="889">
        <f>SUMPRODUCT((Producción_Ganadera[[#This Row],[Mes Económico]]=Tipo_Cambio[Mes])*(Producción_Ganadera[[#This Row],[Año Económico]]=Tipo_Cambio[Año])*(Tipo_Cambio[Actualización]))</f>
        <v>1.0612079999999999</v>
      </c>
      <c r="AN215" s="885">
        <f>IF(ISNUMBER(Producción_Ganadera[[#This Row],[Fecha Financiero]])=TRUE,MONTH(Producción_Ganadera[[#This Row],[Fecha Financiero]]),0)</f>
        <v>10</v>
      </c>
      <c r="AO215" s="885">
        <f>IF(ISNUMBER(Producción_Ganadera[[#This Row],[Fecha Financiero]])=TRUE,YEAR(Producción_Ganadera[[#This Row],[Fecha Financiero]]),0)</f>
        <v>2018</v>
      </c>
      <c r="AP215" s="889">
        <f>SUMPRODUCT((Producción_Ganadera[[#This Row],[Mes Financiero]]=Tipo_Cambio[Mes])*(Producción_Ganadera[[#This Row],[Año Financiero]]=Tipo_Cambio[Año])*(Tipo_Cambio[$/U$S]))</f>
        <v>22.666622</v>
      </c>
      <c r="AQ215" s="889">
        <f>SUMPRODUCT((Producción_Ganadera[[#This Row],[Mes Financiero]]=Tipo_Cambio[Mes])*(Producción_Ganadera[[#This Row],[Año Financiero]]=Tipo_Cambio[Año])*(Tipo_Cambio[Actualización]))</f>
        <v>1.0612079999999999</v>
      </c>
      <c r="AR215" s="919">
        <f>SUMPRODUCT((Producción_Ganadera[[#This Row],[Centro de Costo]]=Tabla19[Centro de Costo])*(Tabla19[Superficie])*(Producción_Ganadera[[#This Row],[Campaña]]=Tabla19[Campaña]))</f>
        <v>0</v>
      </c>
      <c r="AS215" s="918">
        <f>IFERROR(Producción_Ganadera[[#This Row],[Económico $Corrientes]]/Producción_Ganadera[[#This Row],[Superficie]],0)</f>
        <v>0</v>
      </c>
      <c r="AT215" s="918">
        <f>IFERROR(Producción_Ganadera[[#This Row],[Económico $Constantes]]/Producción_Ganadera[[#This Row],[Superficie]],0)</f>
        <v>0</v>
      </c>
      <c r="AU215" s="918">
        <f>IFERROR(Producción_Ganadera[[#This Row],[Económico U$S Dólares]]/Producción_Ganadera[[#This Row],[Superficie]],0)</f>
        <v>0</v>
      </c>
      <c r="AV215" s="916" t="str">
        <f>IF(Económico!$F$4=0,0,Producción_Ganadera[[#This Row],[Centro de Costo]])</f>
        <v>Campo 2</v>
      </c>
    </row>
    <row r="216" spans="4:48" x14ac:dyDescent="0.25">
      <c r="D216" s="478">
        <f t="shared" si="14"/>
        <v>43405</v>
      </c>
      <c r="E216" s="522">
        <f>+Producción_Ganadera[[#This Row],[Fecha Económico]]+9</f>
        <v>43414</v>
      </c>
      <c r="F216" s="869" t="str">
        <f t="shared" si="13"/>
        <v>2018-2019</v>
      </c>
      <c r="G216" s="491" t="str">
        <f>GAN_Personal</f>
        <v>Personal</v>
      </c>
      <c r="H216" s="491" t="s">
        <v>8</v>
      </c>
      <c r="I216" s="491"/>
      <c r="J216" s="549"/>
      <c r="K216" s="491"/>
      <c r="L216" s="520"/>
      <c r="M21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1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16" s="611"/>
      <c r="P216" s="484"/>
      <c r="Q216" s="875">
        <f>IF(ISNUMBER(Producción_Ganadera[[#This Row],[Cabezas]])=TRUE,Producción_Ganadera[[#This Row],[Cabezas]]*Producción_Ganadera[[#This Row],[Cantidad]],Producción_Ganadera[[#This Row],[Cantidad]])</f>
        <v>0</v>
      </c>
      <c r="R216" s="482"/>
      <c r="S216" s="552" t="s">
        <v>48</v>
      </c>
      <c r="T216" s="553"/>
      <c r="U21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16" s="881">
        <f>IFERROR(Producción_Ganadera[[#This Row],[Económico $Corrientes]]/Producción_Ganadera[[#This Row],[Indexación Económico]],0)</f>
        <v>0</v>
      </c>
      <c r="W21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1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16" s="881">
        <f>IFERROR(Producción_Ganadera[[#This Row],[Financiero $Corrientes]]/Producción_Ganadera[[#This Row],[Indexación Financiero]],0)</f>
        <v>0</v>
      </c>
      <c r="Z21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1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16" s="885">
        <f>IFERROR(Producción_Ganadera[[#This Row],[Intereses $Corrientes]]/Producción_Ganadera[[#This Row],[Indexación Financiero]],0)</f>
        <v>0</v>
      </c>
      <c r="AC21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16" s="915" t="str">
        <f>IFERROR(INDEX(Produccion_Ganadera_Cuentas[],MATCH(Producción_Ganadera[[#This Row],[Cuenta Contable]],Produccion_Ganadera_Cuentas[Cuenta Contable],0),2),0)</f>
        <v>Egreso</v>
      </c>
      <c r="AE216" s="916">
        <f>IF(Producción_Ganadera[[#This Row],[Mov. Stock]]="(+)",Producción_Ganadera[[#This Row],[Cabezas]],IF(Producción_Ganadera[[#This Row],[Mov. Stock]]="(-)",-Producción_Ganadera[[#This Row],[Cabezas]],0))</f>
        <v>0</v>
      </c>
      <c r="AF216" s="917">
        <f>IFERROR(INDEX(Produccion_Ganadera_Cuentas[],MATCH(Producción_Ganadera[[#This Row],[Cuenta Contable]],Produccion_Ganadera_Cuentas[Cuenta Contable],0),5),0)</f>
        <v>0</v>
      </c>
      <c r="AG216" s="918" t="str">
        <f>IF(Producción_Ganadera[[#This Row],[Cuenta Contable]]=Configuración!$AC$9,"Si","No")</f>
        <v>No</v>
      </c>
      <c r="AH216" s="887" t="str">
        <f>IFERROR(INDEX(Tabla9[],MATCH(Producción_Ganadera[[#This Row],[Movimiento]],Tabla9[Movimientos],0),2),0)</f>
        <v>Si</v>
      </c>
      <c r="AI216" s="888" t="str">
        <f>IFERROR(INDEX(Tabla9[],MATCH(Producción_Ganadera[[#This Row],[Movimiento]],Tabla9[Movimientos],0),3),0)</f>
        <v>(-)</v>
      </c>
      <c r="AJ216" s="885">
        <f>IF(Producción_Ganadera[[#This Row],[Fecha Económico]]=0,0,MONTH(Producción_Ganadera[[#This Row],[Fecha Económico]]))</f>
        <v>11</v>
      </c>
      <c r="AK216" s="885">
        <f>IF(Producción_Ganadera[[#This Row],[Fecha Económico]]=0,0,YEAR(Producción_Ganadera[[#This Row],[Fecha Económico]]))</f>
        <v>2018</v>
      </c>
      <c r="AL216" s="889">
        <f>SUMPRODUCT((Producción_Ganadera[[#This Row],[Mes Económico]]=Tipo_Cambio[Mes])*(Producción_Ganadera[[#This Row],[Año Económico]]=Tipo_Cambio[Año])*(Tipo_Cambio[$/U$S]))</f>
        <v>22.893288219999999</v>
      </c>
      <c r="AM216" s="889">
        <f>SUMPRODUCT((Producción_Ganadera[[#This Row],[Mes Económico]]=Tipo_Cambio[Mes])*(Producción_Ganadera[[#This Row],[Año Económico]]=Tipo_Cambio[Año])*(Tipo_Cambio[Actualización]))</f>
        <v>1.08243216</v>
      </c>
      <c r="AN216" s="885">
        <f>IF(ISNUMBER(Producción_Ganadera[[#This Row],[Fecha Financiero]])=TRUE,MONTH(Producción_Ganadera[[#This Row],[Fecha Financiero]]),0)</f>
        <v>11</v>
      </c>
      <c r="AO216" s="885">
        <f>IF(ISNUMBER(Producción_Ganadera[[#This Row],[Fecha Financiero]])=TRUE,YEAR(Producción_Ganadera[[#This Row],[Fecha Financiero]]),0)</f>
        <v>2018</v>
      </c>
      <c r="AP216" s="889">
        <f>SUMPRODUCT((Producción_Ganadera[[#This Row],[Mes Financiero]]=Tipo_Cambio[Mes])*(Producción_Ganadera[[#This Row],[Año Financiero]]=Tipo_Cambio[Año])*(Tipo_Cambio[$/U$S]))</f>
        <v>22.893288219999999</v>
      </c>
      <c r="AQ216" s="889">
        <f>SUMPRODUCT((Producción_Ganadera[[#This Row],[Mes Financiero]]=Tipo_Cambio[Mes])*(Producción_Ganadera[[#This Row],[Año Financiero]]=Tipo_Cambio[Año])*(Tipo_Cambio[Actualización]))</f>
        <v>1.08243216</v>
      </c>
      <c r="AR216" s="919">
        <f>SUMPRODUCT((Producción_Ganadera[[#This Row],[Centro de Costo]]=Tabla19[Centro de Costo])*(Tabla19[Superficie])*(Producción_Ganadera[[#This Row],[Campaña]]=Tabla19[Campaña]))</f>
        <v>0</v>
      </c>
      <c r="AS216" s="918">
        <f>IFERROR(Producción_Ganadera[[#This Row],[Económico $Corrientes]]/Producción_Ganadera[[#This Row],[Superficie]],0)</f>
        <v>0</v>
      </c>
      <c r="AT216" s="918">
        <f>IFERROR(Producción_Ganadera[[#This Row],[Económico $Constantes]]/Producción_Ganadera[[#This Row],[Superficie]],0)</f>
        <v>0</v>
      </c>
      <c r="AU216" s="918">
        <f>IFERROR(Producción_Ganadera[[#This Row],[Económico U$S Dólares]]/Producción_Ganadera[[#This Row],[Superficie]],0)</f>
        <v>0</v>
      </c>
      <c r="AV216" s="916" t="str">
        <f>IF(Económico!$F$4=0,0,Producción_Ganadera[[#This Row],[Centro de Costo]])</f>
        <v>Campo 2</v>
      </c>
    </row>
    <row r="217" spans="4:48" x14ac:dyDescent="0.25">
      <c r="D217" s="478">
        <f t="shared" si="14"/>
        <v>43405</v>
      </c>
      <c r="E217" s="522">
        <f>+Producción_Ganadera[[#This Row],[Fecha Económico]]+9</f>
        <v>43414</v>
      </c>
      <c r="F217" s="869" t="str">
        <f t="shared" si="13"/>
        <v>2018-2019</v>
      </c>
      <c r="G217" s="491" t="str">
        <f>GAN_Cargas_Sociales</f>
        <v>Cargas Sociales</v>
      </c>
      <c r="H217" s="491" t="s">
        <v>8</v>
      </c>
      <c r="I217" s="491"/>
      <c r="J217" s="549"/>
      <c r="K217" s="491"/>
      <c r="L217" s="520"/>
      <c r="M21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1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17" s="611"/>
      <c r="P217" s="484"/>
      <c r="Q217" s="875">
        <f>IF(ISNUMBER(Producción_Ganadera[[#This Row],[Cabezas]])=TRUE,Producción_Ganadera[[#This Row],[Cabezas]]*Producción_Ganadera[[#This Row],[Cantidad]],Producción_Ganadera[[#This Row],[Cantidad]])</f>
        <v>0</v>
      </c>
      <c r="R217" s="482"/>
      <c r="S217" s="552" t="s">
        <v>48</v>
      </c>
      <c r="T217" s="553"/>
      <c r="U21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17" s="881">
        <f>IFERROR(Producción_Ganadera[[#This Row],[Económico $Corrientes]]/Producción_Ganadera[[#This Row],[Indexación Económico]],0)</f>
        <v>0</v>
      </c>
      <c r="W21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1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17" s="881">
        <f>IFERROR(Producción_Ganadera[[#This Row],[Financiero $Corrientes]]/Producción_Ganadera[[#This Row],[Indexación Financiero]],0)</f>
        <v>0</v>
      </c>
      <c r="Z21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1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17" s="885">
        <f>IFERROR(Producción_Ganadera[[#This Row],[Intereses $Corrientes]]/Producción_Ganadera[[#This Row],[Indexación Financiero]],0)</f>
        <v>0</v>
      </c>
      <c r="AC21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17" s="915" t="str">
        <f>IFERROR(INDEX(Produccion_Ganadera_Cuentas[],MATCH(Producción_Ganadera[[#This Row],[Cuenta Contable]],Produccion_Ganadera_Cuentas[Cuenta Contable],0),2),0)</f>
        <v>Egreso</v>
      </c>
      <c r="AE217" s="916">
        <f>IF(Producción_Ganadera[[#This Row],[Mov. Stock]]="(+)",Producción_Ganadera[[#This Row],[Cabezas]],IF(Producción_Ganadera[[#This Row],[Mov. Stock]]="(-)",-Producción_Ganadera[[#This Row],[Cabezas]],0))</f>
        <v>0</v>
      </c>
      <c r="AF217" s="917">
        <f>IFERROR(INDEX(Produccion_Ganadera_Cuentas[],MATCH(Producción_Ganadera[[#This Row],[Cuenta Contable]],Produccion_Ganadera_Cuentas[Cuenta Contable],0),5),0)</f>
        <v>0</v>
      </c>
      <c r="AG217" s="918" t="str">
        <f>IF(Producción_Ganadera[[#This Row],[Cuenta Contable]]=Configuración!$AC$9,"Si","No")</f>
        <v>No</v>
      </c>
      <c r="AH217" s="887" t="str">
        <f>IFERROR(INDEX(Tabla9[],MATCH(Producción_Ganadera[[#This Row],[Movimiento]],Tabla9[Movimientos],0),2),0)</f>
        <v>Si</v>
      </c>
      <c r="AI217" s="888" t="str">
        <f>IFERROR(INDEX(Tabla9[],MATCH(Producción_Ganadera[[#This Row],[Movimiento]],Tabla9[Movimientos],0),3),0)</f>
        <v>(-)</v>
      </c>
      <c r="AJ217" s="885">
        <f>IF(Producción_Ganadera[[#This Row],[Fecha Económico]]=0,0,MONTH(Producción_Ganadera[[#This Row],[Fecha Económico]]))</f>
        <v>11</v>
      </c>
      <c r="AK217" s="885">
        <f>IF(Producción_Ganadera[[#This Row],[Fecha Económico]]=0,0,YEAR(Producción_Ganadera[[#This Row],[Fecha Económico]]))</f>
        <v>2018</v>
      </c>
      <c r="AL217" s="889">
        <f>SUMPRODUCT((Producción_Ganadera[[#This Row],[Mes Económico]]=Tipo_Cambio[Mes])*(Producción_Ganadera[[#This Row],[Año Económico]]=Tipo_Cambio[Año])*(Tipo_Cambio[$/U$S]))</f>
        <v>22.893288219999999</v>
      </c>
      <c r="AM217" s="889">
        <f>SUMPRODUCT((Producción_Ganadera[[#This Row],[Mes Económico]]=Tipo_Cambio[Mes])*(Producción_Ganadera[[#This Row],[Año Económico]]=Tipo_Cambio[Año])*(Tipo_Cambio[Actualización]))</f>
        <v>1.08243216</v>
      </c>
      <c r="AN217" s="885">
        <f>IF(ISNUMBER(Producción_Ganadera[[#This Row],[Fecha Financiero]])=TRUE,MONTH(Producción_Ganadera[[#This Row],[Fecha Financiero]]),0)</f>
        <v>11</v>
      </c>
      <c r="AO217" s="885">
        <f>IF(ISNUMBER(Producción_Ganadera[[#This Row],[Fecha Financiero]])=TRUE,YEAR(Producción_Ganadera[[#This Row],[Fecha Financiero]]),0)</f>
        <v>2018</v>
      </c>
      <c r="AP217" s="889">
        <f>SUMPRODUCT((Producción_Ganadera[[#This Row],[Mes Financiero]]=Tipo_Cambio[Mes])*(Producción_Ganadera[[#This Row],[Año Financiero]]=Tipo_Cambio[Año])*(Tipo_Cambio[$/U$S]))</f>
        <v>22.893288219999999</v>
      </c>
      <c r="AQ217" s="889">
        <f>SUMPRODUCT((Producción_Ganadera[[#This Row],[Mes Financiero]]=Tipo_Cambio[Mes])*(Producción_Ganadera[[#This Row],[Año Financiero]]=Tipo_Cambio[Año])*(Tipo_Cambio[Actualización]))</f>
        <v>1.08243216</v>
      </c>
      <c r="AR217" s="919">
        <f>SUMPRODUCT((Producción_Ganadera[[#This Row],[Centro de Costo]]=Tabla19[Centro de Costo])*(Tabla19[Superficie])*(Producción_Ganadera[[#This Row],[Campaña]]=Tabla19[Campaña]))</f>
        <v>0</v>
      </c>
      <c r="AS217" s="918">
        <f>IFERROR(Producción_Ganadera[[#This Row],[Económico $Corrientes]]/Producción_Ganadera[[#This Row],[Superficie]],0)</f>
        <v>0</v>
      </c>
      <c r="AT217" s="918">
        <f>IFERROR(Producción_Ganadera[[#This Row],[Económico $Constantes]]/Producción_Ganadera[[#This Row],[Superficie]],0)</f>
        <v>0</v>
      </c>
      <c r="AU217" s="918">
        <f>IFERROR(Producción_Ganadera[[#This Row],[Económico U$S Dólares]]/Producción_Ganadera[[#This Row],[Superficie]],0)</f>
        <v>0</v>
      </c>
      <c r="AV217" s="916" t="str">
        <f>IF(Económico!$F$4=0,0,Producción_Ganadera[[#This Row],[Centro de Costo]])</f>
        <v>Campo 2</v>
      </c>
    </row>
    <row r="218" spans="4:48" x14ac:dyDescent="0.25">
      <c r="D218" s="478">
        <f t="shared" si="14"/>
        <v>43405</v>
      </c>
      <c r="E218" s="522">
        <f>+Producción_Ganadera[[#This Row],[Fecha Económico]]+9</f>
        <v>43414</v>
      </c>
      <c r="F218" s="869" t="str">
        <f t="shared" si="13"/>
        <v>2018-2019</v>
      </c>
      <c r="G218" s="491" t="str">
        <f>GAN_Manutención_Personal</f>
        <v>Manutención Personal</v>
      </c>
      <c r="H218" s="491" t="s">
        <v>8</v>
      </c>
      <c r="I218" s="491"/>
      <c r="J218" s="549"/>
      <c r="K218" s="491"/>
      <c r="L218" s="520"/>
      <c r="M21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1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18" s="611"/>
      <c r="P218" s="484"/>
      <c r="Q218" s="875">
        <f>IF(ISNUMBER(Producción_Ganadera[[#This Row],[Cabezas]])=TRUE,Producción_Ganadera[[#This Row],[Cabezas]]*Producción_Ganadera[[#This Row],[Cantidad]],Producción_Ganadera[[#This Row],[Cantidad]])</f>
        <v>0</v>
      </c>
      <c r="R218" s="482"/>
      <c r="S218" s="552" t="s">
        <v>48</v>
      </c>
      <c r="T218" s="553"/>
      <c r="U21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18" s="881">
        <f>IFERROR(Producción_Ganadera[[#This Row],[Económico $Corrientes]]/Producción_Ganadera[[#This Row],[Indexación Económico]],0)</f>
        <v>0</v>
      </c>
      <c r="W21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1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18" s="881">
        <f>IFERROR(Producción_Ganadera[[#This Row],[Financiero $Corrientes]]/Producción_Ganadera[[#This Row],[Indexación Financiero]],0)</f>
        <v>0</v>
      </c>
      <c r="Z21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1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18" s="885">
        <f>IFERROR(Producción_Ganadera[[#This Row],[Intereses $Corrientes]]/Producción_Ganadera[[#This Row],[Indexación Financiero]],0)</f>
        <v>0</v>
      </c>
      <c r="AC21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18" s="915" t="str">
        <f>IFERROR(INDEX(Produccion_Ganadera_Cuentas[],MATCH(Producción_Ganadera[[#This Row],[Cuenta Contable]],Produccion_Ganadera_Cuentas[Cuenta Contable],0),2),0)</f>
        <v>Egreso</v>
      </c>
      <c r="AE218" s="916">
        <f>IF(Producción_Ganadera[[#This Row],[Mov. Stock]]="(+)",Producción_Ganadera[[#This Row],[Cabezas]],IF(Producción_Ganadera[[#This Row],[Mov. Stock]]="(-)",-Producción_Ganadera[[#This Row],[Cabezas]],0))</f>
        <v>0</v>
      </c>
      <c r="AF218" s="917">
        <f>IFERROR(INDEX(Produccion_Ganadera_Cuentas[],MATCH(Producción_Ganadera[[#This Row],[Cuenta Contable]],Produccion_Ganadera_Cuentas[Cuenta Contable],0),5),0)</f>
        <v>0</v>
      </c>
      <c r="AG218" s="918" t="str">
        <f>IF(Producción_Ganadera[[#This Row],[Cuenta Contable]]=Configuración!$AC$9,"Si","No")</f>
        <v>No</v>
      </c>
      <c r="AH218" s="887" t="str">
        <f>IFERROR(INDEX(Tabla9[],MATCH(Producción_Ganadera[[#This Row],[Movimiento]],Tabla9[Movimientos],0),2),0)</f>
        <v>Si</v>
      </c>
      <c r="AI218" s="888" t="str">
        <f>IFERROR(INDEX(Tabla9[],MATCH(Producción_Ganadera[[#This Row],[Movimiento]],Tabla9[Movimientos],0),3),0)</f>
        <v>(-)</v>
      </c>
      <c r="AJ218" s="885">
        <f>IF(Producción_Ganadera[[#This Row],[Fecha Económico]]=0,0,MONTH(Producción_Ganadera[[#This Row],[Fecha Económico]]))</f>
        <v>11</v>
      </c>
      <c r="AK218" s="885">
        <f>IF(Producción_Ganadera[[#This Row],[Fecha Económico]]=0,0,YEAR(Producción_Ganadera[[#This Row],[Fecha Económico]]))</f>
        <v>2018</v>
      </c>
      <c r="AL218" s="889">
        <f>SUMPRODUCT((Producción_Ganadera[[#This Row],[Mes Económico]]=Tipo_Cambio[Mes])*(Producción_Ganadera[[#This Row],[Año Económico]]=Tipo_Cambio[Año])*(Tipo_Cambio[$/U$S]))</f>
        <v>22.893288219999999</v>
      </c>
      <c r="AM218" s="889">
        <f>SUMPRODUCT((Producción_Ganadera[[#This Row],[Mes Económico]]=Tipo_Cambio[Mes])*(Producción_Ganadera[[#This Row],[Año Económico]]=Tipo_Cambio[Año])*(Tipo_Cambio[Actualización]))</f>
        <v>1.08243216</v>
      </c>
      <c r="AN218" s="885">
        <f>IF(ISNUMBER(Producción_Ganadera[[#This Row],[Fecha Financiero]])=TRUE,MONTH(Producción_Ganadera[[#This Row],[Fecha Financiero]]),0)</f>
        <v>11</v>
      </c>
      <c r="AO218" s="885">
        <f>IF(ISNUMBER(Producción_Ganadera[[#This Row],[Fecha Financiero]])=TRUE,YEAR(Producción_Ganadera[[#This Row],[Fecha Financiero]]),0)</f>
        <v>2018</v>
      </c>
      <c r="AP218" s="889">
        <f>SUMPRODUCT((Producción_Ganadera[[#This Row],[Mes Financiero]]=Tipo_Cambio[Mes])*(Producción_Ganadera[[#This Row],[Año Financiero]]=Tipo_Cambio[Año])*(Tipo_Cambio[$/U$S]))</f>
        <v>22.893288219999999</v>
      </c>
      <c r="AQ218" s="889">
        <f>SUMPRODUCT((Producción_Ganadera[[#This Row],[Mes Financiero]]=Tipo_Cambio[Mes])*(Producción_Ganadera[[#This Row],[Año Financiero]]=Tipo_Cambio[Año])*(Tipo_Cambio[Actualización]))</f>
        <v>1.08243216</v>
      </c>
      <c r="AR218" s="919">
        <f>SUMPRODUCT((Producción_Ganadera[[#This Row],[Centro de Costo]]=Tabla19[Centro de Costo])*(Tabla19[Superficie])*(Producción_Ganadera[[#This Row],[Campaña]]=Tabla19[Campaña]))</f>
        <v>0</v>
      </c>
      <c r="AS218" s="918">
        <f>IFERROR(Producción_Ganadera[[#This Row],[Económico $Corrientes]]/Producción_Ganadera[[#This Row],[Superficie]],0)</f>
        <v>0</v>
      </c>
      <c r="AT218" s="918">
        <f>IFERROR(Producción_Ganadera[[#This Row],[Económico $Constantes]]/Producción_Ganadera[[#This Row],[Superficie]],0)</f>
        <v>0</v>
      </c>
      <c r="AU218" s="918">
        <f>IFERROR(Producción_Ganadera[[#This Row],[Económico U$S Dólares]]/Producción_Ganadera[[#This Row],[Superficie]],0)</f>
        <v>0</v>
      </c>
      <c r="AV218" s="916" t="str">
        <f>IF(Económico!$F$4=0,0,Producción_Ganadera[[#This Row],[Centro de Costo]])</f>
        <v>Campo 2</v>
      </c>
    </row>
    <row r="219" spans="4:48" x14ac:dyDescent="0.25">
      <c r="D219" s="478">
        <f t="shared" si="14"/>
        <v>43435</v>
      </c>
      <c r="E219" s="522">
        <f>+Producción_Ganadera[[#This Row],[Fecha Económico]]+9</f>
        <v>43444</v>
      </c>
      <c r="F219" s="869" t="str">
        <f t="shared" si="13"/>
        <v>2018-2019</v>
      </c>
      <c r="G219" s="491" t="str">
        <f>GAN_Personal</f>
        <v>Personal</v>
      </c>
      <c r="H219" s="491" t="s">
        <v>8</v>
      </c>
      <c r="I219" s="491"/>
      <c r="J219" s="549"/>
      <c r="K219" s="491"/>
      <c r="L219" s="520"/>
      <c r="M21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1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19" s="611"/>
      <c r="P219" s="484"/>
      <c r="Q219" s="875">
        <f>IF(ISNUMBER(Producción_Ganadera[[#This Row],[Cabezas]])=TRUE,Producción_Ganadera[[#This Row],[Cabezas]]*Producción_Ganadera[[#This Row],[Cantidad]],Producción_Ganadera[[#This Row],[Cantidad]])</f>
        <v>0</v>
      </c>
      <c r="R219" s="482"/>
      <c r="S219" s="552" t="s">
        <v>48</v>
      </c>
      <c r="T219" s="553"/>
      <c r="U21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19" s="881">
        <f>IFERROR(Producción_Ganadera[[#This Row],[Económico $Corrientes]]/Producción_Ganadera[[#This Row],[Indexación Económico]],0)</f>
        <v>0</v>
      </c>
      <c r="W21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1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19" s="881">
        <f>IFERROR(Producción_Ganadera[[#This Row],[Financiero $Corrientes]]/Producción_Ganadera[[#This Row],[Indexación Financiero]],0)</f>
        <v>0</v>
      </c>
      <c r="Z21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1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19" s="885">
        <f>IFERROR(Producción_Ganadera[[#This Row],[Intereses $Corrientes]]/Producción_Ganadera[[#This Row],[Indexación Financiero]],0)</f>
        <v>0</v>
      </c>
      <c r="AC21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19" s="915" t="str">
        <f>IFERROR(INDEX(Produccion_Ganadera_Cuentas[],MATCH(Producción_Ganadera[[#This Row],[Cuenta Contable]],Produccion_Ganadera_Cuentas[Cuenta Contable],0),2),0)</f>
        <v>Egreso</v>
      </c>
      <c r="AE219" s="916">
        <f>IF(Producción_Ganadera[[#This Row],[Mov. Stock]]="(+)",Producción_Ganadera[[#This Row],[Cabezas]],IF(Producción_Ganadera[[#This Row],[Mov. Stock]]="(-)",-Producción_Ganadera[[#This Row],[Cabezas]],0))</f>
        <v>0</v>
      </c>
      <c r="AF219" s="917">
        <f>IFERROR(INDEX(Produccion_Ganadera_Cuentas[],MATCH(Producción_Ganadera[[#This Row],[Cuenta Contable]],Produccion_Ganadera_Cuentas[Cuenta Contable],0),5),0)</f>
        <v>0</v>
      </c>
      <c r="AG219" s="918" t="str">
        <f>IF(Producción_Ganadera[[#This Row],[Cuenta Contable]]=Configuración!$AC$9,"Si","No")</f>
        <v>No</v>
      </c>
      <c r="AH219" s="887" t="str">
        <f>IFERROR(INDEX(Tabla9[],MATCH(Producción_Ganadera[[#This Row],[Movimiento]],Tabla9[Movimientos],0),2),0)</f>
        <v>Si</v>
      </c>
      <c r="AI219" s="888" t="str">
        <f>IFERROR(INDEX(Tabla9[],MATCH(Producción_Ganadera[[#This Row],[Movimiento]],Tabla9[Movimientos],0),3),0)</f>
        <v>(-)</v>
      </c>
      <c r="AJ219" s="885">
        <f>IF(Producción_Ganadera[[#This Row],[Fecha Económico]]=0,0,MONTH(Producción_Ganadera[[#This Row],[Fecha Económico]]))</f>
        <v>12</v>
      </c>
      <c r="AK219" s="885">
        <f>IF(Producción_Ganadera[[#This Row],[Fecha Económico]]=0,0,YEAR(Producción_Ganadera[[#This Row],[Fecha Económico]]))</f>
        <v>2018</v>
      </c>
      <c r="AL219" s="889">
        <f>SUMPRODUCT((Producción_Ganadera[[#This Row],[Mes Económico]]=Tipo_Cambio[Mes])*(Producción_Ganadera[[#This Row],[Año Económico]]=Tipo_Cambio[Año])*(Tipo_Cambio[$/U$S]))</f>
        <v>23.122221102199997</v>
      </c>
      <c r="AM219" s="889">
        <f>SUMPRODUCT((Producción_Ganadera[[#This Row],[Mes Económico]]=Tipo_Cambio[Mes])*(Producción_Ganadera[[#This Row],[Año Económico]]=Tipo_Cambio[Año])*(Tipo_Cambio[Actualización]))</f>
        <v>1.1040808032</v>
      </c>
      <c r="AN219" s="885">
        <f>IF(ISNUMBER(Producción_Ganadera[[#This Row],[Fecha Financiero]])=TRUE,MONTH(Producción_Ganadera[[#This Row],[Fecha Financiero]]),0)</f>
        <v>12</v>
      </c>
      <c r="AO219" s="885">
        <f>IF(ISNUMBER(Producción_Ganadera[[#This Row],[Fecha Financiero]])=TRUE,YEAR(Producción_Ganadera[[#This Row],[Fecha Financiero]]),0)</f>
        <v>2018</v>
      </c>
      <c r="AP219" s="889">
        <f>SUMPRODUCT((Producción_Ganadera[[#This Row],[Mes Financiero]]=Tipo_Cambio[Mes])*(Producción_Ganadera[[#This Row],[Año Financiero]]=Tipo_Cambio[Año])*(Tipo_Cambio[$/U$S]))</f>
        <v>23.122221102199997</v>
      </c>
      <c r="AQ219" s="889">
        <f>SUMPRODUCT((Producción_Ganadera[[#This Row],[Mes Financiero]]=Tipo_Cambio[Mes])*(Producción_Ganadera[[#This Row],[Año Financiero]]=Tipo_Cambio[Año])*(Tipo_Cambio[Actualización]))</f>
        <v>1.1040808032</v>
      </c>
      <c r="AR219" s="919">
        <f>SUMPRODUCT((Producción_Ganadera[[#This Row],[Centro de Costo]]=Tabla19[Centro de Costo])*(Tabla19[Superficie])*(Producción_Ganadera[[#This Row],[Campaña]]=Tabla19[Campaña]))</f>
        <v>0</v>
      </c>
      <c r="AS219" s="918">
        <f>IFERROR(Producción_Ganadera[[#This Row],[Económico $Corrientes]]/Producción_Ganadera[[#This Row],[Superficie]],0)</f>
        <v>0</v>
      </c>
      <c r="AT219" s="918">
        <f>IFERROR(Producción_Ganadera[[#This Row],[Económico $Constantes]]/Producción_Ganadera[[#This Row],[Superficie]],0)</f>
        <v>0</v>
      </c>
      <c r="AU219" s="918">
        <f>IFERROR(Producción_Ganadera[[#This Row],[Económico U$S Dólares]]/Producción_Ganadera[[#This Row],[Superficie]],0)</f>
        <v>0</v>
      </c>
      <c r="AV219" s="916" t="str">
        <f>IF(Económico!$F$4=0,0,Producción_Ganadera[[#This Row],[Centro de Costo]])</f>
        <v>Campo 2</v>
      </c>
    </row>
    <row r="220" spans="4:48" x14ac:dyDescent="0.25">
      <c r="D220" s="478">
        <f t="shared" si="14"/>
        <v>43435</v>
      </c>
      <c r="E220" s="522">
        <f>+Producción_Ganadera[[#This Row],[Fecha Económico]]+9</f>
        <v>43444</v>
      </c>
      <c r="F220" s="869" t="str">
        <f t="shared" si="13"/>
        <v>2018-2019</v>
      </c>
      <c r="G220" s="491" t="str">
        <f>GAN_Cargas_Sociales</f>
        <v>Cargas Sociales</v>
      </c>
      <c r="H220" s="491" t="s">
        <v>8</v>
      </c>
      <c r="I220" s="491"/>
      <c r="J220" s="549"/>
      <c r="K220" s="491"/>
      <c r="L220" s="520"/>
      <c r="M22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2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20" s="611"/>
      <c r="P220" s="484"/>
      <c r="Q220" s="875">
        <f>IF(ISNUMBER(Producción_Ganadera[[#This Row],[Cabezas]])=TRUE,Producción_Ganadera[[#This Row],[Cabezas]]*Producción_Ganadera[[#This Row],[Cantidad]],Producción_Ganadera[[#This Row],[Cantidad]])</f>
        <v>0</v>
      </c>
      <c r="R220" s="482"/>
      <c r="S220" s="552" t="s">
        <v>48</v>
      </c>
      <c r="T220" s="553"/>
      <c r="U22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20" s="881">
        <f>IFERROR(Producción_Ganadera[[#This Row],[Económico $Corrientes]]/Producción_Ganadera[[#This Row],[Indexación Económico]],0)</f>
        <v>0</v>
      </c>
      <c r="W22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2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20" s="881">
        <f>IFERROR(Producción_Ganadera[[#This Row],[Financiero $Corrientes]]/Producción_Ganadera[[#This Row],[Indexación Financiero]],0)</f>
        <v>0</v>
      </c>
      <c r="Z22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2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20" s="885">
        <f>IFERROR(Producción_Ganadera[[#This Row],[Intereses $Corrientes]]/Producción_Ganadera[[#This Row],[Indexación Financiero]],0)</f>
        <v>0</v>
      </c>
      <c r="AC22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20" s="915" t="str">
        <f>IFERROR(INDEX(Produccion_Ganadera_Cuentas[],MATCH(Producción_Ganadera[[#This Row],[Cuenta Contable]],Produccion_Ganadera_Cuentas[Cuenta Contable],0),2),0)</f>
        <v>Egreso</v>
      </c>
      <c r="AE220" s="916">
        <f>IF(Producción_Ganadera[[#This Row],[Mov. Stock]]="(+)",Producción_Ganadera[[#This Row],[Cabezas]],IF(Producción_Ganadera[[#This Row],[Mov. Stock]]="(-)",-Producción_Ganadera[[#This Row],[Cabezas]],0))</f>
        <v>0</v>
      </c>
      <c r="AF220" s="917">
        <f>IFERROR(INDEX(Produccion_Ganadera_Cuentas[],MATCH(Producción_Ganadera[[#This Row],[Cuenta Contable]],Produccion_Ganadera_Cuentas[Cuenta Contable],0),5),0)</f>
        <v>0</v>
      </c>
      <c r="AG220" s="918" t="str">
        <f>IF(Producción_Ganadera[[#This Row],[Cuenta Contable]]=Configuración!$AC$9,"Si","No")</f>
        <v>No</v>
      </c>
      <c r="AH220" s="887" t="str">
        <f>IFERROR(INDEX(Tabla9[],MATCH(Producción_Ganadera[[#This Row],[Movimiento]],Tabla9[Movimientos],0),2),0)</f>
        <v>Si</v>
      </c>
      <c r="AI220" s="888" t="str">
        <f>IFERROR(INDEX(Tabla9[],MATCH(Producción_Ganadera[[#This Row],[Movimiento]],Tabla9[Movimientos],0),3),0)</f>
        <v>(-)</v>
      </c>
      <c r="AJ220" s="885">
        <f>IF(Producción_Ganadera[[#This Row],[Fecha Económico]]=0,0,MONTH(Producción_Ganadera[[#This Row],[Fecha Económico]]))</f>
        <v>12</v>
      </c>
      <c r="AK220" s="885">
        <f>IF(Producción_Ganadera[[#This Row],[Fecha Económico]]=0,0,YEAR(Producción_Ganadera[[#This Row],[Fecha Económico]]))</f>
        <v>2018</v>
      </c>
      <c r="AL220" s="889">
        <f>SUMPRODUCT((Producción_Ganadera[[#This Row],[Mes Económico]]=Tipo_Cambio[Mes])*(Producción_Ganadera[[#This Row],[Año Económico]]=Tipo_Cambio[Año])*(Tipo_Cambio[$/U$S]))</f>
        <v>23.122221102199997</v>
      </c>
      <c r="AM220" s="889">
        <f>SUMPRODUCT((Producción_Ganadera[[#This Row],[Mes Económico]]=Tipo_Cambio[Mes])*(Producción_Ganadera[[#This Row],[Año Económico]]=Tipo_Cambio[Año])*(Tipo_Cambio[Actualización]))</f>
        <v>1.1040808032</v>
      </c>
      <c r="AN220" s="885">
        <f>IF(ISNUMBER(Producción_Ganadera[[#This Row],[Fecha Financiero]])=TRUE,MONTH(Producción_Ganadera[[#This Row],[Fecha Financiero]]),0)</f>
        <v>12</v>
      </c>
      <c r="AO220" s="885">
        <f>IF(ISNUMBER(Producción_Ganadera[[#This Row],[Fecha Financiero]])=TRUE,YEAR(Producción_Ganadera[[#This Row],[Fecha Financiero]]),0)</f>
        <v>2018</v>
      </c>
      <c r="AP220" s="889">
        <f>SUMPRODUCT((Producción_Ganadera[[#This Row],[Mes Financiero]]=Tipo_Cambio[Mes])*(Producción_Ganadera[[#This Row],[Año Financiero]]=Tipo_Cambio[Año])*(Tipo_Cambio[$/U$S]))</f>
        <v>23.122221102199997</v>
      </c>
      <c r="AQ220" s="889">
        <f>SUMPRODUCT((Producción_Ganadera[[#This Row],[Mes Financiero]]=Tipo_Cambio[Mes])*(Producción_Ganadera[[#This Row],[Año Financiero]]=Tipo_Cambio[Año])*(Tipo_Cambio[Actualización]))</f>
        <v>1.1040808032</v>
      </c>
      <c r="AR220" s="919">
        <f>SUMPRODUCT((Producción_Ganadera[[#This Row],[Centro de Costo]]=Tabla19[Centro de Costo])*(Tabla19[Superficie])*(Producción_Ganadera[[#This Row],[Campaña]]=Tabla19[Campaña]))</f>
        <v>0</v>
      </c>
      <c r="AS220" s="918">
        <f>IFERROR(Producción_Ganadera[[#This Row],[Económico $Corrientes]]/Producción_Ganadera[[#This Row],[Superficie]],0)</f>
        <v>0</v>
      </c>
      <c r="AT220" s="918">
        <f>IFERROR(Producción_Ganadera[[#This Row],[Económico $Constantes]]/Producción_Ganadera[[#This Row],[Superficie]],0)</f>
        <v>0</v>
      </c>
      <c r="AU220" s="918">
        <f>IFERROR(Producción_Ganadera[[#This Row],[Económico U$S Dólares]]/Producción_Ganadera[[#This Row],[Superficie]],0)</f>
        <v>0</v>
      </c>
      <c r="AV220" s="916" t="str">
        <f>IF(Económico!$F$4=0,0,Producción_Ganadera[[#This Row],[Centro de Costo]])</f>
        <v>Campo 2</v>
      </c>
    </row>
    <row r="221" spans="4:48" x14ac:dyDescent="0.25">
      <c r="D221" s="478">
        <f t="shared" si="14"/>
        <v>43435</v>
      </c>
      <c r="E221" s="522">
        <f>+Producción_Ganadera[[#This Row],[Fecha Económico]]+9</f>
        <v>43444</v>
      </c>
      <c r="F221" s="869" t="str">
        <f t="shared" si="13"/>
        <v>2018-2019</v>
      </c>
      <c r="G221" s="491" t="str">
        <f>GAN_Manutención_Personal</f>
        <v>Manutención Personal</v>
      </c>
      <c r="H221" s="491" t="s">
        <v>8</v>
      </c>
      <c r="I221" s="491"/>
      <c r="J221" s="549"/>
      <c r="K221" s="491"/>
      <c r="L221" s="520"/>
      <c r="M22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2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21" s="611"/>
      <c r="P221" s="484"/>
      <c r="Q221" s="875">
        <f>IF(ISNUMBER(Producción_Ganadera[[#This Row],[Cabezas]])=TRUE,Producción_Ganadera[[#This Row],[Cabezas]]*Producción_Ganadera[[#This Row],[Cantidad]],Producción_Ganadera[[#This Row],[Cantidad]])</f>
        <v>0</v>
      </c>
      <c r="R221" s="482"/>
      <c r="S221" s="552" t="s">
        <v>48</v>
      </c>
      <c r="T221" s="553"/>
      <c r="U22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21" s="881">
        <f>IFERROR(Producción_Ganadera[[#This Row],[Económico $Corrientes]]/Producción_Ganadera[[#This Row],[Indexación Económico]],0)</f>
        <v>0</v>
      </c>
      <c r="W22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2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21" s="881">
        <f>IFERROR(Producción_Ganadera[[#This Row],[Financiero $Corrientes]]/Producción_Ganadera[[#This Row],[Indexación Financiero]],0)</f>
        <v>0</v>
      </c>
      <c r="Z22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2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21" s="885">
        <f>IFERROR(Producción_Ganadera[[#This Row],[Intereses $Corrientes]]/Producción_Ganadera[[#This Row],[Indexación Financiero]],0)</f>
        <v>0</v>
      </c>
      <c r="AC22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21" s="915" t="str">
        <f>IFERROR(INDEX(Produccion_Ganadera_Cuentas[],MATCH(Producción_Ganadera[[#This Row],[Cuenta Contable]],Produccion_Ganadera_Cuentas[Cuenta Contable],0),2),0)</f>
        <v>Egreso</v>
      </c>
      <c r="AE221" s="916">
        <f>IF(Producción_Ganadera[[#This Row],[Mov. Stock]]="(+)",Producción_Ganadera[[#This Row],[Cabezas]],IF(Producción_Ganadera[[#This Row],[Mov. Stock]]="(-)",-Producción_Ganadera[[#This Row],[Cabezas]],0))</f>
        <v>0</v>
      </c>
      <c r="AF221" s="917">
        <f>IFERROR(INDEX(Produccion_Ganadera_Cuentas[],MATCH(Producción_Ganadera[[#This Row],[Cuenta Contable]],Produccion_Ganadera_Cuentas[Cuenta Contable],0),5),0)</f>
        <v>0</v>
      </c>
      <c r="AG221" s="918" t="str">
        <f>IF(Producción_Ganadera[[#This Row],[Cuenta Contable]]=Configuración!$AC$9,"Si","No")</f>
        <v>No</v>
      </c>
      <c r="AH221" s="887" t="str">
        <f>IFERROR(INDEX(Tabla9[],MATCH(Producción_Ganadera[[#This Row],[Movimiento]],Tabla9[Movimientos],0),2),0)</f>
        <v>Si</v>
      </c>
      <c r="AI221" s="888" t="str">
        <f>IFERROR(INDEX(Tabla9[],MATCH(Producción_Ganadera[[#This Row],[Movimiento]],Tabla9[Movimientos],0),3),0)</f>
        <v>(-)</v>
      </c>
      <c r="AJ221" s="885">
        <f>IF(Producción_Ganadera[[#This Row],[Fecha Económico]]=0,0,MONTH(Producción_Ganadera[[#This Row],[Fecha Económico]]))</f>
        <v>12</v>
      </c>
      <c r="AK221" s="885">
        <f>IF(Producción_Ganadera[[#This Row],[Fecha Económico]]=0,0,YEAR(Producción_Ganadera[[#This Row],[Fecha Económico]]))</f>
        <v>2018</v>
      </c>
      <c r="AL221" s="889">
        <f>SUMPRODUCT((Producción_Ganadera[[#This Row],[Mes Económico]]=Tipo_Cambio[Mes])*(Producción_Ganadera[[#This Row],[Año Económico]]=Tipo_Cambio[Año])*(Tipo_Cambio[$/U$S]))</f>
        <v>23.122221102199997</v>
      </c>
      <c r="AM221" s="889">
        <f>SUMPRODUCT((Producción_Ganadera[[#This Row],[Mes Económico]]=Tipo_Cambio[Mes])*(Producción_Ganadera[[#This Row],[Año Económico]]=Tipo_Cambio[Año])*(Tipo_Cambio[Actualización]))</f>
        <v>1.1040808032</v>
      </c>
      <c r="AN221" s="885">
        <f>IF(ISNUMBER(Producción_Ganadera[[#This Row],[Fecha Financiero]])=TRUE,MONTH(Producción_Ganadera[[#This Row],[Fecha Financiero]]),0)</f>
        <v>12</v>
      </c>
      <c r="AO221" s="885">
        <f>IF(ISNUMBER(Producción_Ganadera[[#This Row],[Fecha Financiero]])=TRUE,YEAR(Producción_Ganadera[[#This Row],[Fecha Financiero]]),0)</f>
        <v>2018</v>
      </c>
      <c r="AP221" s="889">
        <f>SUMPRODUCT((Producción_Ganadera[[#This Row],[Mes Financiero]]=Tipo_Cambio[Mes])*(Producción_Ganadera[[#This Row],[Año Financiero]]=Tipo_Cambio[Año])*(Tipo_Cambio[$/U$S]))</f>
        <v>23.122221102199997</v>
      </c>
      <c r="AQ221" s="889">
        <f>SUMPRODUCT((Producción_Ganadera[[#This Row],[Mes Financiero]]=Tipo_Cambio[Mes])*(Producción_Ganadera[[#This Row],[Año Financiero]]=Tipo_Cambio[Año])*(Tipo_Cambio[Actualización]))</f>
        <v>1.1040808032</v>
      </c>
      <c r="AR221" s="919">
        <f>SUMPRODUCT((Producción_Ganadera[[#This Row],[Centro de Costo]]=Tabla19[Centro de Costo])*(Tabla19[Superficie])*(Producción_Ganadera[[#This Row],[Campaña]]=Tabla19[Campaña]))</f>
        <v>0</v>
      </c>
      <c r="AS221" s="918">
        <f>IFERROR(Producción_Ganadera[[#This Row],[Económico $Corrientes]]/Producción_Ganadera[[#This Row],[Superficie]],0)</f>
        <v>0</v>
      </c>
      <c r="AT221" s="918">
        <f>IFERROR(Producción_Ganadera[[#This Row],[Económico $Constantes]]/Producción_Ganadera[[#This Row],[Superficie]],0)</f>
        <v>0</v>
      </c>
      <c r="AU221" s="918">
        <f>IFERROR(Producción_Ganadera[[#This Row],[Económico U$S Dólares]]/Producción_Ganadera[[#This Row],[Superficie]],0)</f>
        <v>0</v>
      </c>
      <c r="AV221" s="916" t="str">
        <f>IF(Económico!$F$4=0,0,Producción_Ganadera[[#This Row],[Centro de Costo]])</f>
        <v>Campo 2</v>
      </c>
    </row>
    <row r="222" spans="4:48" x14ac:dyDescent="0.25">
      <c r="D222" s="478">
        <f t="shared" si="14"/>
        <v>43466</v>
      </c>
      <c r="E222" s="522">
        <f>+Producción_Ganadera[[#This Row],[Fecha Económico]]+9</f>
        <v>43475</v>
      </c>
      <c r="F222" s="869" t="str">
        <f t="shared" si="13"/>
        <v>2018-2019</v>
      </c>
      <c r="G222" s="491" t="str">
        <f>GAN_Personal</f>
        <v>Personal</v>
      </c>
      <c r="H222" s="491" t="s">
        <v>8</v>
      </c>
      <c r="I222" s="491"/>
      <c r="J222" s="549"/>
      <c r="K222" s="491"/>
      <c r="L222" s="520"/>
      <c r="M22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2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22" s="611"/>
      <c r="P222" s="484"/>
      <c r="Q222" s="875">
        <f>IF(ISNUMBER(Producción_Ganadera[[#This Row],[Cabezas]])=TRUE,Producción_Ganadera[[#This Row],[Cabezas]]*Producción_Ganadera[[#This Row],[Cantidad]],Producción_Ganadera[[#This Row],[Cantidad]])</f>
        <v>0</v>
      </c>
      <c r="R222" s="482"/>
      <c r="S222" s="552" t="s">
        <v>48</v>
      </c>
      <c r="T222" s="553"/>
      <c r="U22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22" s="881">
        <f>IFERROR(Producción_Ganadera[[#This Row],[Económico $Corrientes]]/Producción_Ganadera[[#This Row],[Indexación Económico]],0)</f>
        <v>0</v>
      </c>
      <c r="W22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2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22" s="881">
        <f>IFERROR(Producción_Ganadera[[#This Row],[Financiero $Corrientes]]/Producción_Ganadera[[#This Row],[Indexación Financiero]],0)</f>
        <v>0</v>
      </c>
      <c r="Z22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2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22" s="885">
        <f>IFERROR(Producción_Ganadera[[#This Row],[Intereses $Corrientes]]/Producción_Ganadera[[#This Row],[Indexación Financiero]],0)</f>
        <v>0</v>
      </c>
      <c r="AC22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22" s="915" t="str">
        <f>IFERROR(INDEX(Produccion_Ganadera_Cuentas[],MATCH(Producción_Ganadera[[#This Row],[Cuenta Contable]],Produccion_Ganadera_Cuentas[Cuenta Contable],0),2),0)</f>
        <v>Egreso</v>
      </c>
      <c r="AE222" s="916">
        <f>IF(Producción_Ganadera[[#This Row],[Mov. Stock]]="(+)",Producción_Ganadera[[#This Row],[Cabezas]],IF(Producción_Ganadera[[#This Row],[Mov. Stock]]="(-)",-Producción_Ganadera[[#This Row],[Cabezas]],0))</f>
        <v>0</v>
      </c>
      <c r="AF222" s="917">
        <f>IFERROR(INDEX(Produccion_Ganadera_Cuentas[],MATCH(Producción_Ganadera[[#This Row],[Cuenta Contable]],Produccion_Ganadera_Cuentas[Cuenta Contable],0),5),0)</f>
        <v>0</v>
      </c>
      <c r="AG222" s="918" t="str">
        <f>IF(Producción_Ganadera[[#This Row],[Cuenta Contable]]=Configuración!$AC$9,"Si","No")</f>
        <v>No</v>
      </c>
      <c r="AH222" s="887" t="str">
        <f>IFERROR(INDEX(Tabla9[],MATCH(Producción_Ganadera[[#This Row],[Movimiento]],Tabla9[Movimientos],0),2),0)</f>
        <v>Si</v>
      </c>
      <c r="AI222" s="888" t="str">
        <f>IFERROR(INDEX(Tabla9[],MATCH(Producción_Ganadera[[#This Row],[Movimiento]],Tabla9[Movimientos],0),3),0)</f>
        <v>(-)</v>
      </c>
      <c r="AJ222" s="885">
        <f>IF(Producción_Ganadera[[#This Row],[Fecha Económico]]=0,0,MONTH(Producción_Ganadera[[#This Row],[Fecha Económico]]))</f>
        <v>1</v>
      </c>
      <c r="AK222" s="885">
        <f>IF(Producción_Ganadera[[#This Row],[Fecha Económico]]=0,0,YEAR(Producción_Ganadera[[#This Row],[Fecha Económico]]))</f>
        <v>2019</v>
      </c>
      <c r="AL222" s="889">
        <f>SUMPRODUCT((Producción_Ganadera[[#This Row],[Mes Económico]]=Tipo_Cambio[Mes])*(Producción_Ganadera[[#This Row],[Año Económico]]=Tipo_Cambio[Año])*(Tipo_Cambio[$/U$S]))</f>
        <v>23.353443313221998</v>
      </c>
      <c r="AM222" s="889">
        <f>SUMPRODUCT((Producción_Ganadera[[#This Row],[Mes Económico]]=Tipo_Cambio[Mes])*(Producción_Ganadera[[#This Row],[Año Económico]]=Tipo_Cambio[Año])*(Tipo_Cambio[Actualización]))</f>
        <v>1.1261624192640001</v>
      </c>
      <c r="AN222" s="885">
        <f>IF(ISNUMBER(Producción_Ganadera[[#This Row],[Fecha Financiero]])=TRUE,MONTH(Producción_Ganadera[[#This Row],[Fecha Financiero]]),0)</f>
        <v>1</v>
      </c>
      <c r="AO222" s="885">
        <f>IF(ISNUMBER(Producción_Ganadera[[#This Row],[Fecha Financiero]])=TRUE,YEAR(Producción_Ganadera[[#This Row],[Fecha Financiero]]),0)</f>
        <v>2019</v>
      </c>
      <c r="AP222" s="889">
        <f>SUMPRODUCT((Producción_Ganadera[[#This Row],[Mes Financiero]]=Tipo_Cambio[Mes])*(Producción_Ganadera[[#This Row],[Año Financiero]]=Tipo_Cambio[Año])*(Tipo_Cambio[$/U$S]))</f>
        <v>23.353443313221998</v>
      </c>
      <c r="AQ222" s="889">
        <f>SUMPRODUCT((Producción_Ganadera[[#This Row],[Mes Financiero]]=Tipo_Cambio[Mes])*(Producción_Ganadera[[#This Row],[Año Financiero]]=Tipo_Cambio[Año])*(Tipo_Cambio[Actualización]))</f>
        <v>1.1261624192640001</v>
      </c>
      <c r="AR222" s="919">
        <f>SUMPRODUCT((Producción_Ganadera[[#This Row],[Centro de Costo]]=Tabla19[Centro de Costo])*(Tabla19[Superficie])*(Producción_Ganadera[[#This Row],[Campaña]]=Tabla19[Campaña]))</f>
        <v>0</v>
      </c>
      <c r="AS222" s="918">
        <f>IFERROR(Producción_Ganadera[[#This Row],[Económico $Corrientes]]/Producción_Ganadera[[#This Row],[Superficie]],0)</f>
        <v>0</v>
      </c>
      <c r="AT222" s="918">
        <f>IFERROR(Producción_Ganadera[[#This Row],[Económico $Constantes]]/Producción_Ganadera[[#This Row],[Superficie]],0)</f>
        <v>0</v>
      </c>
      <c r="AU222" s="918">
        <f>IFERROR(Producción_Ganadera[[#This Row],[Económico U$S Dólares]]/Producción_Ganadera[[#This Row],[Superficie]],0)</f>
        <v>0</v>
      </c>
      <c r="AV222" s="916" t="str">
        <f>IF(Económico!$F$4=0,0,Producción_Ganadera[[#This Row],[Centro de Costo]])</f>
        <v>Campo 2</v>
      </c>
    </row>
    <row r="223" spans="4:48" x14ac:dyDescent="0.25">
      <c r="D223" s="478">
        <f t="shared" si="14"/>
        <v>43466</v>
      </c>
      <c r="E223" s="522">
        <f>+Producción_Ganadera[[#This Row],[Fecha Económico]]+9</f>
        <v>43475</v>
      </c>
      <c r="F223" s="869" t="str">
        <f t="shared" si="13"/>
        <v>2018-2019</v>
      </c>
      <c r="G223" s="491" t="str">
        <f>GAN_Cargas_Sociales</f>
        <v>Cargas Sociales</v>
      </c>
      <c r="H223" s="491" t="s">
        <v>8</v>
      </c>
      <c r="I223" s="491"/>
      <c r="J223" s="549"/>
      <c r="K223" s="491"/>
      <c r="L223" s="520"/>
      <c r="M22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2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23" s="611"/>
      <c r="P223" s="484"/>
      <c r="Q223" s="875">
        <f>IF(ISNUMBER(Producción_Ganadera[[#This Row],[Cabezas]])=TRUE,Producción_Ganadera[[#This Row],[Cabezas]]*Producción_Ganadera[[#This Row],[Cantidad]],Producción_Ganadera[[#This Row],[Cantidad]])</f>
        <v>0</v>
      </c>
      <c r="R223" s="482"/>
      <c r="S223" s="552" t="s">
        <v>48</v>
      </c>
      <c r="T223" s="553"/>
      <c r="U22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23" s="881">
        <f>IFERROR(Producción_Ganadera[[#This Row],[Económico $Corrientes]]/Producción_Ganadera[[#This Row],[Indexación Económico]],0)</f>
        <v>0</v>
      </c>
      <c r="W22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2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23" s="881">
        <f>IFERROR(Producción_Ganadera[[#This Row],[Financiero $Corrientes]]/Producción_Ganadera[[#This Row],[Indexación Financiero]],0)</f>
        <v>0</v>
      </c>
      <c r="Z22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2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23" s="885">
        <f>IFERROR(Producción_Ganadera[[#This Row],[Intereses $Corrientes]]/Producción_Ganadera[[#This Row],[Indexación Financiero]],0)</f>
        <v>0</v>
      </c>
      <c r="AC22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23" s="915" t="str">
        <f>IFERROR(INDEX(Produccion_Ganadera_Cuentas[],MATCH(Producción_Ganadera[[#This Row],[Cuenta Contable]],Produccion_Ganadera_Cuentas[Cuenta Contable],0),2),0)</f>
        <v>Egreso</v>
      </c>
      <c r="AE223" s="916">
        <f>IF(Producción_Ganadera[[#This Row],[Mov. Stock]]="(+)",Producción_Ganadera[[#This Row],[Cabezas]],IF(Producción_Ganadera[[#This Row],[Mov. Stock]]="(-)",-Producción_Ganadera[[#This Row],[Cabezas]],0))</f>
        <v>0</v>
      </c>
      <c r="AF223" s="917">
        <f>IFERROR(INDEX(Produccion_Ganadera_Cuentas[],MATCH(Producción_Ganadera[[#This Row],[Cuenta Contable]],Produccion_Ganadera_Cuentas[Cuenta Contable],0),5),0)</f>
        <v>0</v>
      </c>
      <c r="AG223" s="918" t="str">
        <f>IF(Producción_Ganadera[[#This Row],[Cuenta Contable]]=Configuración!$AC$9,"Si","No")</f>
        <v>No</v>
      </c>
      <c r="AH223" s="887" t="str">
        <f>IFERROR(INDEX(Tabla9[],MATCH(Producción_Ganadera[[#This Row],[Movimiento]],Tabla9[Movimientos],0),2),0)</f>
        <v>Si</v>
      </c>
      <c r="AI223" s="888" t="str">
        <f>IFERROR(INDEX(Tabla9[],MATCH(Producción_Ganadera[[#This Row],[Movimiento]],Tabla9[Movimientos],0),3),0)</f>
        <v>(-)</v>
      </c>
      <c r="AJ223" s="885">
        <f>IF(Producción_Ganadera[[#This Row],[Fecha Económico]]=0,0,MONTH(Producción_Ganadera[[#This Row],[Fecha Económico]]))</f>
        <v>1</v>
      </c>
      <c r="AK223" s="885">
        <f>IF(Producción_Ganadera[[#This Row],[Fecha Económico]]=0,0,YEAR(Producción_Ganadera[[#This Row],[Fecha Económico]]))</f>
        <v>2019</v>
      </c>
      <c r="AL223" s="889">
        <f>SUMPRODUCT((Producción_Ganadera[[#This Row],[Mes Económico]]=Tipo_Cambio[Mes])*(Producción_Ganadera[[#This Row],[Año Económico]]=Tipo_Cambio[Año])*(Tipo_Cambio[$/U$S]))</f>
        <v>23.353443313221998</v>
      </c>
      <c r="AM223" s="889">
        <f>SUMPRODUCT((Producción_Ganadera[[#This Row],[Mes Económico]]=Tipo_Cambio[Mes])*(Producción_Ganadera[[#This Row],[Año Económico]]=Tipo_Cambio[Año])*(Tipo_Cambio[Actualización]))</f>
        <v>1.1261624192640001</v>
      </c>
      <c r="AN223" s="885">
        <f>IF(ISNUMBER(Producción_Ganadera[[#This Row],[Fecha Financiero]])=TRUE,MONTH(Producción_Ganadera[[#This Row],[Fecha Financiero]]),0)</f>
        <v>1</v>
      </c>
      <c r="AO223" s="885">
        <f>IF(ISNUMBER(Producción_Ganadera[[#This Row],[Fecha Financiero]])=TRUE,YEAR(Producción_Ganadera[[#This Row],[Fecha Financiero]]),0)</f>
        <v>2019</v>
      </c>
      <c r="AP223" s="889">
        <f>SUMPRODUCT((Producción_Ganadera[[#This Row],[Mes Financiero]]=Tipo_Cambio[Mes])*(Producción_Ganadera[[#This Row],[Año Financiero]]=Tipo_Cambio[Año])*(Tipo_Cambio[$/U$S]))</f>
        <v>23.353443313221998</v>
      </c>
      <c r="AQ223" s="889">
        <f>SUMPRODUCT((Producción_Ganadera[[#This Row],[Mes Financiero]]=Tipo_Cambio[Mes])*(Producción_Ganadera[[#This Row],[Año Financiero]]=Tipo_Cambio[Año])*(Tipo_Cambio[Actualización]))</f>
        <v>1.1261624192640001</v>
      </c>
      <c r="AR223" s="919">
        <f>SUMPRODUCT((Producción_Ganadera[[#This Row],[Centro de Costo]]=Tabla19[Centro de Costo])*(Tabla19[Superficie])*(Producción_Ganadera[[#This Row],[Campaña]]=Tabla19[Campaña]))</f>
        <v>0</v>
      </c>
      <c r="AS223" s="918">
        <f>IFERROR(Producción_Ganadera[[#This Row],[Económico $Corrientes]]/Producción_Ganadera[[#This Row],[Superficie]],0)</f>
        <v>0</v>
      </c>
      <c r="AT223" s="918">
        <f>IFERROR(Producción_Ganadera[[#This Row],[Económico $Constantes]]/Producción_Ganadera[[#This Row],[Superficie]],0)</f>
        <v>0</v>
      </c>
      <c r="AU223" s="918">
        <f>IFERROR(Producción_Ganadera[[#This Row],[Económico U$S Dólares]]/Producción_Ganadera[[#This Row],[Superficie]],0)</f>
        <v>0</v>
      </c>
      <c r="AV223" s="916" t="str">
        <f>IF(Económico!$F$4=0,0,Producción_Ganadera[[#This Row],[Centro de Costo]])</f>
        <v>Campo 2</v>
      </c>
    </row>
    <row r="224" spans="4:48" x14ac:dyDescent="0.25">
      <c r="D224" s="478">
        <f t="shared" si="14"/>
        <v>43466</v>
      </c>
      <c r="E224" s="522">
        <f>+Producción_Ganadera[[#This Row],[Fecha Económico]]+9</f>
        <v>43475</v>
      </c>
      <c r="F224" s="869" t="str">
        <f t="shared" si="13"/>
        <v>2018-2019</v>
      </c>
      <c r="G224" s="491" t="str">
        <f>GAN_Manutención_Personal</f>
        <v>Manutención Personal</v>
      </c>
      <c r="H224" s="491" t="s">
        <v>8</v>
      </c>
      <c r="I224" s="491"/>
      <c r="J224" s="549"/>
      <c r="K224" s="491"/>
      <c r="L224" s="520"/>
      <c r="M22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2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24" s="611"/>
      <c r="P224" s="484"/>
      <c r="Q224" s="875">
        <f>IF(ISNUMBER(Producción_Ganadera[[#This Row],[Cabezas]])=TRUE,Producción_Ganadera[[#This Row],[Cabezas]]*Producción_Ganadera[[#This Row],[Cantidad]],Producción_Ganadera[[#This Row],[Cantidad]])</f>
        <v>0</v>
      </c>
      <c r="R224" s="482"/>
      <c r="S224" s="552" t="s">
        <v>48</v>
      </c>
      <c r="T224" s="553"/>
      <c r="U22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24" s="881">
        <f>IFERROR(Producción_Ganadera[[#This Row],[Económico $Corrientes]]/Producción_Ganadera[[#This Row],[Indexación Económico]],0)</f>
        <v>0</v>
      </c>
      <c r="W22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2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24" s="881">
        <f>IFERROR(Producción_Ganadera[[#This Row],[Financiero $Corrientes]]/Producción_Ganadera[[#This Row],[Indexación Financiero]],0)</f>
        <v>0</v>
      </c>
      <c r="Z22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2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24" s="885">
        <f>IFERROR(Producción_Ganadera[[#This Row],[Intereses $Corrientes]]/Producción_Ganadera[[#This Row],[Indexación Financiero]],0)</f>
        <v>0</v>
      </c>
      <c r="AC22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24" s="915" t="str">
        <f>IFERROR(INDEX(Produccion_Ganadera_Cuentas[],MATCH(Producción_Ganadera[[#This Row],[Cuenta Contable]],Produccion_Ganadera_Cuentas[Cuenta Contable],0),2),0)</f>
        <v>Egreso</v>
      </c>
      <c r="AE224" s="916">
        <f>IF(Producción_Ganadera[[#This Row],[Mov. Stock]]="(+)",Producción_Ganadera[[#This Row],[Cabezas]],IF(Producción_Ganadera[[#This Row],[Mov. Stock]]="(-)",-Producción_Ganadera[[#This Row],[Cabezas]],0))</f>
        <v>0</v>
      </c>
      <c r="AF224" s="917">
        <f>IFERROR(INDEX(Produccion_Ganadera_Cuentas[],MATCH(Producción_Ganadera[[#This Row],[Cuenta Contable]],Produccion_Ganadera_Cuentas[Cuenta Contable],0),5),0)</f>
        <v>0</v>
      </c>
      <c r="AG224" s="918" t="str">
        <f>IF(Producción_Ganadera[[#This Row],[Cuenta Contable]]=Configuración!$AC$9,"Si","No")</f>
        <v>No</v>
      </c>
      <c r="AH224" s="887" t="str">
        <f>IFERROR(INDEX(Tabla9[],MATCH(Producción_Ganadera[[#This Row],[Movimiento]],Tabla9[Movimientos],0),2),0)</f>
        <v>Si</v>
      </c>
      <c r="AI224" s="888" t="str">
        <f>IFERROR(INDEX(Tabla9[],MATCH(Producción_Ganadera[[#This Row],[Movimiento]],Tabla9[Movimientos],0),3),0)</f>
        <v>(-)</v>
      </c>
      <c r="AJ224" s="885">
        <f>IF(Producción_Ganadera[[#This Row],[Fecha Económico]]=0,0,MONTH(Producción_Ganadera[[#This Row],[Fecha Económico]]))</f>
        <v>1</v>
      </c>
      <c r="AK224" s="885">
        <f>IF(Producción_Ganadera[[#This Row],[Fecha Económico]]=0,0,YEAR(Producción_Ganadera[[#This Row],[Fecha Económico]]))</f>
        <v>2019</v>
      </c>
      <c r="AL224" s="889">
        <f>SUMPRODUCT((Producción_Ganadera[[#This Row],[Mes Económico]]=Tipo_Cambio[Mes])*(Producción_Ganadera[[#This Row],[Año Económico]]=Tipo_Cambio[Año])*(Tipo_Cambio[$/U$S]))</f>
        <v>23.353443313221998</v>
      </c>
      <c r="AM224" s="889">
        <f>SUMPRODUCT((Producción_Ganadera[[#This Row],[Mes Económico]]=Tipo_Cambio[Mes])*(Producción_Ganadera[[#This Row],[Año Económico]]=Tipo_Cambio[Año])*(Tipo_Cambio[Actualización]))</f>
        <v>1.1261624192640001</v>
      </c>
      <c r="AN224" s="885">
        <f>IF(ISNUMBER(Producción_Ganadera[[#This Row],[Fecha Financiero]])=TRUE,MONTH(Producción_Ganadera[[#This Row],[Fecha Financiero]]),0)</f>
        <v>1</v>
      </c>
      <c r="AO224" s="885">
        <f>IF(ISNUMBER(Producción_Ganadera[[#This Row],[Fecha Financiero]])=TRUE,YEAR(Producción_Ganadera[[#This Row],[Fecha Financiero]]),0)</f>
        <v>2019</v>
      </c>
      <c r="AP224" s="889">
        <f>SUMPRODUCT((Producción_Ganadera[[#This Row],[Mes Financiero]]=Tipo_Cambio[Mes])*(Producción_Ganadera[[#This Row],[Año Financiero]]=Tipo_Cambio[Año])*(Tipo_Cambio[$/U$S]))</f>
        <v>23.353443313221998</v>
      </c>
      <c r="AQ224" s="889">
        <f>SUMPRODUCT((Producción_Ganadera[[#This Row],[Mes Financiero]]=Tipo_Cambio[Mes])*(Producción_Ganadera[[#This Row],[Año Financiero]]=Tipo_Cambio[Año])*(Tipo_Cambio[Actualización]))</f>
        <v>1.1261624192640001</v>
      </c>
      <c r="AR224" s="919">
        <f>SUMPRODUCT((Producción_Ganadera[[#This Row],[Centro de Costo]]=Tabla19[Centro de Costo])*(Tabla19[Superficie])*(Producción_Ganadera[[#This Row],[Campaña]]=Tabla19[Campaña]))</f>
        <v>0</v>
      </c>
      <c r="AS224" s="918">
        <f>IFERROR(Producción_Ganadera[[#This Row],[Económico $Corrientes]]/Producción_Ganadera[[#This Row],[Superficie]],0)</f>
        <v>0</v>
      </c>
      <c r="AT224" s="918">
        <f>IFERROR(Producción_Ganadera[[#This Row],[Económico $Constantes]]/Producción_Ganadera[[#This Row],[Superficie]],0)</f>
        <v>0</v>
      </c>
      <c r="AU224" s="918">
        <f>IFERROR(Producción_Ganadera[[#This Row],[Económico U$S Dólares]]/Producción_Ganadera[[#This Row],[Superficie]],0)</f>
        <v>0</v>
      </c>
      <c r="AV224" s="916" t="str">
        <f>IF(Económico!$F$4=0,0,Producción_Ganadera[[#This Row],[Centro de Costo]])</f>
        <v>Campo 2</v>
      </c>
    </row>
    <row r="225" spans="2:48" x14ac:dyDescent="0.25">
      <c r="D225" s="478">
        <f t="shared" si="14"/>
        <v>43497</v>
      </c>
      <c r="E225" s="522">
        <f>+Producción_Ganadera[[#This Row],[Fecha Económico]]+9</f>
        <v>43506</v>
      </c>
      <c r="F225" s="869" t="str">
        <f t="shared" si="13"/>
        <v>2018-2019</v>
      </c>
      <c r="G225" s="491" t="str">
        <f>GAN_Personal</f>
        <v>Personal</v>
      </c>
      <c r="H225" s="491" t="s">
        <v>8</v>
      </c>
      <c r="I225" s="491"/>
      <c r="J225" s="549"/>
      <c r="K225" s="491"/>
      <c r="L225" s="520"/>
      <c r="M22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2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25" s="611"/>
      <c r="P225" s="484"/>
      <c r="Q225" s="875">
        <f>IF(ISNUMBER(Producción_Ganadera[[#This Row],[Cabezas]])=TRUE,Producción_Ganadera[[#This Row],[Cabezas]]*Producción_Ganadera[[#This Row],[Cantidad]],Producción_Ganadera[[#This Row],[Cantidad]])</f>
        <v>0</v>
      </c>
      <c r="R225" s="482"/>
      <c r="S225" s="552" t="s">
        <v>48</v>
      </c>
      <c r="T225" s="553"/>
      <c r="U22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25" s="881">
        <f>IFERROR(Producción_Ganadera[[#This Row],[Económico $Corrientes]]/Producción_Ganadera[[#This Row],[Indexación Económico]],0)</f>
        <v>0</v>
      </c>
      <c r="W22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2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25" s="881">
        <f>IFERROR(Producción_Ganadera[[#This Row],[Financiero $Corrientes]]/Producción_Ganadera[[#This Row],[Indexación Financiero]],0)</f>
        <v>0</v>
      </c>
      <c r="Z22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2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25" s="885">
        <f>IFERROR(Producción_Ganadera[[#This Row],[Intereses $Corrientes]]/Producción_Ganadera[[#This Row],[Indexación Financiero]],0)</f>
        <v>0</v>
      </c>
      <c r="AC22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25" s="915" t="str">
        <f>IFERROR(INDEX(Produccion_Ganadera_Cuentas[],MATCH(Producción_Ganadera[[#This Row],[Cuenta Contable]],Produccion_Ganadera_Cuentas[Cuenta Contable],0),2),0)</f>
        <v>Egreso</v>
      </c>
      <c r="AE225" s="916">
        <f>IF(Producción_Ganadera[[#This Row],[Mov. Stock]]="(+)",Producción_Ganadera[[#This Row],[Cabezas]],IF(Producción_Ganadera[[#This Row],[Mov. Stock]]="(-)",-Producción_Ganadera[[#This Row],[Cabezas]],0))</f>
        <v>0</v>
      </c>
      <c r="AF225" s="917">
        <f>IFERROR(INDEX(Produccion_Ganadera_Cuentas[],MATCH(Producción_Ganadera[[#This Row],[Cuenta Contable]],Produccion_Ganadera_Cuentas[Cuenta Contable],0),5),0)</f>
        <v>0</v>
      </c>
      <c r="AG225" s="918" t="str">
        <f>IF(Producción_Ganadera[[#This Row],[Cuenta Contable]]=Configuración!$AC$9,"Si","No")</f>
        <v>No</v>
      </c>
      <c r="AH225" s="887" t="str">
        <f>IFERROR(INDEX(Tabla9[],MATCH(Producción_Ganadera[[#This Row],[Movimiento]],Tabla9[Movimientos],0),2),0)</f>
        <v>Si</v>
      </c>
      <c r="AI225" s="888" t="str">
        <f>IFERROR(INDEX(Tabla9[],MATCH(Producción_Ganadera[[#This Row],[Movimiento]],Tabla9[Movimientos],0),3),0)</f>
        <v>(-)</v>
      </c>
      <c r="AJ225" s="885">
        <f>IF(Producción_Ganadera[[#This Row],[Fecha Económico]]=0,0,MONTH(Producción_Ganadera[[#This Row],[Fecha Económico]]))</f>
        <v>2</v>
      </c>
      <c r="AK225" s="885">
        <f>IF(Producción_Ganadera[[#This Row],[Fecha Económico]]=0,0,YEAR(Producción_Ganadera[[#This Row],[Fecha Económico]]))</f>
        <v>2019</v>
      </c>
      <c r="AL225" s="889">
        <f>SUMPRODUCT((Producción_Ganadera[[#This Row],[Mes Económico]]=Tipo_Cambio[Mes])*(Producción_Ganadera[[#This Row],[Año Económico]]=Tipo_Cambio[Año])*(Tipo_Cambio[$/U$S]))</f>
        <v>23.586977746354219</v>
      </c>
      <c r="AM225" s="889">
        <f>SUMPRODUCT((Producción_Ganadera[[#This Row],[Mes Económico]]=Tipo_Cambio[Mes])*(Producción_Ganadera[[#This Row],[Año Económico]]=Tipo_Cambio[Año])*(Tipo_Cambio[Actualización]))</f>
        <v>1.14868566764928</v>
      </c>
      <c r="AN225" s="885">
        <f>IF(ISNUMBER(Producción_Ganadera[[#This Row],[Fecha Financiero]])=TRUE,MONTH(Producción_Ganadera[[#This Row],[Fecha Financiero]]),0)</f>
        <v>2</v>
      </c>
      <c r="AO225" s="885">
        <f>IF(ISNUMBER(Producción_Ganadera[[#This Row],[Fecha Financiero]])=TRUE,YEAR(Producción_Ganadera[[#This Row],[Fecha Financiero]]),0)</f>
        <v>2019</v>
      </c>
      <c r="AP225" s="889">
        <f>SUMPRODUCT((Producción_Ganadera[[#This Row],[Mes Financiero]]=Tipo_Cambio[Mes])*(Producción_Ganadera[[#This Row],[Año Financiero]]=Tipo_Cambio[Año])*(Tipo_Cambio[$/U$S]))</f>
        <v>23.586977746354219</v>
      </c>
      <c r="AQ225" s="889">
        <f>SUMPRODUCT((Producción_Ganadera[[#This Row],[Mes Financiero]]=Tipo_Cambio[Mes])*(Producción_Ganadera[[#This Row],[Año Financiero]]=Tipo_Cambio[Año])*(Tipo_Cambio[Actualización]))</f>
        <v>1.14868566764928</v>
      </c>
      <c r="AR225" s="919">
        <f>SUMPRODUCT((Producción_Ganadera[[#This Row],[Centro de Costo]]=Tabla19[Centro de Costo])*(Tabla19[Superficie])*(Producción_Ganadera[[#This Row],[Campaña]]=Tabla19[Campaña]))</f>
        <v>0</v>
      </c>
      <c r="AS225" s="918">
        <f>IFERROR(Producción_Ganadera[[#This Row],[Económico $Corrientes]]/Producción_Ganadera[[#This Row],[Superficie]],0)</f>
        <v>0</v>
      </c>
      <c r="AT225" s="918">
        <f>IFERROR(Producción_Ganadera[[#This Row],[Económico $Constantes]]/Producción_Ganadera[[#This Row],[Superficie]],0)</f>
        <v>0</v>
      </c>
      <c r="AU225" s="918">
        <f>IFERROR(Producción_Ganadera[[#This Row],[Económico U$S Dólares]]/Producción_Ganadera[[#This Row],[Superficie]],0)</f>
        <v>0</v>
      </c>
      <c r="AV225" s="916" t="str">
        <f>IF(Económico!$F$4=0,0,Producción_Ganadera[[#This Row],[Centro de Costo]])</f>
        <v>Campo 2</v>
      </c>
    </row>
    <row r="226" spans="2:48" x14ac:dyDescent="0.25">
      <c r="D226" s="478">
        <f t="shared" si="14"/>
        <v>43497</v>
      </c>
      <c r="E226" s="522">
        <f>+Producción_Ganadera[[#This Row],[Fecha Económico]]+9</f>
        <v>43506</v>
      </c>
      <c r="F226" s="869" t="str">
        <f t="shared" si="13"/>
        <v>2018-2019</v>
      </c>
      <c r="G226" s="491" t="str">
        <f>GAN_Cargas_Sociales</f>
        <v>Cargas Sociales</v>
      </c>
      <c r="H226" s="491" t="s">
        <v>8</v>
      </c>
      <c r="I226" s="491"/>
      <c r="J226" s="549"/>
      <c r="K226" s="491"/>
      <c r="L226" s="520"/>
      <c r="M22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2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26" s="611"/>
      <c r="P226" s="484"/>
      <c r="Q226" s="875">
        <f>IF(ISNUMBER(Producción_Ganadera[[#This Row],[Cabezas]])=TRUE,Producción_Ganadera[[#This Row],[Cabezas]]*Producción_Ganadera[[#This Row],[Cantidad]],Producción_Ganadera[[#This Row],[Cantidad]])</f>
        <v>0</v>
      </c>
      <c r="R226" s="482"/>
      <c r="S226" s="552" t="s">
        <v>48</v>
      </c>
      <c r="T226" s="553"/>
      <c r="U22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26" s="881">
        <f>IFERROR(Producción_Ganadera[[#This Row],[Económico $Corrientes]]/Producción_Ganadera[[#This Row],[Indexación Económico]],0)</f>
        <v>0</v>
      </c>
      <c r="W22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2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26" s="881">
        <f>IFERROR(Producción_Ganadera[[#This Row],[Financiero $Corrientes]]/Producción_Ganadera[[#This Row],[Indexación Financiero]],0)</f>
        <v>0</v>
      </c>
      <c r="Z22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2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26" s="885">
        <f>IFERROR(Producción_Ganadera[[#This Row],[Intereses $Corrientes]]/Producción_Ganadera[[#This Row],[Indexación Financiero]],0)</f>
        <v>0</v>
      </c>
      <c r="AC22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26" s="915" t="str">
        <f>IFERROR(INDEX(Produccion_Ganadera_Cuentas[],MATCH(Producción_Ganadera[[#This Row],[Cuenta Contable]],Produccion_Ganadera_Cuentas[Cuenta Contable],0),2),0)</f>
        <v>Egreso</v>
      </c>
      <c r="AE226" s="916">
        <f>IF(Producción_Ganadera[[#This Row],[Mov. Stock]]="(+)",Producción_Ganadera[[#This Row],[Cabezas]],IF(Producción_Ganadera[[#This Row],[Mov. Stock]]="(-)",-Producción_Ganadera[[#This Row],[Cabezas]],0))</f>
        <v>0</v>
      </c>
      <c r="AF226" s="917">
        <f>IFERROR(INDEX(Produccion_Ganadera_Cuentas[],MATCH(Producción_Ganadera[[#This Row],[Cuenta Contable]],Produccion_Ganadera_Cuentas[Cuenta Contable],0),5),0)</f>
        <v>0</v>
      </c>
      <c r="AG226" s="918" t="str">
        <f>IF(Producción_Ganadera[[#This Row],[Cuenta Contable]]=Configuración!$AC$9,"Si","No")</f>
        <v>No</v>
      </c>
      <c r="AH226" s="887" t="str">
        <f>IFERROR(INDEX(Tabla9[],MATCH(Producción_Ganadera[[#This Row],[Movimiento]],Tabla9[Movimientos],0),2),0)</f>
        <v>Si</v>
      </c>
      <c r="AI226" s="888" t="str">
        <f>IFERROR(INDEX(Tabla9[],MATCH(Producción_Ganadera[[#This Row],[Movimiento]],Tabla9[Movimientos],0),3),0)</f>
        <v>(-)</v>
      </c>
      <c r="AJ226" s="885">
        <f>IF(Producción_Ganadera[[#This Row],[Fecha Económico]]=0,0,MONTH(Producción_Ganadera[[#This Row],[Fecha Económico]]))</f>
        <v>2</v>
      </c>
      <c r="AK226" s="885">
        <f>IF(Producción_Ganadera[[#This Row],[Fecha Económico]]=0,0,YEAR(Producción_Ganadera[[#This Row],[Fecha Económico]]))</f>
        <v>2019</v>
      </c>
      <c r="AL226" s="889">
        <f>SUMPRODUCT((Producción_Ganadera[[#This Row],[Mes Económico]]=Tipo_Cambio[Mes])*(Producción_Ganadera[[#This Row],[Año Económico]]=Tipo_Cambio[Año])*(Tipo_Cambio[$/U$S]))</f>
        <v>23.586977746354219</v>
      </c>
      <c r="AM226" s="889">
        <f>SUMPRODUCT((Producción_Ganadera[[#This Row],[Mes Económico]]=Tipo_Cambio[Mes])*(Producción_Ganadera[[#This Row],[Año Económico]]=Tipo_Cambio[Año])*(Tipo_Cambio[Actualización]))</f>
        <v>1.14868566764928</v>
      </c>
      <c r="AN226" s="885">
        <f>IF(ISNUMBER(Producción_Ganadera[[#This Row],[Fecha Financiero]])=TRUE,MONTH(Producción_Ganadera[[#This Row],[Fecha Financiero]]),0)</f>
        <v>2</v>
      </c>
      <c r="AO226" s="885">
        <f>IF(ISNUMBER(Producción_Ganadera[[#This Row],[Fecha Financiero]])=TRUE,YEAR(Producción_Ganadera[[#This Row],[Fecha Financiero]]),0)</f>
        <v>2019</v>
      </c>
      <c r="AP226" s="889">
        <f>SUMPRODUCT((Producción_Ganadera[[#This Row],[Mes Financiero]]=Tipo_Cambio[Mes])*(Producción_Ganadera[[#This Row],[Año Financiero]]=Tipo_Cambio[Año])*(Tipo_Cambio[$/U$S]))</f>
        <v>23.586977746354219</v>
      </c>
      <c r="AQ226" s="889">
        <f>SUMPRODUCT((Producción_Ganadera[[#This Row],[Mes Financiero]]=Tipo_Cambio[Mes])*(Producción_Ganadera[[#This Row],[Año Financiero]]=Tipo_Cambio[Año])*(Tipo_Cambio[Actualización]))</f>
        <v>1.14868566764928</v>
      </c>
      <c r="AR226" s="919">
        <f>SUMPRODUCT((Producción_Ganadera[[#This Row],[Centro de Costo]]=Tabla19[Centro de Costo])*(Tabla19[Superficie])*(Producción_Ganadera[[#This Row],[Campaña]]=Tabla19[Campaña]))</f>
        <v>0</v>
      </c>
      <c r="AS226" s="918">
        <f>IFERROR(Producción_Ganadera[[#This Row],[Económico $Corrientes]]/Producción_Ganadera[[#This Row],[Superficie]],0)</f>
        <v>0</v>
      </c>
      <c r="AT226" s="918">
        <f>IFERROR(Producción_Ganadera[[#This Row],[Económico $Constantes]]/Producción_Ganadera[[#This Row],[Superficie]],0)</f>
        <v>0</v>
      </c>
      <c r="AU226" s="918">
        <f>IFERROR(Producción_Ganadera[[#This Row],[Económico U$S Dólares]]/Producción_Ganadera[[#This Row],[Superficie]],0)</f>
        <v>0</v>
      </c>
      <c r="AV226" s="916" t="str">
        <f>IF(Económico!$F$4=0,0,Producción_Ganadera[[#This Row],[Centro de Costo]])</f>
        <v>Campo 2</v>
      </c>
    </row>
    <row r="227" spans="2:48" x14ac:dyDescent="0.25">
      <c r="D227" s="478">
        <f t="shared" si="14"/>
        <v>43497</v>
      </c>
      <c r="E227" s="522">
        <f>+Producción_Ganadera[[#This Row],[Fecha Económico]]+9</f>
        <v>43506</v>
      </c>
      <c r="F227" s="869" t="str">
        <f t="shared" si="13"/>
        <v>2018-2019</v>
      </c>
      <c r="G227" s="491" t="str">
        <f>GAN_Manutención_Personal</f>
        <v>Manutención Personal</v>
      </c>
      <c r="H227" s="491" t="s">
        <v>8</v>
      </c>
      <c r="I227" s="491"/>
      <c r="J227" s="549"/>
      <c r="K227" s="491"/>
      <c r="L227" s="520"/>
      <c r="M22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2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27" s="611"/>
      <c r="P227" s="484"/>
      <c r="Q227" s="875">
        <f>IF(ISNUMBER(Producción_Ganadera[[#This Row],[Cabezas]])=TRUE,Producción_Ganadera[[#This Row],[Cabezas]]*Producción_Ganadera[[#This Row],[Cantidad]],Producción_Ganadera[[#This Row],[Cantidad]])</f>
        <v>0</v>
      </c>
      <c r="R227" s="482"/>
      <c r="S227" s="552" t="s">
        <v>48</v>
      </c>
      <c r="T227" s="553"/>
      <c r="U22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27" s="881">
        <f>IFERROR(Producción_Ganadera[[#This Row],[Económico $Corrientes]]/Producción_Ganadera[[#This Row],[Indexación Económico]],0)</f>
        <v>0</v>
      </c>
      <c r="W22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2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27" s="881">
        <f>IFERROR(Producción_Ganadera[[#This Row],[Financiero $Corrientes]]/Producción_Ganadera[[#This Row],[Indexación Financiero]],0)</f>
        <v>0</v>
      </c>
      <c r="Z22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2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27" s="885">
        <f>IFERROR(Producción_Ganadera[[#This Row],[Intereses $Corrientes]]/Producción_Ganadera[[#This Row],[Indexación Financiero]],0)</f>
        <v>0</v>
      </c>
      <c r="AC22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27" s="915" t="str">
        <f>IFERROR(INDEX(Produccion_Ganadera_Cuentas[],MATCH(Producción_Ganadera[[#This Row],[Cuenta Contable]],Produccion_Ganadera_Cuentas[Cuenta Contable],0),2),0)</f>
        <v>Egreso</v>
      </c>
      <c r="AE227" s="916">
        <f>IF(Producción_Ganadera[[#This Row],[Mov. Stock]]="(+)",Producción_Ganadera[[#This Row],[Cabezas]],IF(Producción_Ganadera[[#This Row],[Mov. Stock]]="(-)",-Producción_Ganadera[[#This Row],[Cabezas]],0))</f>
        <v>0</v>
      </c>
      <c r="AF227" s="917">
        <f>IFERROR(INDEX(Produccion_Ganadera_Cuentas[],MATCH(Producción_Ganadera[[#This Row],[Cuenta Contable]],Produccion_Ganadera_Cuentas[Cuenta Contable],0),5),0)</f>
        <v>0</v>
      </c>
      <c r="AG227" s="918" t="str">
        <f>IF(Producción_Ganadera[[#This Row],[Cuenta Contable]]=Configuración!$AC$9,"Si","No")</f>
        <v>No</v>
      </c>
      <c r="AH227" s="887" t="str">
        <f>IFERROR(INDEX(Tabla9[],MATCH(Producción_Ganadera[[#This Row],[Movimiento]],Tabla9[Movimientos],0),2),0)</f>
        <v>Si</v>
      </c>
      <c r="AI227" s="888" t="str">
        <f>IFERROR(INDEX(Tabla9[],MATCH(Producción_Ganadera[[#This Row],[Movimiento]],Tabla9[Movimientos],0),3),0)</f>
        <v>(-)</v>
      </c>
      <c r="AJ227" s="885">
        <f>IF(Producción_Ganadera[[#This Row],[Fecha Económico]]=0,0,MONTH(Producción_Ganadera[[#This Row],[Fecha Económico]]))</f>
        <v>2</v>
      </c>
      <c r="AK227" s="885">
        <f>IF(Producción_Ganadera[[#This Row],[Fecha Económico]]=0,0,YEAR(Producción_Ganadera[[#This Row],[Fecha Económico]]))</f>
        <v>2019</v>
      </c>
      <c r="AL227" s="889">
        <f>SUMPRODUCT((Producción_Ganadera[[#This Row],[Mes Económico]]=Tipo_Cambio[Mes])*(Producción_Ganadera[[#This Row],[Año Económico]]=Tipo_Cambio[Año])*(Tipo_Cambio[$/U$S]))</f>
        <v>23.586977746354219</v>
      </c>
      <c r="AM227" s="889">
        <f>SUMPRODUCT((Producción_Ganadera[[#This Row],[Mes Económico]]=Tipo_Cambio[Mes])*(Producción_Ganadera[[#This Row],[Año Económico]]=Tipo_Cambio[Año])*(Tipo_Cambio[Actualización]))</f>
        <v>1.14868566764928</v>
      </c>
      <c r="AN227" s="885">
        <f>IF(ISNUMBER(Producción_Ganadera[[#This Row],[Fecha Financiero]])=TRUE,MONTH(Producción_Ganadera[[#This Row],[Fecha Financiero]]),0)</f>
        <v>2</v>
      </c>
      <c r="AO227" s="885">
        <f>IF(ISNUMBER(Producción_Ganadera[[#This Row],[Fecha Financiero]])=TRUE,YEAR(Producción_Ganadera[[#This Row],[Fecha Financiero]]),0)</f>
        <v>2019</v>
      </c>
      <c r="AP227" s="889">
        <f>SUMPRODUCT((Producción_Ganadera[[#This Row],[Mes Financiero]]=Tipo_Cambio[Mes])*(Producción_Ganadera[[#This Row],[Año Financiero]]=Tipo_Cambio[Año])*(Tipo_Cambio[$/U$S]))</f>
        <v>23.586977746354219</v>
      </c>
      <c r="AQ227" s="889">
        <f>SUMPRODUCT((Producción_Ganadera[[#This Row],[Mes Financiero]]=Tipo_Cambio[Mes])*(Producción_Ganadera[[#This Row],[Año Financiero]]=Tipo_Cambio[Año])*(Tipo_Cambio[Actualización]))</f>
        <v>1.14868566764928</v>
      </c>
      <c r="AR227" s="919">
        <f>SUMPRODUCT((Producción_Ganadera[[#This Row],[Centro de Costo]]=Tabla19[Centro de Costo])*(Tabla19[Superficie])*(Producción_Ganadera[[#This Row],[Campaña]]=Tabla19[Campaña]))</f>
        <v>0</v>
      </c>
      <c r="AS227" s="918">
        <f>IFERROR(Producción_Ganadera[[#This Row],[Económico $Corrientes]]/Producción_Ganadera[[#This Row],[Superficie]],0)</f>
        <v>0</v>
      </c>
      <c r="AT227" s="918">
        <f>IFERROR(Producción_Ganadera[[#This Row],[Económico $Constantes]]/Producción_Ganadera[[#This Row],[Superficie]],0)</f>
        <v>0</v>
      </c>
      <c r="AU227" s="918">
        <f>IFERROR(Producción_Ganadera[[#This Row],[Económico U$S Dólares]]/Producción_Ganadera[[#This Row],[Superficie]],0)</f>
        <v>0</v>
      </c>
      <c r="AV227" s="916" t="str">
        <f>IF(Económico!$F$4=0,0,Producción_Ganadera[[#This Row],[Centro de Costo]])</f>
        <v>Campo 2</v>
      </c>
    </row>
    <row r="228" spans="2:48" x14ac:dyDescent="0.25">
      <c r="D228" s="478">
        <f t="shared" si="14"/>
        <v>43525</v>
      </c>
      <c r="E228" s="522">
        <f>+Producción_Ganadera[[#This Row],[Fecha Económico]]+9</f>
        <v>43534</v>
      </c>
      <c r="F228" s="869" t="str">
        <f t="shared" si="13"/>
        <v>2018-2019</v>
      </c>
      <c r="G228" s="491" t="str">
        <f>GAN_Personal</f>
        <v>Personal</v>
      </c>
      <c r="H228" s="491" t="s">
        <v>8</v>
      </c>
      <c r="I228" s="491"/>
      <c r="J228" s="549"/>
      <c r="K228" s="491"/>
      <c r="L228" s="520"/>
      <c r="M22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2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28" s="611"/>
      <c r="P228" s="484"/>
      <c r="Q228" s="875">
        <f>IF(ISNUMBER(Producción_Ganadera[[#This Row],[Cabezas]])=TRUE,Producción_Ganadera[[#This Row],[Cabezas]]*Producción_Ganadera[[#This Row],[Cantidad]],Producción_Ganadera[[#This Row],[Cantidad]])</f>
        <v>0</v>
      </c>
      <c r="R228" s="482"/>
      <c r="S228" s="552" t="s">
        <v>48</v>
      </c>
      <c r="T228" s="553"/>
      <c r="U22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28" s="881">
        <f>IFERROR(Producción_Ganadera[[#This Row],[Económico $Corrientes]]/Producción_Ganadera[[#This Row],[Indexación Económico]],0)</f>
        <v>0</v>
      </c>
      <c r="W22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2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28" s="881">
        <f>IFERROR(Producción_Ganadera[[#This Row],[Financiero $Corrientes]]/Producción_Ganadera[[#This Row],[Indexación Financiero]],0)</f>
        <v>0</v>
      </c>
      <c r="Z22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2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28" s="885">
        <f>IFERROR(Producción_Ganadera[[#This Row],[Intereses $Corrientes]]/Producción_Ganadera[[#This Row],[Indexación Financiero]],0)</f>
        <v>0</v>
      </c>
      <c r="AC22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28" s="915" t="str">
        <f>IFERROR(INDEX(Produccion_Ganadera_Cuentas[],MATCH(Producción_Ganadera[[#This Row],[Cuenta Contable]],Produccion_Ganadera_Cuentas[Cuenta Contable],0),2),0)</f>
        <v>Egreso</v>
      </c>
      <c r="AE228" s="916">
        <f>IF(Producción_Ganadera[[#This Row],[Mov. Stock]]="(+)",Producción_Ganadera[[#This Row],[Cabezas]],IF(Producción_Ganadera[[#This Row],[Mov. Stock]]="(-)",-Producción_Ganadera[[#This Row],[Cabezas]],0))</f>
        <v>0</v>
      </c>
      <c r="AF228" s="917">
        <f>IFERROR(INDEX(Produccion_Ganadera_Cuentas[],MATCH(Producción_Ganadera[[#This Row],[Cuenta Contable]],Produccion_Ganadera_Cuentas[Cuenta Contable],0),5),0)</f>
        <v>0</v>
      </c>
      <c r="AG228" s="918" t="str">
        <f>IF(Producción_Ganadera[[#This Row],[Cuenta Contable]]=Configuración!$AC$9,"Si","No")</f>
        <v>No</v>
      </c>
      <c r="AH228" s="887" t="str">
        <f>IFERROR(INDEX(Tabla9[],MATCH(Producción_Ganadera[[#This Row],[Movimiento]],Tabla9[Movimientos],0),2),0)</f>
        <v>Si</v>
      </c>
      <c r="AI228" s="888" t="str">
        <f>IFERROR(INDEX(Tabla9[],MATCH(Producción_Ganadera[[#This Row],[Movimiento]],Tabla9[Movimientos],0),3),0)</f>
        <v>(-)</v>
      </c>
      <c r="AJ228" s="885">
        <f>IF(Producción_Ganadera[[#This Row],[Fecha Económico]]=0,0,MONTH(Producción_Ganadera[[#This Row],[Fecha Económico]]))</f>
        <v>3</v>
      </c>
      <c r="AK228" s="885">
        <f>IF(Producción_Ganadera[[#This Row],[Fecha Económico]]=0,0,YEAR(Producción_Ganadera[[#This Row],[Fecha Económico]]))</f>
        <v>2019</v>
      </c>
      <c r="AL228" s="889">
        <f>SUMPRODUCT((Producción_Ganadera[[#This Row],[Mes Económico]]=Tipo_Cambio[Mes])*(Producción_Ganadera[[#This Row],[Año Económico]]=Tipo_Cambio[Año])*(Tipo_Cambio[$/U$S]))</f>
        <v>23.82284752381776</v>
      </c>
      <c r="AM228" s="889">
        <f>SUMPRODUCT((Producción_Ganadera[[#This Row],[Mes Económico]]=Tipo_Cambio[Mes])*(Producción_Ganadera[[#This Row],[Año Económico]]=Tipo_Cambio[Año])*(Tipo_Cambio[Actualización]))</f>
        <v>1.1716593810022657</v>
      </c>
      <c r="AN228" s="885">
        <f>IF(ISNUMBER(Producción_Ganadera[[#This Row],[Fecha Financiero]])=TRUE,MONTH(Producción_Ganadera[[#This Row],[Fecha Financiero]]),0)</f>
        <v>3</v>
      </c>
      <c r="AO228" s="885">
        <f>IF(ISNUMBER(Producción_Ganadera[[#This Row],[Fecha Financiero]])=TRUE,YEAR(Producción_Ganadera[[#This Row],[Fecha Financiero]]),0)</f>
        <v>2019</v>
      </c>
      <c r="AP228" s="889">
        <f>SUMPRODUCT((Producción_Ganadera[[#This Row],[Mes Financiero]]=Tipo_Cambio[Mes])*(Producción_Ganadera[[#This Row],[Año Financiero]]=Tipo_Cambio[Año])*(Tipo_Cambio[$/U$S]))</f>
        <v>23.82284752381776</v>
      </c>
      <c r="AQ228" s="889">
        <f>SUMPRODUCT((Producción_Ganadera[[#This Row],[Mes Financiero]]=Tipo_Cambio[Mes])*(Producción_Ganadera[[#This Row],[Año Financiero]]=Tipo_Cambio[Año])*(Tipo_Cambio[Actualización]))</f>
        <v>1.1716593810022657</v>
      </c>
      <c r="AR228" s="919">
        <f>SUMPRODUCT((Producción_Ganadera[[#This Row],[Centro de Costo]]=Tabla19[Centro de Costo])*(Tabla19[Superficie])*(Producción_Ganadera[[#This Row],[Campaña]]=Tabla19[Campaña]))</f>
        <v>0</v>
      </c>
      <c r="AS228" s="918">
        <f>IFERROR(Producción_Ganadera[[#This Row],[Económico $Corrientes]]/Producción_Ganadera[[#This Row],[Superficie]],0)</f>
        <v>0</v>
      </c>
      <c r="AT228" s="918">
        <f>IFERROR(Producción_Ganadera[[#This Row],[Económico $Constantes]]/Producción_Ganadera[[#This Row],[Superficie]],0)</f>
        <v>0</v>
      </c>
      <c r="AU228" s="918">
        <f>IFERROR(Producción_Ganadera[[#This Row],[Económico U$S Dólares]]/Producción_Ganadera[[#This Row],[Superficie]],0)</f>
        <v>0</v>
      </c>
      <c r="AV228" s="916" t="str">
        <f>IF(Económico!$F$4=0,0,Producción_Ganadera[[#This Row],[Centro de Costo]])</f>
        <v>Campo 2</v>
      </c>
    </row>
    <row r="229" spans="2:48" x14ac:dyDescent="0.25">
      <c r="D229" s="478">
        <f t="shared" si="14"/>
        <v>43525</v>
      </c>
      <c r="E229" s="522">
        <f>+Producción_Ganadera[[#This Row],[Fecha Económico]]+9</f>
        <v>43534</v>
      </c>
      <c r="F229" s="869" t="str">
        <f t="shared" si="13"/>
        <v>2018-2019</v>
      </c>
      <c r="G229" s="491" t="str">
        <f>GAN_Cargas_Sociales</f>
        <v>Cargas Sociales</v>
      </c>
      <c r="H229" s="491" t="s">
        <v>8</v>
      </c>
      <c r="I229" s="491"/>
      <c r="J229" s="549"/>
      <c r="K229" s="491"/>
      <c r="L229" s="520"/>
      <c r="M22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2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29" s="611"/>
      <c r="P229" s="484"/>
      <c r="Q229" s="875">
        <f>IF(ISNUMBER(Producción_Ganadera[[#This Row],[Cabezas]])=TRUE,Producción_Ganadera[[#This Row],[Cabezas]]*Producción_Ganadera[[#This Row],[Cantidad]],Producción_Ganadera[[#This Row],[Cantidad]])</f>
        <v>0</v>
      </c>
      <c r="R229" s="482"/>
      <c r="S229" s="552" t="s">
        <v>48</v>
      </c>
      <c r="T229" s="553"/>
      <c r="U22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29" s="881">
        <f>IFERROR(Producción_Ganadera[[#This Row],[Económico $Corrientes]]/Producción_Ganadera[[#This Row],[Indexación Económico]],0)</f>
        <v>0</v>
      </c>
      <c r="W22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2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29" s="881">
        <f>IFERROR(Producción_Ganadera[[#This Row],[Financiero $Corrientes]]/Producción_Ganadera[[#This Row],[Indexación Financiero]],0)</f>
        <v>0</v>
      </c>
      <c r="Z22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2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29" s="885">
        <f>IFERROR(Producción_Ganadera[[#This Row],[Intereses $Corrientes]]/Producción_Ganadera[[#This Row],[Indexación Financiero]],0)</f>
        <v>0</v>
      </c>
      <c r="AC22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29" s="915" t="str">
        <f>IFERROR(INDEX(Produccion_Ganadera_Cuentas[],MATCH(Producción_Ganadera[[#This Row],[Cuenta Contable]],Produccion_Ganadera_Cuentas[Cuenta Contable],0),2),0)</f>
        <v>Egreso</v>
      </c>
      <c r="AE229" s="916">
        <f>IF(Producción_Ganadera[[#This Row],[Mov. Stock]]="(+)",Producción_Ganadera[[#This Row],[Cabezas]],IF(Producción_Ganadera[[#This Row],[Mov. Stock]]="(-)",-Producción_Ganadera[[#This Row],[Cabezas]],0))</f>
        <v>0</v>
      </c>
      <c r="AF229" s="917">
        <f>IFERROR(INDEX(Produccion_Ganadera_Cuentas[],MATCH(Producción_Ganadera[[#This Row],[Cuenta Contable]],Produccion_Ganadera_Cuentas[Cuenta Contable],0),5),0)</f>
        <v>0</v>
      </c>
      <c r="AG229" s="918" t="str">
        <f>IF(Producción_Ganadera[[#This Row],[Cuenta Contable]]=Configuración!$AC$9,"Si","No")</f>
        <v>No</v>
      </c>
      <c r="AH229" s="887" t="str">
        <f>IFERROR(INDEX(Tabla9[],MATCH(Producción_Ganadera[[#This Row],[Movimiento]],Tabla9[Movimientos],0),2),0)</f>
        <v>Si</v>
      </c>
      <c r="AI229" s="888" t="str">
        <f>IFERROR(INDEX(Tabla9[],MATCH(Producción_Ganadera[[#This Row],[Movimiento]],Tabla9[Movimientos],0),3),0)</f>
        <v>(-)</v>
      </c>
      <c r="AJ229" s="885">
        <f>IF(Producción_Ganadera[[#This Row],[Fecha Económico]]=0,0,MONTH(Producción_Ganadera[[#This Row],[Fecha Económico]]))</f>
        <v>3</v>
      </c>
      <c r="AK229" s="885">
        <f>IF(Producción_Ganadera[[#This Row],[Fecha Económico]]=0,0,YEAR(Producción_Ganadera[[#This Row],[Fecha Económico]]))</f>
        <v>2019</v>
      </c>
      <c r="AL229" s="889">
        <f>SUMPRODUCT((Producción_Ganadera[[#This Row],[Mes Económico]]=Tipo_Cambio[Mes])*(Producción_Ganadera[[#This Row],[Año Económico]]=Tipo_Cambio[Año])*(Tipo_Cambio[$/U$S]))</f>
        <v>23.82284752381776</v>
      </c>
      <c r="AM229" s="889">
        <f>SUMPRODUCT((Producción_Ganadera[[#This Row],[Mes Económico]]=Tipo_Cambio[Mes])*(Producción_Ganadera[[#This Row],[Año Económico]]=Tipo_Cambio[Año])*(Tipo_Cambio[Actualización]))</f>
        <v>1.1716593810022657</v>
      </c>
      <c r="AN229" s="885">
        <f>IF(ISNUMBER(Producción_Ganadera[[#This Row],[Fecha Financiero]])=TRUE,MONTH(Producción_Ganadera[[#This Row],[Fecha Financiero]]),0)</f>
        <v>3</v>
      </c>
      <c r="AO229" s="885">
        <f>IF(ISNUMBER(Producción_Ganadera[[#This Row],[Fecha Financiero]])=TRUE,YEAR(Producción_Ganadera[[#This Row],[Fecha Financiero]]),0)</f>
        <v>2019</v>
      </c>
      <c r="AP229" s="889">
        <f>SUMPRODUCT((Producción_Ganadera[[#This Row],[Mes Financiero]]=Tipo_Cambio[Mes])*(Producción_Ganadera[[#This Row],[Año Financiero]]=Tipo_Cambio[Año])*(Tipo_Cambio[$/U$S]))</f>
        <v>23.82284752381776</v>
      </c>
      <c r="AQ229" s="889">
        <f>SUMPRODUCT((Producción_Ganadera[[#This Row],[Mes Financiero]]=Tipo_Cambio[Mes])*(Producción_Ganadera[[#This Row],[Año Financiero]]=Tipo_Cambio[Año])*(Tipo_Cambio[Actualización]))</f>
        <v>1.1716593810022657</v>
      </c>
      <c r="AR229" s="919">
        <f>SUMPRODUCT((Producción_Ganadera[[#This Row],[Centro de Costo]]=Tabla19[Centro de Costo])*(Tabla19[Superficie])*(Producción_Ganadera[[#This Row],[Campaña]]=Tabla19[Campaña]))</f>
        <v>0</v>
      </c>
      <c r="AS229" s="918">
        <f>IFERROR(Producción_Ganadera[[#This Row],[Económico $Corrientes]]/Producción_Ganadera[[#This Row],[Superficie]],0)</f>
        <v>0</v>
      </c>
      <c r="AT229" s="918">
        <f>IFERROR(Producción_Ganadera[[#This Row],[Económico $Constantes]]/Producción_Ganadera[[#This Row],[Superficie]],0)</f>
        <v>0</v>
      </c>
      <c r="AU229" s="918">
        <f>IFERROR(Producción_Ganadera[[#This Row],[Económico U$S Dólares]]/Producción_Ganadera[[#This Row],[Superficie]],0)</f>
        <v>0</v>
      </c>
      <c r="AV229" s="916" t="str">
        <f>IF(Económico!$F$4=0,0,Producción_Ganadera[[#This Row],[Centro de Costo]])</f>
        <v>Campo 2</v>
      </c>
    </row>
    <row r="230" spans="2:48" x14ac:dyDescent="0.25">
      <c r="D230" s="478">
        <f t="shared" si="14"/>
        <v>43525</v>
      </c>
      <c r="E230" s="522">
        <f>+Producción_Ganadera[[#This Row],[Fecha Económico]]+9</f>
        <v>43534</v>
      </c>
      <c r="F230" s="869" t="str">
        <f t="shared" si="13"/>
        <v>2018-2019</v>
      </c>
      <c r="G230" s="491" t="str">
        <f>GAN_Manutención_Personal</f>
        <v>Manutención Personal</v>
      </c>
      <c r="H230" s="491" t="s">
        <v>8</v>
      </c>
      <c r="I230" s="491"/>
      <c r="J230" s="549"/>
      <c r="K230" s="491"/>
      <c r="L230" s="520"/>
      <c r="M23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3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30" s="611"/>
      <c r="P230" s="484"/>
      <c r="Q230" s="875">
        <f>IF(ISNUMBER(Producción_Ganadera[[#This Row],[Cabezas]])=TRUE,Producción_Ganadera[[#This Row],[Cabezas]]*Producción_Ganadera[[#This Row],[Cantidad]],Producción_Ganadera[[#This Row],[Cantidad]])</f>
        <v>0</v>
      </c>
      <c r="R230" s="482"/>
      <c r="S230" s="552" t="s">
        <v>48</v>
      </c>
      <c r="T230" s="553"/>
      <c r="U23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30" s="881">
        <f>IFERROR(Producción_Ganadera[[#This Row],[Económico $Corrientes]]/Producción_Ganadera[[#This Row],[Indexación Económico]],0)</f>
        <v>0</v>
      </c>
      <c r="W23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3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30" s="881">
        <f>IFERROR(Producción_Ganadera[[#This Row],[Financiero $Corrientes]]/Producción_Ganadera[[#This Row],[Indexación Financiero]],0)</f>
        <v>0</v>
      </c>
      <c r="Z23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3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30" s="885">
        <f>IFERROR(Producción_Ganadera[[#This Row],[Intereses $Corrientes]]/Producción_Ganadera[[#This Row],[Indexación Financiero]],0)</f>
        <v>0</v>
      </c>
      <c r="AC23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30" s="915" t="str">
        <f>IFERROR(INDEX(Produccion_Ganadera_Cuentas[],MATCH(Producción_Ganadera[[#This Row],[Cuenta Contable]],Produccion_Ganadera_Cuentas[Cuenta Contable],0),2),0)</f>
        <v>Egreso</v>
      </c>
      <c r="AE230" s="916">
        <f>IF(Producción_Ganadera[[#This Row],[Mov. Stock]]="(+)",Producción_Ganadera[[#This Row],[Cabezas]],IF(Producción_Ganadera[[#This Row],[Mov. Stock]]="(-)",-Producción_Ganadera[[#This Row],[Cabezas]],0))</f>
        <v>0</v>
      </c>
      <c r="AF230" s="917">
        <f>IFERROR(INDEX(Produccion_Ganadera_Cuentas[],MATCH(Producción_Ganadera[[#This Row],[Cuenta Contable]],Produccion_Ganadera_Cuentas[Cuenta Contable],0),5),0)</f>
        <v>0</v>
      </c>
      <c r="AG230" s="918" t="str">
        <f>IF(Producción_Ganadera[[#This Row],[Cuenta Contable]]=Configuración!$AC$9,"Si","No")</f>
        <v>No</v>
      </c>
      <c r="AH230" s="887" t="str">
        <f>IFERROR(INDEX(Tabla9[],MATCH(Producción_Ganadera[[#This Row],[Movimiento]],Tabla9[Movimientos],0),2),0)</f>
        <v>Si</v>
      </c>
      <c r="AI230" s="888" t="str">
        <f>IFERROR(INDEX(Tabla9[],MATCH(Producción_Ganadera[[#This Row],[Movimiento]],Tabla9[Movimientos],0),3),0)</f>
        <v>(-)</v>
      </c>
      <c r="AJ230" s="885">
        <f>IF(Producción_Ganadera[[#This Row],[Fecha Económico]]=0,0,MONTH(Producción_Ganadera[[#This Row],[Fecha Económico]]))</f>
        <v>3</v>
      </c>
      <c r="AK230" s="885">
        <f>IF(Producción_Ganadera[[#This Row],[Fecha Económico]]=0,0,YEAR(Producción_Ganadera[[#This Row],[Fecha Económico]]))</f>
        <v>2019</v>
      </c>
      <c r="AL230" s="889">
        <f>SUMPRODUCT((Producción_Ganadera[[#This Row],[Mes Económico]]=Tipo_Cambio[Mes])*(Producción_Ganadera[[#This Row],[Año Económico]]=Tipo_Cambio[Año])*(Tipo_Cambio[$/U$S]))</f>
        <v>23.82284752381776</v>
      </c>
      <c r="AM230" s="889">
        <f>SUMPRODUCT((Producción_Ganadera[[#This Row],[Mes Económico]]=Tipo_Cambio[Mes])*(Producción_Ganadera[[#This Row],[Año Económico]]=Tipo_Cambio[Año])*(Tipo_Cambio[Actualización]))</f>
        <v>1.1716593810022657</v>
      </c>
      <c r="AN230" s="885">
        <f>IF(ISNUMBER(Producción_Ganadera[[#This Row],[Fecha Financiero]])=TRUE,MONTH(Producción_Ganadera[[#This Row],[Fecha Financiero]]),0)</f>
        <v>3</v>
      </c>
      <c r="AO230" s="885">
        <f>IF(ISNUMBER(Producción_Ganadera[[#This Row],[Fecha Financiero]])=TRUE,YEAR(Producción_Ganadera[[#This Row],[Fecha Financiero]]),0)</f>
        <v>2019</v>
      </c>
      <c r="AP230" s="889">
        <f>SUMPRODUCT((Producción_Ganadera[[#This Row],[Mes Financiero]]=Tipo_Cambio[Mes])*(Producción_Ganadera[[#This Row],[Año Financiero]]=Tipo_Cambio[Año])*(Tipo_Cambio[$/U$S]))</f>
        <v>23.82284752381776</v>
      </c>
      <c r="AQ230" s="889">
        <f>SUMPRODUCT((Producción_Ganadera[[#This Row],[Mes Financiero]]=Tipo_Cambio[Mes])*(Producción_Ganadera[[#This Row],[Año Financiero]]=Tipo_Cambio[Año])*(Tipo_Cambio[Actualización]))</f>
        <v>1.1716593810022657</v>
      </c>
      <c r="AR230" s="919">
        <f>SUMPRODUCT((Producción_Ganadera[[#This Row],[Centro de Costo]]=Tabla19[Centro de Costo])*(Tabla19[Superficie])*(Producción_Ganadera[[#This Row],[Campaña]]=Tabla19[Campaña]))</f>
        <v>0</v>
      </c>
      <c r="AS230" s="918">
        <f>IFERROR(Producción_Ganadera[[#This Row],[Económico $Corrientes]]/Producción_Ganadera[[#This Row],[Superficie]],0)</f>
        <v>0</v>
      </c>
      <c r="AT230" s="918">
        <f>IFERROR(Producción_Ganadera[[#This Row],[Económico $Constantes]]/Producción_Ganadera[[#This Row],[Superficie]],0)</f>
        <v>0</v>
      </c>
      <c r="AU230" s="918">
        <f>IFERROR(Producción_Ganadera[[#This Row],[Económico U$S Dólares]]/Producción_Ganadera[[#This Row],[Superficie]],0)</f>
        <v>0</v>
      </c>
      <c r="AV230" s="916" t="str">
        <f>IF(Económico!$F$4=0,0,Producción_Ganadera[[#This Row],[Centro de Costo]])</f>
        <v>Campo 2</v>
      </c>
    </row>
    <row r="231" spans="2:48" x14ac:dyDescent="0.25">
      <c r="D231" s="478">
        <f t="shared" si="14"/>
        <v>43556</v>
      </c>
      <c r="E231" s="522">
        <f>+Producción_Ganadera[[#This Row],[Fecha Económico]]+9</f>
        <v>43565</v>
      </c>
      <c r="F231" s="869" t="str">
        <f t="shared" ref="F231:F262" si="15">Campaña_Actual</f>
        <v>2018-2019</v>
      </c>
      <c r="G231" s="491" t="str">
        <f>GAN_Personal</f>
        <v>Personal</v>
      </c>
      <c r="H231" s="491" t="s">
        <v>8</v>
      </c>
      <c r="I231" s="491"/>
      <c r="J231" s="549"/>
      <c r="K231" s="491"/>
      <c r="L231" s="520"/>
      <c r="M23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3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31" s="611"/>
      <c r="P231" s="484"/>
      <c r="Q231" s="875">
        <f>IF(ISNUMBER(Producción_Ganadera[[#This Row],[Cabezas]])=TRUE,Producción_Ganadera[[#This Row],[Cabezas]]*Producción_Ganadera[[#This Row],[Cantidad]],Producción_Ganadera[[#This Row],[Cantidad]])</f>
        <v>0</v>
      </c>
      <c r="R231" s="482"/>
      <c r="S231" s="552" t="s">
        <v>48</v>
      </c>
      <c r="T231" s="553"/>
      <c r="U23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31" s="881">
        <f>IFERROR(Producción_Ganadera[[#This Row],[Económico $Corrientes]]/Producción_Ganadera[[#This Row],[Indexación Económico]],0)</f>
        <v>0</v>
      </c>
      <c r="W23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3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31" s="881">
        <f>IFERROR(Producción_Ganadera[[#This Row],[Financiero $Corrientes]]/Producción_Ganadera[[#This Row],[Indexación Financiero]],0)</f>
        <v>0</v>
      </c>
      <c r="Z23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3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31" s="885">
        <f>IFERROR(Producción_Ganadera[[#This Row],[Intereses $Corrientes]]/Producción_Ganadera[[#This Row],[Indexación Financiero]],0)</f>
        <v>0</v>
      </c>
      <c r="AC23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31" s="915" t="str">
        <f>IFERROR(INDEX(Produccion_Ganadera_Cuentas[],MATCH(Producción_Ganadera[[#This Row],[Cuenta Contable]],Produccion_Ganadera_Cuentas[Cuenta Contable],0),2),0)</f>
        <v>Egreso</v>
      </c>
      <c r="AE231" s="916">
        <f>IF(Producción_Ganadera[[#This Row],[Mov. Stock]]="(+)",Producción_Ganadera[[#This Row],[Cabezas]],IF(Producción_Ganadera[[#This Row],[Mov. Stock]]="(-)",-Producción_Ganadera[[#This Row],[Cabezas]],0))</f>
        <v>0</v>
      </c>
      <c r="AF231" s="917">
        <f>IFERROR(INDEX(Produccion_Ganadera_Cuentas[],MATCH(Producción_Ganadera[[#This Row],[Cuenta Contable]],Produccion_Ganadera_Cuentas[Cuenta Contable],0),5),0)</f>
        <v>0</v>
      </c>
      <c r="AG231" s="918" t="str">
        <f>IF(Producción_Ganadera[[#This Row],[Cuenta Contable]]=Configuración!$AC$9,"Si","No")</f>
        <v>No</v>
      </c>
      <c r="AH231" s="887" t="str">
        <f>IFERROR(INDEX(Tabla9[],MATCH(Producción_Ganadera[[#This Row],[Movimiento]],Tabla9[Movimientos],0),2),0)</f>
        <v>Si</v>
      </c>
      <c r="AI231" s="888" t="str">
        <f>IFERROR(INDEX(Tabla9[],MATCH(Producción_Ganadera[[#This Row],[Movimiento]],Tabla9[Movimientos],0),3),0)</f>
        <v>(-)</v>
      </c>
      <c r="AJ231" s="885">
        <f>IF(Producción_Ganadera[[#This Row],[Fecha Económico]]=0,0,MONTH(Producción_Ganadera[[#This Row],[Fecha Económico]]))</f>
        <v>4</v>
      </c>
      <c r="AK231" s="885">
        <f>IF(Producción_Ganadera[[#This Row],[Fecha Económico]]=0,0,YEAR(Producción_Ganadera[[#This Row],[Fecha Económico]]))</f>
        <v>2019</v>
      </c>
      <c r="AL231" s="889">
        <f>SUMPRODUCT((Producción_Ganadera[[#This Row],[Mes Económico]]=Tipo_Cambio[Mes])*(Producción_Ganadera[[#This Row],[Año Económico]]=Tipo_Cambio[Año])*(Tipo_Cambio[$/U$S]))</f>
        <v>24.061075999055937</v>
      </c>
      <c r="AM231" s="889">
        <f>SUMPRODUCT((Producción_Ganadera[[#This Row],[Mes Económico]]=Tipo_Cambio[Mes])*(Producción_Ganadera[[#This Row],[Año Económico]]=Tipo_Cambio[Año])*(Tipo_Cambio[Actualización]))</f>
        <v>1.1950925686223111</v>
      </c>
      <c r="AN231" s="885">
        <f>IF(ISNUMBER(Producción_Ganadera[[#This Row],[Fecha Financiero]])=TRUE,MONTH(Producción_Ganadera[[#This Row],[Fecha Financiero]]),0)</f>
        <v>4</v>
      </c>
      <c r="AO231" s="885">
        <f>IF(ISNUMBER(Producción_Ganadera[[#This Row],[Fecha Financiero]])=TRUE,YEAR(Producción_Ganadera[[#This Row],[Fecha Financiero]]),0)</f>
        <v>2019</v>
      </c>
      <c r="AP231" s="889">
        <f>SUMPRODUCT((Producción_Ganadera[[#This Row],[Mes Financiero]]=Tipo_Cambio[Mes])*(Producción_Ganadera[[#This Row],[Año Financiero]]=Tipo_Cambio[Año])*(Tipo_Cambio[$/U$S]))</f>
        <v>24.061075999055937</v>
      </c>
      <c r="AQ231" s="889">
        <f>SUMPRODUCT((Producción_Ganadera[[#This Row],[Mes Financiero]]=Tipo_Cambio[Mes])*(Producción_Ganadera[[#This Row],[Año Financiero]]=Tipo_Cambio[Año])*(Tipo_Cambio[Actualización]))</f>
        <v>1.1950925686223111</v>
      </c>
      <c r="AR231" s="919">
        <f>SUMPRODUCT((Producción_Ganadera[[#This Row],[Centro de Costo]]=Tabla19[Centro de Costo])*(Tabla19[Superficie])*(Producción_Ganadera[[#This Row],[Campaña]]=Tabla19[Campaña]))</f>
        <v>0</v>
      </c>
      <c r="AS231" s="918">
        <f>IFERROR(Producción_Ganadera[[#This Row],[Económico $Corrientes]]/Producción_Ganadera[[#This Row],[Superficie]],0)</f>
        <v>0</v>
      </c>
      <c r="AT231" s="918">
        <f>IFERROR(Producción_Ganadera[[#This Row],[Económico $Constantes]]/Producción_Ganadera[[#This Row],[Superficie]],0)</f>
        <v>0</v>
      </c>
      <c r="AU231" s="918">
        <f>IFERROR(Producción_Ganadera[[#This Row],[Económico U$S Dólares]]/Producción_Ganadera[[#This Row],[Superficie]],0)</f>
        <v>0</v>
      </c>
      <c r="AV231" s="916" t="str">
        <f>IF(Económico!$F$4=0,0,Producción_Ganadera[[#This Row],[Centro de Costo]])</f>
        <v>Campo 2</v>
      </c>
    </row>
    <row r="232" spans="2:48" x14ac:dyDescent="0.25">
      <c r="D232" s="478">
        <f t="shared" si="14"/>
        <v>43556</v>
      </c>
      <c r="E232" s="522">
        <f>+Producción_Ganadera[[#This Row],[Fecha Económico]]+9</f>
        <v>43565</v>
      </c>
      <c r="F232" s="869" t="str">
        <f t="shared" si="15"/>
        <v>2018-2019</v>
      </c>
      <c r="G232" s="491" t="str">
        <f>GAN_Cargas_Sociales</f>
        <v>Cargas Sociales</v>
      </c>
      <c r="H232" s="491" t="s">
        <v>8</v>
      </c>
      <c r="I232" s="491"/>
      <c r="J232" s="549"/>
      <c r="K232" s="491"/>
      <c r="L232" s="520"/>
      <c r="M23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3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32" s="611"/>
      <c r="P232" s="484"/>
      <c r="Q232" s="875">
        <f>IF(ISNUMBER(Producción_Ganadera[[#This Row],[Cabezas]])=TRUE,Producción_Ganadera[[#This Row],[Cabezas]]*Producción_Ganadera[[#This Row],[Cantidad]],Producción_Ganadera[[#This Row],[Cantidad]])</f>
        <v>0</v>
      </c>
      <c r="R232" s="482"/>
      <c r="S232" s="552" t="s">
        <v>48</v>
      </c>
      <c r="T232" s="553"/>
      <c r="U23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32" s="881">
        <f>IFERROR(Producción_Ganadera[[#This Row],[Económico $Corrientes]]/Producción_Ganadera[[#This Row],[Indexación Económico]],0)</f>
        <v>0</v>
      </c>
      <c r="W23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3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32" s="881">
        <f>IFERROR(Producción_Ganadera[[#This Row],[Financiero $Corrientes]]/Producción_Ganadera[[#This Row],[Indexación Financiero]],0)</f>
        <v>0</v>
      </c>
      <c r="Z23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3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32" s="885">
        <f>IFERROR(Producción_Ganadera[[#This Row],[Intereses $Corrientes]]/Producción_Ganadera[[#This Row],[Indexación Financiero]],0)</f>
        <v>0</v>
      </c>
      <c r="AC23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32" s="915" t="str">
        <f>IFERROR(INDEX(Produccion_Ganadera_Cuentas[],MATCH(Producción_Ganadera[[#This Row],[Cuenta Contable]],Produccion_Ganadera_Cuentas[Cuenta Contable],0),2),0)</f>
        <v>Egreso</v>
      </c>
      <c r="AE232" s="916">
        <f>IF(Producción_Ganadera[[#This Row],[Mov. Stock]]="(+)",Producción_Ganadera[[#This Row],[Cabezas]],IF(Producción_Ganadera[[#This Row],[Mov. Stock]]="(-)",-Producción_Ganadera[[#This Row],[Cabezas]],0))</f>
        <v>0</v>
      </c>
      <c r="AF232" s="917">
        <f>IFERROR(INDEX(Produccion_Ganadera_Cuentas[],MATCH(Producción_Ganadera[[#This Row],[Cuenta Contable]],Produccion_Ganadera_Cuentas[Cuenta Contable],0),5),0)</f>
        <v>0</v>
      </c>
      <c r="AG232" s="918" t="str">
        <f>IF(Producción_Ganadera[[#This Row],[Cuenta Contable]]=Configuración!$AC$9,"Si","No")</f>
        <v>No</v>
      </c>
      <c r="AH232" s="887" t="str">
        <f>IFERROR(INDEX(Tabla9[],MATCH(Producción_Ganadera[[#This Row],[Movimiento]],Tabla9[Movimientos],0),2),0)</f>
        <v>Si</v>
      </c>
      <c r="AI232" s="888" t="str">
        <f>IFERROR(INDEX(Tabla9[],MATCH(Producción_Ganadera[[#This Row],[Movimiento]],Tabla9[Movimientos],0),3),0)</f>
        <v>(-)</v>
      </c>
      <c r="AJ232" s="885">
        <f>IF(Producción_Ganadera[[#This Row],[Fecha Económico]]=0,0,MONTH(Producción_Ganadera[[#This Row],[Fecha Económico]]))</f>
        <v>4</v>
      </c>
      <c r="AK232" s="885">
        <f>IF(Producción_Ganadera[[#This Row],[Fecha Económico]]=0,0,YEAR(Producción_Ganadera[[#This Row],[Fecha Económico]]))</f>
        <v>2019</v>
      </c>
      <c r="AL232" s="889">
        <f>SUMPRODUCT((Producción_Ganadera[[#This Row],[Mes Económico]]=Tipo_Cambio[Mes])*(Producción_Ganadera[[#This Row],[Año Económico]]=Tipo_Cambio[Año])*(Tipo_Cambio[$/U$S]))</f>
        <v>24.061075999055937</v>
      </c>
      <c r="AM232" s="889">
        <f>SUMPRODUCT((Producción_Ganadera[[#This Row],[Mes Económico]]=Tipo_Cambio[Mes])*(Producción_Ganadera[[#This Row],[Año Económico]]=Tipo_Cambio[Año])*(Tipo_Cambio[Actualización]))</f>
        <v>1.1950925686223111</v>
      </c>
      <c r="AN232" s="885">
        <f>IF(ISNUMBER(Producción_Ganadera[[#This Row],[Fecha Financiero]])=TRUE,MONTH(Producción_Ganadera[[#This Row],[Fecha Financiero]]),0)</f>
        <v>4</v>
      </c>
      <c r="AO232" s="885">
        <f>IF(ISNUMBER(Producción_Ganadera[[#This Row],[Fecha Financiero]])=TRUE,YEAR(Producción_Ganadera[[#This Row],[Fecha Financiero]]),0)</f>
        <v>2019</v>
      </c>
      <c r="AP232" s="889">
        <f>SUMPRODUCT((Producción_Ganadera[[#This Row],[Mes Financiero]]=Tipo_Cambio[Mes])*(Producción_Ganadera[[#This Row],[Año Financiero]]=Tipo_Cambio[Año])*(Tipo_Cambio[$/U$S]))</f>
        <v>24.061075999055937</v>
      </c>
      <c r="AQ232" s="889">
        <f>SUMPRODUCT((Producción_Ganadera[[#This Row],[Mes Financiero]]=Tipo_Cambio[Mes])*(Producción_Ganadera[[#This Row],[Año Financiero]]=Tipo_Cambio[Año])*(Tipo_Cambio[Actualización]))</f>
        <v>1.1950925686223111</v>
      </c>
      <c r="AR232" s="919">
        <f>SUMPRODUCT((Producción_Ganadera[[#This Row],[Centro de Costo]]=Tabla19[Centro de Costo])*(Tabla19[Superficie])*(Producción_Ganadera[[#This Row],[Campaña]]=Tabla19[Campaña]))</f>
        <v>0</v>
      </c>
      <c r="AS232" s="918">
        <f>IFERROR(Producción_Ganadera[[#This Row],[Económico $Corrientes]]/Producción_Ganadera[[#This Row],[Superficie]],0)</f>
        <v>0</v>
      </c>
      <c r="AT232" s="918">
        <f>IFERROR(Producción_Ganadera[[#This Row],[Económico $Constantes]]/Producción_Ganadera[[#This Row],[Superficie]],0)</f>
        <v>0</v>
      </c>
      <c r="AU232" s="918">
        <f>IFERROR(Producción_Ganadera[[#This Row],[Económico U$S Dólares]]/Producción_Ganadera[[#This Row],[Superficie]],0)</f>
        <v>0</v>
      </c>
      <c r="AV232" s="916" t="str">
        <f>IF(Económico!$F$4=0,0,Producción_Ganadera[[#This Row],[Centro de Costo]])</f>
        <v>Campo 2</v>
      </c>
    </row>
    <row r="233" spans="2:48" x14ac:dyDescent="0.25">
      <c r="D233" s="478">
        <f t="shared" si="14"/>
        <v>43556</v>
      </c>
      <c r="E233" s="522">
        <f>+Producción_Ganadera[[#This Row],[Fecha Económico]]+9</f>
        <v>43565</v>
      </c>
      <c r="F233" s="869" t="str">
        <f t="shared" si="15"/>
        <v>2018-2019</v>
      </c>
      <c r="G233" s="491" t="str">
        <f>GAN_Manutención_Personal</f>
        <v>Manutención Personal</v>
      </c>
      <c r="H233" s="491" t="s">
        <v>8</v>
      </c>
      <c r="I233" s="491"/>
      <c r="J233" s="549"/>
      <c r="K233" s="491"/>
      <c r="L233" s="520"/>
      <c r="M23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3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33" s="611"/>
      <c r="P233" s="484"/>
      <c r="Q233" s="875">
        <f>IF(ISNUMBER(Producción_Ganadera[[#This Row],[Cabezas]])=TRUE,Producción_Ganadera[[#This Row],[Cabezas]]*Producción_Ganadera[[#This Row],[Cantidad]],Producción_Ganadera[[#This Row],[Cantidad]])</f>
        <v>0</v>
      </c>
      <c r="R233" s="482"/>
      <c r="S233" s="552" t="s">
        <v>48</v>
      </c>
      <c r="T233" s="553"/>
      <c r="U23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33" s="881">
        <f>IFERROR(Producción_Ganadera[[#This Row],[Económico $Corrientes]]/Producción_Ganadera[[#This Row],[Indexación Económico]],0)</f>
        <v>0</v>
      </c>
      <c r="W23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3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33" s="881">
        <f>IFERROR(Producción_Ganadera[[#This Row],[Financiero $Corrientes]]/Producción_Ganadera[[#This Row],[Indexación Financiero]],0)</f>
        <v>0</v>
      </c>
      <c r="Z23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3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33" s="885">
        <f>IFERROR(Producción_Ganadera[[#This Row],[Intereses $Corrientes]]/Producción_Ganadera[[#This Row],[Indexación Financiero]],0)</f>
        <v>0</v>
      </c>
      <c r="AC23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33" s="915" t="str">
        <f>IFERROR(INDEX(Produccion_Ganadera_Cuentas[],MATCH(Producción_Ganadera[[#This Row],[Cuenta Contable]],Produccion_Ganadera_Cuentas[Cuenta Contable],0),2),0)</f>
        <v>Egreso</v>
      </c>
      <c r="AE233" s="916">
        <f>IF(Producción_Ganadera[[#This Row],[Mov. Stock]]="(+)",Producción_Ganadera[[#This Row],[Cabezas]],IF(Producción_Ganadera[[#This Row],[Mov. Stock]]="(-)",-Producción_Ganadera[[#This Row],[Cabezas]],0))</f>
        <v>0</v>
      </c>
      <c r="AF233" s="917">
        <f>IFERROR(INDEX(Produccion_Ganadera_Cuentas[],MATCH(Producción_Ganadera[[#This Row],[Cuenta Contable]],Produccion_Ganadera_Cuentas[Cuenta Contable],0),5),0)</f>
        <v>0</v>
      </c>
      <c r="AG233" s="918" t="str">
        <f>IF(Producción_Ganadera[[#This Row],[Cuenta Contable]]=Configuración!$AC$9,"Si","No")</f>
        <v>No</v>
      </c>
      <c r="AH233" s="887" t="str">
        <f>IFERROR(INDEX(Tabla9[],MATCH(Producción_Ganadera[[#This Row],[Movimiento]],Tabla9[Movimientos],0),2),0)</f>
        <v>Si</v>
      </c>
      <c r="AI233" s="888" t="str">
        <f>IFERROR(INDEX(Tabla9[],MATCH(Producción_Ganadera[[#This Row],[Movimiento]],Tabla9[Movimientos],0),3),0)</f>
        <v>(-)</v>
      </c>
      <c r="AJ233" s="885">
        <f>IF(Producción_Ganadera[[#This Row],[Fecha Económico]]=0,0,MONTH(Producción_Ganadera[[#This Row],[Fecha Económico]]))</f>
        <v>4</v>
      </c>
      <c r="AK233" s="885">
        <f>IF(Producción_Ganadera[[#This Row],[Fecha Económico]]=0,0,YEAR(Producción_Ganadera[[#This Row],[Fecha Económico]]))</f>
        <v>2019</v>
      </c>
      <c r="AL233" s="889">
        <f>SUMPRODUCT((Producción_Ganadera[[#This Row],[Mes Económico]]=Tipo_Cambio[Mes])*(Producción_Ganadera[[#This Row],[Año Económico]]=Tipo_Cambio[Año])*(Tipo_Cambio[$/U$S]))</f>
        <v>24.061075999055937</v>
      </c>
      <c r="AM233" s="889">
        <f>SUMPRODUCT((Producción_Ganadera[[#This Row],[Mes Económico]]=Tipo_Cambio[Mes])*(Producción_Ganadera[[#This Row],[Año Económico]]=Tipo_Cambio[Año])*(Tipo_Cambio[Actualización]))</f>
        <v>1.1950925686223111</v>
      </c>
      <c r="AN233" s="885">
        <f>IF(ISNUMBER(Producción_Ganadera[[#This Row],[Fecha Financiero]])=TRUE,MONTH(Producción_Ganadera[[#This Row],[Fecha Financiero]]),0)</f>
        <v>4</v>
      </c>
      <c r="AO233" s="885">
        <f>IF(ISNUMBER(Producción_Ganadera[[#This Row],[Fecha Financiero]])=TRUE,YEAR(Producción_Ganadera[[#This Row],[Fecha Financiero]]),0)</f>
        <v>2019</v>
      </c>
      <c r="AP233" s="889">
        <f>SUMPRODUCT((Producción_Ganadera[[#This Row],[Mes Financiero]]=Tipo_Cambio[Mes])*(Producción_Ganadera[[#This Row],[Año Financiero]]=Tipo_Cambio[Año])*(Tipo_Cambio[$/U$S]))</f>
        <v>24.061075999055937</v>
      </c>
      <c r="AQ233" s="889">
        <f>SUMPRODUCT((Producción_Ganadera[[#This Row],[Mes Financiero]]=Tipo_Cambio[Mes])*(Producción_Ganadera[[#This Row],[Año Financiero]]=Tipo_Cambio[Año])*(Tipo_Cambio[Actualización]))</f>
        <v>1.1950925686223111</v>
      </c>
      <c r="AR233" s="919">
        <f>SUMPRODUCT((Producción_Ganadera[[#This Row],[Centro de Costo]]=Tabla19[Centro de Costo])*(Tabla19[Superficie])*(Producción_Ganadera[[#This Row],[Campaña]]=Tabla19[Campaña]))</f>
        <v>0</v>
      </c>
      <c r="AS233" s="918">
        <f>IFERROR(Producción_Ganadera[[#This Row],[Económico $Corrientes]]/Producción_Ganadera[[#This Row],[Superficie]],0)</f>
        <v>0</v>
      </c>
      <c r="AT233" s="918">
        <f>IFERROR(Producción_Ganadera[[#This Row],[Económico $Constantes]]/Producción_Ganadera[[#This Row],[Superficie]],0)</f>
        <v>0</v>
      </c>
      <c r="AU233" s="918">
        <f>IFERROR(Producción_Ganadera[[#This Row],[Económico U$S Dólares]]/Producción_Ganadera[[#This Row],[Superficie]],0)</f>
        <v>0</v>
      </c>
      <c r="AV233" s="916" t="str">
        <f>IF(Económico!$F$4=0,0,Producción_Ganadera[[#This Row],[Centro de Costo]])</f>
        <v>Campo 2</v>
      </c>
    </row>
    <row r="234" spans="2:48" x14ac:dyDescent="0.25">
      <c r="D234" s="478">
        <f t="shared" si="14"/>
        <v>43586</v>
      </c>
      <c r="E234" s="522">
        <f>+Producción_Ganadera[[#This Row],[Fecha Económico]]+9</f>
        <v>43595</v>
      </c>
      <c r="F234" s="869" t="str">
        <f t="shared" si="15"/>
        <v>2018-2019</v>
      </c>
      <c r="G234" s="491" t="str">
        <f>GAN_Personal</f>
        <v>Personal</v>
      </c>
      <c r="H234" s="491" t="s">
        <v>8</v>
      </c>
      <c r="I234" s="491"/>
      <c r="J234" s="549"/>
      <c r="K234" s="491"/>
      <c r="L234" s="520"/>
      <c r="M23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3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34" s="611"/>
      <c r="P234" s="484"/>
      <c r="Q234" s="875">
        <f>IF(ISNUMBER(Producción_Ganadera[[#This Row],[Cabezas]])=TRUE,Producción_Ganadera[[#This Row],[Cabezas]]*Producción_Ganadera[[#This Row],[Cantidad]],Producción_Ganadera[[#This Row],[Cantidad]])</f>
        <v>0</v>
      </c>
      <c r="R234" s="482"/>
      <c r="S234" s="552" t="s">
        <v>48</v>
      </c>
      <c r="T234" s="553"/>
      <c r="U23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34" s="881">
        <f>IFERROR(Producción_Ganadera[[#This Row],[Económico $Corrientes]]/Producción_Ganadera[[#This Row],[Indexación Económico]],0)</f>
        <v>0</v>
      </c>
      <c r="W23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3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34" s="881">
        <f>IFERROR(Producción_Ganadera[[#This Row],[Financiero $Corrientes]]/Producción_Ganadera[[#This Row],[Indexación Financiero]],0)</f>
        <v>0</v>
      </c>
      <c r="Z23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3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34" s="885">
        <f>IFERROR(Producción_Ganadera[[#This Row],[Intereses $Corrientes]]/Producción_Ganadera[[#This Row],[Indexación Financiero]],0)</f>
        <v>0</v>
      </c>
      <c r="AC23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34" s="915" t="str">
        <f>IFERROR(INDEX(Produccion_Ganadera_Cuentas[],MATCH(Producción_Ganadera[[#This Row],[Cuenta Contable]],Produccion_Ganadera_Cuentas[Cuenta Contable],0),2),0)</f>
        <v>Egreso</v>
      </c>
      <c r="AE234" s="916">
        <f>IF(Producción_Ganadera[[#This Row],[Mov. Stock]]="(+)",Producción_Ganadera[[#This Row],[Cabezas]],IF(Producción_Ganadera[[#This Row],[Mov. Stock]]="(-)",-Producción_Ganadera[[#This Row],[Cabezas]],0))</f>
        <v>0</v>
      </c>
      <c r="AF234" s="917">
        <f>IFERROR(INDEX(Produccion_Ganadera_Cuentas[],MATCH(Producción_Ganadera[[#This Row],[Cuenta Contable]],Produccion_Ganadera_Cuentas[Cuenta Contable],0),5),0)</f>
        <v>0</v>
      </c>
      <c r="AG234" s="918" t="str">
        <f>IF(Producción_Ganadera[[#This Row],[Cuenta Contable]]=Configuración!$AC$9,"Si","No")</f>
        <v>No</v>
      </c>
      <c r="AH234" s="887" t="str">
        <f>IFERROR(INDEX(Tabla9[],MATCH(Producción_Ganadera[[#This Row],[Movimiento]],Tabla9[Movimientos],0),2),0)</f>
        <v>Si</v>
      </c>
      <c r="AI234" s="888" t="str">
        <f>IFERROR(INDEX(Tabla9[],MATCH(Producción_Ganadera[[#This Row],[Movimiento]],Tabla9[Movimientos],0),3),0)</f>
        <v>(-)</v>
      </c>
      <c r="AJ234" s="885">
        <f>IF(Producción_Ganadera[[#This Row],[Fecha Económico]]=0,0,MONTH(Producción_Ganadera[[#This Row],[Fecha Económico]]))</f>
        <v>5</v>
      </c>
      <c r="AK234" s="885">
        <f>IF(Producción_Ganadera[[#This Row],[Fecha Económico]]=0,0,YEAR(Producción_Ganadera[[#This Row],[Fecha Económico]]))</f>
        <v>2019</v>
      </c>
      <c r="AL234" s="889">
        <f>SUMPRODUCT((Producción_Ganadera[[#This Row],[Mes Económico]]=Tipo_Cambio[Mes])*(Producción_Ganadera[[#This Row],[Año Económico]]=Tipo_Cambio[Año])*(Tipo_Cambio[$/U$S]))</f>
        <v>24.301686759046497</v>
      </c>
      <c r="AM234" s="889">
        <f>SUMPRODUCT((Producción_Ganadera[[#This Row],[Mes Económico]]=Tipo_Cambio[Mes])*(Producción_Ganadera[[#This Row],[Año Económico]]=Tipo_Cambio[Año])*(Tipo_Cambio[Actualización]))</f>
        <v>1.2189944199947573</v>
      </c>
      <c r="AN234" s="885">
        <f>IF(ISNUMBER(Producción_Ganadera[[#This Row],[Fecha Financiero]])=TRUE,MONTH(Producción_Ganadera[[#This Row],[Fecha Financiero]]),0)</f>
        <v>5</v>
      </c>
      <c r="AO234" s="885">
        <f>IF(ISNUMBER(Producción_Ganadera[[#This Row],[Fecha Financiero]])=TRUE,YEAR(Producción_Ganadera[[#This Row],[Fecha Financiero]]),0)</f>
        <v>2019</v>
      </c>
      <c r="AP234" s="889">
        <f>SUMPRODUCT((Producción_Ganadera[[#This Row],[Mes Financiero]]=Tipo_Cambio[Mes])*(Producción_Ganadera[[#This Row],[Año Financiero]]=Tipo_Cambio[Año])*(Tipo_Cambio[$/U$S]))</f>
        <v>24.301686759046497</v>
      </c>
      <c r="AQ234" s="889">
        <f>SUMPRODUCT((Producción_Ganadera[[#This Row],[Mes Financiero]]=Tipo_Cambio[Mes])*(Producción_Ganadera[[#This Row],[Año Financiero]]=Tipo_Cambio[Año])*(Tipo_Cambio[Actualización]))</f>
        <v>1.2189944199947573</v>
      </c>
      <c r="AR234" s="919">
        <f>SUMPRODUCT((Producción_Ganadera[[#This Row],[Centro de Costo]]=Tabla19[Centro de Costo])*(Tabla19[Superficie])*(Producción_Ganadera[[#This Row],[Campaña]]=Tabla19[Campaña]))</f>
        <v>0</v>
      </c>
      <c r="AS234" s="918">
        <f>IFERROR(Producción_Ganadera[[#This Row],[Económico $Corrientes]]/Producción_Ganadera[[#This Row],[Superficie]],0)</f>
        <v>0</v>
      </c>
      <c r="AT234" s="918">
        <f>IFERROR(Producción_Ganadera[[#This Row],[Económico $Constantes]]/Producción_Ganadera[[#This Row],[Superficie]],0)</f>
        <v>0</v>
      </c>
      <c r="AU234" s="918">
        <f>IFERROR(Producción_Ganadera[[#This Row],[Económico U$S Dólares]]/Producción_Ganadera[[#This Row],[Superficie]],0)</f>
        <v>0</v>
      </c>
      <c r="AV234" s="916" t="str">
        <f>IF(Económico!$F$4=0,0,Producción_Ganadera[[#This Row],[Centro de Costo]])</f>
        <v>Campo 2</v>
      </c>
    </row>
    <row r="235" spans="2:48" x14ac:dyDescent="0.25">
      <c r="D235" s="478">
        <f t="shared" si="14"/>
        <v>43586</v>
      </c>
      <c r="E235" s="522">
        <f>+Producción_Ganadera[[#This Row],[Fecha Económico]]+9</f>
        <v>43595</v>
      </c>
      <c r="F235" s="869" t="str">
        <f t="shared" si="15"/>
        <v>2018-2019</v>
      </c>
      <c r="G235" s="491" t="str">
        <f>GAN_Cargas_Sociales</f>
        <v>Cargas Sociales</v>
      </c>
      <c r="H235" s="491" t="s">
        <v>8</v>
      </c>
      <c r="I235" s="491"/>
      <c r="J235" s="549"/>
      <c r="K235" s="491"/>
      <c r="L235" s="520"/>
      <c r="M23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3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35" s="611"/>
      <c r="P235" s="484"/>
      <c r="Q235" s="875">
        <f>IF(ISNUMBER(Producción_Ganadera[[#This Row],[Cabezas]])=TRUE,Producción_Ganadera[[#This Row],[Cabezas]]*Producción_Ganadera[[#This Row],[Cantidad]],Producción_Ganadera[[#This Row],[Cantidad]])</f>
        <v>0</v>
      </c>
      <c r="R235" s="482"/>
      <c r="S235" s="552" t="s">
        <v>48</v>
      </c>
      <c r="T235" s="553"/>
      <c r="U23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35" s="881">
        <f>IFERROR(Producción_Ganadera[[#This Row],[Económico $Corrientes]]/Producción_Ganadera[[#This Row],[Indexación Económico]],0)</f>
        <v>0</v>
      </c>
      <c r="W23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3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35" s="881">
        <f>IFERROR(Producción_Ganadera[[#This Row],[Financiero $Corrientes]]/Producción_Ganadera[[#This Row],[Indexación Financiero]],0)</f>
        <v>0</v>
      </c>
      <c r="Z23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3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35" s="885">
        <f>IFERROR(Producción_Ganadera[[#This Row],[Intereses $Corrientes]]/Producción_Ganadera[[#This Row],[Indexación Financiero]],0)</f>
        <v>0</v>
      </c>
      <c r="AC23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35" s="915" t="str">
        <f>IFERROR(INDEX(Produccion_Ganadera_Cuentas[],MATCH(Producción_Ganadera[[#This Row],[Cuenta Contable]],Produccion_Ganadera_Cuentas[Cuenta Contable],0),2),0)</f>
        <v>Egreso</v>
      </c>
      <c r="AE235" s="916">
        <f>IF(Producción_Ganadera[[#This Row],[Mov. Stock]]="(+)",Producción_Ganadera[[#This Row],[Cabezas]],IF(Producción_Ganadera[[#This Row],[Mov. Stock]]="(-)",-Producción_Ganadera[[#This Row],[Cabezas]],0))</f>
        <v>0</v>
      </c>
      <c r="AF235" s="917">
        <f>IFERROR(INDEX(Produccion_Ganadera_Cuentas[],MATCH(Producción_Ganadera[[#This Row],[Cuenta Contable]],Produccion_Ganadera_Cuentas[Cuenta Contable],0),5),0)</f>
        <v>0</v>
      </c>
      <c r="AG235" s="918" t="str">
        <f>IF(Producción_Ganadera[[#This Row],[Cuenta Contable]]=Configuración!$AC$9,"Si","No")</f>
        <v>No</v>
      </c>
      <c r="AH235" s="887" t="str">
        <f>IFERROR(INDEX(Tabla9[],MATCH(Producción_Ganadera[[#This Row],[Movimiento]],Tabla9[Movimientos],0),2),0)</f>
        <v>Si</v>
      </c>
      <c r="AI235" s="888" t="str">
        <f>IFERROR(INDEX(Tabla9[],MATCH(Producción_Ganadera[[#This Row],[Movimiento]],Tabla9[Movimientos],0),3),0)</f>
        <v>(-)</v>
      </c>
      <c r="AJ235" s="885">
        <f>IF(Producción_Ganadera[[#This Row],[Fecha Económico]]=0,0,MONTH(Producción_Ganadera[[#This Row],[Fecha Económico]]))</f>
        <v>5</v>
      </c>
      <c r="AK235" s="885">
        <f>IF(Producción_Ganadera[[#This Row],[Fecha Económico]]=0,0,YEAR(Producción_Ganadera[[#This Row],[Fecha Económico]]))</f>
        <v>2019</v>
      </c>
      <c r="AL235" s="889">
        <f>SUMPRODUCT((Producción_Ganadera[[#This Row],[Mes Económico]]=Tipo_Cambio[Mes])*(Producción_Ganadera[[#This Row],[Año Económico]]=Tipo_Cambio[Año])*(Tipo_Cambio[$/U$S]))</f>
        <v>24.301686759046497</v>
      </c>
      <c r="AM235" s="889">
        <f>SUMPRODUCT((Producción_Ganadera[[#This Row],[Mes Económico]]=Tipo_Cambio[Mes])*(Producción_Ganadera[[#This Row],[Año Económico]]=Tipo_Cambio[Año])*(Tipo_Cambio[Actualización]))</f>
        <v>1.2189944199947573</v>
      </c>
      <c r="AN235" s="885">
        <f>IF(ISNUMBER(Producción_Ganadera[[#This Row],[Fecha Financiero]])=TRUE,MONTH(Producción_Ganadera[[#This Row],[Fecha Financiero]]),0)</f>
        <v>5</v>
      </c>
      <c r="AO235" s="885">
        <f>IF(ISNUMBER(Producción_Ganadera[[#This Row],[Fecha Financiero]])=TRUE,YEAR(Producción_Ganadera[[#This Row],[Fecha Financiero]]),0)</f>
        <v>2019</v>
      </c>
      <c r="AP235" s="889">
        <f>SUMPRODUCT((Producción_Ganadera[[#This Row],[Mes Financiero]]=Tipo_Cambio[Mes])*(Producción_Ganadera[[#This Row],[Año Financiero]]=Tipo_Cambio[Año])*(Tipo_Cambio[$/U$S]))</f>
        <v>24.301686759046497</v>
      </c>
      <c r="AQ235" s="889">
        <f>SUMPRODUCT((Producción_Ganadera[[#This Row],[Mes Financiero]]=Tipo_Cambio[Mes])*(Producción_Ganadera[[#This Row],[Año Financiero]]=Tipo_Cambio[Año])*(Tipo_Cambio[Actualización]))</f>
        <v>1.2189944199947573</v>
      </c>
      <c r="AR235" s="919">
        <f>SUMPRODUCT((Producción_Ganadera[[#This Row],[Centro de Costo]]=Tabla19[Centro de Costo])*(Tabla19[Superficie])*(Producción_Ganadera[[#This Row],[Campaña]]=Tabla19[Campaña]))</f>
        <v>0</v>
      </c>
      <c r="AS235" s="918">
        <f>IFERROR(Producción_Ganadera[[#This Row],[Económico $Corrientes]]/Producción_Ganadera[[#This Row],[Superficie]],0)</f>
        <v>0</v>
      </c>
      <c r="AT235" s="918">
        <f>IFERROR(Producción_Ganadera[[#This Row],[Económico $Constantes]]/Producción_Ganadera[[#This Row],[Superficie]],0)</f>
        <v>0</v>
      </c>
      <c r="AU235" s="918">
        <f>IFERROR(Producción_Ganadera[[#This Row],[Económico U$S Dólares]]/Producción_Ganadera[[#This Row],[Superficie]],0)</f>
        <v>0</v>
      </c>
      <c r="AV235" s="916" t="str">
        <f>IF(Económico!$F$4=0,0,Producción_Ganadera[[#This Row],[Centro de Costo]])</f>
        <v>Campo 2</v>
      </c>
    </row>
    <row r="236" spans="2:48" x14ac:dyDescent="0.25">
      <c r="D236" s="478">
        <f t="shared" si="14"/>
        <v>43586</v>
      </c>
      <c r="E236" s="522">
        <f>+Producción_Ganadera[[#This Row],[Fecha Económico]]+9</f>
        <v>43595</v>
      </c>
      <c r="F236" s="869" t="str">
        <f t="shared" si="15"/>
        <v>2018-2019</v>
      </c>
      <c r="G236" s="491" t="str">
        <f>GAN_Manutención_Personal</f>
        <v>Manutención Personal</v>
      </c>
      <c r="H236" s="491" t="s">
        <v>8</v>
      </c>
      <c r="I236" s="491"/>
      <c r="J236" s="549"/>
      <c r="K236" s="491"/>
      <c r="L236" s="520"/>
      <c r="M23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3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36" s="611"/>
      <c r="P236" s="484"/>
      <c r="Q236" s="875">
        <f>IF(ISNUMBER(Producción_Ganadera[[#This Row],[Cabezas]])=TRUE,Producción_Ganadera[[#This Row],[Cabezas]]*Producción_Ganadera[[#This Row],[Cantidad]],Producción_Ganadera[[#This Row],[Cantidad]])</f>
        <v>0</v>
      </c>
      <c r="R236" s="482"/>
      <c r="S236" s="552" t="s">
        <v>48</v>
      </c>
      <c r="T236" s="553"/>
      <c r="U23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36" s="881">
        <f>IFERROR(Producción_Ganadera[[#This Row],[Económico $Corrientes]]/Producción_Ganadera[[#This Row],[Indexación Económico]],0)</f>
        <v>0</v>
      </c>
      <c r="W23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3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36" s="881">
        <f>IFERROR(Producción_Ganadera[[#This Row],[Financiero $Corrientes]]/Producción_Ganadera[[#This Row],[Indexación Financiero]],0)</f>
        <v>0</v>
      </c>
      <c r="Z23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3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36" s="885">
        <f>IFERROR(Producción_Ganadera[[#This Row],[Intereses $Corrientes]]/Producción_Ganadera[[#This Row],[Indexación Financiero]],0)</f>
        <v>0</v>
      </c>
      <c r="AC23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36" s="915" t="str">
        <f>IFERROR(INDEX(Produccion_Ganadera_Cuentas[],MATCH(Producción_Ganadera[[#This Row],[Cuenta Contable]],Produccion_Ganadera_Cuentas[Cuenta Contable],0),2),0)</f>
        <v>Egreso</v>
      </c>
      <c r="AE236" s="916">
        <f>IF(Producción_Ganadera[[#This Row],[Mov. Stock]]="(+)",Producción_Ganadera[[#This Row],[Cabezas]],IF(Producción_Ganadera[[#This Row],[Mov. Stock]]="(-)",-Producción_Ganadera[[#This Row],[Cabezas]],0))</f>
        <v>0</v>
      </c>
      <c r="AF236" s="917">
        <f>IFERROR(INDEX(Produccion_Ganadera_Cuentas[],MATCH(Producción_Ganadera[[#This Row],[Cuenta Contable]],Produccion_Ganadera_Cuentas[Cuenta Contable],0),5),0)</f>
        <v>0</v>
      </c>
      <c r="AG236" s="918" t="str">
        <f>IF(Producción_Ganadera[[#This Row],[Cuenta Contable]]=Configuración!$AC$9,"Si","No")</f>
        <v>No</v>
      </c>
      <c r="AH236" s="887" t="str">
        <f>IFERROR(INDEX(Tabla9[],MATCH(Producción_Ganadera[[#This Row],[Movimiento]],Tabla9[Movimientos],0),2),0)</f>
        <v>Si</v>
      </c>
      <c r="AI236" s="888" t="str">
        <f>IFERROR(INDEX(Tabla9[],MATCH(Producción_Ganadera[[#This Row],[Movimiento]],Tabla9[Movimientos],0),3),0)</f>
        <v>(-)</v>
      </c>
      <c r="AJ236" s="885">
        <f>IF(Producción_Ganadera[[#This Row],[Fecha Económico]]=0,0,MONTH(Producción_Ganadera[[#This Row],[Fecha Económico]]))</f>
        <v>5</v>
      </c>
      <c r="AK236" s="885">
        <f>IF(Producción_Ganadera[[#This Row],[Fecha Económico]]=0,0,YEAR(Producción_Ganadera[[#This Row],[Fecha Económico]]))</f>
        <v>2019</v>
      </c>
      <c r="AL236" s="889">
        <f>SUMPRODUCT((Producción_Ganadera[[#This Row],[Mes Económico]]=Tipo_Cambio[Mes])*(Producción_Ganadera[[#This Row],[Año Económico]]=Tipo_Cambio[Año])*(Tipo_Cambio[$/U$S]))</f>
        <v>24.301686759046497</v>
      </c>
      <c r="AM236" s="889">
        <f>SUMPRODUCT((Producción_Ganadera[[#This Row],[Mes Económico]]=Tipo_Cambio[Mes])*(Producción_Ganadera[[#This Row],[Año Económico]]=Tipo_Cambio[Año])*(Tipo_Cambio[Actualización]))</f>
        <v>1.2189944199947573</v>
      </c>
      <c r="AN236" s="885">
        <f>IF(ISNUMBER(Producción_Ganadera[[#This Row],[Fecha Financiero]])=TRUE,MONTH(Producción_Ganadera[[#This Row],[Fecha Financiero]]),0)</f>
        <v>5</v>
      </c>
      <c r="AO236" s="885">
        <f>IF(ISNUMBER(Producción_Ganadera[[#This Row],[Fecha Financiero]])=TRUE,YEAR(Producción_Ganadera[[#This Row],[Fecha Financiero]]),0)</f>
        <v>2019</v>
      </c>
      <c r="AP236" s="889">
        <f>SUMPRODUCT((Producción_Ganadera[[#This Row],[Mes Financiero]]=Tipo_Cambio[Mes])*(Producción_Ganadera[[#This Row],[Año Financiero]]=Tipo_Cambio[Año])*(Tipo_Cambio[$/U$S]))</f>
        <v>24.301686759046497</v>
      </c>
      <c r="AQ236" s="889">
        <f>SUMPRODUCT((Producción_Ganadera[[#This Row],[Mes Financiero]]=Tipo_Cambio[Mes])*(Producción_Ganadera[[#This Row],[Año Financiero]]=Tipo_Cambio[Año])*(Tipo_Cambio[Actualización]))</f>
        <v>1.2189944199947573</v>
      </c>
      <c r="AR236" s="919">
        <f>SUMPRODUCT((Producción_Ganadera[[#This Row],[Centro de Costo]]=Tabla19[Centro de Costo])*(Tabla19[Superficie])*(Producción_Ganadera[[#This Row],[Campaña]]=Tabla19[Campaña]))</f>
        <v>0</v>
      </c>
      <c r="AS236" s="918">
        <f>IFERROR(Producción_Ganadera[[#This Row],[Económico $Corrientes]]/Producción_Ganadera[[#This Row],[Superficie]],0)</f>
        <v>0</v>
      </c>
      <c r="AT236" s="918">
        <f>IFERROR(Producción_Ganadera[[#This Row],[Económico $Constantes]]/Producción_Ganadera[[#This Row],[Superficie]],0)</f>
        <v>0</v>
      </c>
      <c r="AU236" s="918">
        <f>IFERROR(Producción_Ganadera[[#This Row],[Económico U$S Dólares]]/Producción_Ganadera[[#This Row],[Superficie]],0)</f>
        <v>0</v>
      </c>
      <c r="AV236" s="916" t="str">
        <f>IF(Económico!$F$4=0,0,Producción_Ganadera[[#This Row],[Centro de Costo]])</f>
        <v>Campo 2</v>
      </c>
    </row>
    <row r="237" spans="2:48" x14ac:dyDescent="0.25">
      <c r="D237" s="478">
        <f t="shared" si="14"/>
        <v>43617</v>
      </c>
      <c r="E237" s="522">
        <f>+Producción_Ganadera[[#This Row],[Fecha Económico]]+9</f>
        <v>43626</v>
      </c>
      <c r="F237" s="869" t="str">
        <f t="shared" si="15"/>
        <v>2018-2019</v>
      </c>
      <c r="G237" s="491" t="str">
        <f>GAN_Personal</f>
        <v>Personal</v>
      </c>
      <c r="H237" s="491" t="s">
        <v>8</v>
      </c>
      <c r="I237" s="491"/>
      <c r="J237" s="549"/>
      <c r="K237" s="491"/>
      <c r="L237" s="520"/>
      <c r="M23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3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37" s="611"/>
      <c r="P237" s="484"/>
      <c r="Q237" s="875">
        <f>IF(ISNUMBER(Producción_Ganadera[[#This Row],[Cabezas]])=TRUE,Producción_Ganadera[[#This Row],[Cabezas]]*Producción_Ganadera[[#This Row],[Cantidad]],Producción_Ganadera[[#This Row],[Cantidad]])</f>
        <v>0</v>
      </c>
      <c r="R237" s="482"/>
      <c r="S237" s="552" t="s">
        <v>48</v>
      </c>
      <c r="T237" s="553"/>
      <c r="U23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37" s="881">
        <f>IFERROR(Producción_Ganadera[[#This Row],[Económico $Corrientes]]/Producción_Ganadera[[#This Row],[Indexación Económico]],0)</f>
        <v>0</v>
      </c>
      <c r="W23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3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37" s="881">
        <f>IFERROR(Producción_Ganadera[[#This Row],[Financiero $Corrientes]]/Producción_Ganadera[[#This Row],[Indexación Financiero]],0)</f>
        <v>0</v>
      </c>
      <c r="Z23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3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37" s="885">
        <f>IFERROR(Producción_Ganadera[[#This Row],[Intereses $Corrientes]]/Producción_Ganadera[[#This Row],[Indexación Financiero]],0)</f>
        <v>0</v>
      </c>
      <c r="AC23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37" s="915" t="str">
        <f>IFERROR(INDEX(Produccion_Ganadera_Cuentas[],MATCH(Producción_Ganadera[[#This Row],[Cuenta Contable]],Produccion_Ganadera_Cuentas[Cuenta Contable],0),2),0)</f>
        <v>Egreso</v>
      </c>
      <c r="AE237" s="916">
        <f>IF(Producción_Ganadera[[#This Row],[Mov. Stock]]="(+)",Producción_Ganadera[[#This Row],[Cabezas]],IF(Producción_Ganadera[[#This Row],[Mov. Stock]]="(-)",-Producción_Ganadera[[#This Row],[Cabezas]],0))</f>
        <v>0</v>
      </c>
      <c r="AF237" s="917">
        <f>IFERROR(INDEX(Produccion_Ganadera_Cuentas[],MATCH(Producción_Ganadera[[#This Row],[Cuenta Contable]],Produccion_Ganadera_Cuentas[Cuenta Contable],0),5),0)</f>
        <v>0</v>
      </c>
      <c r="AG237" s="918" t="str">
        <f>IF(Producción_Ganadera[[#This Row],[Cuenta Contable]]=Configuración!$AC$9,"Si","No")</f>
        <v>No</v>
      </c>
      <c r="AH237" s="887" t="str">
        <f>IFERROR(INDEX(Tabla9[],MATCH(Producción_Ganadera[[#This Row],[Movimiento]],Tabla9[Movimientos],0),2),0)</f>
        <v>Si</v>
      </c>
      <c r="AI237" s="888" t="str">
        <f>IFERROR(INDEX(Tabla9[],MATCH(Producción_Ganadera[[#This Row],[Movimiento]],Tabla9[Movimientos],0),3),0)</f>
        <v>(-)</v>
      </c>
      <c r="AJ237" s="885">
        <f>IF(Producción_Ganadera[[#This Row],[Fecha Económico]]=0,0,MONTH(Producción_Ganadera[[#This Row],[Fecha Económico]]))</f>
        <v>6</v>
      </c>
      <c r="AK237" s="885">
        <f>IF(Producción_Ganadera[[#This Row],[Fecha Económico]]=0,0,YEAR(Producción_Ganadera[[#This Row],[Fecha Económico]]))</f>
        <v>2019</v>
      </c>
      <c r="AL237" s="889">
        <f>SUMPRODUCT((Producción_Ganadera[[#This Row],[Mes Económico]]=Tipo_Cambio[Mes])*(Producción_Ganadera[[#This Row],[Año Económico]]=Tipo_Cambio[Año])*(Tipo_Cambio[$/U$S]))</f>
        <v>24.544703626636963</v>
      </c>
      <c r="AM237" s="889">
        <f>SUMPRODUCT((Producción_Ganadera[[#This Row],[Mes Económico]]=Tipo_Cambio[Mes])*(Producción_Ganadera[[#This Row],[Año Económico]]=Tipo_Cambio[Año])*(Tipo_Cambio[Actualización]))</f>
        <v>1.2433743083946525</v>
      </c>
      <c r="AN237" s="885">
        <f>IF(ISNUMBER(Producción_Ganadera[[#This Row],[Fecha Financiero]])=TRUE,MONTH(Producción_Ganadera[[#This Row],[Fecha Financiero]]),0)</f>
        <v>6</v>
      </c>
      <c r="AO237" s="885">
        <f>IF(ISNUMBER(Producción_Ganadera[[#This Row],[Fecha Financiero]])=TRUE,YEAR(Producción_Ganadera[[#This Row],[Fecha Financiero]]),0)</f>
        <v>2019</v>
      </c>
      <c r="AP237" s="889">
        <f>SUMPRODUCT((Producción_Ganadera[[#This Row],[Mes Financiero]]=Tipo_Cambio[Mes])*(Producción_Ganadera[[#This Row],[Año Financiero]]=Tipo_Cambio[Año])*(Tipo_Cambio[$/U$S]))</f>
        <v>24.544703626636963</v>
      </c>
      <c r="AQ237" s="889">
        <f>SUMPRODUCT((Producción_Ganadera[[#This Row],[Mes Financiero]]=Tipo_Cambio[Mes])*(Producción_Ganadera[[#This Row],[Año Financiero]]=Tipo_Cambio[Año])*(Tipo_Cambio[Actualización]))</f>
        <v>1.2433743083946525</v>
      </c>
      <c r="AR237" s="919">
        <f>SUMPRODUCT((Producción_Ganadera[[#This Row],[Centro de Costo]]=Tabla19[Centro de Costo])*(Tabla19[Superficie])*(Producción_Ganadera[[#This Row],[Campaña]]=Tabla19[Campaña]))</f>
        <v>0</v>
      </c>
      <c r="AS237" s="918">
        <f>IFERROR(Producción_Ganadera[[#This Row],[Económico $Corrientes]]/Producción_Ganadera[[#This Row],[Superficie]],0)</f>
        <v>0</v>
      </c>
      <c r="AT237" s="918">
        <f>IFERROR(Producción_Ganadera[[#This Row],[Económico $Constantes]]/Producción_Ganadera[[#This Row],[Superficie]],0)</f>
        <v>0</v>
      </c>
      <c r="AU237" s="918">
        <f>IFERROR(Producción_Ganadera[[#This Row],[Económico U$S Dólares]]/Producción_Ganadera[[#This Row],[Superficie]],0)</f>
        <v>0</v>
      </c>
      <c r="AV237" s="916" t="str">
        <f>IF(Económico!$F$4=0,0,Producción_Ganadera[[#This Row],[Centro de Costo]])</f>
        <v>Campo 2</v>
      </c>
    </row>
    <row r="238" spans="2:48" x14ac:dyDescent="0.25">
      <c r="D238" s="478">
        <f t="shared" si="14"/>
        <v>43617</v>
      </c>
      <c r="E238" s="522">
        <f>+Producción_Ganadera[[#This Row],[Fecha Económico]]+9</f>
        <v>43626</v>
      </c>
      <c r="F238" s="869" t="str">
        <f t="shared" si="15"/>
        <v>2018-2019</v>
      </c>
      <c r="G238" s="491" t="str">
        <f>GAN_Cargas_Sociales</f>
        <v>Cargas Sociales</v>
      </c>
      <c r="H238" s="491" t="s">
        <v>8</v>
      </c>
      <c r="I238" s="491"/>
      <c r="J238" s="549"/>
      <c r="K238" s="491"/>
      <c r="L238" s="520"/>
      <c r="M23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3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38" s="611"/>
      <c r="P238" s="484"/>
      <c r="Q238" s="875">
        <f>IF(ISNUMBER(Producción_Ganadera[[#This Row],[Cabezas]])=TRUE,Producción_Ganadera[[#This Row],[Cabezas]]*Producción_Ganadera[[#This Row],[Cantidad]],Producción_Ganadera[[#This Row],[Cantidad]])</f>
        <v>0</v>
      </c>
      <c r="R238" s="482"/>
      <c r="S238" s="552" t="s">
        <v>48</v>
      </c>
      <c r="T238" s="553"/>
      <c r="U23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38" s="881">
        <f>IFERROR(Producción_Ganadera[[#This Row],[Económico $Corrientes]]/Producción_Ganadera[[#This Row],[Indexación Económico]],0)</f>
        <v>0</v>
      </c>
      <c r="W23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3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38" s="881">
        <f>IFERROR(Producción_Ganadera[[#This Row],[Financiero $Corrientes]]/Producción_Ganadera[[#This Row],[Indexación Financiero]],0)</f>
        <v>0</v>
      </c>
      <c r="Z23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3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38" s="885">
        <f>IFERROR(Producción_Ganadera[[#This Row],[Intereses $Corrientes]]/Producción_Ganadera[[#This Row],[Indexación Financiero]],0)</f>
        <v>0</v>
      </c>
      <c r="AC23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38" s="915" t="str">
        <f>IFERROR(INDEX(Produccion_Ganadera_Cuentas[],MATCH(Producción_Ganadera[[#This Row],[Cuenta Contable]],Produccion_Ganadera_Cuentas[Cuenta Contable],0),2),0)</f>
        <v>Egreso</v>
      </c>
      <c r="AE238" s="916">
        <f>IF(Producción_Ganadera[[#This Row],[Mov. Stock]]="(+)",Producción_Ganadera[[#This Row],[Cabezas]],IF(Producción_Ganadera[[#This Row],[Mov. Stock]]="(-)",-Producción_Ganadera[[#This Row],[Cabezas]],0))</f>
        <v>0</v>
      </c>
      <c r="AF238" s="917">
        <f>IFERROR(INDEX(Produccion_Ganadera_Cuentas[],MATCH(Producción_Ganadera[[#This Row],[Cuenta Contable]],Produccion_Ganadera_Cuentas[Cuenta Contable],0),5),0)</f>
        <v>0</v>
      </c>
      <c r="AG238" s="918" t="str">
        <f>IF(Producción_Ganadera[[#This Row],[Cuenta Contable]]=Configuración!$AC$9,"Si","No")</f>
        <v>No</v>
      </c>
      <c r="AH238" s="887" t="str">
        <f>IFERROR(INDEX(Tabla9[],MATCH(Producción_Ganadera[[#This Row],[Movimiento]],Tabla9[Movimientos],0),2),0)</f>
        <v>Si</v>
      </c>
      <c r="AI238" s="888" t="str">
        <f>IFERROR(INDEX(Tabla9[],MATCH(Producción_Ganadera[[#This Row],[Movimiento]],Tabla9[Movimientos],0),3),0)</f>
        <v>(-)</v>
      </c>
      <c r="AJ238" s="885">
        <f>IF(Producción_Ganadera[[#This Row],[Fecha Económico]]=0,0,MONTH(Producción_Ganadera[[#This Row],[Fecha Económico]]))</f>
        <v>6</v>
      </c>
      <c r="AK238" s="885">
        <f>IF(Producción_Ganadera[[#This Row],[Fecha Económico]]=0,0,YEAR(Producción_Ganadera[[#This Row],[Fecha Económico]]))</f>
        <v>2019</v>
      </c>
      <c r="AL238" s="889">
        <f>SUMPRODUCT((Producción_Ganadera[[#This Row],[Mes Económico]]=Tipo_Cambio[Mes])*(Producción_Ganadera[[#This Row],[Año Económico]]=Tipo_Cambio[Año])*(Tipo_Cambio[$/U$S]))</f>
        <v>24.544703626636963</v>
      </c>
      <c r="AM238" s="889">
        <f>SUMPRODUCT((Producción_Ganadera[[#This Row],[Mes Económico]]=Tipo_Cambio[Mes])*(Producción_Ganadera[[#This Row],[Año Económico]]=Tipo_Cambio[Año])*(Tipo_Cambio[Actualización]))</f>
        <v>1.2433743083946525</v>
      </c>
      <c r="AN238" s="885">
        <f>IF(ISNUMBER(Producción_Ganadera[[#This Row],[Fecha Financiero]])=TRUE,MONTH(Producción_Ganadera[[#This Row],[Fecha Financiero]]),0)</f>
        <v>6</v>
      </c>
      <c r="AO238" s="885">
        <f>IF(ISNUMBER(Producción_Ganadera[[#This Row],[Fecha Financiero]])=TRUE,YEAR(Producción_Ganadera[[#This Row],[Fecha Financiero]]),0)</f>
        <v>2019</v>
      </c>
      <c r="AP238" s="889">
        <f>SUMPRODUCT((Producción_Ganadera[[#This Row],[Mes Financiero]]=Tipo_Cambio[Mes])*(Producción_Ganadera[[#This Row],[Año Financiero]]=Tipo_Cambio[Año])*(Tipo_Cambio[$/U$S]))</f>
        <v>24.544703626636963</v>
      </c>
      <c r="AQ238" s="889">
        <f>SUMPRODUCT((Producción_Ganadera[[#This Row],[Mes Financiero]]=Tipo_Cambio[Mes])*(Producción_Ganadera[[#This Row],[Año Financiero]]=Tipo_Cambio[Año])*(Tipo_Cambio[Actualización]))</f>
        <v>1.2433743083946525</v>
      </c>
      <c r="AR238" s="919">
        <f>SUMPRODUCT((Producción_Ganadera[[#This Row],[Centro de Costo]]=Tabla19[Centro de Costo])*(Tabla19[Superficie])*(Producción_Ganadera[[#This Row],[Campaña]]=Tabla19[Campaña]))</f>
        <v>0</v>
      </c>
      <c r="AS238" s="918">
        <f>IFERROR(Producción_Ganadera[[#This Row],[Económico $Corrientes]]/Producción_Ganadera[[#This Row],[Superficie]],0)</f>
        <v>0</v>
      </c>
      <c r="AT238" s="918">
        <f>IFERROR(Producción_Ganadera[[#This Row],[Económico $Constantes]]/Producción_Ganadera[[#This Row],[Superficie]],0)</f>
        <v>0</v>
      </c>
      <c r="AU238" s="918">
        <f>IFERROR(Producción_Ganadera[[#This Row],[Económico U$S Dólares]]/Producción_Ganadera[[#This Row],[Superficie]],0)</f>
        <v>0</v>
      </c>
      <c r="AV238" s="916" t="str">
        <f>IF(Económico!$F$4=0,0,Producción_Ganadera[[#This Row],[Centro de Costo]])</f>
        <v>Campo 2</v>
      </c>
    </row>
    <row r="239" spans="2:48" x14ac:dyDescent="0.25">
      <c r="D239" s="535">
        <f t="shared" si="14"/>
        <v>43617</v>
      </c>
      <c r="E239" s="610">
        <f>+Producción_Ganadera[[#This Row],[Fecha Económico]]+9</f>
        <v>43626</v>
      </c>
      <c r="F239" s="870" t="str">
        <f t="shared" si="15"/>
        <v>2018-2019</v>
      </c>
      <c r="G239" s="538" t="str">
        <f>GAN_Manutención_Personal</f>
        <v>Manutención Personal</v>
      </c>
      <c r="H239" s="538" t="s">
        <v>8</v>
      </c>
      <c r="I239" s="538"/>
      <c r="J239" s="584"/>
      <c r="K239" s="538"/>
      <c r="L239" s="585"/>
      <c r="M239" s="537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39" s="870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39" s="612"/>
      <c r="P239" s="540"/>
      <c r="Q239" s="876">
        <f>IF(ISNUMBER(Producción_Ganadera[[#This Row],[Cabezas]])=TRUE,Producción_Ganadera[[#This Row],[Cabezas]]*Producción_Ganadera[[#This Row],[Cantidad]],Producción_Ganadera[[#This Row],[Cantidad]])</f>
        <v>0</v>
      </c>
      <c r="R239" s="613"/>
      <c r="S239" s="588" t="s">
        <v>48</v>
      </c>
      <c r="T239" s="589"/>
      <c r="U239" s="895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39" s="893">
        <f>IFERROR(Producción_Ganadera[[#This Row],[Económico $Corrientes]]/Producción_Ganadera[[#This Row],[Indexación Económico]],0)</f>
        <v>0</v>
      </c>
      <c r="W239" s="89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39" s="89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39" s="893">
        <f>IFERROR(Producción_Ganadera[[#This Row],[Financiero $Corrientes]]/Producción_Ganadera[[#This Row],[Indexación Financiero]],0)</f>
        <v>0</v>
      </c>
      <c r="Z239" s="921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39" s="89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39" s="897">
        <f>IFERROR(Producción_Ganadera[[#This Row],[Intereses $Corrientes]]/Producción_Ganadera[[#This Row],[Indexación Financiero]],0)</f>
        <v>0</v>
      </c>
      <c r="AC239" s="89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39" s="922" t="str">
        <f>IFERROR(INDEX(Produccion_Ganadera_Cuentas[],MATCH(Producción_Ganadera[[#This Row],[Cuenta Contable]],Produccion_Ganadera_Cuentas[Cuenta Contable],0),2),0)</f>
        <v>Egreso</v>
      </c>
      <c r="AE239" s="923">
        <f>IF(Producción_Ganadera[[#This Row],[Mov. Stock]]="(+)",Producción_Ganadera[[#This Row],[Cabezas]],IF(Producción_Ganadera[[#This Row],[Mov. Stock]]="(-)",-Producción_Ganadera[[#This Row],[Cabezas]],0))</f>
        <v>0</v>
      </c>
      <c r="AF239" s="924">
        <f>IFERROR(INDEX(Produccion_Ganadera_Cuentas[],MATCH(Producción_Ganadera[[#This Row],[Cuenta Contable]],Produccion_Ganadera_Cuentas[Cuenta Contable],0),5),0)</f>
        <v>0</v>
      </c>
      <c r="AG239" s="925" t="str">
        <f>IF(Producción_Ganadera[[#This Row],[Cuenta Contable]]=Configuración!$AC$9,"Si","No")</f>
        <v>No</v>
      </c>
      <c r="AH239" s="899" t="str">
        <f>IFERROR(INDEX(Tabla9[],MATCH(Producción_Ganadera[[#This Row],[Movimiento]],Tabla9[Movimientos],0),2),0)</f>
        <v>Si</v>
      </c>
      <c r="AI239" s="900" t="str">
        <f>IFERROR(INDEX(Tabla9[],MATCH(Producción_Ganadera[[#This Row],[Movimiento]],Tabla9[Movimientos],0),3),0)</f>
        <v>(-)</v>
      </c>
      <c r="AJ239" s="897">
        <f>IF(Producción_Ganadera[[#This Row],[Fecha Económico]]=0,0,MONTH(Producción_Ganadera[[#This Row],[Fecha Económico]]))</f>
        <v>6</v>
      </c>
      <c r="AK239" s="897">
        <f>IF(Producción_Ganadera[[#This Row],[Fecha Económico]]=0,0,YEAR(Producción_Ganadera[[#This Row],[Fecha Económico]]))</f>
        <v>2019</v>
      </c>
      <c r="AL239" s="901">
        <f>SUMPRODUCT((Producción_Ganadera[[#This Row],[Mes Económico]]=Tipo_Cambio[Mes])*(Producción_Ganadera[[#This Row],[Año Económico]]=Tipo_Cambio[Año])*(Tipo_Cambio[$/U$S]))</f>
        <v>24.544703626636963</v>
      </c>
      <c r="AM239" s="901">
        <f>SUMPRODUCT((Producción_Ganadera[[#This Row],[Mes Económico]]=Tipo_Cambio[Mes])*(Producción_Ganadera[[#This Row],[Año Económico]]=Tipo_Cambio[Año])*(Tipo_Cambio[Actualización]))</f>
        <v>1.2433743083946525</v>
      </c>
      <c r="AN239" s="897">
        <f>IF(ISNUMBER(Producción_Ganadera[[#This Row],[Fecha Financiero]])=TRUE,MONTH(Producción_Ganadera[[#This Row],[Fecha Financiero]]),0)</f>
        <v>6</v>
      </c>
      <c r="AO239" s="897">
        <f>IF(ISNUMBER(Producción_Ganadera[[#This Row],[Fecha Financiero]])=TRUE,YEAR(Producción_Ganadera[[#This Row],[Fecha Financiero]]),0)</f>
        <v>2019</v>
      </c>
      <c r="AP239" s="901">
        <f>SUMPRODUCT((Producción_Ganadera[[#This Row],[Mes Financiero]]=Tipo_Cambio[Mes])*(Producción_Ganadera[[#This Row],[Año Financiero]]=Tipo_Cambio[Año])*(Tipo_Cambio[$/U$S]))</f>
        <v>24.544703626636963</v>
      </c>
      <c r="AQ239" s="901">
        <f>SUMPRODUCT((Producción_Ganadera[[#This Row],[Mes Financiero]]=Tipo_Cambio[Mes])*(Producción_Ganadera[[#This Row],[Año Financiero]]=Tipo_Cambio[Año])*(Tipo_Cambio[Actualización]))</f>
        <v>1.2433743083946525</v>
      </c>
      <c r="AR239" s="926">
        <f>SUMPRODUCT((Producción_Ganadera[[#This Row],[Centro de Costo]]=Tabla19[Centro de Costo])*(Tabla19[Superficie])*(Producción_Ganadera[[#This Row],[Campaña]]=Tabla19[Campaña]))</f>
        <v>0</v>
      </c>
      <c r="AS239" s="925">
        <f>IFERROR(Producción_Ganadera[[#This Row],[Económico $Corrientes]]/Producción_Ganadera[[#This Row],[Superficie]],0)</f>
        <v>0</v>
      </c>
      <c r="AT239" s="925">
        <f>IFERROR(Producción_Ganadera[[#This Row],[Económico $Constantes]]/Producción_Ganadera[[#This Row],[Superficie]],0)</f>
        <v>0</v>
      </c>
      <c r="AU239" s="925">
        <f>IFERROR(Producción_Ganadera[[#This Row],[Económico U$S Dólares]]/Producción_Ganadera[[#This Row],[Superficie]],0)</f>
        <v>0</v>
      </c>
      <c r="AV239" s="923" t="str">
        <f>IF(Económico!$F$4=0,0,Producción_Ganadera[[#This Row],[Centro de Costo]])</f>
        <v>Campo 2</v>
      </c>
    </row>
    <row r="240" spans="2:48" ht="15.75" thickBot="1" x14ac:dyDescent="0.3">
      <c r="B240" s="373" t="s">
        <v>101</v>
      </c>
      <c r="D240" s="478"/>
      <c r="E240" s="522"/>
      <c r="F240" s="869" t="str">
        <f t="shared" si="15"/>
        <v>2018-2019</v>
      </c>
      <c r="G240" s="491"/>
      <c r="H240" s="491"/>
      <c r="I240" s="491"/>
      <c r="J240" s="549"/>
      <c r="K240" s="491"/>
      <c r="L240" s="520"/>
      <c r="M24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4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40" s="611"/>
      <c r="P240" s="484"/>
      <c r="Q240" s="875">
        <f>IF(ISNUMBER(Producción_Ganadera[[#This Row],[Cabezas]])=TRUE,Producción_Ganadera[[#This Row],[Cabezas]]*Producción_Ganadera[[#This Row],[Cantidad]],Producción_Ganadera[[#This Row],[Cantidad]])</f>
        <v>0</v>
      </c>
      <c r="R240" s="482"/>
      <c r="S240" s="552" t="s">
        <v>48</v>
      </c>
      <c r="T240" s="553"/>
      <c r="U24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40" s="881">
        <f>IFERROR(Producción_Ganadera[[#This Row],[Económico $Corrientes]]/Producción_Ganadera[[#This Row],[Indexación Económico]],0)</f>
        <v>0</v>
      </c>
      <c r="W24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4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40" s="881">
        <f>IFERROR(Producción_Ganadera[[#This Row],[Financiero $Corrientes]]/Producción_Ganadera[[#This Row],[Indexación Financiero]],0)</f>
        <v>0</v>
      </c>
      <c r="Z24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4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40" s="885">
        <f>IFERROR(Producción_Ganadera[[#This Row],[Intereses $Corrientes]]/Producción_Ganadera[[#This Row],[Indexación Financiero]],0)</f>
        <v>0</v>
      </c>
      <c r="AC24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40" s="915">
        <f>IFERROR(INDEX(Produccion_Ganadera_Cuentas[],MATCH(Producción_Ganadera[[#This Row],[Cuenta Contable]],Produccion_Ganadera_Cuentas[Cuenta Contable],0),2),0)</f>
        <v>0</v>
      </c>
      <c r="AE240" s="916">
        <f>IF(Producción_Ganadera[[#This Row],[Mov. Stock]]="(+)",Producción_Ganadera[[#This Row],[Cabezas]],IF(Producción_Ganadera[[#This Row],[Mov. Stock]]="(-)",-Producción_Ganadera[[#This Row],[Cabezas]],0))</f>
        <v>0</v>
      </c>
      <c r="AF240" s="917">
        <f>IFERROR(INDEX(Produccion_Ganadera_Cuentas[],MATCH(Producción_Ganadera[[#This Row],[Cuenta Contable]],Produccion_Ganadera_Cuentas[Cuenta Contable],0),5),0)</f>
        <v>0</v>
      </c>
      <c r="AG240" s="918" t="str">
        <f>IF(Producción_Ganadera[[#This Row],[Cuenta Contable]]=Configuración!$AC$9,"Si","No")</f>
        <v>No</v>
      </c>
      <c r="AH240" s="887">
        <f>IFERROR(INDEX(Tabla9[],MATCH(Producción_Ganadera[[#This Row],[Movimiento]],Tabla9[Movimientos],0),2),0)</f>
        <v>0</v>
      </c>
      <c r="AI240" s="888">
        <f>IFERROR(INDEX(Tabla9[],MATCH(Producción_Ganadera[[#This Row],[Movimiento]],Tabla9[Movimientos],0),3),0)</f>
        <v>0</v>
      </c>
      <c r="AJ240" s="885">
        <f>IF(Producción_Ganadera[[#This Row],[Fecha Económico]]=0,0,MONTH(Producción_Ganadera[[#This Row],[Fecha Económico]]))</f>
        <v>0</v>
      </c>
      <c r="AK240" s="885">
        <f>IF(Producción_Ganadera[[#This Row],[Fecha Económico]]=0,0,YEAR(Producción_Ganadera[[#This Row],[Fecha Económico]]))</f>
        <v>0</v>
      </c>
      <c r="AL240" s="889">
        <f>SUMPRODUCT((Producción_Ganadera[[#This Row],[Mes Económico]]=Tipo_Cambio[Mes])*(Producción_Ganadera[[#This Row],[Año Económico]]=Tipo_Cambio[Año])*(Tipo_Cambio[$/U$S]))</f>
        <v>0</v>
      </c>
      <c r="AM240" s="889">
        <f>SUMPRODUCT((Producción_Ganadera[[#This Row],[Mes Económico]]=Tipo_Cambio[Mes])*(Producción_Ganadera[[#This Row],[Año Económico]]=Tipo_Cambio[Año])*(Tipo_Cambio[Actualización]))</f>
        <v>0</v>
      </c>
      <c r="AN240" s="885">
        <f>IF(ISNUMBER(Producción_Ganadera[[#This Row],[Fecha Financiero]])=TRUE,MONTH(Producción_Ganadera[[#This Row],[Fecha Financiero]]),0)</f>
        <v>0</v>
      </c>
      <c r="AO240" s="885">
        <f>IF(ISNUMBER(Producción_Ganadera[[#This Row],[Fecha Financiero]])=TRUE,YEAR(Producción_Ganadera[[#This Row],[Fecha Financiero]]),0)</f>
        <v>0</v>
      </c>
      <c r="AP240" s="889">
        <f>SUMPRODUCT((Producción_Ganadera[[#This Row],[Mes Financiero]]=Tipo_Cambio[Mes])*(Producción_Ganadera[[#This Row],[Año Financiero]]=Tipo_Cambio[Año])*(Tipo_Cambio[$/U$S]))</f>
        <v>0</v>
      </c>
      <c r="AQ240" s="889">
        <f>SUMPRODUCT((Producción_Ganadera[[#This Row],[Mes Financiero]]=Tipo_Cambio[Mes])*(Producción_Ganadera[[#This Row],[Año Financiero]]=Tipo_Cambio[Año])*(Tipo_Cambio[Actualización]))</f>
        <v>0</v>
      </c>
      <c r="AR240" s="919">
        <f>SUMPRODUCT((Producción_Ganadera[[#This Row],[Centro de Costo]]=Tabla19[Centro de Costo])*(Tabla19[Superficie])*(Producción_Ganadera[[#This Row],[Campaña]]=Tabla19[Campaña]))</f>
        <v>0</v>
      </c>
      <c r="AS240" s="918">
        <f>IFERROR(Producción_Ganadera[[#This Row],[Económico $Corrientes]]/Producción_Ganadera[[#This Row],[Superficie]],0)</f>
        <v>0</v>
      </c>
      <c r="AT240" s="918">
        <f>IFERROR(Producción_Ganadera[[#This Row],[Económico $Constantes]]/Producción_Ganadera[[#This Row],[Superficie]],0)</f>
        <v>0</v>
      </c>
      <c r="AU240" s="918">
        <f>IFERROR(Producción_Ganadera[[#This Row],[Económico U$S Dólares]]/Producción_Ganadera[[#This Row],[Superficie]],0)</f>
        <v>0</v>
      </c>
      <c r="AV240" s="916">
        <f>IF(Económico!$F$4=0,0,Producción_Ganadera[[#This Row],[Centro de Costo]])</f>
        <v>0</v>
      </c>
    </row>
    <row r="241" spans="2:48" ht="15.75" thickTop="1" x14ac:dyDescent="0.25">
      <c r="B241" s="378" t="s">
        <v>121</v>
      </c>
      <c r="D241" s="614"/>
      <c r="E241" s="615"/>
      <c r="F241" s="871" t="str">
        <f t="shared" si="15"/>
        <v>2018-2019</v>
      </c>
      <c r="G241" s="616" t="s">
        <v>121</v>
      </c>
      <c r="H241" s="616"/>
      <c r="I241" s="616"/>
      <c r="J241" s="617"/>
      <c r="K241" s="616"/>
      <c r="L241" s="618"/>
      <c r="M241" s="61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41" s="871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41" s="620"/>
      <c r="P241" s="621"/>
      <c r="Q241" s="878">
        <f>IF(ISNUMBER(Producción_Ganadera[[#This Row],[Cabezas]])=TRUE,Producción_Ganadera[[#This Row],[Cabezas]]*Producción_Ganadera[[#This Row],[Cantidad]],Producción_Ganadera[[#This Row],[Cantidad]])</f>
        <v>0</v>
      </c>
      <c r="R241" s="622"/>
      <c r="S241" s="623"/>
      <c r="T241" s="624"/>
      <c r="U241" s="927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41" s="928">
        <f>IFERROR(Producción_Ganadera[[#This Row],[Económico $Corrientes]]/Producción_Ganadera[[#This Row],[Indexación Económico]],0)</f>
        <v>0</v>
      </c>
      <c r="W241" s="929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41" s="927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41" s="928">
        <f>IFERROR(Producción_Ganadera[[#This Row],[Financiero $Corrientes]]/Producción_Ganadera[[#This Row],[Indexación Financiero]],0)</f>
        <v>0</v>
      </c>
      <c r="Z241" s="930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41" s="93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41" s="932">
        <f>IFERROR(Producción_Ganadera[[#This Row],[Intereses $Corrientes]]/Producción_Ganadera[[#This Row],[Indexación Financiero]],0)</f>
        <v>0</v>
      </c>
      <c r="AC241" s="93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41" s="933" t="str">
        <f>IFERROR(INDEX(Produccion_Ganadera_Cuentas[],MATCH(Producción_Ganadera[[#This Row],[Cuenta Contable]],Produccion_Ganadera_Cuentas[Cuenta Contable],0),2),0)</f>
        <v>Egreso</v>
      </c>
      <c r="AE241" s="934">
        <f>IF(Producción_Ganadera[[#This Row],[Mov. Stock]]="(+)",Producción_Ganadera[[#This Row],[Cabezas]],IF(Producción_Ganadera[[#This Row],[Mov. Stock]]="(-)",-Producción_Ganadera[[#This Row],[Cabezas]],0))</f>
        <v>0</v>
      </c>
      <c r="AF241" s="935">
        <f>IFERROR(INDEX(Produccion_Ganadera_Cuentas[],MATCH(Producción_Ganadera[[#This Row],[Cuenta Contable]],Produccion_Ganadera_Cuentas[Cuenta Contable],0),5),0)</f>
        <v>0</v>
      </c>
      <c r="AG241" s="936" t="str">
        <f>IF(Producción_Ganadera[[#This Row],[Cuenta Contable]]=Configuración!$AC$9,"Si","No")</f>
        <v>No</v>
      </c>
      <c r="AH241" s="937" t="str">
        <f>IFERROR(INDEX(Tabla9[],MATCH(Producción_Ganadera[[#This Row],[Movimiento]],Tabla9[Movimientos],0),2),0)</f>
        <v>Si</v>
      </c>
      <c r="AI241" s="938" t="str">
        <f>IFERROR(INDEX(Tabla9[],MATCH(Producción_Ganadera[[#This Row],[Movimiento]],Tabla9[Movimientos],0),3),0)</f>
        <v>(-)</v>
      </c>
      <c r="AJ241" s="932">
        <f>IF(Producción_Ganadera[[#This Row],[Fecha Económico]]=0,0,MONTH(Producción_Ganadera[[#This Row],[Fecha Económico]]))</f>
        <v>0</v>
      </c>
      <c r="AK241" s="932">
        <f>IF(Producción_Ganadera[[#This Row],[Fecha Económico]]=0,0,YEAR(Producción_Ganadera[[#This Row],[Fecha Económico]]))</f>
        <v>0</v>
      </c>
      <c r="AL241" s="939">
        <f>SUMPRODUCT((Producción_Ganadera[[#This Row],[Mes Económico]]=Tipo_Cambio[Mes])*(Producción_Ganadera[[#This Row],[Año Económico]]=Tipo_Cambio[Año])*(Tipo_Cambio[$/U$S]))</f>
        <v>0</v>
      </c>
      <c r="AM241" s="939">
        <f>SUMPRODUCT((Producción_Ganadera[[#This Row],[Mes Económico]]=Tipo_Cambio[Mes])*(Producción_Ganadera[[#This Row],[Año Económico]]=Tipo_Cambio[Año])*(Tipo_Cambio[Actualización]))</f>
        <v>0</v>
      </c>
      <c r="AN241" s="932">
        <f>IF(ISNUMBER(Producción_Ganadera[[#This Row],[Fecha Financiero]])=TRUE,MONTH(Producción_Ganadera[[#This Row],[Fecha Financiero]]),0)</f>
        <v>0</v>
      </c>
      <c r="AO241" s="932">
        <f>IF(ISNUMBER(Producción_Ganadera[[#This Row],[Fecha Financiero]])=TRUE,YEAR(Producción_Ganadera[[#This Row],[Fecha Financiero]]),0)</f>
        <v>0</v>
      </c>
      <c r="AP241" s="939">
        <f>SUMPRODUCT((Producción_Ganadera[[#This Row],[Mes Financiero]]=Tipo_Cambio[Mes])*(Producción_Ganadera[[#This Row],[Año Financiero]]=Tipo_Cambio[Año])*(Tipo_Cambio[$/U$S]))</f>
        <v>0</v>
      </c>
      <c r="AQ241" s="939">
        <f>SUMPRODUCT((Producción_Ganadera[[#This Row],[Mes Financiero]]=Tipo_Cambio[Mes])*(Producción_Ganadera[[#This Row],[Año Financiero]]=Tipo_Cambio[Año])*(Tipo_Cambio[Actualización]))</f>
        <v>0</v>
      </c>
      <c r="AR241" s="940">
        <f>SUMPRODUCT((Producción_Ganadera[[#This Row],[Centro de Costo]]=Tabla19[Centro de Costo])*(Tabla19[Superficie])*(Producción_Ganadera[[#This Row],[Campaña]]=Tabla19[Campaña]))</f>
        <v>0</v>
      </c>
      <c r="AS241" s="936">
        <f>IFERROR(Producción_Ganadera[[#This Row],[Económico $Corrientes]]/Producción_Ganadera[[#This Row],[Superficie]],0)</f>
        <v>0</v>
      </c>
      <c r="AT241" s="936">
        <f>IFERROR(Producción_Ganadera[[#This Row],[Económico $Constantes]]/Producción_Ganadera[[#This Row],[Superficie]],0)</f>
        <v>0</v>
      </c>
      <c r="AU241" s="936">
        <f>IFERROR(Producción_Ganadera[[#This Row],[Económico U$S Dólares]]/Producción_Ganadera[[#This Row],[Superficie]],0)</f>
        <v>0</v>
      </c>
      <c r="AV241" s="934">
        <f>IF(Económico!$F$4=0,0,Producción_Ganadera[[#This Row],[Centro de Costo]])</f>
        <v>0</v>
      </c>
    </row>
    <row r="242" spans="2:48" x14ac:dyDescent="0.25">
      <c r="B242" s="378" t="s">
        <v>122</v>
      </c>
      <c r="D242" s="478"/>
      <c r="E242" s="522"/>
      <c r="F242" s="869" t="str">
        <f t="shared" si="15"/>
        <v>2018-2019</v>
      </c>
      <c r="G242" s="491" t="s">
        <v>121</v>
      </c>
      <c r="H242" s="491"/>
      <c r="I242" s="491"/>
      <c r="J242" s="549"/>
      <c r="K242" s="491"/>
      <c r="L242" s="520"/>
      <c r="M24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4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42" s="611"/>
      <c r="P242" s="484"/>
      <c r="Q242" s="875">
        <f>IF(ISNUMBER(Producción_Ganadera[[#This Row],[Cabezas]])=TRUE,Producción_Ganadera[[#This Row],[Cabezas]]*Producción_Ganadera[[#This Row],[Cantidad]],Producción_Ganadera[[#This Row],[Cantidad]])</f>
        <v>0</v>
      </c>
      <c r="R242" s="482"/>
      <c r="S242" s="552"/>
      <c r="T242" s="553"/>
      <c r="U24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42" s="881">
        <f>IFERROR(Producción_Ganadera[[#This Row],[Económico $Corrientes]]/Producción_Ganadera[[#This Row],[Indexación Económico]],0)</f>
        <v>0</v>
      </c>
      <c r="W24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4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42" s="881">
        <f>IFERROR(Producción_Ganadera[[#This Row],[Financiero $Corrientes]]/Producción_Ganadera[[#This Row],[Indexación Financiero]],0)</f>
        <v>0</v>
      </c>
      <c r="Z24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4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42" s="885">
        <f>IFERROR(Producción_Ganadera[[#This Row],[Intereses $Corrientes]]/Producción_Ganadera[[#This Row],[Indexación Financiero]],0)</f>
        <v>0</v>
      </c>
      <c r="AC24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42" s="915" t="str">
        <f>IFERROR(INDEX(Produccion_Ganadera_Cuentas[],MATCH(Producción_Ganadera[[#This Row],[Cuenta Contable]],Produccion_Ganadera_Cuentas[Cuenta Contable],0),2),0)</f>
        <v>Egreso</v>
      </c>
      <c r="AE242" s="916">
        <f>IF(Producción_Ganadera[[#This Row],[Mov. Stock]]="(+)",Producción_Ganadera[[#This Row],[Cabezas]],IF(Producción_Ganadera[[#This Row],[Mov. Stock]]="(-)",-Producción_Ganadera[[#This Row],[Cabezas]],0))</f>
        <v>0</v>
      </c>
      <c r="AF242" s="917">
        <f>IFERROR(INDEX(Produccion_Ganadera_Cuentas[],MATCH(Producción_Ganadera[[#This Row],[Cuenta Contable]],Produccion_Ganadera_Cuentas[Cuenta Contable],0),5),0)</f>
        <v>0</v>
      </c>
      <c r="AG242" s="918" t="str">
        <f>IF(Producción_Ganadera[[#This Row],[Cuenta Contable]]=Configuración!$AC$9,"Si","No")</f>
        <v>No</v>
      </c>
      <c r="AH242" s="887" t="str">
        <f>IFERROR(INDEX(Tabla9[],MATCH(Producción_Ganadera[[#This Row],[Movimiento]],Tabla9[Movimientos],0),2),0)</f>
        <v>Si</v>
      </c>
      <c r="AI242" s="888" t="str">
        <f>IFERROR(INDEX(Tabla9[],MATCH(Producción_Ganadera[[#This Row],[Movimiento]],Tabla9[Movimientos],0),3),0)</f>
        <v>(-)</v>
      </c>
      <c r="AJ242" s="885">
        <f>IF(Producción_Ganadera[[#This Row],[Fecha Económico]]=0,0,MONTH(Producción_Ganadera[[#This Row],[Fecha Económico]]))</f>
        <v>0</v>
      </c>
      <c r="AK242" s="885">
        <f>IF(Producción_Ganadera[[#This Row],[Fecha Económico]]=0,0,YEAR(Producción_Ganadera[[#This Row],[Fecha Económico]]))</f>
        <v>0</v>
      </c>
      <c r="AL242" s="889">
        <f>SUMPRODUCT((Producción_Ganadera[[#This Row],[Mes Económico]]=Tipo_Cambio[Mes])*(Producción_Ganadera[[#This Row],[Año Económico]]=Tipo_Cambio[Año])*(Tipo_Cambio[$/U$S]))</f>
        <v>0</v>
      </c>
      <c r="AM242" s="889">
        <f>SUMPRODUCT((Producción_Ganadera[[#This Row],[Mes Económico]]=Tipo_Cambio[Mes])*(Producción_Ganadera[[#This Row],[Año Económico]]=Tipo_Cambio[Año])*(Tipo_Cambio[Actualización]))</f>
        <v>0</v>
      </c>
      <c r="AN242" s="885">
        <f>IF(ISNUMBER(Producción_Ganadera[[#This Row],[Fecha Financiero]])=TRUE,MONTH(Producción_Ganadera[[#This Row],[Fecha Financiero]]),0)</f>
        <v>0</v>
      </c>
      <c r="AO242" s="885">
        <f>IF(ISNUMBER(Producción_Ganadera[[#This Row],[Fecha Financiero]])=TRUE,YEAR(Producción_Ganadera[[#This Row],[Fecha Financiero]]),0)</f>
        <v>0</v>
      </c>
      <c r="AP242" s="889">
        <f>SUMPRODUCT((Producción_Ganadera[[#This Row],[Mes Financiero]]=Tipo_Cambio[Mes])*(Producción_Ganadera[[#This Row],[Año Financiero]]=Tipo_Cambio[Año])*(Tipo_Cambio[$/U$S]))</f>
        <v>0</v>
      </c>
      <c r="AQ242" s="889">
        <f>SUMPRODUCT((Producción_Ganadera[[#This Row],[Mes Financiero]]=Tipo_Cambio[Mes])*(Producción_Ganadera[[#This Row],[Año Financiero]]=Tipo_Cambio[Año])*(Tipo_Cambio[Actualización]))</f>
        <v>0</v>
      </c>
      <c r="AR242" s="919">
        <f>SUMPRODUCT((Producción_Ganadera[[#This Row],[Centro de Costo]]=Tabla19[Centro de Costo])*(Tabla19[Superficie])*(Producción_Ganadera[[#This Row],[Campaña]]=Tabla19[Campaña]))</f>
        <v>0</v>
      </c>
      <c r="AS242" s="918">
        <f>IFERROR(Producción_Ganadera[[#This Row],[Económico $Corrientes]]/Producción_Ganadera[[#This Row],[Superficie]],0)</f>
        <v>0</v>
      </c>
      <c r="AT242" s="918">
        <f>IFERROR(Producción_Ganadera[[#This Row],[Económico $Constantes]]/Producción_Ganadera[[#This Row],[Superficie]],0)</f>
        <v>0</v>
      </c>
      <c r="AU242" s="918">
        <f>IFERROR(Producción_Ganadera[[#This Row],[Económico U$S Dólares]]/Producción_Ganadera[[#This Row],[Superficie]],0)</f>
        <v>0</v>
      </c>
      <c r="AV242" s="916">
        <f>IF(Económico!$F$4=0,0,Producción_Ganadera[[#This Row],[Centro de Costo]])</f>
        <v>0</v>
      </c>
    </row>
    <row r="243" spans="2:48" x14ac:dyDescent="0.25">
      <c r="B243" s="379"/>
      <c r="D243" s="478"/>
      <c r="E243" s="522"/>
      <c r="F243" s="869" t="str">
        <f t="shared" si="15"/>
        <v>2018-2019</v>
      </c>
      <c r="G243" s="491" t="s">
        <v>121</v>
      </c>
      <c r="H243" s="491"/>
      <c r="I243" s="491"/>
      <c r="J243" s="549"/>
      <c r="K243" s="491"/>
      <c r="L243" s="520"/>
      <c r="M24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4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43" s="611"/>
      <c r="P243" s="484"/>
      <c r="Q243" s="875">
        <f>IF(ISNUMBER(Producción_Ganadera[[#This Row],[Cabezas]])=TRUE,Producción_Ganadera[[#This Row],[Cabezas]]*Producción_Ganadera[[#This Row],[Cantidad]],Producción_Ganadera[[#This Row],[Cantidad]])</f>
        <v>0</v>
      </c>
      <c r="R243" s="482"/>
      <c r="S243" s="552"/>
      <c r="T243" s="553"/>
      <c r="U24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43" s="881">
        <f>IFERROR(Producción_Ganadera[[#This Row],[Económico $Corrientes]]/Producción_Ganadera[[#This Row],[Indexación Económico]],0)</f>
        <v>0</v>
      </c>
      <c r="W24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4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43" s="881">
        <f>IFERROR(Producción_Ganadera[[#This Row],[Financiero $Corrientes]]/Producción_Ganadera[[#This Row],[Indexación Financiero]],0)</f>
        <v>0</v>
      </c>
      <c r="Z24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4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43" s="885">
        <f>IFERROR(Producción_Ganadera[[#This Row],[Intereses $Corrientes]]/Producción_Ganadera[[#This Row],[Indexación Financiero]],0)</f>
        <v>0</v>
      </c>
      <c r="AC24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43" s="915" t="str">
        <f>IFERROR(INDEX(Produccion_Ganadera_Cuentas[],MATCH(Producción_Ganadera[[#This Row],[Cuenta Contable]],Produccion_Ganadera_Cuentas[Cuenta Contable],0),2),0)</f>
        <v>Egreso</v>
      </c>
      <c r="AE243" s="916">
        <f>IF(Producción_Ganadera[[#This Row],[Mov. Stock]]="(+)",Producción_Ganadera[[#This Row],[Cabezas]],IF(Producción_Ganadera[[#This Row],[Mov. Stock]]="(-)",-Producción_Ganadera[[#This Row],[Cabezas]],0))</f>
        <v>0</v>
      </c>
      <c r="AF243" s="917">
        <f>IFERROR(INDEX(Produccion_Ganadera_Cuentas[],MATCH(Producción_Ganadera[[#This Row],[Cuenta Contable]],Produccion_Ganadera_Cuentas[Cuenta Contable],0),5),0)</f>
        <v>0</v>
      </c>
      <c r="AG243" s="918" t="str">
        <f>IF(Producción_Ganadera[[#This Row],[Cuenta Contable]]=Configuración!$AC$9,"Si","No")</f>
        <v>No</v>
      </c>
      <c r="AH243" s="887" t="str">
        <f>IFERROR(INDEX(Tabla9[],MATCH(Producción_Ganadera[[#This Row],[Movimiento]],Tabla9[Movimientos],0),2),0)</f>
        <v>Si</v>
      </c>
      <c r="AI243" s="888" t="str">
        <f>IFERROR(INDEX(Tabla9[],MATCH(Producción_Ganadera[[#This Row],[Movimiento]],Tabla9[Movimientos],0),3),0)</f>
        <v>(-)</v>
      </c>
      <c r="AJ243" s="885">
        <f>IF(Producción_Ganadera[[#This Row],[Fecha Económico]]=0,0,MONTH(Producción_Ganadera[[#This Row],[Fecha Económico]]))</f>
        <v>0</v>
      </c>
      <c r="AK243" s="885">
        <f>IF(Producción_Ganadera[[#This Row],[Fecha Económico]]=0,0,YEAR(Producción_Ganadera[[#This Row],[Fecha Económico]]))</f>
        <v>0</v>
      </c>
      <c r="AL243" s="889">
        <f>SUMPRODUCT((Producción_Ganadera[[#This Row],[Mes Económico]]=Tipo_Cambio[Mes])*(Producción_Ganadera[[#This Row],[Año Económico]]=Tipo_Cambio[Año])*(Tipo_Cambio[$/U$S]))</f>
        <v>0</v>
      </c>
      <c r="AM243" s="889">
        <f>SUMPRODUCT((Producción_Ganadera[[#This Row],[Mes Económico]]=Tipo_Cambio[Mes])*(Producción_Ganadera[[#This Row],[Año Económico]]=Tipo_Cambio[Año])*(Tipo_Cambio[Actualización]))</f>
        <v>0</v>
      </c>
      <c r="AN243" s="885">
        <f>IF(ISNUMBER(Producción_Ganadera[[#This Row],[Fecha Financiero]])=TRUE,MONTH(Producción_Ganadera[[#This Row],[Fecha Financiero]]),0)</f>
        <v>0</v>
      </c>
      <c r="AO243" s="885">
        <f>IF(ISNUMBER(Producción_Ganadera[[#This Row],[Fecha Financiero]])=TRUE,YEAR(Producción_Ganadera[[#This Row],[Fecha Financiero]]),0)</f>
        <v>0</v>
      </c>
      <c r="AP243" s="889">
        <f>SUMPRODUCT((Producción_Ganadera[[#This Row],[Mes Financiero]]=Tipo_Cambio[Mes])*(Producción_Ganadera[[#This Row],[Año Financiero]]=Tipo_Cambio[Año])*(Tipo_Cambio[$/U$S]))</f>
        <v>0</v>
      </c>
      <c r="AQ243" s="889">
        <f>SUMPRODUCT((Producción_Ganadera[[#This Row],[Mes Financiero]]=Tipo_Cambio[Mes])*(Producción_Ganadera[[#This Row],[Año Financiero]]=Tipo_Cambio[Año])*(Tipo_Cambio[Actualización]))</f>
        <v>0</v>
      </c>
      <c r="AR243" s="919">
        <f>SUMPRODUCT((Producción_Ganadera[[#This Row],[Centro de Costo]]=Tabla19[Centro de Costo])*(Tabla19[Superficie])*(Producción_Ganadera[[#This Row],[Campaña]]=Tabla19[Campaña]))</f>
        <v>0</v>
      </c>
      <c r="AS243" s="918">
        <f>IFERROR(Producción_Ganadera[[#This Row],[Económico $Corrientes]]/Producción_Ganadera[[#This Row],[Superficie]],0)</f>
        <v>0</v>
      </c>
      <c r="AT243" s="918">
        <f>IFERROR(Producción_Ganadera[[#This Row],[Económico $Constantes]]/Producción_Ganadera[[#This Row],[Superficie]],0)</f>
        <v>0</v>
      </c>
      <c r="AU243" s="918">
        <f>IFERROR(Producción_Ganadera[[#This Row],[Económico U$S Dólares]]/Producción_Ganadera[[#This Row],[Superficie]],0)</f>
        <v>0</v>
      </c>
      <c r="AV243" s="916">
        <f>IF(Económico!$F$4=0,0,Producción_Ganadera[[#This Row],[Centro de Costo]])</f>
        <v>0</v>
      </c>
    </row>
    <row r="244" spans="2:48" x14ac:dyDescent="0.25">
      <c r="B244" s="380"/>
      <c r="D244" s="478"/>
      <c r="E244" s="522"/>
      <c r="F244" s="869" t="str">
        <f t="shared" si="15"/>
        <v>2018-2019</v>
      </c>
      <c r="G244" s="491" t="s">
        <v>121</v>
      </c>
      <c r="H244" s="491"/>
      <c r="I244" s="491"/>
      <c r="J244" s="549"/>
      <c r="K244" s="491"/>
      <c r="L244" s="520"/>
      <c r="M24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4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44" s="611"/>
      <c r="P244" s="484"/>
      <c r="Q244" s="875">
        <f>IF(ISNUMBER(Producción_Ganadera[[#This Row],[Cabezas]])=TRUE,Producción_Ganadera[[#This Row],[Cabezas]]*Producción_Ganadera[[#This Row],[Cantidad]],Producción_Ganadera[[#This Row],[Cantidad]])</f>
        <v>0</v>
      </c>
      <c r="R244" s="482"/>
      <c r="S244" s="552"/>
      <c r="T244" s="553"/>
      <c r="U24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44" s="881">
        <f>IFERROR(Producción_Ganadera[[#This Row],[Económico $Corrientes]]/Producción_Ganadera[[#This Row],[Indexación Económico]],0)</f>
        <v>0</v>
      </c>
      <c r="W24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4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44" s="881">
        <f>IFERROR(Producción_Ganadera[[#This Row],[Financiero $Corrientes]]/Producción_Ganadera[[#This Row],[Indexación Financiero]],0)</f>
        <v>0</v>
      </c>
      <c r="Z24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4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44" s="885">
        <f>IFERROR(Producción_Ganadera[[#This Row],[Intereses $Corrientes]]/Producción_Ganadera[[#This Row],[Indexación Financiero]],0)</f>
        <v>0</v>
      </c>
      <c r="AC24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44" s="915" t="str">
        <f>IFERROR(INDEX(Produccion_Ganadera_Cuentas[],MATCH(Producción_Ganadera[[#This Row],[Cuenta Contable]],Produccion_Ganadera_Cuentas[Cuenta Contable],0),2),0)</f>
        <v>Egreso</v>
      </c>
      <c r="AE244" s="916">
        <f>IF(Producción_Ganadera[[#This Row],[Mov. Stock]]="(+)",Producción_Ganadera[[#This Row],[Cabezas]],IF(Producción_Ganadera[[#This Row],[Mov. Stock]]="(-)",-Producción_Ganadera[[#This Row],[Cabezas]],0))</f>
        <v>0</v>
      </c>
      <c r="AF244" s="917">
        <f>IFERROR(INDEX(Produccion_Ganadera_Cuentas[],MATCH(Producción_Ganadera[[#This Row],[Cuenta Contable]],Produccion_Ganadera_Cuentas[Cuenta Contable],0),5),0)</f>
        <v>0</v>
      </c>
      <c r="AG244" s="918" t="str">
        <f>IF(Producción_Ganadera[[#This Row],[Cuenta Contable]]=Configuración!$AC$9,"Si","No")</f>
        <v>No</v>
      </c>
      <c r="AH244" s="887" t="str">
        <f>IFERROR(INDEX(Tabla9[],MATCH(Producción_Ganadera[[#This Row],[Movimiento]],Tabla9[Movimientos],0),2),0)</f>
        <v>Si</v>
      </c>
      <c r="AI244" s="888" t="str">
        <f>IFERROR(INDEX(Tabla9[],MATCH(Producción_Ganadera[[#This Row],[Movimiento]],Tabla9[Movimientos],0),3),0)</f>
        <v>(-)</v>
      </c>
      <c r="AJ244" s="885">
        <f>IF(Producción_Ganadera[[#This Row],[Fecha Económico]]=0,0,MONTH(Producción_Ganadera[[#This Row],[Fecha Económico]]))</f>
        <v>0</v>
      </c>
      <c r="AK244" s="885">
        <f>IF(Producción_Ganadera[[#This Row],[Fecha Económico]]=0,0,YEAR(Producción_Ganadera[[#This Row],[Fecha Económico]]))</f>
        <v>0</v>
      </c>
      <c r="AL244" s="889">
        <f>SUMPRODUCT((Producción_Ganadera[[#This Row],[Mes Económico]]=Tipo_Cambio[Mes])*(Producción_Ganadera[[#This Row],[Año Económico]]=Tipo_Cambio[Año])*(Tipo_Cambio[$/U$S]))</f>
        <v>0</v>
      </c>
      <c r="AM244" s="889">
        <f>SUMPRODUCT((Producción_Ganadera[[#This Row],[Mes Económico]]=Tipo_Cambio[Mes])*(Producción_Ganadera[[#This Row],[Año Económico]]=Tipo_Cambio[Año])*(Tipo_Cambio[Actualización]))</f>
        <v>0</v>
      </c>
      <c r="AN244" s="885">
        <f>IF(ISNUMBER(Producción_Ganadera[[#This Row],[Fecha Financiero]])=TRUE,MONTH(Producción_Ganadera[[#This Row],[Fecha Financiero]]),0)</f>
        <v>0</v>
      </c>
      <c r="AO244" s="885">
        <f>IF(ISNUMBER(Producción_Ganadera[[#This Row],[Fecha Financiero]])=TRUE,YEAR(Producción_Ganadera[[#This Row],[Fecha Financiero]]),0)</f>
        <v>0</v>
      </c>
      <c r="AP244" s="889">
        <f>SUMPRODUCT((Producción_Ganadera[[#This Row],[Mes Financiero]]=Tipo_Cambio[Mes])*(Producción_Ganadera[[#This Row],[Año Financiero]]=Tipo_Cambio[Año])*(Tipo_Cambio[$/U$S]))</f>
        <v>0</v>
      </c>
      <c r="AQ244" s="889">
        <f>SUMPRODUCT((Producción_Ganadera[[#This Row],[Mes Financiero]]=Tipo_Cambio[Mes])*(Producción_Ganadera[[#This Row],[Año Financiero]]=Tipo_Cambio[Año])*(Tipo_Cambio[Actualización]))</f>
        <v>0</v>
      </c>
      <c r="AR244" s="919">
        <f>SUMPRODUCT((Producción_Ganadera[[#This Row],[Centro de Costo]]=Tabla19[Centro de Costo])*(Tabla19[Superficie])*(Producción_Ganadera[[#This Row],[Campaña]]=Tabla19[Campaña]))</f>
        <v>0</v>
      </c>
      <c r="AS244" s="918">
        <f>IFERROR(Producción_Ganadera[[#This Row],[Económico $Corrientes]]/Producción_Ganadera[[#This Row],[Superficie]],0)</f>
        <v>0</v>
      </c>
      <c r="AT244" s="918">
        <f>IFERROR(Producción_Ganadera[[#This Row],[Económico $Constantes]]/Producción_Ganadera[[#This Row],[Superficie]],0)</f>
        <v>0</v>
      </c>
      <c r="AU244" s="918">
        <f>IFERROR(Producción_Ganadera[[#This Row],[Económico U$S Dólares]]/Producción_Ganadera[[#This Row],[Superficie]],0)</f>
        <v>0</v>
      </c>
      <c r="AV244" s="916">
        <f>IF(Económico!$F$4=0,0,Producción_Ganadera[[#This Row],[Centro de Costo]])</f>
        <v>0</v>
      </c>
    </row>
    <row r="245" spans="2:48" x14ac:dyDescent="0.25">
      <c r="B245" s="380"/>
      <c r="D245" s="478"/>
      <c r="E245" s="522"/>
      <c r="F245" s="869" t="str">
        <f t="shared" si="15"/>
        <v>2018-2019</v>
      </c>
      <c r="G245" s="491" t="s">
        <v>121</v>
      </c>
      <c r="H245" s="491"/>
      <c r="I245" s="491"/>
      <c r="J245" s="549"/>
      <c r="K245" s="491"/>
      <c r="L245" s="520"/>
      <c r="M24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4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45" s="611"/>
      <c r="P245" s="484"/>
      <c r="Q245" s="875">
        <f>IF(ISNUMBER(Producción_Ganadera[[#This Row],[Cabezas]])=TRUE,Producción_Ganadera[[#This Row],[Cabezas]]*Producción_Ganadera[[#This Row],[Cantidad]],Producción_Ganadera[[#This Row],[Cantidad]])</f>
        <v>0</v>
      </c>
      <c r="R245" s="482"/>
      <c r="S245" s="552"/>
      <c r="T245" s="553"/>
      <c r="U24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45" s="881">
        <f>IFERROR(Producción_Ganadera[[#This Row],[Económico $Corrientes]]/Producción_Ganadera[[#This Row],[Indexación Económico]],0)</f>
        <v>0</v>
      </c>
      <c r="W24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4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45" s="881">
        <f>IFERROR(Producción_Ganadera[[#This Row],[Financiero $Corrientes]]/Producción_Ganadera[[#This Row],[Indexación Financiero]],0)</f>
        <v>0</v>
      </c>
      <c r="Z24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4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45" s="885">
        <f>IFERROR(Producción_Ganadera[[#This Row],[Intereses $Corrientes]]/Producción_Ganadera[[#This Row],[Indexación Financiero]],0)</f>
        <v>0</v>
      </c>
      <c r="AC24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45" s="915" t="str">
        <f>IFERROR(INDEX(Produccion_Ganadera_Cuentas[],MATCH(Producción_Ganadera[[#This Row],[Cuenta Contable]],Produccion_Ganadera_Cuentas[Cuenta Contable],0),2),0)</f>
        <v>Egreso</v>
      </c>
      <c r="AE245" s="916">
        <f>IF(Producción_Ganadera[[#This Row],[Mov. Stock]]="(+)",Producción_Ganadera[[#This Row],[Cabezas]],IF(Producción_Ganadera[[#This Row],[Mov. Stock]]="(-)",-Producción_Ganadera[[#This Row],[Cabezas]],0))</f>
        <v>0</v>
      </c>
      <c r="AF245" s="917">
        <f>IFERROR(INDEX(Produccion_Ganadera_Cuentas[],MATCH(Producción_Ganadera[[#This Row],[Cuenta Contable]],Produccion_Ganadera_Cuentas[Cuenta Contable],0),5),0)</f>
        <v>0</v>
      </c>
      <c r="AG245" s="918" t="str">
        <f>IF(Producción_Ganadera[[#This Row],[Cuenta Contable]]=Configuración!$AC$9,"Si","No")</f>
        <v>No</v>
      </c>
      <c r="AH245" s="887" t="str">
        <f>IFERROR(INDEX(Tabla9[],MATCH(Producción_Ganadera[[#This Row],[Movimiento]],Tabla9[Movimientos],0),2),0)</f>
        <v>Si</v>
      </c>
      <c r="AI245" s="888" t="str">
        <f>IFERROR(INDEX(Tabla9[],MATCH(Producción_Ganadera[[#This Row],[Movimiento]],Tabla9[Movimientos],0),3),0)</f>
        <v>(-)</v>
      </c>
      <c r="AJ245" s="885">
        <f>IF(Producción_Ganadera[[#This Row],[Fecha Económico]]=0,0,MONTH(Producción_Ganadera[[#This Row],[Fecha Económico]]))</f>
        <v>0</v>
      </c>
      <c r="AK245" s="885">
        <f>IF(Producción_Ganadera[[#This Row],[Fecha Económico]]=0,0,YEAR(Producción_Ganadera[[#This Row],[Fecha Económico]]))</f>
        <v>0</v>
      </c>
      <c r="AL245" s="889">
        <f>SUMPRODUCT((Producción_Ganadera[[#This Row],[Mes Económico]]=Tipo_Cambio[Mes])*(Producción_Ganadera[[#This Row],[Año Económico]]=Tipo_Cambio[Año])*(Tipo_Cambio[$/U$S]))</f>
        <v>0</v>
      </c>
      <c r="AM245" s="889">
        <f>SUMPRODUCT((Producción_Ganadera[[#This Row],[Mes Económico]]=Tipo_Cambio[Mes])*(Producción_Ganadera[[#This Row],[Año Económico]]=Tipo_Cambio[Año])*(Tipo_Cambio[Actualización]))</f>
        <v>0</v>
      </c>
      <c r="AN245" s="885">
        <f>IF(ISNUMBER(Producción_Ganadera[[#This Row],[Fecha Financiero]])=TRUE,MONTH(Producción_Ganadera[[#This Row],[Fecha Financiero]]),0)</f>
        <v>0</v>
      </c>
      <c r="AO245" s="885">
        <f>IF(ISNUMBER(Producción_Ganadera[[#This Row],[Fecha Financiero]])=TRUE,YEAR(Producción_Ganadera[[#This Row],[Fecha Financiero]]),0)</f>
        <v>0</v>
      </c>
      <c r="AP245" s="889">
        <f>SUMPRODUCT((Producción_Ganadera[[#This Row],[Mes Financiero]]=Tipo_Cambio[Mes])*(Producción_Ganadera[[#This Row],[Año Financiero]]=Tipo_Cambio[Año])*(Tipo_Cambio[$/U$S]))</f>
        <v>0</v>
      </c>
      <c r="AQ245" s="889">
        <f>SUMPRODUCT((Producción_Ganadera[[#This Row],[Mes Financiero]]=Tipo_Cambio[Mes])*(Producción_Ganadera[[#This Row],[Año Financiero]]=Tipo_Cambio[Año])*(Tipo_Cambio[Actualización]))</f>
        <v>0</v>
      </c>
      <c r="AR245" s="919">
        <f>SUMPRODUCT((Producción_Ganadera[[#This Row],[Centro de Costo]]=Tabla19[Centro de Costo])*(Tabla19[Superficie])*(Producción_Ganadera[[#This Row],[Campaña]]=Tabla19[Campaña]))</f>
        <v>0</v>
      </c>
      <c r="AS245" s="918">
        <f>IFERROR(Producción_Ganadera[[#This Row],[Económico $Corrientes]]/Producción_Ganadera[[#This Row],[Superficie]],0)</f>
        <v>0</v>
      </c>
      <c r="AT245" s="918">
        <f>IFERROR(Producción_Ganadera[[#This Row],[Económico $Constantes]]/Producción_Ganadera[[#This Row],[Superficie]],0)</f>
        <v>0</v>
      </c>
      <c r="AU245" s="918">
        <f>IFERROR(Producción_Ganadera[[#This Row],[Económico U$S Dólares]]/Producción_Ganadera[[#This Row],[Superficie]],0)</f>
        <v>0</v>
      </c>
      <c r="AV245" s="916">
        <f>IF(Económico!$F$4=0,0,Producción_Ganadera[[#This Row],[Centro de Costo]])</f>
        <v>0</v>
      </c>
    </row>
    <row r="246" spans="2:48" x14ac:dyDescent="0.25">
      <c r="B246" s="380"/>
      <c r="D246" s="478"/>
      <c r="E246" s="522"/>
      <c r="F246" s="869" t="str">
        <f t="shared" si="15"/>
        <v>2018-2019</v>
      </c>
      <c r="G246" s="491" t="s">
        <v>122</v>
      </c>
      <c r="H246" s="491"/>
      <c r="I246" s="491"/>
      <c r="J246" s="549"/>
      <c r="K246" s="491"/>
      <c r="L246" s="520"/>
      <c r="M24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4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46" s="611"/>
      <c r="P246" s="484"/>
      <c r="Q246" s="875">
        <f>IF(ISNUMBER(Producción_Ganadera[[#This Row],[Cabezas]])=TRUE,Producción_Ganadera[[#This Row],[Cabezas]]*Producción_Ganadera[[#This Row],[Cantidad]],Producción_Ganadera[[#This Row],[Cantidad]])</f>
        <v>0</v>
      </c>
      <c r="R246" s="482"/>
      <c r="S246" s="552"/>
      <c r="T246" s="553"/>
      <c r="U24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46" s="881">
        <f>IFERROR(Producción_Ganadera[[#This Row],[Económico $Corrientes]]/Producción_Ganadera[[#This Row],[Indexación Económico]],0)</f>
        <v>0</v>
      </c>
      <c r="W24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4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46" s="881">
        <f>IFERROR(Producción_Ganadera[[#This Row],[Financiero $Corrientes]]/Producción_Ganadera[[#This Row],[Indexación Financiero]],0)</f>
        <v>0</v>
      </c>
      <c r="Z24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4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46" s="885">
        <f>IFERROR(Producción_Ganadera[[#This Row],[Intereses $Corrientes]]/Producción_Ganadera[[#This Row],[Indexación Financiero]],0)</f>
        <v>0</v>
      </c>
      <c r="AC24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46" s="915" t="str">
        <f>IFERROR(INDEX(Produccion_Ganadera_Cuentas[],MATCH(Producción_Ganadera[[#This Row],[Cuenta Contable]],Produccion_Ganadera_Cuentas[Cuenta Contable],0),2),0)</f>
        <v>Egreso</v>
      </c>
      <c r="AE246" s="916">
        <f>IF(Producción_Ganadera[[#This Row],[Mov. Stock]]="(+)",Producción_Ganadera[[#This Row],[Cabezas]],IF(Producción_Ganadera[[#This Row],[Mov. Stock]]="(-)",-Producción_Ganadera[[#This Row],[Cabezas]],0))</f>
        <v>0</v>
      </c>
      <c r="AF246" s="917">
        <f>IFERROR(INDEX(Produccion_Ganadera_Cuentas[],MATCH(Producción_Ganadera[[#This Row],[Cuenta Contable]],Produccion_Ganadera_Cuentas[Cuenta Contable],0),5),0)</f>
        <v>0</v>
      </c>
      <c r="AG246" s="918" t="str">
        <f>IF(Producción_Ganadera[[#This Row],[Cuenta Contable]]=Configuración!$AC$9,"Si","No")</f>
        <v>No</v>
      </c>
      <c r="AH246" s="887" t="str">
        <f>IFERROR(INDEX(Tabla9[],MATCH(Producción_Ganadera[[#This Row],[Movimiento]],Tabla9[Movimientos],0),2),0)</f>
        <v>Si</v>
      </c>
      <c r="AI246" s="888" t="str">
        <f>IFERROR(INDEX(Tabla9[],MATCH(Producción_Ganadera[[#This Row],[Movimiento]],Tabla9[Movimientos],0),3),0)</f>
        <v>(-)</v>
      </c>
      <c r="AJ246" s="885">
        <f>IF(Producción_Ganadera[[#This Row],[Fecha Económico]]=0,0,MONTH(Producción_Ganadera[[#This Row],[Fecha Económico]]))</f>
        <v>0</v>
      </c>
      <c r="AK246" s="885">
        <f>IF(Producción_Ganadera[[#This Row],[Fecha Económico]]=0,0,YEAR(Producción_Ganadera[[#This Row],[Fecha Económico]]))</f>
        <v>0</v>
      </c>
      <c r="AL246" s="889">
        <f>SUMPRODUCT((Producción_Ganadera[[#This Row],[Mes Económico]]=Tipo_Cambio[Mes])*(Producción_Ganadera[[#This Row],[Año Económico]]=Tipo_Cambio[Año])*(Tipo_Cambio[$/U$S]))</f>
        <v>0</v>
      </c>
      <c r="AM246" s="889">
        <f>SUMPRODUCT((Producción_Ganadera[[#This Row],[Mes Económico]]=Tipo_Cambio[Mes])*(Producción_Ganadera[[#This Row],[Año Económico]]=Tipo_Cambio[Año])*(Tipo_Cambio[Actualización]))</f>
        <v>0</v>
      </c>
      <c r="AN246" s="885">
        <f>IF(ISNUMBER(Producción_Ganadera[[#This Row],[Fecha Financiero]])=TRUE,MONTH(Producción_Ganadera[[#This Row],[Fecha Financiero]]),0)</f>
        <v>0</v>
      </c>
      <c r="AO246" s="885">
        <f>IF(ISNUMBER(Producción_Ganadera[[#This Row],[Fecha Financiero]])=TRUE,YEAR(Producción_Ganadera[[#This Row],[Fecha Financiero]]),0)</f>
        <v>0</v>
      </c>
      <c r="AP246" s="889">
        <f>SUMPRODUCT((Producción_Ganadera[[#This Row],[Mes Financiero]]=Tipo_Cambio[Mes])*(Producción_Ganadera[[#This Row],[Año Financiero]]=Tipo_Cambio[Año])*(Tipo_Cambio[$/U$S]))</f>
        <v>0</v>
      </c>
      <c r="AQ246" s="889">
        <f>SUMPRODUCT((Producción_Ganadera[[#This Row],[Mes Financiero]]=Tipo_Cambio[Mes])*(Producción_Ganadera[[#This Row],[Año Financiero]]=Tipo_Cambio[Año])*(Tipo_Cambio[Actualización]))</f>
        <v>0</v>
      </c>
      <c r="AR246" s="919">
        <f>SUMPRODUCT((Producción_Ganadera[[#This Row],[Centro de Costo]]=Tabla19[Centro de Costo])*(Tabla19[Superficie])*(Producción_Ganadera[[#This Row],[Campaña]]=Tabla19[Campaña]))</f>
        <v>0</v>
      </c>
      <c r="AS246" s="918">
        <f>IFERROR(Producción_Ganadera[[#This Row],[Económico $Corrientes]]/Producción_Ganadera[[#This Row],[Superficie]],0)</f>
        <v>0</v>
      </c>
      <c r="AT246" s="918">
        <f>IFERROR(Producción_Ganadera[[#This Row],[Económico $Constantes]]/Producción_Ganadera[[#This Row],[Superficie]],0)</f>
        <v>0</v>
      </c>
      <c r="AU246" s="918">
        <f>IFERROR(Producción_Ganadera[[#This Row],[Económico U$S Dólares]]/Producción_Ganadera[[#This Row],[Superficie]],0)</f>
        <v>0</v>
      </c>
      <c r="AV246" s="916">
        <f>IF(Económico!$F$4=0,0,Producción_Ganadera[[#This Row],[Centro de Costo]])</f>
        <v>0</v>
      </c>
    </row>
    <row r="247" spans="2:48" x14ac:dyDescent="0.25">
      <c r="B247" s="380"/>
      <c r="D247" s="478"/>
      <c r="E247" s="522"/>
      <c r="F247" s="869" t="str">
        <f t="shared" si="15"/>
        <v>2018-2019</v>
      </c>
      <c r="G247" s="491" t="s">
        <v>122</v>
      </c>
      <c r="H247" s="491"/>
      <c r="I247" s="491"/>
      <c r="J247" s="549"/>
      <c r="K247" s="491"/>
      <c r="L247" s="520"/>
      <c r="M24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4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47" s="611"/>
      <c r="P247" s="484"/>
      <c r="Q247" s="875">
        <f>IF(ISNUMBER(Producción_Ganadera[[#This Row],[Cabezas]])=TRUE,Producción_Ganadera[[#This Row],[Cabezas]]*Producción_Ganadera[[#This Row],[Cantidad]],Producción_Ganadera[[#This Row],[Cantidad]])</f>
        <v>0</v>
      </c>
      <c r="R247" s="482"/>
      <c r="S247" s="552"/>
      <c r="T247" s="553"/>
      <c r="U24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47" s="881">
        <f>IFERROR(Producción_Ganadera[[#This Row],[Económico $Corrientes]]/Producción_Ganadera[[#This Row],[Indexación Económico]],0)</f>
        <v>0</v>
      </c>
      <c r="W24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4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47" s="881">
        <f>IFERROR(Producción_Ganadera[[#This Row],[Financiero $Corrientes]]/Producción_Ganadera[[#This Row],[Indexación Financiero]],0)</f>
        <v>0</v>
      </c>
      <c r="Z24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4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47" s="885">
        <f>IFERROR(Producción_Ganadera[[#This Row],[Intereses $Corrientes]]/Producción_Ganadera[[#This Row],[Indexación Financiero]],0)</f>
        <v>0</v>
      </c>
      <c r="AC24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47" s="915" t="str">
        <f>IFERROR(INDEX(Produccion_Ganadera_Cuentas[],MATCH(Producción_Ganadera[[#This Row],[Cuenta Contable]],Produccion_Ganadera_Cuentas[Cuenta Contable],0),2),0)</f>
        <v>Egreso</v>
      </c>
      <c r="AE247" s="916">
        <f>IF(Producción_Ganadera[[#This Row],[Mov. Stock]]="(+)",Producción_Ganadera[[#This Row],[Cabezas]],IF(Producción_Ganadera[[#This Row],[Mov. Stock]]="(-)",-Producción_Ganadera[[#This Row],[Cabezas]],0))</f>
        <v>0</v>
      </c>
      <c r="AF247" s="917">
        <f>IFERROR(INDEX(Produccion_Ganadera_Cuentas[],MATCH(Producción_Ganadera[[#This Row],[Cuenta Contable]],Produccion_Ganadera_Cuentas[Cuenta Contable],0),5),0)</f>
        <v>0</v>
      </c>
      <c r="AG247" s="918" t="str">
        <f>IF(Producción_Ganadera[[#This Row],[Cuenta Contable]]=Configuración!$AC$9,"Si","No")</f>
        <v>No</v>
      </c>
      <c r="AH247" s="887" t="str">
        <f>IFERROR(INDEX(Tabla9[],MATCH(Producción_Ganadera[[#This Row],[Movimiento]],Tabla9[Movimientos],0),2),0)</f>
        <v>Si</v>
      </c>
      <c r="AI247" s="888" t="str">
        <f>IFERROR(INDEX(Tabla9[],MATCH(Producción_Ganadera[[#This Row],[Movimiento]],Tabla9[Movimientos],0),3),0)</f>
        <v>(-)</v>
      </c>
      <c r="AJ247" s="885">
        <f>IF(Producción_Ganadera[[#This Row],[Fecha Económico]]=0,0,MONTH(Producción_Ganadera[[#This Row],[Fecha Económico]]))</f>
        <v>0</v>
      </c>
      <c r="AK247" s="885">
        <f>IF(Producción_Ganadera[[#This Row],[Fecha Económico]]=0,0,YEAR(Producción_Ganadera[[#This Row],[Fecha Económico]]))</f>
        <v>0</v>
      </c>
      <c r="AL247" s="889">
        <f>SUMPRODUCT((Producción_Ganadera[[#This Row],[Mes Económico]]=Tipo_Cambio[Mes])*(Producción_Ganadera[[#This Row],[Año Económico]]=Tipo_Cambio[Año])*(Tipo_Cambio[$/U$S]))</f>
        <v>0</v>
      </c>
      <c r="AM247" s="889">
        <f>SUMPRODUCT((Producción_Ganadera[[#This Row],[Mes Económico]]=Tipo_Cambio[Mes])*(Producción_Ganadera[[#This Row],[Año Económico]]=Tipo_Cambio[Año])*(Tipo_Cambio[Actualización]))</f>
        <v>0</v>
      </c>
      <c r="AN247" s="885">
        <f>IF(ISNUMBER(Producción_Ganadera[[#This Row],[Fecha Financiero]])=TRUE,MONTH(Producción_Ganadera[[#This Row],[Fecha Financiero]]),0)</f>
        <v>0</v>
      </c>
      <c r="AO247" s="885">
        <f>IF(ISNUMBER(Producción_Ganadera[[#This Row],[Fecha Financiero]])=TRUE,YEAR(Producción_Ganadera[[#This Row],[Fecha Financiero]]),0)</f>
        <v>0</v>
      </c>
      <c r="AP247" s="889">
        <f>SUMPRODUCT((Producción_Ganadera[[#This Row],[Mes Financiero]]=Tipo_Cambio[Mes])*(Producción_Ganadera[[#This Row],[Año Financiero]]=Tipo_Cambio[Año])*(Tipo_Cambio[$/U$S]))</f>
        <v>0</v>
      </c>
      <c r="AQ247" s="889">
        <f>SUMPRODUCT((Producción_Ganadera[[#This Row],[Mes Financiero]]=Tipo_Cambio[Mes])*(Producción_Ganadera[[#This Row],[Año Financiero]]=Tipo_Cambio[Año])*(Tipo_Cambio[Actualización]))</f>
        <v>0</v>
      </c>
      <c r="AR247" s="919">
        <f>SUMPRODUCT((Producción_Ganadera[[#This Row],[Centro de Costo]]=Tabla19[Centro de Costo])*(Tabla19[Superficie])*(Producción_Ganadera[[#This Row],[Campaña]]=Tabla19[Campaña]))</f>
        <v>0</v>
      </c>
      <c r="AS247" s="918">
        <f>IFERROR(Producción_Ganadera[[#This Row],[Económico $Corrientes]]/Producción_Ganadera[[#This Row],[Superficie]],0)</f>
        <v>0</v>
      </c>
      <c r="AT247" s="918">
        <f>IFERROR(Producción_Ganadera[[#This Row],[Económico $Constantes]]/Producción_Ganadera[[#This Row],[Superficie]],0)</f>
        <v>0</v>
      </c>
      <c r="AU247" s="918">
        <f>IFERROR(Producción_Ganadera[[#This Row],[Económico U$S Dólares]]/Producción_Ganadera[[#This Row],[Superficie]],0)</f>
        <v>0</v>
      </c>
      <c r="AV247" s="916">
        <f>IF(Económico!$F$4=0,0,Producción_Ganadera[[#This Row],[Centro de Costo]])</f>
        <v>0</v>
      </c>
    </row>
    <row r="248" spans="2:48" x14ac:dyDescent="0.25">
      <c r="B248" s="380"/>
      <c r="D248" s="478"/>
      <c r="E248" s="522"/>
      <c r="F248" s="869" t="str">
        <f t="shared" si="15"/>
        <v>2018-2019</v>
      </c>
      <c r="G248" s="491" t="s">
        <v>122</v>
      </c>
      <c r="H248" s="491"/>
      <c r="I248" s="491"/>
      <c r="J248" s="549"/>
      <c r="K248" s="491"/>
      <c r="L248" s="520"/>
      <c r="M24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4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48" s="611"/>
      <c r="P248" s="484"/>
      <c r="Q248" s="875">
        <f>IF(ISNUMBER(Producción_Ganadera[[#This Row],[Cabezas]])=TRUE,Producción_Ganadera[[#This Row],[Cabezas]]*Producción_Ganadera[[#This Row],[Cantidad]],Producción_Ganadera[[#This Row],[Cantidad]])</f>
        <v>0</v>
      </c>
      <c r="R248" s="482"/>
      <c r="S248" s="552"/>
      <c r="T248" s="553"/>
      <c r="U24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48" s="881">
        <f>IFERROR(Producción_Ganadera[[#This Row],[Económico $Corrientes]]/Producción_Ganadera[[#This Row],[Indexación Económico]],0)</f>
        <v>0</v>
      </c>
      <c r="W24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4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48" s="881">
        <f>IFERROR(Producción_Ganadera[[#This Row],[Financiero $Corrientes]]/Producción_Ganadera[[#This Row],[Indexación Financiero]],0)</f>
        <v>0</v>
      </c>
      <c r="Z24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4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48" s="885">
        <f>IFERROR(Producción_Ganadera[[#This Row],[Intereses $Corrientes]]/Producción_Ganadera[[#This Row],[Indexación Financiero]],0)</f>
        <v>0</v>
      </c>
      <c r="AC24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48" s="915" t="str">
        <f>IFERROR(INDEX(Produccion_Ganadera_Cuentas[],MATCH(Producción_Ganadera[[#This Row],[Cuenta Contable]],Produccion_Ganadera_Cuentas[Cuenta Contable],0),2),0)</f>
        <v>Egreso</v>
      </c>
      <c r="AE248" s="916">
        <f>IF(Producción_Ganadera[[#This Row],[Mov. Stock]]="(+)",Producción_Ganadera[[#This Row],[Cabezas]],IF(Producción_Ganadera[[#This Row],[Mov. Stock]]="(-)",-Producción_Ganadera[[#This Row],[Cabezas]],0))</f>
        <v>0</v>
      </c>
      <c r="AF248" s="917">
        <f>IFERROR(INDEX(Produccion_Ganadera_Cuentas[],MATCH(Producción_Ganadera[[#This Row],[Cuenta Contable]],Produccion_Ganadera_Cuentas[Cuenta Contable],0),5),0)</f>
        <v>0</v>
      </c>
      <c r="AG248" s="918" t="str">
        <f>IF(Producción_Ganadera[[#This Row],[Cuenta Contable]]=Configuración!$AC$9,"Si","No")</f>
        <v>No</v>
      </c>
      <c r="AH248" s="887" t="str">
        <f>IFERROR(INDEX(Tabla9[],MATCH(Producción_Ganadera[[#This Row],[Movimiento]],Tabla9[Movimientos],0),2),0)</f>
        <v>Si</v>
      </c>
      <c r="AI248" s="888" t="str">
        <f>IFERROR(INDEX(Tabla9[],MATCH(Producción_Ganadera[[#This Row],[Movimiento]],Tabla9[Movimientos],0),3),0)</f>
        <v>(-)</v>
      </c>
      <c r="AJ248" s="885">
        <f>IF(Producción_Ganadera[[#This Row],[Fecha Económico]]=0,0,MONTH(Producción_Ganadera[[#This Row],[Fecha Económico]]))</f>
        <v>0</v>
      </c>
      <c r="AK248" s="885">
        <f>IF(Producción_Ganadera[[#This Row],[Fecha Económico]]=0,0,YEAR(Producción_Ganadera[[#This Row],[Fecha Económico]]))</f>
        <v>0</v>
      </c>
      <c r="AL248" s="889">
        <f>SUMPRODUCT((Producción_Ganadera[[#This Row],[Mes Económico]]=Tipo_Cambio[Mes])*(Producción_Ganadera[[#This Row],[Año Económico]]=Tipo_Cambio[Año])*(Tipo_Cambio[$/U$S]))</f>
        <v>0</v>
      </c>
      <c r="AM248" s="889">
        <f>SUMPRODUCT((Producción_Ganadera[[#This Row],[Mes Económico]]=Tipo_Cambio[Mes])*(Producción_Ganadera[[#This Row],[Año Económico]]=Tipo_Cambio[Año])*(Tipo_Cambio[Actualización]))</f>
        <v>0</v>
      </c>
      <c r="AN248" s="885">
        <f>IF(ISNUMBER(Producción_Ganadera[[#This Row],[Fecha Financiero]])=TRUE,MONTH(Producción_Ganadera[[#This Row],[Fecha Financiero]]),0)</f>
        <v>0</v>
      </c>
      <c r="AO248" s="885">
        <f>IF(ISNUMBER(Producción_Ganadera[[#This Row],[Fecha Financiero]])=TRUE,YEAR(Producción_Ganadera[[#This Row],[Fecha Financiero]]),0)</f>
        <v>0</v>
      </c>
      <c r="AP248" s="889">
        <f>SUMPRODUCT((Producción_Ganadera[[#This Row],[Mes Financiero]]=Tipo_Cambio[Mes])*(Producción_Ganadera[[#This Row],[Año Financiero]]=Tipo_Cambio[Año])*(Tipo_Cambio[$/U$S]))</f>
        <v>0</v>
      </c>
      <c r="AQ248" s="889">
        <f>SUMPRODUCT((Producción_Ganadera[[#This Row],[Mes Financiero]]=Tipo_Cambio[Mes])*(Producción_Ganadera[[#This Row],[Año Financiero]]=Tipo_Cambio[Año])*(Tipo_Cambio[Actualización]))</f>
        <v>0</v>
      </c>
      <c r="AR248" s="919">
        <f>SUMPRODUCT((Producción_Ganadera[[#This Row],[Centro de Costo]]=Tabla19[Centro de Costo])*(Tabla19[Superficie])*(Producción_Ganadera[[#This Row],[Campaña]]=Tabla19[Campaña]))</f>
        <v>0</v>
      </c>
      <c r="AS248" s="918">
        <f>IFERROR(Producción_Ganadera[[#This Row],[Económico $Corrientes]]/Producción_Ganadera[[#This Row],[Superficie]],0)</f>
        <v>0</v>
      </c>
      <c r="AT248" s="918">
        <f>IFERROR(Producción_Ganadera[[#This Row],[Económico $Constantes]]/Producción_Ganadera[[#This Row],[Superficie]],0)</f>
        <v>0</v>
      </c>
      <c r="AU248" s="918">
        <f>IFERROR(Producción_Ganadera[[#This Row],[Económico U$S Dólares]]/Producción_Ganadera[[#This Row],[Superficie]],0)</f>
        <v>0</v>
      </c>
      <c r="AV248" s="916">
        <f>IF(Económico!$F$4=0,0,Producción_Ganadera[[#This Row],[Centro de Costo]])</f>
        <v>0</v>
      </c>
    </row>
    <row r="249" spans="2:48" x14ac:dyDescent="0.25">
      <c r="B249" s="380"/>
      <c r="D249" s="478"/>
      <c r="E249" s="522"/>
      <c r="F249" s="869" t="str">
        <f t="shared" si="15"/>
        <v>2018-2019</v>
      </c>
      <c r="G249" s="491" t="s">
        <v>122</v>
      </c>
      <c r="H249" s="491"/>
      <c r="I249" s="491"/>
      <c r="J249" s="549"/>
      <c r="K249" s="491"/>
      <c r="L249" s="520"/>
      <c r="M24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4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49" s="611"/>
      <c r="P249" s="484"/>
      <c r="Q249" s="875">
        <f>IF(ISNUMBER(Producción_Ganadera[[#This Row],[Cabezas]])=TRUE,Producción_Ganadera[[#This Row],[Cabezas]]*Producción_Ganadera[[#This Row],[Cantidad]],Producción_Ganadera[[#This Row],[Cantidad]])</f>
        <v>0</v>
      </c>
      <c r="R249" s="482"/>
      <c r="S249" s="552"/>
      <c r="T249" s="553"/>
      <c r="U24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49" s="881">
        <f>IFERROR(Producción_Ganadera[[#This Row],[Económico $Corrientes]]/Producción_Ganadera[[#This Row],[Indexación Económico]],0)</f>
        <v>0</v>
      </c>
      <c r="W24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4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49" s="881">
        <f>IFERROR(Producción_Ganadera[[#This Row],[Financiero $Corrientes]]/Producción_Ganadera[[#This Row],[Indexación Financiero]],0)</f>
        <v>0</v>
      </c>
      <c r="Z24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4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49" s="885">
        <f>IFERROR(Producción_Ganadera[[#This Row],[Intereses $Corrientes]]/Producción_Ganadera[[#This Row],[Indexación Financiero]],0)</f>
        <v>0</v>
      </c>
      <c r="AC24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49" s="915" t="str">
        <f>IFERROR(INDEX(Produccion_Ganadera_Cuentas[],MATCH(Producción_Ganadera[[#This Row],[Cuenta Contable]],Produccion_Ganadera_Cuentas[Cuenta Contable],0),2),0)</f>
        <v>Egreso</v>
      </c>
      <c r="AE249" s="916">
        <f>IF(Producción_Ganadera[[#This Row],[Mov. Stock]]="(+)",Producción_Ganadera[[#This Row],[Cabezas]],IF(Producción_Ganadera[[#This Row],[Mov. Stock]]="(-)",-Producción_Ganadera[[#This Row],[Cabezas]],0))</f>
        <v>0</v>
      </c>
      <c r="AF249" s="917">
        <f>IFERROR(INDEX(Produccion_Ganadera_Cuentas[],MATCH(Producción_Ganadera[[#This Row],[Cuenta Contable]],Produccion_Ganadera_Cuentas[Cuenta Contable],0),5),0)</f>
        <v>0</v>
      </c>
      <c r="AG249" s="918" t="str">
        <f>IF(Producción_Ganadera[[#This Row],[Cuenta Contable]]=Configuración!$AC$9,"Si","No")</f>
        <v>No</v>
      </c>
      <c r="AH249" s="887" t="str">
        <f>IFERROR(INDEX(Tabla9[],MATCH(Producción_Ganadera[[#This Row],[Movimiento]],Tabla9[Movimientos],0),2),0)</f>
        <v>Si</v>
      </c>
      <c r="AI249" s="888" t="str">
        <f>IFERROR(INDEX(Tabla9[],MATCH(Producción_Ganadera[[#This Row],[Movimiento]],Tabla9[Movimientos],0),3),0)</f>
        <v>(-)</v>
      </c>
      <c r="AJ249" s="885">
        <f>IF(Producción_Ganadera[[#This Row],[Fecha Económico]]=0,0,MONTH(Producción_Ganadera[[#This Row],[Fecha Económico]]))</f>
        <v>0</v>
      </c>
      <c r="AK249" s="885">
        <f>IF(Producción_Ganadera[[#This Row],[Fecha Económico]]=0,0,YEAR(Producción_Ganadera[[#This Row],[Fecha Económico]]))</f>
        <v>0</v>
      </c>
      <c r="AL249" s="889">
        <f>SUMPRODUCT((Producción_Ganadera[[#This Row],[Mes Económico]]=Tipo_Cambio[Mes])*(Producción_Ganadera[[#This Row],[Año Económico]]=Tipo_Cambio[Año])*(Tipo_Cambio[$/U$S]))</f>
        <v>0</v>
      </c>
      <c r="AM249" s="889">
        <f>SUMPRODUCT((Producción_Ganadera[[#This Row],[Mes Económico]]=Tipo_Cambio[Mes])*(Producción_Ganadera[[#This Row],[Año Económico]]=Tipo_Cambio[Año])*(Tipo_Cambio[Actualización]))</f>
        <v>0</v>
      </c>
      <c r="AN249" s="885">
        <f>IF(ISNUMBER(Producción_Ganadera[[#This Row],[Fecha Financiero]])=TRUE,MONTH(Producción_Ganadera[[#This Row],[Fecha Financiero]]),0)</f>
        <v>0</v>
      </c>
      <c r="AO249" s="885">
        <f>IF(ISNUMBER(Producción_Ganadera[[#This Row],[Fecha Financiero]])=TRUE,YEAR(Producción_Ganadera[[#This Row],[Fecha Financiero]]),0)</f>
        <v>0</v>
      </c>
      <c r="AP249" s="889">
        <f>SUMPRODUCT((Producción_Ganadera[[#This Row],[Mes Financiero]]=Tipo_Cambio[Mes])*(Producción_Ganadera[[#This Row],[Año Financiero]]=Tipo_Cambio[Año])*(Tipo_Cambio[$/U$S]))</f>
        <v>0</v>
      </c>
      <c r="AQ249" s="889">
        <f>SUMPRODUCT((Producción_Ganadera[[#This Row],[Mes Financiero]]=Tipo_Cambio[Mes])*(Producción_Ganadera[[#This Row],[Año Financiero]]=Tipo_Cambio[Año])*(Tipo_Cambio[Actualización]))</f>
        <v>0</v>
      </c>
      <c r="AR249" s="919">
        <f>SUMPRODUCT((Producción_Ganadera[[#This Row],[Centro de Costo]]=Tabla19[Centro de Costo])*(Tabla19[Superficie])*(Producción_Ganadera[[#This Row],[Campaña]]=Tabla19[Campaña]))</f>
        <v>0</v>
      </c>
      <c r="AS249" s="918">
        <f>IFERROR(Producción_Ganadera[[#This Row],[Económico $Corrientes]]/Producción_Ganadera[[#This Row],[Superficie]],0)</f>
        <v>0</v>
      </c>
      <c r="AT249" s="918">
        <f>IFERROR(Producción_Ganadera[[#This Row],[Económico $Constantes]]/Producción_Ganadera[[#This Row],[Superficie]],0)</f>
        <v>0</v>
      </c>
      <c r="AU249" s="918">
        <f>IFERROR(Producción_Ganadera[[#This Row],[Económico U$S Dólares]]/Producción_Ganadera[[#This Row],[Superficie]],0)</f>
        <v>0</v>
      </c>
      <c r="AV249" s="916">
        <f>IF(Económico!$F$4=0,0,Producción_Ganadera[[#This Row],[Centro de Costo]])</f>
        <v>0</v>
      </c>
    </row>
    <row r="250" spans="2:48" ht="15.75" thickBot="1" x14ac:dyDescent="0.3">
      <c r="B250" s="373" t="s">
        <v>101</v>
      </c>
      <c r="D250" s="478"/>
      <c r="E250" s="522"/>
      <c r="F250" s="869" t="str">
        <f t="shared" si="15"/>
        <v>2018-2019</v>
      </c>
      <c r="G250" s="491" t="s">
        <v>122</v>
      </c>
      <c r="H250" s="491"/>
      <c r="I250" s="491"/>
      <c r="J250" s="549"/>
      <c r="K250" s="491"/>
      <c r="L250" s="520"/>
      <c r="M25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5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50" s="611"/>
      <c r="P250" s="484"/>
      <c r="Q250" s="875">
        <f>IF(ISNUMBER(Producción_Ganadera[[#This Row],[Cabezas]])=TRUE,Producción_Ganadera[[#This Row],[Cabezas]]*Producción_Ganadera[[#This Row],[Cantidad]],Producción_Ganadera[[#This Row],[Cantidad]])</f>
        <v>0</v>
      </c>
      <c r="R250" s="482"/>
      <c r="S250" s="552"/>
      <c r="T250" s="553"/>
      <c r="U25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50" s="881">
        <f>IFERROR(Producción_Ganadera[[#This Row],[Económico $Corrientes]]/Producción_Ganadera[[#This Row],[Indexación Económico]],0)</f>
        <v>0</v>
      </c>
      <c r="W25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5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50" s="881">
        <f>IFERROR(Producción_Ganadera[[#This Row],[Financiero $Corrientes]]/Producción_Ganadera[[#This Row],[Indexación Financiero]],0)</f>
        <v>0</v>
      </c>
      <c r="Z25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5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50" s="885">
        <f>IFERROR(Producción_Ganadera[[#This Row],[Intereses $Corrientes]]/Producción_Ganadera[[#This Row],[Indexación Financiero]],0)</f>
        <v>0</v>
      </c>
      <c r="AC25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50" s="915" t="str">
        <f>IFERROR(INDEX(Produccion_Ganadera_Cuentas[],MATCH(Producción_Ganadera[[#This Row],[Cuenta Contable]],Produccion_Ganadera_Cuentas[Cuenta Contable],0),2),0)</f>
        <v>Egreso</v>
      </c>
      <c r="AE250" s="916">
        <f>IF(Producción_Ganadera[[#This Row],[Mov. Stock]]="(+)",Producción_Ganadera[[#This Row],[Cabezas]],IF(Producción_Ganadera[[#This Row],[Mov. Stock]]="(-)",-Producción_Ganadera[[#This Row],[Cabezas]],0))</f>
        <v>0</v>
      </c>
      <c r="AF250" s="917">
        <f>IFERROR(INDEX(Produccion_Ganadera_Cuentas[],MATCH(Producción_Ganadera[[#This Row],[Cuenta Contable]],Produccion_Ganadera_Cuentas[Cuenta Contable],0),5),0)</f>
        <v>0</v>
      </c>
      <c r="AG250" s="918" t="str">
        <f>IF(Producción_Ganadera[[#This Row],[Cuenta Contable]]=Configuración!$AC$9,"Si","No")</f>
        <v>No</v>
      </c>
      <c r="AH250" s="887" t="str">
        <f>IFERROR(INDEX(Tabla9[],MATCH(Producción_Ganadera[[#This Row],[Movimiento]],Tabla9[Movimientos],0),2),0)</f>
        <v>Si</v>
      </c>
      <c r="AI250" s="888" t="str">
        <f>IFERROR(INDEX(Tabla9[],MATCH(Producción_Ganadera[[#This Row],[Movimiento]],Tabla9[Movimientos],0),3),0)</f>
        <v>(-)</v>
      </c>
      <c r="AJ250" s="885">
        <f>IF(Producción_Ganadera[[#This Row],[Fecha Económico]]=0,0,MONTH(Producción_Ganadera[[#This Row],[Fecha Económico]]))</f>
        <v>0</v>
      </c>
      <c r="AK250" s="885">
        <f>IF(Producción_Ganadera[[#This Row],[Fecha Económico]]=0,0,YEAR(Producción_Ganadera[[#This Row],[Fecha Económico]]))</f>
        <v>0</v>
      </c>
      <c r="AL250" s="889">
        <f>SUMPRODUCT((Producción_Ganadera[[#This Row],[Mes Económico]]=Tipo_Cambio[Mes])*(Producción_Ganadera[[#This Row],[Año Económico]]=Tipo_Cambio[Año])*(Tipo_Cambio[$/U$S]))</f>
        <v>0</v>
      </c>
      <c r="AM250" s="889">
        <f>SUMPRODUCT((Producción_Ganadera[[#This Row],[Mes Económico]]=Tipo_Cambio[Mes])*(Producción_Ganadera[[#This Row],[Año Económico]]=Tipo_Cambio[Año])*(Tipo_Cambio[Actualización]))</f>
        <v>0</v>
      </c>
      <c r="AN250" s="885">
        <f>IF(ISNUMBER(Producción_Ganadera[[#This Row],[Fecha Financiero]])=TRUE,MONTH(Producción_Ganadera[[#This Row],[Fecha Financiero]]),0)</f>
        <v>0</v>
      </c>
      <c r="AO250" s="885">
        <f>IF(ISNUMBER(Producción_Ganadera[[#This Row],[Fecha Financiero]])=TRUE,YEAR(Producción_Ganadera[[#This Row],[Fecha Financiero]]),0)</f>
        <v>0</v>
      </c>
      <c r="AP250" s="889">
        <f>SUMPRODUCT((Producción_Ganadera[[#This Row],[Mes Financiero]]=Tipo_Cambio[Mes])*(Producción_Ganadera[[#This Row],[Año Financiero]]=Tipo_Cambio[Año])*(Tipo_Cambio[$/U$S]))</f>
        <v>0</v>
      </c>
      <c r="AQ250" s="889">
        <f>SUMPRODUCT((Producción_Ganadera[[#This Row],[Mes Financiero]]=Tipo_Cambio[Mes])*(Producción_Ganadera[[#This Row],[Año Financiero]]=Tipo_Cambio[Año])*(Tipo_Cambio[Actualización]))</f>
        <v>0</v>
      </c>
      <c r="AR250" s="919">
        <f>SUMPRODUCT((Producción_Ganadera[[#This Row],[Centro de Costo]]=Tabla19[Centro de Costo])*(Tabla19[Superficie])*(Producción_Ganadera[[#This Row],[Campaña]]=Tabla19[Campaña]))</f>
        <v>0</v>
      </c>
      <c r="AS250" s="918">
        <f>IFERROR(Producción_Ganadera[[#This Row],[Económico $Corrientes]]/Producción_Ganadera[[#This Row],[Superficie]],0)</f>
        <v>0</v>
      </c>
      <c r="AT250" s="918">
        <f>IFERROR(Producción_Ganadera[[#This Row],[Económico $Constantes]]/Producción_Ganadera[[#This Row],[Superficie]],0)</f>
        <v>0</v>
      </c>
      <c r="AU250" s="918">
        <f>IFERROR(Producción_Ganadera[[#This Row],[Económico U$S Dólares]]/Producción_Ganadera[[#This Row],[Superficie]],0)</f>
        <v>0</v>
      </c>
      <c r="AV250" s="916">
        <f>IF(Económico!$F$4=0,0,Producción_Ganadera[[#This Row],[Centro de Costo]])</f>
        <v>0</v>
      </c>
    </row>
    <row r="251" spans="2:48" ht="15.75" thickTop="1" x14ac:dyDescent="0.25">
      <c r="B251" s="378" t="s">
        <v>123</v>
      </c>
      <c r="D251" s="614"/>
      <c r="E251" s="615"/>
      <c r="F251" s="871" t="str">
        <f t="shared" si="15"/>
        <v>2018-2019</v>
      </c>
      <c r="G251" s="616" t="str">
        <f>GAN_Alimentacion</f>
        <v>Alimentación</v>
      </c>
      <c r="H251" s="616"/>
      <c r="I251" s="616"/>
      <c r="J251" s="617"/>
      <c r="K251" s="616"/>
      <c r="L251" s="618"/>
      <c r="M251" s="61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51" s="871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51" s="620"/>
      <c r="P251" s="621"/>
      <c r="Q251" s="878">
        <f>IF(ISNUMBER(Producción_Ganadera[[#This Row],[Cabezas]])=TRUE,Producción_Ganadera[[#This Row],[Cabezas]]*Producción_Ganadera[[#This Row],[Cantidad]],Producción_Ganadera[[#This Row],[Cantidad]])</f>
        <v>0</v>
      </c>
      <c r="R251" s="622"/>
      <c r="S251" s="623"/>
      <c r="T251" s="624"/>
      <c r="U251" s="927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51" s="928">
        <f>IFERROR(Producción_Ganadera[[#This Row],[Económico $Corrientes]]/Producción_Ganadera[[#This Row],[Indexación Económico]],0)</f>
        <v>0</v>
      </c>
      <c r="W251" s="929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51" s="927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51" s="928">
        <f>IFERROR(Producción_Ganadera[[#This Row],[Financiero $Corrientes]]/Producción_Ganadera[[#This Row],[Indexación Financiero]],0)</f>
        <v>0</v>
      </c>
      <c r="Z251" s="930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51" s="93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51" s="932">
        <f>IFERROR(Producción_Ganadera[[#This Row],[Intereses $Corrientes]]/Producción_Ganadera[[#This Row],[Indexación Financiero]],0)</f>
        <v>0</v>
      </c>
      <c r="AC251" s="93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51" s="933" t="str">
        <f>IFERROR(INDEX(Produccion_Ganadera_Cuentas[],MATCH(Producción_Ganadera[[#This Row],[Cuenta Contable]],Produccion_Ganadera_Cuentas[Cuenta Contable],0),2),0)</f>
        <v>Egreso</v>
      </c>
      <c r="AE251" s="934">
        <f>IF(Producción_Ganadera[[#This Row],[Mov. Stock]]="(+)",Producción_Ganadera[[#This Row],[Cabezas]],IF(Producción_Ganadera[[#This Row],[Mov. Stock]]="(-)",-Producción_Ganadera[[#This Row],[Cabezas]],0))</f>
        <v>0</v>
      </c>
      <c r="AF251" s="935">
        <f>IFERROR(INDEX(Produccion_Ganadera_Cuentas[],MATCH(Producción_Ganadera[[#This Row],[Cuenta Contable]],Produccion_Ganadera_Cuentas[Cuenta Contable],0),5),0)</f>
        <v>0</v>
      </c>
      <c r="AG251" s="936" t="str">
        <f>IF(Producción_Ganadera[[#This Row],[Cuenta Contable]]=Configuración!$AC$9,"Si","No")</f>
        <v>No</v>
      </c>
      <c r="AH251" s="937" t="str">
        <f>IFERROR(INDEX(Tabla9[],MATCH(Producción_Ganadera[[#This Row],[Movimiento]],Tabla9[Movimientos],0),2),0)</f>
        <v>Si</v>
      </c>
      <c r="AI251" s="938" t="str">
        <f>IFERROR(INDEX(Tabla9[],MATCH(Producción_Ganadera[[#This Row],[Movimiento]],Tabla9[Movimientos],0),3),0)</f>
        <v>(-)</v>
      </c>
      <c r="AJ251" s="932">
        <f>IF(Producción_Ganadera[[#This Row],[Fecha Económico]]=0,0,MONTH(Producción_Ganadera[[#This Row],[Fecha Económico]]))</f>
        <v>0</v>
      </c>
      <c r="AK251" s="932">
        <f>IF(Producción_Ganadera[[#This Row],[Fecha Económico]]=0,0,YEAR(Producción_Ganadera[[#This Row],[Fecha Económico]]))</f>
        <v>0</v>
      </c>
      <c r="AL251" s="939">
        <f>SUMPRODUCT((Producción_Ganadera[[#This Row],[Mes Económico]]=Tipo_Cambio[Mes])*(Producción_Ganadera[[#This Row],[Año Económico]]=Tipo_Cambio[Año])*(Tipo_Cambio[$/U$S]))</f>
        <v>0</v>
      </c>
      <c r="AM251" s="939">
        <f>SUMPRODUCT((Producción_Ganadera[[#This Row],[Mes Económico]]=Tipo_Cambio[Mes])*(Producción_Ganadera[[#This Row],[Año Económico]]=Tipo_Cambio[Año])*(Tipo_Cambio[Actualización]))</f>
        <v>0</v>
      </c>
      <c r="AN251" s="932">
        <f>IF(ISNUMBER(Producción_Ganadera[[#This Row],[Fecha Financiero]])=TRUE,MONTH(Producción_Ganadera[[#This Row],[Fecha Financiero]]),0)</f>
        <v>0</v>
      </c>
      <c r="AO251" s="932">
        <f>IF(ISNUMBER(Producción_Ganadera[[#This Row],[Fecha Financiero]])=TRUE,YEAR(Producción_Ganadera[[#This Row],[Fecha Financiero]]),0)</f>
        <v>0</v>
      </c>
      <c r="AP251" s="939">
        <f>SUMPRODUCT((Producción_Ganadera[[#This Row],[Mes Financiero]]=Tipo_Cambio[Mes])*(Producción_Ganadera[[#This Row],[Año Financiero]]=Tipo_Cambio[Año])*(Tipo_Cambio[$/U$S]))</f>
        <v>0</v>
      </c>
      <c r="AQ251" s="939">
        <f>SUMPRODUCT((Producción_Ganadera[[#This Row],[Mes Financiero]]=Tipo_Cambio[Mes])*(Producción_Ganadera[[#This Row],[Año Financiero]]=Tipo_Cambio[Año])*(Tipo_Cambio[Actualización]))</f>
        <v>0</v>
      </c>
      <c r="AR251" s="940">
        <f>SUMPRODUCT((Producción_Ganadera[[#This Row],[Centro de Costo]]=Tabla19[Centro de Costo])*(Tabla19[Superficie])*(Producción_Ganadera[[#This Row],[Campaña]]=Tabla19[Campaña]))</f>
        <v>0</v>
      </c>
      <c r="AS251" s="936">
        <f>IFERROR(Producción_Ganadera[[#This Row],[Económico $Corrientes]]/Producción_Ganadera[[#This Row],[Superficie]],0)</f>
        <v>0</v>
      </c>
      <c r="AT251" s="936">
        <f>IFERROR(Producción_Ganadera[[#This Row],[Económico $Constantes]]/Producción_Ganadera[[#This Row],[Superficie]],0)</f>
        <v>0</v>
      </c>
      <c r="AU251" s="936">
        <f>IFERROR(Producción_Ganadera[[#This Row],[Económico U$S Dólares]]/Producción_Ganadera[[#This Row],[Superficie]],0)</f>
        <v>0</v>
      </c>
      <c r="AV251" s="934">
        <f>IF(Económico!$F$4=0,0,Producción_Ganadera[[#This Row],[Centro de Costo]])</f>
        <v>0</v>
      </c>
    </row>
    <row r="252" spans="2:48" x14ac:dyDescent="0.25">
      <c r="B252" s="378" t="s">
        <v>201</v>
      </c>
      <c r="D252" s="478"/>
      <c r="E252" s="522"/>
      <c r="F252" s="869" t="str">
        <f t="shared" si="15"/>
        <v>2018-2019</v>
      </c>
      <c r="G252" s="491" t="str">
        <f>GAN_Alimentacion</f>
        <v>Alimentación</v>
      </c>
      <c r="H252" s="491"/>
      <c r="I252" s="491"/>
      <c r="J252" s="549"/>
      <c r="K252" s="491"/>
      <c r="L252" s="520"/>
      <c r="M25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5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52" s="611"/>
      <c r="P252" s="484"/>
      <c r="Q252" s="875">
        <f>IF(ISNUMBER(Producción_Ganadera[[#This Row],[Cabezas]])=TRUE,Producción_Ganadera[[#This Row],[Cabezas]]*Producción_Ganadera[[#This Row],[Cantidad]],Producción_Ganadera[[#This Row],[Cantidad]])</f>
        <v>0</v>
      </c>
      <c r="R252" s="482"/>
      <c r="S252" s="552"/>
      <c r="T252" s="553"/>
      <c r="U25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52" s="881">
        <f>IFERROR(Producción_Ganadera[[#This Row],[Económico $Corrientes]]/Producción_Ganadera[[#This Row],[Indexación Económico]],0)</f>
        <v>0</v>
      </c>
      <c r="W25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5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52" s="881">
        <f>IFERROR(Producción_Ganadera[[#This Row],[Financiero $Corrientes]]/Producción_Ganadera[[#This Row],[Indexación Financiero]],0)</f>
        <v>0</v>
      </c>
      <c r="Z25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5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52" s="885">
        <f>IFERROR(Producción_Ganadera[[#This Row],[Intereses $Corrientes]]/Producción_Ganadera[[#This Row],[Indexación Financiero]],0)</f>
        <v>0</v>
      </c>
      <c r="AC25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52" s="915" t="str">
        <f>IFERROR(INDEX(Produccion_Ganadera_Cuentas[],MATCH(Producción_Ganadera[[#This Row],[Cuenta Contable]],Produccion_Ganadera_Cuentas[Cuenta Contable],0),2),0)</f>
        <v>Egreso</v>
      </c>
      <c r="AE252" s="916">
        <f>IF(Producción_Ganadera[[#This Row],[Mov. Stock]]="(+)",Producción_Ganadera[[#This Row],[Cabezas]],IF(Producción_Ganadera[[#This Row],[Mov. Stock]]="(-)",-Producción_Ganadera[[#This Row],[Cabezas]],0))</f>
        <v>0</v>
      </c>
      <c r="AF252" s="917">
        <f>IFERROR(INDEX(Produccion_Ganadera_Cuentas[],MATCH(Producción_Ganadera[[#This Row],[Cuenta Contable]],Produccion_Ganadera_Cuentas[Cuenta Contable],0),5),0)</f>
        <v>0</v>
      </c>
      <c r="AG252" s="918" t="str">
        <f>IF(Producción_Ganadera[[#This Row],[Cuenta Contable]]=Configuración!$AC$9,"Si","No")</f>
        <v>No</v>
      </c>
      <c r="AH252" s="887" t="str">
        <f>IFERROR(INDEX(Tabla9[],MATCH(Producción_Ganadera[[#This Row],[Movimiento]],Tabla9[Movimientos],0),2),0)</f>
        <v>Si</v>
      </c>
      <c r="AI252" s="888" t="str">
        <f>IFERROR(INDEX(Tabla9[],MATCH(Producción_Ganadera[[#This Row],[Movimiento]],Tabla9[Movimientos],0),3),0)</f>
        <v>(-)</v>
      </c>
      <c r="AJ252" s="885">
        <f>IF(Producción_Ganadera[[#This Row],[Fecha Económico]]=0,0,MONTH(Producción_Ganadera[[#This Row],[Fecha Económico]]))</f>
        <v>0</v>
      </c>
      <c r="AK252" s="885">
        <f>IF(Producción_Ganadera[[#This Row],[Fecha Económico]]=0,0,YEAR(Producción_Ganadera[[#This Row],[Fecha Económico]]))</f>
        <v>0</v>
      </c>
      <c r="AL252" s="889">
        <f>SUMPRODUCT((Producción_Ganadera[[#This Row],[Mes Económico]]=Tipo_Cambio[Mes])*(Producción_Ganadera[[#This Row],[Año Económico]]=Tipo_Cambio[Año])*(Tipo_Cambio[$/U$S]))</f>
        <v>0</v>
      </c>
      <c r="AM252" s="889">
        <f>SUMPRODUCT((Producción_Ganadera[[#This Row],[Mes Económico]]=Tipo_Cambio[Mes])*(Producción_Ganadera[[#This Row],[Año Económico]]=Tipo_Cambio[Año])*(Tipo_Cambio[Actualización]))</f>
        <v>0</v>
      </c>
      <c r="AN252" s="885">
        <f>IF(ISNUMBER(Producción_Ganadera[[#This Row],[Fecha Financiero]])=TRUE,MONTH(Producción_Ganadera[[#This Row],[Fecha Financiero]]),0)</f>
        <v>0</v>
      </c>
      <c r="AO252" s="885">
        <f>IF(ISNUMBER(Producción_Ganadera[[#This Row],[Fecha Financiero]])=TRUE,YEAR(Producción_Ganadera[[#This Row],[Fecha Financiero]]),0)</f>
        <v>0</v>
      </c>
      <c r="AP252" s="889">
        <f>SUMPRODUCT((Producción_Ganadera[[#This Row],[Mes Financiero]]=Tipo_Cambio[Mes])*(Producción_Ganadera[[#This Row],[Año Financiero]]=Tipo_Cambio[Año])*(Tipo_Cambio[$/U$S]))</f>
        <v>0</v>
      </c>
      <c r="AQ252" s="889">
        <f>SUMPRODUCT((Producción_Ganadera[[#This Row],[Mes Financiero]]=Tipo_Cambio[Mes])*(Producción_Ganadera[[#This Row],[Año Financiero]]=Tipo_Cambio[Año])*(Tipo_Cambio[Actualización]))</f>
        <v>0</v>
      </c>
      <c r="AR252" s="919">
        <f>SUMPRODUCT((Producción_Ganadera[[#This Row],[Centro de Costo]]=Tabla19[Centro de Costo])*(Tabla19[Superficie])*(Producción_Ganadera[[#This Row],[Campaña]]=Tabla19[Campaña]))</f>
        <v>0</v>
      </c>
      <c r="AS252" s="918">
        <f>IFERROR(Producción_Ganadera[[#This Row],[Económico $Corrientes]]/Producción_Ganadera[[#This Row],[Superficie]],0)</f>
        <v>0</v>
      </c>
      <c r="AT252" s="918">
        <f>IFERROR(Producción_Ganadera[[#This Row],[Económico $Constantes]]/Producción_Ganadera[[#This Row],[Superficie]],0)</f>
        <v>0</v>
      </c>
      <c r="AU252" s="918">
        <f>IFERROR(Producción_Ganadera[[#This Row],[Económico U$S Dólares]]/Producción_Ganadera[[#This Row],[Superficie]],0)</f>
        <v>0</v>
      </c>
      <c r="AV252" s="916">
        <f>IF(Económico!$F$4=0,0,Producción_Ganadera[[#This Row],[Centro de Costo]])</f>
        <v>0</v>
      </c>
    </row>
    <row r="253" spans="2:48" x14ac:dyDescent="0.25">
      <c r="B253" s="378"/>
      <c r="D253" s="478"/>
      <c r="E253" s="522"/>
      <c r="F253" s="869" t="str">
        <f t="shared" si="15"/>
        <v>2018-2019</v>
      </c>
      <c r="G253" s="491" t="str">
        <f>GAN_Alimentacion</f>
        <v>Alimentación</v>
      </c>
      <c r="H253" s="491"/>
      <c r="I253" s="491"/>
      <c r="J253" s="549"/>
      <c r="K253" s="491"/>
      <c r="L253" s="520"/>
      <c r="M25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5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53" s="611"/>
      <c r="P253" s="484"/>
      <c r="Q253" s="875">
        <f>IF(ISNUMBER(Producción_Ganadera[[#This Row],[Cabezas]])=TRUE,Producción_Ganadera[[#This Row],[Cabezas]]*Producción_Ganadera[[#This Row],[Cantidad]],Producción_Ganadera[[#This Row],[Cantidad]])</f>
        <v>0</v>
      </c>
      <c r="R253" s="482"/>
      <c r="S253" s="552"/>
      <c r="T253" s="553"/>
      <c r="U25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53" s="881">
        <f>IFERROR(Producción_Ganadera[[#This Row],[Económico $Corrientes]]/Producción_Ganadera[[#This Row],[Indexación Económico]],0)</f>
        <v>0</v>
      </c>
      <c r="W25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5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53" s="881">
        <f>IFERROR(Producción_Ganadera[[#This Row],[Financiero $Corrientes]]/Producción_Ganadera[[#This Row],[Indexación Financiero]],0)</f>
        <v>0</v>
      </c>
      <c r="Z25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5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53" s="885">
        <f>IFERROR(Producción_Ganadera[[#This Row],[Intereses $Corrientes]]/Producción_Ganadera[[#This Row],[Indexación Financiero]],0)</f>
        <v>0</v>
      </c>
      <c r="AC25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53" s="915" t="str">
        <f>IFERROR(INDEX(Produccion_Ganadera_Cuentas[],MATCH(Producción_Ganadera[[#This Row],[Cuenta Contable]],Produccion_Ganadera_Cuentas[Cuenta Contable],0),2),0)</f>
        <v>Egreso</v>
      </c>
      <c r="AE253" s="916">
        <f>IF(Producción_Ganadera[[#This Row],[Mov. Stock]]="(+)",Producción_Ganadera[[#This Row],[Cabezas]],IF(Producción_Ganadera[[#This Row],[Mov. Stock]]="(-)",-Producción_Ganadera[[#This Row],[Cabezas]],0))</f>
        <v>0</v>
      </c>
      <c r="AF253" s="917">
        <f>IFERROR(INDEX(Produccion_Ganadera_Cuentas[],MATCH(Producción_Ganadera[[#This Row],[Cuenta Contable]],Produccion_Ganadera_Cuentas[Cuenta Contable],0),5),0)</f>
        <v>0</v>
      </c>
      <c r="AG253" s="918" t="str">
        <f>IF(Producción_Ganadera[[#This Row],[Cuenta Contable]]=Configuración!$AC$9,"Si","No")</f>
        <v>No</v>
      </c>
      <c r="AH253" s="887" t="str">
        <f>IFERROR(INDEX(Tabla9[],MATCH(Producción_Ganadera[[#This Row],[Movimiento]],Tabla9[Movimientos],0),2),0)</f>
        <v>Si</v>
      </c>
      <c r="AI253" s="888" t="str">
        <f>IFERROR(INDEX(Tabla9[],MATCH(Producción_Ganadera[[#This Row],[Movimiento]],Tabla9[Movimientos],0),3),0)</f>
        <v>(-)</v>
      </c>
      <c r="AJ253" s="885">
        <f>IF(Producción_Ganadera[[#This Row],[Fecha Económico]]=0,0,MONTH(Producción_Ganadera[[#This Row],[Fecha Económico]]))</f>
        <v>0</v>
      </c>
      <c r="AK253" s="885">
        <f>IF(Producción_Ganadera[[#This Row],[Fecha Económico]]=0,0,YEAR(Producción_Ganadera[[#This Row],[Fecha Económico]]))</f>
        <v>0</v>
      </c>
      <c r="AL253" s="889">
        <f>SUMPRODUCT((Producción_Ganadera[[#This Row],[Mes Económico]]=Tipo_Cambio[Mes])*(Producción_Ganadera[[#This Row],[Año Económico]]=Tipo_Cambio[Año])*(Tipo_Cambio[$/U$S]))</f>
        <v>0</v>
      </c>
      <c r="AM253" s="889">
        <f>SUMPRODUCT((Producción_Ganadera[[#This Row],[Mes Económico]]=Tipo_Cambio[Mes])*(Producción_Ganadera[[#This Row],[Año Económico]]=Tipo_Cambio[Año])*(Tipo_Cambio[Actualización]))</f>
        <v>0</v>
      </c>
      <c r="AN253" s="885">
        <f>IF(ISNUMBER(Producción_Ganadera[[#This Row],[Fecha Financiero]])=TRUE,MONTH(Producción_Ganadera[[#This Row],[Fecha Financiero]]),0)</f>
        <v>0</v>
      </c>
      <c r="AO253" s="885">
        <f>IF(ISNUMBER(Producción_Ganadera[[#This Row],[Fecha Financiero]])=TRUE,YEAR(Producción_Ganadera[[#This Row],[Fecha Financiero]]),0)</f>
        <v>0</v>
      </c>
      <c r="AP253" s="889">
        <f>SUMPRODUCT((Producción_Ganadera[[#This Row],[Mes Financiero]]=Tipo_Cambio[Mes])*(Producción_Ganadera[[#This Row],[Año Financiero]]=Tipo_Cambio[Año])*(Tipo_Cambio[$/U$S]))</f>
        <v>0</v>
      </c>
      <c r="AQ253" s="889">
        <f>SUMPRODUCT((Producción_Ganadera[[#This Row],[Mes Financiero]]=Tipo_Cambio[Mes])*(Producción_Ganadera[[#This Row],[Año Financiero]]=Tipo_Cambio[Año])*(Tipo_Cambio[Actualización]))</f>
        <v>0</v>
      </c>
      <c r="AR253" s="919">
        <f>SUMPRODUCT((Producción_Ganadera[[#This Row],[Centro de Costo]]=Tabla19[Centro de Costo])*(Tabla19[Superficie])*(Producción_Ganadera[[#This Row],[Campaña]]=Tabla19[Campaña]))</f>
        <v>0</v>
      </c>
      <c r="AS253" s="918">
        <f>IFERROR(Producción_Ganadera[[#This Row],[Económico $Corrientes]]/Producción_Ganadera[[#This Row],[Superficie]],0)</f>
        <v>0</v>
      </c>
      <c r="AT253" s="918">
        <f>IFERROR(Producción_Ganadera[[#This Row],[Económico $Constantes]]/Producción_Ganadera[[#This Row],[Superficie]],0)</f>
        <v>0</v>
      </c>
      <c r="AU253" s="918">
        <f>IFERROR(Producción_Ganadera[[#This Row],[Económico U$S Dólares]]/Producción_Ganadera[[#This Row],[Superficie]],0)</f>
        <v>0</v>
      </c>
      <c r="AV253" s="916">
        <f>IF(Económico!$F$4=0,0,Producción_Ganadera[[#This Row],[Centro de Costo]])</f>
        <v>0</v>
      </c>
    </row>
    <row r="254" spans="2:48" x14ac:dyDescent="0.25">
      <c r="D254" s="478"/>
      <c r="E254" s="522"/>
      <c r="F254" s="869" t="str">
        <f t="shared" si="15"/>
        <v>2018-2019</v>
      </c>
      <c r="G254" s="491" t="str">
        <f>GAN_Alimentacion</f>
        <v>Alimentación</v>
      </c>
      <c r="H254" s="491"/>
      <c r="I254" s="491"/>
      <c r="J254" s="549"/>
      <c r="K254" s="491"/>
      <c r="L254" s="520"/>
      <c r="M25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5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54" s="611"/>
      <c r="P254" s="484"/>
      <c r="Q254" s="875">
        <f>IF(ISNUMBER(Producción_Ganadera[[#This Row],[Cabezas]])=TRUE,Producción_Ganadera[[#This Row],[Cabezas]]*Producción_Ganadera[[#This Row],[Cantidad]],Producción_Ganadera[[#This Row],[Cantidad]])</f>
        <v>0</v>
      </c>
      <c r="R254" s="482"/>
      <c r="S254" s="552"/>
      <c r="T254" s="553"/>
      <c r="U25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54" s="881">
        <f>IFERROR(Producción_Ganadera[[#This Row],[Económico $Corrientes]]/Producción_Ganadera[[#This Row],[Indexación Económico]],0)</f>
        <v>0</v>
      </c>
      <c r="W25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5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54" s="881">
        <f>IFERROR(Producción_Ganadera[[#This Row],[Financiero $Corrientes]]/Producción_Ganadera[[#This Row],[Indexación Financiero]],0)</f>
        <v>0</v>
      </c>
      <c r="Z25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5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54" s="885">
        <f>IFERROR(Producción_Ganadera[[#This Row],[Intereses $Corrientes]]/Producción_Ganadera[[#This Row],[Indexación Financiero]],0)</f>
        <v>0</v>
      </c>
      <c r="AC25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54" s="915" t="str">
        <f>IFERROR(INDEX(Produccion_Ganadera_Cuentas[],MATCH(Producción_Ganadera[[#This Row],[Cuenta Contable]],Produccion_Ganadera_Cuentas[Cuenta Contable],0),2),0)</f>
        <v>Egreso</v>
      </c>
      <c r="AE254" s="916">
        <f>IF(Producción_Ganadera[[#This Row],[Mov. Stock]]="(+)",Producción_Ganadera[[#This Row],[Cabezas]],IF(Producción_Ganadera[[#This Row],[Mov. Stock]]="(-)",-Producción_Ganadera[[#This Row],[Cabezas]],0))</f>
        <v>0</v>
      </c>
      <c r="AF254" s="917">
        <f>IFERROR(INDEX(Produccion_Ganadera_Cuentas[],MATCH(Producción_Ganadera[[#This Row],[Cuenta Contable]],Produccion_Ganadera_Cuentas[Cuenta Contable],0),5),0)</f>
        <v>0</v>
      </c>
      <c r="AG254" s="918" t="str">
        <f>IF(Producción_Ganadera[[#This Row],[Cuenta Contable]]=Configuración!$AC$9,"Si","No")</f>
        <v>No</v>
      </c>
      <c r="AH254" s="887" t="str">
        <f>IFERROR(INDEX(Tabla9[],MATCH(Producción_Ganadera[[#This Row],[Movimiento]],Tabla9[Movimientos],0),2),0)</f>
        <v>Si</v>
      </c>
      <c r="AI254" s="888" t="str">
        <f>IFERROR(INDEX(Tabla9[],MATCH(Producción_Ganadera[[#This Row],[Movimiento]],Tabla9[Movimientos],0),3),0)</f>
        <v>(-)</v>
      </c>
      <c r="AJ254" s="885">
        <f>IF(Producción_Ganadera[[#This Row],[Fecha Económico]]=0,0,MONTH(Producción_Ganadera[[#This Row],[Fecha Económico]]))</f>
        <v>0</v>
      </c>
      <c r="AK254" s="885">
        <f>IF(Producción_Ganadera[[#This Row],[Fecha Económico]]=0,0,YEAR(Producción_Ganadera[[#This Row],[Fecha Económico]]))</f>
        <v>0</v>
      </c>
      <c r="AL254" s="889">
        <f>SUMPRODUCT((Producción_Ganadera[[#This Row],[Mes Económico]]=Tipo_Cambio[Mes])*(Producción_Ganadera[[#This Row],[Año Económico]]=Tipo_Cambio[Año])*(Tipo_Cambio[$/U$S]))</f>
        <v>0</v>
      </c>
      <c r="AM254" s="889">
        <f>SUMPRODUCT((Producción_Ganadera[[#This Row],[Mes Económico]]=Tipo_Cambio[Mes])*(Producción_Ganadera[[#This Row],[Año Económico]]=Tipo_Cambio[Año])*(Tipo_Cambio[Actualización]))</f>
        <v>0</v>
      </c>
      <c r="AN254" s="885">
        <f>IF(ISNUMBER(Producción_Ganadera[[#This Row],[Fecha Financiero]])=TRUE,MONTH(Producción_Ganadera[[#This Row],[Fecha Financiero]]),0)</f>
        <v>0</v>
      </c>
      <c r="AO254" s="885">
        <f>IF(ISNUMBER(Producción_Ganadera[[#This Row],[Fecha Financiero]])=TRUE,YEAR(Producción_Ganadera[[#This Row],[Fecha Financiero]]),0)</f>
        <v>0</v>
      </c>
      <c r="AP254" s="889">
        <f>SUMPRODUCT((Producción_Ganadera[[#This Row],[Mes Financiero]]=Tipo_Cambio[Mes])*(Producción_Ganadera[[#This Row],[Año Financiero]]=Tipo_Cambio[Año])*(Tipo_Cambio[$/U$S]))</f>
        <v>0</v>
      </c>
      <c r="AQ254" s="889">
        <f>SUMPRODUCT((Producción_Ganadera[[#This Row],[Mes Financiero]]=Tipo_Cambio[Mes])*(Producción_Ganadera[[#This Row],[Año Financiero]]=Tipo_Cambio[Año])*(Tipo_Cambio[Actualización]))</f>
        <v>0</v>
      </c>
      <c r="AR254" s="919">
        <f>SUMPRODUCT((Producción_Ganadera[[#This Row],[Centro de Costo]]=Tabla19[Centro de Costo])*(Tabla19[Superficie])*(Producción_Ganadera[[#This Row],[Campaña]]=Tabla19[Campaña]))</f>
        <v>0</v>
      </c>
      <c r="AS254" s="918">
        <f>IFERROR(Producción_Ganadera[[#This Row],[Económico $Corrientes]]/Producción_Ganadera[[#This Row],[Superficie]],0)</f>
        <v>0</v>
      </c>
      <c r="AT254" s="918">
        <f>IFERROR(Producción_Ganadera[[#This Row],[Económico $Constantes]]/Producción_Ganadera[[#This Row],[Superficie]],0)</f>
        <v>0</v>
      </c>
      <c r="AU254" s="918">
        <f>IFERROR(Producción_Ganadera[[#This Row],[Económico U$S Dólares]]/Producción_Ganadera[[#This Row],[Superficie]],0)</f>
        <v>0</v>
      </c>
      <c r="AV254" s="916">
        <f>IF(Económico!$F$4=0,0,Producción_Ganadera[[#This Row],[Centro de Costo]])</f>
        <v>0</v>
      </c>
    </row>
    <row r="255" spans="2:48" x14ac:dyDescent="0.25">
      <c r="D255" s="478"/>
      <c r="E255" s="522"/>
      <c r="F255" s="869" t="str">
        <f t="shared" si="15"/>
        <v>2018-2019</v>
      </c>
      <c r="G255" s="491" t="str">
        <f>GAN_Alimentacion</f>
        <v>Alimentación</v>
      </c>
      <c r="H255" s="491"/>
      <c r="I255" s="491"/>
      <c r="J255" s="549"/>
      <c r="K255" s="491"/>
      <c r="L255" s="520"/>
      <c r="M25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5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55" s="611"/>
      <c r="P255" s="484"/>
      <c r="Q255" s="875">
        <f>IF(ISNUMBER(Producción_Ganadera[[#This Row],[Cabezas]])=TRUE,Producción_Ganadera[[#This Row],[Cabezas]]*Producción_Ganadera[[#This Row],[Cantidad]],Producción_Ganadera[[#This Row],[Cantidad]])</f>
        <v>0</v>
      </c>
      <c r="R255" s="482"/>
      <c r="S255" s="552"/>
      <c r="T255" s="553"/>
      <c r="U25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55" s="881">
        <f>IFERROR(Producción_Ganadera[[#This Row],[Económico $Corrientes]]/Producción_Ganadera[[#This Row],[Indexación Económico]],0)</f>
        <v>0</v>
      </c>
      <c r="W25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5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55" s="881">
        <f>IFERROR(Producción_Ganadera[[#This Row],[Financiero $Corrientes]]/Producción_Ganadera[[#This Row],[Indexación Financiero]],0)</f>
        <v>0</v>
      </c>
      <c r="Z25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5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55" s="885">
        <f>IFERROR(Producción_Ganadera[[#This Row],[Intereses $Corrientes]]/Producción_Ganadera[[#This Row],[Indexación Financiero]],0)</f>
        <v>0</v>
      </c>
      <c r="AC25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55" s="915" t="str">
        <f>IFERROR(INDEX(Produccion_Ganadera_Cuentas[],MATCH(Producción_Ganadera[[#This Row],[Cuenta Contable]],Produccion_Ganadera_Cuentas[Cuenta Contable],0),2),0)</f>
        <v>Egreso</v>
      </c>
      <c r="AE255" s="916">
        <f>IF(Producción_Ganadera[[#This Row],[Mov. Stock]]="(+)",Producción_Ganadera[[#This Row],[Cabezas]],IF(Producción_Ganadera[[#This Row],[Mov. Stock]]="(-)",-Producción_Ganadera[[#This Row],[Cabezas]],0))</f>
        <v>0</v>
      </c>
      <c r="AF255" s="917">
        <f>IFERROR(INDEX(Produccion_Ganadera_Cuentas[],MATCH(Producción_Ganadera[[#This Row],[Cuenta Contable]],Produccion_Ganadera_Cuentas[Cuenta Contable],0),5),0)</f>
        <v>0</v>
      </c>
      <c r="AG255" s="918" t="str">
        <f>IF(Producción_Ganadera[[#This Row],[Cuenta Contable]]=Configuración!$AC$9,"Si","No")</f>
        <v>No</v>
      </c>
      <c r="AH255" s="887" t="str">
        <f>IFERROR(INDEX(Tabla9[],MATCH(Producción_Ganadera[[#This Row],[Movimiento]],Tabla9[Movimientos],0),2),0)</f>
        <v>Si</v>
      </c>
      <c r="AI255" s="888" t="str">
        <f>IFERROR(INDEX(Tabla9[],MATCH(Producción_Ganadera[[#This Row],[Movimiento]],Tabla9[Movimientos],0),3),0)</f>
        <v>(-)</v>
      </c>
      <c r="AJ255" s="885">
        <f>IF(Producción_Ganadera[[#This Row],[Fecha Económico]]=0,0,MONTH(Producción_Ganadera[[#This Row],[Fecha Económico]]))</f>
        <v>0</v>
      </c>
      <c r="AK255" s="885">
        <f>IF(Producción_Ganadera[[#This Row],[Fecha Económico]]=0,0,YEAR(Producción_Ganadera[[#This Row],[Fecha Económico]]))</f>
        <v>0</v>
      </c>
      <c r="AL255" s="889">
        <f>SUMPRODUCT((Producción_Ganadera[[#This Row],[Mes Económico]]=Tipo_Cambio[Mes])*(Producción_Ganadera[[#This Row],[Año Económico]]=Tipo_Cambio[Año])*(Tipo_Cambio[$/U$S]))</f>
        <v>0</v>
      </c>
      <c r="AM255" s="889">
        <f>SUMPRODUCT((Producción_Ganadera[[#This Row],[Mes Económico]]=Tipo_Cambio[Mes])*(Producción_Ganadera[[#This Row],[Año Económico]]=Tipo_Cambio[Año])*(Tipo_Cambio[Actualización]))</f>
        <v>0</v>
      </c>
      <c r="AN255" s="885">
        <f>IF(ISNUMBER(Producción_Ganadera[[#This Row],[Fecha Financiero]])=TRUE,MONTH(Producción_Ganadera[[#This Row],[Fecha Financiero]]),0)</f>
        <v>0</v>
      </c>
      <c r="AO255" s="885">
        <f>IF(ISNUMBER(Producción_Ganadera[[#This Row],[Fecha Financiero]])=TRUE,YEAR(Producción_Ganadera[[#This Row],[Fecha Financiero]]),0)</f>
        <v>0</v>
      </c>
      <c r="AP255" s="889">
        <f>SUMPRODUCT((Producción_Ganadera[[#This Row],[Mes Financiero]]=Tipo_Cambio[Mes])*(Producción_Ganadera[[#This Row],[Año Financiero]]=Tipo_Cambio[Año])*(Tipo_Cambio[$/U$S]))</f>
        <v>0</v>
      </c>
      <c r="AQ255" s="889">
        <f>SUMPRODUCT((Producción_Ganadera[[#This Row],[Mes Financiero]]=Tipo_Cambio[Mes])*(Producción_Ganadera[[#This Row],[Año Financiero]]=Tipo_Cambio[Año])*(Tipo_Cambio[Actualización]))</f>
        <v>0</v>
      </c>
      <c r="AR255" s="919">
        <f>SUMPRODUCT((Producción_Ganadera[[#This Row],[Centro de Costo]]=Tabla19[Centro de Costo])*(Tabla19[Superficie])*(Producción_Ganadera[[#This Row],[Campaña]]=Tabla19[Campaña]))</f>
        <v>0</v>
      </c>
      <c r="AS255" s="918">
        <f>IFERROR(Producción_Ganadera[[#This Row],[Económico $Corrientes]]/Producción_Ganadera[[#This Row],[Superficie]],0)</f>
        <v>0</v>
      </c>
      <c r="AT255" s="918">
        <f>IFERROR(Producción_Ganadera[[#This Row],[Económico $Constantes]]/Producción_Ganadera[[#This Row],[Superficie]],0)</f>
        <v>0</v>
      </c>
      <c r="AU255" s="918">
        <f>IFERROR(Producción_Ganadera[[#This Row],[Económico U$S Dólares]]/Producción_Ganadera[[#This Row],[Superficie]],0)</f>
        <v>0</v>
      </c>
      <c r="AV255" s="916">
        <f>IF(Económico!$F$4=0,0,Producción_Ganadera[[#This Row],[Centro de Costo]])</f>
        <v>0</v>
      </c>
    </row>
    <row r="256" spans="2:48" x14ac:dyDescent="0.25">
      <c r="D256" s="478"/>
      <c r="E256" s="522"/>
      <c r="F256" s="869" t="str">
        <f t="shared" si="15"/>
        <v>2018-2019</v>
      </c>
      <c r="G256" s="491" t="s">
        <v>201</v>
      </c>
      <c r="H256" s="491"/>
      <c r="I256" s="491"/>
      <c r="J256" s="549"/>
      <c r="K256" s="491"/>
      <c r="L256" s="520"/>
      <c r="M25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5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56" s="611"/>
      <c r="P256" s="484"/>
      <c r="Q256" s="875">
        <f>IF(ISNUMBER(Producción_Ganadera[[#This Row],[Cabezas]])=TRUE,Producción_Ganadera[[#This Row],[Cabezas]]*Producción_Ganadera[[#This Row],[Cantidad]],Producción_Ganadera[[#This Row],[Cantidad]])</f>
        <v>0</v>
      </c>
      <c r="R256" s="482"/>
      <c r="S256" s="552"/>
      <c r="T256" s="553"/>
      <c r="U25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56" s="881">
        <f>IFERROR(Producción_Ganadera[[#This Row],[Económico $Corrientes]]/Producción_Ganadera[[#This Row],[Indexación Económico]],0)</f>
        <v>0</v>
      </c>
      <c r="W25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5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56" s="881">
        <f>IFERROR(Producción_Ganadera[[#This Row],[Financiero $Corrientes]]/Producción_Ganadera[[#This Row],[Indexación Financiero]],0)</f>
        <v>0</v>
      </c>
      <c r="Z25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5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56" s="885">
        <f>IFERROR(Producción_Ganadera[[#This Row],[Intereses $Corrientes]]/Producción_Ganadera[[#This Row],[Indexación Financiero]],0)</f>
        <v>0</v>
      </c>
      <c r="AC25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56" s="915" t="str">
        <f>IFERROR(INDEX(Produccion_Ganadera_Cuentas[],MATCH(Producción_Ganadera[[#This Row],[Cuenta Contable]],Produccion_Ganadera_Cuentas[Cuenta Contable],0),2),0)</f>
        <v>Egreso Cesión</v>
      </c>
      <c r="AE256" s="916">
        <f>IF(Producción_Ganadera[[#This Row],[Mov. Stock]]="(+)",Producción_Ganadera[[#This Row],[Cabezas]],IF(Producción_Ganadera[[#This Row],[Mov. Stock]]="(-)",-Producción_Ganadera[[#This Row],[Cabezas]],0))</f>
        <v>0</v>
      </c>
      <c r="AF256" s="917">
        <f>IFERROR(INDEX(Produccion_Ganadera_Cuentas[],MATCH(Producción_Ganadera[[#This Row],[Cuenta Contable]],Produccion_Ganadera_Cuentas[Cuenta Contable],0),5),0)</f>
        <v>0</v>
      </c>
      <c r="AG256" s="918" t="str">
        <f>IF(Producción_Ganadera[[#This Row],[Cuenta Contable]]=Configuración!$AC$9,"Si","No")</f>
        <v>No</v>
      </c>
      <c r="AH256" s="887" t="str">
        <f>IFERROR(INDEX(Tabla9[],MATCH(Producción_Ganadera[[#This Row],[Movimiento]],Tabla9[Movimientos],0),2),0)</f>
        <v>No</v>
      </c>
      <c r="AI256" s="888" t="str">
        <f>IFERROR(INDEX(Tabla9[],MATCH(Producción_Ganadera[[#This Row],[Movimiento]],Tabla9[Movimientos],0),3),0)</f>
        <v>(-)</v>
      </c>
      <c r="AJ256" s="885">
        <f>IF(Producción_Ganadera[[#This Row],[Fecha Económico]]=0,0,MONTH(Producción_Ganadera[[#This Row],[Fecha Económico]]))</f>
        <v>0</v>
      </c>
      <c r="AK256" s="885">
        <f>IF(Producción_Ganadera[[#This Row],[Fecha Económico]]=0,0,YEAR(Producción_Ganadera[[#This Row],[Fecha Económico]]))</f>
        <v>0</v>
      </c>
      <c r="AL256" s="889">
        <f>SUMPRODUCT((Producción_Ganadera[[#This Row],[Mes Económico]]=Tipo_Cambio[Mes])*(Producción_Ganadera[[#This Row],[Año Económico]]=Tipo_Cambio[Año])*(Tipo_Cambio[$/U$S]))</f>
        <v>0</v>
      </c>
      <c r="AM256" s="889">
        <f>SUMPRODUCT((Producción_Ganadera[[#This Row],[Mes Económico]]=Tipo_Cambio[Mes])*(Producción_Ganadera[[#This Row],[Año Económico]]=Tipo_Cambio[Año])*(Tipo_Cambio[Actualización]))</f>
        <v>0</v>
      </c>
      <c r="AN256" s="885">
        <f>IF(ISNUMBER(Producción_Ganadera[[#This Row],[Fecha Financiero]])=TRUE,MONTH(Producción_Ganadera[[#This Row],[Fecha Financiero]]),0)</f>
        <v>0</v>
      </c>
      <c r="AO256" s="885">
        <f>IF(ISNUMBER(Producción_Ganadera[[#This Row],[Fecha Financiero]])=TRUE,YEAR(Producción_Ganadera[[#This Row],[Fecha Financiero]]),0)</f>
        <v>0</v>
      </c>
      <c r="AP256" s="889">
        <f>SUMPRODUCT((Producción_Ganadera[[#This Row],[Mes Financiero]]=Tipo_Cambio[Mes])*(Producción_Ganadera[[#This Row],[Año Financiero]]=Tipo_Cambio[Año])*(Tipo_Cambio[$/U$S]))</f>
        <v>0</v>
      </c>
      <c r="AQ256" s="889">
        <f>SUMPRODUCT((Producción_Ganadera[[#This Row],[Mes Financiero]]=Tipo_Cambio[Mes])*(Producción_Ganadera[[#This Row],[Año Financiero]]=Tipo_Cambio[Año])*(Tipo_Cambio[Actualización]))</f>
        <v>0</v>
      </c>
      <c r="AR256" s="919">
        <f>SUMPRODUCT((Producción_Ganadera[[#This Row],[Centro de Costo]]=Tabla19[Centro de Costo])*(Tabla19[Superficie])*(Producción_Ganadera[[#This Row],[Campaña]]=Tabla19[Campaña]))</f>
        <v>0</v>
      </c>
      <c r="AS256" s="918">
        <f>IFERROR(Producción_Ganadera[[#This Row],[Económico $Corrientes]]/Producción_Ganadera[[#This Row],[Superficie]],0)</f>
        <v>0</v>
      </c>
      <c r="AT256" s="918">
        <f>IFERROR(Producción_Ganadera[[#This Row],[Económico $Constantes]]/Producción_Ganadera[[#This Row],[Superficie]],0)</f>
        <v>0</v>
      </c>
      <c r="AU256" s="918">
        <f>IFERROR(Producción_Ganadera[[#This Row],[Económico U$S Dólares]]/Producción_Ganadera[[#This Row],[Superficie]],0)</f>
        <v>0</v>
      </c>
      <c r="AV256" s="916">
        <f>IF(Económico!$F$4=0,0,Producción_Ganadera[[#This Row],[Centro de Costo]])</f>
        <v>0</v>
      </c>
    </row>
    <row r="257" spans="2:48" x14ac:dyDescent="0.25">
      <c r="D257" s="478"/>
      <c r="E257" s="522"/>
      <c r="F257" s="869" t="str">
        <f t="shared" si="15"/>
        <v>2018-2019</v>
      </c>
      <c r="G257" s="491" t="s">
        <v>201</v>
      </c>
      <c r="H257" s="491"/>
      <c r="I257" s="491"/>
      <c r="J257" s="549"/>
      <c r="K257" s="491"/>
      <c r="L257" s="520"/>
      <c r="M25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5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57" s="611"/>
      <c r="P257" s="484"/>
      <c r="Q257" s="875">
        <f>IF(ISNUMBER(Producción_Ganadera[[#This Row],[Cabezas]])=TRUE,Producción_Ganadera[[#This Row],[Cabezas]]*Producción_Ganadera[[#This Row],[Cantidad]],Producción_Ganadera[[#This Row],[Cantidad]])</f>
        <v>0</v>
      </c>
      <c r="R257" s="482"/>
      <c r="S257" s="552"/>
      <c r="T257" s="553"/>
      <c r="U25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57" s="881">
        <f>IFERROR(Producción_Ganadera[[#This Row],[Económico $Corrientes]]/Producción_Ganadera[[#This Row],[Indexación Económico]],0)</f>
        <v>0</v>
      </c>
      <c r="W25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5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57" s="881">
        <f>IFERROR(Producción_Ganadera[[#This Row],[Financiero $Corrientes]]/Producción_Ganadera[[#This Row],[Indexación Financiero]],0)</f>
        <v>0</v>
      </c>
      <c r="Z25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5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57" s="885">
        <f>IFERROR(Producción_Ganadera[[#This Row],[Intereses $Corrientes]]/Producción_Ganadera[[#This Row],[Indexación Financiero]],0)</f>
        <v>0</v>
      </c>
      <c r="AC25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57" s="915" t="str">
        <f>IFERROR(INDEX(Produccion_Ganadera_Cuentas[],MATCH(Producción_Ganadera[[#This Row],[Cuenta Contable]],Produccion_Ganadera_Cuentas[Cuenta Contable],0),2),0)</f>
        <v>Egreso Cesión</v>
      </c>
      <c r="AE257" s="916">
        <f>IF(Producción_Ganadera[[#This Row],[Mov. Stock]]="(+)",Producción_Ganadera[[#This Row],[Cabezas]],IF(Producción_Ganadera[[#This Row],[Mov. Stock]]="(-)",-Producción_Ganadera[[#This Row],[Cabezas]],0))</f>
        <v>0</v>
      </c>
      <c r="AF257" s="917">
        <f>IFERROR(INDEX(Produccion_Ganadera_Cuentas[],MATCH(Producción_Ganadera[[#This Row],[Cuenta Contable]],Produccion_Ganadera_Cuentas[Cuenta Contable],0),5),0)</f>
        <v>0</v>
      </c>
      <c r="AG257" s="918" t="str">
        <f>IF(Producción_Ganadera[[#This Row],[Cuenta Contable]]=Configuración!$AC$9,"Si","No")</f>
        <v>No</v>
      </c>
      <c r="AH257" s="887" t="str">
        <f>IFERROR(INDEX(Tabla9[],MATCH(Producción_Ganadera[[#This Row],[Movimiento]],Tabla9[Movimientos],0),2),0)</f>
        <v>No</v>
      </c>
      <c r="AI257" s="888" t="str">
        <f>IFERROR(INDEX(Tabla9[],MATCH(Producción_Ganadera[[#This Row],[Movimiento]],Tabla9[Movimientos],0),3),0)</f>
        <v>(-)</v>
      </c>
      <c r="AJ257" s="885">
        <f>IF(Producción_Ganadera[[#This Row],[Fecha Económico]]=0,0,MONTH(Producción_Ganadera[[#This Row],[Fecha Económico]]))</f>
        <v>0</v>
      </c>
      <c r="AK257" s="885">
        <f>IF(Producción_Ganadera[[#This Row],[Fecha Económico]]=0,0,YEAR(Producción_Ganadera[[#This Row],[Fecha Económico]]))</f>
        <v>0</v>
      </c>
      <c r="AL257" s="889">
        <f>SUMPRODUCT((Producción_Ganadera[[#This Row],[Mes Económico]]=Tipo_Cambio[Mes])*(Producción_Ganadera[[#This Row],[Año Económico]]=Tipo_Cambio[Año])*(Tipo_Cambio[$/U$S]))</f>
        <v>0</v>
      </c>
      <c r="AM257" s="889">
        <f>SUMPRODUCT((Producción_Ganadera[[#This Row],[Mes Económico]]=Tipo_Cambio[Mes])*(Producción_Ganadera[[#This Row],[Año Económico]]=Tipo_Cambio[Año])*(Tipo_Cambio[Actualización]))</f>
        <v>0</v>
      </c>
      <c r="AN257" s="885">
        <f>IF(ISNUMBER(Producción_Ganadera[[#This Row],[Fecha Financiero]])=TRUE,MONTH(Producción_Ganadera[[#This Row],[Fecha Financiero]]),0)</f>
        <v>0</v>
      </c>
      <c r="AO257" s="885">
        <f>IF(ISNUMBER(Producción_Ganadera[[#This Row],[Fecha Financiero]])=TRUE,YEAR(Producción_Ganadera[[#This Row],[Fecha Financiero]]),0)</f>
        <v>0</v>
      </c>
      <c r="AP257" s="889">
        <f>SUMPRODUCT((Producción_Ganadera[[#This Row],[Mes Financiero]]=Tipo_Cambio[Mes])*(Producción_Ganadera[[#This Row],[Año Financiero]]=Tipo_Cambio[Año])*(Tipo_Cambio[$/U$S]))</f>
        <v>0</v>
      </c>
      <c r="AQ257" s="889">
        <f>SUMPRODUCT((Producción_Ganadera[[#This Row],[Mes Financiero]]=Tipo_Cambio[Mes])*(Producción_Ganadera[[#This Row],[Año Financiero]]=Tipo_Cambio[Año])*(Tipo_Cambio[Actualización]))</f>
        <v>0</v>
      </c>
      <c r="AR257" s="919">
        <f>SUMPRODUCT((Producción_Ganadera[[#This Row],[Centro de Costo]]=Tabla19[Centro de Costo])*(Tabla19[Superficie])*(Producción_Ganadera[[#This Row],[Campaña]]=Tabla19[Campaña]))</f>
        <v>0</v>
      </c>
      <c r="AS257" s="918">
        <f>IFERROR(Producción_Ganadera[[#This Row],[Económico $Corrientes]]/Producción_Ganadera[[#This Row],[Superficie]],0)</f>
        <v>0</v>
      </c>
      <c r="AT257" s="918">
        <f>IFERROR(Producción_Ganadera[[#This Row],[Económico $Constantes]]/Producción_Ganadera[[#This Row],[Superficie]],0)</f>
        <v>0</v>
      </c>
      <c r="AU257" s="918">
        <f>IFERROR(Producción_Ganadera[[#This Row],[Económico U$S Dólares]]/Producción_Ganadera[[#This Row],[Superficie]],0)</f>
        <v>0</v>
      </c>
      <c r="AV257" s="916">
        <f>IF(Económico!$F$4=0,0,Producción_Ganadera[[#This Row],[Centro de Costo]])</f>
        <v>0</v>
      </c>
    </row>
    <row r="258" spans="2:48" ht="15.75" thickBot="1" x14ac:dyDescent="0.3">
      <c r="B258" s="373" t="s">
        <v>101</v>
      </c>
      <c r="D258" s="478"/>
      <c r="E258" s="522"/>
      <c r="F258" s="869" t="str">
        <f t="shared" si="15"/>
        <v>2018-2019</v>
      </c>
      <c r="G258" s="491" t="s">
        <v>201</v>
      </c>
      <c r="H258" s="491"/>
      <c r="I258" s="491"/>
      <c r="J258" s="549"/>
      <c r="K258" s="491"/>
      <c r="L258" s="520"/>
      <c r="M25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5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58" s="611"/>
      <c r="P258" s="484"/>
      <c r="Q258" s="875">
        <f>IF(ISNUMBER(Producción_Ganadera[[#This Row],[Cabezas]])=TRUE,Producción_Ganadera[[#This Row],[Cabezas]]*Producción_Ganadera[[#This Row],[Cantidad]],Producción_Ganadera[[#This Row],[Cantidad]])</f>
        <v>0</v>
      </c>
      <c r="R258" s="482"/>
      <c r="S258" s="552"/>
      <c r="T258" s="553"/>
      <c r="U25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58" s="881">
        <f>IFERROR(Producción_Ganadera[[#This Row],[Económico $Corrientes]]/Producción_Ganadera[[#This Row],[Indexación Económico]],0)</f>
        <v>0</v>
      </c>
      <c r="W25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5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58" s="881">
        <f>IFERROR(Producción_Ganadera[[#This Row],[Financiero $Corrientes]]/Producción_Ganadera[[#This Row],[Indexación Financiero]],0)</f>
        <v>0</v>
      </c>
      <c r="Z25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5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58" s="885">
        <f>IFERROR(Producción_Ganadera[[#This Row],[Intereses $Corrientes]]/Producción_Ganadera[[#This Row],[Indexación Financiero]],0)</f>
        <v>0</v>
      </c>
      <c r="AC25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58" s="915" t="str">
        <f>IFERROR(INDEX(Produccion_Ganadera_Cuentas[],MATCH(Producción_Ganadera[[#This Row],[Cuenta Contable]],Produccion_Ganadera_Cuentas[Cuenta Contable],0),2),0)</f>
        <v>Egreso Cesión</v>
      </c>
      <c r="AE258" s="916">
        <f>IF(Producción_Ganadera[[#This Row],[Mov. Stock]]="(+)",Producción_Ganadera[[#This Row],[Cabezas]],IF(Producción_Ganadera[[#This Row],[Mov. Stock]]="(-)",-Producción_Ganadera[[#This Row],[Cabezas]],0))</f>
        <v>0</v>
      </c>
      <c r="AF258" s="917">
        <f>IFERROR(INDEX(Produccion_Ganadera_Cuentas[],MATCH(Producción_Ganadera[[#This Row],[Cuenta Contable]],Produccion_Ganadera_Cuentas[Cuenta Contable],0),5),0)</f>
        <v>0</v>
      </c>
      <c r="AG258" s="918" t="str">
        <f>IF(Producción_Ganadera[[#This Row],[Cuenta Contable]]=Configuración!$AC$9,"Si","No")</f>
        <v>No</v>
      </c>
      <c r="AH258" s="887" t="str">
        <f>IFERROR(INDEX(Tabla9[],MATCH(Producción_Ganadera[[#This Row],[Movimiento]],Tabla9[Movimientos],0),2),0)</f>
        <v>No</v>
      </c>
      <c r="AI258" s="888" t="str">
        <f>IFERROR(INDEX(Tabla9[],MATCH(Producción_Ganadera[[#This Row],[Movimiento]],Tabla9[Movimientos],0),3),0)</f>
        <v>(-)</v>
      </c>
      <c r="AJ258" s="885">
        <f>IF(Producción_Ganadera[[#This Row],[Fecha Económico]]=0,0,MONTH(Producción_Ganadera[[#This Row],[Fecha Económico]]))</f>
        <v>0</v>
      </c>
      <c r="AK258" s="885">
        <f>IF(Producción_Ganadera[[#This Row],[Fecha Económico]]=0,0,YEAR(Producción_Ganadera[[#This Row],[Fecha Económico]]))</f>
        <v>0</v>
      </c>
      <c r="AL258" s="889">
        <f>SUMPRODUCT((Producción_Ganadera[[#This Row],[Mes Económico]]=Tipo_Cambio[Mes])*(Producción_Ganadera[[#This Row],[Año Económico]]=Tipo_Cambio[Año])*(Tipo_Cambio[$/U$S]))</f>
        <v>0</v>
      </c>
      <c r="AM258" s="889">
        <f>SUMPRODUCT((Producción_Ganadera[[#This Row],[Mes Económico]]=Tipo_Cambio[Mes])*(Producción_Ganadera[[#This Row],[Año Económico]]=Tipo_Cambio[Año])*(Tipo_Cambio[Actualización]))</f>
        <v>0</v>
      </c>
      <c r="AN258" s="885">
        <f>IF(ISNUMBER(Producción_Ganadera[[#This Row],[Fecha Financiero]])=TRUE,MONTH(Producción_Ganadera[[#This Row],[Fecha Financiero]]),0)</f>
        <v>0</v>
      </c>
      <c r="AO258" s="885">
        <f>IF(ISNUMBER(Producción_Ganadera[[#This Row],[Fecha Financiero]])=TRUE,YEAR(Producción_Ganadera[[#This Row],[Fecha Financiero]]),0)</f>
        <v>0</v>
      </c>
      <c r="AP258" s="889">
        <f>SUMPRODUCT((Producción_Ganadera[[#This Row],[Mes Financiero]]=Tipo_Cambio[Mes])*(Producción_Ganadera[[#This Row],[Año Financiero]]=Tipo_Cambio[Año])*(Tipo_Cambio[$/U$S]))</f>
        <v>0</v>
      </c>
      <c r="AQ258" s="889">
        <f>SUMPRODUCT((Producción_Ganadera[[#This Row],[Mes Financiero]]=Tipo_Cambio[Mes])*(Producción_Ganadera[[#This Row],[Año Financiero]]=Tipo_Cambio[Año])*(Tipo_Cambio[Actualización]))</f>
        <v>0</v>
      </c>
      <c r="AR258" s="919">
        <f>SUMPRODUCT((Producción_Ganadera[[#This Row],[Centro de Costo]]=Tabla19[Centro de Costo])*(Tabla19[Superficie])*(Producción_Ganadera[[#This Row],[Campaña]]=Tabla19[Campaña]))</f>
        <v>0</v>
      </c>
      <c r="AS258" s="918">
        <f>IFERROR(Producción_Ganadera[[#This Row],[Económico $Corrientes]]/Producción_Ganadera[[#This Row],[Superficie]],0)</f>
        <v>0</v>
      </c>
      <c r="AT258" s="918">
        <f>IFERROR(Producción_Ganadera[[#This Row],[Económico $Constantes]]/Producción_Ganadera[[#This Row],[Superficie]],0)</f>
        <v>0</v>
      </c>
      <c r="AU258" s="918">
        <f>IFERROR(Producción_Ganadera[[#This Row],[Económico U$S Dólares]]/Producción_Ganadera[[#This Row],[Superficie]],0)</f>
        <v>0</v>
      </c>
      <c r="AV258" s="916">
        <f>IF(Económico!$F$4=0,0,Producción_Ganadera[[#This Row],[Centro de Costo]])</f>
        <v>0</v>
      </c>
    </row>
    <row r="259" spans="2:48" ht="15.75" thickTop="1" x14ac:dyDescent="0.25">
      <c r="B259" s="378" t="s">
        <v>124</v>
      </c>
      <c r="D259" s="614"/>
      <c r="E259" s="615"/>
      <c r="F259" s="871" t="str">
        <f t="shared" si="15"/>
        <v>2018-2019</v>
      </c>
      <c r="G259" s="616" t="s">
        <v>124</v>
      </c>
      <c r="H259" s="616"/>
      <c r="I259" s="616"/>
      <c r="J259" s="617"/>
      <c r="K259" s="616"/>
      <c r="L259" s="618"/>
      <c r="M259" s="61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59" s="871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59" s="620"/>
      <c r="P259" s="621"/>
      <c r="Q259" s="878">
        <f>IF(ISNUMBER(Producción_Ganadera[[#This Row],[Cabezas]])=TRUE,Producción_Ganadera[[#This Row],[Cabezas]]*Producción_Ganadera[[#This Row],[Cantidad]],Producción_Ganadera[[#This Row],[Cantidad]])</f>
        <v>0</v>
      </c>
      <c r="R259" s="622"/>
      <c r="S259" s="623"/>
      <c r="T259" s="624"/>
      <c r="U259" s="927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59" s="928">
        <f>IFERROR(Producción_Ganadera[[#This Row],[Económico $Corrientes]]/Producción_Ganadera[[#This Row],[Indexación Económico]],0)</f>
        <v>0</v>
      </c>
      <c r="W259" s="929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59" s="927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59" s="928">
        <f>IFERROR(Producción_Ganadera[[#This Row],[Financiero $Corrientes]]/Producción_Ganadera[[#This Row],[Indexación Financiero]],0)</f>
        <v>0</v>
      </c>
      <c r="Z259" s="930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59" s="93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59" s="932">
        <f>IFERROR(Producción_Ganadera[[#This Row],[Intereses $Corrientes]]/Producción_Ganadera[[#This Row],[Indexación Financiero]],0)</f>
        <v>0</v>
      </c>
      <c r="AC259" s="93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59" s="933" t="str">
        <f>IFERROR(INDEX(Produccion_Ganadera_Cuentas[],MATCH(Producción_Ganadera[[#This Row],[Cuenta Contable]],Produccion_Ganadera_Cuentas[Cuenta Contable],0),2),0)</f>
        <v>Egreso</v>
      </c>
      <c r="AE259" s="934">
        <f>IF(Producción_Ganadera[[#This Row],[Mov. Stock]]="(+)",Producción_Ganadera[[#This Row],[Cabezas]],IF(Producción_Ganadera[[#This Row],[Mov. Stock]]="(-)",-Producción_Ganadera[[#This Row],[Cabezas]],0))</f>
        <v>0</v>
      </c>
      <c r="AF259" s="935">
        <f>IFERROR(INDEX(Produccion_Ganadera_Cuentas[],MATCH(Producción_Ganadera[[#This Row],[Cuenta Contable]],Produccion_Ganadera_Cuentas[Cuenta Contable],0),5),0)</f>
        <v>0</v>
      </c>
      <c r="AG259" s="936" t="str">
        <f>IF(Producción_Ganadera[[#This Row],[Cuenta Contable]]=Configuración!$AC$9,"Si","No")</f>
        <v>No</v>
      </c>
      <c r="AH259" s="937" t="str">
        <f>IFERROR(INDEX(Tabla9[],MATCH(Producción_Ganadera[[#This Row],[Movimiento]],Tabla9[Movimientos],0),2),0)</f>
        <v>Si</v>
      </c>
      <c r="AI259" s="938" t="str">
        <f>IFERROR(INDEX(Tabla9[],MATCH(Producción_Ganadera[[#This Row],[Movimiento]],Tabla9[Movimientos],0),3),0)</f>
        <v>(-)</v>
      </c>
      <c r="AJ259" s="932">
        <f>IF(Producción_Ganadera[[#This Row],[Fecha Económico]]=0,0,MONTH(Producción_Ganadera[[#This Row],[Fecha Económico]]))</f>
        <v>0</v>
      </c>
      <c r="AK259" s="932">
        <f>IF(Producción_Ganadera[[#This Row],[Fecha Económico]]=0,0,YEAR(Producción_Ganadera[[#This Row],[Fecha Económico]]))</f>
        <v>0</v>
      </c>
      <c r="AL259" s="939">
        <f>SUMPRODUCT((Producción_Ganadera[[#This Row],[Mes Económico]]=Tipo_Cambio[Mes])*(Producción_Ganadera[[#This Row],[Año Económico]]=Tipo_Cambio[Año])*(Tipo_Cambio[$/U$S]))</f>
        <v>0</v>
      </c>
      <c r="AM259" s="939">
        <f>SUMPRODUCT((Producción_Ganadera[[#This Row],[Mes Económico]]=Tipo_Cambio[Mes])*(Producción_Ganadera[[#This Row],[Año Económico]]=Tipo_Cambio[Año])*(Tipo_Cambio[Actualización]))</f>
        <v>0</v>
      </c>
      <c r="AN259" s="932">
        <f>IF(ISNUMBER(Producción_Ganadera[[#This Row],[Fecha Financiero]])=TRUE,MONTH(Producción_Ganadera[[#This Row],[Fecha Financiero]]),0)</f>
        <v>0</v>
      </c>
      <c r="AO259" s="932">
        <f>IF(ISNUMBER(Producción_Ganadera[[#This Row],[Fecha Financiero]])=TRUE,YEAR(Producción_Ganadera[[#This Row],[Fecha Financiero]]),0)</f>
        <v>0</v>
      </c>
      <c r="AP259" s="939">
        <f>SUMPRODUCT((Producción_Ganadera[[#This Row],[Mes Financiero]]=Tipo_Cambio[Mes])*(Producción_Ganadera[[#This Row],[Año Financiero]]=Tipo_Cambio[Año])*(Tipo_Cambio[$/U$S]))</f>
        <v>0</v>
      </c>
      <c r="AQ259" s="939">
        <f>SUMPRODUCT((Producción_Ganadera[[#This Row],[Mes Financiero]]=Tipo_Cambio[Mes])*(Producción_Ganadera[[#This Row],[Año Financiero]]=Tipo_Cambio[Año])*(Tipo_Cambio[Actualización]))</f>
        <v>0</v>
      </c>
      <c r="AR259" s="940">
        <f>SUMPRODUCT((Producción_Ganadera[[#This Row],[Centro de Costo]]=Tabla19[Centro de Costo])*(Tabla19[Superficie])*(Producción_Ganadera[[#This Row],[Campaña]]=Tabla19[Campaña]))</f>
        <v>0</v>
      </c>
      <c r="AS259" s="936">
        <f>IFERROR(Producción_Ganadera[[#This Row],[Económico $Corrientes]]/Producción_Ganadera[[#This Row],[Superficie]],0)</f>
        <v>0</v>
      </c>
      <c r="AT259" s="936">
        <f>IFERROR(Producción_Ganadera[[#This Row],[Económico $Constantes]]/Producción_Ganadera[[#This Row],[Superficie]],0)</f>
        <v>0</v>
      </c>
      <c r="AU259" s="936">
        <f>IFERROR(Producción_Ganadera[[#This Row],[Económico U$S Dólares]]/Producción_Ganadera[[#This Row],[Superficie]],0)</f>
        <v>0</v>
      </c>
      <c r="AV259" s="934">
        <f>IF(Económico!$F$4=0,0,Producción_Ganadera[[#This Row],[Centro de Costo]])</f>
        <v>0</v>
      </c>
    </row>
    <row r="260" spans="2:48" x14ac:dyDescent="0.25">
      <c r="B260" s="378" t="s">
        <v>172</v>
      </c>
      <c r="D260" s="478"/>
      <c r="E260" s="522"/>
      <c r="F260" s="869" t="str">
        <f t="shared" si="15"/>
        <v>2018-2019</v>
      </c>
      <c r="G260" s="491" t="s">
        <v>124</v>
      </c>
      <c r="H260" s="491"/>
      <c r="I260" s="491"/>
      <c r="J260" s="549"/>
      <c r="K260" s="491"/>
      <c r="L260" s="520"/>
      <c r="M26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6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60" s="611"/>
      <c r="P260" s="484"/>
      <c r="Q260" s="875">
        <f>IF(ISNUMBER(Producción_Ganadera[[#This Row],[Cabezas]])=TRUE,Producción_Ganadera[[#This Row],[Cabezas]]*Producción_Ganadera[[#This Row],[Cantidad]],Producción_Ganadera[[#This Row],[Cantidad]])</f>
        <v>0</v>
      </c>
      <c r="R260" s="482"/>
      <c r="S260" s="552"/>
      <c r="T260" s="553"/>
      <c r="U26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60" s="881">
        <f>IFERROR(Producción_Ganadera[[#This Row],[Económico $Corrientes]]/Producción_Ganadera[[#This Row],[Indexación Económico]],0)</f>
        <v>0</v>
      </c>
      <c r="W26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6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60" s="881">
        <f>IFERROR(Producción_Ganadera[[#This Row],[Financiero $Corrientes]]/Producción_Ganadera[[#This Row],[Indexación Financiero]],0)</f>
        <v>0</v>
      </c>
      <c r="Z26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6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60" s="885">
        <f>IFERROR(Producción_Ganadera[[#This Row],[Intereses $Corrientes]]/Producción_Ganadera[[#This Row],[Indexación Financiero]],0)</f>
        <v>0</v>
      </c>
      <c r="AC26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60" s="915" t="str">
        <f>IFERROR(INDEX(Produccion_Ganadera_Cuentas[],MATCH(Producción_Ganadera[[#This Row],[Cuenta Contable]],Produccion_Ganadera_Cuentas[Cuenta Contable],0),2),0)</f>
        <v>Egreso</v>
      </c>
      <c r="AE260" s="916">
        <f>IF(Producción_Ganadera[[#This Row],[Mov. Stock]]="(+)",Producción_Ganadera[[#This Row],[Cabezas]],IF(Producción_Ganadera[[#This Row],[Mov. Stock]]="(-)",-Producción_Ganadera[[#This Row],[Cabezas]],0))</f>
        <v>0</v>
      </c>
      <c r="AF260" s="917">
        <f>IFERROR(INDEX(Produccion_Ganadera_Cuentas[],MATCH(Producción_Ganadera[[#This Row],[Cuenta Contable]],Produccion_Ganadera_Cuentas[Cuenta Contable],0),5),0)</f>
        <v>0</v>
      </c>
      <c r="AG260" s="918" t="str">
        <f>IF(Producción_Ganadera[[#This Row],[Cuenta Contable]]=Configuración!$AC$9,"Si","No")</f>
        <v>No</v>
      </c>
      <c r="AH260" s="887" t="str">
        <f>IFERROR(INDEX(Tabla9[],MATCH(Producción_Ganadera[[#This Row],[Movimiento]],Tabla9[Movimientos],0),2),0)</f>
        <v>Si</v>
      </c>
      <c r="AI260" s="888" t="str">
        <f>IFERROR(INDEX(Tabla9[],MATCH(Producción_Ganadera[[#This Row],[Movimiento]],Tabla9[Movimientos],0),3),0)</f>
        <v>(-)</v>
      </c>
      <c r="AJ260" s="885">
        <f>IF(Producción_Ganadera[[#This Row],[Fecha Económico]]=0,0,MONTH(Producción_Ganadera[[#This Row],[Fecha Económico]]))</f>
        <v>0</v>
      </c>
      <c r="AK260" s="885">
        <f>IF(Producción_Ganadera[[#This Row],[Fecha Económico]]=0,0,YEAR(Producción_Ganadera[[#This Row],[Fecha Económico]]))</f>
        <v>0</v>
      </c>
      <c r="AL260" s="889">
        <f>SUMPRODUCT((Producción_Ganadera[[#This Row],[Mes Económico]]=Tipo_Cambio[Mes])*(Producción_Ganadera[[#This Row],[Año Económico]]=Tipo_Cambio[Año])*(Tipo_Cambio[$/U$S]))</f>
        <v>0</v>
      </c>
      <c r="AM260" s="889">
        <f>SUMPRODUCT((Producción_Ganadera[[#This Row],[Mes Económico]]=Tipo_Cambio[Mes])*(Producción_Ganadera[[#This Row],[Año Económico]]=Tipo_Cambio[Año])*(Tipo_Cambio[Actualización]))</f>
        <v>0</v>
      </c>
      <c r="AN260" s="885">
        <f>IF(ISNUMBER(Producción_Ganadera[[#This Row],[Fecha Financiero]])=TRUE,MONTH(Producción_Ganadera[[#This Row],[Fecha Financiero]]),0)</f>
        <v>0</v>
      </c>
      <c r="AO260" s="885">
        <f>IF(ISNUMBER(Producción_Ganadera[[#This Row],[Fecha Financiero]])=TRUE,YEAR(Producción_Ganadera[[#This Row],[Fecha Financiero]]),0)</f>
        <v>0</v>
      </c>
      <c r="AP260" s="889">
        <f>SUMPRODUCT((Producción_Ganadera[[#This Row],[Mes Financiero]]=Tipo_Cambio[Mes])*(Producción_Ganadera[[#This Row],[Año Financiero]]=Tipo_Cambio[Año])*(Tipo_Cambio[$/U$S]))</f>
        <v>0</v>
      </c>
      <c r="AQ260" s="889">
        <f>SUMPRODUCT((Producción_Ganadera[[#This Row],[Mes Financiero]]=Tipo_Cambio[Mes])*(Producción_Ganadera[[#This Row],[Año Financiero]]=Tipo_Cambio[Año])*(Tipo_Cambio[Actualización]))</f>
        <v>0</v>
      </c>
      <c r="AR260" s="919">
        <f>SUMPRODUCT((Producción_Ganadera[[#This Row],[Centro de Costo]]=Tabla19[Centro de Costo])*(Tabla19[Superficie])*(Producción_Ganadera[[#This Row],[Campaña]]=Tabla19[Campaña]))</f>
        <v>0</v>
      </c>
      <c r="AS260" s="918">
        <f>IFERROR(Producción_Ganadera[[#This Row],[Económico $Corrientes]]/Producción_Ganadera[[#This Row],[Superficie]],0)</f>
        <v>0</v>
      </c>
      <c r="AT260" s="918">
        <f>IFERROR(Producción_Ganadera[[#This Row],[Económico $Constantes]]/Producción_Ganadera[[#This Row],[Superficie]],0)</f>
        <v>0</v>
      </c>
      <c r="AU260" s="918">
        <f>IFERROR(Producción_Ganadera[[#This Row],[Económico U$S Dólares]]/Producción_Ganadera[[#This Row],[Superficie]],0)</f>
        <v>0</v>
      </c>
      <c r="AV260" s="916">
        <f>IF(Económico!$F$4=0,0,Producción_Ganadera[[#This Row],[Centro de Costo]])</f>
        <v>0</v>
      </c>
    </row>
    <row r="261" spans="2:48" x14ac:dyDescent="0.25">
      <c r="B261" s="378"/>
      <c r="D261" s="478"/>
      <c r="E261" s="522"/>
      <c r="F261" s="869" t="str">
        <f t="shared" si="15"/>
        <v>2018-2019</v>
      </c>
      <c r="G261" s="491" t="s">
        <v>124</v>
      </c>
      <c r="H261" s="491"/>
      <c r="I261" s="491"/>
      <c r="J261" s="549"/>
      <c r="K261" s="491"/>
      <c r="L261" s="520"/>
      <c r="M26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6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61" s="611"/>
      <c r="P261" s="484"/>
      <c r="Q261" s="875">
        <f>IF(ISNUMBER(Producción_Ganadera[[#This Row],[Cabezas]])=TRUE,Producción_Ganadera[[#This Row],[Cabezas]]*Producción_Ganadera[[#This Row],[Cantidad]],Producción_Ganadera[[#This Row],[Cantidad]])</f>
        <v>0</v>
      </c>
      <c r="R261" s="482"/>
      <c r="S261" s="552"/>
      <c r="T261" s="553"/>
      <c r="U26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61" s="881">
        <f>IFERROR(Producción_Ganadera[[#This Row],[Económico $Corrientes]]/Producción_Ganadera[[#This Row],[Indexación Económico]],0)</f>
        <v>0</v>
      </c>
      <c r="W26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6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61" s="881">
        <f>IFERROR(Producción_Ganadera[[#This Row],[Financiero $Corrientes]]/Producción_Ganadera[[#This Row],[Indexación Financiero]],0)</f>
        <v>0</v>
      </c>
      <c r="Z26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6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61" s="885">
        <f>IFERROR(Producción_Ganadera[[#This Row],[Intereses $Corrientes]]/Producción_Ganadera[[#This Row],[Indexación Financiero]],0)</f>
        <v>0</v>
      </c>
      <c r="AC26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61" s="915" t="str">
        <f>IFERROR(INDEX(Produccion_Ganadera_Cuentas[],MATCH(Producción_Ganadera[[#This Row],[Cuenta Contable]],Produccion_Ganadera_Cuentas[Cuenta Contable],0),2),0)</f>
        <v>Egreso</v>
      </c>
      <c r="AE261" s="916">
        <f>IF(Producción_Ganadera[[#This Row],[Mov. Stock]]="(+)",Producción_Ganadera[[#This Row],[Cabezas]],IF(Producción_Ganadera[[#This Row],[Mov. Stock]]="(-)",-Producción_Ganadera[[#This Row],[Cabezas]],0))</f>
        <v>0</v>
      </c>
      <c r="AF261" s="917">
        <f>IFERROR(INDEX(Produccion_Ganadera_Cuentas[],MATCH(Producción_Ganadera[[#This Row],[Cuenta Contable]],Produccion_Ganadera_Cuentas[Cuenta Contable],0),5),0)</f>
        <v>0</v>
      </c>
      <c r="AG261" s="918" t="str">
        <f>IF(Producción_Ganadera[[#This Row],[Cuenta Contable]]=Configuración!$AC$9,"Si","No")</f>
        <v>No</v>
      </c>
      <c r="AH261" s="887" t="str">
        <f>IFERROR(INDEX(Tabla9[],MATCH(Producción_Ganadera[[#This Row],[Movimiento]],Tabla9[Movimientos],0),2),0)</f>
        <v>Si</v>
      </c>
      <c r="AI261" s="888" t="str">
        <f>IFERROR(INDEX(Tabla9[],MATCH(Producción_Ganadera[[#This Row],[Movimiento]],Tabla9[Movimientos],0),3),0)</f>
        <v>(-)</v>
      </c>
      <c r="AJ261" s="885">
        <f>IF(Producción_Ganadera[[#This Row],[Fecha Económico]]=0,0,MONTH(Producción_Ganadera[[#This Row],[Fecha Económico]]))</f>
        <v>0</v>
      </c>
      <c r="AK261" s="885">
        <f>IF(Producción_Ganadera[[#This Row],[Fecha Económico]]=0,0,YEAR(Producción_Ganadera[[#This Row],[Fecha Económico]]))</f>
        <v>0</v>
      </c>
      <c r="AL261" s="889">
        <f>SUMPRODUCT((Producción_Ganadera[[#This Row],[Mes Económico]]=Tipo_Cambio[Mes])*(Producción_Ganadera[[#This Row],[Año Económico]]=Tipo_Cambio[Año])*(Tipo_Cambio[$/U$S]))</f>
        <v>0</v>
      </c>
      <c r="AM261" s="889">
        <f>SUMPRODUCT((Producción_Ganadera[[#This Row],[Mes Económico]]=Tipo_Cambio[Mes])*(Producción_Ganadera[[#This Row],[Año Económico]]=Tipo_Cambio[Año])*(Tipo_Cambio[Actualización]))</f>
        <v>0</v>
      </c>
      <c r="AN261" s="885">
        <f>IF(ISNUMBER(Producción_Ganadera[[#This Row],[Fecha Financiero]])=TRUE,MONTH(Producción_Ganadera[[#This Row],[Fecha Financiero]]),0)</f>
        <v>0</v>
      </c>
      <c r="AO261" s="885">
        <f>IF(ISNUMBER(Producción_Ganadera[[#This Row],[Fecha Financiero]])=TRUE,YEAR(Producción_Ganadera[[#This Row],[Fecha Financiero]]),0)</f>
        <v>0</v>
      </c>
      <c r="AP261" s="889">
        <f>SUMPRODUCT((Producción_Ganadera[[#This Row],[Mes Financiero]]=Tipo_Cambio[Mes])*(Producción_Ganadera[[#This Row],[Año Financiero]]=Tipo_Cambio[Año])*(Tipo_Cambio[$/U$S]))</f>
        <v>0</v>
      </c>
      <c r="AQ261" s="889">
        <f>SUMPRODUCT((Producción_Ganadera[[#This Row],[Mes Financiero]]=Tipo_Cambio[Mes])*(Producción_Ganadera[[#This Row],[Año Financiero]]=Tipo_Cambio[Año])*(Tipo_Cambio[Actualización]))</f>
        <v>0</v>
      </c>
      <c r="AR261" s="919">
        <f>SUMPRODUCT((Producción_Ganadera[[#This Row],[Centro de Costo]]=Tabla19[Centro de Costo])*(Tabla19[Superficie])*(Producción_Ganadera[[#This Row],[Campaña]]=Tabla19[Campaña]))</f>
        <v>0</v>
      </c>
      <c r="AS261" s="918">
        <f>IFERROR(Producción_Ganadera[[#This Row],[Económico $Corrientes]]/Producción_Ganadera[[#This Row],[Superficie]],0)</f>
        <v>0</v>
      </c>
      <c r="AT261" s="918">
        <f>IFERROR(Producción_Ganadera[[#This Row],[Económico $Constantes]]/Producción_Ganadera[[#This Row],[Superficie]],0)</f>
        <v>0</v>
      </c>
      <c r="AU261" s="918">
        <f>IFERROR(Producción_Ganadera[[#This Row],[Económico U$S Dólares]]/Producción_Ganadera[[#This Row],[Superficie]],0)</f>
        <v>0</v>
      </c>
      <c r="AV261" s="916">
        <f>IF(Económico!$F$4=0,0,Producción_Ganadera[[#This Row],[Centro de Costo]])</f>
        <v>0</v>
      </c>
    </row>
    <row r="262" spans="2:48" x14ac:dyDescent="0.25">
      <c r="D262" s="478"/>
      <c r="E262" s="522"/>
      <c r="F262" s="869" t="str">
        <f t="shared" si="15"/>
        <v>2018-2019</v>
      </c>
      <c r="G262" s="491" t="s">
        <v>124</v>
      </c>
      <c r="H262" s="491"/>
      <c r="I262" s="491"/>
      <c r="J262" s="549"/>
      <c r="K262" s="491"/>
      <c r="L262" s="520"/>
      <c r="M26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6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62" s="611"/>
      <c r="P262" s="484"/>
      <c r="Q262" s="875">
        <f>IF(ISNUMBER(Producción_Ganadera[[#This Row],[Cabezas]])=TRUE,Producción_Ganadera[[#This Row],[Cabezas]]*Producción_Ganadera[[#This Row],[Cantidad]],Producción_Ganadera[[#This Row],[Cantidad]])</f>
        <v>0</v>
      </c>
      <c r="R262" s="482"/>
      <c r="S262" s="552"/>
      <c r="T262" s="553"/>
      <c r="U26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62" s="881">
        <f>IFERROR(Producción_Ganadera[[#This Row],[Económico $Corrientes]]/Producción_Ganadera[[#This Row],[Indexación Económico]],0)</f>
        <v>0</v>
      </c>
      <c r="W26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6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62" s="881">
        <f>IFERROR(Producción_Ganadera[[#This Row],[Financiero $Corrientes]]/Producción_Ganadera[[#This Row],[Indexación Financiero]],0)</f>
        <v>0</v>
      </c>
      <c r="Z26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6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62" s="885">
        <f>IFERROR(Producción_Ganadera[[#This Row],[Intereses $Corrientes]]/Producción_Ganadera[[#This Row],[Indexación Financiero]],0)</f>
        <v>0</v>
      </c>
      <c r="AC26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62" s="915" t="str">
        <f>IFERROR(INDEX(Produccion_Ganadera_Cuentas[],MATCH(Producción_Ganadera[[#This Row],[Cuenta Contable]],Produccion_Ganadera_Cuentas[Cuenta Contable],0),2),0)</f>
        <v>Egreso</v>
      </c>
      <c r="AE262" s="916">
        <f>IF(Producción_Ganadera[[#This Row],[Mov. Stock]]="(+)",Producción_Ganadera[[#This Row],[Cabezas]],IF(Producción_Ganadera[[#This Row],[Mov. Stock]]="(-)",-Producción_Ganadera[[#This Row],[Cabezas]],0))</f>
        <v>0</v>
      </c>
      <c r="AF262" s="917">
        <f>IFERROR(INDEX(Produccion_Ganadera_Cuentas[],MATCH(Producción_Ganadera[[#This Row],[Cuenta Contable]],Produccion_Ganadera_Cuentas[Cuenta Contable],0),5),0)</f>
        <v>0</v>
      </c>
      <c r="AG262" s="918" t="str">
        <f>IF(Producción_Ganadera[[#This Row],[Cuenta Contable]]=Configuración!$AC$9,"Si","No")</f>
        <v>No</v>
      </c>
      <c r="AH262" s="887" t="str">
        <f>IFERROR(INDEX(Tabla9[],MATCH(Producción_Ganadera[[#This Row],[Movimiento]],Tabla9[Movimientos],0),2),0)</f>
        <v>Si</v>
      </c>
      <c r="AI262" s="888" t="str">
        <f>IFERROR(INDEX(Tabla9[],MATCH(Producción_Ganadera[[#This Row],[Movimiento]],Tabla9[Movimientos],0),3),0)</f>
        <v>(-)</v>
      </c>
      <c r="AJ262" s="885">
        <f>IF(Producción_Ganadera[[#This Row],[Fecha Económico]]=0,0,MONTH(Producción_Ganadera[[#This Row],[Fecha Económico]]))</f>
        <v>0</v>
      </c>
      <c r="AK262" s="885">
        <f>IF(Producción_Ganadera[[#This Row],[Fecha Económico]]=0,0,YEAR(Producción_Ganadera[[#This Row],[Fecha Económico]]))</f>
        <v>0</v>
      </c>
      <c r="AL262" s="889">
        <f>SUMPRODUCT((Producción_Ganadera[[#This Row],[Mes Económico]]=Tipo_Cambio[Mes])*(Producción_Ganadera[[#This Row],[Año Económico]]=Tipo_Cambio[Año])*(Tipo_Cambio[$/U$S]))</f>
        <v>0</v>
      </c>
      <c r="AM262" s="889">
        <f>SUMPRODUCT((Producción_Ganadera[[#This Row],[Mes Económico]]=Tipo_Cambio[Mes])*(Producción_Ganadera[[#This Row],[Año Económico]]=Tipo_Cambio[Año])*(Tipo_Cambio[Actualización]))</f>
        <v>0</v>
      </c>
      <c r="AN262" s="885">
        <f>IF(ISNUMBER(Producción_Ganadera[[#This Row],[Fecha Financiero]])=TRUE,MONTH(Producción_Ganadera[[#This Row],[Fecha Financiero]]),0)</f>
        <v>0</v>
      </c>
      <c r="AO262" s="885">
        <f>IF(ISNUMBER(Producción_Ganadera[[#This Row],[Fecha Financiero]])=TRUE,YEAR(Producción_Ganadera[[#This Row],[Fecha Financiero]]),0)</f>
        <v>0</v>
      </c>
      <c r="AP262" s="889">
        <f>SUMPRODUCT((Producción_Ganadera[[#This Row],[Mes Financiero]]=Tipo_Cambio[Mes])*(Producción_Ganadera[[#This Row],[Año Financiero]]=Tipo_Cambio[Año])*(Tipo_Cambio[$/U$S]))</f>
        <v>0</v>
      </c>
      <c r="AQ262" s="889">
        <f>SUMPRODUCT((Producción_Ganadera[[#This Row],[Mes Financiero]]=Tipo_Cambio[Mes])*(Producción_Ganadera[[#This Row],[Año Financiero]]=Tipo_Cambio[Año])*(Tipo_Cambio[Actualización]))</f>
        <v>0</v>
      </c>
      <c r="AR262" s="919">
        <f>SUMPRODUCT((Producción_Ganadera[[#This Row],[Centro de Costo]]=Tabla19[Centro de Costo])*(Tabla19[Superficie])*(Producción_Ganadera[[#This Row],[Campaña]]=Tabla19[Campaña]))</f>
        <v>0</v>
      </c>
      <c r="AS262" s="918">
        <f>IFERROR(Producción_Ganadera[[#This Row],[Económico $Corrientes]]/Producción_Ganadera[[#This Row],[Superficie]],0)</f>
        <v>0</v>
      </c>
      <c r="AT262" s="918">
        <f>IFERROR(Producción_Ganadera[[#This Row],[Económico $Constantes]]/Producción_Ganadera[[#This Row],[Superficie]],0)</f>
        <v>0</v>
      </c>
      <c r="AU262" s="918">
        <f>IFERROR(Producción_Ganadera[[#This Row],[Económico U$S Dólares]]/Producción_Ganadera[[#This Row],[Superficie]],0)</f>
        <v>0</v>
      </c>
      <c r="AV262" s="916">
        <f>IF(Económico!$F$4=0,0,Producción_Ganadera[[#This Row],[Centro de Costo]])</f>
        <v>0</v>
      </c>
    </row>
    <row r="263" spans="2:48" x14ac:dyDescent="0.25">
      <c r="D263" s="478"/>
      <c r="E263" s="522"/>
      <c r="F263" s="869" t="str">
        <f t="shared" ref="F263:F294" si="16">Campaña_Actual</f>
        <v>2018-2019</v>
      </c>
      <c r="G263" s="491" t="s">
        <v>124</v>
      </c>
      <c r="H263" s="491"/>
      <c r="I263" s="491"/>
      <c r="J263" s="549"/>
      <c r="K263" s="491"/>
      <c r="L263" s="520"/>
      <c r="M26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6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63" s="611"/>
      <c r="P263" s="484"/>
      <c r="Q263" s="875">
        <f>IF(ISNUMBER(Producción_Ganadera[[#This Row],[Cabezas]])=TRUE,Producción_Ganadera[[#This Row],[Cabezas]]*Producción_Ganadera[[#This Row],[Cantidad]],Producción_Ganadera[[#This Row],[Cantidad]])</f>
        <v>0</v>
      </c>
      <c r="R263" s="482"/>
      <c r="S263" s="552"/>
      <c r="T263" s="553"/>
      <c r="U26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63" s="881">
        <f>IFERROR(Producción_Ganadera[[#This Row],[Económico $Corrientes]]/Producción_Ganadera[[#This Row],[Indexación Económico]],0)</f>
        <v>0</v>
      </c>
      <c r="W26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6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63" s="881">
        <f>IFERROR(Producción_Ganadera[[#This Row],[Financiero $Corrientes]]/Producción_Ganadera[[#This Row],[Indexación Financiero]],0)</f>
        <v>0</v>
      </c>
      <c r="Z26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6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63" s="885">
        <f>IFERROR(Producción_Ganadera[[#This Row],[Intereses $Corrientes]]/Producción_Ganadera[[#This Row],[Indexación Financiero]],0)</f>
        <v>0</v>
      </c>
      <c r="AC26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63" s="915" t="str">
        <f>IFERROR(INDEX(Produccion_Ganadera_Cuentas[],MATCH(Producción_Ganadera[[#This Row],[Cuenta Contable]],Produccion_Ganadera_Cuentas[Cuenta Contable],0),2),0)</f>
        <v>Egreso</v>
      </c>
      <c r="AE263" s="916">
        <f>IF(Producción_Ganadera[[#This Row],[Mov. Stock]]="(+)",Producción_Ganadera[[#This Row],[Cabezas]],IF(Producción_Ganadera[[#This Row],[Mov. Stock]]="(-)",-Producción_Ganadera[[#This Row],[Cabezas]],0))</f>
        <v>0</v>
      </c>
      <c r="AF263" s="917">
        <f>IFERROR(INDEX(Produccion_Ganadera_Cuentas[],MATCH(Producción_Ganadera[[#This Row],[Cuenta Contable]],Produccion_Ganadera_Cuentas[Cuenta Contable],0),5),0)</f>
        <v>0</v>
      </c>
      <c r="AG263" s="918" t="str">
        <f>IF(Producción_Ganadera[[#This Row],[Cuenta Contable]]=Configuración!$AC$9,"Si","No")</f>
        <v>No</v>
      </c>
      <c r="AH263" s="887" t="str">
        <f>IFERROR(INDEX(Tabla9[],MATCH(Producción_Ganadera[[#This Row],[Movimiento]],Tabla9[Movimientos],0),2),0)</f>
        <v>Si</v>
      </c>
      <c r="AI263" s="888" t="str">
        <f>IFERROR(INDEX(Tabla9[],MATCH(Producción_Ganadera[[#This Row],[Movimiento]],Tabla9[Movimientos],0),3),0)</f>
        <v>(-)</v>
      </c>
      <c r="AJ263" s="885">
        <f>IF(Producción_Ganadera[[#This Row],[Fecha Económico]]=0,0,MONTH(Producción_Ganadera[[#This Row],[Fecha Económico]]))</f>
        <v>0</v>
      </c>
      <c r="AK263" s="885">
        <f>IF(Producción_Ganadera[[#This Row],[Fecha Económico]]=0,0,YEAR(Producción_Ganadera[[#This Row],[Fecha Económico]]))</f>
        <v>0</v>
      </c>
      <c r="AL263" s="889">
        <f>SUMPRODUCT((Producción_Ganadera[[#This Row],[Mes Económico]]=Tipo_Cambio[Mes])*(Producción_Ganadera[[#This Row],[Año Económico]]=Tipo_Cambio[Año])*(Tipo_Cambio[$/U$S]))</f>
        <v>0</v>
      </c>
      <c r="AM263" s="889">
        <f>SUMPRODUCT((Producción_Ganadera[[#This Row],[Mes Económico]]=Tipo_Cambio[Mes])*(Producción_Ganadera[[#This Row],[Año Económico]]=Tipo_Cambio[Año])*(Tipo_Cambio[Actualización]))</f>
        <v>0</v>
      </c>
      <c r="AN263" s="885">
        <f>IF(ISNUMBER(Producción_Ganadera[[#This Row],[Fecha Financiero]])=TRUE,MONTH(Producción_Ganadera[[#This Row],[Fecha Financiero]]),0)</f>
        <v>0</v>
      </c>
      <c r="AO263" s="885">
        <f>IF(ISNUMBER(Producción_Ganadera[[#This Row],[Fecha Financiero]])=TRUE,YEAR(Producción_Ganadera[[#This Row],[Fecha Financiero]]),0)</f>
        <v>0</v>
      </c>
      <c r="AP263" s="889">
        <f>SUMPRODUCT((Producción_Ganadera[[#This Row],[Mes Financiero]]=Tipo_Cambio[Mes])*(Producción_Ganadera[[#This Row],[Año Financiero]]=Tipo_Cambio[Año])*(Tipo_Cambio[$/U$S]))</f>
        <v>0</v>
      </c>
      <c r="AQ263" s="889">
        <f>SUMPRODUCT((Producción_Ganadera[[#This Row],[Mes Financiero]]=Tipo_Cambio[Mes])*(Producción_Ganadera[[#This Row],[Año Financiero]]=Tipo_Cambio[Año])*(Tipo_Cambio[Actualización]))</f>
        <v>0</v>
      </c>
      <c r="AR263" s="919">
        <f>SUMPRODUCT((Producción_Ganadera[[#This Row],[Centro de Costo]]=Tabla19[Centro de Costo])*(Tabla19[Superficie])*(Producción_Ganadera[[#This Row],[Campaña]]=Tabla19[Campaña]))</f>
        <v>0</v>
      </c>
      <c r="AS263" s="918">
        <f>IFERROR(Producción_Ganadera[[#This Row],[Económico $Corrientes]]/Producción_Ganadera[[#This Row],[Superficie]],0)</f>
        <v>0</v>
      </c>
      <c r="AT263" s="918">
        <f>IFERROR(Producción_Ganadera[[#This Row],[Económico $Constantes]]/Producción_Ganadera[[#This Row],[Superficie]],0)</f>
        <v>0</v>
      </c>
      <c r="AU263" s="918">
        <f>IFERROR(Producción_Ganadera[[#This Row],[Económico U$S Dólares]]/Producción_Ganadera[[#This Row],[Superficie]],0)</f>
        <v>0</v>
      </c>
      <c r="AV263" s="916">
        <f>IF(Económico!$F$4=0,0,Producción_Ganadera[[#This Row],[Centro de Costo]])</f>
        <v>0</v>
      </c>
    </row>
    <row r="264" spans="2:48" x14ac:dyDescent="0.25">
      <c r="D264" s="478"/>
      <c r="E264" s="522"/>
      <c r="F264" s="869" t="str">
        <f t="shared" si="16"/>
        <v>2018-2019</v>
      </c>
      <c r="G264" s="491" t="s">
        <v>172</v>
      </c>
      <c r="H264" s="491"/>
      <c r="I264" s="491"/>
      <c r="J264" s="549" t="s">
        <v>35</v>
      </c>
      <c r="K264" s="491"/>
      <c r="L264" s="520"/>
      <c r="M26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6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64" s="611"/>
      <c r="P264" s="484"/>
      <c r="Q264" s="875">
        <f>IF(ISNUMBER(Producción_Ganadera[[#This Row],[Cabezas]])=TRUE,Producción_Ganadera[[#This Row],[Cabezas]]*Producción_Ganadera[[#This Row],[Cantidad]],Producción_Ganadera[[#This Row],[Cantidad]])</f>
        <v>0</v>
      </c>
      <c r="R264" s="482"/>
      <c r="S264" s="552"/>
      <c r="T264" s="553"/>
      <c r="U26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64" s="881">
        <f>IFERROR(Producción_Ganadera[[#This Row],[Económico $Corrientes]]/Producción_Ganadera[[#This Row],[Indexación Económico]],0)</f>
        <v>0</v>
      </c>
      <c r="W26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6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64" s="881">
        <f>IFERROR(Producción_Ganadera[[#This Row],[Financiero $Corrientes]]/Producción_Ganadera[[#This Row],[Indexación Financiero]],0)</f>
        <v>0</v>
      </c>
      <c r="Z26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6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64" s="885">
        <f>IFERROR(Producción_Ganadera[[#This Row],[Intereses $Corrientes]]/Producción_Ganadera[[#This Row],[Indexación Financiero]],0)</f>
        <v>0</v>
      </c>
      <c r="AC26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64" s="915" t="str">
        <f>IFERROR(INDEX(Produccion_Ganadera_Cuentas[],MATCH(Producción_Ganadera[[#This Row],[Cuenta Contable]],Produccion_Ganadera_Cuentas[Cuenta Contable],0),2),0)</f>
        <v>Egreso Cesión</v>
      </c>
      <c r="AE264" s="916">
        <f>IF(Producción_Ganadera[[#This Row],[Mov. Stock]]="(+)",Producción_Ganadera[[#This Row],[Cabezas]],IF(Producción_Ganadera[[#This Row],[Mov. Stock]]="(-)",-Producción_Ganadera[[#This Row],[Cabezas]],0))</f>
        <v>0</v>
      </c>
      <c r="AF264" s="917">
        <f>IFERROR(INDEX(Produccion_Ganadera_Cuentas[],MATCH(Producción_Ganadera[[#This Row],[Cuenta Contable]],Produccion_Ganadera_Cuentas[Cuenta Contable],0),5),0)</f>
        <v>0</v>
      </c>
      <c r="AG264" s="918" t="str">
        <f>IF(Producción_Ganadera[[#This Row],[Cuenta Contable]]=Configuración!$AC$9,"Si","No")</f>
        <v>Si</v>
      </c>
      <c r="AH264" s="887" t="str">
        <f>IFERROR(INDEX(Tabla9[],MATCH(Producción_Ganadera[[#This Row],[Movimiento]],Tabla9[Movimientos],0),2),0)</f>
        <v>No</v>
      </c>
      <c r="AI264" s="888" t="str">
        <f>IFERROR(INDEX(Tabla9[],MATCH(Producción_Ganadera[[#This Row],[Movimiento]],Tabla9[Movimientos],0),3),0)</f>
        <v>(-)</v>
      </c>
      <c r="AJ264" s="885">
        <f>IF(Producción_Ganadera[[#This Row],[Fecha Económico]]=0,0,MONTH(Producción_Ganadera[[#This Row],[Fecha Económico]]))</f>
        <v>0</v>
      </c>
      <c r="AK264" s="885">
        <f>IF(Producción_Ganadera[[#This Row],[Fecha Económico]]=0,0,YEAR(Producción_Ganadera[[#This Row],[Fecha Económico]]))</f>
        <v>0</v>
      </c>
      <c r="AL264" s="889">
        <f>SUMPRODUCT((Producción_Ganadera[[#This Row],[Mes Económico]]=Tipo_Cambio[Mes])*(Producción_Ganadera[[#This Row],[Año Económico]]=Tipo_Cambio[Año])*(Tipo_Cambio[$/U$S]))</f>
        <v>0</v>
      </c>
      <c r="AM264" s="889">
        <f>SUMPRODUCT((Producción_Ganadera[[#This Row],[Mes Económico]]=Tipo_Cambio[Mes])*(Producción_Ganadera[[#This Row],[Año Económico]]=Tipo_Cambio[Año])*(Tipo_Cambio[Actualización]))</f>
        <v>0</v>
      </c>
      <c r="AN264" s="885">
        <f>IF(ISNUMBER(Producción_Ganadera[[#This Row],[Fecha Financiero]])=TRUE,MONTH(Producción_Ganadera[[#This Row],[Fecha Financiero]]),0)</f>
        <v>0</v>
      </c>
      <c r="AO264" s="885">
        <f>IF(ISNUMBER(Producción_Ganadera[[#This Row],[Fecha Financiero]])=TRUE,YEAR(Producción_Ganadera[[#This Row],[Fecha Financiero]]),0)</f>
        <v>0</v>
      </c>
      <c r="AP264" s="889">
        <f>SUMPRODUCT((Producción_Ganadera[[#This Row],[Mes Financiero]]=Tipo_Cambio[Mes])*(Producción_Ganadera[[#This Row],[Año Financiero]]=Tipo_Cambio[Año])*(Tipo_Cambio[$/U$S]))</f>
        <v>0</v>
      </c>
      <c r="AQ264" s="889">
        <f>SUMPRODUCT((Producción_Ganadera[[#This Row],[Mes Financiero]]=Tipo_Cambio[Mes])*(Producción_Ganadera[[#This Row],[Año Financiero]]=Tipo_Cambio[Año])*(Tipo_Cambio[Actualización]))</f>
        <v>0</v>
      </c>
      <c r="AR264" s="919">
        <f>SUMPRODUCT((Producción_Ganadera[[#This Row],[Centro de Costo]]=Tabla19[Centro de Costo])*(Tabla19[Superficie])*(Producción_Ganadera[[#This Row],[Campaña]]=Tabla19[Campaña]))</f>
        <v>0</v>
      </c>
      <c r="AS264" s="918">
        <f>IFERROR(Producción_Ganadera[[#This Row],[Económico $Corrientes]]/Producción_Ganadera[[#This Row],[Superficie]],0)</f>
        <v>0</v>
      </c>
      <c r="AT264" s="918">
        <f>IFERROR(Producción_Ganadera[[#This Row],[Económico $Constantes]]/Producción_Ganadera[[#This Row],[Superficie]],0)</f>
        <v>0</v>
      </c>
      <c r="AU264" s="918">
        <f>IFERROR(Producción_Ganadera[[#This Row],[Económico U$S Dólares]]/Producción_Ganadera[[#This Row],[Superficie]],0)</f>
        <v>0</v>
      </c>
      <c r="AV264" s="916">
        <f>IF(Económico!$F$4=0,0,Producción_Ganadera[[#This Row],[Centro de Costo]])</f>
        <v>0</v>
      </c>
    </row>
    <row r="265" spans="2:48" x14ac:dyDescent="0.25">
      <c r="D265" s="478"/>
      <c r="E265" s="522"/>
      <c r="F265" s="869" t="str">
        <f t="shared" si="16"/>
        <v>2018-2019</v>
      </c>
      <c r="G265" s="491" t="s">
        <v>172</v>
      </c>
      <c r="H265" s="491"/>
      <c r="I265" s="491"/>
      <c r="J265" s="549" t="s">
        <v>35</v>
      </c>
      <c r="K265" s="491"/>
      <c r="L265" s="520"/>
      <c r="M26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6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65" s="611"/>
      <c r="P265" s="484"/>
      <c r="Q265" s="875">
        <f>IF(ISNUMBER(Producción_Ganadera[[#This Row],[Cabezas]])=TRUE,Producción_Ganadera[[#This Row],[Cabezas]]*Producción_Ganadera[[#This Row],[Cantidad]],Producción_Ganadera[[#This Row],[Cantidad]])</f>
        <v>0</v>
      </c>
      <c r="R265" s="482"/>
      <c r="S265" s="552"/>
      <c r="T265" s="553"/>
      <c r="U26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65" s="881">
        <f>IFERROR(Producción_Ganadera[[#This Row],[Económico $Corrientes]]/Producción_Ganadera[[#This Row],[Indexación Económico]],0)</f>
        <v>0</v>
      </c>
      <c r="W26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6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65" s="881">
        <f>IFERROR(Producción_Ganadera[[#This Row],[Financiero $Corrientes]]/Producción_Ganadera[[#This Row],[Indexación Financiero]],0)</f>
        <v>0</v>
      </c>
      <c r="Z26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6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65" s="885">
        <f>IFERROR(Producción_Ganadera[[#This Row],[Intereses $Corrientes]]/Producción_Ganadera[[#This Row],[Indexación Financiero]],0)</f>
        <v>0</v>
      </c>
      <c r="AC26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65" s="915" t="str">
        <f>IFERROR(INDEX(Produccion_Ganadera_Cuentas[],MATCH(Producción_Ganadera[[#This Row],[Cuenta Contable]],Produccion_Ganadera_Cuentas[Cuenta Contable],0),2),0)</f>
        <v>Egreso Cesión</v>
      </c>
      <c r="AE265" s="916">
        <f>IF(Producción_Ganadera[[#This Row],[Mov. Stock]]="(+)",Producción_Ganadera[[#This Row],[Cabezas]],IF(Producción_Ganadera[[#This Row],[Mov. Stock]]="(-)",-Producción_Ganadera[[#This Row],[Cabezas]],0))</f>
        <v>0</v>
      </c>
      <c r="AF265" s="917">
        <f>IFERROR(INDEX(Produccion_Ganadera_Cuentas[],MATCH(Producción_Ganadera[[#This Row],[Cuenta Contable]],Produccion_Ganadera_Cuentas[Cuenta Contable],0),5),0)</f>
        <v>0</v>
      </c>
      <c r="AG265" s="918" t="str">
        <f>IF(Producción_Ganadera[[#This Row],[Cuenta Contable]]=Configuración!$AC$9,"Si","No")</f>
        <v>Si</v>
      </c>
      <c r="AH265" s="887" t="str">
        <f>IFERROR(INDEX(Tabla9[],MATCH(Producción_Ganadera[[#This Row],[Movimiento]],Tabla9[Movimientos],0),2),0)</f>
        <v>No</v>
      </c>
      <c r="AI265" s="888" t="str">
        <f>IFERROR(INDEX(Tabla9[],MATCH(Producción_Ganadera[[#This Row],[Movimiento]],Tabla9[Movimientos],0),3),0)</f>
        <v>(-)</v>
      </c>
      <c r="AJ265" s="885">
        <f>IF(Producción_Ganadera[[#This Row],[Fecha Económico]]=0,0,MONTH(Producción_Ganadera[[#This Row],[Fecha Económico]]))</f>
        <v>0</v>
      </c>
      <c r="AK265" s="885">
        <f>IF(Producción_Ganadera[[#This Row],[Fecha Económico]]=0,0,YEAR(Producción_Ganadera[[#This Row],[Fecha Económico]]))</f>
        <v>0</v>
      </c>
      <c r="AL265" s="889">
        <f>SUMPRODUCT((Producción_Ganadera[[#This Row],[Mes Económico]]=Tipo_Cambio[Mes])*(Producción_Ganadera[[#This Row],[Año Económico]]=Tipo_Cambio[Año])*(Tipo_Cambio[$/U$S]))</f>
        <v>0</v>
      </c>
      <c r="AM265" s="889">
        <f>SUMPRODUCT((Producción_Ganadera[[#This Row],[Mes Económico]]=Tipo_Cambio[Mes])*(Producción_Ganadera[[#This Row],[Año Económico]]=Tipo_Cambio[Año])*(Tipo_Cambio[Actualización]))</f>
        <v>0</v>
      </c>
      <c r="AN265" s="885">
        <f>IF(ISNUMBER(Producción_Ganadera[[#This Row],[Fecha Financiero]])=TRUE,MONTH(Producción_Ganadera[[#This Row],[Fecha Financiero]]),0)</f>
        <v>0</v>
      </c>
      <c r="AO265" s="885">
        <f>IF(ISNUMBER(Producción_Ganadera[[#This Row],[Fecha Financiero]])=TRUE,YEAR(Producción_Ganadera[[#This Row],[Fecha Financiero]]),0)</f>
        <v>0</v>
      </c>
      <c r="AP265" s="889">
        <f>SUMPRODUCT((Producción_Ganadera[[#This Row],[Mes Financiero]]=Tipo_Cambio[Mes])*(Producción_Ganadera[[#This Row],[Año Financiero]]=Tipo_Cambio[Año])*(Tipo_Cambio[$/U$S]))</f>
        <v>0</v>
      </c>
      <c r="AQ265" s="889">
        <f>SUMPRODUCT((Producción_Ganadera[[#This Row],[Mes Financiero]]=Tipo_Cambio[Mes])*(Producción_Ganadera[[#This Row],[Año Financiero]]=Tipo_Cambio[Año])*(Tipo_Cambio[Actualización]))</f>
        <v>0</v>
      </c>
      <c r="AR265" s="919">
        <f>SUMPRODUCT((Producción_Ganadera[[#This Row],[Centro de Costo]]=Tabla19[Centro de Costo])*(Tabla19[Superficie])*(Producción_Ganadera[[#This Row],[Campaña]]=Tabla19[Campaña]))</f>
        <v>0</v>
      </c>
      <c r="AS265" s="918">
        <f>IFERROR(Producción_Ganadera[[#This Row],[Económico $Corrientes]]/Producción_Ganadera[[#This Row],[Superficie]],0)</f>
        <v>0</v>
      </c>
      <c r="AT265" s="918">
        <f>IFERROR(Producción_Ganadera[[#This Row],[Económico $Constantes]]/Producción_Ganadera[[#This Row],[Superficie]],0)</f>
        <v>0</v>
      </c>
      <c r="AU265" s="918">
        <f>IFERROR(Producción_Ganadera[[#This Row],[Económico U$S Dólares]]/Producción_Ganadera[[#This Row],[Superficie]],0)</f>
        <v>0</v>
      </c>
      <c r="AV265" s="916">
        <f>IF(Económico!$F$4=0,0,Producción_Ganadera[[#This Row],[Centro de Costo]])</f>
        <v>0</v>
      </c>
    </row>
    <row r="266" spans="2:48" x14ac:dyDescent="0.25">
      <c r="D266" s="478"/>
      <c r="E266" s="522"/>
      <c r="F266" s="869" t="str">
        <f t="shared" si="16"/>
        <v>2018-2019</v>
      </c>
      <c r="G266" s="491" t="s">
        <v>172</v>
      </c>
      <c r="H266" s="491"/>
      <c r="I266" s="491"/>
      <c r="J266" s="549" t="s">
        <v>81</v>
      </c>
      <c r="K266" s="491"/>
      <c r="L266" s="520"/>
      <c r="M26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6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66" s="611"/>
      <c r="P266" s="484"/>
      <c r="Q266" s="875">
        <f>IF(ISNUMBER(Producción_Ganadera[[#This Row],[Cabezas]])=TRUE,Producción_Ganadera[[#This Row],[Cabezas]]*Producción_Ganadera[[#This Row],[Cantidad]],Producción_Ganadera[[#This Row],[Cantidad]])</f>
        <v>0</v>
      </c>
      <c r="R266" s="482"/>
      <c r="S266" s="552"/>
      <c r="T266" s="553"/>
      <c r="U26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66" s="881">
        <f>IFERROR(Producción_Ganadera[[#This Row],[Económico $Corrientes]]/Producción_Ganadera[[#This Row],[Indexación Económico]],0)</f>
        <v>0</v>
      </c>
      <c r="W26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6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66" s="881">
        <f>IFERROR(Producción_Ganadera[[#This Row],[Financiero $Corrientes]]/Producción_Ganadera[[#This Row],[Indexación Financiero]],0)</f>
        <v>0</v>
      </c>
      <c r="Z26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6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66" s="885">
        <f>IFERROR(Producción_Ganadera[[#This Row],[Intereses $Corrientes]]/Producción_Ganadera[[#This Row],[Indexación Financiero]],0)</f>
        <v>0</v>
      </c>
      <c r="AC26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66" s="915" t="str">
        <f>IFERROR(INDEX(Produccion_Ganadera_Cuentas[],MATCH(Producción_Ganadera[[#This Row],[Cuenta Contable]],Produccion_Ganadera_Cuentas[Cuenta Contable],0),2),0)</f>
        <v>Egreso Cesión</v>
      </c>
      <c r="AE266" s="916">
        <f>IF(Producción_Ganadera[[#This Row],[Mov. Stock]]="(+)",Producción_Ganadera[[#This Row],[Cabezas]],IF(Producción_Ganadera[[#This Row],[Mov. Stock]]="(-)",-Producción_Ganadera[[#This Row],[Cabezas]],0))</f>
        <v>0</v>
      </c>
      <c r="AF266" s="917">
        <f>IFERROR(INDEX(Produccion_Ganadera_Cuentas[],MATCH(Producción_Ganadera[[#This Row],[Cuenta Contable]],Produccion_Ganadera_Cuentas[Cuenta Contable],0),5),0)</f>
        <v>0</v>
      </c>
      <c r="AG266" s="918" t="str">
        <f>IF(Producción_Ganadera[[#This Row],[Cuenta Contable]]=Configuración!$AC$9,"Si","No")</f>
        <v>Si</v>
      </c>
      <c r="AH266" s="887" t="str">
        <f>IFERROR(INDEX(Tabla9[],MATCH(Producción_Ganadera[[#This Row],[Movimiento]],Tabla9[Movimientos],0),2),0)</f>
        <v>No</v>
      </c>
      <c r="AI266" s="888" t="str">
        <f>IFERROR(INDEX(Tabla9[],MATCH(Producción_Ganadera[[#This Row],[Movimiento]],Tabla9[Movimientos],0),3),0)</f>
        <v>(-)</v>
      </c>
      <c r="AJ266" s="885">
        <f>IF(Producción_Ganadera[[#This Row],[Fecha Económico]]=0,0,MONTH(Producción_Ganadera[[#This Row],[Fecha Económico]]))</f>
        <v>0</v>
      </c>
      <c r="AK266" s="885">
        <f>IF(Producción_Ganadera[[#This Row],[Fecha Económico]]=0,0,YEAR(Producción_Ganadera[[#This Row],[Fecha Económico]]))</f>
        <v>0</v>
      </c>
      <c r="AL266" s="889">
        <f>SUMPRODUCT((Producción_Ganadera[[#This Row],[Mes Económico]]=Tipo_Cambio[Mes])*(Producción_Ganadera[[#This Row],[Año Económico]]=Tipo_Cambio[Año])*(Tipo_Cambio[$/U$S]))</f>
        <v>0</v>
      </c>
      <c r="AM266" s="889">
        <f>SUMPRODUCT((Producción_Ganadera[[#This Row],[Mes Económico]]=Tipo_Cambio[Mes])*(Producción_Ganadera[[#This Row],[Año Económico]]=Tipo_Cambio[Año])*(Tipo_Cambio[Actualización]))</f>
        <v>0</v>
      </c>
      <c r="AN266" s="885">
        <f>IF(ISNUMBER(Producción_Ganadera[[#This Row],[Fecha Financiero]])=TRUE,MONTH(Producción_Ganadera[[#This Row],[Fecha Financiero]]),0)</f>
        <v>0</v>
      </c>
      <c r="AO266" s="885">
        <f>IF(ISNUMBER(Producción_Ganadera[[#This Row],[Fecha Financiero]])=TRUE,YEAR(Producción_Ganadera[[#This Row],[Fecha Financiero]]),0)</f>
        <v>0</v>
      </c>
      <c r="AP266" s="889">
        <f>SUMPRODUCT((Producción_Ganadera[[#This Row],[Mes Financiero]]=Tipo_Cambio[Mes])*(Producción_Ganadera[[#This Row],[Año Financiero]]=Tipo_Cambio[Año])*(Tipo_Cambio[$/U$S]))</f>
        <v>0</v>
      </c>
      <c r="AQ266" s="889">
        <f>SUMPRODUCT((Producción_Ganadera[[#This Row],[Mes Financiero]]=Tipo_Cambio[Mes])*(Producción_Ganadera[[#This Row],[Año Financiero]]=Tipo_Cambio[Año])*(Tipo_Cambio[Actualización]))</f>
        <v>0</v>
      </c>
      <c r="AR266" s="919">
        <f>SUMPRODUCT((Producción_Ganadera[[#This Row],[Centro de Costo]]=Tabla19[Centro de Costo])*(Tabla19[Superficie])*(Producción_Ganadera[[#This Row],[Campaña]]=Tabla19[Campaña]))</f>
        <v>0</v>
      </c>
      <c r="AS266" s="918">
        <f>IFERROR(Producción_Ganadera[[#This Row],[Económico $Corrientes]]/Producción_Ganadera[[#This Row],[Superficie]],0)</f>
        <v>0</v>
      </c>
      <c r="AT266" s="918">
        <f>IFERROR(Producción_Ganadera[[#This Row],[Económico $Constantes]]/Producción_Ganadera[[#This Row],[Superficie]],0)</f>
        <v>0</v>
      </c>
      <c r="AU266" s="918">
        <f>IFERROR(Producción_Ganadera[[#This Row],[Económico U$S Dólares]]/Producción_Ganadera[[#This Row],[Superficie]],0)</f>
        <v>0</v>
      </c>
      <c r="AV266" s="916">
        <f>IF(Económico!$F$4=0,0,Producción_Ganadera[[#This Row],[Centro de Costo]])</f>
        <v>0</v>
      </c>
    </row>
    <row r="267" spans="2:48" x14ac:dyDescent="0.25">
      <c r="D267" s="478"/>
      <c r="E267" s="522"/>
      <c r="F267" s="869" t="str">
        <f t="shared" si="16"/>
        <v>2018-2019</v>
      </c>
      <c r="G267" s="491" t="s">
        <v>172</v>
      </c>
      <c r="H267" s="491"/>
      <c r="I267" s="491"/>
      <c r="J267" s="549" t="s">
        <v>81</v>
      </c>
      <c r="K267" s="491"/>
      <c r="L267" s="520"/>
      <c r="M26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6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67" s="611"/>
      <c r="P267" s="484"/>
      <c r="Q267" s="875">
        <f>IF(ISNUMBER(Producción_Ganadera[[#This Row],[Cabezas]])=TRUE,Producción_Ganadera[[#This Row],[Cabezas]]*Producción_Ganadera[[#This Row],[Cantidad]],Producción_Ganadera[[#This Row],[Cantidad]])</f>
        <v>0</v>
      </c>
      <c r="R267" s="482"/>
      <c r="S267" s="552"/>
      <c r="T267" s="553"/>
      <c r="U26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67" s="881">
        <f>IFERROR(Producción_Ganadera[[#This Row],[Económico $Corrientes]]/Producción_Ganadera[[#This Row],[Indexación Económico]],0)</f>
        <v>0</v>
      </c>
      <c r="W26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6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67" s="881">
        <f>IFERROR(Producción_Ganadera[[#This Row],[Financiero $Corrientes]]/Producción_Ganadera[[#This Row],[Indexación Financiero]],0)</f>
        <v>0</v>
      </c>
      <c r="Z26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6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67" s="885">
        <f>IFERROR(Producción_Ganadera[[#This Row],[Intereses $Corrientes]]/Producción_Ganadera[[#This Row],[Indexación Financiero]],0)</f>
        <v>0</v>
      </c>
      <c r="AC26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67" s="915" t="str">
        <f>IFERROR(INDEX(Produccion_Ganadera_Cuentas[],MATCH(Producción_Ganadera[[#This Row],[Cuenta Contable]],Produccion_Ganadera_Cuentas[Cuenta Contable],0),2),0)</f>
        <v>Egreso Cesión</v>
      </c>
      <c r="AE267" s="916">
        <f>IF(Producción_Ganadera[[#This Row],[Mov. Stock]]="(+)",Producción_Ganadera[[#This Row],[Cabezas]],IF(Producción_Ganadera[[#This Row],[Mov. Stock]]="(-)",-Producción_Ganadera[[#This Row],[Cabezas]],0))</f>
        <v>0</v>
      </c>
      <c r="AF267" s="917">
        <f>IFERROR(INDEX(Produccion_Ganadera_Cuentas[],MATCH(Producción_Ganadera[[#This Row],[Cuenta Contable]],Produccion_Ganadera_Cuentas[Cuenta Contable],0),5),0)</f>
        <v>0</v>
      </c>
      <c r="AG267" s="918" t="str">
        <f>IF(Producción_Ganadera[[#This Row],[Cuenta Contable]]=Configuración!$AC$9,"Si","No")</f>
        <v>Si</v>
      </c>
      <c r="AH267" s="887" t="str">
        <f>IFERROR(INDEX(Tabla9[],MATCH(Producción_Ganadera[[#This Row],[Movimiento]],Tabla9[Movimientos],0),2),0)</f>
        <v>No</v>
      </c>
      <c r="AI267" s="888" t="str">
        <f>IFERROR(INDEX(Tabla9[],MATCH(Producción_Ganadera[[#This Row],[Movimiento]],Tabla9[Movimientos],0),3),0)</f>
        <v>(-)</v>
      </c>
      <c r="AJ267" s="885">
        <f>IF(Producción_Ganadera[[#This Row],[Fecha Económico]]=0,0,MONTH(Producción_Ganadera[[#This Row],[Fecha Económico]]))</f>
        <v>0</v>
      </c>
      <c r="AK267" s="885">
        <f>IF(Producción_Ganadera[[#This Row],[Fecha Económico]]=0,0,YEAR(Producción_Ganadera[[#This Row],[Fecha Económico]]))</f>
        <v>0</v>
      </c>
      <c r="AL267" s="889">
        <f>SUMPRODUCT((Producción_Ganadera[[#This Row],[Mes Económico]]=Tipo_Cambio[Mes])*(Producción_Ganadera[[#This Row],[Año Económico]]=Tipo_Cambio[Año])*(Tipo_Cambio[$/U$S]))</f>
        <v>0</v>
      </c>
      <c r="AM267" s="889">
        <f>SUMPRODUCT((Producción_Ganadera[[#This Row],[Mes Económico]]=Tipo_Cambio[Mes])*(Producción_Ganadera[[#This Row],[Año Económico]]=Tipo_Cambio[Año])*(Tipo_Cambio[Actualización]))</f>
        <v>0</v>
      </c>
      <c r="AN267" s="885">
        <f>IF(ISNUMBER(Producción_Ganadera[[#This Row],[Fecha Financiero]])=TRUE,MONTH(Producción_Ganadera[[#This Row],[Fecha Financiero]]),0)</f>
        <v>0</v>
      </c>
      <c r="AO267" s="885">
        <f>IF(ISNUMBER(Producción_Ganadera[[#This Row],[Fecha Financiero]])=TRUE,YEAR(Producción_Ganadera[[#This Row],[Fecha Financiero]]),0)</f>
        <v>0</v>
      </c>
      <c r="AP267" s="889">
        <f>SUMPRODUCT((Producción_Ganadera[[#This Row],[Mes Financiero]]=Tipo_Cambio[Mes])*(Producción_Ganadera[[#This Row],[Año Financiero]]=Tipo_Cambio[Año])*(Tipo_Cambio[$/U$S]))</f>
        <v>0</v>
      </c>
      <c r="AQ267" s="889">
        <f>SUMPRODUCT((Producción_Ganadera[[#This Row],[Mes Financiero]]=Tipo_Cambio[Mes])*(Producción_Ganadera[[#This Row],[Año Financiero]]=Tipo_Cambio[Año])*(Tipo_Cambio[Actualización]))</f>
        <v>0</v>
      </c>
      <c r="AR267" s="919">
        <f>SUMPRODUCT((Producción_Ganadera[[#This Row],[Centro de Costo]]=Tabla19[Centro de Costo])*(Tabla19[Superficie])*(Producción_Ganadera[[#This Row],[Campaña]]=Tabla19[Campaña]))</f>
        <v>0</v>
      </c>
      <c r="AS267" s="918">
        <f>IFERROR(Producción_Ganadera[[#This Row],[Económico $Corrientes]]/Producción_Ganadera[[#This Row],[Superficie]],0)</f>
        <v>0</v>
      </c>
      <c r="AT267" s="918">
        <f>IFERROR(Producción_Ganadera[[#This Row],[Económico $Constantes]]/Producción_Ganadera[[#This Row],[Superficie]],0)</f>
        <v>0</v>
      </c>
      <c r="AU267" s="918">
        <f>IFERROR(Producción_Ganadera[[#This Row],[Económico U$S Dólares]]/Producción_Ganadera[[#This Row],[Superficie]],0)</f>
        <v>0</v>
      </c>
      <c r="AV267" s="916">
        <f>IF(Económico!$F$4=0,0,Producción_Ganadera[[#This Row],[Centro de Costo]])</f>
        <v>0</v>
      </c>
    </row>
    <row r="268" spans="2:48" x14ac:dyDescent="0.25">
      <c r="D268" s="478"/>
      <c r="E268" s="522"/>
      <c r="F268" s="869" t="str">
        <f t="shared" si="16"/>
        <v>2018-2019</v>
      </c>
      <c r="G268" s="491"/>
      <c r="H268" s="491"/>
      <c r="I268" s="491"/>
      <c r="J268" s="549"/>
      <c r="K268" s="491"/>
      <c r="L268" s="520"/>
      <c r="M26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6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68" s="611"/>
      <c r="P268" s="484"/>
      <c r="Q268" s="875">
        <f>IF(ISNUMBER(Producción_Ganadera[[#This Row],[Cabezas]])=TRUE,Producción_Ganadera[[#This Row],[Cabezas]]*Producción_Ganadera[[#This Row],[Cantidad]],Producción_Ganadera[[#This Row],[Cantidad]])</f>
        <v>0</v>
      </c>
      <c r="R268" s="482"/>
      <c r="S268" s="552"/>
      <c r="T268" s="553"/>
      <c r="U26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68" s="881">
        <f>IFERROR(Producción_Ganadera[[#This Row],[Económico $Corrientes]]/Producción_Ganadera[[#This Row],[Indexación Económico]],0)</f>
        <v>0</v>
      </c>
      <c r="W26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6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68" s="881">
        <f>IFERROR(Producción_Ganadera[[#This Row],[Financiero $Corrientes]]/Producción_Ganadera[[#This Row],[Indexación Financiero]],0)</f>
        <v>0</v>
      </c>
      <c r="Z26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6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68" s="885">
        <f>IFERROR(Producción_Ganadera[[#This Row],[Intereses $Corrientes]]/Producción_Ganadera[[#This Row],[Indexación Financiero]],0)</f>
        <v>0</v>
      </c>
      <c r="AC26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68" s="915">
        <f>IFERROR(INDEX(Produccion_Ganadera_Cuentas[],MATCH(Producción_Ganadera[[#This Row],[Cuenta Contable]],Produccion_Ganadera_Cuentas[Cuenta Contable],0),2),0)</f>
        <v>0</v>
      </c>
      <c r="AE268" s="916">
        <f>IF(Producción_Ganadera[[#This Row],[Mov. Stock]]="(+)",Producción_Ganadera[[#This Row],[Cabezas]],IF(Producción_Ganadera[[#This Row],[Mov. Stock]]="(-)",-Producción_Ganadera[[#This Row],[Cabezas]],0))</f>
        <v>0</v>
      </c>
      <c r="AF268" s="917">
        <f>IFERROR(INDEX(Produccion_Ganadera_Cuentas[],MATCH(Producción_Ganadera[[#This Row],[Cuenta Contable]],Produccion_Ganadera_Cuentas[Cuenta Contable],0),5),0)</f>
        <v>0</v>
      </c>
      <c r="AG268" s="918" t="str">
        <f>IF(Producción_Ganadera[[#This Row],[Cuenta Contable]]=Configuración!$AC$9,"Si","No")</f>
        <v>No</v>
      </c>
      <c r="AH268" s="887">
        <f>IFERROR(INDEX(Tabla9[],MATCH(Producción_Ganadera[[#This Row],[Movimiento]],Tabla9[Movimientos],0),2),0)</f>
        <v>0</v>
      </c>
      <c r="AI268" s="888">
        <f>IFERROR(INDEX(Tabla9[],MATCH(Producción_Ganadera[[#This Row],[Movimiento]],Tabla9[Movimientos],0),3),0)</f>
        <v>0</v>
      </c>
      <c r="AJ268" s="885">
        <f>IF(Producción_Ganadera[[#This Row],[Fecha Económico]]=0,0,MONTH(Producción_Ganadera[[#This Row],[Fecha Económico]]))</f>
        <v>0</v>
      </c>
      <c r="AK268" s="885">
        <f>IF(Producción_Ganadera[[#This Row],[Fecha Económico]]=0,0,YEAR(Producción_Ganadera[[#This Row],[Fecha Económico]]))</f>
        <v>0</v>
      </c>
      <c r="AL268" s="889">
        <f>SUMPRODUCT((Producción_Ganadera[[#This Row],[Mes Económico]]=Tipo_Cambio[Mes])*(Producción_Ganadera[[#This Row],[Año Económico]]=Tipo_Cambio[Año])*(Tipo_Cambio[$/U$S]))</f>
        <v>0</v>
      </c>
      <c r="AM268" s="889">
        <f>SUMPRODUCT((Producción_Ganadera[[#This Row],[Mes Económico]]=Tipo_Cambio[Mes])*(Producción_Ganadera[[#This Row],[Año Económico]]=Tipo_Cambio[Año])*(Tipo_Cambio[Actualización]))</f>
        <v>0</v>
      </c>
      <c r="AN268" s="885">
        <f>IF(ISNUMBER(Producción_Ganadera[[#This Row],[Fecha Financiero]])=TRUE,MONTH(Producción_Ganadera[[#This Row],[Fecha Financiero]]),0)</f>
        <v>0</v>
      </c>
      <c r="AO268" s="885">
        <f>IF(ISNUMBER(Producción_Ganadera[[#This Row],[Fecha Financiero]])=TRUE,YEAR(Producción_Ganadera[[#This Row],[Fecha Financiero]]),0)</f>
        <v>0</v>
      </c>
      <c r="AP268" s="889">
        <f>SUMPRODUCT((Producción_Ganadera[[#This Row],[Mes Financiero]]=Tipo_Cambio[Mes])*(Producción_Ganadera[[#This Row],[Año Financiero]]=Tipo_Cambio[Año])*(Tipo_Cambio[$/U$S]))</f>
        <v>0</v>
      </c>
      <c r="AQ268" s="889">
        <f>SUMPRODUCT((Producción_Ganadera[[#This Row],[Mes Financiero]]=Tipo_Cambio[Mes])*(Producción_Ganadera[[#This Row],[Año Financiero]]=Tipo_Cambio[Año])*(Tipo_Cambio[Actualización]))</f>
        <v>0</v>
      </c>
      <c r="AR268" s="919">
        <f>SUMPRODUCT((Producción_Ganadera[[#This Row],[Centro de Costo]]=Tabla19[Centro de Costo])*(Tabla19[Superficie])*(Producción_Ganadera[[#This Row],[Campaña]]=Tabla19[Campaña]))</f>
        <v>0</v>
      </c>
      <c r="AS268" s="918">
        <f>IFERROR(Producción_Ganadera[[#This Row],[Económico $Corrientes]]/Producción_Ganadera[[#This Row],[Superficie]],0)</f>
        <v>0</v>
      </c>
      <c r="AT268" s="918">
        <f>IFERROR(Producción_Ganadera[[#This Row],[Económico $Constantes]]/Producción_Ganadera[[#This Row],[Superficie]],0)</f>
        <v>0</v>
      </c>
      <c r="AU268" s="918">
        <f>IFERROR(Producción_Ganadera[[#This Row],[Económico U$S Dólares]]/Producción_Ganadera[[#This Row],[Superficie]],0)</f>
        <v>0</v>
      </c>
      <c r="AV268" s="916">
        <f>IF(Económico!$F$4=0,0,Producción_Ganadera[[#This Row],[Centro de Costo]])</f>
        <v>0</v>
      </c>
    </row>
    <row r="269" spans="2:48" ht="15.75" thickBot="1" x14ac:dyDescent="0.3">
      <c r="B269" s="373" t="s">
        <v>101</v>
      </c>
      <c r="D269" s="478"/>
      <c r="E269" s="522"/>
      <c r="F269" s="869" t="str">
        <f t="shared" si="16"/>
        <v>2018-2019</v>
      </c>
      <c r="G269" s="491"/>
      <c r="H269" s="491"/>
      <c r="I269" s="491"/>
      <c r="J269" s="549"/>
      <c r="K269" s="491"/>
      <c r="L269" s="520"/>
      <c r="M26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6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69" s="611"/>
      <c r="P269" s="484"/>
      <c r="Q269" s="875">
        <f>IF(ISNUMBER(Producción_Ganadera[[#This Row],[Cabezas]])=TRUE,Producción_Ganadera[[#This Row],[Cabezas]]*Producción_Ganadera[[#This Row],[Cantidad]],Producción_Ganadera[[#This Row],[Cantidad]])</f>
        <v>0</v>
      </c>
      <c r="R269" s="482"/>
      <c r="S269" s="552"/>
      <c r="T269" s="553"/>
      <c r="U26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69" s="881">
        <f>IFERROR(Producción_Ganadera[[#This Row],[Económico $Corrientes]]/Producción_Ganadera[[#This Row],[Indexación Económico]],0)</f>
        <v>0</v>
      </c>
      <c r="W26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6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69" s="881">
        <f>IFERROR(Producción_Ganadera[[#This Row],[Financiero $Corrientes]]/Producción_Ganadera[[#This Row],[Indexación Financiero]],0)</f>
        <v>0</v>
      </c>
      <c r="Z26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6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69" s="885">
        <f>IFERROR(Producción_Ganadera[[#This Row],[Intereses $Corrientes]]/Producción_Ganadera[[#This Row],[Indexación Financiero]],0)</f>
        <v>0</v>
      </c>
      <c r="AC26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69" s="915">
        <f>IFERROR(INDEX(Produccion_Ganadera_Cuentas[],MATCH(Producción_Ganadera[[#This Row],[Cuenta Contable]],Produccion_Ganadera_Cuentas[Cuenta Contable],0),2),0)</f>
        <v>0</v>
      </c>
      <c r="AE269" s="916">
        <f>IF(Producción_Ganadera[[#This Row],[Mov. Stock]]="(+)",Producción_Ganadera[[#This Row],[Cabezas]],IF(Producción_Ganadera[[#This Row],[Mov. Stock]]="(-)",-Producción_Ganadera[[#This Row],[Cabezas]],0))</f>
        <v>0</v>
      </c>
      <c r="AF269" s="917">
        <f>IFERROR(INDEX(Produccion_Ganadera_Cuentas[],MATCH(Producción_Ganadera[[#This Row],[Cuenta Contable]],Produccion_Ganadera_Cuentas[Cuenta Contable],0),5),0)</f>
        <v>0</v>
      </c>
      <c r="AG269" s="918" t="str">
        <f>IF(Producción_Ganadera[[#This Row],[Cuenta Contable]]=Configuración!$AC$9,"Si","No")</f>
        <v>No</v>
      </c>
      <c r="AH269" s="887">
        <f>IFERROR(INDEX(Tabla9[],MATCH(Producción_Ganadera[[#This Row],[Movimiento]],Tabla9[Movimientos],0),2),0)</f>
        <v>0</v>
      </c>
      <c r="AI269" s="888">
        <f>IFERROR(INDEX(Tabla9[],MATCH(Producción_Ganadera[[#This Row],[Movimiento]],Tabla9[Movimientos],0),3),0)</f>
        <v>0</v>
      </c>
      <c r="AJ269" s="885">
        <f>IF(Producción_Ganadera[[#This Row],[Fecha Económico]]=0,0,MONTH(Producción_Ganadera[[#This Row],[Fecha Económico]]))</f>
        <v>0</v>
      </c>
      <c r="AK269" s="885">
        <f>IF(Producción_Ganadera[[#This Row],[Fecha Económico]]=0,0,YEAR(Producción_Ganadera[[#This Row],[Fecha Económico]]))</f>
        <v>0</v>
      </c>
      <c r="AL269" s="889">
        <f>SUMPRODUCT((Producción_Ganadera[[#This Row],[Mes Económico]]=Tipo_Cambio[Mes])*(Producción_Ganadera[[#This Row],[Año Económico]]=Tipo_Cambio[Año])*(Tipo_Cambio[$/U$S]))</f>
        <v>0</v>
      </c>
      <c r="AM269" s="889">
        <f>SUMPRODUCT((Producción_Ganadera[[#This Row],[Mes Económico]]=Tipo_Cambio[Mes])*(Producción_Ganadera[[#This Row],[Año Económico]]=Tipo_Cambio[Año])*(Tipo_Cambio[Actualización]))</f>
        <v>0</v>
      </c>
      <c r="AN269" s="885">
        <f>IF(ISNUMBER(Producción_Ganadera[[#This Row],[Fecha Financiero]])=TRUE,MONTH(Producción_Ganadera[[#This Row],[Fecha Financiero]]),0)</f>
        <v>0</v>
      </c>
      <c r="AO269" s="885">
        <f>IF(ISNUMBER(Producción_Ganadera[[#This Row],[Fecha Financiero]])=TRUE,YEAR(Producción_Ganadera[[#This Row],[Fecha Financiero]]),0)</f>
        <v>0</v>
      </c>
      <c r="AP269" s="889">
        <f>SUMPRODUCT((Producción_Ganadera[[#This Row],[Mes Financiero]]=Tipo_Cambio[Mes])*(Producción_Ganadera[[#This Row],[Año Financiero]]=Tipo_Cambio[Año])*(Tipo_Cambio[$/U$S]))</f>
        <v>0</v>
      </c>
      <c r="AQ269" s="889">
        <f>SUMPRODUCT((Producción_Ganadera[[#This Row],[Mes Financiero]]=Tipo_Cambio[Mes])*(Producción_Ganadera[[#This Row],[Año Financiero]]=Tipo_Cambio[Año])*(Tipo_Cambio[Actualización]))</f>
        <v>0</v>
      </c>
      <c r="AR269" s="919">
        <f>SUMPRODUCT((Producción_Ganadera[[#This Row],[Centro de Costo]]=Tabla19[Centro de Costo])*(Tabla19[Superficie])*(Producción_Ganadera[[#This Row],[Campaña]]=Tabla19[Campaña]))</f>
        <v>0</v>
      </c>
      <c r="AS269" s="918">
        <f>IFERROR(Producción_Ganadera[[#This Row],[Económico $Corrientes]]/Producción_Ganadera[[#This Row],[Superficie]],0)</f>
        <v>0</v>
      </c>
      <c r="AT269" s="918">
        <f>IFERROR(Producción_Ganadera[[#This Row],[Económico $Constantes]]/Producción_Ganadera[[#This Row],[Superficie]],0)</f>
        <v>0</v>
      </c>
      <c r="AU269" s="918">
        <f>IFERROR(Producción_Ganadera[[#This Row],[Económico U$S Dólares]]/Producción_Ganadera[[#This Row],[Superficie]],0)</f>
        <v>0</v>
      </c>
      <c r="AV269" s="916">
        <f>IF(Económico!$F$4=0,0,Producción_Ganadera[[#This Row],[Centro de Costo]])</f>
        <v>0</v>
      </c>
    </row>
    <row r="270" spans="2:48" ht="15.75" thickTop="1" x14ac:dyDescent="0.25">
      <c r="B270" s="1136" t="s">
        <v>53</v>
      </c>
      <c r="D270" s="614">
        <f>DATE(LEFT(Producción_Ganadera[[#This Row],[Campaña]],4),7,1)</f>
        <v>43282</v>
      </c>
      <c r="E270" s="615"/>
      <c r="F270" s="871" t="str">
        <f t="shared" si="16"/>
        <v>2018-2019</v>
      </c>
      <c r="G270" s="616" t="str">
        <f>GAN_Gerenciamiento</f>
        <v>Gerenciamiento</v>
      </c>
      <c r="H270" s="616"/>
      <c r="I270" s="616"/>
      <c r="J270" s="617"/>
      <c r="K270" s="616"/>
      <c r="L270" s="618"/>
      <c r="M270" s="61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70" s="871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70" s="620"/>
      <c r="P270" s="621"/>
      <c r="Q270" s="878">
        <f>IF(ISNUMBER(Producción_Ganadera[[#This Row],[Cabezas]])=TRUE,Producción_Ganadera[[#This Row],[Cabezas]]*Producción_Ganadera[[#This Row],[Cantidad]],Producción_Ganadera[[#This Row],[Cantidad]])</f>
        <v>0</v>
      </c>
      <c r="R270" s="622"/>
      <c r="S270" s="623"/>
      <c r="T270" s="624"/>
      <c r="U270" s="927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70" s="928">
        <f>IFERROR(Producción_Ganadera[[#This Row],[Económico $Corrientes]]/Producción_Ganadera[[#This Row],[Indexación Económico]],0)</f>
        <v>0</v>
      </c>
      <c r="W270" s="929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70" s="927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70" s="928">
        <f>IFERROR(Producción_Ganadera[[#This Row],[Financiero $Corrientes]]/Producción_Ganadera[[#This Row],[Indexación Financiero]],0)</f>
        <v>0</v>
      </c>
      <c r="Z270" s="930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70" s="93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70" s="932">
        <f>IFERROR(Producción_Ganadera[[#This Row],[Intereses $Corrientes]]/Producción_Ganadera[[#This Row],[Indexación Financiero]],0)</f>
        <v>0</v>
      </c>
      <c r="AC270" s="93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70" s="933" t="str">
        <f>IFERROR(INDEX(Produccion_Ganadera_Cuentas[],MATCH(Producción_Ganadera[[#This Row],[Cuenta Contable]],Produccion_Ganadera_Cuentas[Cuenta Contable],0),2),0)</f>
        <v>Egreso</v>
      </c>
      <c r="AE270" s="934">
        <f>IF(Producción_Ganadera[[#This Row],[Mov. Stock]]="(+)",Producción_Ganadera[[#This Row],[Cabezas]],IF(Producción_Ganadera[[#This Row],[Mov. Stock]]="(-)",-Producción_Ganadera[[#This Row],[Cabezas]],0))</f>
        <v>0</v>
      </c>
      <c r="AF270" s="935">
        <f>IFERROR(INDEX(Produccion_Ganadera_Cuentas[],MATCH(Producción_Ganadera[[#This Row],[Cuenta Contable]],Produccion_Ganadera_Cuentas[Cuenta Contable],0),5),0)</f>
        <v>0</v>
      </c>
      <c r="AG270" s="936" t="str">
        <f>IF(Producción_Ganadera[[#This Row],[Cuenta Contable]]=Configuración!$AC$9,"Si","No")</f>
        <v>No</v>
      </c>
      <c r="AH270" s="937" t="str">
        <f>IFERROR(INDEX(Tabla9[],MATCH(Producción_Ganadera[[#This Row],[Movimiento]],Tabla9[Movimientos],0),2),0)</f>
        <v>Si</v>
      </c>
      <c r="AI270" s="938" t="str">
        <f>IFERROR(INDEX(Tabla9[],MATCH(Producción_Ganadera[[#This Row],[Movimiento]],Tabla9[Movimientos],0),3),0)</f>
        <v>(-)</v>
      </c>
      <c r="AJ270" s="932">
        <f>IF(Producción_Ganadera[[#This Row],[Fecha Económico]]=0,0,MONTH(Producción_Ganadera[[#This Row],[Fecha Económico]]))</f>
        <v>7</v>
      </c>
      <c r="AK270" s="932">
        <f>IF(Producción_Ganadera[[#This Row],[Fecha Económico]]=0,0,YEAR(Producción_Ganadera[[#This Row],[Fecha Económico]]))</f>
        <v>2018</v>
      </c>
      <c r="AL270" s="939">
        <f>SUMPRODUCT((Producción_Ganadera[[#This Row],[Mes Económico]]=Tipo_Cambio[Mes])*(Producción_Ganadera[[#This Row],[Año Económico]]=Tipo_Cambio[Año])*(Tipo_Cambio[$/U$S]))</f>
        <v>22</v>
      </c>
      <c r="AM270" s="939">
        <f>SUMPRODUCT((Producción_Ganadera[[#This Row],[Mes Económico]]=Tipo_Cambio[Mes])*(Producción_Ganadera[[#This Row],[Año Económico]]=Tipo_Cambio[Año])*(Tipo_Cambio[Actualización]))</f>
        <v>1</v>
      </c>
      <c r="AN270" s="932">
        <f>IF(ISNUMBER(Producción_Ganadera[[#This Row],[Fecha Financiero]])=TRUE,MONTH(Producción_Ganadera[[#This Row],[Fecha Financiero]]),0)</f>
        <v>0</v>
      </c>
      <c r="AO270" s="932">
        <f>IF(ISNUMBER(Producción_Ganadera[[#This Row],[Fecha Financiero]])=TRUE,YEAR(Producción_Ganadera[[#This Row],[Fecha Financiero]]),0)</f>
        <v>0</v>
      </c>
      <c r="AP270" s="939">
        <f>SUMPRODUCT((Producción_Ganadera[[#This Row],[Mes Financiero]]=Tipo_Cambio[Mes])*(Producción_Ganadera[[#This Row],[Año Financiero]]=Tipo_Cambio[Año])*(Tipo_Cambio[$/U$S]))</f>
        <v>0</v>
      </c>
      <c r="AQ270" s="939">
        <f>SUMPRODUCT((Producción_Ganadera[[#This Row],[Mes Financiero]]=Tipo_Cambio[Mes])*(Producción_Ganadera[[#This Row],[Año Financiero]]=Tipo_Cambio[Año])*(Tipo_Cambio[Actualización]))</f>
        <v>0</v>
      </c>
      <c r="AR270" s="940">
        <f>SUMPRODUCT((Producción_Ganadera[[#This Row],[Centro de Costo]]=Tabla19[Centro de Costo])*(Tabla19[Superficie])*(Producción_Ganadera[[#This Row],[Campaña]]=Tabla19[Campaña]))</f>
        <v>0</v>
      </c>
      <c r="AS270" s="936">
        <f>IFERROR(Producción_Ganadera[[#This Row],[Económico $Corrientes]]/Producción_Ganadera[[#This Row],[Superficie]],0)</f>
        <v>0</v>
      </c>
      <c r="AT270" s="936">
        <f>IFERROR(Producción_Ganadera[[#This Row],[Económico $Constantes]]/Producción_Ganadera[[#This Row],[Superficie]],0)</f>
        <v>0</v>
      </c>
      <c r="AU270" s="936">
        <f>IFERROR(Producción_Ganadera[[#This Row],[Económico U$S Dólares]]/Producción_Ganadera[[#This Row],[Superficie]],0)</f>
        <v>0</v>
      </c>
      <c r="AV270" s="934">
        <f>IF(Económico!$F$4=0,0,Producción_Ganadera[[#This Row],[Centro de Costo]])</f>
        <v>0</v>
      </c>
    </row>
    <row r="271" spans="2:48" x14ac:dyDescent="0.25">
      <c r="B271" s="1136"/>
      <c r="D271" s="478">
        <f>DATE(IF(MONTH(D270)=1,YEAR(D270+1),YEAR(D270)),MONTH(D270)+1,1)</f>
        <v>43313</v>
      </c>
      <c r="E271" s="522"/>
      <c r="F271" s="869" t="str">
        <f t="shared" si="16"/>
        <v>2018-2019</v>
      </c>
      <c r="G271" s="491" t="s">
        <v>53</v>
      </c>
      <c r="H271" s="491"/>
      <c r="I271" s="491"/>
      <c r="J271" s="549"/>
      <c r="K271" s="491"/>
      <c r="L271" s="520"/>
      <c r="M27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7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71" s="611"/>
      <c r="P271" s="484"/>
      <c r="Q271" s="875">
        <f>IF(ISNUMBER(Producción_Ganadera[[#This Row],[Cabezas]])=TRUE,Producción_Ganadera[[#This Row],[Cabezas]]*Producción_Ganadera[[#This Row],[Cantidad]],Producción_Ganadera[[#This Row],[Cantidad]])</f>
        <v>0</v>
      </c>
      <c r="R271" s="482"/>
      <c r="S271" s="552"/>
      <c r="T271" s="553"/>
      <c r="U27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71" s="881">
        <f>IFERROR(Producción_Ganadera[[#This Row],[Económico $Corrientes]]/Producción_Ganadera[[#This Row],[Indexación Económico]],0)</f>
        <v>0</v>
      </c>
      <c r="W27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7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71" s="881">
        <f>IFERROR(Producción_Ganadera[[#This Row],[Financiero $Corrientes]]/Producción_Ganadera[[#This Row],[Indexación Financiero]],0)</f>
        <v>0</v>
      </c>
      <c r="Z27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7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71" s="885">
        <f>IFERROR(Producción_Ganadera[[#This Row],[Intereses $Corrientes]]/Producción_Ganadera[[#This Row],[Indexación Financiero]],0)</f>
        <v>0</v>
      </c>
      <c r="AC27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71" s="915" t="str">
        <f>IFERROR(INDEX(Produccion_Ganadera_Cuentas[],MATCH(Producción_Ganadera[[#This Row],[Cuenta Contable]],Produccion_Ganadera_Cuentas[Cuenta Contable],0),2),0)</f>
        <v>Egreso</v>
      </c>
      <c r="AE271" s="916">
        <f>IF(Producción_Ganadera[[#This Row],[Mov. Stock]]="(+)",Producción_Ganadera[[#This Row],[Cabezas]],IF(Producción_Ganadera[[#This Row],[Mov. Stock]]="(-)",-Producción_Ganadera[[#This Row],[Cabezas]],0))</f>
        <v>0</v>
      </c>
      <c r="AF271" s="917">
        <f>IFERROR(INDEX(Produccion_Ganadera_Cuentas[],MATCH(Producción_Ganadera[[#This Row],[Cuenta Contable]],Produccion_Ganadera_Cuentas[Cuenta Contable],0),5),0)</f>
        <v>0</v>
      </c>
      <c r="AG271" s="918" t="str">
        <f>IF(Producción_Ganadera[[#This Row],[Cuenta Contable]]=Configuración!$AC$9,"Si","No")</f>
        <v>No</v>
      </c>
      <c r="AH271" s="887" t="str">
        <f>IFERROR(INDEX(Tabla9[],MATCH(Producción_Ganadera[[#This Row],[Movimiento]],Tabla9[Movimientos],0),2),0)</f>
        <v>Si</v>
      </c>
      <c r="AI271" s="888" t="str">
        <f>IFERROR(INDEX(Tabla9[],MATCH(Producción_Ganadera[[#This Row],[Movimiento]],Tabla9[Movimientos],0),3),0)</f>
        <v>(-)</v>
      </c>
      <c r="AJ271" s="885">
        <f>IF(Producción_Ganadera[[#This Row],[Fecha Económico]]=0,0,MONTH(Producción_Ganadera[[#This Row],[Fecha Económico]]))</f>
        <v>8</v>
      </c>
      <c r="AK271" s="885">
        <f>IF(Producción_Ganadera[[#This Row],[Fecha Económico]]=0,0,YEAR(Producción_Ganadera[[#This Row],[Fecha Económico]]))</f>
        <v>2018</v>
      </c>
      <c r="AL271" s="889">
        <f>SUMPRODUCT((Producción_Ganadera[[#This Row],[Mes Económico]]=Tipo_Cambio[Mes])*(Producción_Ganadera[[#This Row],[Año Económico]]=Tipo_Cambio[Año])*(Tipo_Cambio[$/U$S]))</f>
        <v>22.22</v>
      </c>
      <c r="AM271" s="889">
        <f>SUMPRODUCT((Producción_Ganadera[[#This Row],[Mes Económico]]=Tipo_Cambio[Mes])*(Producción_Ganadera[[#This Row],[Año Económico]]=Tipo_Cambio[Año])*(Tipo_Cambio[Actualización]))</f>
        <v>1.02</v>
      </c>
      <c r="AN271" s="885">
        <f>IF(ISNUMBER(Producción_Ganadera[[#This Row],[Fecha Financiero]])=TRUE,MONTH(Producción_Ganadera[[#This Row],[Fecha Financiero]]),0)</f>
        <v>0</v>
      </c>
      <c r="AO271" s="885">
        <f>IF(ISNUMBER(Producción_Ganadera[[#This Row],[Fecha Financiero]])=TRUE,YEAR(Producción_Ganadera[[#This Row],[Fecha Financiero]]),0)</f>
        <v>0</v>
      </c>
      <c r="AP271" s="889">
        <f>SUMPRODUCT((Producción_Ganadera[[#This Row],[Mes Financiero]]=Tipo_Cambio[Mes])*(Producción_Ganadera[[#This Row],[Año Financiero]]=Tipo_Cambio[Año])*(Tipo_Cambio[$/U$S]))</f>
        <v>0</v>
      </c>
      <c r="AQ271" s="889">
        <f>SUMPRODUCT((Producción_Ganadera[[#This Row],[Mes Financiero]]=Tipo_Cambio[Mes])*(Producción_Ganadera[[#This Row],[Año Financiero]]=Tipo_Cambio[Año])*(Tipo_Cambio[Actualización]))</f>
        <v>0</v>
      </c>
      <c r="AR271" s="919">
        <f>SUMPRODUCT((Producción_Ganadera[[#This Row],[Centro de Costo]]=Tabla19[Centro de Costo])*(Tabla19[Superficie])*(Producción_Ganadera[[#This Row],[Campaña]]=Tabla19[Campaña]))</f>
        <v>0</v>
      </c>
      <c r="AS271" s="918">
        <f>IFERROR(Producción_Ganadera[[#This Row],[Económico $Corrientes]]/Producción_Ganadera[[#This Row],[Superficie]],0)</f>
        <v>0</v>
      </c>
      <c r="AT271" s="918">
        <f>IFERROR(Producción_Ganadera[[#This Row],[Económico $Constantes]]/Producción_Ganadera[[#This Row],[Superficie]],0)</f>
        <v>0</v>
      </c>
      <c r="AU271" s="918">
        <f>IFERROR(Producción_Ganadera[[#This Row],[Económico U$S Dólares]]/Producción_Ganadera[[#This Row],[Superficie]],0)</f>
        <v>0</v>
      </c>
      <c r="AV271" s="916">
        <f>IF(Económico!$F$4=0,0,Producción_Ganadera[[#This Row],[Centro de Costo]])</f>
        <v>0</v>
      </c>
    </row>
    <row r="272" spans="2:48" x14ac:dyDescent="0.25">
      <c r="B272" s="1136"/>
      <c r="D272" s="478">
        <f t="shared" ref="D272:D281" si="17">DATE(IF(MONTH(D271)=1,YEAR(D271+1),YEAR(D271)),MONTH(D271)+1,1)</f>
        <v>43344</v>
      </c>
      <c r="E272" s="522"/>
      <c r="F272" s="869" t="str">
        <f t="shared" si="16"/>
        <v>2018-2019</v>
      </c>
      <c r="G272" s="491" t="s">
        <v>53</v>
      </c>
      <c r="H272" s="491"/>
      <c r="I272" s="491"/>
      <c r="J272" s="549"/>
      <c r="K272" s="491"/>
      <c r="L272" s="520"/>
      <c r="M27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7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72" s="611"/>
      <c r="P272" s="484"/>
      <c r="Q272" s="875">
        <f>IF(ISNUMBER(Producción_Ganadera[[#This Row],[Cabezas]])=TRUE,Producción_Ganadera[[#This Row],[Cabezas]]*Producción_Ganadera[[#This Row],[Cantidad]],Producción_Ganadera[[#This Row],[Cantidad]])</f>
        <v>0</v>
      </c>
      <c r="R272" s="482"/>
      <c r="S272" s="552"/>
      <c r="T272" s="553"/>
      <c r="U27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72" s="881">
        <f>IFERROR(Producción_Ganadera[[#This Row],[Económico $Corrientes]]/Producción_Ganadera[[#This Row],[Indexación Económico]],0)</f>
        <v>0</v>
      </c>
      <c r="W27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7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72" s="881">
        <f>IFERROR(Producción_Ganadera[[#This Row],[Financiero $Corrientes]]/Producción_Ganadera[[#This Row],[Indexación Financiero]],0)</f>
        <v>0</v>
      </c>
      <c r="Z27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7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72" s="885">
        <f>IFERROR(Producción_Ganadera[[#This Row],[Intereses $Corrientes]]/Producción_Ganadera[[#This Row],[Indexación Financiero]],0)</f>
        <v>0</v>
      </c>
      <c r="AC27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72" s="915" t="str">
        <f>IFERROR(INDEX(Produccion_Ganadera_Cuentas[],MATCH(Producción_Ganadera[[#This Row],[Cuenta Contable]],Produccion_Ganadera_Cuentas[Cuenta Contable],0),2),0)</f>
        <v>Egreso</v>
      </c>
      <c r="AE272" s="916">
        <f>IF(Producción_Ganadera[[#This Row],[Mov. Stock]]="(+)",Producción_Ganadera[[#This Row],[Cabezas]],IF(Producción_Ganadera[[#This Row],[Mov. Stock]]="(-)",-Producción_Ganadera[[#This Row],[Cabezas]],0))</f>
        <v>0</v>
      </c>
      <c r="AF272" s="917">
        <f>IFERROR(INDEX(Produccion_Ganadera_Cuentas[],MATCH(Producción_Ganadera[[#This Row],[Cuenta Contable]],Produccion_Ganadera_Cuentas[Cuenta Contable],0),5),0)</f>
        <v>0</v>
      </c>
      <c r="AG272" s="918" t="str">
        <f>IF(Producción_Ganadera[[#This Row],[Cuenta Contable]]=Configuración!$AC$9,"Si","No")</f>
        <v>No</v>
      </c>
      <c r="AH272" s="887" t="str">
        <f>IFERROR(INDEX(Tabla9[],MATCH(Producción_Ganadera[[#This Row],[Movimiento]],Tabla9[Movimientos],0),2),0)</f>
        <v>Si</v>
      </c>
      <c r="AI272" s="888" t="str">
        <f>IFERROR(INDEX(Tabla9[],MATCH(Producción_Ganadera[[#This Row],[Movimiento]],Tabla9[Movimientos],0),3),0)</f>
        <v>(-)</v>
      </c>
      <c r="AJ272" s="885">
        <f>IF(Producción_Ganadera[[#This Row],[Fecha Económico]]=0,0,MONTH(Producción_Ganadera[[#This Row],[Fecha Económico]]))</f>
        <v>9</v>
      </c>
      <c r="AK272" s="885">
        <f>IF(Producción_Ganadera[[#This Row],[Fecha Económico]]=0,0,YEAR(Producción_Ganadera[[#This Row],[Fecha Económico]]))</f>
        <v>2018</v>
      </c>
      <c r="AL272" s="889">
        <f>SUMPRODUCT((Producción_Ganadera[[#This Row],[Mes Económico]]=Tipo_Cambio[Mes])*(Producción_Ganadera[[#This Row],[Año Económico]]=Tipo_Cambio[Año])*(Tipo_Cambio[$/U$S]))</f>
        <v>22.4422</v>
      </c>
      <c r="AM272" s="889">
        <f>SUMPRODUCT((Producción_Ganadera[[#This Row],[Mes Económico]]=Tipo_Cambio[Mes])*(Producción_Ganadera[[#This Row],[Año Económico]]=Tipo_Cambio[Año])*(Tipo_Cambio[Actualización]))</f>
        <v>1.0404</v>
      </c>
      <c r="AN272" s="885">
        <f>IF(ISNUMBER(Producción_Ganadera[[#This Row],[Fecha Financiero]])=TRUE,MONTH(Producción_Ganadera[[#This Row],[Fecha Financiero]]),0)</f>
        <v>0</v>
      </c>
      <c r="AO272" s="885">
        <f>IF(ISNUMBER(Producción_Ganadera[[#This Row],[Fecha Financiero]])=TRUE,YEAR(Producción_Ganadera[[#This Row],[Fecha Financiero]]),0)</f>
        <v>0</v>
      </c>
      <c r="AP272" s="889">
        <f>SUMPRODUCT((Producción_Ganadera[[#This Row],[Mes Financiero]]=Tipo_Cambio[Mes])*(Producción_Ganadera[[#This Row],[Año Financiero]]=Tipo_Cambio[Año])*(Tipo_Cambio[$/U$S]))</f>
        <v>0</v>
      </c>
      <c r="AQ272" s="889">
        <f>SUMPRODUCT((Producción_Ganadera[[#This Row],[Mes Financiero]]=Tipo_Cambio[Mes])*(Producción_Ganadera[[#This Row],[Año Financiero]]=Tipo_Cambio[Año])*(Tipo_Cambio[Actualización]))</f>
        <v>0</v>
      </c>
      <c r="AR272" s="919">
        <f>SUMPRODUCT((Producción_Ganadera[[#This Row],[Centro de Costo]]=Tabla19[Centro de Costo])*(Tabla19[Superficie])*(Producción_Ganadera[[#This Row],[Campaña]]=Tabla19[Campaña]))</f>
        <v>0</v>
      </c>
      <c r="AS272" s="918">
        <f>IFERROR(Producción_Ganadera[[#This Row],[Económico $Corrientes]]/Producción_Ganadera[[#This Row],[Superficie]],0)</f>
        <v>0</v>
      </c>
      <c r="AT272" s="918">
        <f>IFERROR(Producción_Ganadera[[#This Row],[Económico $Constantes]]/Producción_Ganadera[[#This Row],[Superficie]],0)</f>
        <v>0</v>
      </c>
      <c r="AU272" s="918">
        <f>IFERROR(Producción_Ganadera[[#This Row],[Económico U$S Dólares]]/Producción_Ganadera[[#This Row],[Superficie]],0)</f>
        <v>0</v>
      </c>
      <c r="AV272" s="916">
        <f>IF(Económico!$F$4=0,0,Producción_Ganadera[[#This Row],[Centro de Costo]])</f>
        <v>0</v>
      </c>
    </row>
    <row r="273" spans="2:48" x14ac:dyDescent="0.25">
      <c r="D273" s="478">
        <f t="shared" si="17"/>
        <v>43374</v>
      </c>
      <c r="E273" s="522"/>
      <c r="F273" s="869" t="str">
        <f t="shared" si="16"/>
        <v>2018-2019</v>
      </c>
      <c r="G273" s="491" t="s">
        <v>53</v>
      </c>
      <c r="H273" s="491"/>
      <c r="I273" s="491"/>
      <c r="J273" s="549"/>
      <c r="K273" s="491"/>
      <c r="L273" s="520"/>
      <c r="M27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7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73" s="611"/>
      <c r="P273" s="484"/>
      <c r="Q273" s="875">
        <f>IF(ISNUMBER(Producción_Ganadera[[#This Row],[Cabezas]])=TRUE,Producción_Ganadera[[#This Row],[Cabezas]]*Producción_Ganadera[[#This Row],[Cantidad]],Producción_Ganadera[[#This Row],[Cantidad]])</f>
        <v>0</v>
      </c>
      <c r="R273" s="482"/>
      <c r="S273" s="552"/>
      <c r="T273" s="553"/>
      <c r="U27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73" s="881">
        <f>IFERROR(Producción_Ganadera[[#This Row],[Económico $Corrientes]]/Producción_Ganadera[[#This Row],[Indexación Económico]],0)</f>
        <v>0</v>
      </c>
      <c r="W27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7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73" s="881">
        <f>IFERROR(Producción_Ganadera[[#This Row],[Financiero $Corrientes]]/Producción_Ganadera[[#This Row],[Indexación Financiero]],0)</f>
        <v>0</v>
      </c>
      <c r="Z27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7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73" s="885">
        <f>IFERROR(Producción_Ganadera[[#This Row],[Intereses $Corrientes]]/Producción_Ganadera[[#This Row],[Indexación Financiero]],0)</f>
        <v>0</v>
      </c>
      <c r="AC27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73" s="915" t="str">
        <f>IFERROR(INDEX(Produccion_Ganadera_Cuentas[],MATCH(Producción_Ganadera[[#This Row],[Cuenta Contable]],Produccion_Ganadera_Cuentas[Cuenta Contable],0),2),0)</f>
        <v>Egreso</v>
      </c>
      <c r="AE273" s="916">
        <f>IF(Producción_Ganadera[[#This Row],[Mov. Stock]]="(+)",Producción_Ganadera[[#This Row],[Cabezas]],IF(Producción_Ganadera[[#This Row],[Mov. Stock]]="(-)",-Producción_Ganadera[[#This Row],[Cabezas]],0))</f>
        <v>0</v>
      </c>
      <c r="AF273" s="917">
        <f>IFERROR(INDEX(Produccion_Ganadera_Cuentas[],MATCH(Producción_Ganadera[[#This Row],[Cuenta Contable]],Produccion_Ganadera_Cuentas[Cuenta Contable],0),5),0)</f>
        <v>0</v>
      </c>
      <c r="AG273" s="918" t="str">
        <f>IF(Producción_Ganadera[[#This Row],[Cuenta Contable]]=Configuración!$AC$9,"Si","No")</f>
        <v>No</v>
      </c>
      <c r="AH273" s="887" t="str">
        <f>IFERROR(INDEX(Tabla9[],MATCH(Producción_Ganadera[[#This Row],[Movimiento]],Tabla9[Movimientos],0),2),0)</f>
        <v>Si</v>
      </c>
      <c r="AI273" s="888" t="str">
        <f>IFERROR(INDEX(Tabla9[],MATCH(Producción_Ganadera[[#This Row],[Movimiento]],Tabla9[Movimientos],0),3),0)</f>
        <v>(-)</v>
      </c>
      <c r="AJ273" s="885">
        <f>IF(Producción_Ganadera[[#This Row],[Fecha Económico]]=0,0,MONTH(Producción_Ganadera[[#This Row],[Fecha Económico]]))</f>
        <v>10</v>
      </c>
      <c r="AK273" s="885">
        <f>IF(Producción_Ganadera[[#This Row],[Fecha Económico]]=0,0,YEAR(Producción_Ganadera[[#This Row],[Fecha Económico]]))</f>
        <v>2018</v>
      </c>
      <c r="AL273" s="889">
        <f>SUMPRODUCT((Producción_Ganadera[[#This Row],[Mes Económico]]=Tipo_Cambio[Mes])*(Producción_Ganadera[[#This Row],[Año Económico]]=Tipo_Cambio[Año])*(Tipo_Cambio[$/U$S]))</f>
        <v>22.666622</v>
      </c>
      <c r="AM273" s="889">
        <f>SUMPRODUCT((Producción_Ganadera[[#This Row],[Mes Económico]]=Tipo_Cambio[Mes])*(Producción_Ganadera[[#This Row],[Año Económico]]=Tipo_Cambio[Año])*(Tipo_Cambio[Actualización]))</f>
        <v>1.0612079999999999</v>
      </c>
      <c r="AN273" s="885">
        <f>IF(ISNUMBER(Producción_Ganadera[[#This Row],[Fecha Financiero]])=TRUE,MONTH(Producción_Ganadera[[#This Row],[Fecha Financiero]]),0)</f>
        <v>0</v>
      </c>
      <c r="AO273" s="885">
        <f>IF(ISNUMBER(Producción_Ganadera[[#This Row],[Fecha Financiero]])=TRUE,YEAR(Producción_Ganadera[[#This Row],[Fecha Financiero]]),0)</f>
        <v>0</v>
      </c>
      <c r="AP273" s="889">
        <f>SUMPRODUCT((Producción_Ganadera[[#This Row],[Mes Financiero]]=Tipo_Cambio[Mes])*(Producción_Ganadera[[#This Row],[Año Financiero]]=Tipo_Cambio[Año])*(Tipo_Cambio[$/U$S]))</f>
        <v>0</v>
      </c>
      <c r="AQ273" s="889">
        <f>SUMPRODUCT((Producción_Ganadera[[#This Row],[Mes Financiero]]=Tipo_Cambio[Mes])*(Producción_Ganadera[[#This Row],[Año Financiero]]=Tipo_Cambio[Año])*(Tipo_Cambio[Actualización]))</f>
        <v>0</v>
      </c>
      <c r="AR273" s="919">
        <f>SUMPRODUCT((Producción_Ganadera[[#This Row],[Centro de Costo]]=Tabla19[Centro de Costo])*(Tabla19[Superficie])*(Producción_Ganadera[[#This Row],[Campaña]]=Tabla19[Campaña]))</f>
        <v>0</v>
      </c>
      <c r="AS273" s="918">
        <f>IFERROR(Producción_Ganadera[[#This Row],[Económico $Corrientes]]/Producción_Ganadera[[#This Row],[Superficie]],0)</f>
        <v>0</v>
      </c>
      <c r="AT273" s="918">
        <f>IFERROR(Producción_Ganadera[[#This Row],[Económico $Constantes]]/Producción_Ganadera[[#This Row],[Superficie]],0)</f>
        <v>0</v>
      </c>
      <c r="AU273" s="918">
        <f>IFERROR(Producción_Ganadera[[#This Row],[Económico U$S Dólares]]/Producción_Ganadera[[#This Row],[Superficie]],0)</f>
        <v>0</v>
      </c>
      <c r="AV273" s="916">
        <f>IF(Económico!$F$4=0,0,Producción_Ganadera[[#This Row],[Centro de Costo]])</f>
        <v>0</v>
      </c>
    </row>
    <row r="274" spans="2:48" x14ac:dyDescent="0.25">
      <c r="D274" s="478">
        <f t="shared" si="17"/>
        <v>43405</v>
      </c>
      <c r="E274" s="522"/>
      <c r="F274" s="869" t="str">
        <f t="shared" si="16"/>
        <v>2018-2019</v>
      </c>
      <c r="G274" s="491" t="s">
        <v>53</v>
      </c>
      <c r="H274" s="491"/>
      <c r="I274" s="491"/>
      <c r="J274" s="549"/>
      <c r="K274" s="491"/>
      <c r="L274" s="520"/>
      <c r="M27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7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74" s="611"/>
      <c r="P274" s="484"/>
      <c r="Q274" s="875">
        <f>IF(ISNUMBER(Producción_Ganadera[[#This Row],[Cabezas]])=TRUE,Producción_Ganadera[[#This Row],[Cabezas]]*Producción_Ganadera[[#This Row],[Cantidad]],Producción_Ganadera[[#This Row],[Cantidad]])</f>
        <v>0</v>
      </c>
      <c r="R274" s="482"/>
      <c r="S274" s="552"/>
      <c r="T274" s="553"/>
      <c r="U27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74" s="881">
        <f>IFERROR(Producción_Ganadera[[#This Row],[Económico $Corrientes]]/Producción_Ganadera[[#This Row],[Indexación Económico]],0)</f>
        <v>0</v>
      </c>
      <c r="W27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7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74" s="881">
        <f>IFERROR(Producción_Ganadera[[#This Row],[Financiero $Corrientes]]/Producción_Ganadera[[#This Row],[Indexación Financiero]],0)</f>
        <v>0</v>
      </c>
      <c r="Z27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7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74" s="885">
        <f>IFERROR(Producción_Ganadera[[#This Row],[Intereses $Corrientes]]/Producción_Ganadera[[#This Row],[Indexación Financiero]],0)</f>
        <v>0</v>
      </c>
      <c r="AC27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74" s="915" t="str">
        <f>IFERROR(INDEX(Produccion_Ganadera_Cuentas[],MATCH(Producción_Ganadera[[#This Row],[Cuenta Contable]],Produccion_Ganadera_Cuentas[Cuenta Contable],0),2),0)</f>
        <v>Egreso</v>
      </c>
      <c r="AE274" s="916">
        <f>IF(Producción_Ganadera[[#This Row],[Mov. Stock]]="(+)",Producción_Ganadera[[#This Row],[Cabezas]],IF(Producción_Ganadera[[#This Row],[Mov. Stock]]="(-)",-Producción_Ganadera[[#This Row],[Cabezas]],0))</f>
        <v>0</v>
      </c>
      <c r="AF274" s="917">
        <f>IFERROR(INDEX(Produccion_Ganadera_Cuentas[],MATCH(Producción_Ganadera[[#This Row],[Cuenta Contable]],Produccion_Ganadera_Cuentas[Cuenta Contable],0),5),0)</f>
        <v>0</v>
      </c>
      <c r="AG274" s="918" t="str">
        <f>IF(Producción_Ganadera[[#This Row],[Cuenta Contable]]=Configuración!$AC$9,"Si","No")</f>
        <v>No</v>
      </c>
      <c r="AH274" s="887" t="str">
        <f>IFERROR(INDEX(Tabla9[],MATCH(Producción_Ganadera[[#This Row],[Movimiento]],Tabla9[Movimientos],0),2),0)</f>
        <v>Si</v>
      </c>
      <c r="AI274" s="888" t="str">
        <f>IFERROR(INDEX(Tabla9[],MATCH(Producción_Ganadera[[#This Row],[Movimiento]],Tabla9[Movimientos],0),3),0)</f>
        <v>(-)</v>
      </c>
      <c r="AJ274" s="885">
        <f>IF(Producción_Ganadera[[#This Row],[Fecha Económico]]=0,0,MONTH(Producción_Ganadera[[#This Row],[Fecha Económico]]))</f>
        <v>11</v>
      </c>
      <c r="AK274" s="885">
        <f>IF(Producción_Ganadera[[#This Row],[Fecha Económico]]=0,0,YEAR(Producción_Ganadera[[#This Row],[Fecha Económico]]))</f>
        <v>2018</v>
      </c>
      <c r="AL274" s="889">
        <f>SUMPRODUCT((Producción_Ganadera[[#This Row],[Mes Económico]]=Tipo_Cambio[Mes])*(Producción_Ganadera[[#This Row],[Año Económico]]=Tipo_Cambio[Año])*(Tipo_Cambio[$/U$S]))</f>
        <v>22.893288219999999</v>
      </c>
      <c r="AM274" s="889">
        <f>SUMPRODUCT((Producción_Ganadera[[#This Row],[Mes Económico]]=Tipo_Cambio[Mes])*(Producción_Ganadera[[#This Row],[Año Económico]]=Tipo_Cambio[Año])*(Tipo_Cambio[Actualización]))</f>
        <v>1.08243216</v>
      </c>
      <c r="AN274" s="885">
        <f>IF(ISNUMBER(Producción_Ganadera[[#This Row],[Fecha Financiero]])=TRUE,MONTH(Producción_Ganadera[[#This Row],[Fecha Financiero]]),0)</f>
        <v>0</v>
      </c>
      <c r="AO274" s="885">
        <f>IF(ISNUMBER(Producción_Ganadera[[#This Row],[Fecha Financiero]])=TRUE,YEAR(Producción_Ganadera[[#This Row],[Fecha Financiero]]),0)</f>
        <v>0</v>
      </c>
      <c r="AP274" s="889">
        <f>SUMPRODUCT((Producción_Ganadera[[#This Row],[Mes Financiero]]=Tipo_Cambio[Mes])*(Producción_Ganadera[[#This Row],[Año Financiero]]=Tipo_Cambio[Año])*(Tipo_Cambio[$/U$S]))</f>
        <v>0</v>
      </c>
      <c r="AQ274" s="889">
        <f>SUMPRODUCT((Producción_Ganadera[[#This Row],[Mes Financiero]]=Tipo_Cambio[Mes])*(Producción_Ganadera[[#This Row],[Año Financiero]]=Tipo_Cambio[Año])*(Tipo_Cambio[Actualización]))</f>
        <v>0</v>
      </c>
      <c r="AR274" s="919">
        <f>SUMPRODUCT((Producción_Ganadera[[#This Row],[Centro de Costo]]=Tabla19[Centro de Costo])*(Tabla19[Superficie])*(Producción_Ganadera[[#This Row],[Campaña]]=Tabla19[Campaña]))</f>
        <v>0</v>
      </c>
      <c r="AS274" s="918">
        <f>IFERROR(Producción_Ganadera[[#This Row],[Económico $Corrientes]]/Producción_Ganadera[[#This Row],[Superficie]],0)</f>
        <v>0</v>
      </c>
      <c r="AT274" s="918">
        <f>IFERROR(Producción_Ganadera[[#This Row],[Económico $Constantes]]/Producción_Ganadera[[#This Row],[Superficie]],0)</f>
        <v>0</v>
      </c>
      <c r="AU274" s="918">
        <f>IFERROR(Producción_Ganadera[[#This Row],[Económico U$S Dólares]]/Producción_Ganadera[[#This Row],[Superficie]],0)</f>
        <v>0</v>
      </c>
      <c r="AV274" s="916">
        <f>IF(Económico!$F$4=0,0,Producción_Ganadera[[#This Row],[Centro de Costo]])</f>
        <v>0</v>
      </c>
    </row>
    <row r="275" spans="2:48" x14ac:dyDescent="0.25">
      <c r="D275" s="478">
        <f t="shared" si="17"/>
        <v>43435</v>
      </c>
      <c r="E275" s="522"/>
      <c r="F275" s="869" t="str">
        <f t="shared" si="16"/>
        <v>2018-2019</v>
      </c>
      <c r="G275" s="491" t="s">
        <v>53</v>
      </c>
      <c r="H275" s="491"/>
      <c r="I275" s="491"/>
      <c r="J275" s="549"/>
      <c r="K275" s="491"/>
      <c r="L275" s="520"/>
      <c r="M27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7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75" s="611"/>
      <c r="P275" s="484"/>
      <c r="Q275" s="875">
        <f>IF(ISNUMBER(Producción_Ganadera[[#This Row],[Cabezas]])=TRUE,Producción_Ganadera[[#This Row],[Cabezas]]*Producción_Ganadera[[#This Row],[Cantidad]],Producción_Ganadera[[#This Row],[Cantidad]])</f>
        <v>0</v>
      </c>
      <c r="R275" s="482"/>
      <c r="S275" s="552"/>
      <c r="T275" s="553"/>
      <c r="U27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75" s="881">
        <f>IFERROR(Producción_Ganadera[[#This Row],[Económico $Corrientes]]/Producción_Ganadera[[#This Row],[Indexación Económico]],0)</f>
        <v>0</v>
      </c>
      <c r="W27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7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75" s="881">
        <f>IFERROR(Producción_Ganadera[[#This Row],[Financiero $Corrientes]]/Producción_Ganadera[[#This Row],[Indexación Financiero]],0)</f>
        <v>0</v>
      </c>
      <c r="Z27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7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75" s="885">
        <f>IFERROR(Producción_Ganadera[[#This Row],[Intereses $Corrientes]]/Producción_Ganadera[[#This Row],[Indexación Financiero]],0)</f>
        <v>0</v>
      </c>
      <c r="AC27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75" s="915" t="str">
        <f>IFERROR(INDEX(Produccion_Ganadera_Cuentas[],MATCH(Producción_Ganadera[[#This Row],[Cuenta Contable]],Produccion_Ganadera_Cuentas[Cuenta Contable],0),2),0)</f>
        <v>Egreso</v>
      </c>
      <c r="AE275" s="916">
        <f>IF(Producción_Ganadera[[#This Row],[Mov. Stock]]="(+)",Producción_Ganadera[[#This Row],[Cabezas]],IF(Producción_Ganadera[[#This Row],[Mov. Stock]]="(-)",-Producción_Ganadera[[#This Row],[Cabezas]],0))</f>
        <v>0</v>
      </c>
      <c r="AF275" s="917">
        <f>IFERROR(INDEX(Produccion_Ganadera_Cuentas[],MATCH(Producción_Ganadera[[#This Row],[Cuenta Contable]],Produccion_Ganadera_Cuentas[Cuenta Contable],0),5),0)</f>
        <v>0</v>
      </c>
      <c r="AG275" s="918" t="str">
        <f>IF(Producción_Ganadera[[#This Row],[Cuenta Contable]]=Configuración!$AC$9,"Si","No")</f>
        <v>No</v>
      </c>
      <c r="AH275" s="887" t="str">
        <f>IFERROR(INDEX(Tabla9[],MATCH(Producción_Ganadera[[#This Row],[Movimiento]],Tabla9[Movimientos],0),2),0)</f>
        <v>Si</v>
      </c>
      <c r="AI275" s="888" t="str">
        <f>IFERROR(INDEX(Tabla9[],MATCH(Producción_Ganadera[[#This Row],[Movimiento]],Tabla9[Movimientos],0),3),0)</f>
        <v>(-)</v>
      </c>
      <c r="AJ275" s="885">
        <f>IF(Producción_Ganadera[[#This Row],[Fecha Económico]]=0,0,MONTH(Producción_Ganadera[[#This Row],[Fecha Económico]]))</f>
        <v>12</v>
      </c>
      <c r="AK275" s="885">
        <f>IF(Producción_Ganadera[[#This Row],[Fecha Económico]]=0,0,YEAR(Producción_Ganadera[[#This Row],[Fecha Económico]]))</f>
        <v>2018</v>
      </c>
      <c r="AL275" s="889">
        <f>SUMPRODUCT((Producción_Ganadera[[#This Row],[Mes Económico]]=Tipo_Cambio[Mes])*(Producción_Ganadera[[#This Row],[Año Económico]]=Tipo_Cambio[Año])*(Tipo_Cambio[$/U$S]))</f>
        <v>23.122221102199997</v>
      </c>
      <c r="AM275" s="889">
        <f>SUMPRODUCT((Producción_Ganadera[[#This Row],[Mes Económico]]=Tipo_Cambio[Mes])*(Producción_Ganadera[[#This Row],[Año Económico]]=Tipo_Cambio[Año])*(Tipo_Cambio[Actualización]))</f>
        <v>1.1040808032</v>
      </c>
      <c r="AN275" s="885">
        <f>IF(ISNUMBER(Producción_Ganadera[[#This Row],[Fecha Financiero]])=TRUE,MONTH(Producción_Ganadera[[#This Row],[Fecha Financiero]]),0)</f>
        <v>0</v>
      </c>
      <c r="AO275" s="885">
        <f>IF(ISNUMBER(Producción_Ganadera[[#This Row],[Fecha Financiero]])=TRUE,YEAR(Producción_Ganadera[[#This Row],[Fecha Financiero]]),0)</f>
        <v>0</v>
      </c>
      <c r="AP275" s="889">
        <f>SUMPRODUCT((Producción_Ganadera[[#This Row],[Mes Financiero]]=Tipo_Cambio[Mes])*(Producción_Ganadera[[#This Row],[Año Financiero]]=Tipo_Cambio[Año])*(Tipo_Cambio[$/U$S]))</f>
        <v>0</v>
      </c>
      <c r="AQ275" s="889">
        <f>SUMPRODUCT((Producción_Ganadera[[#This Row],[Mes Financiero]]=Tipo_Cambio[Mes])*(Producción_Ganadera[[#This Row],[Año Financiero]]=Tipo_Cambio[Año])*(Tipo_Cambio[Actualización]))</f>
        <v>0</v>
      </c>
      <c r="AR275" s="919">
        <f>SUMPRODUCT((Producción_Ganadera[[#This Row],[Centro de Costo]]=Tabla19[Centro de Costo])*(Tabla19[Superficie])*(Producción_Ganadera[[#This Row],[Campaña]]=Tabla19[Campaña]))</f>
        <v>0</v>
      </c>
      <c r="AS275" s="918">
        <f>IFERROR(Producción_Ganadera[[#This Row],[Económico $Corrientes]]/Producción_Ganadera[[#This Row],[Superficie]],0)</f>
        <v>0</v>
      </c>
      <c r="AT275" s="918">
        <f>IFERROR(Producción_Ganadera[[#This Row],[Económico $Constantes]]/Producción_Ganadera[[#This Row],[Superficie]],0)</f>
        <v>0</v>
      </c>
      <c r="AU275" s="918">
        <f>IFERROR(Producción_Ganadera[[#This Row],[Económico U$S Dólares]]/Producción_Ganadera[[#This Row],[Superficie]],0)</f>
        <v>0</v>
      </c>
      <c r="AV275" s="916">
        <f>IF(Económico!$F$4=0,0,Producción_Ganadera[[#This Row],[Centro de Costo]])</f>
        <v>0</v>
      </c>
    </row>
    <row r="276" spans="2:48" x14ac:dyDescent="0.25">
      <c r="D276" s="478">
        <f t="shared" si="17"/>
        <v>43466</v>
      </c>
      <c r="E276" s="522"/>
      <c r="F276" s="869" t="str">
        <f t="shared" si="16"/>
        <v>2018-2019</v>
      </c>
      <c r="G276" s="491" t="s">
        <v>53</v>
      </c>
      <c r="H276" s="491"/>
      <c r="I276" s="491"/>
      <c r="J276" s="549"/>
      <c r="K276" s="491"/>
      <c r="L276" s="520"/>
      <c r="M27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7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76" s="611"/>
      <c r="P276" s="484"/>
      <c r="Q276" s="875">
        <f>IF(ISNUMBER(Producción_Ganadera[[#This Row],[Cabezas]])=TRUE,Producción_Ganadera[[#This Row],[Cabezas]]*Producción_Ganadera[[#This Row],[Cantidad]],Producción_Ganadera[[#This Row],[Cantidad]])</f>
        <v>0</v>
      </c>
      <c r="R276" s="482"/>
      <c r="S276" s="552"/>
      <c r="T276" s="553"/>
      <c r="U27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76" s="881">
        <f>IFERROR(Producción_Ganadera[[#This Row],[Económico $Corrientes]]/Producción_Ganadera[[#This Row],[Indexación Económico]],0)</f>
        <v>0</v>
      </c>
      <c r="W27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7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76" s="881">
        <f>IFERROR(Producción_Ganadera[[#This Row],[Financiero $Corrientes]]/Producción_Ganadera[[#This Row],[Indexación Financiero]],0)</f>
        <v>0</v>
      </c>
      <c r="Z27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7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76" s="885">
        <f>IFERROR(Producción_Ganadera[[#This Row],[Intereses $Corrientes]]/Producción_Ganadera[[#This Row],[Indexación Financiero]],0)</f>
        <v>0</v>
      </c>
      <c r="AC27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76" s="915" t="str">
        <f>IFERROR(INDEX(Produccion_Ganadera_Cuentas[],MATCH(Producción_Ganadera[[#This Row],[Cuenta Contable]],Produccion_Ganadera_Cuentas[Cuenta Contable],0),2),0)</f>
        <v>Egreso</v>
      </c>
      <c r="AE276" s="916">
        <f>IF(Producción_Ganadera[[#This Row],[Mov. Stock]]="(+)",Producción_Ganadera[[#This Row],[Cabezas]],IF(Producción_Ganadera[[#This Row],[Mov. Stock]]="(-)",-Producción_Ganadera[[#This Row],[Cabezas]],0))</f>
        <v>0</v>
      </c>
      <c r="AF276" s="917">
        <f>IFERROR(INDEX(Produccion_Ganadera_Cuentas[],MATCH(Producción_Ganadera[[#This Row],[Cuenta Contable]],Produccion_Ganadera_Cuentas[Cuenta Contable],0),5),0)</f>
        <v>0</v>
      </c>
      <c r="AG276" s="918" t="str">
        <f>IF(Producción_Ganadera[[#This Row],[Cuenta Contable]]=Configuración!$AC$9,"Si","No")</f>
        <v>No</v>
      </c>
      <c r="AH276" s="887" t="str">
        <f>IFERROR(INDEX(Tabla9[],MATCH(Producción_Ganadera[[#This Row],[Movimiento]],Tabla9[Movimientos],0),2),0)</f>
        <v>Si</v>
      </c>
      <c r="AI276" s="888" t="str">
        <f>IFERROR(INDEX(Tabla9[],MATCH(Producción_Ganadera[[#This Row],[Movimiento]],Tabla9[Movimientos],0),3),0)</f>
        <v>(-)</v>
      </c>
      <c r="AJ276" s="885">
        <f>IF(Producción_Ganadera[[#This Row],[Fecha Económico]]=0,0,MONTH(Producción_Ganadera[[#This Row],[Fecha Económico]]))</f>
        <v>1</v>
      </c>
      <c r="AK276" s="885">
        <f>IF(Producción_Ganadera[[#This Row],[Fecha Económico]]=0,0,YEAR(Producción_Ganadera[[#This Row],[Fecha Económico]]))</f>
        <v>2019</v>
      </c>
      <c r="AL276" s="889">
        <f>SUMPRODUCT((Producción_Ganadera[[#This Row],[Mes Económico]]=Tipo_Cambio[Mes])*(Producción_Ganadera[[#This Row],[Año Económico]]=Tipo_Cambio[Año])*(Tipo_Cambio[$/U$S]))</f>
        <v>23.353443313221998</v>
      </c>
      <c r="AM276" s="889">
        <f>SUMPRODUCT((Producción_Ganadera[[#This Row],[Mes Económico]]=Tipo_Cambio[Mes])*(Producción_Ganadera[[#This Row],[Año Económico]]=Tipo_Cambio[Año])*(Tipo_Cambio[Actualización]))</f>
        <v>1.1261624192640001</v>
      </c>
      <c r="AN276" s="885">
        <f>IF(ISNUMBER(Producción_Ganadera[[#This Row],[Fecha Financiero]])=TRUE,MONTH(Producción_Ganadera[[#This Row],[Fecha Financiero]]),0)</f>
        <v>0</v>
      </c>
      <c r="AO276" s="885">
        <f>IF(ISNUMBER(Producción_Ganadera[[#This Row],[Fecha Financiero]])=TRUE,YEAR(Producción_Ganadera[[#This Row],[Fecha Financiero]]),0)</f>
        <v>0</v>
      </c>
      <c r="AP276" s="889">
        <f>SUMPRODUCT((Producción_Ganadera[[#This Row],[Mes Financiero]]=Tipo_Cambio[Mes])*(Producción_Ganadera[[#This Row],[Año Financiero]]=Tipo_Cambio[Año])*(Tipo_Cambio[$/U$S]))</f>
        <v>0</v>
      </c>
      <c r="AQ276" s="889">
        <f>SUMPRODUCT((Producción_Ganadera[[#This Row],[Mes Financiero]]=Tipo_Cambio[Mes])*(Producción_Ganadera[[#This Row],[Año Financiero]]=Tipo_Cambio[Año])*(Tipo_Cambio[Actualización]))</f>
        <v>0</v>
      </c>
      <c r="AR276" s="919">
        <f>SUMPRODUCT((Producción_Ganadera[[#This Row],[Centro de Costo]]=Tabla19[Centro de Costo])*(Tabla19[Superficie])*(Producción_Ganadera[[#This Row],[Campaña]]=Tabla19[Campaña]))</f>
        <v>0</v>
      </c>
      <c r="AS276" s="918">
        <f>IFERROR(Producción_Ganadera[[#This Row],[Económico $Corrientes]]/Producción_Ganadera[[#This Row],[Superficie]],0)</f>
        <v>0</v>
      </c>
      <c r="AT276" s="918">
        <f>IFERROR(Producción_Ganadera[[#This Row],[Económico $Constantes]]/Producción_Ganadera[[#This Row],[Superficie]],0)</f>
        <v>0</v>
      </c>
      <c r="AU276" s="918">
        <f>IFERROR(Producción_Ganadera[[#This Row],[Económico U$S Dólares]]/Producción_Ganadera[[#This Row],[Superficie]],0)</f>
        <v>0</v>
      </c>
      <c r="AV276" s="916">
        <f>IF(Económico!$F$4=0,0,Producción_Ganadera[[#This Row],[Centro de Costo]])</f>
        <v>0</v>
      </c>
    </row>
    <row r="277" spans="2:48" x14ac:dyDescent="0.25">
      <c r="D277" s="478">
        <f t="shared" si="17"/>
        <v>43497</v>
      </c>
      <c r="E277" s="522"/>
      <c r="F277" s="869" t="str">
        <f t="shared" si="16"/>
        <v>2018-2019</v>
      </c>
      <c r="G277" s="491" t="s">
        <v>53</v>
      </c>
      <c r="H277" s="491"/>
      <c r="I277" s="491"/>
      <c r="J277" s="549"/>
      <c r="K277" s="491"/>
      <c r="L277" s="520"/>
      <c r="M27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7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77" s="611"/>
      <c r="P277" s="484"/>
      <c r="Q277" s="875">
        <f>IF(ISNUMBER(Producción_Ganadera[[#This Row],[Cabezas]])=TRUE,Producción_Ganadera[[#This Row],[Cabezas]]*Producción_Ganadera[[#This Row],[Cantidad]],Producción_Ganadera[[#This Row],[Cantidad]])</f>
        <v>0</v>
      </c>
      <c r="R277" s="482"/>
      <c r="S277" s="552"/>
      <c r="T277" s="553"/>
      <c r="U27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77" s="881">
        <f>IFERROR(Producción_Ganadera[[#This Row],[Económico $Corrientes]]/Producción_Ganadera[[#This Row],[Indexación Económico]],0)</f>
        <v>0</v>
      </c>
      <c r="W27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7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77" s="881">
        <f>IFERROR(Producción_Ganadera[[#This Row],[Financiero $Corrientes]]/Producción_Ganadera[[#This Row],[Indexación Financiero]],0)</f>
        <v>0</v>
      </c>
      <c r="Z27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7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77" s="885">
        <f>IFERROR(Producción_Ganadera[[#This Row],[Intereses $Corrientes]]/Producción_Ganadera[[#This Row],[Indexación Financiero]],0)</f>
        <v>0</v>
      </c>
      <c r="AC27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77" s="915" t="str">
        <f>IFERROR(INDEX(Produccion_Ganadera_Cuentas[],MATCH(Producción_Ganadera[[#This Row],[Cuenta Contable]],Produccion_Ganadera_Cuentas[Cuenta Contable],0),2),0)</f>
        <v>Egreso</v>
      </c>
      <c r="AE277" s="916">
        <f>IF(Producción_Ganadera[[#This Row],[Mov. Stock]]="(+)",Producción_Ganadera[[#This Row],[Cabezas]],IF(Producción_Ganadera[[#This Row],[Mov. Stock]]="(-)",-Producción_Ganadera[[#This Row],[Cabezas]],0))</f>
        <v>0</v>
      </c>
      <c r="AF277" s="917">
        <f>IFERROR(INDEX(Produccion_Ganadera_Cuentas[],MATCH(Producción_Ganadera[[#This Row],[Cuenta Contable]],Produccion_Ganadera_Cuentas[Cuenta Contable],0),5),0)</f>
        <v>0</v>
      </c>
      <c r="AG277" s="918" t="str">
        <f>IF(Producción_Ganadera[[#This Row],[Cuenta Contable]]=Configuración!$AC$9,"Si","No")</f>
        <v>No</v>
      </c>
      <c r="AH277" s="887" t="str">
        <f>IFERROR(INDEX(Tabla9[],MATCH(Producción_Ganadera[[#This Row],[Movimiento]],Tabla9[Movimientos],0),2),0)</f>
        <v>Si</v>
      </c>
      <c r="AI277" s="888" t="str">
        <f>IFERROR(INDEX(Tabla9[],MATCH(Producción_Ganadera[[#This Row],[Movimiento]],Tabla9[Movimientos],0),3),0)</f>
        <v>(-)</v>
      </c>
      <c r="AJ277" s="885">
        <f>IF(Producción_Ganadera[[#This Row],[Fecha Económico]]=0,0,MONTH(Producción_Ganadera[[#This Row],[Fecha Económico]]))</f>
        <v>2</v>
      </c>
      <c r="AK277" s="885">
        <f>IF(Producción_Ganadera[[#This Row],[Fecha Económico]]=0,0,YEAR(Producción_Ganadera[[#This Row],[Fecha Económico]]))</f>
        <v>2019</v>
      </c>
      <c r="AL277" s="889">
        <f>SUMPRODUCT((Producción_Ganadera[[#This Row],[Mes Económico]]=Tipo_Cambio[Mes])*(Producción_Ganadera[[#This Row],[Año Económico]]=Tipo_Cambio[Año])*(Tipo_Cambio[$/U$S]))</f>
        <v>23.586977746354219</v>
      </c>
      <c r="AM277" s="889">
        <f>SUMPRODUCT((Producción_Ganadera[[#This Row],[Mes Económico]]=Tipo_Cambio[Mes])*(Producción_Ganadera[[#This Row],[Año Económico]]=Tipo_Cambio[Año])*(Tipo_Cambio[Actualización]))</f>
        <v>1.14868566764928</v>
      </c>
      <c r="AN277" s="885">
        <f>IF(ISNUMBER(Producción_Ganadera[[#This Row],[Fecha Financiero]])=TRUE,MONTH(Producción_Ganadera[[#This Row],[Fecha Financiero]]),0)</f>
        <v>0</v>
      </c>
      <c r="AO277" s="885">
        <f>IF(ISNUMBER(Producción_Ganadera[[#This Row],[Fecha Financiero]])=TRUE,YEAR(Producción_Ganadera[[#This Row],[Fecha Financiero]]),0)</f>
        <v>0</v>
      </c>
      <c r="AP277" s="889">
        <f>SUMPRODUCT((Producción_Ganadera[[#This Row],[Mes Financiero]]=Tipo_Cambio[Mes])*(Producción_Ganadera[[#This Row],[Año Financiero]]=Tipo_Cambio[Año])*(Tipo_Cambio[$/U$S]))</f>
        <v>0</v>
      </c>
      <c r="AQ277" s="889">
        <f>SUMPRODUCT((Producción_Ganadera[[#This Row],[Mes Financiero]]=Tipo_Cambio[Mes])*(Producción_Ganadera[[#This Row],[Año Financiero]]=Tipo_Cambio[Año])*(Tipo_Cambio[Actualización]))</f>
        <v>0</v>
      </c>
      <c r="AR277" s="919">
        <f>SUMPRODUCT((Producción_Ganadera[[#This Row],[Centro de Costo]]=Tabla19[Centro de Costo])*(Tabla19[Superficie])*(Producción_Ganadera[[#This Row],[Campaña]]=Tabla19[Campaña]))</f>
        <v>0</v>
      </c>
      <c r="AS277" s="918">
        <f>IFERROR(Producción_Ganadera[[#This Row],[Económico $Corrientes]]/Producción_Ganadera[[#This Row],[Superficie]],0)</f>
        <v>0</v>
      </c>
      <c r="AT277" s="918">
        <f>IFERROR(Producción_Ganadera[[#This Row],[Económico $Constantes]]/Producción_Ganadera[[#This Row],[Superficie]],0)</f>
        <v>0</v>
      </c>
      <c r="AU277" s="918">
        <f>IFERROR(Producción_Ganadera[[#This Row],[Económico U$S Dólares]]/Producción_Ganadera[[#This Row],[Superficie]],0)</f>
        <v>0</v>
      </c>
      <c r="AV277" s="916">
        <f>IF(Económico!$F$4=0,0,Producción_Ganadera[[#This Row],[Centro de Costo]])</f>
        <v>0</v>
      </c>
    </row>
    <row r="278" spans="2:48" x14ac:dyDescent="0.25">
      <c r="D278" s="478">
        <f t="shared" si="17"/>
        <v>43525</v>
      </c>
      <c r="E278" s="522"/>
      <c r="F278" s="869" t="str">
        <f t="shared" si="16"/>
        <v>2018-2019</v>
      </c>
      <c r="G278" s="491" t="s">
        <v>53</v>
      </c>
      <c r="H278" s="491"/>
      <c r="I278" s="491"/>
      <c r="J278" s="549"/>
      <c r="K278" s="491"/>
      <c r="L278" s="520"/>
      <c r="M27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7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78" s="611"/>
      <c r="P278" s="484"/>
      <c r="Q278" s="875">
        <f>IF(ISNUMBER(Producción_Ganadera[[#This Row],[Cabezas]])=TRUE,Producción_Ganadera[[#This Row],[Cabezas]]*Producción_Ganadera[[#This Row],[Cantidad]],Producción_Ganadera[[#This Row],[Cantidad]])</f>
        <v>0</v>
      </c>
      <c r="R278" s="482"/>
      <c r="S278" s="552"/>
      <c r="T278" s="553"/>
      <c r="U27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78" s="881">
        <f>IFERROR(Producción_Ganadera[[#This Row],[Económico $Corrientes]]/Producción_Ganadera[[#This Row],[Indexación Económico]],0)</f>
        <v>0</v>
      </c>
      <c r="W27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7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78" s="881">
        <f>IFERROR(Producción_Ganadera[[#This Row],[Financiero $Corrientes]]/Producción_Ganadera[[#This Row],[Indexación Financiero]],0)</f>
        <v>0</v>
      </c>
      <c r="Z27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7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78" s="885">
        <f>IFERROR(Producción_Ganadera[[#This Row],[Intereses $Corrientes]]/Producción_Ganadera[[#This Row],[Indexación Financiero]],0)</f>
        <v>0</v>
      </c>
      <c r="AC27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78" s="915" t="str">
        <f>IFERROR(INDEX(Produccion_Ganadera_Cuentas[],MATCH(Producción_Ganadera[[#This Row],[Cuenta Contable]],Produccion_Ganadera_Cuentas[Cuenta Contable],0),2),0)</f>
        <v>Egreso</v>
      </c>
      <c r="AE278" s="916">
        <f>IF(Producción_Ganadera[[#This Row],[Mov. Stock]]="(+)",Producción_Ganadera[[#This Row],[Cabezas]],IF(Producción_Ganadera[[#This Row],[Mov. Stock]]="(-)",-Producción_Ganadera[[#This Row],[Cabezas]],0))</f>
        <v>0</v>
      </c>
      <c r="AF278" s="917">
        <f>IFERROR(INDEX(Produccion_Ganadera_Cuentas[],MATCH(Producción_Ganadera[[#This Row],[Cuenta Contable]],Produccion_Ganadera_Cuentas[Cuenta Contable],0),5),0)</f>
        <v>0</v>
      </c>
      <c r="AG278" s="918" t="str">
        <f>IF(Producción_Ganadera[[#This Row],[Cuenta Contable]]=Configuración!$AC$9,"Si","No")</f>
        <v>No</v>
      </c>
      <c r="AH278" s="887" t="str">
        <f>IFERROR(INDEX(Tabla9[],MATCH(Producción_Ganadera[[#This Row],[Movimiento]],Tabla9[Movimientos],0),2),0)</f>
        <v>Si</v>
      </c>
      <c r="AI278" s="888" t="str">
        <f>IFERROR(INDEX(Tabla9[],MATCH(Producción_Ganadera[[#This Row],[Movimiento]],Tabla9[Movimientos],0),3),0)</f>
        <v>(-)</v>
      </c>
      <c r="AJ278" s="885">
        <f>IF(Producción_Ganadera[[#This Row],[Fecha Económico]]=0,0,MONTH(Producción_Ganadera[[#This Row],[Fecha Económico]]))</f>
        <v>3</v>
      </c>
      <c r="AK278" s="885">
        <f>IF(Producción_Ganadera[[#This Row],[Fecha Económico]]=0,0,YEAR(Producción_Ganadera[[#This Row],[Fecha Económico]]))</f>
        <v>2019</v>
      </c>
      <c r="AL278" s="889">
        <f>SUMPRODUCT((Producción_Ganadera[[#This Row],[Mes Económico]]=Tipo_Cambio[Mes])*(Producción_Ganadera[[#This Row],[Año Económico]]=Tipo_Cambio[Año])*(Tipo_Cambio[$/U$S]))</f>
        <v>23.82284752381776</v>
      </c>
      <c r="AM278" s="889">
        <f>SUMPRODUCT((Producción_Ganadera[[#This Row],[Mes Económico]]=Tipo_Cambio[Mes])*(Producción_Ganadera[[#This Row],[Año Económico]]=Tipo_Cambio[Año])*(Tipo_Cambio[Actualización]))</f>
        <v>1.1716593810022657</v>
      </c>
      <c r="AN278" s="885">
        <f>IF(ISNUMBER(Producción_Ganadera[[#This Row],[Fecha Financiero]])=TRUE,MONTH(Producción_Ganadera[[#This Row],[Fecha Financiero]]),0)</f>
        <v>0</v>
      </c>
      <c r="AO278" s="885">
        <f>IF(ISNUMBER(Producción_Ganadera[[#This Row],[Fecha Financiero]])=TRUE,YEAR(Producción_Ganadera[[#This Row],[Fecha Financiero]]),0)</f>
        <v>0</v>
      </c>
      <c r="AP278" s="889">
        <f>SUMPRODUCT((Producción_Ganadera[[#This Row],[Mes Financiero]]=Tipo_Cambio[Mes])*(Producción_Ganadera[[#This Row],[Año Financiero]]=Tipo_Cambio[Año])*(Tipo_Cambio[$/U$S]))</f>
        <v>0</v>
      </c>
      <c r="AQ278" s="889">
        <f>SUMPRODUCT((Producción_Ganadera[[#This Row],[Mes Financiero]]=Tipo_Cambio[Mes])*(Producción_Ganadera[[#This Row],[Año Financiero]]=Tipo_Cambio[Año])*(Tipo_Cambio[Actualización]))</f>
        <v>0</v>
      </c>
      <c r="AR278" s="919">
        <f>SUMPRODUCT((Producción_Ganadera[[#This Row],[Centro de Costo]]=Tabla19[Centro de Costo])*(Tabla19[Superficie])*(Producción_Ganadera[[#This Row],[Campaña]]=Tabla19[Campaña]))</f>
        <v>0</v>
      </c>
      <c r="AS278" s="918">
        <f>IFERROR(Producción_Ganadera[[#This Row],[Económico $Corrientes]]/Producción_Ganadera[[#This Row],[Superficie]],0)</f>
        <v>0</v>
      </c>
      <c r="AT278" s="918">
        <f>IFERROR(Producción_Ganadera[[#This Row],[Económico $Constantes]]/Producción_Ganadera[[#This Row],[Superficie]],0)</f>
        <v>0</v>
      </c>
      <c r="AU278" s="918">
        <f>IFERROR(Producción_Ganadera[[#This Row],[Económico U$S Dólares]]/Producción_Ganadera[[#This Row],[Superficie]],0)</f>
        <v>0</v>
      </c>
      <c r="AV278" s="916">
        <f>IF(Económico!$F$4=0,0,Producción_Ganadera[[#This Row],[Centro de Costo]])</f>
        <v>0</v>
      </c>
    </row>
    <row r="279" spans="2:48" x14ac:dyDescent="0.25">
      <c r="D279" s="478">
        <f t="shared" si="17"/>
        <v>43556</v>
      </c>
      <c r="E279" s="522"/>
      <c r="F279" s="869" t="str">
        <f t="shared" si="16"/>
        <v>2018-2019</v>
      </c>
      <c r="G279" s="491" t="s">
        <v>53</v>
      </c>
      <c r="H279" s="491"/>
      <c r="I279" s="491"/>
      <c r="J279" s="549"/>
      <c r="K279" s="491"/>
      <c r="L279" s="520"/>
      <c r="M27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7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79" s="611"/>
      <c r="P279" s="484"/>
      <c r="Q279" s="875">
        <f>IF(ISNUMBER(Producción_Ganadera[[#This Row],[Cabezas]])=TRUE,Producción_Ganadera[[#This Row],[Cabezas]]*Producción_Ganadera[[#This Row],[Cantidad]],Producción_Ganadera[[#This Row],[Cantidad]])</f>
        <v>0</v>
      </c>
      <c r="R279" s="482"/>
      <c r="S279" s="552"/>
      <c r="T279" s="553"/>
      <c r="U27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79" s="881">
        <f>IFERROR(Producción_Ganadera[[#This Row],[Económico $Corrientes]]/Producción_Ganadera[[#This Row],[Indexación Económico]],0)</f>
        <v>0</v>
      </c>
      <c r="W27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7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79" s="881">
        <f>IFERROR(Producción_Ganadera[[#This Row],[Financiero $Corrientes]]/Producción_Ganadera[[#This Row],[Indexación Financiero]],0)</f>
        <v>0</v>
      </c>
      <c r="Z27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7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79" s="885">
        <f>IFERROR(Producción_Ganadera[[#This Row],[Intereses $Corrientes]]/Producción_Ganadera[[#This Row],[Indexación Financiero]],0)</f>
        <v>0</v>
      </c>
      <c r="AC27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79" s="915" t="str">
        <f>IFERROR(INDEX(Produccion_Ganadera_Cuentas[],MATCH(Producción_Ganadera[[#This Row],[Cuenta Contable]],Produccion_Ganadera_Cuentas[Cuenta Contable],0),2),0)</f>
        <v>Egreso</v>
      </c>
      <c r="AE279" s="916">
        <f>IF(Producción_Ganadera[[#This Row],[Mov. Stock]]="(+)",Producción_Ganadera[[#This Row],[Cabezas]],IF(Producción_Ganadera[[#This Row],[Mov. Stock]]="(-)",-Producción_Ganadera[[#This Row],[Cabezas]],0))</f>
        <v>0</v>
      </c>
      <c r="AF279" s="917">
        <f>IFERROR(INDEX(Produccion_Ganadera_Cuentas[],MATCH(Producción_Ganadera[[#This Row],[Cuenta Contable]],Produccion_Ganadera_Cuentas[Cuenta Contable],0),5),0)</f>
        <v>0</v>
      </c>
      <c r="AG279" s="918" t="str">
        <f>IF(Producción_Ganadera[[#This Row],[Cuenta Contable]]=Configuración!$AC$9,"Si","No")</f>
        <v>No</v>
      </c>
      <c r="AH279" s="887" t="str">
        <f>IFERROR(INDEX(Tabla9[],MATCH(Producción_Ganadera[[#This Row],[Movimiento]],Tabla9[Movimientos],0),2),0)</f>
        <v>Si</v>
      </c>
      <c r="AI279" s="888" t="str">
        <f>IFERROR(INDEX(Tabla9[],MATCH(Producción_Ganadera[[#This Row],[Movimiento]],Tabla9[Movimientos],0),3),0)</f>
        <v>(-)</v>
      </c>
      <c r="AJ279" s="885">
        <f>IF(Producción_Ganadera[[#This Row],[Fecha Económico]]=0,0,MONTH(Producción_Ganadera[[#This Row],[Fecha Económico]]))</f>
        <v>4</v>
      </c>
      <c r="AK279" s="885">
        <f>IF(Producción_Ganadera[[#This Row],[Fecha Económico]]=0,0,YEAR(Producción_Ganadera[[#This Row],[Fecha Económico]]))</f>
        <v>2019</v>
      </c>
      <c r="AL279" s="889">
        <f>SUMPRODUCT((Producción_Ganadera[[#This Row],[Mes Económico]]=Tipo_Cambio[Mes])*(Producción_Ganadera[[#This Row],[Año Económico]]=Tipo_Cambio[Año])*(Tipo_Cambio[$/U$S]))</f>
        <v>24.061075999055937</v>
      </c>
      <c r="AM279" s="889">
        <f>SUMPRODUCT((Producción_Ganadera[[#This Row],[Mes Económico]]=Tipo_Cambio[Mes])*(Producción_Ganadera[[#This Row],[Año Económico]]=Tipo_Cambio[Año])*(Tipo_Cambio[Actualización]))</f>
        <v>1.1950925686223111</v>
      </c>
      <c r="AN279" s="885">
        <f>IF(ISNUMBER(Producción_Ganadera[[#This Row],[Fecha Financiero]])=TRUE,MONTH(Producción_Ganadera[[#This Row],[Fecha Financiero]]),0)</f>
        <v>0</v>
      </c>
      <c r="AO279" s="885">
        <f>IF(ISNUMBER(Producción_Ganadera[[#This Row],[Fecha Financiero]])=TRUE,YEAR(Producción_Ganadera[[#This Row],[Fecha Financiero]]),0)</f>
        <v>0</v>
      </c>
      <c r="AP279" s="889">
        <f>SUMPRODUCT((Producción_Ganadera[[#This Row],[Mes Financiero]]=Tipo_Cambio[Mes])*(Producción_Ganadera[[#This Row],[Año Financiero]]=Tipo_Cambio[Año])*(Tipo_Cambio[$/U$S]))</f>
        <v>0</v>
      </c>
      <c r="AQ279" s="889">
        <f>SUMPRODUCT((Producción_Ganadera[[#This Row],[Mes Financiero]]=Tipo_Cambio[Mes])*(Producción_Ganadera[[#This Row],[Año Financiero]]=Tipo_Cambio[Año])*(Tipo_Cambio[Actualización]))</f>
        <v>0</v>
      </c>
      <c r="AR279" s="919">
        <f>SUMPRODUCT((Producción_Ganadera[[#This Row],[Centro de Costo]]=Tabla19[Centro de Costo])*(Tabla19[Superficie])*(Producción_Ganadera[[#This Row],[Campaña]]=Tabla19[Campaña]))</f>
        <v>0</v>
      </c>
      <c r="AS279" s="918">
        <f>IFERROR(Producción_Ganadera[[#This Row],[Económico $Corrientes]]/Producción_Ganadera[[#This Row],[Superficie]],0)</f>
        <v>0</v>
      </c>
      <c r="AT279" s="918">
        <f>IFERROR(Producción_Ganadera[[#This Row],[Económico $Constantes]]/Producción_Ganadera[[#This Row],[Superficie]],0)</f>
        <v>0</v>
      </c>
      <c r="AU279" s="918">
        <f>IFERROR(Producción_Ganadera[[#This Row],[Económico U$S Dólares]]/Producción_Ganadera[[#This Row],[Superficie]],0)</f>
        <v>0</v>
      </c>
      <c r="AV279" s="916">
        <f>IF(Económico!$F$4=0,0,Producción_Ganadera[[#This Row],[Centro de Costo]])</f>
        <v>0</v>
      </c>
    </row>
    <row r="280" spans="2:48" x14ac:dyDescent="0.25">
      <c r="D280" s="478">
        <f t="shared" si="17"/>
        <v>43586</v>
      </c>
      <c r="E280" s="522"/>
      <c r="F280" s="869" t="str">
        <f t="shared" si="16"/>
        <v>2018-2019</v>
      </c>
      <c r="G280" s="491" t="s">
        <v>53</v>
      </c>
      <c r="H280" s="491"/>
      <c r="I280" s="491"/>
      <c r="J280" s="549"/>
      <c r="K280" s="491"/>
      <c r="L280" s="520"/>
      <c r="M28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8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80" s="611"/>
      <c r="P280" s="484"/>
      <c r="Q280" s="875">
        <f>IF(ISNUMBER(Producción_Ganadera[[#This Row],[Cabezas]])=TRUE,Producción_Ganadera[[#This Row],[Cabezas]]*Producción_Ganadera[[#This Row],[Cantidad]],Producción_Ganadera[[#This Row],[Cantidad]])</f>
        <v>0</v>
      </c>
      <c r="R280" s="482"/>
      <c r="S280" s="552"/>
      <c r="T280" s="553"/>
      <c r="U28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80" s="881">
        <f>IFERROR(Producción_Ganadera[[#This Row],[Económico $Corrientes]]/Producción_Ganadera[[#This Row],[Indexación Económico]],0)</f>
        <v>0</v>
      </c>
      <c r="W28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8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80" s="881">
        <f>IFERROR(Producción_Ganadera[[#This Row],[Financiero $Corrientes]]/Producción_Ganadera[[#This Row],[Indexación Financiero]],0)</f>
        <v>0</v>
      </c>
      <c r="Z28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8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80" s="885">
        <f>IFERROR(Producción_Ganadera[[#This Row],[Intereses $Corrientes]]/Producción_Ganadera[[#This Row],[Indexación Financiero]],0)</f>
        <v>0</v>
      </c>
      <c r="AC28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80" s="915" t="str">
        <f>IFERROR(INDEX(Produccion_Ganadera_Cuentas[],MATCH(Producción_Ganadera[[#This Row],[Cuenta Contable]],Produccion_Ganadera_Cuentas[Cuenta Contable],0),2),0)</f>
        <v>Egreso</v>
      </c>
      <c r="AE280" s="916">
        <f>IF(Producción_Ganadera[[#This Row],[Mov. Stock]]="(+)",Producción_Ganadera[[#This Row],[Cabezas]],IF(Producción_Ganadera[[#This Row],[Mov. Stock]]="(-)",-Producción_Ganadera[[#This Row],[Cabezas]],0))</f>
        <v>0</v>
      </c>
      <c r="AF280" s="917">
        <f>IFERROR(INDEX(Produccion_Ganadera_Cuentas[],MATCH(Producción_Ganadera[[#This Row],[Cuenta Contable]],Produccion_Ganadera_Cuentas[Cuenta Contable],0),5),0)</f>
        <v>0</v>
      </c>
      <c r="AG280" s="918" t="str">
        <f>IF(Producción_Ganadera[[#This Row],[Cuenta Contable]]=Configuración!$AC$9,"Si","No")</f>
        <v>No</v>
      </c>
      <c r="AH280" s="887" t="str">
        <f>IFERROR(INDEX(Tabla9[],MATCH(Producción_Ganadera[[#This Row],[Movimiento]],Tabla9[Movimientos],0),2),0)</f>
        <v>Si</v>
      </c>
      <c r="AI280" s="888" t="str">
        <f>IFERROR(INDEX(Tabla9[],MATCH(Producción_Ganadera[[#This Row],[Movimiento]],Tabla9[Movimientos],0),3),0)</f>
        <v>(-)</v>
      </c>
      <c r="AJ280" s="885">
        <f>IF(Producción_Ganadera[[#This Row],[Fecha Económico]]=0,0,MONTH(Producción_Ganadera[[#This Row],[Fecha Económico]]))</f>
        <v>5</v>
      </c>
      <c r="AK280" s="885">
        <f>IF(Producción_Ganadera[[#This Row],[Fecha Económico]]=0,0,YEAR(Producción_Ganadera[[#This Row],[Fecha Económico]]))</f>
        <v>2019</v>
      </c>
      <c r="AL280" s="889">
        <f>SUMPRODUCT((Producción_Ganadera[[#This Row],[Mes Económico]]=Tipo_Cambio[Mes])*(Producción_Ganadera[[#This Row],[Año Económico]]=Tipo_Cambio[Año])*(Tipo_Cambio[$/U$S]))</f>
        <v>24.301686759046497</v>
      </c>
      <c r="AM280" s="889">
        <f>SUMPRODUCT((Producción_Ganadera[[#This Row],[Mes Económico]]=Tipo_Cambio[Mes])*(Producción_Ganadera[[#This Row],[Año Económico]]=Tipo_Cambio[Año])*(Tipo_Cambio[Actualización]))</f>
        <v>1.2189944199947573</v>
      </c>
      <c r="AN280" s="885">
        <f>IF(ISNUMBER(Producción_Ganadera[[#This Row],[Fecha Financiero]])=TRUE,MONTH(Producción_Ganadera[[#This Row],[Fecha Financiero]]),0)</f>
        <v>0</v>
      </c>
      <c r="AO280" s="885">
        <f>IF(ISNUMBER(Producción_Ganadera[[#This Row],[Fecha Financiero]])=TRUE,YEAR(Producción_Ganadera[[#This Row],[Fecha Financiero]]),0)</f>
        <v>0</v>
      </c>
      <c r="AP280" s="889">
        <f>SUMPRODUCT((Producción_Ganadera[[#This Row],[Mes Financiero]]=Tipo_Cambio[Mes])*(Producción_Ganadera[[#This Row],[Año Financiero]]=Tipo_Cambio[Año])*(Tipo_Cambio[$/U$S]))</f>
        <v>0</v>
      </c>
      <c r="AQ280" s="889">
        <f>SUMPRODUCT((Producción_Ganadera[[#This Row],[Mes Financiero]]=Tipo_Cambio[Mes])*(Producción_Ganadera[[#This Row],[Año Financiero]]=Tipo_Cambio[Año])*(Tipo_Cambio[Actualización]))</f>
        <v>0</v>
      </c>
      <c r="AR280" s="919">
        <f>SUMPRODUCT((Producción_Ganadera[[#This Row],[Centro de Costo]]=Tabla19[Centro de Costo])*(Tabla19[Superficie])*(Producción_Ganadera[[#This Row],[Campaña]]=Tabla19[Campaña]))</f>
        <v>0</v>
      </c>
      <c r="AS280" s="918">
        <f>IFERROR(Producción_Ganadera[[#This Row],[Económico $Corrientes]]/Producción_Ganadera[[#This Row],[Superficie]],0)</f>
        <v>0</v>
      </c>
      <c r="AT280" s="918">
        <f>IFERROR(Producción_Ganadera[[#This Row],[Económico $Constantes]]/Producción_Ganadera[[#This Row],[Superficie]],0)</f>
        <v>0</v>
      </c>
      <c r="AU280" s="918">
        <f>IFERROR(Producción_Ganadera[[#This Row],[Económico U$S Dólares]]/Producción_Ganadera[[#This Row],[Superficie]],0)</f>
        <v>0</v>
      </c>
      <c r="AV280" s="916">
        <f>IF(Económico!$F$4=0,0,Producción_Ganadera[[#This Row],[Centro de Costo]])</f>
        <v>0</v>
      </c>
    </row>
    <row r="281" spans="2:48" x14ac:dyDescent="0.25">
      <c r="D281" s="478">
        <f t="shared" si="17"/>
        <v>43617</v>
      </c>
      <c r="E281" s="522"/>
      <c r="F281" s="869" t="str">
        <f t="shared" si="16"/>
        <v>2018-2019</v>
      </c>
      <c r="G281" s="491" t="s">
        <v>53</v>
      </c>
      <c r="H281" s="491"/>
      <c r="I281" s="491"/>
      <c r="J281" s="549"/>
      <c r="K281" s="491"/>
      <c r="L281" s="520"/>
      <c r="M28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8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81" s="611"/>
      <c r="P281" s="484"/>
      <c r="Q281" s="875">
        <f>IF(ISNUMBER(Producción_Ganadera[[#This Row],[Cabezas]])=TRUE,Producción_Ganadera[[#This Row],[Cabezas]]*Producción_Ganadera[[#This Row],[Cantidad]],Producción_Ganadera[[#This Row],[Cantidad]])</f>
        <v>0</v>
      </c>
      <c r="R281" s="482"/>
      <c r="S281" s="552"/>
      <c r="T281" s="553"/>
      <c r="U28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81" s="881">
        <f>IFERROR(Producción_Ganadera[[#This Row],[Económico $Corrientes]]/Producción_Ganadera[[#This Row],[Indexación Económico]],0)</f>
        <v>0</v>
      </c>
      <c r="W28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8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81" s="881">
        <f>IFERROR(Producción_Ganadera[[#This Row],[Financiero $Corrientes]]/Producción_Ganadera[[#This Row],[Indexación Financiero]],0)</f>
        <v>0</v>
      </c>
      <c r="Z28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8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81" s="885">
        <f>IFERROR(Producción_Ganadera[[#This Row],[Intereses $Corrientes]]/Producción_Ganadera[[#This Row],[Indexación Financiero]],0)</f>
        <v>0</v>
      </c>
      <c r="AC28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81" s="915" t="str">
        <f>IFERROR(INDEX(Produccion_Ganadera_Cuentas[],MATCH(Producción_Ganadera[[#This Row],[Cuenta Contable]],Produccion_Ganadera_Cuentas[Cuenta Contable],0),2),0)</f>
        <v>Egreso</v>
      </c>
      <c r="AE281" s="916">
        <f>IF(Producción_Ganadera[[#This Row],[Mov. Stock]]="(+)",Producción_Ganadera[[#This Row],[Cabezas]],IF(Producción_Ganadera[[#This Row],[Mov. Stock]]="(-)",-Producción_Ganadera[[#This Row],[Cabezas]],0))</f>
        <v>0</v>
      </c>
      <c r="AF281" s="917">
        <f>IFERROR(INDEX(Produccion_Ganadera_Cuentas[],MATCH(Producción_Ganadera[[#This Row],[Cuenta Contable]],Produccion_Ganadera_Cuentas[Cuenta Contable],0),5),0)</f>
        <v>0</v>
      </c>
      <c r="AG281" s="918" t="str">
        <f>IF(Producción_Ganadera[[#This Row],[Cuenta Contable]]=Configuración!$AC$9,"Si","No")</f>
        <v>No</v>
      </c>
      <c r="AH281" s="887" t="str">
        <f>IFERROR(INDEX(Tabla9[],MATCH(Producción_Ganadera[[#This Row],[Movimiento]],Tabla9[Movimientos],0),2),0)</f>
        <v>Si</v>
      </c>
      <c r="AI281" s="888" t="str">
        <f>IFERROR(INDEX(Tabla9[],MATCH(Producción_Ganadera[[#This Row],[Movimiento]],Tabla9[Movimientos],0),3),0)</f>
        <v>(-)</v>
      </c>
      <c r="AJ281" s="885">
        <f>IF(Producción_Ganadera[[#This Row],[Fecha Económico]]=0,0,MONTH(Producción_Ganadera[[#This Row],[Fecha Económico]]))</f>
        <v>6</v>
      </c>
      <c r="AK281" s="885">
        <f>IF(Producción_Ganadera[[#This Row],[Fecha Económico]]=0,0,YEAR(Producción_Ganadera[[#This Row],[Fecha Económico]]))</f>
        <v>2019</v>
      </c>
      <c r="AL281" s="889">
        <f>SUMPRODUCT((Producción_Ganadera[[#This Row],[Mes Económico]]=Tipo_Cambio[Mes])*(Producción_Ganadera[[#This Row],[Año Económico]]=Tipo_Cambio[Año])*(Tipo_Cambio[$/U$S]))</f>
        <v>24.544703626636963</v>
      </c>
      <c r="AM281" s="889">
        <f>SUMPRODUCT((Producción_Ganadera[[#This Row],[Mes Económico]]=Tipo_Cambio[Mes])*(Producción_Ganadera[[#This Row],[Año Económico]]=Tipo_Cambio[Año])*(Tipo_Cambio[Actualización]))</f>
        <v>1.2433743083946525</v>
      </c>
      <c r="AN281" s="885">
        <f>IF(ISNUMBER(Producción_Ganadera[[#This Row],[Fecha Financiero]])=TRUE,MONTH(Producción_Ganadera[[#This Row],[Fecha Financiero]]),0)</f>
        <v>0</v>
      </c>
      <c r="AO281" s="885">
        <f>IF(ISNUMBER(Producción_Ganadera[[#This Row],[Fecha Financiero]])=TRUE,YEAR(Producción_Ganadera[[#This Row],[Fecha Financiero]]),0)</f>
        <v>0</v>
      </c>
      <c r="AP281" s="889">
        <f>SUMPRODUCT((Producción_Ganadera[[#This Row],[Mes Financiero]]=Tipo_Cambio[Mes])*(Producción_Ganadera[[#This Row],[Año Financiero]]=Tipo_Cambio[Año])*(Tipo_Cambio[$/U$S]))</f>
        <v>0</v>
      </c>
      <c r="AQ281" s="889">
        <f>SUMPRODUCT((Producción_Ganadera[[#This Row],[Mes Financiero]]=Tipo_Cambio[Mes])*(Producción_Ganadera[[#This Row],[Año Financiero]]=Tipo_Cambio[Año])*(Tipo_Cambio[Actualización]))</f>
        <v>0</v>
      </c>
      <c r="AR281" s="919">
        <f>SUMPRODUCT((Producción_Ganadera[[#This Row],[Centro de Costo]]=Tabla19[Centro de Costo])*(Tabla19[Superficie])*(Producción_Ganadera[[#This Row],[Campaña]]=Tabla19[Campaña]))</f>
        <v>0</v>
      </c>
      <c r="AS281" s="918">
        <f>IFERROR(Producción_Ganadera[[#This Row],[Económico $Corrientes]]/Producción_Ganadera[[#This Row],[Superficie]],0)</f>
        <v>0</v>
      </c>
      <c r="AT281" s="918">
        <f>IFERROR(Producción_Ganadera[[#This Row],[Económico $Constantes]]/Producción_Ganadera[[#This Row],[Superficie]],0)</f>
        <v>0</v>
      </c>
      <c r="AU281" s="918">
        <f>IFERROR(Producción_Ganadera[[#This Row],[Económico U$S Dólares]]/Producción_Ganadera[[#This Row],[Superficie]],0)</f>
        <v>0</v>
      </c>
      <c r="AV281" s="916">
        <f>IF(Económico!$F$4=0,0,Producción_Ganadera[[#This Row],[Centro de Costo]])</f>
        <v>0</v>
      </c>
    </row>
    <row r="282" spans="2:48" ht="15.75" thickBot="1" x14ac:dyDescent="0.3">
      <c r="B282" s="373" t="s">
        <v>101</v>
      </c>
      <c r="D282" s="478"/>
      <c r="E282" s="522"/>
      <c r="F282" s="869" t="str">
        <f t="shared" si="16"/>
        <v>2018-2019</v>
      </c>
      <c r="G282" s="491"/>
      <c r="H282" s="491"/>
      <c r="I282" s="491"/>
      <c r="J282" s="549"/>
      <c r="K282" s="491"/>
      <c r="L282" s="520"/>
      <c r="M28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8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82" s="611"/>
      <c r="P282" s="484"/>
      <c r="Q282" s="875">
        <f>IF(ISNUMBER(Producción_Ganadera[[#This Row],[Cabezas]])=TRUE,Producción_Ganadera[[#This Row],[Cabezas]]*Producción_Ganadera[[#This Row],[Cantidad]],Producción_Ganadera[[#This Row],[Cantidad]])</f>
        <v>0</v>
      </c>
      <c r="R282" s="482"/>
      <c r="S282" s="552"/>
      <c r="T282" s="553"/>
      <c r="U28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82" s="881">
        <f>IFERROR(Producción_Ganadera[[#This Row],[Económico $Corrientes]]/Producción_Ganadera[[#This Row],[Indexación Económico]],0)</f>
        <v>0</v>
      </c>
      <c r="W28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8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82" s="881">
        <f>IFERROR(Producción_Ganadera[[#This Row],[Financiero $Corrientes]]/Producción_Ganadera[[#This Row],[Indexación Financiero]],0)</f>
        <v>0</v>
      </c>
      <c r="Z28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8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82" s="885">
        <f>IFERROR(Producción_Ganadera[[#This Row],[Intereses $Corrientes]]/Producción_Ganadera[[#This Row],[Indexación Financiero]],0)</f>
        <v>0</v>
      </c>
      <c r="AC28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82" s="915">
        <f>IFERROR(INDEX(Produccion_Ganadera_Cuentas[],MATCH(Producción_Ganadera[[#This Row],[Cuenta Contable]],Produccion_Ganadera_Cuentas[Cuenta Contable],0),2),0)</f>
        <v>0</v>
      </c>
      <c r="AE282" s="916">
        <f>IF(Producción_Ganadera[[#This Row],[Mov. Stock]]="(+)",Producción_Ganadera[[#This Row],[Cabezas]],IF(Producción_Ganadera[[#This Row],[Mov. Stock]]="(-)",-Producción_Ganadera[[#This Row],[Cabezas]],0))</f>
        <v>0</v>
      </c>
      <c r="AF282" s="917">
        <f>IFERROR(INDEX(Produccion_Ganadera_Cuentas[],MATCH(Producción_Ganadera[[#This Row],[Cuenta Contable]],Produccion_Ganadera_Cuentas[Cuenta Contable],0),5),0)</f>
        <v>0</v>
      </c>
      <c r="AG282" s="918" t="str">
        <f>IF(Producción_Ganadera[[#This Row],[Cuenta Contable]]=Configuración!$AC$9,"Si","No")</f>
        <v>No</v>
      </c>
      <c r="AH282" s="887">
        <f>IFERROR(INDEX(Tabla9[],MATCH(Producción_Ganadera[[#This Row],[Movimiento]],Tabla9[Movimientos],0),2),0)</f>
        <v>0</v>
      </c>
      <c r="AI282" s="888">
        <f>IFERROR(INDEX(Tabla9[],MATCH(Producción_Ganadera[[#This Row],[Movimiento]],Tabla9[Movimientos],0),3),0)</f>
        <v>0</v>
      </c>
      <c r="AJ282" s="885">
        <f>IF(Producción_Ganadera[[#This Row],[Fecha Económico]]=0,0,MONTH(Producción_Ganadera[[#This Row],[Fecha Económico]]))</f>
        <v>0</v>
      </c>
      <c r="AK282" s="885">
        <f>IF(Producción_Ganadera[[#This Row],[Fecha Económico]]=0,0,YEAR(Producción_Ganadera[[#This Row],[Fecha Económico]]))</f>
        <v>0</v>
      </c>
      <c r="AL282" s="889">
        <f>SUMPRODUCT((Producción_Ganadera[[#This Row],[Mes Económico]]=Tipo_Cambio[Mes])*(Producción_Ganadera[[#This Row],[Año Económico]]=Tipo_Cambio[Año])*(Tipo_Cambio[$/U$S]))</f>
        <v>0</v>
      </c>
      <c r="AM282" s="889">
        <f>SUMPRODUCT((Producción_Ganadera[[#This Row],[Mes Económico]]=Tipo_Cambio[Mes])*(Producción_Ganadera[[#This Row],[Año Económico]]=Tipo_Cambio[Año])*(Tipo_Cambio[Actualización]))</f>
        <v>0</v>
      </c>
      <c r="AN282" s="885">
        <f>IF(ISNUMBER(Producción_Ganadera[[#This Row],[Fecha Financiero]])=TRUE,MONTH(Producción_Ganadera[[#This Row],[Fecha Financiero]]),0)</f>
        <v>0</v>
      </c>
      <c r="AO282" s="885">
        <f>IF(ISNUMBER(Producción_Ganadera[[#This Row],[Fecha Financiero]])=TRUE,YEAR(Producción_Ganadera[[#This Row],[Fecha Financiero]]),0)</f>
        <v>0</v>
      </c>
      <c r="AP282" s="889">
        <f>SUMPRODUCT((Producción_Ganadera[[#This Row],[Mes Financiero]]=Tipo_Cambio[Mes])*(Producción_Ganadera[[#This Row],[Año Financiero]]=Tipo_Cambio[Año])*(Tipo_Cambio[$/U$S]))</f>
        <v>0</v>
      </c>
      <c r="AQ282" s="889">
        <f>SUMPRODUCT((Producción_Ganadera[[#This Row],[Mes Financiero]]=Tipo_Cambio[Mes])*(Producción_Ganadera[[#This Row],[Año Financiero]]=Tipo_Cambio[Año])*(Tipo_Cambio[Actualización]))</f>
        <v>0</v>
      </c>
      <c r="AR282" s="919">
        <f>SUMPRODUCT((Producción_Ganadera[[#This Row],[Centro de Costo]]=Tabla19[Centro de Costo])*(Tabla19[Superficie])*(Producción_Ganadera[[#This Row],[Campaña]]=Tabla19[Campaña]))</f>
        <v>0</v>
      </c>
      <c r="AS282" s="918">
        <f>IFERROR(Producción_Ganadera[[#This Row],[Económico $Corrientes]]/Producción_Ganadera[[#This Row],[Superficie]],0)</f>
        <v>0</v>
      </c>
      <c r="AT282" s="918">
        <f>IFERROR(Producción_Ganadera[[#This Row],[Económico $Constantes]]/Producción_Ganadera[[#This Row],[Superficie]],0)</f>
        <v>0</v>
      </c>
      <c r="AU282" s="918">
        <f>IFERROR(Producción_Ganadera[[#This Row],[Económico U$S Dólares]]/Producción_Ganadera[[#This Row],[Superficie]],0)</f>
        <v>0</v>
      </c>
      <c r="AV282" s="916">
        <f>IF(Económico!$F$4=0,0,Producción_Ganadera[[#This Row],[Centro de Costo]])</f>
        <v>0</v>
      </c>
    </row>
    <row r="283" spans="2:48" ht="15.75" thickTop="1" x14ac:dyDescent="0.25">
      <c r="B283" s="378" t="s">
        <v>56</v>
      </c>
      <c r="D283" s="614"/>
      <c r="E283" s="615"/>
      <c r="F283" s="871" t="str">
        <f t="shared" si="16"/>
        <v>2018-2019</v>
      </c>
      <c r="G283" s="616" t="s">
        <v>56</v>
      </c>
      <c r="H283" s="616"/>
      <c r="I283" s="616"/>
      <c r="J283" s="617"/>
      <c r="K283" s="616"/>
      <c r="L283" s="618"/>
      <c r="M283" s="61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83" s="871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83" s="620"/>
      <c r="P283" s="621"/>
      <c r="Q283" s="878">
        <f>IF(ISNUMBER(Producción_Ganadera[[#This Row],[Cabezas]])=TRUE,Producción_Ganadera[[#This Row],[Cabezas]]*Producción_Ganadera[[#This Row],[Cantidad]],Producción_Ganadera[[#This Row],[Cantidad]])</f>
        <v>0</v>
      </c>
      <c r="R283" s="622"/>
      <c r="S283" s="623"/>
      <c r="T283" s="624"/>
      <c r="U283" s="927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83" s="928">
        <f>IFERROR(Producción_Ganadera[[#This Row],[Económico $Corrientes]]/Producción_Ganadera[[#This Row],[Indexación Económico]],0)</f>
        <v>0</v>
      </c>
      <c r="W283" s="929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83" s="927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83" s="928">
        <f>IFERROR(Producción_Ganadera[[#This Row],[Financiero $Corrientes]]/Producción_Ganadera[[#This Row],[Indexación Financiero]],0)</f>
        <v>0</v>
      </c>
      <c r="Z283" s="930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83" s="93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83" s="932">
        <f>IFERROR(Producción_Ganadera[[#This Row],[Intereses $Corrientes]]/Producción_Ganadera[[#This Row],[Indexación Financiero]],0)</f>
        <v>0</v>
      </c>
      <c r="AC283" s="93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83" s="933" t="str">
        <f>IFERROR(INDEX(Produccion_Ganadera_Cuentas[],MATCH(Producción_Ganadera[[#This Row],[Cuenta Contable]],Produccion_Ganadera_Cuentas[Cuenta Contable],0),2),0)</f>
        <v>Egreso</v>
      </c>
      <c r="AE283" s="934">
        <f>IF(Producción_Ganadera[[#This Row],[Mov. Stock]]="(+)",Producción_Ganadera[[#This Row],[Cabezas]],IF(Producción_Ganadera[[#This Row],[Mov. Stock]]="(-)",-Producción_Ganadera[[#This Row],[Cabezas]],0))</f>
        <v>0</v>
      </c>
      <c r="AF283" s="935">
        <f>IFERROR(INDEX(Produccion_Ganadera_Cuentas[],MATCH(Producción_Ganadera[[#This Row],[Cuenta Contable]],Produccion_Ganadera_Cuentas[Cuenta Contable],0),5),0)</f>
        <v>0</v>
      </c>
      <c r="AG283" s="936" t="str">
        <f>IF(Producción_Ganadera[[#This Row],[Cuenta Contable]]=Configuración!$AC$9,"Si","No")</f>
        <v>No</v>
      </c>
      <c r="AH283" s="937" t="str">
        <f>IFERROR(INDEX(Tabla9[],MATCH(Producción_Ganadera[[#This Row],[Movimiento]],Tabla9[Movimientos],0),2),0)</f>
        <v>Si</v>
      </c>
      <c r="AI283" s="938" t="str">
        <f>IFERROR(INDEX(Tabla9[],MATCH(Producción_Ganadera[[#This Row],[Movimiento]],Tabla9[Movimientos],0),3),0)</f>
        <v>(-)</v>
      </c>
      <c r="AJ283" s="932">
        <f>IF(Producción_Ganadera[[#This Row],[Fecha Económico]]=0,0,MONTH(Producción_Ganadera[[#This Row],[Fecha Económico]]))</f>
        <v>0</v>
      </c>
      <c r="AK283" s="932">
        <f>IF(Producción_Ganadera[[#This Row],[Fecha Económico]]=0,0,YEAR(Producción_Ganadera[[#This Row],[Fecha Económico]]))</f>
        <v>0</v>
      </c>
      <c r="AL283" s="939">
        <f>SUMPRODUCT((Producción_Ganadera[[#This Row],[Mes Económico]]=Tipo_Cambio[Mes])*(Producción_Ganadera[[#This Row],[Año Económico]]=Tipo_Cambio[Año])*(Tipo_Cambio[$/U$S]))</f>
        <v>0</v>
      </c>
      <c r="AM283" s="939">
        <f>SUMPRODUCT((Producción_Ganadera[[#This Row],[Mes Económico]]=Tipo_Cambio[Mes])*(Producción_Ganadera[[#This Row],[Año Económico]]=Tipo_Cambio[Año])*(Tipo_Cambio[Actualización]))</f>
        <v>0</v>
      </c>
      <c r="AN283" s="932">
        <f>IF(ISNUMBER(Producción_Ganadera[[#This Row],[Fecha Financiero]])=TRUE,MONTH(Producción_Ganadera[[#This Row],[Fecha Financiero]]),0)</f>
        <v>0</v>
      </c>
      <c r="AO283" s="932">
        <f>IF(ISNUMBER(Producción_Ganadera[[#This Row],[Fecha Financiero]])=TRUE,YEAR(Producción_Ganadera[[#This Row],[Fecha Financiero]]),0)</f>
        <v>0</v>
      </c>
      <c r="AP283" s="939">
        <f>SUMPRODUCT((Producción_Ganadera[[#This Row],[Mes Financiero]]=Tipo_Cambio[Mes])*(Producción_Ganadera[[#This Row],[Año Financiero]]=Tipo_Cambio[Año])*(Tipo_Cambio[$/U$S]))</f>
        <v>0</v>
      </c>
      <c r="AQ283" s="939">
        <f>SUMPRODUCT((Producción_Ganadera[[#This Row],[Mes Financiero]]=Tipo_Cambio[Mes])*(Producción_Ganadera[[#This Row],[Año Financiero]]=Tipo_Cambio[Año])*(Tipo_Cambio[Actualización]))</f>
        <v>0</v>
      </c>
      <c r="AR283" s="940">
        <f>SUMPRODUCT((Producción_Ganadera[[#This Row],[Centro de Costo]]=Tabla19[Centro de Costo])*(Tabla19[Superficie])*(Producción_Ganadera[[#This Row],[Campaña]]=Tabla19[Campaña]))</f>
        <v>0</v>
      </c>
      <c r="AS283" s="936">
        <f>IFERROR(Producción_Ganadera[[#This Row],[Económico $Corrientes]]/Producción_Ganadera[[#This Row],[Superficie]],0)</f>
        <v>0</v>
      </c>
      <c r="AT283" s="936">
        <f>IFERROR(Producción_Ganadera[[#This Row],[Económico $Constantes]]/Producción_Ganadera[[#This Row],[Superficie]],0)</f>
        <v>0</v>
      </c>
      <c r="AU283" s="936">
        <f>IFERROR(Producción_Ganadera[[#This Row],[Económico U$S Dólares]]/Producción_Ganadera[[#This Row],[Superficie]],0)</f>
        <v>0</v>
      </c>
      <c r="AV283" s="934">
        <f>IF(Económico!$F$4=0,0,Producción_Ganadera[[#This Row],[Centro de Costo]])</f>
        <v>0</v>
      </c>
    </row>
    <row r="284" spans="2:48" x14ac:dyDescent="0.25">
      <c r="B284" s="378" t="s">
        <v>57</v>
      </c>
      <c r="D284" s="478"/>
      <c r="E284" s="522"/>
      <c r="F284" s="869" t="str">
        <f t="shared" si="16"/>
        <v>2018-2019</v>
      </c>
      <c r="G284" s="491" t="s">
        <v>56</v>
      </c>
      <c r="H284" s="491"/>
      <c r="I284" s="491"/>
      <c r="J284" s="549"/>
      <c r="K284" s="491"/>
      <c r="L284" s="520"/>
      <c r="M28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8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84" s="611"/>
      <c r="P284" s="484"/>
      <c r="Q284" s="875">
        <f>IF(ISNUMBER(Producción_Ganadera[[#This Row],[Cabezas]])=TRUE,Producción_Ganadera[[#This Row],[Cabezas]]*Producción_Ganadera[[#This Row],[Cantidad]],Producción_Ganadera[[#This Row],[Cantidad]])</f>
        <v>0</v>
      </c>
      <c r="R284" s="482"/>
      <c r="S284" s="552"/>
      <c r="T284" s="553"/>
      <c r="U28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84" s="881">
        <f>IFERROR(Producción_Ganadera[[#This Row],[Económico $Corrientes]]/Producción_Ganadera[[#This Row],[Indexación Económico]],0)</f>
        <v>0</v>
      </c>
      <c r="W28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8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84" s="881">
        <f>IFERROR(Producción_Ganadera[[#This Row],[Financiero $Corrientes]]/Producción_Ganadera[[#This Row],[Indexación Financiero]],0)</f>
        <v>0</v>
      </c>
      <c r="Z28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8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84" s="885">
        <f>IFERROR(Producción_Ganadera[[#This Row],[Intereses $Corrientes]]/Producción_Ganadera[[#This Row],[Indexación Financiero]],0)</f>
        <v>0</v>
      </c>
      <c r="AC28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84" s="915" t="str">
        <f>IFERROR(INDEX(Produccion_Ganadera_Cuentas[],MATCH(Producción_Ganadera[[#This Row],[Cuenta Contable]],Produccion_Ganadera_Cuentas[Cuenta Contable],0),2),0)</f>
        <v>Egreso</v>
      </c>
      <c r="AE284" s="916">
        <f>IF(Producción_Ganadera[[#This Row],[Mov. Stock]]="(+)",Producción_Ganadera[[#This Row],[Cabezas]],IF(Producción_Ganadera[[#This Row],[Mov. Stock]]="(-)",-Producción_Ganadera[[#This Row],[Cabezas]],0))</f>
        <v>0</v>
      </c>
      <c r="AF284" s="917">
        <f>IFERROR(INDEX(Produccion_Ganadera_Cuentas[],MATCH(Producción_Ganadera[[#This Row],[Cuenta Contable]],Produccion_Ganadera_Cuentas[Cuenta Contable],0),5),0)</f>
        <v>0</v>
      </c>
      <c r="AG284" s="918" t="str">
        <f>IF(Producción_Ganadera[[#This Row],[Cuenta Contable]]=Configuración!$AC$9,"Si","No")</f>
        <v>No</v>
      </c>
      <c r="AH284" s="887" t="str">
        <f>IFERROR(INDEX(Tabla9[],MATCH(Producción_Ganadera[[#This Row],[Movimiento]],Tabla9[Movimientos],0),2),0)</f>
        <v>Si</v>
      </c>
      <c r="AI284" s="888" t="str">
        <f>IFERROR(INDEX(Tabla9[],MATCH(Producción_Ganadera[[#This Row],[Movimiento]],Tabla9[Movimientos],0),3),0)</f>
        <v>(-)</v>
      </c>
      <c r="AJ284" s="885">
        <f>IF(Producción_Ganadera[[#This Row],[Fecha Económico]]=0,0,MONTH(Producción_Ganadera[[#This Row],[Fecha Económico]]))</f>
        <v>0</v>
      </c>
      <c r="AK284" s="885">
        <f>IF(Producción_Ganadera[[#This Row],[Fecha Económico]]=0,0,YEAR(Producción_Ganadera[[#This Row],[Fecha Económico]]))</f>
        <v>0</v>
      </c>
      <c r="AL284" s="889">
        <f>SUMPRODUCT((Producción_Ganadera[[#This Row],[Mes Económico]]=Tipo_Cambio[Mes])*(Producción_Ganadera[[#This Row],[Año Económico]]=Tipo_Cambio[Año])*(Tipo_Cambio[$/U$S]))</f>
        <v>0</v>
      </c>
      <c r="AM284" s="889">
        <f>SUMPRODUCT((Producción_Ganadera[[#This Row],[Mes Económico]]=Tipo_Cambio[Mes])*(Producción_Ganadera[[#This Row],[Año Económico]]=Tipo_Cambio[Año])*(Tipo_Cambio[Actualización]))</f>
        <v>0</v>
      </c>
      <c r="AN284" s="885">
        <f>IF(ISNUMBER(Producción_Ganadera[[#This Row],[Fecha Financiero]])=TRUE,MONTH(Producción_Ganadera[[#This Row],[Fecha Financiero]]),0)</f>
        <v>0</v>
      </c>
      <c r="AO284" s="885">
        <f>IF(ISNUMBER(Producción_Ganadera[[#This Row],[Fecha Financiero]])=TRUE,YEAR(Producción_Ganadera[[#This Row],[Fecha Financiero]]),0)</f>
        <v>0</v>
      </c>
      <c r="AP284" s="889">
        <f>SUMPRODUCT((Producción_Ganadera[[#This Row],[Mes Financiero]]=Tipo_Cambio[Mes])*(Producción_Ganadera[[#This Row],[Año Financiero]]=Tipo_Cambio[Año])*(Tipo_Cambio[$/U$S]))</f>
        <v>0</v>
      </c>
      <c r="AQ284" s="889">
        <f>SUMPRODUCT((Producción_Ganadera[[#This Row],[Mes Financiero]]=Tipo_Cambio[Mes])*(Producción_Ganadera[[#This Row],[Año Financiero]]=Tipo_Cambio[Año])*(Tipo_Cambio[Actualización]))</f>
        <v>0</v>
      </c>
      <c r="AR284" s="919">
        <f>SUMPRODUCT((Producción_Ganadera[[#This Row],[Centro de Costo]]=Tabla19[Centro de Costo])*(Tabla19[Superficie])*(Producción_Ganadera[[#This Row],[Campaña]]=Tabla19[Campaña]))</f>
        <v>0</v>
      </c>
      <c r="AS284" s="918">
        <f>IFERROR(Producción_Ganadera[[#This Row],[Económico $Corrientes]]/Producción_Ganadera[[#This Row],[Superficie]],0)</f>
        <v>0</v>
      </c>
      <c r="AT284" s="918">
        <f>IFERROR(Producción_Ganadera[[#This Row],[Económico $Constantes]]/Producción_Ganadera[[#This Row],[Superficie]],0)</f>
        <v>0</v>
      </c>
      <c r="AU284" s="918">
        <f>IFERROR(Producción_Ganadera[[#This Row],[Económico U$S Dólares]]/Producción_Ganadera[[#This Row],[Superficie]],0)</f>
        <v>0</v>
      </c>
      <c r="AV284" s="916">
        <f>IF(Económico!$F$4=0,0,Producción_Ganadera[[#This Row],[Centro de Costo]])</f>
        <v>0</v>
      </c>
    </row>
    <row r="285" spans="2:48" x14ac:dyDescent="0.25">
      <c r="B285" s="378"/>
      <c r="D285" s="478"/>
      <c r="E285" s="522"/>
      <c r="F285" s="869" t="str">
        <f t="shared" si="16"/>
        <v>2018-2019</v>
      </c>
      <c r="G285" s="491" t="s">
        <v>56</v>
      </c>
      <c r="H285" s="491"/>
      <c r="I285" s="491"/>
      <c r="J285" s="549"/>
      <c r="K285" s="491"/>
      <c r="L285" s="520"/>
      <c r="M28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8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85" s="611"/>
      <c r="P285" s="484"/>
      <c r="Q285" s="875">
        <f>IF(ISNUMBER(Producción_Ganadera[[#This Row],[Cabezas]])=TRUE,Producción_Ganadera[[#This Row],[Cabezas]]*Producción_Ganadera[[#This Row],[Cantidad]],Producción_Ganadera[[#This Row],[Cantidad]])</f>
        <v>0</v>
      </c>
      <c r="R285" s="482"/>
      <c r="S285" s="552"/>
      <c r="T285" s="553"/>
      <c r="U28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85" s="881">
        <f>IFERROR(Producción_Ganadera[[#This Row],[Económico $Corrientes]]/Producción_Ganadera[[#This Row],[Indexación Económico]],0)</f>
        <v>0</v>
      </c>
      <c r="W28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8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85" s="881">
        <f>IFERROR(Producción_Ganadera[[#This Row],[Financiero $Corrientes]]/Producción_Ganadera[[#This Row],[Indexación Financiero]],0)</f>
        <v>0</v>
      </c>
      <c r="Z28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8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85" s="885">
        <f>IFERROR(Producción_Ganadera[[#This Row],[Intereses $Corrientes]]/Producción_Ganadera[[#This Row],[Indexación Financiero]],0)</f>
        <v>0</v>
      </c>
      <c r="AC28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85" s="915" t="str">
        <f>IFERROR(INDEX(Produccion_Ganadera_Cuentas[],MATCH(Producción_Ganadera[[#This Row],[Cuenta Contable]],Produccion_Ganadera_Cuentas[Cuenta Contable],0),2),0)</f>
        <v>Egreso</v>
      </c>
      <c r="AE285" s="916">
        <f>IF(Producción_Ganadera[[#This Row],[Mov. Stock]]="(+)",Producción_Ganadera[[#This Row],[Cabezas]],IF(Producción_Ganadera[[#This Row],[Mov. Stock]]="(-)",-Producción_Ganadera[[#This Row],[Cabezas]],0))</f>
        <v>0</v>
      </c>
      <c r="AF285" s="917">
        <f>IFERROR(INDEX(Produccion_Ganadera_Cuentas[],MATCH(Producción_Ganadera[[#This Row],[Cuenta Contable]],Produccion_Ganadera_Cuentas[Cuenta Contable],0),5),0)</f>
        <v>0</v>
      </c>
      <c r="AG285" s="918" t="str">
        <f>IF(Producción_Ganadera[[#This Row],[Cuenta Contable]]=Configuración!$AC$9,"Si","No")</f>
        <v>No</v>
      </c>
      <c r="AH285" s="887" t="str">
        <f>IFERROR(INDEX(Tabla9[],MATCH(Producción_Ganadera[[#This Row],[Movimiento]],Tabla9[Movimientos],0),2),0)</f>
        <v>Si</v>
      </c>
      <c r="AI285" s="888" t="str">
        <f>IFERROR(INDEX(Tabla9[],MATCH(Producción_Ganadera[[#This Row],[Movimiento]],Tabla9[Movimientos],0),3),0)</f>
        <v>(-)</v>
      </c>
      <c r="AJ285" s="885">
        <f>IF(Producción_Ganadera[[#This Row],[Fecha Económico]]=0,0,MONTH(Producción_Ganadera[[#This Row],[Fecha Económico]]))</f>
        <v>0</v>
      </c>
      <c r="AK285" s="885">
        <f>IF(Producción_Ganadera[[#This Row],[Fecha Económico]]=0,0,YEAR(Producción_Ganadera[[#This Row],[Fecha Económico]]))</f>
        <v>0</v>
      </c>
      <c r="AL285" s="889">
        <f>SUMPRODUCT((Producción_Ganadera[[#This Row],[Mes Económico]]=Tipo_Cambio[Mes])*(Producción_Ganadera[[#This Row],[Año Económico]]=Tipo_Cambio[Año])*(Tipo_Cambio[$/U$S]))</f>
        <v>0</v>
      </c>
      <c r="AM285" s="889">
        <f>SUMPRODUCT((Producción_Ganadera[[#This Row],[Mes Económico]]=Tipo_Cambio[Mes])*(Producción_Ganadera[[#This Row],[Año Económico]]=Tipo_Cambio[Año])*(Tipo_Cambio[Actualización]))</f>
        <v>0</v>
      </c>
      <c r="AN285" s="885">
        <f>IF(ISNUMBER(Producción_Ganadera[[#This Row],[Fecha Financiero]])=TRUE,MONTH(Producción_Ganadera[[#This Row],[Fecha Financiero]]),0)</f>
        <v>0</v>
      </c>
      <c r="AO285" s="885">
        <f>IF(ISNUMBER(Producción_Ganadera[[#This Row],[Fecha Financiero]])=TRUE,YEAR(Producción_Ganadera[[#This Row],[Fecha Financiero]]),0)</f>
        <v>0</v>
      </c>
      <c r="AP285" s="889">
        <f>SUMPRODUCT((Producción_Ganadera[[#This Row],[Mes Financiero]]=Tipo_Cambio[Mes])*(Producción_Ganadera[[#This Row],[Año Financiero]]=Tipo_Cambio[Año])*(Tipo_Cambio[$/U$S]))</f>
        <v>0</v>
      </c>
      <c r="AQ285" s="889">
        <f>SUMPRODUCT((Producción_Ganadera[[#This Row],[Mes Financiero]]=Tipo_Cambio[Mes])*(Producción_Ganadera[[#This Row],[Año Financiero]]=Tipo_Cambio[Año])*(Tipo_Cambio[Actualización]))</f>
        <v>0</v>
      </c>
      <c r="AR285" s="919">
        <f>SUMPRODUCT((Producción_Ganadera[[#This Row],[Centro de Costo]]=Tabla19[Centro de Costo])*(Tabla19[Superficie])*(Producción_Ganadera[[#This Row],[Campaña]]=Tabla19[Campaña]))</f>
        <v>0</v>
      </c>
      <c r="AS285" s="918">
        <f>IFERROR(Producción_Ganadera[[#This Row],[Económico $Corrientes]]/Producción_Ganadera[[#This Row],[Superficie]],0)</f>
        <v>0</v>
      </c>
      <c r="AT285" s="918">
        <f>IFERROR(Producción_Ganadera[[#This Row],[Económico $Constantes]]/Producción_Ganadera[[#This Row],[Superficie]],0)</f>
        <v>0</v>
      </c>
      <c r="AU285" s="918">
        <f>IFERROR(Producción_Ganadera[[#This Row],[Económico U$S Dólares]]/Producción_Ganadera[[#This Row],[Superficie]],0)</f>
        <v>0</v>
      </c>
      <c r="AV285" s="916">
        <f>IF(Económico!$F$4=0,0,Producción_Ganadera[[#This Row],[Centro de Costo]])</f>
        <v>0</v>
      </c>
    </row>
    <row r="286" spans="2:48" x14ac:dyDescent="0.25">
      <c r="D286" s="478"/>
      <c r="E286" s="522"/>
      <c r="F286" s="869" t="str">
        <f t="shared" si="16"/>
        <v>2018-2019</v>
      </c>
      <c r="G286" s="491" t="s">
        <v>56</v>
      </c>
      <c r="H286" s="491"/>
      <c r="I286" s="491"/>
      <c r="J286" s="549"/>
      <c r="K286" s="491"/>
      <c r="L286" s="520"/>
      <c r="M28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8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86" s="611"/>
      <c r="P286" s="484"/>
      <c r="Q286" s="875">
        <f>IF(ISNUMBER(Producción_Ganadera[[#This Row],[Cabezas]])=TRUE,Producción_Ganadera[[#This Row],[Cabezas]]*Producción_Ganadera[[#This Row],[Cantidad]],Producción_Ganadera[[#This Row],[Cantidad]])</f>
        <v>0</v>
      </c>
      <c r="R286" s="482"/>
      <c r="S286" s="552"/>
      <c r="T286" s="553"/>
      <c r="U28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86" s="881">
        <f>IFERROR(Producción_Ganadera[[#This Row],[Económico $Corrientes]]/Producción_Ganadera[[#This Row],[Indexación Económico]],0)</f>
        <v>0</v>
      </c>
      <c r="W28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8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86" s="881">
        <f>IFERROR(Producción_Ganadera[[#This Row],[Financiero $Corrientes]]/Producción_Ganadera[[#This Row],[Indexación Financiero]],0)</f>
        <v>0</v>
      </c>
      <c r="Z28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8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86" s="885">
        <f>IFERROR(Producción_Ganadera[[#This Row],[Intereses $Corrientes]]/Producción_Ganadera[[#This Row],[Indexación Financiero]],0)</f>
        <v>0</v>
      </c>
      <c r="AC28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86" s="915" t="str">
        <f>IFERROR(INDEX(Produccion_Ganadera_Cuentas[],MATCH(Producción_Ganadera[[#This Row],[Cuenta Contable]],Produccion_Ganadera_Cuentas[Cuenta Contable],0),2),0)</f>
        <v>Egreso</v>
      </c>
      <c r="AE286" s="916">
        <f>IF(Producción_Ganadera[[#This Row],[Mov. Stock]]="(+)",Producción_Ganadera[[#This Row],[Cabezas]],IF(Producción_Ganadera[[#This Row],[Mov. Stock]]="(-)",-Producción_Ganadera[[#This Row],[Cabezas]],0))</f>
        <v>0</v>
      </c>
      <c r="AF286" s="917">
        <f>IFERROR(INDEX(Produccion_Ganadera_Cuentas[],MATCH(Producción_Ganadera[[#This Row],[Cuenta Contable]],Produccion_Ganadera_Cuentas[Cuenta Contable],0),5),0)</f>
        <v>0</v>
      </c>
      <c r="AG286" s="918" t="str">
        <f>IF(Producción_Ganadera[[#This Row],[Cuenta Contable]]=Configuración!$AC$9,"Si","No")</f>
        <v>No</v>
      </c>
      <c r="AH286" s="887" t="str">
        <f>IFERROR(INDEX(Tabla9[],MATCH(Producción_Ganadera[[#This Row],[Movimiento]],Tabla9[Movimientos],0),2),0)</f>
        <v>Si</v>
      </c>
      <c r="AI286" s="888" t="str">
        <f>IFERROR(INDEX(Tabla9[],MATCH(Producción_Ganadera[[#This Row],[Movimiento]],Tabla9[Movimientos],0),3),0)</f>
        <v>(-)</v>
      </c>
      <c r="AJ286" s="885">
        <f>IF(Producción_Ganadera[[#This Row],[Fecha Económico]]=0,0,MONTH(Producción_Ganadera[[#This Row],[Fecha Económico]]))</f>
        <v>0</v>
      </c>
      <c r="AK286" s="885">
        <f>IF(Producción_Ganadera[[#This Row],[Fecha Económico]]=0,0,YEAR(Producción_Ganadera[[#This Row],[Fecha Económico]]))</f>
        <v>0</v>
      </c>
      <c r="AL286" s="889">
        <f>SUMPRODUCT((Producción_Ganadera[[#This Row],[Mes Económico]]=Tipo_Cambio[Mes])*(Producción_Ganadera[[#This Row],[Año Económico]]=Tipo_Cambio[Año])*(Tipo_Cambio[$/U$S]))</f>
        <v>0</v>
      </c>
      <c r="AM286" s="889">
        <f>SUMPRODUCT((Producción_Ganadera[[#This Row],[Mes Económico]]=Tipo_Cambio[Mes])*(Producción_Ganadera[[#This Row],[Año Económico]]=Tipo_Cambio[Año])*(Tipo_Cambio[Actualización]))</f>
        <v>0</v>
      </c>
      <c r="AN286" s="885">
        <f>IF(ISNUMBER(Producción_Ganadera[[#This Row],[Fecha Financiero]])=TRUE,MONTH(Producción_Ganadera[[#This Row],[Fecha Financiero]]),0)</f>
        <v>0</v>
      </c>
      <c r="AO286" s="885">
        <f>IF(ISNUMBER(Producción_Ganadera[[#This Row],[Fecha Financiero]])=TRUE,YEAR(Producción_Ganadera[[#This Row],[Fecha Financiero]]),0)</f>
        <v>0</v>
      </c>
      <c r="AP286" s="889">
        <f>SUMPRODUCT((Producción_Ganadera[[#This Row],[Mes Financiero]]=Tipo_Cambio[Mes])*(Producción_Ganadera[[#This Row],[Año Financiero]]=Tipo_Cambio[Año])*(Tipo_Cambio[$/U$S]))</f>
        <v>0</v>
      </c>
      <c r="AQ286" s="889">
        <f>SUMPRODUCT((Producción_Ganadera[[#This Row],[Mes Financiero]]=Tipo_Cambio[Mes])*(Producción_Ganadera[[#This Row],[Año Financiero]]=Tipo_Cambio[Año])*(Tipo_Cambio[Actualización]))</f>
        <v>0</v>
      </c>
      <c r="AR286" s="919">
        <f>SUMPRODUCT((Producción_Ganadera[[#This Row],[Centro de Costo]]=Tabla19[Centro de Costo])*(Tabla19[Superficie])*(Producción_Ganadera[[#This Row],[Campaña]]=Tabla19[Campaña]))</f>
        <v>0</v>
      </c>
      <c r="AS286" s="918">
        <f>IFERROR(Producción_Ganadera[[#This Row],[Económico $Corrientes]]/Producción_Ganadera[[#This Row],[Superficie]],0)</f>
        <v>0</v>
      </c>
      <c r="AT286" s="918">
        <f>IFERROR(Producción_Ganadera[[#This Row],[Económico $Constantes]]/Producción_Ganadera[[#This Row],[Superficie]],0)</f>
        <v>0</v>
      </c>
      <c r="AU286" s="918">
        <f>IFERROR(Producción_Ganadera[[#This Row],[Económico U$S Dólares]]/Producción_Ganadera[[#This Row],[Superficie]],0)</f>
        <v>0</v>
      </c>
      <c r="AV286" s="916">
        <f>IF(Económico!$F$4=0,0,Producción_Ganadera[[#This Row],[Centro de Costo]])</f>
        <v>0</v>
      </c>
    </row>
    <row r="287" spans="2:48" x14ac:dyDescent="0.25">
      <c r="D287" s="478"/>
      <c r="E287" s="522"/>
      <c r="F287" s="869" t="str">
        <f t="shared" si="16"/>
        <v>2018-2019</v>
      </c>
      <c r="G287" s="491" t="s">
        <v>56</v>
      </c>
      <c r="H287" s="491"/>
      <c r="I287" s="491"/>
      <c r="J287" s="549"/>
      <c r="K287" s="491"/>
      <c r="L287" s="520"/>
      <c r="M28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8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87" s="611"/>
      <c r="P287" s="484"/>
      <c r="Q287" s="875">
        <f>IF(ISNUMBER(Producción_Ganadera[[#This Row],[Cabezas]])=TRUE,Producción_Ganadera[[#This Row],[Cabezas]]*Producción_Ganadera[[#This Row],[Cantidad]],Producción_Ganadera[[#This Row],[Cantidad]])</f>
        <v>0</v>
      </c>
      <c r="R287" s="482"/>
      <c r="S287" s="552"/>
      <c r="T287" s="553"/>
      <c r="U28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87" s="881">
        <f>IFERROR(Producción_Ganadera[[#This Row],[Económico $Corrientes]]/Producción_Ganadera[[#This Row],[Indexación Económico]],0)</f>
        <v>0</v>
      </c>
      <c r="W28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8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87" s="881">
        <f>IFERROR(Producción_Ganadera[[#This Row],[Financiero $Corrientes]]/Producción_Ganadera[[#This Row],[Indexación Financiero]],0)</f>
        <v>0</v>
      </c>
      <c r="Z28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8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87" s="885">
        <f>IFERROR(Producción_Ganadera[[#This Row],[Intereses $Corrientes]]/Producción_Ganadera[[#This Row],[Indexación Financiero]],0)</f>
        <v>0</v>
      </c>
      <c r="AC28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87" s="915" t="str">
        <f>IFERROR(INDEX(Produccion_Ganadera_Cuentas[],MATCH(Producción_Ganadera[[#This Row],[Cuenta Contable]],Produccion_Ganadera_Cuentas[Cuenta Contable],0),2),0)</f>
        <v>Egreso</v>
      </c>
      <c r="AE287" s="916">
        <f>IF(Producción_Ganadera[[#This Row],[Mov. Stock]]="(+)",Producción_Ganadera[[#This Row],[Cabezas]],IF(Producción_Ganadera[[#This Row],[Mov. Stock]]="(-)",-Producción_Ganadera[[#This Row],[Cabezas]],0))</f>
        <v>0</v>
      </c>
      <c r="AF287" s="917">
        <f>IFERROR(INDEX(Produccion_Ganadera_Cuentas[],MATCH(Producción_Ganadera[[#This Row],[Cuenta Contable]],Produccion_Ganadera_Cuentas[Cuenta Contable],0),5),0)</f>
        <v>0</v>
      </c>
      <c r="AG287" s="918" t="str">
        <f>IF(Producción_Ganadera[[#This Row],[Cuenta Contable]]=Configuración!$AC$9,"Si","No")</f>
        <v>No</v>
      </c>
      <c r="AH287" s="887" t="str">
        <f>IFERROR(INDEX(Tabla9[],MATCH(Producción_Ganadera[[#This Row],[Movimiento]],Tabla9[Movimientos],0),2),0)</f>
        <v>Si</v>
      </c>
      <c r="AI287" s="888" t="str">
        <f>IFERROR(INDEX(Tabla9[],MATCH(Producción_Ganadera[[#This Row],[Movimiento]],Tabla9[Movimientos],0),3),0)</f>
        <v>(-)</v>
      </c>
      <c r="AJ287" s="885">
        <f>IF(Producción_Ganadera[[#This Row],[Fecha Económico]]=0,0,MONTH(Producción_Ganadera[[#This Row],[Fecha Económico]]))</f>
        <v>0</v>
      </c>
      <c r="AK287" s="885">
        <f>IF(Producción_Ganadera[[#This Row],[Fecha Económico]]=0,0,YEAR(Producción_Ganadera[[#This Row],[Fecha Económico]]))</f>
        <v>0</v>
      </c>
      <c r="AL287" s="889">
        <f>SUMPRODUCT((Producción_Ganadera[[#This Row],[Mes Económico]]=Tipo_Cambio[Mes])*(Producción_Ganadera[[#This Row],[Año Económico]]=Tipo_Cambio[Año])*(Tipo_Cambio[$/U$S]))</f>
        <v>0</v>
      </c>
      <c r="AM287" s="889">
        <f>SUMPRODUCT((Producción_Ganadera[[#This Row],[Mes Económico]]=Tipo_Cambio[Mes])*(Producción_Ganadera[[#This Row],[Año Económico]]=Tipo_Cambio[Año])*(Tipo_Cambio[Actualización]))</f>
        <v>0</v>
      </c>
      <c r="AN287" s="885">
        <f>IF(ISNUMBER(Producción_Ganadera[[#This Row],[Fecha Financiero]])=TRUE,MONTH(Producción_Ganadera[[#This Row],[Fecha Financiero]]),0)</f>
        <v>0</v>
      </c>
      <c r="AO287" s="885">
        <f>IF(ISNUMBER(Producción_Ganadera[[#This Row],[Fecha Financiero]])=TRUE,YEAR(Producción_Ganadera[[#This Row],[Fecha Financiero]]),0)</f>
        <v>0</v>
      </c>
      <c r="AP287" s="889">
        <f>SUMPRODUCT((Producción_Ganadera[[#This Row],[Mes Financiero]]=Tipo_Cambio[Mes])*(Producción_Ganadera[[#This Row],[Año Financiero]]=Tipo_Cambio[Año])*(Tipo_Cambio[$/U$S]))</f>
        <v>0</v>
      </c>
      <c r="AQ287" s="889">
        <f>SUMPRODUCT((Producción_Ganadera[[#This Row],[Mes Financiero]]=Tipo_Cambio[Mes])*(Producción_Ganadera[[#This Row],[Año Financiero]]=Tipo_Cambio[Año])*(Tipo_Cambio[Actualización]))</f>
        <v>0</v>
      </c>
      <c r="AR287" s="919">
        <f>SUMPRODUCT((Producción_Ganadera[[#This Row],[Centro de Costo]]=Tabla19[Centro de Costo])*(Tabla19[Superficie])*(Producción_Ganadera[[#This Row],[Campaña]]=Tabla19[Campaña]))</f>
        <v>0</v>
      </c>
      <c r="AS287" s="918">
        <f>IFERROR(Producción_Ganadera[[#This Row],[Económico $Corrientes]]/Producción_Ganadera[[#This Row],[Superficie]],0)</f>
        <v>0</v>
      </c>
      <c r="AT287" s="918">
        <f>IFERROR(Producción_Ganadera[[#This Row],[Económico $Constantes]]/Producción_Ganadera[[#This Row],[Superficie]],0)</f>
        <v>0</v>
      </c>
      <c r="AU287" s="918">
        <f>IFERROR(Producción_Ganadera[[#This Row],[Económico U$S Dólares]]/Producción_Ganadera[[#This Row],[Superficie]],0)</f>
        <v>0</v>
      </c>
      <c r="AV287" s="916">
        <f>IF(Económico!$F$4=0,0,Producción_Ganadera[[#This Row],[Centro de Costo]])</f>
        <v>0</v>
      </c>
    </row>
    <row r="288" spans="2:48" x14ac:dyDescent="0.25">
      <c r="D288" s="478"/>
      <c r="E288" s="522"/>
      <c r="F288" s="869" t="str">
        <f t="shared" si="16"/>
        <v>2018-2019</v>
      </c>
      <c r="G288" s="491" t="s">
        <v>56</v>
      </c>
      <c r="H288" s="491"/>
      <c r="I288" s="491"/>
      <c r="J288" s="549"/>
      <c r="K288" s="491"/>
      <c r="L288" s="520"/>
      <c r="M28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8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88" s="611"/>
      <c r="P288" s="484"/>
      <c r="Q288" s="875">
        <f>IF(ISNUMBER(Producción_Ganadera[[#This Row],[Cabezas]])=TRUE,Producción_Ganadera[[#This Row],[Cabezas]]*Producción_Ganadera[[#This Row],[Cantidad]],Producción_Ganadera[[#This Row],[Cantidad]])</f>
        <v>0</v>
      </c>
      <c r="R288" s="482"/>
      <c r="S288" s="552"/>
      <c r="T288" s="553"/>
      <c r="U28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88" s="881">
        <f>IFERROR(Producción_Ganadera[[#This Row],[Económico $Corrientes]]/Producción_Ganadera[[#This Row],[Indexación Económico]],0)</f>
        <v>0</v>
      </c>
      <c r="W28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8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88" s="881">
        <f>IFERROR(Producción_Ganadera[[#This Row],[Financiero $Corrientes]]/Producción_Ganadera[[#This Row],[Indexación Financiero]],0)</f>
        <v>0</v>
      </c>
      <c r="Z28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8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88" s="885">
        <f>IFERROR(Producción_Ganadera[[#This Row],[Intereses $Corrientes]]/Producción_Ganadera[[#This Row],[Indexación Financiero]],0)</f>
        <v>0</v>
      </c>
      <c r="AC28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88" s="915" t="str">
        <f>IFERROR(INDEX(Produccion_Ganadera_Cuentas[],MATCH(Producción_Ganadera[[#This Row],[Cuenta Contable]],Produccion_Ganadera_Cuentas[Cuenta Contable],0),2),0)</f>
        <v>Egreso</v>
      </c>
      <c r="AE288" s="916">
        <f>IF(Producción_Ganadera[[#This Row],[Mov. Stock]]="(+)",Producción_Ganadera[[#This Row],[Cabezas]],IF(Producción_Ganadera[[#This Row],[Mov. Stock]]="(-)",-Producción_Ganadera[[#This Row],[Cabezas]],0))</f>
        <v>0</v>
      </c>
      <c r="AF288" s="917">
        <f>IFERROR(INDEX(Produccion_Ganadera_Cuentas[],MATCH(Producción_Ganadera[[#This Row],[Cuenta Contable]],Produccion_Ganadera_Cuentas[Cuenta Contable],0),5),0)</f>
        <v>0</v>
      </c>
      <c r="AG288" s="918" t="str">
        <f>IF(Producción_Ganadera[[#This Row],[Cuenta Contable]]=Configuración!$AC$9,"Si","No")</f>
        <v>No</v>
      </c>
      <c r="AH288" s="887" t="str">
        <f>IFERROR(INDEX(Tabla9[],MATCH(Producción_Ganadera[[#This Row],[Movimiento]],Tabla9[Movimientos],0),2),0)</f>
        <v>Si</v>
      </c>
      <c r="AI288" s="888" t="str">
        <f>IFERROR(INDEX(Tabla9[],MATCH(Producción_Ganadera[[#This Row],[Movimiento]],Tabla9[Movimientos],0),3),0)</f>
        <v>(-)</v>
      </c>
      <c r="AJ288" s="885">
        <f>IF(Producción_Ganadera[[#This Row],[Fecha Económico]]=0,0,MONTH(Producción_Ganadera[[#This Row],[Fecha Económico]]))</f>
        <v>0</v>
      </c>
      <c r="AK288" s="885">
        <f>IF(Producción_Ganadera[[#This Row],[Fecha Económico]]=0,0,YEAR(Producción_Ganadera[[#This Row],[Fecha Económico]]))</f>
        <v>0</v>
      </c>
      <c r="AL288" s="889">
        <f>SUMPRODUCT((Producción_Ganadera[[#This Row],[Mes Económico]]=Tipo_Cambio[Mes])*(Producción_Ganadera[[#This Row],[Año Económico]]=Tipo_Cambio[Año])*(Tipo_Cambio[$/U$S]))</f>
        <v>0</v>
      </c>
      <c r="AM288" s="889">
        <f>SUMPRODUCT((Producción_Ganadera[[#This Row],[Mes Económico]]=Tipo_Cambio[Mes])*(Producción_Ganadera[[#This Row],[Año Económico]]=Tipo_Cambio[Año])*(Tipo_Cambio[Actualización]))</f>
        <v>0</v>
      </c>
      <c r="AN288" s="885">
        <f>IF(ISNUMBER(Producción_Ganadera[[#This Row],[Fecha Financiero]])=TRUE,MONTH(Producción_Ganadera[[#This Row],[Fecha Financiero]]),0)</f>
        <v>0</v>
      </c>
      <c r="AO288" s="885">
        <f>IF(ISNUMBER(Producción_Ganadera[[#This Row],[Fecha Financiero]])=TRUE,YEAR(Producción_Ganadera[[#This Row],[Fecha Financiero]]),0)</f>
        <v>0</v>
      </c>
      <c r="AP288" s="889">
        <f>SUMPRODUCT((Producción_Ganadera[[#This Row],[Mes Financiero]]=Tipo_Cambio[Mes])*(Producción_Ganadera[[#This Row],[Año Financiero]]=Tipo_Cambio[Año])*(Tipo_Cambio[$/U$S]))</f>
        <v>0</v>
      </c>
      <c r="AQ288" s="889">
        <f>SUMPRODUCT((Producción_Ganadera[[#This Row],[Mes Financiero]]=Tipo_Cambio[Mes])*(Producción_Ganadera[[#This Row],[Año Financiero]]=Tipo_Cambio[Año])*(Tipo_Cambio[Actualización]))</f>
        <v>0</v>
      </c>
      <c r="AR288" s="919">
        <f>SUMPRODUCT((Producción_Ganadera[[#This Row],[Centro de Costo]]=Tabla19[Centro de Costo])*(Tabla19[Superficie])*(Producción_Ganadera[[#This Row],[Campaña]]=Tabla19[Campaña]))</f>
        <v>0</v>
      </c>
      <c r="AS288" s="918">
        <f>IFERROR(Producción_Ganadera[[#This Row],[Económico $Corrientes]]/Producción_Ganadera[[#This Row],[Superficie]],0)</f>
        <v>0</v>
      </c>
      <c r="AT288" s="918">
        <f>IFERROR(Producción_Ganadera[[#This Row],[Económico $Constantes]]/Producción_Ganadera[[#This Row],[Superficie]],0)</f>
        <v>0</v>
      </c>
      <c r="AU288" s="918">
        <f>IFERROR(Producción_Ganadera[[#This Row],[Económico U$S Dólares]]/Producción_Ganadera[[#This Row],[Superficie]],0)</f>
        <v>0</v>
      </c>
      <c r="AV288" s="916">
        <f>IF(Económico!$F$4=0,0,Producción_Ganadera[[#This Row],[Centro de Costo]])</f>
        <v>0</v>
      </c>
    </row>
    <row r="289" spans="2:48" x14ac:dyDescent="0.25">
      <c r="D289" s="478"/>
      <c r="E289" s="522"/>
      <c r="F289" s="869" t="str">
        <f t="shared" si="16"/>
        <v>2018-2019</v>
      </c>
      <c r="G289" s="491" t="s">
        <v>57</v>
      </c>
      <c r="H289" s="491"/>
      <c r="I289" s="491"/>
      <c r="J289" s="549"/>
      <c r="K289" s="491"/>
      <c r="L289" s="520"/>
      <c r="M28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8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89" s="611"/>
      <c r="P289" s="484"/>
      <c r="Q289" s="875">
        <f>IF(ISNUMBER(Producción_Ganadera[[#This Row],[Cabezas]])=TRUE,Producción_Ganadera[[#This Row],[Cabezas]]*Producción_Ganadera[[#This Row],[Cantidad]],Producción_Ganadera[[#This Row],[Cantidad]])</f>
        <v>0</v>
      </c>
      <c r="R289" s="482"/>
      <c r="S289" s="552"/>
      <c r="T289" s="553"/>
      <c r="U28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89" s="881">
        <f>IFERROR(Producción_Ganadera[[#This Row],[Económico $Corrientes]]/Producción_Ganadera[[#This Row],[Indexación Económico]],0)</f>
        <v>0</v>
      </c>
      <c r="W28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8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89" s="881">
        <f>IFERROR(Producción_Ganadera[[#This Row],[Financiero $Corrientes]]/Producción_Ganadera[[#This Row],[Indexación Financiero]],0)</f>
        <v>0</v>
      </c>
      <c r="Z28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8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89" s="885">
        <f>IFERROR(Producción_Ganadera[[#This Row],[Intereses $Corrientes]]/Producción_Ganadera[[#This Row],[Indexación Financiero]],0)</f>
        <v>0</v>
      </c>
      <c r="AC28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89" s="915" t="str">
        <f>IFERROR(INDEX(Produccion_Ganadera_Cuentas[],MATCH(Producción_Ganadera[[#This Row],[Cuenta Contable]],Produccion_Ganadera_Cuentas[Cuenta Contable],0),2),0)</f>
        <v>Egreso Cesión</v>
      </c>
      <c r="AE289" s="916">
        <f>IF(Producción_Ganadera[[#This Row],[Mov. Stock]]="(+)",Producción_Ganadera[[#This Row],[Cabezas]],IF(Producción_Ganadera[[#This Row],[Mov. Stock]]="(-)",-Producción_Ganadera[[#This Row],[Cabezas]],0))</f>
        <v>0</v>
      </c>
      <c r="AF289" s="917">
        <f>IFERROR(INDEX(Produccion_Ganadera_Cuentas[],MATCH(Producción_Ganadera[[#This Row],[Cuenta Contable]],Produccion_Ganadera_Cuentas[Cuenta Contable],0),5),0)</f>
        <v>0</v>
      </c>
      <c r="AG289" s="918" t="str">
        <f>IF(Producción_Ganadera[[#This Row],[Cuenta Contable]]=Configuración!$AC$9,"Si","No")</f>
        <v>No</v>
      </c>
      <c r="AH289" s="887" t="str">
        <f>IFERROR(INDEX(Tabla9[],MATCH(Producción_Ganadera[[#This Row],[Movimiento]],Tabla9[Movimientos],0),2),0)</f>
        <v>No</v>
      </c>
      <c r="AI289" s="888" t="str">
        <f>IFERROR(INDEX(Tabla9[],MATCH(Producción_Ganadera[[#This Row],[Movimiento]],Tabla9[Movimientos],0),3),0)</f>
        <v>(-)</v>
      </c>
      <c r="AJ289" s="885">
        <f>IF(Producción_Ganadera[[#This Row],[Fecha Económico]]=0,0,MONTH(Producción_Ganadera[[#This Row],[Fecha Económico]]))</f>
        <v>0</v>
      </c>
      <c r="AK289" s="885">
        <f>IF(Producción_Ganadera[[#This Row],[Fecha Económico]]=0,0,YEAR(Producción_Ganadera[[#This Row],[Fecha Económico]]))</f>
        <v>0</v>
      </c>
      <c r="AL289" s="889">
        <f>SUMPRODUCT((Producción_Ganadera[[#This Row],[Mes Económico]]=Tipo_Cambio[Mes])*(Producción_Ganadera[[#This Row],[Año Económico]]=Tipo_Cambio[Año])*(Tipo_Cambio[$/U$S]))</f>
        <v>0</v>
      </c>
      <c r="AM289" s="889">
        <f>SUMPRODUCT((Producción_Ganadera[[#This Row],[Mes Económico]]=Tipo_Cambio[Mes])*(Producción_Ganadera[[#This Row],[Año Económico]]=Tipo_Cambio[Año])*(Tipo_Cambio[Actualización]))</f>
        <v>0</v>
      </c>
      <c r="AN289" s="885">
        <f>IF(ISNUMBER(Producción_Ganadera[[#This Row],[Fecha Financiero]])=TRUE,MONTH(Producción_Ganadera[[#This Row],[Fecha Financiero]]),0)</f>
        <v>0</v>
      </c>
      <c r="AO289" s="885">
        <f>IF(ISNUMBER(Producción_Ganadera[[#This Row],[Fecha Financiero]])=TRUE,YEAR(Producción_Ganadera[[#This Row],[Fecha Financiero]]),0)</f>
        <v>0</v>
      </c>
      <c r="AP289" s="889">
        <f>SUMPRODUCT((Producción_Ganadera[[#This Row],[Mes Financiero]]=Tipo_Cambio[Mes])*(Producción_Ganadera[[#This Row],[Año Financiero]]=Tipo_Cambio[Año])*(Tipo_Cambio[$/U$S]))</f>
        <v>0</v>
      </c>
      <c r="AQ289" s="889">
        <f>SUMPRODUCT((Producción_Ganadera[[#This Row],[Mes Financiero]]=Tipo_Cambio[Mes])*(Producción_Ganadera[[#This Row],[Año Financiero]]=Tipo_Cambio[Año])*(Tipo_Cambio[Actualización]))</f>
        <v>0</v>
      </c>
      <c r="AR289" s="919">
        <f>SUMPRODUCT((Producción_Ganadera[[#This Row],[Centro de Costo]]=Tabla19[Centro de Costo])*(Tabla19[Superficie])*(Producción_Ganadera[[#This Row],[Campaña]]=Tabla19[Campaña]))</f>
        <v>0</v>
      </c>
      <c r="AS289" s="918">
        <f>IFERROR(Producción_Ganadera[[#This Row],[Económico $Corrientes]]/Producción_Ganadera[[#This Row],[Superficie]],0)</f>
        <v>0</v>
      </c>
      <c r="AT289" s="918">
        <f>IFERROR(Producción_Ganadera[[#This Row],[Económico $Constantes]]/Producción_Ganadera[[#This Row],[Superficie]],0)</f>
        <v>0</v>
      </c>
      <c r="AU289" s="918">
        <f>IFERROR(Producción_Ganadera[[#This Row],[Económico U$S Dólares]]/Producción_Ganadera[[#This Row],[Superficie]],0)</f>
        <v>0</v>
      </c>
      <c r="AV289" s="916">
        <f>IF(Económico!$F$4=0,0,Producción_Ganadera[[#This Row],[Centro de Costo]])</f>
        <v>0</v>
      </c>
    </row>
    <row r="290" spans="2:48" x14ac:dyDescent="0.25">
      <c r="D290" s="478"/>
      <c r="E290" s="522"/>
      <c r="F290" s="869" t="str">
        <f t="shared" si="16"/>
        <v>2018-2019</v>
      </c>
      <c r="G290" s="491" t="s">
        <v>57</v>
      </c>
      <c r="H290" s="491"/>
      <c r="I290" s="491"/>
      <c r="J290" s="549"/>
      <c r="K290" s="491"/>
      <c r="L290" s="520"/>
      <c r="M29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9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90" s="611"/>
      <c r="P290" s="484"/>
      <c r="Q290" s="875">
        <f>IF(ISNUMBER(Producción_Ganadera[[#This Row],[Cabezas]])=TRUE,Producción_Ganadera[[#This Row],[Cabezas]]*Producción_Ganadera[[#This Row],[Cantidad]],Producción_Ganadera[[#This Row],[Cantidad]])</f>
        <v>0</v>
      </c>
      <c r="R290" s="482"/>
      <c r="S290" s="552"/>
      <c r="T290" s="553"/>
      <c r="U29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90" s="881">
        <f>IFERROR(Producción_Ganadera[[#This Row],[Económico $Corrientes]]/Producción_Ganadera[[#This Row],[Indexación Económico]],0)</f>
        <v>0</v>
      </c>
      <c r="W29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9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90" s="881">
        <f>IFERROR(Producción_Ganadera[[#This Row],[Financiero $Corrientes]]/Producción_Ganadera[[#This Row],[Indexación Financiero]],0)</f>
        <v>0</v>
      </c>
      <c r="Z29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9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90" s="885">
        <f>IFERROR(Producción_Ganadera[[#This Row],[Intereses $Corrientes]]/Producción_Ganadera[[#This Row],[Indexación Financiero]],0)</f>
        <v>0</v>
      </c>
      <c r="AC29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90" s="915" t="str">
        <f>IFERROR(INDEX(Produccion_Ganadera_Cuentas[],MATCH(Producción_Ganadera[[#This Row],[Cuenta Contable]],Produccion_Ganadera_Cuentas[Cuenta Contable],0),2),0)</f>
        <v>Egreso Cesión</v>
      </c>
      <c r="AE290" s="916">
        <f>IF(Producción_Ganadera[[#This Row],[Mov. Stock]]="(+)",Producción_Ganadera[[#This Row],[Cabezas]],IF(Producción_Ganadera[[#This Row],[Mov. Stock]]="(-)",-Producción_Ganadera[[#This Row],[Cabezas]],0))</f>
        <v>0</v>
      </c>
      <c r="AF290" s="917">
        <f>IFERROR(INDEX(Produccion_Ganadera_Cuentas[],MATCH(Producción_Ganadera[[#This Row],[Cuenta Contable]],Produccion_Ganadera_Cuentas[Cuenta Contable],0),5),0)</f>
        <v>0</v>
      </c>
      <c r="AG290" s="918" t="str">
        <f>IF(Producción_Ganadera[[#This Row],[Cuenta Contable]]=Configuración!$AC$9,"Si","No")</f>
        <v>No</v>
      </c>
      <c r="AH290" s="887" t="str">
        <f>IFERROR(INDEX(Tabla9[],MATCH(Producción_Ganadera[[#This Row],[Movimiento]],Tabla9[Movimientos],0),2),0)</f>
        <v>No</v>
      </c>
      <c r="AI290" s="888" t="str">
        <f>IFERROR(INDEX(Tabla9[],MATCH(Producción_Ganadera[[#This Row],[Movimiento]],Tabla9[Movimientos],0),3),0)</f>
        <v>(-)</v>
      </c>
      <c r="AJ290" s="885">
        <f>IF(Producción_Ganadera[[#This Row],[Fecha Económico]]=0,0,MONTH(Producción_Ganadera[[#This Row],[Fecha Económico]]))</f>
        <v>0</v>
      </c>
      <c r="AK290" s="885">
        <f>IF(Producción_Ganadera[[#This Row],[Fecha Económico]]=0,0,YEAR(Producción_Ganadera[[#This Row],[Fecha Económico]]))</f>
        <v>0</v>
      </c>
      <c r="AL290" s="889">
        <f>SUMPRODUCT((Producción_Ganadera[[#This Row],[Mes Económico]]=Tipo_Cambio[Mes])*(Producción_Ganadera[[#This Row],[Año Económico]]=Tipo_Cambio[Año])*(Tipo_Cambio[$/U$S]))</f>
        <v>0</v>
      </c>
      <c r="AM290" s="889">
        <f>SUMPRODUCT((Producción_Ganadera[[#This Row],[Mes Económico]]=Tipo_Cambio[Mes])*(Producción_Ganadera[[#This Row],[Año Económico]]=Tipo_Cambio[Año])*(Tipo_Cambio[Actualización]))</f>
        <v>0</v>
      </c>
      <c r="AN290" s="885">
        <f>IF(ISNUMBER(Producción_Ganadera[[#This Row],[Fecha Financiero]])=TRUE,MONTH(Producción_Ganadera[[#This Row],[Fecha Financiero]]),0)</f>
        <v>0</v>
      </c>
      <c r="AO290" s="885">
        <f>IF(ISNUMBER(Producción_Ganadera[[#This Row],[Fecha Financiero]])=TRUE,YEAR(Producción_Ganadera[[#This Row],[Fecha Financiero]]),0)</f>
        <v>0</v>
      </c>
      <c r="AP290" s="889">
        <f>SUMPRODUCT((Producción_Ganadera[[#This Row],[Mes Financiero]]=Tipo_Cambio[Mes])*(Producción_Ganadera[[#This Row],[Año Financiero]]=Tipo_Cambio[Año])*(Tipo_Cambio[$/U$S]))</f>
        <v>0</v>
      </c>
      <c r="AQ290" s="889">
        <f>SUMPRODUCT((Producción_Ganadera[[#This Row],[Mes Financiero]]=Tipo_Cambio[Mes])*(Producción_Ganadera[[#This Row],[Año Financiero]]=Tipo_Cambio[Año])*(Tipo_Cambio[Actualización]))</f>
        <v>0</v>
      </c>
      <c r="AR290" s="919">
        <f>SUMPRODUCT((Producción_Ganadera[[#This Row],[Centro de Costo]]=Tabla19[Centro de Costo])*(Tabla19[Superficie])*(Producción_Ganadera[[#This Row],[Campaña]]=Tabla19[Campaña]))</f>
        <v>0</v>
      </c>
      <c r="AS290" s="918">
        <f>IFERROR(Producción_Ganadera[[#This Row],[Económico $Corrientes]]/Producción_Ganadera[[#This Row],[Superficie]],0)</f>
        <v>0</v>
      </c>
      <c r="AT290" s="918">
        <f>IFERROR(Producción_Ganadera[[#This Row],[Económico $Constantes]]/Producción_Ganadera[[#This Row],[Superficie]],0)</f>
        <v>0</v>
      </c>
      <c r="AU290" s="918">
        <f>IFERROR(Producción_Ganadera[[#This Row],[Económico U$S Dólares]]/Producción_Ganadera[[#This Row],[Superficie]],0)</f>
        <v>0</v>
      </c>
      <c r="AV290" s="916">
        <f>IF(Económico!$F$4=0,0,Producción_Ganadera[[#This Row],[Centro de Costo]])</f>
        <v>0</v>
      </c>
    </row>
    <row r="291" spans="2:48" x14ac:dyDescent="0.25">
      <c r="D291" s="478"/>
      <c r="E291" s="522"/>
      <c r="F291" s="869" t="str">
        <f t="shared" si="16"/>
        <v>2018-2019</v>
      </c>
      <c r="G291" s="491" t="s">
        <v>57</v>
      </c>
      <c r="H291" s="491"/>
      <c r="I291" s="491"/>
      <c r="J291" s="549"/>
      <c r="K291" s="491"/>
      <c r="L291" s="520"/>
      <c r="M29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9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91" s="611"/>
      <c r="P291" s="484"/>
      <c r="Q291" s="875">
        <f>IF(ISNUMBER(Producción_Ganadera[[#This Row],[Cabezas]])=TRUE,Producción_Ganadera[[#This Row],[Cabezas]]*Producción_Ganadera[[#This Row],[Cantidad]],Producción_Ganadera[[#This Row],[Cantidad]])</f>
        <v>0</v>
      </c>
      <c r="R291" s="482"/>
      <c r="S291" s="552"/>
      <c r="T291" s="553"/>
      <c r="U29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91" s="881">
        <f>IFERROR(Producción_Ganadera[[#This Row],[Económico $Corrientes]]/Producción_Ganadera[[#This Row],[Indexación Económico]],0)</f>
        <v>0</v>
      </c>
      <c r="W29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9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91" s="881">
        <f>IFERROR(Producción_Ganadera[[#This Row],[Financiero $Corrientes]]/Producción_Ganadera[[#This Row],[Indexación Financiero]],0)</f>
        <v>0</v>
      </c>
      <c r="Z29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9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91" s="885">
        <f>IFERROR(Producción_Ganadera[[#This Row],[Intereses $Corrientes]]/Producción_Ganadera[[#This Row],[Indexación Financiero]],0)</f>
        <v>0</v>
      </c>
      <c r="AC29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91" s="915" t="str">
        <f>IFERROR(INDEX(Produccion_Ganadera_Cuentas[],MATCH(Producción_Ganadera[[#This Row],[Cuenta Contable]],Produccion_Ganadera_Cuentas[Cuenta Contable],0),2),0)</f>
        <v>Egreso Cesión</v>
      </c>
      <c r="AE291" s="916">
        <f>IF(Producción_Ganadera[[#This Row],[Mov. Stock]]="(+)",Producción_Ganadera[[#This Row],[Cabezas]],IF(Producción_Ganadera[[#This Row],[Mov. Stock]]="(-)",-Producción_Ganadera[[#This Row],[Cabezas]],0))</f>
        <v>0</v>
      </c>
      <c r="AF291" s="917">
        <f>IFERROR(INDEX(Produccion_Ganadera_Cuentas[],MATCH(Producción_Ganadera[[#This Row],[Cuenta Contable]],Produccion_Ganadera_Cuentas[Cuenta Contable],0),5),0)</f>
        <v>0</v>
      </c>
      <c r="AG291" s="918" t="str">
        <f>IF(Producción_Ganadera[[#This Row],[Cuenta Contable]]=Configuración!$AC$9,"Si","No")</f>
        <v>No</v>
      </c>
      <c r="AH291" s="887" t="str">
        <f>IFERROR(INDEX(Tabla9[],MATCH(Producción_Ganadera[[#This Row],[Movimiento]],Tabla9[Movimientos],0),2),0)</f>
        <v>No</v>
      </c>
      <c r="AI291" s="888" t="str">
        <f>IFERROR(INDEX(Tabla9[],MATCH(Producción_Ganadera[[#This Row],[Movimiento]],Tabla9[Movimientos],0),3),0)</f>
        <v>(-)</v>
      </c>
      <c r="AJ291" s="885">
        <f>IF(Producción_Ganadera[[#This Row],[Fecha Económico]]=0,0,MONTH(Producción_Ganadera[[#This Row],[Fecha Económico]]))</f>
        <v>0</v>
      </c>
      <c r="AK291" s="885">
        <f>IF(Producción_Ganadera[[#This Row],[Fecha Económico]]=0,0,YEAR(Producción_Ganadera[[#This Row],[Fecha Económico]]))</f>
        <v>0</v>
      </c>
      <c r="AL291" s="889">
        <f>SUMPRODUCT((Producción_Ganadera[[#This Row],[Mes Económico]]=Tipo_Cambio[Mes])*(Producción_Ganadera[[#This Row],[Año Económico]]=Tipo_Cambio[Año])*(Tipo_Cambio[$/U$S]))</f>
        <v>0</v>
      </c>
      <c r="AM291" s="889">
        <f>SUMPRODUCT((Producción_Ganadera[[#This Row],[Mes Económico]]=Tipo_Cambio[Mes])*(Producción_Ganadera[[#This Row],[Año Económico]]=Tipo_Cambio[Año])*(Tipo_Cambio[Actualización]))</f>
        <v>0</v>
      </c>
      <c r="AN291" s="885">
        <f>IF(ISNUMBER(Producción_Ganadera[[#This Row],[Fecha Financiero]])=TRUE,MONTH(Producción_Ganadera[[#This Row],[Fecha Financiero]]),0)</f>
        <v>0</v>
      </c>
      <c r="AO291" s="885">
        <f>IF(ISNUMBER(Producción_Ganadera[[#This Row],[Fecha Financiero]])=TRUE,YEAR(Producción_Ganadera[[#This Row],[Fecha Financiero]]),0)</f>
        <v>0</v>
      </c>
      <c r="AP291" s="889">
        <f>SUMPRODUCT((Producción_Ganadera[[#This Row],[Mes Financiero]]=Tipo_Cambio[Mes])*(Producción_Ganadera[[#This Row],[Año Financiero]]=Tipo_Cambio[Año])*(Tipo_Cambio[$/U$S]))</f>
        <v>0</v>
      </c>
      <c r="AQ291" s="889">
        <f>SUMPRODUCT((Producción_Ganadera[[#This Row],[Mes Financiero]]=Tipo_Cambio[Mes])*(Producción_Ganadera[[#This Row],[Año Financiero]]=Tipo_Cambio[Año])*(Tipo_Cambio[Actualización]))</f>
        <v>0</v>
      </c>
      <c r="AR291" s="919">
        <f>SUMPRODUCT((Producción_Ganadera[[#This Row],[Centro de Costo]]=Tabla19[Centro de Costo])*(Tabla19[Superficie])*(Producción_Ganadera[[#This Row],[Campaña]]=Tabla19[Campaña]))</f>
        <v>0</v>
      </c>
      <c r="AS291" s="918">
        <f>IFERROR(Producción_Ganadera[[#This Row],[Económico $Corrientes]]/Producción_Ganadera[[#This Row],[Superficie]],0)</f>
        <v>0</v>
      </c>
      <c r="AT291" s="918">
        <f>IFERROR(Producción_Ganadera[[#This Row],[Económico $Constantes]]/Producción_Ganadera[[#This Row],[Superficie]],0)</f>
        <v>0</v>
      </c>
      <c r="AU291" s="918">
        <f>IFERROR(Producción_Ganadera[[#This Row],[Económico U$S Dólares]]/Producción_Ganadera[[#This Row],[Superficie]],0)</f>
        <v>0</v>
      </c>
      <c r="AV291" s="916">
        <f>IF(Económico!$F$4=0,0,Producción_Ganadera[[#This Row],[Centro de Costo]])</f>
        <v>0</v>
      </c>
    </row>
    <row r="292" spans="2:48" x14ac:dyDescent="0.25">
      <c r="D292" s="478"/>
      <c r="E292" s="522"/>
      <c r="F292" s="869" t="str">
        <f t="shared" si="16"/>
        <v>2018-2019</v>
      </c>
      <c r="G292" s="491" t="s">
        <v>57</v>
      </c>
      <c r="H292" s="491"/>
      <c r="I292" s="491"/>
      <c r="J292" s="549"/>
      <c r="K292" s="491"/>
      <c r="L292" s="520"/>
      <c r="M29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9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92" s="611"/>
      <c r="P292" s="484"/>
      <c r="Q292" s="875">
        <f>IF(ISNUMBER(Producción_Ganadera[[#This Row],[Cabezas]])=TRUE,Producción_Ganadera[[#This Row],[Cabezas]]*Producción_Ganadera[[#This Row],[Cantidad]],Producción_Ganadera[[#This Row],[Cantidad]])</f>
        <v>0</v>
      </c>
      <c r="R292" s="482"/>
      <c r="S292" s="552"/>
      <c r="T292" s="553"/>
      <c r="U29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92" s="881">
        <f>IFERROR(Producción_Ganadera[[#This Row],[Económico $Corrientes]]/Producción_Ganadera[[#This Row],[Indexación Económico]],0)</f>
        <v>0</v>
      </c>
      <c r="W29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9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92" s="881">
        <f>IFERROR(Producción_Ganadera[[#This Row],[Financiero $Corrientes]]/Producción_Ganadera[[#This Row],[Indexación Financiero]],0)</f>
        <v>0</v>
      </c>
      <c r="Z29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9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92" s="885">
        <f>IFERROR(Producción_Ganadera[[#This Row],[Intereses $Corrientes]]/Producción_Ganadera[[#This Row],[Indexación Financiero]],0)</f>
        <v>0</v>
      </c>
      <c r="AC29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92" s="915" t="str">
        <f>IFERROR(INDEX(Produccion_Ganadera_Cuentas[],MATCH(Producción_Ganadera[[#This Row],[Cuenta Contable]],Produccion_Ganadera_Cuentas[Cuenta Contable],0),2),0)</f>
        <v>Egreso Cesión</v>
      </c>
      <c r="AE292" s="916">
        <f>IF(Producción_Ganadera[[#This Row],[Mov. Stock]]="(+)",Producción_Ganadera[[#This Row],[Cabezas]],IF(Producción_Ganadera[[#This Row],[Mov. Stock]]="(-)",-Producción_Ganadera[[#This Row],[Cabezas]],0))</f>
        <v>0</v>
      </c>
      <c r="AF292" s="917">
        <f>IFERROR(INDEX(Produccion_Ganadera_Cuentas[],MATCH(Producción_Ganadera[[#This Row],[Cuenta Contable]],Produccion_Ganadera_Cuentas[Cuenta Contable],0),5),0)</f>
        <v>0</v>
      </c>
      <c r="AG292" s="918" t="str">
        <f>IF(Producción_Ganadera[[#This Row],[Cuenta Contable]]=Configuración!$AC$9,"Si","No")</f>
        <v>No</v>
      </c>
      <c r="AH292" s="887" t="str">
        <f>IFERROR(INDEX(Tabla9[],MATCH(Producción_Ganadera[[#This Row],[Movimiento]],Tabla9[Movimientos],0),2),0)</f>
        <v>No</v>
      </c>
      <c r="AI292" s="888" t="str">
        <f>IFERROR(INDEX(Tabla9[],MATCH(Producción_Ganadera[[#This Row],[Movimiento]],Tabla9[Movimientos],0),3),0)</f>
        <v>(-)</v>
      </c>
      <c r="AJ292" s="885">
        <f>IF(Producción_Ganadera[[#This Row],[Fecha Económico]]=0,0,MONTH(Producción_Ganadera[[#This Row],[Fecha Económico]]))</f>
        <v>0</v>
      </c>
      <c r="AK292" s="885">
        <f>IF(Producción_Ganadera[[#This Row],[Fecha Económico]]=0,0,YEAR(Producción_Ganadera[[#This Row],[Fecha Económico]]))</f>
        <v>0</v>
      </c>
      <c r="AL292" s="889">
        <f>SUMPRODUCT((Producción_Ganadera[[#This Row],[Mes Económico]]=Tipo_Cambio[Mes])*(Producción_Ganadera[[#This Row],[Año Económico]]=Tipo_Cambio[Año])*(Tipo_Cambio[$/U$S]))</f>
        <v>0</v>
      </c>
      <c r="AM292" s="889">
        <f>SUMPRODUCT((Producción_Ganadera[[#This Row],[Mes Económico]]=Tipo_Cambio[Mes])*(Producción_Ganadera[[#This Row],[Año Económico]]=Tipo_Cambio[Año])*(Tipo_Cambio[Actualización]))</f>
        <v>0</v>
      </c>
      <c r="AN292" s="885">
        <f>IF(ISNUMBER(Producción_Ganadera[[#This Row],[Fecha Financiero]])=TRUE,MONTH(Producción_Ganadera[[#This Row],[Fecha Financiero]]),0)</f>
        <v>0</v>
      </c>
      <c r="AO292" s="885">
        <f>IF(ISNUMBER(Producción_Ganadera[[#This Row],[Fecha Financiero]])=TRUE,YEAR(Producción_Ganadera[[#This Row],[Fecha Financiero]]),0)</f>
        <v>0</v>
      </c>
      <c r="AP292" s="889">
        <f>SUMPRODUCT((Producción_Ganadera[[#This Row],[Mes Financiero]]=Tipo_Cambio[Mes])*(Producción_Ganadera[[#This Row],[Año Financiero]]=Tipo_Cambio[Año])*(Tipo_Cambio[$/U$S]))</f>
        <v>0</v>
      </c>
      <c r="AQ292" s="889">
        <f>SUMPRODUCT((Producción_Ganadera[[#This Row],[Mes Financiero]]=Tipo_Cambio[Mes])*(Producción_Ganadera[[#This Row],[Año Financiero]]=Tipo_Cambio[Año])*(Tipo_Cambio[Actualización]))</f>
        <v>0</v>
      </c>
      <c r="AR292" s="919">
        <f>SUMPRODUCT((Producción_Ganadera[[#This Row],[Centro de Costo]]=Tabla19[Centro de Costo])*(Tabla19[Superficie])*(Producción_Ganadera[[#This Row],[Campaña]]=Tabla19[Campaña]))</f>
        <v>0</v>
      </c>
      <c r="AS292" s="918">
        <f>IFERROR(Producción_Ganadera[[#This Row],[Económico $Corrientes]]/Producción_Ganadera[[#This Row],[Superficie]],0)</f>
        <v>0</v>
      </c>
      <c r="AT292" s="918">
        <f>IFERROR(Producción_Ganadera[[#This Row],[Económico $Constantes]]/Producción_Ganadera[[#This Row],[Superficie]],0)</f>
        <v>0</v>
      </c>
      <c r="AU292" s="918">
        <f>IFERROR(Producción_Ganadera[[#This Row],[Económico U$S Dólares]]/Producción_Ganadera[[#This Row],[Superficie]],0)</f>
        <v>0</v>
      </c>
      <c r="AV292" s="916">
        <f>IF(Económico!$F$4=0,0,Producción_Ganadera[[#This Row],[Centro de Costo]])</f>
        <v>0</v>
      </c>
    </row>
    <row r="293" spans="2:48" x14ac:dyDescent="0.25">
      <c r="D293" s="478"/>
      <c r="E293" s="522"/>
      <c r="F293" s="869" t="str">
        <f t="shared" si="16"/>
        <v>2018-2019</v>
      </c>
      <c r="G293" s="491"/>
      <c r="H293" s="491"/>
      <c r="I293" s="491"/>
      <c r="J293" s="549"/>
      <c r="K293" s="491"/>
      <c r="L293" s="520"/>
      <c r="M29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9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93" s="611"/>
      <c r="P293" s="484"/>
      <c r="Q293" s="875">
        <f>IF(ISNUMBER(Producción_Ganadera[[#This Row],[Cabezas]])=TRUE,Producción_Ganadera[[#This Row],[Cabezas]]*Producción_Ganadera[[#This Row],[Cantidad]],Producción_Ganadera[[#This Row],[Cantidad]])</f>
        <v>0</v>
      </c>
      <c r="R293" s="482"/>
      <c r="S293" s="552"/>
      <c r="T293" s="553"/>
      <c r="U29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93" s="881">
        <f>IFERROR(Producción_Ganadera[[#This Row],[Económico $Corrientes]]/Producción_Ganadera[[#This Row],[Indexación Económico]],0)</f>
        <v>0</v>
      </c>
      <c r="W29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9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93" s="881">
        <f>IFERROR(Producción_Ganadera[[#This Row],[Financiero $Corrientes]]/Producción_Ganadera[[#This Row],[Indexación Financiero]],0)</f>
        <v>0</v>
      </c>
      <c r="Z29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9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93" s="885">
        <f>IFERROR(Producción_Ganadera[[#This Row],[Intereses $Corrientes]]/Producción_Ganadera[[#This Row],[Indexación Financiero]],0)</f>
        <v>0</v>
      </c>
      <c r="AC29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93" s="915">
        <f>IFERROR(INDEX(Produccion_Ganadera_Cuentas[],MATCH(Producción_Ganadera[[#This Row],[Cuenta Contable]],Produccion_Ganadera_Cuentas[Cuenta Contable],0),2),0)</f>
        <v>0</v>
      </c>
      <c r="AE293" s="916">
        <f>IF(Producción_Ganadera[[#This Row],[Mov. Stock]]="(+)",Producción_Ganadera[[#This Row],[Cabezas]],IF(Producción_Ganadera[[#This Row],[Mov. Stock]]="(-)",-Producción_Ganadera[[#This Row],[Cabezas]],0))</f>
        <v>0</v>
      </c>
      <c r="AF293" s="917">
        <f>IFERROR(INDEX(Produccion_Ganadera_Cuentas[],MATCH(Producción_Ganadera[[#This Row],[Cuenta Contable]],Produccion_Ganadera_Cuentas[Cuenta Contable],0),5),0)</f>
        <v>0</v>
      </c>
      <c r="AG293" s="918" t="str">
        <f>IF(Producción_Ganadera[[#This Row],[Cuenta Contable]]=Configuración!$AC$9,"Si","No")</f>
        <v>No</v>
      </c>
      <c r="AH293" s="887">
        <f>IFERROR(INDEX(Tabla9[],MATCH(Producción_Ganadera[[#This Row],[Movimiento]],Tabla9[Movimientos],0),2),0)</f>
        <v>0</v>
      </c>
      <c r="AI293" s="888">
        <f>IFERROR(INDEX(Tabla9[],MATCH(Producción_Ganadera[[#This Row],[Movimiento]],Tabla9[Movimientos],0),3),0)</f>
        <v>0</v>
      </c>
      <c r="AJ293" s="885">
        <f>IF(Producción_Ganadera[[#This Row],[Fecha Económico]]=0,0,MONTH(Producción_Ganadera[[#This Row],[Fecha Económico]]))</f>
        <v>0</v>
      </c>
      <c r="AK293" s="885">
        <f>IF(Producción_Ganadera[[#This Row],[Fecha Económico]]=0,0,YEAR(Producción_Ganadera[[#This Row],[Fecha Económico]]))</f>
        <v>0</v>
      </c>
      <c r="AL293" s="889">
        <f>SUMPRODUCT((Producción_Ganadera[[#This Row],[Mes Económico]]=Tipo_Cambio[Mes])*(Producción_Ganadera[[#This Row],[Año Económico]]=Tipo_Cambio[Año])*(Tipo_Cambio[$/U$S]))</f>
        <v>0</v>
      </c>
      <c r="AM293" s="889">
        <f>SUMPRODUCT((Producción_Ganadera[[#This Row],[Mes Económico]]=Tipo_Cambio[Mes])*(Producción_Ganadera[[#This Row],[Año Económico]]=Tipo_Cambio[Año])*(Tipo_Cambio[Actualización]))</f>
        <v>0</v>
      </c>
      <c r="AN293" s="885">
        <f>IF(ISNUMBER(Producción_Ganadera[[#This Row],[Fecha Financiero]])=TRUE,MONTH(Producción_Ganadera[[#This Row],[Fecha Financiero]]),0)</f>
        <v>0</v>
      </c>
      <c r="AO293" s="885">
        <f>IF(ISNUMBER(Producción_Ganadera[[#This Row],[Fecha Financiero]])=TRUE,YEAR(Producción_Ganadera[[#This Row],[Fecha Financiero]]),0)</f>
        <v>0</v>
      </c>
      <c r="AP293" s="889">
        <f>SUMPRODUCT((Producción_Ganadera[[#This Row],[Mes Financiero]]=Tipo_Cambio[Mes])*(Producción_Ganadera[[#This Row],[Año Financiero]]=Tipo_Cambio[Año])*(Tipo_Cambio[$/U$S]))</f>
        <v>0</v>
      </c>
      <c r="AQ293" s="889">
        <f>SUMPRODUCT((Producción_Ganadera[[#This Row],[Mes Financiero]]=Tipo_Cambio[Mes])*(Producción_Ganadera[[#This Row],[Año Financiero]]=Tipo_Cambio[Año])*(Tipo_Cambio[Actualización]))</f>
        <v>0</v>
      </c>
      <c r="AR293" s="919">
        <f>SUMPRODUCT((Producción_Ganadera[[#This Row],[Centro de Costo]]=Tabla19[Centro de Costo])*(Tabla19[Superficie])*(Producción_Ganadera[[#This Row],[Campaña]]=Tabla19[Campaña]))</f>
        <v>0</v>
      </c>
      <c r="AS293" s="918">
        <f>IFERROR(Producción_Ganadera[[#This Row],[Económico $Corrientes]]/Producción_Ganadera[[#This Row],[Superficie]],0)</f>
        <v>0</v>
      </c>
      <c r="AT293" s="918">
        <f>IFERROR(Producción_Ganadera[[#This Row],[Económico $Constantes]]/Producción_Ganadera[[#This Row],[Superficie]],0)</f>
        <v>0</v>
      </c>
      <c r="AU293" s="918">
        <f>IFERROR(Producción_Ganadera[[#This Row],[Económico U$S Dólares]]/Producción_Ganadera[[#This Row],[Superficie]],0)</f>
        <v>0</v>
      </c>
      <c r="AV293" s="916">
        <f>IF(Económico!$F$4=0,0,Producción_Ganadera[[#This Row],[Centro de Costo]])</f>
        <v>0</v>
      </c>
    </row>
    <row r="294" spans="2:48" x14ac:dyDescent="0.25">
      <c r="D294" s="478"/>
      <c r="E294" s="522"/>
      <c r="F294" s="869" t="str">
        <f t="shared" si="16"/>
        <v>2018-2019</v>
      </c>
      <c r="G294" s="491"/>
      <c r="H294" s="491"/>
      <c r="I294" s="491"/>
      <c r="J294" s="549"/>
      <c r="K294" s="491"/>
      <c r="L294" s="520"/>
      <c r="M29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9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94" s="611"/>
      <c r="P294" s="484"/>
      <c r="Q294" s="875">
        <f>IF(ISNUMBER(Producción_Ganadera[[#This Row],[Cabezas]])=TRUE,Producción_Ganadera[[#This Row],[Cabezas]]*Producción_Ganadera[[#This Row],[Cantidad]],Producción_Ganadera[[#This Row],[Cantidad]])</f>
        <v>0</v>
      </c>
      <c r="R294" s="482"/>
      <c r="S294" s="552"/>
      <c r="T294" s="553"/>
      <c r="U29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94" s="881">
        <f>IFERROR(Producción_Ganadera[[#This Row],[Económico $Corrientes]]/Producción_Ganadera[[#This Row],[Indexación Económico]],0)</f>
        <v>0</v>
      </c>
      <c r="W29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9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94" s="881">
        <f>IFERROR(Producción_Ganadera[[#This Row],[Financiero $Corrientes]]/Producción_Ganadera[[#This Row],[Indexación Financiero]],0)</f>
        <v>0</v>
      </c>
      <c r="Z29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9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94" s="885">
        <f>IFERROR(Producción_Ganadera[[#This Row],[Intereses $Corrientes]]/Producción_Ganadera[[#This Row],[Indexación Financiero]],0)</f>
        <v>0</v>
      </c>
      <c r="AC29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94" s="915">
        <f>IFERROR(INDEX(Produccion_Ganadera_Cuentas[],MATCH(Producción_Ganadera[[#This Row],[Cuenta Contable]],Produccion_Ganadera_Cuentas[Cuenta Contable],0),2),0)</f>
        <v>0</v>
      </c>
      <c r="AE294" s="916">
        <f>IF(Producción_Ganadera[[#This Row],[Mov. Stock]]="(+)",Producción_Ganadera[[#This Row],[Cabezas]],IF(Producción_Ganadera[[#This Row],[Mov. Stock]]="(-)",-Producción_Ganadera[[#This Row],[Cabezas]],0))</f>
        <v>0</v>
      </c>
      <c r="AF294" s="917">
        <f>IFERROR(INDEX(Produccion_Ganadera_Cuentas[],MATCH(Producción_Ganadera[[#This Row],[Cuenta Contable]],Produccion_Ganadera_Cuentas[Cuenta Contable],0),5),0)</f>
        <v>0</v>
      </c>
      <c r="AG294" s="918" t="str">
        <f>IF(Producción_Ganadera[[#This Row],[Cuenta Contable]]=Configuración!$AC$9,"Si","No")</f>
        <v>No</v>
      </c>
      <c r="AH294" s="887">
        <f>IFERROR(INDEX(Tabla9[],MATCH(Producción_Ganadera[[#This Row],[Movimiento]],Tabla9[Movimientos],0),2),0)</f>
        <v>0</v>
      </c>
      <c r="AI294" s="888">
        <f>IFERROR(INDEX(Tabla9[],MATCH(Producción_Ganadera[[#This Row],[Movimiento]],Tabla9[Movimientos],0),3),0)</f>
        <v>0</v>
      </c>
      <c r="AJ294" s="885">
        <f>IF(Producción_Ganadera[[#This Row],[Fecha Económico]]=0,0,MONTH(Producción_Ganadera[[#This Row],[Fecha Económico]]))</f>
        <v>0</v>
      </c>
      <c r="AK294" s="885">
        <f>IF(Producción_Ganadera[[#This Row],[Fecha Económico]]=0,0,YEAR(Producción_Ganadera[[#This Row],[Fecha Económico]]))</f>
        <v>0</v>
      </c>
      <c r="AL294" s="889">
        <f>SUMPRODUCT((Producción_Ganadera[[#This Row],[Mes Económico]]=Tipo_Cambio[Mes])*(Producción_Ganadera[[#This Row],[Año Económico]]=Tipo_Cambio[Año])*(Tipo_Cambio[$/U$S]))</f>
        <v>0</v>
      </c>
      <c r="AM294" s="889">
        <f>SUMPRODUCT((Producción_Ganadera[[#This Row],[Mes Económico]]=Tipo_Cambio[Mes])*(Producción_Ganadera[[#This Row],[Año Económico]]=Tipo_Cambio[Año])*(Tipo_Cambio[Actualización]))</f>
        <v>0</v>
      </c>
      <c r="AN294" s="885">
        <f>IF(ISNUMBER(Producción_Ganadera[[#This Row],[Fecha Financiero]])=TRUE,MONTH(Producción_Ganadera[[#This Row],[Fecha Financiero]]),0)</f>
        <v>0</v>
      </c>
      <c r="AO294" s="885">
        <f>IF(ISNUMBER(Producción_Ganadera[[#This Row],[Fecha Financiero]])=TRUE,YEAR(Producción_Ganadera[[#This Row],[Fecha Financiero]]),0)</f>
        <v>0</v>
      </c>
      <c r="AP294" s="889">
        <f>SUMPRODUCT((Producción_Ganadera[[#This Row],[Mes Financiero]]=Tipo_Cambio[Mes])*(Producción_Ganadera[[#This Row],[Año Financiero]]=Tipo_Cambio[Año])*(Tipo_Cambio[$/U$S]))</f>
        <v>0</v>
      </c>
      <c r="AQ294" s="889">
        <f>SUMPRODUCT((Producción_Ganadera[[#This Row],[Mes Financiero]]=Tipo_Cambio[Mes])*(Producción_Ganadera[[#This Row],[Año Financiero]]=Tipo_Cambio[Año])*(Tipo_Cambio[Actualización]))</f>
        <v>0</v>
      </c>
      <c r="AR294" s="919">
        <f>SUMPRODUCT((Producción_Ganadera[[#This Row],[Centro de Costo]]=Tabla19[Centro de Costo])*(Tabla19[Superficie])*(Producción_Ganadera[[#This Row],[Campaña]]=Tabla19[Campaña]))</f>
        <v>0</v>
      </c>
      <c r="AS294" s="918">
        <f>IFERROR(Producción_Ganadera[[#This Row],[Económico $Corrientes]]/Producción_Ganadera[[#This Row],[Superficie]],0)</f>
        <v>0</v>
      </c>
      <c r="AT294" s="918">
        <f>IFERROR(Producción_Ganadera[[#This Row],[Económico $Constantes]]/Producción_Ganadera[[#This Row],[Superficie]],0)</f>
        <v>0</v>
      </c>
      <c r="AU294" s="918">
        <f>IFERROR(Producción_Ganadera[[#This Row],[Económico U$S Dólares]]/Producción_Ganadera[[#This Row],[Superficie]],0)</f>
        <v>0</v>
      </c>
      <c r="AV294" s="916">
        <f>IF(Económico!$F$4=0,0,Producción_Ganadera[[#This Row],[Centro de Costo]])</f>
        <v>0</v>
      </c>
    </row>
    <row r="295" spans="2:48" x14ac:dyDescent="0.25">
      <c r="D295" s="478"/>
      <c r="E295" s="522"/>
      <c r="F295" s="869" t="str">
        <f t="shared" ref="F295:F310" si="18">Campaña_Actual</f>
        <v>2018-2019</v>
      </c>
      <c r="G295" s="491"/>
      <c r="H295" s="491"/>
      <c r="I295" s="491"/>
      <c r="J295" s="549"/>
      <c r="K295" s="491"/>
      <c r="L295" s="520"/>
      <c r="M29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9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95" s="611"/>
      <c r="P295" s="484"/>
      <c r="Q295" s="875">
        <f>IF(ISNUMBER(Producción_Ganadera[[#This Row],[Cabezas]])=TRUE,Producción_Ganadera[[#This Row],[Cabezas]]*Producción_Ganadera[[#This Row],[Cantidad]],Producción_Ganadera[[#This Row],[Cantidad]])</f>
        <v>0</v>
      </c>
      <c r="R295" s="482"/>
      <c r="S295" s="552"/>
      <c r="T295" s="553"/>
      <c r="U29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95" s="881">
        <f>IFERROR(Producción_Ganadera[[#This Row],[Económico $Corrientes]]/Producción_Ganadera[[#This Row],[Indexación Económico]],0)</f>
        <v>0</v>
      </c>
      <c r="W29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9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95" s="881">
        <f>IFERROR(Producción_Ganadera[[#This Row],[Financiero $Corrientes]]/Producción_Ganadera[[#This Row],[Indexación Financiero]],0)</f>
        <v>0</v>
      </c>
      <c r="Z29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9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95" s="885">
        <f>IFERROR(Producción_Ganadera[[#This Row],[Intereses $Corrientes]]/Producción_Ganadera[[#This Row],[Indexación Financiero]],0)</f>
        <v>0</v>
      </c>
      <c r="AC29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95" s="915">
        <f>IFERROR(INDEX(Produccion_Ganadera_Cuentas[],MATCH(Producción_Ganadera[[#This Row],[Cuenta Contable]],Produccion_Ganadera_Cuentas[Cuenta Contable],0),2),0)</f>
        <v>0</v>
      </c>
      <c r="AE295" s="916">
        <f>IF(Producción_Ganadera[[#This Row],[Mov. Stock]]="(+)",Producción_Ganadera[[#This Row],[Cabezas]],IF(Producción_Ganadera[[#This Row],[Mov. Stock]]="(-)",-Producción_Ganadera[[#This Row],[Cabezas]],0))</f>
        <v>0</v>
      </c>
      <c r="AF295" s="917">
        <f>IFERROR(INDEX(Produccion_Ganadera_Cuentas[],MATCH(Producción_Ganadera[[#This Row],[Cuenta Contable]],Produccion_Ganadera_Cuentas[Cuenta Contable],0),5),0)</f>
        <v>0</v>
      </c>
      <c r="AG295" s="918" t="str">
        <f>IF(Producción_Ganadera[[#This Row],[Cuenta Contable]]=Configuración!$AC$9,"Si","No")</f>
        <v>No</v>
      </c>
      <c r="AH295" s="887">
        <f>IFERROR(INDEX(Tabla9[],MATCH(Producción_Ganadera[[#This Row],[Movimiento]],Tabla9[Movimientos],0),2),0)</f>
        <v>0</v>
      </c>
      <c r="AI295" s="888">
        <f>IFERROR(INDEX(Tabla9[],MATCH(Producción_Ganadera[[#This Row],[Movimiento]],Tabla9[Movimientos],0),3),0)</f>
        <v>0</v>
      </c>
      <c r="AJ295" s="885">
        <f>IF(Producción_Ganadera[[#This Row],[Fecha Económico]]=0,0,MONTH(Producción_Ganadera[[#This Row],[Fecha Económico]]))</f>
        <v>0</v>
      </c>
      <c r="AK295" s="885">
        <f>IF(Producción_Ganadera[[#This Row],[Fecha Económico]]=0,0,YEAR(Producción_Ganadera[[#This Row],[Fecha Económico]]))</f>
        <v>0</v>
      </c>
      <c r="AL295" s="889">
        <f>SUMPRODUCT((Producción_Ganadera[[#This Row],[Mes Económico]]=Tipo_Cambio[Mes])*(Producción_Ganadera[[#This Row],[Año Económico]]=Tipo_Cambio[Año])*(Tipo_Cambio[$/U$S]))</f>
        <v>0</v>
      </c>
      <c r="AM295" s="889">
        <f>SUMPRODUCT((Producción_Ganadera[[#This Row],[Mes Económico]]=Tipo_Cambio[Mes])*(Producción_Ganadera[[#This Row],[Año Económico]]=Tipo_Cambio[Año])*(Tipo_Cambio[Actualización]))</f>
        <v>0</v>
      </c>
      <c r="AN295" s="885">
        <f>IF(ISNUMBER(Producción_Ganadera[[#This Row],[Fecha Financiero]])=TRUE,MONTH(Producción_Ganadera[[#This Row],[Fecha Financiero]]),0)</f>
        <v>0</v>
      </c>
      <c r="AO295" s="885">
        <f>IF(ISNUMBER(Producción_Ganadera[[#This Row],[Fecha Financiero]])=TRUE,YEAR(Producción_Ganadera[[#This Row],[Fecha Financiero]]),0)</f>
        <v>0</v>
      </c>
      <c r="AP295" s="889">
        <f>SUMPRODUCT((Producción_Ganadera[[#This Row],[Mes Financiero]]=Tipo_Cambio[Mes])*(Producción_Ganadera[[#This Row],[Año Financiero]]=Tipo_Cambio[Año])*(Tipo_Cambio[$/U$S]))</f>
        <v>0</v>
      </c>
      <c r="AQ295" s="889">
        <f>SUMPRODUCT((Producción_Ganadera[[#This Row],[Mes Financiero]]=Tipo_Cambio[Mes])*(Producción_Ganadera[[#This Row],[Año Financiero]]=Tipo_Cambio[Año])*(Tipo_Cambio[Actualización]))</f>
        <v>0</v>
      </c>
      <c r="AR295" s="919">
        <f>SUMPRODUCT((Producción_Ganadera[[#This Row],[Centro de Costo]]=Tabla19[Centro de Costo])*(Tabla19[Superficie])*(Producción_Ganadera[[#This Row],[Campaña]]=Tabla19[Campaña]))</f>
        <v>0</v>
      </c>
      <c r="AS295" s="918">
        <f>IFERROR(Producción_Ganadera[[#This Row],[Económico $Corrientes]]/Producción_Ganadera[[#This Row],[Superficie]],0)</f>
        <v>0</v>
      </c>
      <c r="AT295" s="918">
        <f>IFERROR(Producción_Ganadera[[#This Row],[Económico $Constantes]]/Producción_Ganadera[[#This Row],[Superficie]],0)</f>
        <v>0</v>
      </c>
      <c r="AU295" s="918">
        <f>IFERROR(Producción_Ganadera[[#This Row],[Económico U$S Dólares]]/Producción_Ganadera[[#This Row],[Superficie]],0)</f>
        <v>0</v>
      </c>
      <c r="AV295" s="916">
        <f>IF(Económico!$F$4=0,0,Producción_Ganadera[[#This Row],[Centro de Costo]])</f>
        <v>0</v>
      </c>
    </row>
    <row r="296" spans="2:48" ht="15.75" thickBot="1" x14ac:dyDescent="0.3">
      <c r="B296" s="373" t="s">
        <v>101</v>
      </c>
      <c r="D296" s="478"/>
      <c r="E296" s="522"/>
      <c r="F296" s="869" t="str">
        <f t="shared" si="18"/>
        <v>2018-2019</v>
      </c>
      <c r="G296" s="491"/>
      <c r="H296" s="491"/>
      <c r="I296" s="491"/>
      <c r="J296" s="549"/>
      <c r="K296" s="491"/>
      <c r="L296" s="520"/>
      <c r="M29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9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96" s="611"/>
      <c r="P296" s="484"/>
      <c r="Q296" s="875">
        <f>IF(ISNUMBER(Producción_Ganadera[[#This Row],[Cabezas]])=TRUE,Producción_Ganadera[[#This Row],[Cabezas]]*Producción_Ganadera[[#This Row],[Cantidad]],Producción_Ganadera[[#This Row],[Cantidad]])</f>
        <v>0</v>
      </c>
      <c r="R296" s="482"/>
      <c r="S296" s="552"/>
      <c r="T296" s="553"/>
      <c r="U29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96" s="881">
        <f>IFERROR(Producción_Ganadera[[#This Row],[Económico $Corrientes]]/Producción_Ganadera[[#This Row],[Indexación Económico]],0)</f>
        <v>0</v>
      </c>
      <c r="W29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9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96" s="881">
        <f>IFERROR(Producción_Ganadera[[#This Row],[Financiero $Corrientes]]/Producción_Ganadera[[#This Row],[Indexación Financiero]],0)</f>
        <v>0</v>
      </c>
      <c r="Z29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9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96" s="885">
        <f>IFERROR(Producción_Ganadera[[#This Row],[Intereses $Corrientes]]/Producción_Ganadera[[#This Row],[Indexación Financiero]],0)</f>
        <v>0</v>
      </c>
      <c r="AC29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96" s="915">
        <f>IFERROR(INDEX(Produccion_Ganadera_Cuentas[],MATCH(Producción_Ganadera[[#This Row],[Cuenta Contable]],Produccion_Ganadera_Cuentas[Cuenta Contable],0),2),0)</f>
        <v>0</v>
      </c>
      <c r="AE296" s="916">
        <f>IF(Producción_Ganadera[[#This Row],[Mov. Stock]]="(+)",Producción_Ganadera[[#This Row],[Cabezas]],IF(Producción_Ganadera[[#This Row],[Mov. Stock]]="(-)",-Producción_Ganadera[[#This Row],[Cabezas]],0))</f>
        <v>0</v>
      </c>
      <c r="AF296" s="917">
        <f>IFERROR(INDEX(Produccion_Ganadera_Cuentas[],MATCH(Producción_Ganadera[[#This Row],[Cuenta Contable]],Produccion_Ganadera_Cuentas[Cuenta Contable],0),5),0)</f>
        <v>0</v>
      </c>
      <c r="AG296" s="918" t="str">
        <f>IF(Producción_Ganadera[[#This Row],[Cuenta Contable]]=Configuración!$AC$9,"Si","No")</f>
        <v>No</v>
      </c>
      <c r="AH296" s="887">
        <f>IFERROR(INDEX(Tabla9[],MATCH(Producción_Ganadera[[#This Row],[Movimiento]],Tabla9[Movimientos],0),2),0)</f>
        <v>0</v>
      </c>
      <c r="AI296" s="888">
        <f>IFERROR(INDEX(Tabla9[],MATCH(Producción_Ganadera[[#This Row],[Movimiento]],Tabla9[Movimientos],0),3),0)</f>
        <v>0</v>
      </c>
      <c r="AJ296" s="885">
        <f>IF(Producción_Ganadera[[#This Row],[Fecha Económico]]=0,0,MONTH(Producción_Ganadera[[#This Row],[Fecha Económico]]))</f>
        <v>0</v>
      </c>
      <c r="AK296" s="885">
        <f>IF(Producción_Ganadera[[#This Row],[Fecha Económico]]=0,0,YEAR(Producción_Ganadera[[#This Row],[Fecha Económico]]))</f>
        <v>0</v>
      </c>
      <c r="AL296" s="889">
        <f>SUMPRODUCT((Producción_Ganadera[[#This Row],[Mes Económico]]=Tipo_Cambio[Mes])*(Producción_Ganadera[[#This Row],[Año Económico]]=Tipo_Cambio[Año])*(Tipo_Cambio[$/U$S]))</f>
        <v>0</v>
      </c>
      <c r="AM296" s="889">
        <f>SUMPRODUCT((Producción_Ganadera[[#This Row],[Mes Económico]]=Tipo_Cambio[Mes])*(Producción_Ganadera[[#This Row],[Año Económico]]=Tipo_Cambio[Año])*(Tipo_Cambio[Actualización]))</f>
        <v>0</v>
      </c>
      <c r="AN296" s="885">
        <f>IF(ISNUMBER(Producción_Ganadera[[#This Row],[Fecha Financiero]])=TRUE,MONTH(Producción_Ganadera[[#This Row],[Fecha Financiero]]),0)</f>
        <v>0</v>
      </c>
      <c r="AO296" s="885">
        <f>IF(ISNUMBER(Producción_Ganadera[[#This Row],[Fecha Financiero]])=TRUE,YEAR(Producción_Ganadera[[#This Row],[Fecha Financiero]]),0)</f>
        <v>0</v>
      </c>
      <c r="AP296" s="889">
        <f>SUMPRODUCT((Producción_Ganadera[[#This Row],[Mes Financiero]]=Tipo_Cambio[Mes])*(Producción_Ganadera[[#This Row],[Año Financiero]]=Tipo_Cambio[Año])*(Tipo_Cambio[$/U$S]))</f>
        <v>0</v>
      </c>
      <c r="AQ296" s="889">
        <f>SUMPRODUCT((Producción_Ganadera[[#This Row],[Mes Financiero]]=Tipo_Cambio[Mes])*(Producción_Ganadera[[#This Row],[Año Financiero]]=Tipo_Cambio[Año])*(Tipo_Cambio[Actualización]))</f>
        <v>0</v>
      </c>
      <c r="AR296" s="919">
        <f>SUMPRODUCT((Producción_Ganadera[[#This Row],[Centro de Costo]]=Tabla19[Centro de Costo])*(Tabla19[Superficie])*(Producción_Ganadera[[#This Row],[Campaña]]=Tabla19[Campaña]))</f>
        <v>0</v>
      </c>
      <c r="AS296" s="918">
        <f>IFERROR(Producción_Ganadera[[#This Row],[Económico $Corrientes]]/Producción_Ganadera[[#This Row],[Superficie]],0)</f>
        <v>0</v>
      </c>
      <c r="AT296" s="918">
        <f>IFERROR(Producción_Ganadera[[#This Row],[Económico $Constantes]]/Producción_Ganadera[[#This Row],[Superficie]],0)</f>
        <v>0</v>
      </c>
      <c r="AU296" s="918">
        <f>IFERROR(Producción_Ganadera[[#This Row],[Económico U$S Dólares]]/Producción_Ganadera[[#This Row],[Superficie]],0)</f>
        <v>0</v>
      </c>
      <c r="AV296" s="916">
        <f>IF(Económico!$F$4=0,0,Producción_Ganadera[[#This Row],[Centro de Costo]])</f>
        <v>0</v>
      </c>
    </row>
    <row r="297" spans="2:48" ht="15.75" thickTop="1" x14ac:dyDescent="0.25">
      <c r="B297" s="1136" t="s">
        <v>474</v>
      </c>
      <c r="D297" s="614"/>
      <c r="E297" s="615"/>
      <c r="F297" s="871" t="str">
        <f t="shared" si="18"/>
        <v>2018-2019</v>
      </c>
      <c r="G297" s="616" t="str">
        <f t="shared" ref="G297:G310" si="19">GAN_Amortizaciones</f>
        <v>Amortizaciones</v>
      </c>
      <c r="H297" s="616"/>
      <c r="I297" s="616"/>
      <c r="J297" s="617"/>
      <c r="K297" s="616"/>
      <c r="L297" s="618"/>
      <c r="M297" s="61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97" s="871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97" s="620"/>
      <c r="P297" s="621"/>
      <c r="Q297" s="878">
        <f>IF(ISNUMBER(Producción_Ganadera[[#This Row],[Cabezas]])=TRUE,Producción_Ganadera[[#This Row],[Cabezas]]*Producción_Ganadera[[#This Row],[Cantidad]],Producción_Ganadera[[#This Row],[Cantidad]])</f>
        <v>0</v>
      </c>
      <c r="R297" s="622"/>
      <c r="S297" s="623"/>
      <c r="T297" s="624"/>
      <c r="U297" s="927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97" s="928">
        <f>IFERROR(Producción_Ganadera[[#This Row],[Económico $Corrientes]]/Producción_Ganadera[[#This Row],[Indexación Económico]],0)</f>
        <v>0</v>
      </c>
      <c r="W297" s="929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97" s="927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97" s="928">
        <f>IFERROR(Producción_Ganadera[[#This Row],[Financiero $Corrientes]]/Producción_Ganadera[[#This Row],[Indexación Financiero]],0)</f>
        <v>0</v>
      </c>
      <c r="Z297" s="930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97" s="931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97" s="932">
        <f>IFERROR(Producción_Ganadera[[#This Row],[Intereses $Corrientes]]/Producción_Ganadera[[#This Row],[Indexación Financiero]],0)</f>
        <v>0</v>
      </c>
      <c r="AC297" s="932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97" s="933" t="str">
        <f>IFERROR(INDEX(Produccion_Ganadera_Cuentas[],MATCH(Producción_Ganadera[[#This Row],[Cuenta Contable]],Produccion_Ganadera_Cuentas[Cuenta Contable],0),2),0)</f>
        <v>Amortización</v>
      </c>
      <c r="AE297" s="934">
        <f>IF(Producción_Ganadera[[#This Row],[Mov. Stock]]="(+)",Producción_Ganadera[[#This Row],[Cabezas]],IF(Producción_Ganadera[[#This Row],[Mov. Stock]]="(-)",-Producción_Ganadera[[#This Row],[Cabezas]],0))</f>
        <v>0</v>
      </c>
      <c r="AF297" s="935">
        <f>IFERROR(INDEX(Produccion_Ganadera_Cuentas[],MATCH(Producción_Ganadera[[#This Row],[Cuenta Contable]],Produccion_Ganadera_Cuentas[Cuenta Contable],0),5),0)</f>
        <v>0</v>
      </c>
      <c r="AG297" s="936" t="str">
        <f>IF(Producción_Ganadera[[#This Row],[Cuenta Contable]]=Configuración!$AC$9,"Si","No")</f>
        <v>No</v>
      </c>
      <c r="AH297" s="937" t="str">
        <f>IFERROR(INDEX(Tabla9[],MATCH(Producción_Ganadera[[#This Row],[Movimiento]],Tabla9[Movimientos],0),2),0)</f>
        <v>No</v>
      </c>
      <c r="AI297" s="938" t="str">
        <f>IFERROR(INDEX(Tabla9[],MATCH(Producción_Ganadera[[#This Row],[Movimiento]],Tabla9[Movimientos],0),3),0)</f>
        <v>(-)</v>
      </c>
      <c r="AJ297" s="932">
        <f>IF(Producción_Ganadera[[#This Row],[Fecha Económico]]=0,0,MONTH(Producción_Ganadera[[#This Row],[Fecha Económico]]))</f>
        <v>0</v>
      </c>
      <c r="AK297" s="932">
        <f>IF(Producción_Ganadera[[#This Row],[Fecha Económico]]=0,0,YEAR(Producción_Ganadera[[#This Row],[Fecha Económico]]))</f>
        <v>0</v>
      </c>
      <c r="AL297" s="939">
        <f>SUMPRODUCT((Producción_Ganadera[[#This Row],[Mes Económico]]=Tipo_Cambio[Mes])*(Producción_Ganadera[[#This Row],[Año Económico]]=Tipo_Cambio[Año])*(Tipo_Cambio[$/U$S]))</f>
        <v>0</v>
      </c>
      <c r="AM297" s="939">
        <f>SUMPRODUCT((Producción_Ganadera[[#This Row],[Mes Económico]]=Tipo_Cambio[Mes])*(Producción_Ganadera[[#This Row],[Año Económico]]=Tipo_Cambio[Año])*(Tipo_Cambio[Actualización]))</f>
        <v>0</v>
      </c>
      <c r="AN297" s="932">
        <f>IF(ISNUMBER(Producción_Ganadera[[#This Row],[Fecha Financiero]])=TRUE,MONTH(Producción_Ganadera[[#This Row],[Fecha Financiero]]),0)</f>
        <v>0</v>
      </c>
      <c r="AO297" s="932">
        <f>IF(ISNUMBER(Producción_Ganadera[[#This Row],[Fecha Financiero]])=TRUE,YEAR(Producción_Ganadera[[#This Row],[Fecha Financiero]]),0)</f>
        <v>0</v>
      </c>
      <c r="AP297" s="939">
        <f>SUMPRODUCT((Producción_Ganadera[[#This Row],[Mes Financiero]]=Tipo_Cambio[Mes])*(Producción_Ganadera[[#This Row],[Año Financiero]]=Tipo_Cambio[Año])*(Tipo_Cambio[$/U$S]))</f>
        <v>0</v>
      </c>
      <c r="AQ297" s="939">
        <f>SUMPRODUCT((Producción_Ganadera[[#This Row],[Mes Financiero]]=Tipo_Cambio[Mes])*(Producción_Ganadera[[#This Row],[Año Financiero]]=Tipo_Cambio[Año])*(Tipo_Cambio[Actualización]))</f>
        <v>0</v>
      </c>
      <c r="AR297" s="940">
        <f>SUMPRODUCT((Producción_Ganadera[[#This Row],[Centro de Costo]]=Tabla19[Centro de Costo])*(Tabla19[Superficie])*(Producción_Ganadera[[#This Row],[Campaña]]=Tabla19[Campaña]))</f>
        <v>0</v>
      </c>
      <c r="AS297" s="936">
        <f>IFERROR(Producción_Ganadera[[#This Row],[Económico $Corrientes]]/Producción_Ganadera[[#This Row],[Superficie]],0)</f>
        <v>0</v>
      </c>
      <c r="AT297" s="936">
        <f>IFERROR(Producción_Ganadera[[#This Row],[Económico $Constantes]]/Producción_Ganadera[[#This Row],[Superficie]],0)</f>
        <v>0</v>
      </c>
      <c r="AU297" s="936">
        <f>IFERROR(Producción_Ganadera[[#This Row],[Económico U$S Dólares]]/Producción_Ganadera[[#This Row],[Superficie]],0)</f>
        <v>0</v>
      </c>
      <c r="AV297" s="934">
        <f>IF(Económico!$F$4=0,0,Producción_Ganadera[[#This Row],[Centro de Costo]])</f>
        <v>0</v>
      </c>
    </row>
    <row r="298" spans="2:48" x14ac:dyDescent="0.25">
      <c r="B298" s="1136"/>
      <c r="D298" s="478"/>
      <c r="E298" s="522"/>
      <c r="F298" s="869" t="str">
        <f t="shared" si="18"/>
        <v>2018-2019</v>
      </c>
      <c r="G298" s="491" t="str">
        <f t="shared" si="19"/>
        <v>Amortizaciones</v>
      </c>
      <c r="H298" s="491"/>
      <c r="I298" s="491"/>
      <c r="J298" s="549"/>
      <c r="K298" s="491"/>
      <c r="L298" s="520"/>
      <c r="M29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9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98" s="611"/>
      <c r="P298" s="484"/>
      <c r="Q298" s="875">
        <f>IF(ISNUMBER(Producción_Ganadera[[#This Row],[Cabezas]])=TRUE,Producción_Ganadera[[#This Row],[Cabezas]]*Producción_Ganadera[[#This Row],[Cantidad]],Producción_Ganadera[[#This Row],[Cantidad]])</f>
        <v>0</v>
      </c>
      <c r="R298" s="482"/>
      <c r="S298" s="552"/>
      <c r="T298" s="553"/>
      <c r="U29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98" s="881">
        <f>IFERROR(Producción_Ganadera[[#This Row],[Económico $Corrientes]]/Producción_Ganadera[[#This Row],[Indexación Económico]],0)</f>
        <v>0</v>
      </c>
      <c r="W29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9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98" s="881">
        <f>IFERROR(Producción_Ganadera[[#This Row],[Financiero $Corrientes]]/Producción_Ganadera[[#This Row],[Indexación Financiero]],0)</f>
        <v>0</v>
      </c>
      <c r="Z29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9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98" s="885">
        <f>IFERROR(Producción_Ganadera[[#This Row],[Intereses $Corrientes]]/Producción_Ganadera[[#This Row],[Indexación Financiero]],0)</f>
        <v>0</v>
      </c>
      <c r="AC29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98" s="915" t="str">
        <f>IFERROR(INDEX(Produccion_Ganadera_Cuentas[],MATCH(Producción_Ganadera[[#This Row],[Cuenta Contable]],Produccion_Ganadera_Cuentas[Cuenta Contable],0),2),0)</f>
        <v>Amortización</v>
      </c>
      <c r="AE298" s="916">
        <f>IF(Producción_Ganadera[[#This Row],[Mov. Stock]]="(+)",Producción_Ganadera[[#This Row],[Cabezas]],IF(Producción_Ganadera[[#This Row],[Mov. Stock]]="(-)",-Producción_Ganadera[[#This Row],[Cabezas]],0))</f>
        <v>0</v>
      </c>
      <c r="AF298" s="917">
        <f>IFERROR(INDEX(Produccion_Ganadera_Cuentas[],MATCH(Producción_Ganadera[[#This Row],[Cuenta Contable]],Produccion_Ganadera_Cuentas[Cuenta Contable],0),5),0)</f>
        <v>0</v>
      </c>
      <c r="AG298" s="918" t="str">
        <f>IF(Producción_Ganadera[[#This Row],[Cuenta Contable]]=Configuración!$AC$9,"Si","No")</f>
        <v>No</v>
      </c>
      <c r="AH298" s="887" t="str">
        <f>IFERROR(INDEX(Tabla9[],MATCH(Producción_Ganadera[[#This Row],[Movimiento]],Tabla9[Movimientos],0),2),0)</f>
        <v>No</v>
      </c>
      <c r="AI298" s="888" t="str">
        <f>IFERROR(INDEX(Tabla9[],MATCH(Producción_Ganadera[[#This Row],[Movimiento]],Tabla9[Movimientos],0),3),0)</f>
        <v>(-)</v>
      </c>
      <c r="AJ298" s="885">
        <f>IF(Producción_Ganadera[[#This Row],[Fecha Económico]]=0,0,MONTH(Producción_Ganadera[[#This Row],[Fecha Económico]]))</f>
        <v>0</v>
      </c>
      <c r="AK298" s="885">
        <f>IF(Producción_Ganadera[[#This Row],[Fecha Económico]]=0,0,YEAR(Producción_Ganadera[[#This Row],[Fecha Económico]]))</f>
        <v>0</v>
      </c>
      <c r="AL298" s="889">
        <f>SUMPRODUCT((Producción_Ganadera[[#This Row],[Mes Económico]]=Tipo_Cambio[Mes])*(Producción_Ganadera[[#This Row],[Año Económico]]=Tipo_Cambio[Año])*(Tipo_Cambio[$/U$S]))</f>
        <v>0</v>
      </c>
      <c r="AM298" s="889">
        <f>SUMPRODUCT((Producción_Ganadera[[#This Row],[Mes Económico]]=Tipo_Cambio[Mes])*(Producción_Ganadera[[#This Row],[Año Económico]]=Tipo_Cambio[Año])*(Tipo_Cambio[Actualización]))</f>
        <v>0</v>
      </c>
      <c r="AN298" s="885">
        <f>IF(ISNUMBER(Producción_Ganadera[[#This Row],[Fecha Financiero]])=TRUE,MONTH(Producción_Ganadera[[#This Row],[Fecha Financiero]]),0)</f>
        <v>0</v>
      </c>
      <c r="AO298" s="885">
        <f>IF(ISNUMBER(Producción_Ganadera[[#This Row],[Fecha Financiero]])=TRUE,YEAR(Producción_Ganadera[[#This Row],[Fecha Financiero]]),0)</f>
        <v>0</v>
      </c>
      <c r="AP298" s="889">
        <f>SUMPRODUCT((Producción_Ganadera[[#This Row],[Mes Financiero]]=Tipo_Cambio[Mes])*(Producción_Ganadera[[#This Row],[Año Financiero]]=Tipo_Cambio[Año])*(Tipo_Cambio[$/U$S]))</f>
        <v>0</v>
      </c>
      <c r="AQ298" s="889">
        <f>SUMPRODUCT((Producción_Ganadera[[#This Row],[Mes Financiero]]=Tipo_Cambio[Mes])*(Producción_Ganadera[[#This Row],[Año Financiero]]=Tipo_Cambio[Año])*(Tipo_Cambio[Actualización]))</f>
        <v>0</v>
      </c>
      <c r="AR298" s="919">
        <f>SUMPRODUCT((Producción_Ganadera[[#This Row],[Centro de Costo]]=Tabla19[Centro de Costo])*(Tabla19[Superficie])*(Producción_Ganadera[[#This Row],[Campaña]]=Tabla19[Campaña]))</f>
        <v>0</v>
      </c>
      <c r="AS298" s="918">
        <f>IFERROR(Producción_Ganadera[[#This Row],[Económico $Corrientes]]/Producción_Ganadera[[#This Row],[Superficie]],0)</f>
        <v>0</v>
      </c>
      <c r="AT298" s="918">
        <f>IFERROR(Producción_Ganadera[[#This Row],[Económico $Constantes]]/Producción_Ganadera[[#This Row],[Superficie]],0)</f>
        <v>0</v>
      </c>
      <c r="AU298" s="918">
        <f>IFERROR(Producción_Ganadera[[#This Row],[Económico U$S Dólares]]/Producción_Ganadera[[#This Row],[Superficie]],0)</f>
        <v>0</v>
      </c>
      <c r="AV298" s="916">
        <f>IF(Económico!$F$4=0,0,Producción_Ganadera[[#This Row],[Centro de Costo]])</f>
        <v>0</v>
      </c>
    </row>
    <row r="299" spans="2:48" x14ac:dyDescent="0.25">
      <c r="B299" s="1136"/>
      <c r="D299" s="478"/>
      <c r="E299" s="522"/>
      <c r="F299" s="869" t="str">
        <f t="shared" si="18"/>
        <v>2018-2019</v>
      </c>
      <c r="G299" s="491" t="str">
        <f t="shared" si="19"/>
        <v>Amortizaciones</v>
      </c>
      <c r="H299" s="491"/>
      <c r="I299" s="491"/>
      <c r="J299" s="549"/>
      <c r="K299" s="491"/>
      <c r="L299" s="520"/>
      <c r="M29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29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299" s="611"/>
      <c r="P299" s="484"/>
      <c r="Q299" s="875">
        <f>IF(ISNUMBER(Producción_Ganadera[[#This Row],[Cabezas]])=TRUE,Producción_Ganadera[[#This Row],[Cabezas]]*Producción_Ganadera[[#This Row],[Cantidad]],Producción_Ganadera[[#This Row],[Cantidad]])</f>
        <v>0</v>
      </c>
      <c r="R299" s="482"/>
      <c r="S299" s="552"/>
      <c r="T299" s="553"/>
      <c r="U29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299" s="881">
        <f>IFERROR(Producción_Ganadera[[#This Row],[Económico $Corrientes]]/Producción_Ganadera[[#This Row],[Indexación Económico]],0)</f>
        <v>0</v>
      </c>
      <c r="W29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29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299" s="881">
        <f>IFERROR(Producción_Ganadera[[#This Row],[Financiero $Corrientes]]/Producción_Ganadera[[#This Row],[Indexación Financiero]],0)</f>
        <v>0</v>
      </c>
      <c r="Z29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29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299" s="885">
        <f>IFERROR(Producción_Ganadera[[#This Row],[Intereses $Corrientes]]/Producción_Ganadera[[#This Row],[Indexación Financiero]],0)</f>
        <v>0</v>
      </c>
      <c r="AC29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299" s="915" t="str">
        <f>IFERROR(INDEX(Produccion_Ganadera_Cuentas[],MATCH(Producción_Ganadera[[#This Row],[Cuenta Contable]],Produccion_Ganadera_Cuentas[Cuenta Contable],0),2),0)</f>
        <v>Amortización</v>
      </c>
      <c r="AE299" s="916">
        <f>IF(Producción_Ganadera[[#This Row],[Mov. Stock]]="(+)",Producción_Ganadera[[#This Row],[Cabezas]],IF(Producción_Ganadera[[#This Row],[Mov. Stock]]="(-)",-Producción_Ganadera[[#This Row],[Cabezas]],0))</f>
        <v>0</v>
      </c>
      <c r="AF299" s="917">
        <f>IFERROR(INDEX(Produccion_Ganadera_Cuentas[],MATCH(Producción_Ganadera[[#This Row],[Cuenta Contable]],Produccion_Ganadera_Cuentas[Cuenta Contable],0),5),0)</f>
        <v>0</v>
      </c>
      <c r="AG299" s="918" t="str">
        <f>IF(Producción_Ganadera[[#This Row],[Cuenta Contable]]=Configuración!$AC$9,"Si","No")</f>
        <v>No</v>
      </c>
      <c r="AH299" s="887" t="str">
        <f>IFERROR(INDEX(Tabla9[],MATCH(Producción_Ganadera[[#This Row],[Movimiento]],Tabla9[Movimientos],0),2),0)</f>
        <v>No</v>
      </c>
      <c r="AI299" s="888" t="str">
        <f>IFERROR(INDEX(Tabla9[],MATCH(Producción_Ganadera[[#This Row],[Movimiento]],Tabla9[Movimientos],0),3),0)</f>
        <v>(-)</v>
      </c>
      <c r="AJ299" s="885">
        <f>IF(Producción_Ganadera[[#This Row],[Fecha Económico]]=0,0,MONTH(Producción_Ganadera[[#This Row],[Fecha Económico]]))</f>
        <v>0</v>
      </c>
      <c r="AK299" s="885">
        <f>IF(Producción_Ganadera[[#This Row],[Fecha Económico]]=0,0,YEAR(Producción_Ganadera[[#This Row],[Fecha Económico]]))</f>
        <v>0</v>
      </c>
      <c r="AL299" s="889">
        <f>SUMPRODUCT((Producción_Ganadera[[#This Row],[Mes Económico]]=Tipo_Cambio[Mes])*(Producción_Ganadera[[#This Row],[Año Económico]]=Tipo_Cambio[Año])*(Tipo_Cambio[$/U$S]))</f>
        <v>0</v>
      </c>
      <c r="AM299" s="889">
        <f>SUMPRODUCT((Producción_Ganadera[[#This Row],[Mes Económico]]=Tipo_Cambio[Mes])*(Producción_Ganadera[[#This Row],[Año Económico]]=Tipo_Cambio[Año])*(Tipo_Cambio[Actualización]))</f>
        <v>0</v>
      </c>
      <c r="AN299" s="885">
        <f>IF(ISNUMBER(Producción_Ganadera[[#This Row],[Fecha Financiero]])=TRUE,MONTH(Producción_Ganadera[[#This Row],[Fecha Financiero]]),0)</f>
        <v>0</v>
      </c>
      <c r="AO299" s="885">
        <f>IF(ISNUMBER(Producción_Ganadera[[#This Row],[Fecha Financiero]])=TRUE,YEAR(Producción_Ganadera[[#This Row],[Fecha Financiero]]),0)</f>
        <v>0</v>
      </c>
      <c r="AP299" s="889">
        <f>SUMPRODUCT((Producción_Ganadera[[#This Row],[Mes Financiero]]=Tipo_Cambio[Mes])*(Producción_Ganadera[[#This Row],[Año Financiero]]=Tipo_Cambio[Año])*(Tipo_Cambio[$/U$S]))</f>
        <v>0</v>
      </c>
      <c r="AQ299" s="889">
        <f>SUMPRODUCT((Producción_Ganadera[[#This Row],[Mes Financiero]]=Tipo_Cambio[Mes])*(Producción_Ganadera[[#This Row],[Año Financiero]]=Tipo_Cambio[Año])*(Tipo_Cambio[Actualización]))</f>
        <v>0</v>
      </c>
      <c r="AR299" s="919">
        <f>SUMPRODUCT((Producción_Ganadera[[#This Row],[Centro de Costo]]=Tabla19[Centro de Costo])*(Tabla19[Superficie])*(Producción_Ganadera[[#This Row],[Campaña]]=Tabla19[Campaña]))</f>
        <v>0</v>
      </c>
      <c r="AS299" s="918">
        <f>IFERROR(Producción_Ganadera[[#This Row],[Económico $Corrientes]]/Producción_Ganadera[[#This Row],[Superficie]],0)</f>
        <v>0</v>
      </c>
      <c r="AT299" s="918">
        <f>IFERROR(Producción_Ganadera[[#This Row],[Económico $Constantes]]/Producción_Ganadera[[#This Row],[Superficie]],0)</f>
        <v>0</v>
      </c>
      <c r="AU299" s="918">
        <f>IFERROR(Producción_Ganadera[[#This Row],[Económico U$S Dólares]]/Producción_Ganadera[[#This Row],[Superficie]],0)</f>
        <v>0</v>
      </c>
      <c r="AV299" s="916">
        <f>IF(Económico!$F$4=0,0,Producción_Ganadera[[#This Row],[Centro de Costo]])</f>
        <v>0</v>
      </c>
    </row>
    <row r="300" spans="2:48" x14ac:dyDescent="0.25">
      <c r="D300" s="478"/>
      <c r="E300" s="522"/>
      <c r="F300" s="869" t="str">
        <f t="shared" si="18"/>
        <v>2018-2019</v>
      </c>
      <c r="G300" s="491" t="str">
        <f t="shared" si="19"/>
        <v>Amortizaciones</v>
      </c>
      <c r="H300" s="491"/>
      <c r="I300" s="491"/>
      <c r="J300" s="549"/>
      <c r="K300" s="491"/>
      <c r="L300" s="520"/>
      <c r="M300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00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00" s="611"/>
      <c r="P300" s="484"/>
      <c r="Q300" s="875">
        <f>IF(ISNUMBER(Producción_Ganadera[[#This Row],[Cabezas]])=TRUE,Producción_Ganadera[[#This Row],[Cabezas]]*Producción_Ganadera[[#This Row],[Cantidad]],Producción_Ganadera[[#This Row],[Cantidad]])</f>
        <v>0</v>
      </c>
      <c r="R300" s="482"/>
      <c r="S300" s="552"/>
      <c r="T300" s="553"/>
      <c r="U300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00" s="881">
        <f>IFERROR(Producción_Ganadera[[#This Row],[Económico $Corrientes]]/Producción_Ganadera[[#This Row],[Indexación Económico]],0)</f>
        <v>0</v>
      </c>
      <c r="W300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00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00" s="881">
        <f>IFERROR(Producción_Ganadera[[#This Row],[Financiero $Corrientes]]/Producción_Ganadera[[#This Row],[Indexación Financiero]],0)</f>
        <v>0</v>
      </c>
      <c r="Z300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00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00" s="885">
        <f>IFERROR(Producción_Ganadera[[#This Row],[Intereses $Corrientes]]/Producción_Ganadera[[#This Row],[Indexación Financiero]],0)</f>
        <v>0</v>
      </c>
      <c r="AC300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00" s="915" t="str">
        <f>IFERROR(INDEX(Produccion_Ganadera_Cuentas[],MATCH(Producción_Ganadera[[#This Row],[Cuenta Contable]],Produccion_Ganadera_Cuentas[Cuenta Contable],0),2),0)</f>
        <v>Amortización</v>
      </c>
      <c r="AE300" s="916">
        <f>IF(Producción_Ganadera[[#This Row],[Mov. Stock]]="(+)",Producción_Ganadera[[#This Row],[Cabezas]],IF(Producción_Ganadera[[#This Row],[Mov. Stock]]="(-)",-Producción_Ganadera[[#This Row],[Cabezas]],0))</f>
        <v>0</v>
      </c>
      <c r="AF300" s="917">
        <f>IFERROR(INDEX(Produccion_Ganadera_Cuentas[],MATCH(Producción_Ganadera[[#This Row],[Cuenta Contable]],Produccion_Ganadera_Cuentas[Cuenta Contable],0),5),0)</f>
        <v>0</v>
      </c>
      <c r="AG300" s="918" t="str">
        <f>IF(Producción_Ganadera[[#This Row],[Cuenta Contable]]=Configuración!$AC$9,"Si","No")</f>
        <v>No</v>
      </c>
      <c r="AH300" s="887" t="str">
        <f>IFERROR(INDEX(Tabla9[],MATCH(Producción_Ganadera[[#This Row],[Movimiento]],Tabla9[Movimientos],0),2),0)</f>
        <v>No</v>
      </c>
      <c r="AI300" s="888" t="str">
        <f>IFERROR(INDEX(Tabla9[],MATCH(Producción_Ganadera[[#This Row],[Movimiento]],Tabla9[Movimientos],0),3),0)</f>
        <v>(-)</v>
      </c>
      <c r="AJ300" s="885">
        <f>IF(Producción_Ganadera[[#This Row],[Fecha Económico]]=0,0,MONTH(Producción_Ganadera[[#This Row],[Fecha Económico]]))</f>
        <v>0</v>
      </c>
      <c r="AK300" s="885">
        <f>IF(Producción_Ganadera[[#This Row],[Fecha Económico]]=0,0,YEAR(Producción_Ganadera[[#This Row],[Fecha Económico]]))</f>
        <v>0</v>
      </c>
      <c r="AL300" s="889">
        <f>SUMPRODUCT((Producción_Ganadera[[#This Row],[Mes Económico]]=Tipo_Cambio[Mes])*(Producción_Ganadera[[#This Row],[Año Económico]]=Tipo_Cambio[Año])*(Tipo_Cambio[$/U$S]))</f>
        <v>0</v>
      </c>
      <c r="AM300" s="889">
        <f>SUMPRODUCT((Producción_Ganadera[[#This Row],[Mes Económico]]=Tipo_Cambio[Mes])*(Producción_Ganadera[[#This Row],[Año Económico]]=Tipo_Cambio[Año])*(Tipo_Cambio[Actualización]))</f>
        <v>0</v>
      </c>
      <c r="AN300" s="885">
        <f>IF(ISNUMBER(Producción_Ganadera[[#This Row],[Fecha Financiero]])=TRUE,MONTH(Producción_Ganadera[[#This Row],[Fecha Financiero]]),0)</f>
        <v>0</v>
      </c>
      <c r="AO300" s="885">
        <f>IF(ISNUMBER(Producción_Ganadera[[#This Row],[Fecha Financiero]])=TRUE,YEAR(Producción_Ganadera[[#This Row],[Fecha Financiero]]),0)</f>
        <v>0</v>
      </c>
      <c r="AP300" s="889">
        <f>SUMPRODUCT((Producción_Ganadera[[#This Row],[Mes Financiero]]=Tipo_Cambio[Mes])*(Producción_Ganadera[[#This Row],[Año Financiero]]=Tipo_Cambio[Año])*(Tipo_Cambio[$/U$S]))</f>
        <v>0</v>
      </c>
      <c r="AQ300" s="889">
        <f>SUMPRODUCT((Producción_Ganadera[[#This Row],[Mes Financiero]]=Tipo_Cambio[Mes])*(Producción_Ganadera[[#This Row],[Año Financiero]]=Tipo_Cambio[Año])*(Tipo_Cambio[Actualización]))</f>
        <v>0</v>
      </c>
      <c r="AR300" s="919">
        <f>SUMPRODUCT((Producción_Ganadera[[#This Row],[Centro de Costo]]=Tabla19[Centro de Costo])*(Tabla19[Superficie])*(Producción_Ganadera[[#This Row],[Campaña]]=Tabla19[Campaña]))</f>
        <v>0</v>
      </c>
      <c r="AS300" s="918">
        <f>IFERROR(Producción_Ganadera[[#This Row],[Económico $Corrientes]]/Producción_Ganadera[[#This Row],[Superficie]],0)</f>
        <v>0</v>
      </c>
      <c r="AT300" s="918">
        <f>IFERROR(Producción_Ganadera[[#This Row],[Económico $Constantes]]/Producción_Ganadera[[#This Row],[Superficie]],0)</f>
        <v>0</v>
      </c>
      <c r="AU300" s="918">
        <f>IFERROR(Producción_Ganadera[[#This Row],[Económico U$S Dólares]]/Producción_Ganadera[[#This Row],[Superficie]],0)</f>
        <v>0</v>
      </c>
      <c r="AV300" s="916">
        <f>IF(Económico!$F$4=0,0,Producción_Ganadera[[#This Row],[Centro de Costo]])</f>
        <v>0</v>
      </c>
    </row>
    <row r="301" spans="2:48" x14ac:dyDescent="0.25">
      <c r="D301" s="478"/>
      <c r="E301" s="522"/>
      <c r="F301" s="869" t="str">
        <f t="shared" si="18"/>
        <v>2018-2019</v>
      </c>
      <c r="G301" s="491" t="str">
        <f t="shared" si="19"/>
        <v>Amortizaciones</v>
      </c>
      <c r="H301" s="491"/>
      <c r="I301" s="491"/>
      <c r="J301" s="549"/>
      <c r="K301" s="491"/>
      <c r="L301" s="520"/>
      <c r="M301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01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01" s="611"/>
      <c r="P301" s="484"/>
      <c r="Q301" s="875">
        <f>IF(ISNUMBER(Producción_Ganadera[[#This Row],[Cabezas]])=TRUE,Producción_Ganadera[[#This Row],[Cabezas]]*Producción_Ganadera[[#This Row],[Cantidad]],Producción_Ganadera[[#This Row],[Cantidad]])</f>
        <v>0</v>
      </c>
      <c r="R301" s="482"/>
      <c r="S301" s="552"/>
      <c r="T301" s="553"/>
      <c r="U301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01" s="881">
        <f>IFERROR(Producción_Ganadera[[#This Row],[Económico $Corrientes]]/Producción_Ganadera[[#This Row],[Indexación Económico]],0)</f>
        <v>0</v>
      </c>
      <c r="W301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01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01" s="881">
        <f>IFERROR(Producción_Ganadera[[#This Row],[Financiero $Corrientes]]/Producción_Ganadera[[#This Row],[Indexación Financiero]],0)</f>
        <v>0</v>
      </c>
      <c r="Z301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01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01" s="885">
        <f>IFERROR(Producción_Ganadera[[#This Row],[Intereses $Corrientes]]/Producción_Ganadera[[#This Row],[Indexación Financiero]],0)</f>
        <v>0</v>
      </c>
      <c r="AC301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01" s="915" t="str">
        <f>IFERROR(INDEX(Produccion_Ganadera_Cuentas[],MATCH(Producción_Ganadera[[#This Row],[Cuenta Contable]],Produccion_Ganadera_Cuentas[Cuenta Contable],0),2),0)</f>
        <v>Amortización</v>
      </c>
      <c r="AE301" s="916">
        <f>IF(Producción_Ganadera[[#This Row],[Mov. Stock]]="(+)",Producción_Ganadera[[#This Row],[Cabezas]],IF(Producción_Ganadera[[#This Row],[Mov. Stock]]="(-)",-Producción_Ganadera[[#This Row],[Cabezas]],0))</f>
        <v>0</v>
      </c>
      <c r="AF301" s="917">
        <f>IFERROR(INDEX(Produccion_Ganadera_Cuentas[],MATCH(Producción_Ganadera[[#This Row],[Cuenta Contable]],Produccion_Ganadera_Cuentas[Cuenta Contable],0),5),0)</f>
        <v>0</v>
      </c>
      <c r="AG301" s="918" t="str">
        <f>IF(Producción_Ganadera[[#This Row],[Cuenta Contable]]=Configuración!$AC$9,"Si","No")</f>
        <v>No</v>
      </c>
      <c r="AH301" s="887" t="str">
        <f>IFERROR(INDEX(Tabla9[],MATCH(Producción_Ganadera[[#This Row],[Movimiento]],Tabla9[Movimientos],0),2),0)</f>
        <v>No</v>
      </c>
      <c r="AI301" s="888" t="str">
        <f>IFERROR(INDEX(Tabla9[],MATCH(Producción_Ganadera[[#This Row],[Movimiento]],Tabla9[Movimientos],0),3),0)</f>
        <v>(-)</v>
      </c>
      <c r="AJ301" s="885">
        <f>IF(Producción_Ganadera[[#This Row],[Fecha Económico]]=0,0,MONTH(Producción_Ganadera[[#This Row],[Fecha Económico]]))</f>
        <v>0</v>
      </c>
      <c r="AK301" s="885">
        <f>IF(Producción_Ganadera[[#This Row],[Fecha Económico]]=0,0,YEAR(Producción_Ganadera[[#This Row],[Fecha Económico]]))</f>
        <v>0</v>
      </c>
      <c r="AL301" s="889">
        <f>SUMPRODUCT((Producción_Ganadera[[#This Row],[Mes Económico]]=Tipo_Cambio[Mes])*(Producción_Ganadera[[#This Row],[Año Económico]]=Tipo_Cambio[Año])*(Tipo_Cambio[$/U$S]))</f>
        <v>0</v>
      </c>
      <c r="AM301" s="889">
        <f>SUMPRODUCT((Producción_Ganadera[[#This Row],[Mes Económico]]=Tipo_Cambio[Mes])*(Producción_Ganadera[[#This Row],[Año Económico]]=Tipo_Cambio[Año])*(Tipo_Cambio[Actualización]))</f>
        <v>0</v>
      </c>
      <c r="AN301" s="885">
        <f>IF(ISNUMBER(Producción_Ganadera[[#This Row],[Fecha Financiero]])=TRUE,MONTH(Producción_Ganadera[[#This Row],[Fecha Financiero]]),0)</f>
        <v>0</v>
      </c>
      <c r="AO301" s="885">
        <f>IF(ISNUMBER(Producción_Ganadera[[#This Row],[Fecha Financiero]])=TRUE,YEAR(Producción_Ganadera[[#This Row],[Fecha Financiero]]),0)</f>
        <v>0</v>
      </c>
      <c r="AP301" s="889">
        <f>SUMPRODUCT((Producción_Ganadera[[#This Row],[Mes Financiero]]=Tipo_Cambio[Mes])*(Producción_Ganadera[[#This Row],[Año Financiero]]=Tipo_Cambio[Año])*(Tipo_Cambio[$/U$S]))</f>
        <v>0</v>
      </c>
      <c r="AQ301" s="889">
        <f>SUMPRODUCT((Producción_Ganadera[[#This Row],[Mes Financiero]]=Tipo_Cambio[Mes])*(Producción_Ganadera[[#This Row],[Año Financiero]]=Tipo_Cambio[Año])*(Tipo_Cambio[Actualización]))</f>
        <v>0</v>
      </c>
      <c r="AR301" s="919">
        <f>SUMPRODUCT((Producción_Ganadera[[#This Row],[Centro de Costo]]=Tabla19[Centro de Costo])*(Tabla19[Superficie])*(Producción_Ganadera[[#This Row],[Campaña]]=Tabla19[Campaña]))</f>
        <v>0</v>
      </c>
      <c r="AS301" s="918">
        <f>IFERROR(Producción_Ganadera[[#This Row],[Económico $Corrientes]]/Producción_Ganadera[[#This Row],[Superficie]],0)</f>
        <v>0</v>
      </c>
      <c r="AT301" s="918">
        <f>IFERROR(Producción_Ganadera[[#This Row],[Económico $Constantes]]/Producción_Ganadera[[#This Row],[Superficie]],0)</f>
        <v>0</v>
      </c>
      <c r="AU301" s="918">
        <f>IFERROR(Producción_Ganadera[[#This Row],[Económico U$S Dólares]]/Producción_Ganadera[[#This Row],[Superficie]],0)</f>
        <v>0</v>
      </c>
      <c r="AV301" s="916">
        <f>IF(Económico!$F$4=0,0,Producción_Ganadera[[#This Row],[Centro de Costo]])</f>
        <v>0</v>
      </c>
    </row>
    <row r="302" spans="2:48" x14ac:dyDescent="0.25">
      <c r="D302" s="478"/>
      <c r="E302" s="522"/>
      <c r="F302" s="869" t="str">
        <f t="shared" si="18"/>
        <v>2018-2019</v>
      </c>
      <c r="G302" s="491" t="str">
        <f t="shared" si="19"/>
        <v>Amortizaciones</v>
      </c>
      <c r="H302" s="491"/>
      <c r="I302" s="491"/>
      <c r="J302" s="549"/>
      <c r="K302" s="491"/>
      <c r="L302" s="520"/>
      <c r="M302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02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02" s="611"/>
      <c r="P302" s="484"/>
      <c r="Q302" s="875">
        <f>IF(ISNUMBER(Producción_Ganadera[[#This Row],[Cabezas]])=TRUE,Producción_Ganadera[[#This Row],[Cabezas]]*Producción_Ganadera[[#This Row],[Cantidad]],Producción_Ganadera[[#This Row],[Cantidad]])</f>
        <v>0</v>
      </c>
      <c r="R302" s="482"/>
      <c r="S302" s="552"/>
      <c r="T302" s="553"/>
      <c r="U302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02" s="881">
        <f>IFERROR(Producción_Ganadera[[#This Row],[Económico $Corrientes]]/Producción_Ganadera[[#This Row],[Indexación Económico]],0)</f>
        <v>0</v>
      </c>
      <c r="W302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02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02" s="881">
        <f>IFERROR(Producción_Ganadera[[#This Row],[Financiero $Corrientes]]/Producción_Ganadera[[#This Row],[Indexación Financiero]],0)</f>
        <v>0</v>
      </c>
      <c r="Z302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02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02" s="885">
        <f>IFERROR(Producción_Ganadera[[#This Row],[Intereses $Corrientes]]/Producción_Ganadera[[#This Row],[Indexación Financiero]],0)</f>
        <v>0</v>
      </c>
      <c r="AC302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02" s="915" t="str">
        <f>IFERROR(INDEX(Produccion_Ganadera_Cuentas[],MATCH(Producción_Ganadera[[#This Row],[Cuenta Contable]],Produccion_Ganadera_Cuentas[Cuenta Contable],0),2),0)</f>
        <v>Amortización</v>
      </c>
      <c r="AE302" s="916">
        <f>IF(Producción_Ganadera[[#This Row],[Mov. Stock]]="(+)",Producción_Ganadera[[#This Row],[Cabezas]],IF(Producción_Ganadera[[#This Row],[Mov. Stock]]="(-)",-Producción_Ganadera[[#This Row],[Cabezas]],0))</f>
        <v>0</v>
      </c>
      <c r="AF302" s="917">
        <f>IFERROR(INDEX(Produccion_Ganadera_Cuentas[],MATCH(Producción_Ganadera[[#This Row],[Cuenta Contable]],Produccion_Ganadera_Cuentas[Cuenta Contable],0),5),0)</f>
        <v>0</v>
      </c>
      <c r="AG302" s="918" t="str">
        <f>IF(Producción_Ganadera[[#This Row],[Cuenta Contable]]=Configuración!$AC$9,"Si","No")</f>
        <v>No</v>
      </c>
      <c r="AH302" s="887" t="str">
        <f>IFERROR(INDEX(Tabla9[],MATCH(Producción_Ganadera[[#This Row],[Movimiento]],Tabla9[Movimientos],0),2),0)</f>
        <v>No</v>
      </c>
      <c r="AI302" s="888" t="str">
        <f>IFERROR(INDEX(Tabla9[],MATCH(Producción_Ganadera[[#This Row],[Movimiento]],Tabla9[Movimientos],0),3),0)</f>
        <v>(-)</v>
      </c>
      <c r="AJ302" s="885">
        <f>IF(Producción_Ganadera[[#This Row],[Fecha Económico]]=0,0,MONTH(Producción_Ganadera[[#This Row],[Fecha Económico]]))</f>
        <v>0</v>
      </c>
      <c r="AK302" s="885">
        <f>IF(Producción_Ganadera[[#This Row],[Fecha Económico]]=0,0,YEAR(Producción_Ganadera[[#This Row],[Fecha Económico]]))</f>
        <v>0</v>
      </c>
      <c r="AL302" s="889">
        <f>SUMPRODUCT((Producción_Ganadera[[#This Row],[Mes Económico]]=Tipo_Cambio[Mes])*(Producción_Ganadera[[#This Row],[Año Económico]]=Tipo_Cambio[Año])*(Tipo_Cambio[$/U$S]))</f>
        <v>0</v>
      </c>
      <c r="AM302" s="889">
        <f>SUMPRODUCT((Producción_Ganadera[[#This Row],[Mes Económico]]=Tipo_Cambio[Mes])*(Producción_Ganadera[[#This Row],[Año Económico]]=Tipo_Cambio[Año])*(Tipo_Cambio[Actualización]))</f>
        <v>0</v>
      </c>
      <c r="AN302" s="885">
        <f>IF(ISNUMBER(Producción_Ganadera[[#This Row],[Fecha Financiero]])=TRUE,MONTH(Producción_Ganadera[[#This Row],[Fecha Financiero]]),0)</f>
        <v>0</v>
      </c>
      <c r="AO302" s="885">
        <f>IF(ISNUMBER(Producción_Ganadera[[#This Row],[Fecha Financiero]])=TRUE,YEAR(Producción_Ganadera[[#This Row],[Fecha Financiero]]),0)</f>
        <v>0</v>
      </c>
      <c r="AP302" s="889">
        <f>SUMPRODUCT((Producción_Ganadera[[#This Row],[Mes Financiero]]=Tipo_Cambio[Mes])*(Producción_Ganadera[[#This Row],[Año Financiero]]=Tipo_Cambio[Año])*(Tipo_Cambio[$/U$S]))</f>
        <v>0</v>
      </c>
      <c r="AQ302" s="889">
        <f>SUMPRODUCT((Producción_Ganadera[[#This Row],[Mes Financiero]]=Tipo_Cambio[Mes])*(Producción_Ganadera[[#This Row],[Año Financiero]]=Tipo_Cambio[Año])*(Tipo_Cambio[Actualización]))</f>
        <v>0</v>
      </c>
      <c r="AR302" s="919">
        <f>SUMPRODUCT((Producción_Ganadera[[#This Row],[Centro de Costo]]=Tabla19[Centro de Costo])*(Tabla19[Superficie])*(Producción_Ganadera[[#This Row],[Campaña]]=Tabla19[Campaña]))</f>
        <v>0</v>
      </c>
      <c r="AS302" s="918">
        <f>IFERROR(Producción_Ganadera[[#This Row],[Económico $Corrientes]]/Producción_Ganadera[[#This Row],[Superficie]],0)</f>
        <v>0</v>
      </c>
      <c r="AT302" s="918">
        <f>IFERROR(Producción_Ganadera[[#This Row],[Económico $Constantes]]/Producción_Ganadera[[#This Row],[Superficie]],0)</f>
        <v>0</v>
      </c>
      <c r="AU302" s="918">
        <f>IFERROR(Producción_Ganadera[[#This Row],[Económico U$S Dólares]]/Producción_Ganadera[[#This Row],[Superficie]],0)</f>
        <v>0</v>
      </c>
      <c r="AV302" s="916">
        <f>IF(Económico!$F$4=0,0,Producción_Ganadera[[#This Row],[Centro de Costo]])</f>
        <v>0</v>
      </c>
    </row>
    <row r="303" spans="2:48" x14ac:dyDescent="0.25">
      <c r="D303" s="478"/>
      <c r="E303" s="522"/>
      <c r="F303" s="869" t="str">
        <f t="shared" si="18"/>
        <v>2018-2019</v>
      </c>
      <c r="G303" s="491" t="str">
        <f t="shared" si="19"/>
        <v>Amortizaciones</v>
      </c>
      <c r="H303" s="491"/>
      <c r="I303" s="491"/>
      <c r="J303" s="549"/>
      <c r="K303" s="491"/>
      <c r="L303" s="520"/>
      <c r="M303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03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03" s="611"/>
      <c r="P303" s="484"/>
      <c r="Q303" s="875">
        <f>IF(ISNUMBER(Producción_Ganadera[[#This Row],[Cabezas]])=TRUE,Producción_Ganadera[[#This Row],[Cabezas]]*Producción_Ganadera[[#This Row],[Cantidad]],Producción_Ganadera[[#This Row],[Cantidad]])</f>
        <v>0</v>
      </c>
      <c r="R303" s="482"/>
      <c r="S303" s="552"/>
      <c r="T303" s="553"/>
      <c r="U303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03" s="881">
        <f>IFERROR(Producción_Ganadera[[#This Row],[Económico $Corrientes]]/Producción_Ganadera[[#This Row],[Indexación Económico]],0)</f>
        <v>0</v>
      </c>
      <c r="W303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03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03" s="881">
        <f>IFERROR(Producción_Ganadera[[#This Row],[Financiero $Corrientes]]/Producción_Ganadera[[#This Row],[Indexación Financiero]],0)</f>
        <v>0</v>
      </c>
      <c r="Z303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03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03" s="885">
        <f>IFERROR(Producción_Ganadera[[#This Row],[Intereses $Corrientes]]/Producción_Ganadera[[#This Row],[Indexación Financiero]],0)</f>
        <v>0</v>
      </c>
      <c r="AC303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03" s="915" t="str">
        <f>IFERROR(INDEX(Produccion_Ganadera_Cuentas[],MATCH(Producción_Ganadera[[#This Row],[Cuenta Contable]],Produccion_Ganadera_Cuentas[Cuenta Contable],0),2),0)</f>
        <v>Amortización</v>
      </c>
      <c r="AE303" s="916">
        <f>IF(Producción_Ganadera[[#This Row],[Mov. Stock]]="(+)",Producción_Ganadera[[#This Row],[Cabezas]],IF(Producción_Ganadera[[#This Row],[Mov. Stock]]="(-)",-Producción_Ganadera[[#This Row],[Cabezas]],0))</f>
        <v>0</v>
      </c>
      <c r="AF303" s="917">
        <f>IFERROR(INDEX(Produccion_Ganadera_Cuentas[],MATCH(Producción_Ganadera[[#This Row],[Cuenta Contable]],Produccion_Ganadera_Cuentas[Cuenta Contable],0),5),0)</f>
        <v>0</v>
      </c>
      <c r="AG303" s="918" t="str">
        <f>IF(Producción_Ganadera[[#This Row],[Cuenta Contable]]=Configuración!$AC$9,"Si","No")</f>
        <v>No</v>
      </c>
      <c r="AH303" s="887" t="str">
        <f>IFERROR(INDEX(Tabla9[],MATCH(Producción_Ganadera[[#This Row],[Movimiento]],Tabla9[Movimientos],0),2),0)</f>
        <v>No</v>
      </c>
      <c r="AI303" s="888" t="str">
        <f>IFERROR(INDEX(Tabla9[],MATCH(Producción_Ganadera[[#This Row],[Movimiento]],Tabla9[Movimientos],0),3),0)</f>
        <v>(-)</v>
      </c>
      <c r="AJ303" s="885">
        <f>IF(Producción_Ganadera[[#This Row],[Fecha Económico]]=0,0,MONTH(Producción_Ganadera[[#This Row],[Fecha Económico]]))</f>
        <v>0</v>
      </c>
      <c r="AK303" s="885">
        <f>IF(Producción_Ganadera[[#This Row],[Fecha Económico]]=0,0,YEAR(Producción_Ganadera[[#This Row],[Fecha Económico]]))</f>
        <v>0</v>
      </c>
      <c r="AL303" s="889">
        <f>SUMPRODUCT((Producción_Ganadera[[#This Row],[Mes Económico]]=Tipo_Cambio[Mes])*(Producción_Ganadera[[#This Row],[Año Económico]]=Tipo_Cambio[Año])*(Tipo_Cambio[$/U$S]))</f>
        <v>0</v>
      </c>
      <c r="AM303" s="889">
        <f>SUMPRODUCT((Producción_Ganadera[[#This Row],[Mes Económico]]=Tipo_Cambio[Mes])*(Producción_Ganadera[[#This Row],[Año Económico]]=Tipo_Cambio[Año])*(Tipo_Cambio[Actualización]))</f>
        <v>0</v>
      </c>
      <c r="AN303" s="885">
        <f>IF(ISNUMBER(Producción_Ganadera[[#This Row],[Fecha Financiero]])=TRUE,MONTH(Producción_Ganadera[[#This Row],[Fecha Financiero]]),0)</f>
        <v>0</v>
      </c>
      <c r="AO303" s="885">
        <f>IF(ISNUMBER(Producción_Ganadera[[#This Row],[Fecha Financiero]])=TRUE,YEAR(Producción_Ganadera[[#This Row],[Fecha Financiero]]),0)</f>
        <v>0</v>
      </c>
      <c r="AP303" s="889">
        <f>SUMPRODUCT((Producción_Ganadera[[#This Row],[Mes Financiero]]=Tipo_Cambio[Mes])*(Producción_Ganadera[[#This Row],[Año Financiero]]=Tipo_Cambio[Año])*(Tipo_Cambio[$/U$S]))</f>
        <v>0</v>
      </c>
      <c r="AQ303" s="889">
        <f>SUMPRODUCT((Producción_Ganadera[[#This Row],[Mes Financiero]]=Tipo_Cambio[Mes])*(Producción_Ganadera[[#This Row],[Año Financiero]]=Tipo_Cambio[Año])*(Tipo_Cambio[Actualización]))</f>
        <v>0</v>
      </c>
      <c r="AR303" s="919">
        <f>SUMPRODUCT((Producción_Ganadera[[#This Row],[Centro de Costo]]=Tabla19[Centro de Costo])*(Tabla19[Superficie])*(Producción_Ganadera[[#This Row],[Campaña]]=Tabla19[Campaña]))</f>
        <v>0</v>
      </c>
      <c r="AS303" s="918">
        <f>IFERROR(Producción_Ganadera[[#This Row],[Económico $Corrientes]]/Producción_Ganadera[[#This Row],[Superficie]],0)</f>
        <v>0</v>
      </c>
      <c r="AT303" s="918">
        <f>IFERROR(Producción_Ganadera[[#This Row],[Económico $Constantes]]/Producción_Ganadera[[#This Row],[Superficie]],0)</f>
        <v>0</v>
      </c>
      <c r="AU303" s="918">
        <f>IFERROR(Producción_Ganadera[[#This Row],[Económico U$S Dólares]]/Producción_Ganadera[[#This Row],[Superficie]],0)</f>
        <v>0</v>
      </c>
      <c r="AV303" s="916">
        <f>IF(Económico!$F$4=0,0,Producción_Ganadera[[#This Row],[Centro de Costo]])</f>
        <v>0</v>
      </c>
    </row>
    <row r="304" spans="2:48" x14ac:dyDescent="0.25">
      <c r="D304" s="478"/>
      <c r="E304" s="522"/>
      <c r="F304" s="869" t="str">
        <f t="shared" si="18"/>
        <v>2018-2019</v>
      </c>
      <c r="G304" s="491" t="str">
        <f t="shared" si="19"/>
        <v>Amortizaciones</v>
      </c>
      <c r="H304" s="491"/>
      <c r="I304" s="491"/>
      <c r="J304" s="549"/>
      <c r="K304" s="491"/>
      <c r="L304" s="520"/>
      <c r="M304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04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04" s="611"/>
      <c r="P304" s="484"/>
      <c r="Q304" s="875">
        <f>IF(ISNUMBER(Producción_Ganadera[[#This Row],[Cabezas]])=TRUE,Producción_Ganadera[[#This Row],[Cabezas]]*Producción_Ganadera[[#This Row],[Cantidad]],Producción_Ganadera[[#This Row],[Cantidad]])</f>
        <v>0</v>
      </c>
      <c r="R304" s="482"/>
      <c r="S304" s="552"/>
      <c r="T304" s="553"/>
      <c r="U304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04" s="881">
        <f>IFERROR(Producción_Ganadera[[#This Row],[Económico $Corrientes]]/Producción_Ganadera[[#This Row],[Indexación Económico]],0)</f>
        <v>0</v>
      </c>
      <c r="W304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04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04" s="881">
        <f>IFERROR(Producción_Ganadera[[#This Row],[Financiero $Corrientes]]/Producción_Ganadera[[#This Row],[Indexación Financiero]],0)</f>
        <v>0</v>
      </c>
      <c r="Z304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04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04" s="885">
        <f>IFERROR(Producción_Ganadera[[#This Row],[Intereses $Corrientes]]/Producción_Ganadera[[#This Row],[Indexación Financiero]],0)</f>
        <v>0</v>
      </c>
      <c r="AC304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04" s="915" t="str">
        <f>IFERROR(INDEX(Produccion_Ganadera_Cuentas[],MATCH(Producción_Ganadera[[#This Row],[Cuenta Contable]],Produccion_Ganadera_Cuentas[Cuenta Contable],0),2),0)</f>
        <v>Amortización</v>
      </c>
      <c r="AE304" s="916">
        <f>IF(Producción_Ganadera[[#This Row],[Mov. Stock]]="(+)",Producción_Ganadera[[#This Row],[Cabezas]],IF(Producción_Ganadera[[#This Row],[Mov. Stock]]="(-)",-Producción_Ganadera[[#This Row],[Cabezas]],0))</f>
        <v>0</v>
      </c>
      <c r="AF304" s="917">
        <f>IFERROR(INDEX(Produccion_Ganadera_Cuentas[],MATCH(Producción_Ganadera[[#This Row],[Cuenta Contable]],Produccion_Ganadera_Cuentas[Cuenta Contable],0),5),0)</f>
        <v>0</v>
      </c>
      <c r="AG304" s="918" t="str">
        <f>IF(Producción_Ganadera[[#This Row],[Cuenta Contable]]=Configuración!$AC$9,"Si","No")</f>
        <v>No</v>
      </c>
      <c r="AH304" s="887" t="str">
        <f>IFERROR(INDEX(Tabla9[],MATCH(Producción_Ganadera[[#This Row],[Movimiento]],Tabla9[Movimientos],0),2),0)</f>
        <v>No</v>
      </c>
      <c r="AI304" s="888" t="str">
        <f>IFERROR(INDEX(Tabla9[],MATCH(Producción_Ganadera[[#This Row],[Movimiento]],Tabla9[Movimientos],0),3),0)</f>
        <v>(-)</v>
      </c>
      <c r="AJ304" s="885">
        <f>IF(Producción_Ganadera[[#This Row],[Fecha Económico]]=0,0,MONTH(Producción_Ganadera[[#This Row],[Fecha Económico]]))</f>
        <v>0</v>
      </c>
      <c r="AK304" s="885">
        <f>IF(Producción_Ganadera[[#This Row],[Fecha Económico]]=0,0,YEAR(Producción_Ganadera[[#This Row],[Fecha Económico]]))</f>
        <v>0</v>
      </c>
      <c r="AL304" s="889">
        <f>SUMPRODUCT((Producción_Ganadera[[#This Row],[Mes Económico]]=Tipo_Cambio[Mes])*(Producción_Ganadera[[#This Row],[Año Económico]]=Tipo_Cambio[Año])*(Tipo_Cambio[$/U$S]))</f>
        <v>0</v>
      </c>
      <c r="AM304" s="889">
        <f>SUMPRODUCT((Producción_Ganadera[[#This Row],[Mes Económico]]=Tipo_Cambio[Mes])*(Producción_Ganadera[[#This Row],[Año Económico]]=Tipo_Cambio[Año])*(Tipo_Cambio[Actualización]))</f>
        <v>0</v>
      </c>
      <c r="AN304" s="885">
        <f>IF(ISNUMBER(Producción_Ganadera[[#This Row],[Fecha Financiero]])=TRUE,MONTH(Producción_Ganadera[[#This Row],[Fecha Financiero]]),0)</f>
        <v>0</v>
      </c>
      <c r="AO304" s="885">
        <f>IF(ISNUMBER(Producción_Ganadera[[#This Row],[Fecha Financiero]])=TRUE,YEAR(Producción_Ganadera[[#This Row],[Fecha Financiero]]),0)</f>
        <v>0</v>
      </c>
      <c r="AP304" s="889">
        <f>SUMPRODUCT((Producción_Ganadera[[#This Row],[Mes Financiero]]=Tipo_Cambio[Mes])*(Producción_Ganadera[[#This Row],[Año Financiero]]=Tipo_Cambio[Año])*(Tipo_Cambio[$/U$S]))</f>
        <v>0</v>
      </c>
      <c r="AQ304" s="889">
        <f>SUMPRODUCT((Producción_Ganadera[[#This Row],[Mes Financiero]]=Tipo_Cambio[Mes])*(Producción_Ganadera[[#This Row],[Año Financiero]]=Tipo_Cambio[Año])*(Tipo_Cambio[Actualización]))</f>
        <v>0</v>
      </c>
      <c r="AR304" s="919">
        <f>SUMPRODUCT((Producción_Ganadera[[#This Row],[Centro de Costo]]=Tabla19[Centro de Costo])*(Tabla19[Superficie])*(Producción_Ganadera[[#This Row],[Campaña]]=Tabla19[Campaña]))</f>
        <v>0</v>
      </c>
      <c r="AS304" s="918">
        <f>IFERROR(Producción_Ganadera[[#This Row],[Económico $Corrientes]]/Producción_Ganadera[[#This Row],[Superficie]],0)</f>
        <v>0</v>
      </c>
      <c r="AT304" s="918">
        <f>IFERROR(Producción_Ganadera[[#This Row],[Económico $Constantes]]/Producción_Ganadera[[#This Row],[Superficie]],0)</f>
        <v>0</v>
      </c>
      <c r="AU304" s="918">
        <f>IFERROR(Producción_Ganadera[[#This Row],[Económico U$S Dólares]]/Producción_Ganadera[[#This Row],[Superficie]],0)</f>
        <v>0</v>
      </c>
      <c r="AV304" s="916">
        <f>IF(Económico!$F$4=0,0,Producción_Ganadera[[#This Row],[Centro de Costo]])</f>
        <v>0</v>
      </c>
    </row>
    <row r="305" spans="2:48" x14ac:dyDescent="0.25">
      <c r="D305" s="478"/>
      <c r="E305" s="522"/>
      <c r="F305" s="869" t="str">
        <f t="shared" si="18"/>
        <v>2018-2019</v>
      </c>
      <c r="G305" s="491" t="str">
        <f t="shared" si="19"/>
        <v>Amortizaciones</v>
      </c>
      <c r="H305" s="491"/>
      <c r="I305" s="491"/>
      <c r="J305" s="549"/>
      <c r="K305" s="491"/>
      <c r="L305" s="520"/>
      <c r="M305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05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05" s="611"/>
      <c r="P305" s="484"/>
      <c r="Q305" s="875">
        <f>IF(ISNUMBER(Producción_Ganadera[[#This Row],[Cabezas]])=TRUE,Producción_Ganadera[[#This Row],[Cabezas]]*Producción_Ganadera[[#This Row],[Cantidad]],Producción_Ganadera[[#This Row],[Cantidad]])</f>
        <v>0</v>
      </c>
      <c r="R305" s="482"/>
      <c r="S305" s="552"/>
      <c r="T305" s="553"/>
      <c r="U305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05" s="881">
        <f>IFERROR(Producción_Ganadera[[#This Row],[Económico $Corrientes]]/Producción_Ganadera[[#This Row],[Indexación Económico]],0)</f>
        <v>0</v>
      </c>
      <c r="W305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05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05" s="881">
        <f>IFERROR(Producción_Ganadera[[#This Row],[Financiero $Corrientes]]/Producción_Ganadera[[#This Row],[Indexación Financiero]],0)</f>
        <v>0</v>
      </c>
      <c r="Z305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05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05" s="885">
        <f>IFERROR(Producción_Ganadera[[#This Row],[Intereses $Corrientes]]/Producción_Ganadera[[#This Row],[Indexación Financiero]],0)</f>
        <v>0</v>
      </c>
      <c r="AC305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05" s="915" t="str">
        <f>IFERROR(INDEX(Produccion_Ganadera_Cuentas[],MATCH(Producción_Ganadera[[#This Row],[Cuenta Contable]],Produccion_Ganadera_Cuentas[Cuenta Contable],0),2),0)</f>
        <v>Amortización</v>
      </c>
      <c r="AE305" s="916">
        <f>IF(Producción_Ganadera[[#This Row],[Mov. Stock]]="(+)",Producción_Ganadera[[#This Row],[Cabezas]],IF(Producción_Ganadera[[#This Row],[Mov. Stock]]="(-)",-Producción_Ganadera[[#This Row],[Cabezas]],0))</f>
        <v>0</v>
      </c>
      <c r="AF305" s="917">
        <f>IFERROR(INDEX(Produccion_Ganadera_Cuentas[],MATCH(Producción_Ganadera[[#This Row],[Cuenta Contable]],Produccion_Ganadera_Cuentas[Cuenta Contable],0),5),0)</f>
        <v>0</v>
      </c>
      <c r="AG305" s="918" t="str">
        <f>IF(Producción_Ganadera[[#This Row],[Cuenta Contable]]=Configuración!$AC$9,"Si","No")</f>
        <v>No</v>
      </c>
      <c r="AH305" s="887" t="str">
        <f>IFERROR(INDEX(Tabla9[],MATCH(Producción_Ganadera[[#This Row],[Movimiento]],Tabla9[Movimientos],0),2),0)</f>
        <v>No</v>
      </c>
      <c r="AI305" s="888" t="str">
        <f>IFERROR(INDEX(Tabla9[],MATCH(Producción_Ganadera[[#This Row],[Movimiento]],Tabla9[Movimientos],0),3),0)</f>
        <v>(-)</v>
      </c>
      <c r="AJ305" s="885">
        <f>IF(Producción_Ganadera[[#This Row],[Fecha Económico]]=0,0,MONTH(Producción_Ganadera[[#This Row],[Fecha Económico]]))</f>
        <v>0</v>
      </c>
      <c r="AK305" s="885">
        <f>IF(Producción_Ganadera[[#This Row],[Fecha Económico]]=0,0,YEAR(Producción_Ganadera[[#This Row],[Fecha Económico]]))</f>
        <v>0</v>
      </c>
      <c r="AL305" s="889">
        <f>SUMPRODUCT((Producción_Ganadera[[#This Row],[Mes Económico]]=Tipo_Cambio[Mes])*(Producción_Ganadera[[#This Row],[Año Económico]]=Tipo_Cambio[Año])*(Tipo_Cambio[$/U$S]))</f>
        <v>0</v>
      </c>
      <c r="AM305" s="889">
        <f>SUMPRODUCT((Producción_Ganadera[[#This Row],[Mes Económico]]=Tipo_Cambio[Mes])*(Producción_Ganadera[[#This Row],[Año Económico]]=Tipo_Cambio[Año])*(Tipo_Cambio[Actualización]))</f>
        <v>0</v>
      </c>
      <c r="AN305" s="885">
        <f>IF(ISNUMBER(Producción_Ganadera[[#This Row],[Fecha Financiero]])=TRUE,MONTH(Producción_Ganadera[[#This Row],[Fecha Financiero]]),0)</f>
        <v>0</v>
      </c>
      <c r="AO305" s="885">
        <f>IF(ISNUMBER(Producción_Ganadera[[#This Row],[Fecha Financiero]])=TRUE,YEAR(Producción_Ganadera[[#This Row],[Fecha Financiero]]),0)</f>
        <v>0</v>
      </c>
      <c r="AP305" s="889">
        <f>SUMPRODUCT((Producción_Ganadera[[#This Row],[Mes Financiero]]=Tipo_Cambio[Mes])*(Producción_Ganadera[[#This Row],[Año Financiero]]=Tipo_Cambio[Año])*(Tipo_Cambio[$/U$S]))</f>
        <v>0</v>
      </c>
      <c r="AQ305" s="889">
        <f>SUMPRODUCT((Producción_Ganadera[[#This Row],[Mes Financiero]]=Tipo_Cambio[Mes])*(Producción_Ganadera[[#This Row],[Año Financiero]]=Tipo_Cambio[Año])*(Tipo_Cambio[Actualización]))</f>
        <v>0</v>
      </c>
      <c r="AR305" s="919">
        <f>SUMPRODUCT((Producción_Ganadera[[#This Row],[Centro de Costo]]=Tabla19[Centro de Costo])*(Tabla19[Superficie])*(Producción_Ganadera[[#This Row],[Campaña]]=Tabla19[Campaña]))</f>
        <v>0</v>
      </c>
      <c r="AS305" s="918">
        <f>IFERROR(Producción_Ganadera[[#This Row],[Económico $Corrientes]]/Producción_Ganadera[[#This Row],[Superficie]],0)</f>
        <v>0</v>
      </c>
      <c r="AT305" s="918">
        <f>IFERROR(Producción_Ganadera[[#This Row],[Económico $Constantes]]/Producción_Ganadera[[#This Row],[Superficie]],0)</f>
        <v>0</v>
      </c>
      <c r="AU305" s="918">
        <f>IFERROR(Producción_Ganadera[[#This Row],[Económico U$S Dólares]]/Producción_Ganadera[[#This Row],[Superficie]],0)</f>
        <v>0</v>
      </c>
      <c r="AV305" s="916">
        <f>IF(Económico!$F$4=0,0,Producción_Ganadera[[#This Row],[Centro de Costo]])</f>
        <v>0</v>
      </c>
    </row>
    <row r="306" spans="2:48" x14ac:dyDescent="0.25">
      <c r="D306" s="478"/>
      <c r="E306" s="522"/>
      <c r="F306" s="869" t="str">
        <f t="shared" si="18"/>
        <v>2018-2019</v>
      </c>
      <c r="G306" s="491" t="str">
        <f t="shared" si="19"/>
        <v>Amortizaciones</v>
      </c>
      <c r="H306" s="491"/>
      <c r="I306" s="491"/>
      <c r="J306" s="549"/>
      <c r="K306" s="491"/>
      <c r="L306" s="520"/>
      <c r="M306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06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06" s="611"/>
      <c r="P306" s="484"/>
      <c r="Q306" s="875">
        <f>IF(ISNUMBER(Producción_Ganadera[[#This Row],[Cabezas]])=TRUE,Producción_Ganadera[[#This Row],[Cabezas]]*Producción_Ganadera[[#This Row],[Cantidad]],Producción_Ganadera[[#This Row],[Cantidad]])</f>
        <v>0</v>
      </c>
      <c r="R306" s="482"/>
      <c r="S306" s="552"/>
      <c r="T306" s="553"/>
      <c r="U306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06" s="881">
        <f>IFERROR(Producción_Ganadera[[#This Row],[Económico $Corrientes]]/Producción_Ganadera[[#This Row],[Indexación Económico]],0)</f>
        <v>0</v>
      </c>
      <c r="W306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06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06" s="881">
        <f>IFERROR(Producción_Ganadera[[#This Row],[Financiero $Corrientes]]/Producción_Ganadera[[#This Row],[Indexación Financiero]],0)</f>
        <v>0</v>
      </c>
      <c r="Z306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06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06" s="885">
        <f>IFERROR(Producción_Ganadera[[#This Row],[Intereses $Corrientes]]/Producción_Ganadera[[#This Row],[Indexación Financiero]],0)</f>
        <v>0</v>
      </c>
      <c r="AC306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06" s="915" t="str">
        <f>IFERROR(INDEX(Produccion_Ganadera_Cuentas[],MATCH(Producción_Ganadera[[#This Row],[Cuenta Contable]],Produccion_Ganadera_Cuentas[Cuenta Contable],0),2),0)</f>
        <v>Amortización</v>
      </c>
      <c r="AE306" s="916">
        <f>IF(Producción_Ganadera[[#This Row],[Mov. Stock]]="(+)",Producción_Ganadera[[#This Row],[Cabezas]],IF(Producción_Ganadera[[#This Row],[Mov. Stock]]="(-)",-Producción_Ganadera[[#This Row],[Cabezas]],0))</f>
        <v>0</v>
      </c>
      <c r="AF306" s="917">
        <f>IFERROR(INDEX(Produccion_Ganadera_Cuentas[],MATCH(Producción_Ganadera[[#This Row],[Cuenta Contable]],Produccion_Ganadera_Cuentas[Cuenta Contable],0),5),0)</f>
        <v>0</v>
      </c>
      <c r="AG306" s="918" t="str">
        <f>IF(Producción_Ganadera[[#This Row],[Cuenta Contable]]=Configuración!$AC$9,"Si","No")</f>
        <v>No</v>
      </c>
      <c r="AH306" s="887" t="str">
        <f>IFERROR(INDEX(Tabla9[],MATCH(Producción_Ganadera[[#This Row],[Movimiento]],Tabla9[Movimientos],0),2),0)</f>
        <v>No</v>
      </c>
      <c r="AI306" s="888" t="str">
        <f>IFERROR(INDEX(Tabla9[],MATCH(Producción_Ganadera[[#This Row],[Movimiento]],Tabla9[Movimientos],0),3),0)</f>
        <v>(-)</v>
      </c>
      <c r="AJ306" s="885">
        <f>IF(Producción_Ganadera[[#This Row],[Fecha Económico]]=0,0,MONTH(Producción_Ganadera[[#This Row],[Fecha Económico]]))</f>
        <v>0</v>
      </c>
      <c r="AK306" s="885">
        <f>IF(Producción_Ganadera[[#This Row],[Fecha Económico]]=0,0,YEAR(Producción_Ganadera[[#This Row],[Fecha Económico]]))</f>
        <v>0</v>
      </c>
      <c r="AL306" s="889">
        <f>SUMPRODUCT((Producción_Ganadera[[#This Row],[Mes Económico]]=Tipo_Cambio[Mes])*(Producción_Ganadera[[#This Row],[Año Económico]]=Tipo_Cambio[Año])*(Tipo_Cambio[$/U$S]))</f>
        <v>0</v>
      </c>
      <c r="AM306" s="889">
        <f>SUMPRODUCT((Producción_Ganadera[[#This Row],[Mes Económico]]=Tipo_Cambio[Mes])*(Producción_Ganadera[[#This Row],[Año Económico]]=Tipo_Cambio[Año])*(Tipo_Cambio[Actualización]))</f>
        <v>0</v>
      </c>
      <c r="AN306" s="885">
        <f>IF(ISNUMBER(Producción_Ganadera[[#This Row],[Fecha Financiero]])=TRUE,MONTH(Producción_Ganadera[[#This Row],[Fecha Financiero]]),0)</f>
        <v>0</v>
      </c>
      <c r="AO306" s="885">
        <f>IF(ISNUMBER(Producción_Ganadera[[#This Row],[Fecha Financiero]])=TRUE,YEAR(Producción_Ganadera[[#This Row],[Fecha Financiero]]),0)</f>
        <v>0</v>
      </c>
      <c r="AP306" s="889">
        <f>SUMPRODUCT((Producción_Ganadera[[#This Row],[Mes Financiero]]=Tipo_Cambio[Mes])*(Producción_Ganadera[[#This Row],[Año Financiero]]=Tipo_Cambio[Año])*(Tipo_Cambio[$/U$S]))</f>
        <v>0</v>
      </c>
      <c r="AQ306" s="889">
        <f>SUMPRODUCT((Producción_Ganadera[[#This Row],[Mes Financiero]]=Tipo_Cambio[Mes])*(Producción_Ganadera[[#This Row],[Año Financiero]]=Tipo_Cambio[Año])*(Tipo_Cambio[Actualización]))</f>
        <v>0</v>
      </c>
      <c r="AR306" s="919">
        <f>SUMPRODUCT((Producción_Ganadera[[#This Row],[Centro de Costo]]=Tabla19[Centro de Costo])*(Tabla19[Superficie])*(Producción_Ganadera[[#This Row],[Campaña]]=Tabla19[Campaña]))</f>
        <v>0</v>
      </c>
      <c r="AS306" s="918">
        <f>IFERROR(Producción_Ganadera[[#This Row],[Económico $Corrientes]]/Producción_Ganadera[[#This Row],[Superficie]],0)</f>
        <v>0</v>
      </c>
      <c r="AT306" s="918">
        <f>IFERROR(Producción_Ganadera[[#This Row],[Económico $Constantes]]/Producción_Ganadera[[#This Row],[Superficie]],0)</f>
        <v>0</v>
      </c>
      <c r="AU306" s="918">
        <f>IFERROR(Producción_Ganadera[[#This Row],[Económico U$S Dólares]]/Producción_Ganadera[[#This Row],[Superficie]],0)</f>
        <v>0</v>
      </c>
      <c r="AV306" s="916">
        <f>IF(Económico!$F$4=0,0,Producción_Ganadera[[#This Row],[Centro de Costo]])</f>
        <v>0</v>
      </c>
    </row>
    <row r="307" spans="2:48" x14ac:dyDescent="0.25">
      <c r="D307" s="478"/>
      <c r="E307" s="522"/>
      <c r="F307" s="869" t="str">
        <f t="shared" si="18"/>
        <v>2018-2019</v>
      </c>
      <c r="G307" s="491" t="str">
        <f t="shared" si="19"/>
        <v>Amortizaciones</v>
      </c>
      <c r="H307" s="491"/>
      <c r="I307" s="491"/>
      <c r="J307" s="549"/>
      <c r="K307" s="491"/>
      <c r="L307" s="520"/>
      <c r="M307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07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07" s="611"/>
      <c r="P307" s="484"/>
      <c r="Q307" s="875">
        <f>IF(ISNUMBER(Producción_Ganadera[[#This Row],[Cabezas]])=TRUE,Producción_Ganadera[[#This Row],[Cabezas]]*Producción_Ganadera[[#This Row],[Cantidad]],Producción_Ganadera[[#This Row],[Cantidad]])</f>
        <v>0</v>
      </c>
      <c r="R307" s="482"/>
      <c r="S307" s="552"/>
      <c r="T307" s="553"/>
      <c r="U307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07" s="881">
        <f>IFERROR(Producción_Ganadera[[#This Row],[Económico $Corrientes]]/Producción_Ganadera[[#This Row],[Indexación Económico]],0)</f>
        <v>0</v>
      </c>
      <c r="W307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07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07" s="881">
        <f>IFERROR(Producción_Ganadera[[#This Row],[Financiero $Corrientes]]/Producción_Ganadera[[#This Row],[Indexación Financiero]],0)</f>
        <v>0</v>
      </c>
      <c r="Z307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07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07" s="885">
        <f>IFERROR(Producción_Ganadera[[#This Row],[Intereses $Corrientes]]/Producción_Ganadera[[#This Row],[Indexación Financiero]],0)</f>
        <v>0</v>
      </c>
      <c r="AC307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07" s="915" t="str">
        <f>IFERROR(INDEX(Produccion_Ganadera_Cuentas[],MATCH(Producción_Ganadera[[#This Row],[Cuenta Contable]],Produccion_Ganadera_Cuentas[Cuenta Contable],0),2),0)</f>
        <v>Amortización</v>
      </c>
      <c r="AE307" s="916">
        <f>IF(Producción_Ganadera[[#This Row],[Mov. Stock]]="(+)",Producción_Ganadera[[#This Row],[Cabezas]],IF(Producción_Ganadera[[#This Row],[Mov. Stock]]="(-)",-Producción_Ganadera[[#This Row],[Cabezas]],0))</f>
        <v>0</v>
      </c>
      <c r="AF307" s="917">
        <f>IFERROR(INDEX(Produccion_Ganadera_Cuentas[],MATCH(Producción_Ganadera[[#This Row],[Cuenta Contable]],Produccion_Ganadera_Cuentas[Cuenta Contable],0),5),0)</f>
        <v>0</v>
      </c>
      <c r="AG307" s="918" t="str">
        <f>IF(Producción_Ganadera[[#This Row],[Cuenta Contable]]=Configuración!$AC$9,"Si","No")</f>
        <v>No</v>
      </c>
      <c r="AH307" s="887" t="str">
        <f>IFERROR(INDEX(Tabla9[],MATCH(Producción_Ganadera[[#This Row],[Movimiento]],Tabla9[Movimientos],0),2),0)</f>
        <v>No</v>
      </c>
      <c r="AI307" s="888" t="str">
        <f>IFERROR(INDEX(Tabla9[],MATCH(Producción_Ganadera[[#This Row],[Movimiento]],Tabla9[Movimientos],0),3),0)</f>
        <v>(-)</v>
      </c>
      <c r="AJ307" s="885">
        <f>IF(Producción_Ganadera[[#This Row],[Fecha Económico]]=0,0,MONTH(Producción_Ganadera[[#This Row],[Fecha Económico]]))</f>
        <v>0</v>
      </c>
      <c r="AK307" s="885">
        <f>IF(Producción_Ganadera[[#This Row],[Fecha Económico]]=0,0,YEAR(Producción_Ganadera[[#This Row],[Fecha Económico]]))</f>
        <v>0</v>
      </c>
      <c r="AL307" s="889">
        <f>SUMPRODUCT((Producción_Ganadera[[#This Row],[Mes Económico]]=Tipo_Cambio[Mes])*(Producción_Ganadera[[#This Row],[Año Económico]]=Tipo_Cambio[Año])*(Tipo_Cambio[$/U$S]))</f>
        <v>0</v>
      </c>
      <c r="AM307" s="889">
        <f>SUMPRODUCT((Producción_Ganadera[[#This Row],[Mes Económico]]=Tipo_Cambio[Mes])*(Producción_Ganadera[[#This Row],[Año Económico]]=Tipo_Cambio[Año])*(Tipo_Cambio[Actualización]))</f>
        <v>0</v>
      </c>
      <c r="AN307" s="885">
        <f>IF(ISNUMBER(Producción_Ganadera[[#This Row],[Fecha Financiero]])=TRUE,MONTH(Producción_Ganadera[[#This Row],[Fecha Financiero]]),0)</f>
        <v>0</v>
      </c>
      <c r="AO307" s="885">
        <f>IF(ISNUMBER(Producción_Ganadera[[#This Row],[Fecha Financiero]])=TRUE,YEAR(Producción_Ganadera[[#This Row],[Fecha Financiero]]),0)</f>
        <v>0</v>
      </c>
      <c r="AP307" s="889">
        <f>SUMPRODUCT((Producción_Ganadera[[#This Row],[Mes Financiero]]=Tipo_Cambio[Mes])*(Producción_Ganadera[[#This Row],[Año Financiero]]=Tipo_Cambio[Año])*(Tipo_Cambio[$/U$S]))</f>
        <v>0</v>
      </c>
      <c r="AQ307" s="889">
        <f>SUMPRODUCT((Producción_Ganadera[[#This Row],[Mes Financiero]]=Tipo_Cambio[Mes])*(Producción_Ganadera[[#This Row],[Año Financiero]]=Tipo_Cambio[Año])*(Tipo_Cambio[Actualización]))</f>
        <v>0</v>
      </c>
      <c r="AR307" s="919">
        <f>SUMPRODUCT((Producción_Ganadera[[#This Row],[Centro de Costo]]=Tabla19[Centro de Costo])*(Tabla19[Superficie])*(Producción_Ganadera[[#This Row],[Campaña]]=Tabla19[Campaña]))</f>
        <v>0</v>
      </c>
      <c r="AS307" s="918">
        <f>IFERROR(Producción_Ganadera[[#This Row],[Económico $Corrientes]]/Producción_Ganadera[[#This Row],[Superficie]],0)</f>
        <v>0</v>
      </c>
      <c r="AT307" s="918">
        <f>IFERROR(Producción_Ganadera[[#This Row],[Económico $Constantes]]/Producción_Ganadera[[#This Row],[Superficie]],0)</f>
        <v>0</v>
      </c>
      <c r="AU307" s="918">
        <f>IFERROR(Producción_Ganadera[[#This Row],[Económico U$S Dólares]]/Producción_Ganadera[[#This Row],[Superficie]],0)</f>
        <v>0</v>
      </c>
      <c r="AV307" s="916">
        <f>IF(Económico!$F$4=0,0,Producción_Ganadera[[#This Row],[Centro de Costo]])</f>
        <v>0</v>
      </c>
    </row>
    <row r="308" spans="2:48" x14ac:dyDescent="0.25">
      <c r="D308" s="478"/>
      <c r="E308" s="522"/>
      <c r="F308" s="869" t="str">
        <f t="shared" si="18"/>
        <v>2018-2019</v>
      </c>
      <c r="G308" s="491" t="str">
        <f t="shared" si="19"/>
        <v>Amortizaciones</v>
      </c>
      <c r="H308" s="491"/>
      <c r="I308" s="491"/>
      <c r="J308" s="549"/>
      <c r="K308" s="491"/>
      <c r="L308" s="520"/>
      <c r="M308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08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08" s="611"/>
      <c r="P308" s="484"/>
      <c r="Q308" s="875">
        <f>IF(ISNUMBER(Producción_Ganadera[[#This Row],[Cabezas]])=TRUE,Producción_Ganadera[[#This Row],[Cabezas]]*Producción_Ganadera[[#This Row],[Cantidad]],Producción_Ganadera[[#This Row],[Cantidad]])</f>
        <v>0</v>
      </c>
      <c r="R308" s="482"/>
      <c r="S308" s="552"/>
      <c r="T308" s="553"/>
      <c r="U308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08" s="881">
        <f>IFERROR(Producción_Ganadera[[#This Row],[Económico $Corrientes]]/Producción_Ganadera[[#This Row],[Indexación Económico]],0)</f>
        <v>0</v>
      </c>
      <c r="W308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08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08" s="881">
        <f>IFERROR(Producción_Ganadera[[#This Row],[Financiero $Corrientes]]/Producción_Ganadera[[#This Row],[Indexación Financiero]],0)</f>
        <v>0</v>
      </c>
      <c r="Z308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08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08" s="885">
        <f>IFERROR(Producción_Ganadera[[#This Row],[Intereses $Corrientes]]/Producción_Ganadera[[#This Row],[Indexación Financiero]],0)</f>
        <v>0</v>
      </c>
      <c r="AC308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08" s="915" t="str">
        <f>IFERROR(INDEX(Produccion_Ganadera_Cuentas[],MATCH(Producción_Ganadera[[#This Row],[Cuenta Contable]],Produccion_Ganadera_Cuentas[Cuenta Contable],0),2),0)</f>
        <v>Amortización</v>
      </c>
      <c r="AE308" s="916">
        <f>IF(Producción_Ganadera[[#This Row],[Mov. Stock]]="(+)",Producción_Ganadera[[#This Row],[Cabezas]],IF(Producción_Ganadera[[#This Row],[Mov. Stock]]="(-)",-Producción_Ganadera[[#This Row],[Cabezas]],0))</f>
        <v>0</v>
      </c>
      <c r="AF308" s="917">
        <f>IFERROR(INDEX(Produccion_Ganadera_Cuentas[],MATCH(Producción_Ganadera[[#This Row],[Cuenta Contable]],Produccion_Ganadera_Cuentas[Cuenta Contable],0),5),0)</f>
        <v>0</v>
      </c>
      <c r="AG308" s="918" t="str">
        <f>IF(Producción_Ganadera[[#This Row],[Cuenta Contable]]=Configuración!$AC$9,"Si","No")</f>
        <v>No</v>
      </c>
      <c r="AH308" s="887" t="str">
        <f>IFERROR(INDEX(Tabla9[],MATCH(Producción_Ganadera[[#This Row],[Movimiento]],Tabla9[Movimientos],0),2),0)</f>
        <v>No</v>
      </c>
      <c r="AI308" s="888" t="str">
        <f>IFERROR(INDEX(Tabla9[],MATCH(Producción_Ganadera[[#This Row],[Movimiento]],Tabla9[Movimientos],0),3),0)</f>
        <v>(-)</v>
      </c>
      <c r="AJ308" s="885">
        <f>IF(Producción_Ganadera[[#This Row],[Fecha Económico]]=0,0,MONTH(Producción_Ganadera[[#This Row],[Fecha Económico]]))</f>
        <v>0</v>
      </c>
      <c r="AK308" s="885">
        <f>IF(Producción_Ganadera[[#This Row],[Fecha Económico]]=0,0,YEAR(Producción_Ganadera[[#This Row],[Fecha Económico]]))</f>
        <v>0</v>
      </c>
      <c r="AL308" s="889">
        <f>SUMPRODUCT((Producción_Ganadera[[#This Row],[Mes Económico]]=Tipo_Cambio[Mes])*(Producción_Ganadera[[#This Row],[Año Económico]]=Tipo_Cambio[Año])*(Tipo_Cambio[$/U$S]))</f>
        <v>0</v>
      </c>
      <c r="AM308" s="889">
        <f>SUMPRODUCT((Producción_Ganadera[[#This Row],[Mes Económico]]=Tipo_Cambio[Mes])*(Producción_Ganadera[[#This Row],[Año Económico]]=Tipo_Cambio[Año])*(Tipo_Cambio[Actualización]))</f>
        <v>0</v>
      </c>
      <c r="AN308" s="885">
        <f>IF(ISNUMBER(Producción_Ganadera[[#This Row],[Fecha Financiero]])=TRUE,MONTH(Producción_Ganadera[[#This Row],[Fecha Financiero]]),0)</f>
        <v>0</v>
      </c>
      <c r="AO308" s="885">
        <f>IF(ISNUMBER(Producción_Ganadera[[#This Row],[Fecha Financiero]])=TRUE,YEAR(Producción_Ganadera[[#This Row],[Fecha Financiero]]),0)</f>
        <v>0</v>
      </c>
      <c r="AP308" s="889">
        <f>SUMPRODUCT((Producción_Ganadera[[#This Row],[Mes Financiero]]=Tipo_Cambio[Mes])*(Producción_Ganadera[[#This Row],[Año Financiero]]=Tipo_Cambio[Año])*(Tipo_Cambio[$/U$S]))</f>
        <v>0</v>
      </c>
      <c r="AQ308" s="889">
        <f>SUMPRODUCT((Producción_Ganadera[[#This Row],[Mes Financiero]]=Tipo_Cambio[Mes])*(Producción_Ganadera[[#This Row],[Año Financiero]]=Tipo_Cambio[Año])*(Tipo_Cambio[Actualización]))</f>
        <v>0</v>
      </c>
      <c r="AR308" s="919">
        <f>SUMPRODUCT((Producción_Ganadera[[#This Row],[Centro de Costo]]=Tabla19[Centro de Costo])*(Tabla19[Superficie])*(Producción_Ganadera[[#This Row],[Campaña]]=Tabla19[Campaña]))</f>
        <v>0</v>
      </c>
      <c r="AS308" s="918">
        <f>IFERROR(Producción_Ganadera[[#This Row],[Económico $Corrientes]]/Producción_Ganadera[[#This Row],[Superficie]],0)</f>
        <v>0</v>
      </c>
      <c r="AT308" s="918">
        <f>IFERROR(Producción_Ganadera[[#This Row],[Económico $Constantes]]/Producción_Ganadera[[#This Row],[Superficie]],0)</f>
        <v>0</v>
      </c>
      <c r="AU308" s="918">
        <f>IFERROR(Producción_Ganadera[[#This Row],[Económico U$S Dólares]]/Producción_Ganadera[[#This Row],[Superficie]],0)</f>
        <v>0</v>
      </c>
      <c r="AV308" s="916">
        <f>IF(Económico!$F$4=0,0,Producción_Ganadera[[#This Row],[Centro de Costo]])</f>
        <v>0</v>
      </c>
    </row>
    <row r="309" spans="2:48" x14ac:dyDescent="0.25">
      <c r="D309" s="478"/>
      <c r="E309" s="522"/>
      <c r="F309" s="869" t="str">
        <f t="shared" si="18"/>
        <v>2018-2019</v>
      </c>
      <c r="G309" s="491" t="str">
        <f t="shared" si="19"/>
        <v>Amortizaciones</v>
      </c>
      <c r="H309" s="491"/>
      <c r="I309" s="491"/>
      <c r="J309" s="549"/>
      <c r="K309" s="491"/>
      <c r="L309" s="520"/>
      <c r="M309" s="479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09" s="869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09" s="611"/>
      <c r="P309" s="484"/>
      <c r="Q309" s="875">
        <f>IF(ISNUMBER(Producción_Ganadera[[#This Row],[Cabezas]])=TRUE,Producción_Ganadera[[#This Row],[Cabezas]]*Producción_Ganadera[[#This Row],[Cantidad]],Producción_Ganadera[[#This Row],[Cantidad]])</f>
        <v>0</v>
      </c>
      <c r="R309" s="482"/>
      <c r="S309" s="552"/>
      <c r="T309" s="553"/>
      <c r="U309" s="88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09" s="881">
        <f>IFERROR(Producción_Ganadera[[#This Row],[Económico $Corrientes]]/Producción_Ganadera[[#This Row],[Indexación Económico]],0)</f>
        <v>0</v>
      </c>
      <c r="W309" s="882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09" s="883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09" s="881">
        <f>IFERROR(Producción_Ganadera[[#This Row],[Financiero $Corrientes]]/Producción_Ganadera[[#This Row],[Indexación Financiero]],0)</f>
        <v>0</v>
      </c>
      <c r="Z309" s="914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09" s="884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09" s="885">
        <f>IFERROR(Producción_Ganadera[[#This Row],[Intereses $Corrientes]]/Producción_Ganadera[[#This Row],[Indexación Financiero]],0)</f>
        <v>0</v>
      </c>
      <c r="AC309" s="885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09" s="915" t="str">
        <f>IFERROR(INDEX(Produccion_Ganadera_Cuentas[],MATCH(Producción_Ganadera[[#This Row],[Cuenta Contable]],Produccion_Ganadera_Cuentas[Cuenta Contable],0),2),0)</f>
        <v>Amortización</v>
      </c>
      <c r="AE309" s="916">
        <f>IF(Producción_Ganadera[[#This Row],[Mov. Stock]]="(+)",Producción_Ganadera[[#This Row],[Cabezas]],IF(Producción_Ganadera[[#This Row],[Mov. Stock]]="(-)",-Producción_Ganadera[[#This Row],[Cabezas]],0))</f>
        <v>0</v>
      </c>
      <c r="AF309" s="917">
        <f>IFERROR(INDEX(Produccion_Ganadera_Cuentas[],MATCH(Producción_Ganadera[[#This Row],[Cuenta Contable]],Produccion_Ganadera_Cuentas[Cuenta Contable],0),5),0)</f>
        <v>0</v>
      </c>
      <c r="AG309" s="918" t="str">
        <f>IF(Producción_Ganadera[[#This Row],[Cuenta Contable]]=Configuración!$AC$9,"Si","No")</f>
        <v>No</v>
      </c>
      <c r="AH309" s="887" t="str">
        <f>IFERROR(INDEX(Tabla9[],MATCH(Producción_Ganadera[[#This Row],[Movimiento]],Tabla9[Movimientos],0),2),0)</f>
        <v>No</v>
      </c>
      <c r="AI309" s="888" t="str">
        <f>IFERROR(INDEX(Tabla9[],MATCH(Producción_Ganadera[[#This Row],[Movimiento]],Tabla9[Movimientos],0),3),0)</f>
        <v>(-)</v>
      </c>
      <c r="AJ309" s="885">
        <f>IF(Producción_Ganadera[[#This Row],[Fecha Económico]]=0,0,MONTH(Producción_Ganadera[[#This Row],[Fecha Económico]]))</f>
        <v>0</v>
      </c>
      <c r="AK309" s="885">
        <f>IF(Producción_Ganadera[[#This Row],[Fecha Económico]]=0,0,YEAR(Producción_Ganadera[[#This Row],[Fecha Económico]]))</f>
        <v>0</v>
      </c>
      <c r="AL309" s="889">
        <f>SUMPRODUCT((Producción_Ganadera[[#This Row],[Mes Económico]]=Tipo_Cambio[Mes])*(Producción_Ganadera[[#This Row],[Año Económico]]=Tipo_Cambio[Año])*(Tipo_Cambio[$/U$S]))</f>
        <v>0</v>
      </c>
      <c r="AM309" s="889">
        <f>SUMPRODUCT((Producción_Ganadera[[#This Row],[Mes Económico]]=Tipo_Cambio[Mes])*(Producción_Ganadera[[#This Row],[Año Económico]]=Tipo_Cambio[Año])*(Tipo_Cambio[Actualización]))</f>
        <v>0</v>
      </c>
      <c r="AN309" s="885">
        <f>IF(ISNUMBER(Producción_Ganadera[[#This Row],[Fecha Financiero]])=TRUE,MONTH(Producción_Ganadera[[#This Row],[Fecha Financiero]]),0)</f>
        <v>0</v>
      </c>
      <c r="AO309" s="885">
        <f>IF(ISNUMBER(Producción_Ganadera[[#This Row],[Fecha Financiero]])=TRUE,YEAR(Producción_Ganadera[[#This Row],[Fecha Financiero]]),0)</f>
        <v>0</v>
      </c>
      <c r="AP309" s="889">
        <f>SUMPRODUCT((Producción_Ganadera[[#This Row],[Mes Financiero]]=Tipo_Cambio[Mes])*(Producción_Ganadera[[#This Row],[Año Financiero]]=Tipo_Cambio[Año])*(Tipo_Cambio[$/U$S]))</f>
        <v>0</v>
      </c>
      <c r="AQ309" s="889">
        <f>SUMPRODUCT((Producción_Ganadera[[#This Row],[Mes Financiero]]=Tipo_Cambio[Mes])*(Producción_Ganadera[[#This Row],[Año Financiero]]=Tipo_Cambio[Año])*(Tipo_Cambio[Actualización]))</f>
        <v>0</v>
      </c>
      <c r="AR309" s="919">
        <f>SUMPRODUCT((Producción_Ganadera[[#This Row],[Centro de Costo]]=Tabla19[Centro de Costo])*(Tabla19[Superficie])*(Producción_Ganadera[[#This Row],[Campaña]]=Tabla19[Campaña]))</f>
        <v>0</v>
      </c>
      <c r="AS309" s="918">
        <f>IFERROR(Producción_Ganadera[[#This Row],[Económico $Corrientes]]/Producción_Ganadera[[#This Row],[Superficie]],0)</f>
        <v>0</v>
      </c>
      <c r="AT309" s="918">
        <f>IFERROR(Producción_Ganadera[[#This Row],[Económico $Constantes]]/Producción_Ganadera[[#This Row],[Superficie]],0)</f>
        <v>0</v>
      </c>
      <c r="AU309" s="918">
        <f>IFERROR(Producción_Ganadera[[#This Row],[Económico U$S Dólares]]/Producción_Ganadera[[#This Row],[Superficie]],0)</f>
        <v>0</v>
      </c>
      <c r="AV309" s="916">
        <f>IF(Económico!$F$4=0,0,Producción_Ganadera[[#This Row],[Centro de Costo]])</f>
        <v>0</v>
      </c>
    </row>
    <row r="310" spans="2:48" ht="15.75" thickBot="1" x14ac:dyDescent="0.3">
      <c r="B310" s="373" t="s">
        <v>101</v>
      </c>
      <c r="C310" s="70"/>
      <c r="D310" s="603"/>
      <c r="E310" s="603"/>
      <c r="F310" s="868" t="str">
        <f t="shared" si="18"/>
        <v>2018-2019</v>
      </c>
      <c r="G310" s="605" t="str">
        <f t="shared" si="19"/>
        <v>Amortizaciones</v>
      </c>
      <c r="H310" s="605"/>
      <c r="I310" s="605"/>
      <c r="J310" s="606"/>
      <c r="K310" s="605"/>
      <c r="L310" s="607">
        <f>SUMPRODUCT((Producción_Ganadera[[#This Row],[Centro de Costo]]=$H$5:$H$101)*(Producción_Ganadera[[#This Row],[Categoría Hacienda]]=$I$5:$I$101)*($AE$5:$AE$101))</f>
        <v>0</v>
      </c>
      <c r="M310" s="604">
        <f>SUMPRODUCT((Producción_Ganadera[[#This Row],[Fecha Económico]]&gt;=Producción_Ganadera[Fecha Económico])*(Producción_Ganadera[[#This Row],[Centro de Costo]]=Producción_Ganadera[Centro de Costo])*(Producción_Ganadera[[#This Row],[Categoría Hacienda]]=Producción_Ganadera[Categoría Hacienda])*(Producción_Ganadera[Variación Stock]))</f>
        <v>0</v>
      </c>
      <c r="N310" s="868">
        <f>IF(Producción_Ganadera[[#This Row],[Categoría Hacienda]]=0,0,IF(Producción_Ganadera[[#This Row],[Cantidad]]=1,SUMPRODUCT((Producción_Ganadera[[#This Row],[Categoría Hacienda]]=Produccion_Ganadera[Categoría])*(Produccion_Ganadera[Kg Inventario])),Producción_Ganadera[[#This Row],[Cantidad]]))*IF(Producción_Ganadera[[#This Row],[Mov. Stock]]="(-)",1,-1)</f>
        <v>0</v>
      </c>
      <c r="O310" s="608"/>
      <c r="P310" s="605"/>
      <c r="Q310" s="877">
        <f>IF(ISNUMBER(Producción_Ganadera[[#This Row],[Cabezas]])=TRUE,Producción_Ganadera[[#This Row],[Cabezas]]*Producción_Ganadera[[#This Row],[Cantidad]],Producción_Ganadera[[#This Row],[Cantidad]])</f>
        <v>0</v>
      </c>
      <c r="R310" s="605"/>
      <c r="S310" s="608"/>
      <c r="T310" s="609"/>
      <c r="U310" s="903">
        <f>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Económico]]),0)</f>
        <v>0</v>
      </c>
      <c r="V310" s="903">
        <f>IFERROR(Producción_Ganadera[[#This Row],[Económico $Corrientes]]/Producción_Ganadera[[#This Row],[Indexación Económico]],0)</f>
        <v>0</v>
      </c>
      <c r="W310" s="904">
        <f>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Económico]]),0)</f>
        <v>0</v>
      </c>
      <c r="X310" s="905">
        <f>IF(Producción_Ganadera[[#This Row],[Fin.]]="No",0,1)*IF(Producción_Ganadera[[#This Row],[Signo]]="(+)",1,-1)*IFERROR(IF(Producción_Ganadera[[#This Row],[Moneda]]="$",Producción_Ganadera[[#This Row],[Cantidad Total]]*Producción_Ganadera[[#This Row],[Precio Unitario]],Producción_Ganadera[[#This Row],[Cantidad Total]]*Producción_Ganadera[[#This Row],[Precio Unitario]]*Producción_Ganadera[[#This Row],[T. Cambio Financiero]]),0)</f>
        <v>0</v>
      </c>
      <c r="Y310" s="903">
        <f>IFERROR(Producción_Ganadera[[#This Row],[Financiero $Corrientes]]/Producción_Ganadera[[#This Row],[Indexación Financiero]],0)</f>
        <v>0</v>
      </c>
      <c r="Z310" s="903">
        <f>IF(Producción_Ganadera[[#This Row],[Fin.]]="No",0,1)*IF(Producción_Ganadera[[#This Row],[Signo]]="(+)",1,-1)*IFERROR(IF(Producción_Ganadera[[#This Row],[Moneda]]="U$S",Producción_Ganadera[[#This Row],[Cantidad Total]]*Producción_Ganadera[[#This Row],[Precio Unitario]],Producción_Ganadera[[#This Row],[Cantidad Total]]*Producción_Ganadera[[#This Row],[Precio Unitario]]/Producción_Ganadera[[#This Row],[T. Cambio Financiero]]),0)</f>
        <v>0</v>
      </c>
      <c r="AA310" s="906">
        <f>IFERROR((Producción_Ganadera[[#This Row],[Tasa Anual de Interés]]/12)*((Producción_Ganadera[[#This Row],[Fecha Financiero]]-Producción_Ganadera[[#This Row],[Fecha Económico]])/30)*IF(Producción_Ganadera[[#This Row],[Moneda]]="$",Producción_Ganadera[[#This Row],[Económico $Corrientes]],Producción_Ganadera[[#This Row],[Económico U$S Dólares]]*Producción_Ganadera[[#This Row],[T. Cambio Financiero]]),0)</f>
        <v>0</v>
      </c>
      <c r="AB310" s="907">
        <f>IFERROR(Producción_Ganadera[[#This Row],[Intereses $Corrientes]]/Producción_Ganadera[[#This Row],[Indexación Financiero]],0)</f>
        <v>0</v>
      </c>
      <c r="AC310" s="907">
        <f>IFERROR((Producción_Ganadera[[#This Row],[Tasa Anual de Interés]]/12)*((Producción_Ganadera[[#This Row],[Fecha Financiero]]-Producción_Ganadera[[#This Row],[Fecha Económico]])/30)*IF(Producción_Ganadera[[#This Row],[Moneda]]="U$$",Producción_Ganadera[[#This Row],[Económico U$S Dólares]],Producción_Ganadera[[#This Row],[Económico $Corrientes]]/Producción_Ganadera[[#This Row],[T. Cambio Financiero]]),0)</f>
        <v>0</v>
      </c>
      <c r="AD310" s="908" t="str">
        <f>IFERROR(INDEX(Produccion_Ganadera_Cuentas[],MATCH(Producción_Ganadera[[#This Row],[Cuenta Contable]],Produccion_Ganadera_Cuentas[Cuenta Contable],0),2),0)</f>
        <v>Amortización</v>
      </c>
      <c r="AE310" s="909">
        <f>IF(Producción_Ganadera[[#This Row],[Mov. Stock]]="(+)",Producción_Ganadera[[#This Row],[Cabezas]],IF(Producción_Ganadera[[#This Row],[Mov. Stock]]="(-)",-Producción_Ganadera[[#This Row],[Cabezas]],0))</f>
        <v>0</v>
      </c>
      <c r="AF310" s="910">
        <f>IFERROR(INDEX(Produccion_Ganadera_Cuentas[],MATCH(Producción_Ganadera[[#This Row],[Cuenta Contable]],Produccion_Ganadera_Cuentas[Cuenta Contable],0),5),0)</f>
        <v>0</v>
      </c>
      <c r="AG310" s="911" t="str">
        <f>IF(Producción_Ganadera[[#This Row],[Cuenta Contable]]=Configuración!$AC$9,"Si","No")</f>
        <v>No</v>
      </c>
      <c r="AH310" s="909" t="str">
        <f>IFERROR(INDEX(Tabla9[],MATCH(Producción_Ganadera[[#This Row],[Movimiento]],Tabla9[Movimientos],0),2),0)</f>
        <v>No</v>
      </c>
      <c r="AI310" s="910" t="str">
        <f>IFERROR(INDEX(Tabla9[],MATCH(Producción_Ganadera[[#This Row],[Movimiento]],Tabla9[Movimientos],0),3),0)</f>
        <v>(-)</v>
      </c>
      <c r="AJ310" s="907">
        <f>IF(Producción_Ganadera[[#This Row],[Fecha Económico]]=0,0,MONTH(Producción_Ganadera[[#This Row],[Fecha Económico]]))</f>
        <v>0</v>
      </c>
      <c r="AK310" s="907">
        <f>IF(Producción_Ganadera[[#This Row],[Fecha Económico]]=0,0,YEAR(Producción_Ganadera[[#This Row],[Fecha Económico]]))</f>
        <v>0</v>
      </c>
      <c r="AL310" s="911">
        <f>SUMPRODUCT((Producción_Ganadera[[#This Row],[Mes Económico]]=Tipo_Cambio[Mes])*(Producción_Ganadera[[#This Row],[Año Económico]]=Tipo_Cambio[Año])*(Tipo_Cambio[$/U$S]))</f>
        <v>0</v>
      </c>
      <c r="AM310" s="911">
        <f>SUMPRODUCT((Producción_Ganadera[[#This Row],[Mes Económico]]=Tipo_Cambio[Mes])*(Producción_Ganadera[[#This Row],[Año Económico]]=Tipo_Cambio[Año])*(Tipo_Cambio[Actualización]))</f>
        <v>0</v>
      </c>
      <c r="AN310" s="907">
        <f>IF(ISNUMBER(Producción_Ganadera[[#This Row],[Fecha Financiero]])=TRUE,MONTH(Producción_Ganadera[[#This Row],[Fecha Financiero]]),0)</f>
        <v>0</v>
      </c>
      <c r="AO310" s="907">
        <f>IF(ISNUMBER(Producción_Ganadera[[#This Row],[Fecha Financiero]])=TRUE,YEAR(Producción_Ganadera[[#This Row],[Fecha Financiero]]),0)</f>
        <v>0</v>
      </c>
      <c r="AP310" s="911">
        <f>SUMPRODUCT((Producción_Ganadera[[#This Row],[Mes Financiero]]=Tipo_Cambio[Mes])*(Producción_Ganadera[[#This Row],[Año Financiero]]=Tipo_Cambio[Año])*(Tipo_Cambio[$/U$S]))</f>
        <v>0</v>
      </c>
      <c r="AQ310" s="911">
        <f>SUMPRODUCT((Producción_Ganadera[[#This Row],[Mes Financiero]]=Tipo_Cambio[Mes])*(Producción_Ganadera[[#This Row],[Año Financiero]]=Tipo_Cambio[Año])*(Tipo_Cambio[Actualización]))</f>
        <v>0</v>
      </c>
      <c r="AR310" s="912">
        <f>SUMPRODUCT((Producción_Ganadera[[#This Row],[Centro de Costo]]=Tabla19[Centro de Costo])*(Tabla19[Superficie])*(Producción_Ganadera[[#This Row],[Campaña]]=Tabla19[Campaña]))</f>
        <v>0</v>
      </c>
      <c r="AS310" s="911">
        <f>IFERROR(Producción_Ganadera[[#This Row],[Económico $Corrientes]]/Producción_Ganadera[[#This Row],[Superficie]],0)</f>
        <v>0</v>
      </c>
      <c r="AT310" s="911">
        <f>IFERROR(Producción_Ganadera[[#This Row],[Económico $Constantes]]/Producción_Ganadera[[#This Row],[Superficie]],0)</f>
        <v>0</v>
      </c>
      <c r="AU310" s="911">
        <f>IFERROR(Producción_Ganadera[[#This Row],[Económico U$S Dólares]]/Producción_Ganadera[[#This Row],[Superficie]],0)</f>
        <v>0</v>
      </c>
      <c r="AV310" s="909">
        <f>IF(Económico!$F$4=0,0,Producción_Ganadera[[#This Row],[Centro de Costo]])</f>
        <v>0</v>
      </c>
    </row>
    <row r="311" spans="2:48" ht="15.75" thickTop="1" x14ac:dyDescent="0.25"/>
  </sheetData>
  <mergeCells count="13">
    <mergeCell ref="B297:B299"/>
    <mergeCell ref="B58:B60"/>
    <mergeCell ref="B102:B104"/>
    <mergeCell ref="B110:B111"/>
    <mergeCell ref="B112:B113"/>
    <mergeCell ref="B143:B145"/>
    <mergeCell ref="B66:B68"/>
    <mergeCell ref="B74:B76"/>
    <mergeCell ref="I3:P3"/>
    <mergeCell ref="B5:B7"/>
    <mergeCell ref="B30:B32"/>
    <mergeCell ref="B50:B52"/>
    <mergeCell ref="B270:B272"/>
  </mergeCells>
  <conditionalFormatting sqref="E29:E57 E5:E15 E310 E66:E85">
    <cfRule type="expression" dxfId="285" priority="84">
      <formula>AH5="No"</formula>
    </cfRule>
  </conditionalFormatting>
  <conditionalFormatting sqref="T29:T57 T5:T15 T66:T85">
    <cfRule type="expression" dxfId="284" priority="113">
      <formula>AH5="No"</formula>
    </cfRule>
    <cfRule type="expression" dxfId="283" priority="114">
      <formula>D5=E5</formula>
    </cfRule>
  </conditionalFormatting>
  <conditionalFormatting sqref="E143:E153">
    <cfRule type="expression" dxfId="282" priority="79">
      <formula>AH143="No"</formula>
    </cfRule>
  </conditionalFormatting>
  <conditionalFormatting sqref="T143:T310">
    <cfRule type="expression" dxfId="281" priority="80">
      <formula>AH143="No"</formula>
    </cfRule>
    <cfRule type="expression" dxfId="280" priority="81">
      <formula>D143=E143</formula>
    </cfRule>
  </conditionalFormatting>
  <conditionalFormatting sqref="E16">
    <cfRule type="expression" dxfId="279" priority="75">
      <formula>AH16="No"</formula>
    </cfRule>
  </conditionalFormatting>
  <conditionalFormatting sqref="T16">
    <cfRule type="expression" dxfId="278" priority="76">
      <formula>AH16="No"</formula>
    </cfRule>
    <cfRule type="expression" dxfId="277" priority="77">
      <formula>D16=E16</formula>
    </cfRule>
  </conditionalFormatting>
  <conditionalFormatting sqref="E154">
    <cfRule type="expression" dxfId="276" priority="73">
      <formula>AH154="No"</formula>
    </cfRule>
  </conditionalFormatting>
  <conditionalFormatting sqref="J5:J16 J29:J57 J143:J310 J66:J85">
    <cfRule type="expression" dxfId="275" priority="65">
      <formula>AG5="No"</formula>
    </cfRule>
  </conditionalFormatting>
  <conditionalFormatting sqref="E17:E27">
    <cfRule type="expression" dxfId="274" priority="57">
      <formula>AH17="No"</formula>
    </cfRule>
  </conditionalFormatting>
  <conditionalFormatting sqref="T17:T27">
    <cfRule type="expression" dxfId="273" priority="58">
      <formula>AH17="No"</formula>
    </cfRule>
    <cfRule type="expression" dxfId="272" priority="59">
      <formula>D17=E17</formula>
    </cfRule>
  </conditionalFormatting>
  <conditionalFormatting sqref="E28">
    <cfRule type="expression" dxfId="271" priority="53">
      <formula>AH28="No"</formula>
    </cfRule>
  </conditionalFormatting>
  <conditionalFormatting sqref="T28">
    <cfRule type="expression" dxfId="270" priority="54">
      <formula>AH28="No"</formula>
    </cfRule>
    <cfRule type="expression" dxfId="269" priority="55">
      <formula>D28=E28</formula>
    </cfRule>
  </conditionalFormatting>
  <conditionalFormatting sqref="J17:J28">
    <cfRule type="expression" dxfId="268" priority="50">
      <formula>AG17="No"</formula>
    </cfRule>
  </conditionalFormatting>
  <conditionalFormatting sqref="I5:I57 I143:I154 I310 I66:I85">
    <cfRule type="expression" dxfId="267" priority="48">
      <formula>AF5=0</formula>
    </cfRule>
  </conditionalFormatting>
  <conditionalFormatting sqref="L5:M57 L143:M310 L66:M85">
    <cfRule type="expression" dxfId="266" priority="47">
      <formula>AF5=0</formula>
    </cfRule>
  </conditionalFormatting>
  <conditionalFormatting sqref="N5:N57 N143:N310 N66:N85">
    <cfRule type="expression" dxfId="265" priority="46">
      <formula>AF5=0</formula>
    </cfRule>
  </conditionalFormatting>
  <conditionalFormatting sqref="E86:E89">
    <cfRule type="expression" dxfId="264" priority="43">
      <formula>AH86="No"</formula>
    </cfRule>
  </conditionalFormatting>
  <conditionalFormatting sqref="T86:T89">
    <cfRule type="expression" dxfId="263" priority="44">
      <formula>AH86="No"</formula>
    </cfRule>
    <cfRule type="expression" dxfId="262" priority="45">
      <formula>D86=E86</formula>
    </cfRule>
  </conditionalFormatting>
  <conditionalFormatting sqref="J86:J89">
    <cfRule type="expression" dxfId="261" priority="42">
      <formula>AG86="No"</formula>
    </cfRule>
  </conditionalFormatting>
  <conditionalFormatting sqref="I86:I89">
    <cfRule type="expression" dxfId="260" priority="41">
      <formula>AF86=0</formula>
    </cfRule>
  </conditionalFormatting>
  <conditionalFormatting sqref="L86:M89">
    <cfRule type="expression" dxfId="259" priority="40">
      <formula>AF86=0</formula>
    </cfRule>
  </conditionalFormatting>
  <conditionalFormatting sqref="N86:N89">
    <cfRule type="expression" dxfId="258" priority="39">
      <formula>AF86=0</formula>
    </cfRule>
  </conditionalFormatting>
  <conditionalFormatting sqref="E90:E93">
    <cfRule type="expression" dxfId="257" priority="36">
      <formula>AH90="No"</formula>
    </cfRule>
  </conditionalFormatting>
  <conditionalFormatting sqref="T90:T93">
    <cfRule type="expression" dxfId="256" priority="37">
      <formula>AH90="No"</formula>
    </cfRule>
    <cfRule type="expression" dxfId="255" priority="38">
      <formula>D90=E90</formula>
    </cfRule>
  </conditionalFormatting>
  <conditionalFormatting sqref="J90:J93">
    <cfRule type="expression" dxfId="254" priority="35">
      <formula>AG90="No"</formula>
    </cfRule>
  </conditionalFormatting>
  <conditionalFormatting sqref="I90:I93">
    <cfRule type="expression" dxfId="253" priority="34">
      <formula>AF90=0</formula>
    </cfRule>
  </conditionalFormatting>
  <conditionalFormatting sqref="L90:M93">
    <cfRule type="expression" dxfId="252" priority="33">
      <formula>AF90=0</formula>
    </cfRule>
  </conditionalFormatting>
  <conditionalFormatting sqref="N90:N93">
    <cfRule type="expression" dxfId="251" priority="32">
      <formula>AF90=0</formula>
    </cfRule>
  </conditionalFormatting>
  <conditionalFormatting sqref="E94:E97">
    <cfRule type="expression" dxfId="250" priority="29">
      <formula>AH94="No"</formula>
    </cfRule>
  </conditionalFormatting>
  <conditionalFormatting sqref="T94:T97">
    <cfRule type="expression" dxfId="249" priority="30">
      <formula>AH94="No"</formula>
    </cfRule>
    <cfRule type="expression" dxfId="248" priority="31">
      <formula>D94=E94</formula>
    </cfRule>
  </conditionalFormatting>
  <conditionalFormatting sqref="J94:J97">
    <cfRule type="expression" dxfId="247" priority="28">
      <formula>AG94="No"</formula>
    </cfRule>
  </conditionalFormatting>
  <conditionalFormatting sqref="I94:I97">
    <cfRule type="expression" dxfId="246" priority="27">
      <formula>AF94=0</formula>
    </cfRule>
  </conditionalFormatting>
  <conditionalFormatting sqref="L94:M97">
    <cfRule type="expression" dxfId="245" priority="26">
      <formula>AF94=0</formula>
    </cfRule>
  </conditionalFormatting>
  <conditionalFormatting sqref="N94:N97">
    <cfRule type="expression" dxfId="244" priority="25">
      <formula>AF94=0</formula>
    </cfRule>
  </conditionalFormatting>
  <conditionalFormatting sqref="E98:E101">
    <cfRule type="expression" dxfId="243" priority="22">
      <formula>AH98="No"</formula>
    </cfRule>
  </conditionalFormatting>
  <conditionalFormatting sqref="T98:T101">
    <cfRule type="expression" dxfId="242" priority="23">
      <formula>AH98="No"</formula>
    </cfRule>
    <cfRule type="expression" dxfId="241" priority="24">
      <formula>D98=E98</formula>
    </cfRule>
  </conditionalFormatting>
  <conditionalFormatting sqref="J98:J101">
    <cfRule type="expression" dxfId="240" priority="21">
      <formula>AG98="No"</formula>
    </cfRule>
  </conditionalFormatting>
  <conditionalFormatting sqref="I98:I101">
    <cfRule type="expression" dxfId="239" priority="20">
      <formula>AF98=0</formula>
    </cfRule>
  </conditionalFormatting>
  <conditionalFormatting sqref="L98:M101">
    <cfRule type="expression" dxfId="238" priority="19">
      <formula>AF98=0</formula>
    </cfRule>
  </conditionalFormatting>
  <conditionalFormatting sqref="N98:N101">
    <cfRule type="expression" dxfId="237" priority="18">
      <formula>AF98=0</formula>
    </cfRule>
  </conditionalFormatting>
  <conditionalFormatting sqref="E102:E142">
    <cfRule type="expression" dxfId="236" priority="15">
      <formula>AH102="No"</formula>
    </cfRule>
  </conditionalFormatting>
  <conditionalFormatting sqref="T102:T142">
    <cfRule type="expression" dxfId="235" priority="16">
      <formula>AH102="No"</formula>
    </cfRule>
    <cfRule type="expression" dxfId="234" priority="17">
      <formula>D102=E102</formula>
    </cfRule>
  </conditionalFormatting>
  <conditionalFormatting sqref="J102:J142">
    <cfRule type="expression" dxfId="233" priority="14">
      <formula>AG102="No"</formula>
    </cfRule>
  </conditionalFormatting>
  <conditionalFormatting sqref="I102:I142">
    <cfRule type="expression" dxfId="232" priority="13">
      <formula>AF102=0</formula>
    </cfRule>
  </conditionalFormatting>
  <conditionalFormatting sqref="L102:M142">
    <cfRule type="expression" dxfId="231" priority="12">
      <formula>AF102=0</formula>
    </cfRule>
  </conditionalFormatting>
  <conditionalFormatting sqref="N102:N142">
    <cfRule type="expression" dxfId="230" priority="11">
      <formula>AF102=0</formula>
    </cfRule>
  </conditionalFormatting>
  <conditionalFormatting sqref="E155:E165">
    <cfRule type="expression" dxfId="229" priority="10">
      <formula>AH155="No"</formula>
    </cfRule>
  </conditionalFormatting>
  <conditionalFormatting sqref="E166:E309">
    <cfRule type="expression" dxfId="228" priority="9">
      <formula>AH166="No"</formula>
    </cfRule>
  </conditionalFormatting>
  <conditionalFormatting sqref="I155:I309">
    <cfRule type="expression" dxfId="227" priority="8">
      <formula>AF155=0</formula>
    </cfRule>
  </conditionalFormatting>
  <conditionalFormatting sqref="E58:E65">
    <cfRule type="expression" dxfId="226" priority="5">
      <formula>AH58="No"</formula>
    </cfRule>
  </conditionalFormatting>
  <conditionalFormatting sqref="T58:T65">
    <cfRule type="expression" dxfId="225" priority="6">
      <formula>AH58="No"</formula>
    </cfRule>
    <cfRule type="expression" dxfId="224" priority="7">
      <formula>D58=E58</formula>
    </cfRule>
  </conditionalFormatting>
  <conditionalFormatting sqref="J58:J65">
    <cfRule type="expression" dxfId="223" priority="4">
      <formula>AG58="No"</formula>
    </cfRule>
  </conditionalFormatting>
  <conditionalFormatting sqref="I58:I65">
    <cfRule type="expression" dxfId="222" priority="3">
      <formula>AF58=0</formula>
    </cfRule>
  </conditionalFormatting>
  <conditionalFormatting sqref="L58:M65">
    <cfRule type="expression" dxfId="221" priority="2">
      <formula>AF58=0</formula>
    </cfRule>
  </conditionalFormatting>
  <conditionalFormatting sqref="N58:N65">
    <cfRule type="expression" dxfId="220" priority="1">
      <formula>AF58=0</formula>
    </cfRule>
  </conditionalFormatting>
  <dataValidations count="6">
    <dataValidation type="list" allowBlank="1" showInputMessage="1" showErrorMessage="1" sqref="G5:G310">
      <formula1>Cuentas_Ganaderas</formula1>
    </dataValidation>
    <dataValidation type="list" allowBlank="1" showInputMessage="1" showErrorMessage="1" sqref="S5:S310">
      <formula1>"$,U$S"</formula1>
    </dataValidation>
    <dataValidation type="list" allowBlank="1" showInputMessage="1" showErrorMessage="1" sqref="I5:I310">
      <formula1>Categoria_Hacienda</formula1>
    </dataValidation>
    <dataValidation type="list" allowBlank="1" showInputMessage="1" showErrorMessage="1" sqref="H5:H310">
      <formula1>INDIRECT("Centros_Costo")</formula1>
    </dataValidation>
    <dataValidation type="list" allowBlank="1" showInputMessage="1" showErrorMessage="1" sqref="F5:F310">
      <formula1>INDIRECT("Campaña")</formula1>
    </dataValidation>
    <dataValidation type="list" allowBlank="1" showInputMessage="1" showErrorMessage="1" sqref="J5:J310">
      <formula1>Producto_Agricola</formula1>
    </dataValidation>
  </dataValidations>
  <hyperlinks>
    <hyperlink ref="D2" location="'Asistente de Carga'!A1" display="Volver al Asistente de Carga"/>
    <hyperlink ref="E2" location="'Financiero U$S'!A1" display="Presupuesto Financiero"/>
  </hyperlinks>
  <pageMargins left="0.7" right="0.7" top="0.75" bottom="0.75" header="0.3" footer="0.3"/>
  <pageSetup orientation="portrait" r:id="rId1"/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Configuración!$AT$5</xm:f>
          </x14:formula1>
          <xm:sqref>B5:B7</xm:sqref>
        </x14:dataValidation>
        <x14:dataValidation type="list" allowBlank="1" showInputMessage="1" showErrorMessage="1">
          <x14:formula1>
            <xm:f>Configuración!$AT$11</xm:f>
          </x14:formula1>
          <xm:sqref>B30:B32</xm:sqref>
        </x14:dataValidation>
        <x14:dataValidation type="list" allowBlank="1" showInputMessage="1" showErrorMessage="1">
          <x14:formula1>
            <xm:f>Configuración!$AT$12</xm:f>
          </x14:formula1>
          <xm:sqref>B50:B52</xm:sqref>
        </x14:dataValidation>
        <x14:dataValidation type="list" allowBlank="1" showInputMessage="1" showErrorMessage="1">
          <x14:formula1>
            <xm:f>Configuración!$AT$14</xm:f>
          </x14:formula1>
          <xm:sqref>B66:B68</xm:sqref>
        </x14:dataValidation>
        <x14:dataValidation type="list" allowBlank="1" showInputMessage="1" showErrorMessage="1">
          <x14:formula1>
            <xm:f>Configuración!$AT$7</xm:f>
          </x14:formula1>
          <xm:sqref>B74:B76</xm:sqref>
        </x14:dataValidation>
        <x14:dataValidation type="list" allowBlank="1" showInputMessage="1" showErrorMessage="1">
          <x14:formula1>
            <xm:f>Configuración!$AT$10</xm:f>
          </x14:formula1>
          <xm:sqref>B102:B104</xm:sqref>
        </x14:dataValidation>
        <x14:dataValidation type="list" allowBlank="1" showInputMessage="1" showErrorMessage="1">
          <x14:formula1>
            <xm:f>Configuración!$AT$9</xm:f>
          </x14:formula1>
          <xm:sqref>B110:B111</xm:sqref>
        </x14:dataValidation>
        <x14:dataValidation type="list" allowBlank="1" showInputMessage="1" showErrorMessage="1">
          <x14:formula1>
            <xm:f>Configuración!$AT$13</xm:f>
          </x14:formula1>
          <xm:sqref>B112:B113</xm:sqref>
        </x14:dataValidation>
        <x14:dataValidation type="list" allowBlank="1" showInputMessage="1" showErrorMessage="1">
          <x14:formula1>
            <xm:f>Configuración!$AT$6</xm:f>
          </x14:formula1>
          <xm:sqref>B143:B145</xm:sqref>
        </x14:dataValidation>
        <x14:dataValidation type="list" allowBlank="1" showInputMessage="1" showErrorMessage="1">
          <x14:formula1>
            <xm:f>Configuración!$AT$17</xm:f>
          </x14:formula1>
          <xm:sqref>B168</xm:sqref>
        </x14:dataValidation>
        <x14:dataValidation type="list" allowBlank="1" showInputMessage="1" showErrorMessage="1">
          <x14:formula1>
            <xm:f>Configuración!$AT$18</xm:f>
          </x14:formula1>
          <xm:sqref>B169</xm:sqref>
        </x14:dataValidation>
        <x14:dataValidation type="list" allowBlank="1" showInputMessage="1" showErrorMessage="1">
          <x14:formula1>
            <xm:f>Configuración!$AT$19</xm:f>
          </x14:formula1>
          <xm:sqref>B170</xm:sqref>
        </x14:dataValidation>
        <x14:dataValidation type="list" allowBlank="1" showInputMessage="1" showErrorMessage="1">
          <x14:formula1>
            <xm:f>Configuración!$AT$8</xm:f>
          </x14:formula1>
          <xm:sqref>B58:B60</xm:sqref>
        </x14:dataValidation>
        <x14:dataValidation type="list" allowBlank="1" showInputMessage="1" showErrorMessage="1">
          <x14:formula1>
            <xm:f>Configuración!$AT$20</xm:f>
          </x14:formula1>
          <xm:sqref>B241</xm:sqref>
        </x14:dataValidation>
        <x14:dataValidation type="list" allowBlank="1" showInputMessage="1" showErrorMessage="1">
          <x14:formula1>
            <xm:f>Configuración!$AT$21</xm:f>
          </x14:formula1>
          <xm:sqref>B242</xm:sqref>
        </x14:dataValidation>
        <x14:dataValidation type="list" allowBlank="1" showInputMessage="1" showErrorMessage="1">
          <x14:formula1>
            <xm:f>Configuración!$AT$22</xm:f>
          </x14:formula1>
          <xm:sqref>B253 B251</xm:sqref>
        </x14:dataValidation>
        <x14:dataValidation type="list" allowBlank="1" showInputMessage="1" showErrorMessage="1">
          <x14:formula1>
            <xm:f>Configuración!$AT$25</xm:f>
          </x14:formula1>
          <xm:sqref>B252</xm:sqref>
        </x14:dataValidation>
        <x14:dataValidation type="list" allowBlank="1" showInputMessage="1" showErrorMessage="1">
          <x14:formula1>
            <xm:f>Configuración!$AT$23</xm:f>
          </x14:formula1>
          <xm:sqref>B259 B261</xm:sqref>
        </x14:dataValidation>
        <x14:dataValidation type="list" allowBlank="1" showInputMessage="1" showErrorMessage="1">
          <x14:formula1>
            <xm:f>Configuración!$AT$24</xm:f>
          </x14:formula1>
          <xm:sqref>B260</xm:sqref>
        </x14:dataValidation>
        <x14:dataValidation type="list" allowBlank="1" showInputMessage="1" showErrorMessage="1">
          <x14:formula1>
            <xm:f>Configuración!$AT$26</xm:f>
          </x14:formula1>
          <xm:sqref>B270:B272</xm:sqref>
        </x14:dataValidation>
        <x14:dataValidation type="list" allowBlank="1" showInputMessage="1" showErrorMessage="1">
          <x14:formula1>
            <xm:f>Configuración!$AT$27</xm:f>
          </x14:formula1>
          <xm:sqref>B283 B285</xm:sqref>
        </x14:dataValidation>
        <x14:dataValidation type="list" allowBlank="1" showInputMessage="1" showErrorMessage="1">
          <x14:formula1>
            <xm:f>Configuración!$AT$28</xm:f>
          </x14:formula1>
          <xm:sqref>B284</xm:sqref>
        </x14:dataValidation>
        <x14:dataValidation type="list" allowBlank="1" showInputMessage="1" showErrorMessage="1">
          <x14:formula1>
            <xm:f>Configuración!$AT$29</xm:f>
          </x14:formula1>
          <xm:sqref>B297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</sheetPr>
  <dimension ref="A1:XFD338"/>
  <sheetViews>
    <sheetView showGridLines="0" zoomScale="80" zoomScaleNormal="80" workbookViewId="0">
      <pane ySplit="4" topLeftCell="A5" activePane="bottomLeft" state="frozen"/>
      <selection pane="bottomLeft" activeCell="D2" sqref="D2"/>
    </sheetView>
  </sheetViews>
  <sheetFormatPr baseColWidth="10" defaultColWidth="0" defaultRowHeight="15" outlineLevelCol="1" x14ac:dyDescent="0.25"/>
  <cols>
    <col min="1" max="1" width="2.7109375" customWidth="1"/>
    <col min="2" max="2" width="20" bestFit="1" customWidth="1"/>
    <col min="3" max="3" width="2.7109375" customWidth="1"/>
    <col min="4" max="5" width="11.5703125" style="465" bestFit="1" customWidth="1"/>
    <col min="6" max="6" width="11.7109375" style="465" hidden="1" customWidth="1" outlineLevel="1"/>
    <col min="7" max="7" width="27.140625" style="464" bestFit="1" customWidth="1" collapsed="1"/>
    <col min="8" max="8" width="15.140625" style="464" bestFit="1" customWidth="1"/>
    <col min="9" max="9" width="22" style="464" bestFit="1" customWidth="1"/>
    <col min="10" max="10" width="11" style="464" bestFit="1" customWidth="1"/>
    <col min="11" max="11" width="18.85546875" style="464" bestFit="1" customWidth="1"/>
    <col min="12" max="12" width="9.140625" style="545" bestFit="1" customWidth="1"/>
    <col min="13" max="13" width="8.7109375" style="545" bestFit="1" customWidth="1"/>
    <col min="14" max="14" width="10.140625" style="465" bestFit="1" customWidth="1"/>
    <col min="15" max="15" width="10.140625" style="465" customWidth="1"/>
    <col min="16" max="16" width="10.85546875" style="465" bestFit="1" customWidth="1"/>
    <col min="17" max="17" width="7.42578125" style="464" bestFit="1" customWidth="1"/>
    <col min="18" max="18" width="10.85546875" style="465" bestFit="1" customWidth="1"/>
    <col min="19" max="19" width="10.85546875" style="464" bestFit="1" customWidth="1"/>
    <col min="20" max="20" width="9.140625" style="465" customWidth="1"/>
    <col min="21" max="21" width="10.85546875" style="464" bestFit="1" customWidth="1"/>
    <col min="22" max="24" width="13.28515625" hidden="1" customWidth="1" outlineLevel="1"/>
    <col min="25" max="30" width="12.85546875" hidden="1" customWidth="1" outlineLevel="1"/>
    <col min="31" max="31" width="16.7109375" hidden="1" customWidth="1" outlineLevel="1"/>
    <col min="32" max="32" width="9.85546875" style="79" hidden="1" customWidth="1" outlineLevel="1"/>
    <col min="33" max="33" width="8" style="79" hidden="1" customWidth="1" outlineLevel="1"/>
    <col min="34" max="34" width="8" style="183" hidden="1" customWidth="1" outlineLevel="1"/>
    <col min="35" max="35" width="9.28515625" hidden="1" customWidth="1" outlineLevel="1"/>
    <col min="36" max="36" width="6" hidden="1" customWidth="1" outlineLevel="1"/>
    <col min="37" max="37" width="10.7109375" hidden="1" customWidth="1" outlineLevel="1"/>
    <col min="38" max="39" width="10.7109375" style="79" hidden="1" customWidth="1" outlineLevel="1"/>
    <col min="40" max="40" width="11.5703125" style="79" hidden="1" customWidth="1" outlineLevel="1"/>
    <col min="41" max="41" width="11.28515625" style="79" hidden="1" customWidth="1" outlineLevel="1"/>
    <col min="42" max="43" width="10.28515625" style="79" hidden="1" customWidth="1" outlineLevel="1"/>
    <col min="44" max="44" width="10.7109375" hidden="1" customWidth="1" outlineLevel="1"/>
    <col min="45" max="45" width="10" hidden="1" customWidth="1" outlineLevel="1"/>
    <col min="46" max="46" width="12.85546875" hidden="1" customWidth="1" outlineLevel="1"/>
    <col min="47" max="47" width="12.7109375" hidden="1" customWidth="1" outlineLevel="1"/>
    <col min="48" max="48" width="13.5703125" hidden="1" customWidth="1" outlineLevel="1"/>
    <col min="49" max="49" width="10" hidden="1" customWidth="1" outlineLevel="1"/>
    <col min="50" max="50" width="12.42578125" customWidth="1" collapsed="1"/>
    <col min="51" max="16383" width="12.42578125" hidden="1"/>
  </cols>
  <sheetData>
    <row r="1" spans="2:49" x14ac:dyDescent="0.25">
      <c r="P1" s="546"/>
      <c r="V1" s="4"/>
      <c r="X1" s="4"/>
      <c r="AA1" s="4"/>
      <c r="AB1" s="4"/>
      <c r="AC1" s="4"/>
      <c r="AD1" s="4"/>
      <c r="AI1" s="4"/>
      <c r="AJ1" s="4"/>
      <c r="AK1" s="79"/>
      <c r="AQ1"/>
    </row>
    <row r="2" spans="2:49" ht="45" x14ac:dyDescent="0.25">
      <c r="B2" s="361" t="s">
        <v>160</v>
      </c>
      <c r="D2" s="467" t="s">
        <v>477</v>
      </c>
      <c r="E2" s="468" t="s">
        <v>478</v>
      </c>
      <c r="P2" s="546"/>
      <c r="V2" s="4"/>
      <c r="X2" s="4"/>
      <c r="AA2" s="4"/>
      <c r="AB2" s="4"/>
      <c r="AC2" s="4"/>
      <c r="AD2" s="4"/>
      <c r="AF2" s="371"/>
      <c r="AG2" s="371"/>
      <c r="AH2" s="371"/>
      <c r="AI2" s="4"/>
      <c r="AJ2" s="4"/>
      <c r="AK2" s="371"/>
      <c r="AL2" s="371"/>
      <c r="AM2" s="371"/>
      <c r="AN2" s="371"/>
      <c r="AO2" s="371"/>
      <c r="AP2" s="371"/>
      <c r="AQ2"/>
    </row>
    <row r="3" spans="2:49" x14ac:dyDescent="0.25">
      <c r="I3" s="1134"/>
      <c r="J3" s="1134"/>
      <c r="K3" s="1134"/>
      <c r="L3" s="1134"/>
      <c r="M3" s="1134"/>
      <c r="N3" s="1134"/>
      <c r="O3" s="1134"/>
      <c r="P3" s="1134"/>
      <c r="Q3" s="1134"/>
      <c r="S3" s="469"/>
      <c r="U3" s="469"/>
      <c r="V3" s="17"/>
      <c r="W3" s="17"/>
      <c r="AK3" s="79"/>
      <c r="AQ3"/>
    </row>
    <row r="4" spans="2:49" s="5" customFormat="1" ht="30.75" thickBot="1" x14ac:dyDescent="0.3">
      <c r="D4" s="471" t="s">
        <v>352</v>
      </c>
      <c r="E4" s="471" t="s">
        <v>15</v>
      </c>
      <c r="F4" s="472" t="s">
        <v>4</v>
      </c>
      <c r="G4" s="470" t="s">
        <v>78</v>
      </c>
      <c r="H4" s="470" t="s">
        <v>0</v>
      </c>
      <c r="I4" s="470" t="s">
        <v>358</v>
      </c>
      <c r="J4" s="472" t="s">
        <v>237</v>
      </c>
      <c r="K4" s="470" t="s">
        <v>16</v>
      </c>
      <c r="L4" s="547" t="s">
        <v>486</v>
      </c>
      <c r="M4" s="547" t="s">
        <v>479</v>
      </c>
      <c r="N4" s="472" t="s">
        <v>139</v>
      </c>
      <c r="O4" s="472" t="s">
        <v>270</v>
      </c>
      <c r="P4" s="471" t="s">
        <v>26</v>
      </c>
      <c r="Q4" s="471" t="s">
        <v>27</v>
      </c>
      <c r="R4" s="472" t="s">
        <v>89</v>
      </c>
      <c r="S4" s="471" t="s">
        <v>87</v>
      </c>
      <c r="T4" s="471" t="s">
        <v>1</v>
      </c>
      <c r="U4" s="472" t="s">
        <v>353</v>
      </c>
      <c r="V4" s="6" t="s">
        <v>354</v>
      </c>
      <c r="W4" s="6" t="s">
        <v>355</v>
      </c>
      <c r="X4" s="7" t="s">
        <v>356</v>
      </c>
      <c r="Y4" s="8" t="s">
        <v>236</v>
      </c>
      <c r="Z4" s="6" t="s">
        <v>235</v>
      </c>
      <c r="AA4" s="6" t="s">
        <v>357</v>
      </c>
      <c r="AB4" s="38" t="s">
        <v>92</v>
      </c>
      <c r="AC4" s="20" t="s">
        <v>93</v>
      </c>
      <c r="AD4" s="20" t="s">
        <v>345</v>
      </c>
      <c r="AE4" s="33" t="s">
        <v>39</v>
      </c>
      <c r="AF4" s="38" t="s">
        <v>148</v>
      </c>
      <c r="AG4" s="39" t="s">
        <v>98</v>
      </c>
      <c r="AH4" s="20" t="s">
        <v>359</v>
      </c>
      <c r="AI4" s="38" t="s">
        <v>91</v>
      </c>
      <c r="AJ4" s="39" t="s">
        <v>64</v>
      </c>
      <c r="AK4" s="2" t="s">
        <v>346</v>
      </c>
      <c r="AL4" s="2" t="s">
        <v>347</v>
      </c>
      <c r="AM4" s="2" t="s">
        <v>348</v>
      </c>
      <c r="AN4" s="2" t="s">
        <v>349</v>
      </c>
      <c r="AO4" s="2" t="s">
        <v>33</v>
      </c>
      <c r="AP4" s="2" t="s">
        <v>34</v>
      </c>
      <c r="AQ4" s="2" t="s">
        <v>90</v>
      </c>
      <c r="AR4" s="2" t="s">
        <v>350</v>
      </c>
      <c r="AS4" s="50" t="s">
        <v>152</v>
      </c>
      <c r="AT4" s="2" t="s">
        <v>158</v>
      </c>
      <c r="AU4" s="2" t="s">
        <v>159</v>
      </c>
      <c r="AV4" s="2" t="s">
        <v>351</v>
      </c>
      <c r="AW4" s="38" t="s">
        <v>281</v>
      </c>
    </row>
    <row r="5" spans="2:49" ht="15.75" thickTop="1" x14ac:dyDescent="0.25">
      <c r="B5" s="1136" t="s">
        <v>60</v>
      </c>
      <c r="D5" s="548">
        <f>DATE(LEFT(Producción_Lecheria[[#This Row],[Campaña]],4),7,1)</f>
        <v>43282</v>
      </c>
      <c r="E5" s="478"/>
      <c r="F5" s="479" t="str">
        <f t="shared" ref="F5:F159" si="0">Campaña_Actual</f>
        <v>2018-2019</v>
      </c>
      <c r="G5" s="480" t="str">
        <f>LCH_Stock_Inicio</f>
        <v>Stock Inicio</v>
      </c>
      <c r="H5" s="481" t="s">
        <v>2</v>
      </c>
      <c r="I5" s="481" t="str">
        <f>Produccion_Lecheria[[#This Row],[Categoría]]</f>
        <v>Vaca Ordeñe</v>
      </c>
      <c r="J5" s="549"/>
      <c r="K5" s="481"/>
      <c r="L5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5" s="520"/>
      <c r="O5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-600</v>
      </c>
      <c r="P5" s="483">
        <v>1</v>
      </c>
      <c r="Q5" s="491" t="s">
        <v>140</v>
      </c>
      <c r="R5" s="875">
        <f>IF(ISNUMBER(Producción_Lecheria[[#This Row],[Cabezas]])=TRUE,Producción_Lecheria[[#This Row],[Cabezas]]*Producción_Lecheria[[#This Row],[Cantidad]],Producción_Lecheria[[#This Row],[Cantidad]])</f>
        <v>1</v>
      </c>
      <c r="S5" s="551"/>
      <c r="T5" s="483" t="s">
        <v>48</v>
      </c>
      <c r="U5" s="485"/>
      <c r="V5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5" s="977">
        <f>IFERROR(Producción_Lecheria[[#This Row],[Económico $Corrientes]]/Producción_Lecheria[[#This Row],[Indexación Económico]],0)</f>
        <v>0</v>
      </c>
      <c r="X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5" s="977">
        <f>IFERROR(Producción_Lecheria[[#This Row],[Financiero $Corrientes]]/Producción_Lecheria[[#This Row],[Indexación Financiero]],0)</f>
        <v>0</v>
      </c>
      <c r="AA5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5" s="981">
        <f>IFERROR(Producción_Lecheria[[#This Row],[Intereses $Corrientes]]/Producción_Lecheria[[#This Row],[Indexación Financiero]],0)</f>
        <v>0</v>
      </c>
      <c r="AD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5" s="982" t="str">
        <f>IFERROR(INDEX(Produccion_Lecheria_Cuentas[],MATCH(Producción_Lecheria[[#This Row],[Cuenta Contable]],Produccion_Lecheria_Cuentas[Cuenta Contable],0),2),0)</f>
        <v>Stock Inicio</v>
      </c>
      <c r="AF5" s="983">
        <f>IF(Producción_Lecheria[[#This Row],[Mov. Stock]]="(+)",Producción_Lecheria[[#This Row],[Cabezas]],IF(Producción_Lecheria[[#This Row],[Mov. Stock]]="(-)",-Producción_Lecheria[[#This Row],[Cabezas]],0))</f>
        <v>0</v>
      </c>
      <c r="AG5" s="984" t="str">
        <f>IFERROR(INDEX(Produccion_Lecheria_Cuentas[],MATCH(Producción_Lecheria[[#This Row],[Cuenta Contable]],Produccion_Lecheria_Cuentas[Cuenta Contable],0),5),0)</f>
        <v>(+)</v>
      </c>
      <c r="AH5" s="985" t="str">
        <f>IF(Producción_Lecheria[[#This Row],[Cuenta Contable]]=Configuración!$AC$9,"Si","No")</f>
        <v>No</v>
      </c>
      <c r="AI5" s="983" t="str">
        <f>IFERROR(INDEX(Tabla9[],MATCH(Producción_Lecheria[[#This Row],[Movimiento]],Tabla9[Movimientos],0),2),0)</f>
        <v>No</v>
      </c>
      <c r="AJ5" s="984" t="str">
        <f>IFERROR(INDEX(Tabla9[],MATCH(Producción_Lecheria[[#This Row],[Movimiento]],Tabla9[Movimientos],0),3),0)</f>
        <v>(-)</v>
      </c>
      <c r="AK5" s="986">
        <f>IF(Producción_Lecheria[[#This Row],[Fecha Económico]]=0,0,MONTH(Producción_Lecheria[[#This Row],[Fecha Económico]]))</f>
        <v>7</v>
      </c>
      <c r="AL5" s="986">
        <f>IF(Producción_Lecheria[[#This Row],[Fecha Económico]]=0,0,YEAR(Producción_Lecheria[[#This Row],[Fecha Económico]]))</f>
        <v>2018</v>
      </c>
      <c r="AM5" s="987">
        <f>SUMPRODUCT((Producción_Lecheria[[#This Row],[Mes Económico]]=Tipo_Cambio[Mes])*(Producción_Lecheria[[#This Row],[Año Económico]]=Tipo_Cambio[Año])*(Tipo_Cambio[$/U$S]))</f>
        <v>22</v>
      </c>
      <c r="AN5" s="987">
        <f>SUMPRODUCT((Producción_Lecheria[[#This Row],[Mes Económico]]=Tipo_Cambio[Mes])*(Producción_Lecheria[[#This Row],[Año Económico]]=Tipo_Cambio[Año])*(Tipo_Cambio[Actualización]))</f>
        <v>1</v>
      </c>
      <c r="AO5" s="986">
        <f>IF(ISNUMBER(Producción_Lecheria[[#This Row],[Fecha Financiero]])=TRUE,MONTH(Producción_Lecheria[[#This Row],[Fecha Financiero]]),0)</f>
        <v>0</v>
      </c>
      <c r="AP5" s="986">
        <f>IF(ISNUMBER(Producción_Lecheria[[#This Row],[Fecha Financiero]])=TRUE,YEAR(Producción_Lecheria[[#This Row],[Fecha Financiero]]),0)</f>
        <v>0</v>
      </c>
      <c r="AQ5" s="987">
        <f>SUMPRODUCT((Producción_Lecheria[[#This Row],[Mes Financiero]]=Tipo_Cambio[Mes])*(Producción_Lecheria[[#This Row],[Año Financiero]]=Tipo_Cambio[Año])*(Tipo_Cambio[$/U$S]))</f>
        <v>0</v>
      </c>
      <c r="AR5" s="987">
        <f>SUMPRODUCT((Producción_Lecheria[[#This Row],[Mes Financiero]]=Tipo_Cambio[Mes])*(Producción_Lecheria[[#This Row],[Año Financiero]]=Tipo_Cambio[Año])*(Tipo_Cambio[Actualización]))</f>
        <v>0</v>
      </c>
      <c r="AS5" s="988">
        <f>SUMPRODUCT((Producción_Lecheria[[#This Row],[Centro de Costo]]=Tabla1924[Centro de Costo])*(Tabla19[Superficie]))</f>
        <v>2356</v>
      </c>
      <c r="AT5" s="987">
        <f>IFERROR(Producción_Lecheria[[#This Row],[Económico $Corrientes]]/Producción_Lecheria[[#This Row],[Superficie]],0)</f>
        <v>0</v>
      </c>
      <c r="AU5" s="987">
        <f>IFERROR(Producción_Lecheria[[#This Row],[Económico $Constantes]]/Producción_Lecheria[[#This Row],[Superficie]],0)</f>
        <v>0</v>
      </c>
      <c r="AV5" s="987">
        <f>IFERROR(Producción_Lecheria[[#This Row],[Económico U$S Dólares]]/Producción_Lecheria[[#This Row],[Superficie]],0)</f>
        <v>0</v>
      </c>
      <c r="AW5" s="983" t="str">
        <f>IF(Económico!$F$4=0,0,Producción_Lecheria[Centro de Costo])</f>
        <v>Campo 1</v>
      </c>
    </row>
    <row r="6" spans="2:49" x14ac:dyDescent="0.25">
      <c r="B6" s="1136"/>
      <c r="D6" s="548">
        <f>DATE(LEFT(Producción_Lecheria[[#This Row],[Campaña]],4),7,1)</f>
        <v>43282</v>
      </c>
      <c r="E6" s="478"/>
      <c r="F6" s="479" t="str">
        <f t="shared" si="0"/>
        <v>2018-2019</v>
      </c>
      <c r="G6" s="480" t="str">
        <f t="shared" ref="G6:G17" si="1">LCH_Stock_Inicio</f>
        <v>Stock Inicio</v>
      </c>
      <c r="H6" s="481" t="s">
        <v>2</v>
      </c>
      <c r="I6" s="481" t="str">
        <f>Produccion_Lecheria[[#This Row],[Categoría]]</f>
        <v>Vaca Seca</v>
      </c>
      <c r="J6" s="549"/>
      <c r="K6" s="481"/>
      <c r="L6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6" s="520"/>
      <c r="O6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-600</v>
      </c>
      <c r="P6" s="483">
        <v>1</v>
      </c>
      <c r="Q6" s="491" t="s">
        <v>140</v>
      </c>
      <c r="R6" s="875">
        <f>IF(ISNUMBER(Producción_Lecheria[[#This Row],[Cabezas]])=TRUE,Producción_Lecheria[[#This Row],[Cabezas]]*Producción_Lecheria[[#This Row],[Cantidad]],Producción_Lecheria[[#This Row],[Cantidad]])</f>
        <v>1</v>
      </c>
      <c r="S6" s="491"/>
      <c r="T6" s="483" t="s">
        <v>48</v>
      </c>
      <c r="U6" s="485"/>
      <c r="V6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6" s="977">
        <f>IFERROR(Producción_Lecheria[[#This Row],[Económico $Corrientes]]/Producción_Lecheria[[#This Row],[Indexación Económico]],0)</f>
        <v>0</v>
      </c>
      <c r="X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6" s="977">
        <f>IFERROR(Producción_Lecheria[[#This Row],[Financiero $Corrientes]]/Producción_Lecheria[[#This Row],[Indexación Financiero]],0)</f>
        <v>0</v>
      </c>
      <c r="AA6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6" s="981">
        <f>IFERROR(Producción_Lecheria[[#This Row],[Intereses $Corrientes]]/Producción_Lecheria[[#This Row],[Indexación Financiero]],0)</f>
        <v>0</v>
      </c>
      <c r="AD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6" s="982" t="str">
        <f>IFERROR(INDEX(Produccion_Lecheria_Cuentas[],MATCH(Producción_Lecheria[[#This Row],[Cuenta Contable]],Produccion_Lecheria_Cuentas[Cuenta Contable],0),2),0)</f>
        <v>Stock Inicio</v>
      </c>
      <c r="AF6" s="983">
        <f>IF(Producción_Lecheria[[#This Row],[Mov. Stock]]="(+)",Producción_Lecheria[[#This Row],[Cabezas]],IF(Producción_Lecheria[[#This Row],[Mov. Stock]]="(-)",-Producción_Lecheria[[#This Row],[Cabezas]],0))</f>
        <v>0</v>
      </c>
      <c r="AG6" s="984" t="str">
        <f>IFERROR(INDEX(Produccion_Lecheria_Cuentas[],MATCH(Producción_Lecheria[[#This Row],[Cuenta Contable]],Produccion_Lecheria_Cuentas[Cuenta Contable],0),5),0)</f>
        <v>(+)</v>
      </c>
      <c r="AH6" s="985" t="str">
        <f>IF(Producción_Lecheria[[#This Row],[Cuenta Contable]]=Configuración!$AC$9,"Si","No")</f>
        <v>No</v>
      </c>
      <c r="AI6" s="983" t="str">
        <f>IFERROR(INDEX(Tabla9[],MATCH(Producción_Lecheria[[#This Row],[Movimiento]],Tabla9[Movimientos],0),2),0)</f>
        <v>No</v>
      </c>
      <c r="AJ6" s="984" t="str">
        <f>IFERROR(INDEX(Tabla9[],MATCH(Producción_Lecheria[[#This Row],[Movimiento]],Tabla9[Movimientos],0),3),0)</f>
        <v>(-)</v>
      </c>
      <c r="AK6" s="986">
        <f>IF(Producción_Lecheria[[#This Row],[Fecha Económico]]=0,0,MONTH(Producción_Lecheria[[#This Row],[Fecha Económico]]))</f>
        <v>7</v>
      </c>
      <c r="AL6" s="986">
        <f>IF(Producción_Lecheria[[#This Row],[Fecha Económico]]=0,0,YEAR(Producción_Lecheria[[#This Row],[Fecha Económico]]))</f>
        <v>2018</v>
      </c>
      <c r="AM6" s="987">
        <f>SUMPRODUCT((Producción_Lecheria[[#This Row],[Mes Económico]]=Tipo_Cambio[Mes])*(Producción_Lecheria[[#This Row],[Año Económico]]=Tipo_Cambio[Año])*(Tipo_Cambio[$/U$S]))</f>
        <v>22</v>
      </c>
      <c r="AN6" s="987">
        <f>SUMPRODUCT((Producción_Lecheria[[#This Row],[Mes Económico]]=Tipo_Cambio[Mes])*(Producción_Lecheria[[#This Row],[Año Económico]]=Tipo_Cambio[Año])*(Tipo_Cambio[Actualización]))</f>
        <v>1</v>
      </c>
      <c r="AO6" s="986">
        <f>IF(ISNUMBER(Producción_Lecheria[[#This Row],[Fecha Financiero]])=TRUE,MONTH(Producción_Lecheria[[#This Row],[Fecha Financiero]]),0)</f>
        <v>0</v>
      </c>
      <c r="AP6" s="986">
        <f>IF(ISNUMBER(Producción_Lecheria[[#This Row],[Fecha Financiero]])=TRUE,YEAR(Producción_Lecheria[[#This Row],[Fecha Financiero]]),0)</f>
        <v>0</v>
      </c>
      <c r="AQ6" s="987">
        <f>SUMPRODUCT((Producción_Lecheria[[#This Row],[Mes Financiero]]=Tipo_Cambio[Mes])*(Producción_Lecheria[[#This Row],[Año Financiero]]=Tipo_Cambio[Año])*(Tipo_Cambio[$/U$S]))</f>
        <v>0</v>
      </c>
      <c r="AR6" s="987">
        <f>SUMPRODUCT((Producción_Lecheria[[#This Row],[Mes Financiero]]=Tipo_Cambio[Mes])*(Producción_Lecheria[[#This Row],[Año Financiero]]=Tipo_Cambio[Año])*(Tipo_Cambio[Actualización]))</f>
        <v>0</v>
      </c>
      <c r="AS6" s="988">
        <f>SUMPRODUCT((Producción_Lecheria[[#This Row],[Centro de Costo]]=Tabla1924[Centro de Costo])*(Tabla19[Superficie]))</f>
        <v>2356</v>
      </c>
      <c r="AT6" s="987">
        <f>IFERROR(Producción_Lecheria[[#This Row],[Económico $Corrientes]]/Producción_Lecheria[[#This Row],[Superficie]],0)</f>
        <v>0</v>
      </c>
      <c r="AU6" s="987">
        <f>IFERROR(Producción_Lecheria[[#This Row],[Económico $Constantes]]/Producción_Lecheria[[#This Row],[Superficie]],0)</f>
        <v>0</v>
      </c>
      <c r="AV6" s="987">
        <f>IFERROR(Producción_Lecheria[[#This Row],[Económico U$S Dólares]]/Producción_Lecheria[[#This Row],[Superficie]],0)</f>
        <v>0</v>
      </c>
      <c r="AW6" s="983" t="str">
        <f>IF(Económico!$F$4=0,0,Producción_Lecheria[Centro de Costo])</f>
        <v>Campo 1</v>
      </c>
    </row>
    <row r="7" spans="2:49" x14ac:dyDescent="0.25">
      <c r="B7" s="1136"/>
      <c r="D7" s="548">
        <f>DATE(LEFT(Producción_Lecheria[[#This Row],[Campaña]],4),7,1)</f>
        <v>43282</v>
      </c>
      <c r="E7" s="478"/>
      <c r="F7" s="479" t="str">
        <f t="shared" si="0"/>
        <v>2018-2019</v>
      </c>
      <c r="G7" s="480" t="str">
        <f t="shared" si="1"/>
        <v>Stock Inicio</v>
      </c>
      <c r="H7" s="481" t="s">
        <v>2</v>
      </c>
      <c r="I7" s="481" t="str">
        <f>Produccion_Lecheria[[#This Row],[Categoría]]</f>
        <v>Toro</v>
      </c>
      <c r="J7" s="549"/>
      <c r="K7" s="481"/>
      <c r="L7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7" s="520"/>
      <c r="O7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-700</v>
      </c>
      <c r="P7" s="483">
        <v>1</v>
      </c>
      <c r="Q7" s="491" t="s">
        <v>140</v>
      </c>
      <c r="R7" s="875">
        <f>IF(ISNUMBER(Producción_Lecheria[[#This Row],[Cabezas]])=TRUE,Producción_Lecheria[[#This Row],[Cabezas]]*Producción_Lecheria[[#This Row],[Cantidad]],Producción_Lecheria[[#This Row],[Cantidad]])</f>
        <v>1</v>
      </c>
      <c r="S7" s="491"/>
      <c r="T7" s="483" t="s">
        <v>48</v>
      </c>
      <c r="U7" s="485"/>
      <c r="V7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7" s="977">
        <f>IFERROR(Producción_Lecheria[[#This Row],[Económico $Corrientes]]/Producción_Lecheria[[#This Row],[Indexación Económico]],0)</f>
        <v>0</v>
      </c>
      <c r="X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7" s="977">
        <f>IFERROR(Producción_Lecheria[[#This Row],[Financiero $Corrientes]]/Producción_Lecheria[[#This Row],[Indexación Financiero]],0)</f>
        <v>0</v>
      </c>
      <c r="AA7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7" s="981">
        <f>IFERROR(Producción_Lecheria[[#This Row],[Intereses $Corrientes]]/Producción_Lecheria[[#This Row],[Indexación Financiero]],0)</f>
        <v>0</v>
      </c>
      <c r="AD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7" s="982" t="str">
        <f>IFERROR(INDEX(Produccion_Lecheria_Cuentas[],MATCH(Producción_Lecheria[[#This Row],[Cuenta Contable]],Produccion_Lecheria_Cuentas[Cuenta Contable],0),2),0)</f>
        <v>Stock Inicio</v>
      </c>
      <c r="AF7" s="983">
        <f>IF(Producción_Lecheria[[#This Row],[Mov. Stock]]="(+)",Producción_Lecheria[[#This Row],[Cabezas]],IF(Producción_Lecheria[[#This Row],[Mov. Stock]]="(-)",-Producción_Lecheria[[#This Row],[Cabezas]],0))</f>
        <v>0</v>
      </c>
      <c r="AG7" s="984" t="str">
        <f>IFERROR(INDEX(Produccion_Lecheria_Cuentas[],MATCH(Producción_Lecheria[[#This Row],[Cuenta Contable]],Produccion_Lecheria_Cuentas[Cuenta Contable],0),5),0)</f>
        <v>(+)</v>
      </c>
      <c r="AH7" s="985" t="str">
        <f>IF(Producción_Lecheria[[#This Row],[Cuenta Contable]]=Configuración!$AC$9,"Si","No")</f>
        <v>No</v>
      </c>
      <c r="AI7" s="983" t="str">
        <f>IFERROR(INDEX(Tabla9[],MATCH(Producción_Lecheria[[#This Row],[Movimiento]],Tabla9[Movimientos],0),2),0)</f>
        <v>No</v>
      </c>
      <c r="AJ7" s="984" t="str">
        <f>IFERROR(INDEX(Tabla9[],MATCH(Producción_Lecheria[[#This Row],[Movimiento]],Tabla9[Movimientos],0),3),0)</f>
        <v>(-)</v>
      </c>
      <c r="AK7" s="986">
        <f>IF(Producción_Lecheria[[#This Row],[Fecha Económico]]=0,0,MONTH(Producción_Lecheria[[#This Row],[Fecha Económico]]))</f>
        <v>7</v>
      </c>
      <c r="AL7" s="986">
        <f>IF(Producción_Lecheria[[#This Row],[Fecha Económico]]=0,0,YEAR(Producción_Lecheria[[#This Row],[Fecha Económico]]))</f>
        <v>2018</v>
      </c>
      <c r="AM7" s="987">
        <f>SUMPRODUCT((Producción_Lecheria[[#This Row],[Mes Económico]]=Tipo_Cambio[Mes])*(Producción_Lecheria[[#This Row],[Año Económico]]=Tipo_Cambio[Año])*(Tipo_Cambio[$/U$S]))</f>
        <v>22</v>
      </c>
      <c r="AN7" s="987">
        <f>SUMPRODUCT((Producción_Lecheria[[#This Row],[Mes Económico]]=Tipo_Cambio[Mes])*(Producción_Lecheria[[#This Row],[Año Económico]]=Tipo_Cambio[Año])*(Tipo_Cambio[Actualización]))</f>
        <v>1</v>
      </c>
      <c r="AO7" s="986">
        <f>IF(ISNUMBER(Producción_Lecheria[[#This Row],[Fecha Financiero]])=TRUE,MONTH(Producción_Lecheria[[#This Row],[Fecha Financiero]]),0)</f>
        <v>0</v>
      </c>
      <c r="AP7" s="986">
        <f>IF(ISNUMBER(Producción_Lecheria[[#This Row],[Fecha Financiero]])=TRUE,YEAR(Producción_Lecheria[[#This Row],[Fecha Financiero]]),0)</f>
        <v>0</v>
      </c>
      <c r="AQ7" s="987">
        <f>SUMPRODUCT((Producción_Lecheria[[#This Row],[Mes Financiero]]=Tipo_Cambio[Mes])*(Producción_Lecheria[[#This Row],[Año Financiero]]=Tipo_Cambio[Año])*(Tipo_Cambio[$/U$S]))</f>
        <v>0</v>
      </c>
      <c r="AR7" s="987">
        <f>SUMPRODUCT((Producción_Lecheria[[#This Row],[Mes Financiero]]=Tipo_Cambio[Mes])*(Producción_Lecheria[[#This Row],[Año Financiero]]=Tipo_Cambio[Año])*(Tipo_Cambio[Actualización]))</f>
        <v>0</v>
      </c>
      <c r="AS7" s="988">
        <f>SUMPRODUCT((Producción_Lecheria[[#This Row],[Centro de Costo]]=Tabla1924[Centro de Costo])*(Tabla19[Superficie]))</f>
        <v>2356</v>
      </c>
      <c r="AT7" s="987">
        <f>IFERROR(Producción_Lecheria[[#This Row],[Económico $Corrientes]]/Producción_Lecheria[[#This Row],[Superficie]],0)</f>
        <v>0</v>
      </c>
      <c r="AU7" s="987">
        <f>IFERROR(Producción_Lecheria[[#This Row],[Económico $Constantes]]/Producción_Lecheria[[#This Row],[Superficie]],0)</f>
        <v>0</v>
      </c>
      <c r="AV7" s="987">
        <f>IFERROR(Producción_Lecheria[[#This Row],[Económico U$S Dólares]]/Producción_Lecheria[[#This Row],[Superficie]],0)</f>
        <v>0</v>
      </c>
      <c r="AW7" s="983" t="str">
        <f>IF(Económico!$F$4=0,0,Producción_Lecheria[Centro de Costo])</f>
        <v>Campo 1</v>
      </c>
    </row>
    <row r="8" spans="2:49" x14ac:dyDescent="0.25">
      <c r="D8" s="548">
        <f>DATE(LEFT(Producción_Lecheria[[#This Row],[Campaña]],4),7,1)</f>
        <v>43282</v>
      </c>
      <c r="E8" s="478"/>
      <c r="F8" s="479" t="str">
        <f t="shared" si="0"/>
        <v>2018-2019</v>
      </c>
      <c r="G8" s="480" t="str">
        <f t="shared" si="1"/>
        <v>Stock Inicio</v>
      </c>
      <c r="H8" s="481" t="s">
        <v>2</v>
      </c>
      <c r="I8" s="481" t="str">
        <f>Produccion_Lecheria[[#This Row],[Categoría]]</f>
        <v>Vaquillona Preñada</v>
      </c>
      <c r="J8" s="549"/>
      <c r="K8" s="481"/>
      <c r="L8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8" s="520"/>
      <c r="O8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-500</v>
      </c>
      <c r="P8" s="483">
        <v>1</v>
      </c>
      <c r="Q8" s="491" t="s">
        <v>140</v>
      </c>
      <c r="R8" s="875">
        <f>IF(ISNUMBER(Producción_Lecheria[[#This Row],[Cabezas]])=TRUE,Producción_Lecheria[[#This Row],[Cabezas]]*Producción_Lecheria[[#This Row],[Cantidad]],Producción_Lecheria[[#This Row],[Cantidad]])</f>
        <v>1</v>
      </c>
      <c r="S8" s="491"/>
      <c r="T8" s="483" t="s">
        <v>48</v>
      </c>
      <c r="U8" s="485"/>
      <c r="V8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8" s="977">
        <f>IFERROR(Producción_Lecheria[[#This Row],[Económico $Corrientes]]/Producción_Lecheria[[#This Row],[Indexación Económico]],0)</f>
        <v>0</v>
      </c>
      <c r="X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8" s="977">
        <f>IFERROR(Producción_Lecheria[[#This Row],[Financiero $Corrientes]]/Producción_Lecheria[[#This Row],[Indexación Financiero]],0)</f>
        <v>0</v>
      </c>
      <c r="AA8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8" s="981">
        <f>IFERROR(Producción_Lecheria[[#This Row],[Intereses $Corrientes]]/Producción_Lecheria[[#This Row],[Indexación Financiero]],0)</f>
        <v>0</v>
      </c>
      <c r="AD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8" s="982" t="str">
        <f>IFERROR(INDEX(Produccion_Lecheria_Cuentas[],MATCH(Producción_Lecheria[[#This Row],[Cuenta Contable]],Produccion_Lecheria_Cuentas[Cuenta Contable],0),2),0)</f>
        <v>Stock Inicio</v>
      </c>
      <c r="AF8" s="983">
        <f>IF(Producción_Lecheria[[#This Row],[Mov. Stock]]="(+)",Producción_Lecheria[[#This Row],[Cabezas]],IF(Producción_Lecheria[[#This Row],[Mov. Stock]]="(-)",-Producción_Lecheria[[#This Row],[Cabezas]],0))</f>
        <v>0</v>
      </c>
      <c r="AG8" s="984" t="str">
        <f>IFERROR(INDEX(Produccion_Lecheria_Cuentas[],MATCH(Producción_Lecheria[[#This Row],[Cuenta Contable]],Produccion_Lecheria_Cuentas[Cuenta Contable],0),5),0)</f>
        <v>(+)</v>
      </c>
      <c r="AH8" s="985" t="str">
        <f>IF(Producción_Lecheria[[#This Row],[Cuenta Contable]]=Configuración!$AC$9,"Si","No")</f>
        <v>No</v>
      </c>
      <c r="AI8" s="983" t="str">
        <f>IFERROR(INDEX(Tabla9[],MATCH(Producción_Lecheria[[#This Row],[Movimiento]],Tabla9[Movimientos],0),2),0)</f>
        <v>No</v>
      </c>
      <c r="AJ8" s="984" t="str">
        <f>IFERROR(INDEX(Tabla9[],MATCH(Producción_Lecheria[[#This Row],[Movimiento]],Tabla9[Movimientos],0),3),0)</f>
        <v>(-)</v>
      </c>
      <c r="AK8" s="986">
        <f>IF(Producción_Lecheria[[#This Row],[Fecha Económico]]=0,0,MONTH(Producción_Lecheria[[#This Row],[Fecha Económico]]))</f>
        <v>7</v>
      </c>
      <c r="AL8" s="986">
        <f>IF(Producción_Lecheria[[#This Row],[Fecha Económico]]=0,0,YEAR(Producción_Lecheria[[#This Row],[Fecha Económico]]))</f>
        <v>2018</v>
      </c>
      <c r="AM8" s="987">
        <f>SUMPRODUCT((Producción_Lecheria[[#This Row],[Mes Económico]]=Tipo_Cambio[Mes])*(Producción_Lecheria[[#This Row],[Año Económico]]=Tipo_Cambio[Año])*(Tipo_Cambio[$/U$S]))</f>
        <v>22</v>
      </c>
      <c r="AN8" s="987">
        <f>SUMPRODUCT((Producción_Lecheria[[#This Row],[Mes Económico]]=Tipo_Cambio[Mes])*(Producción_Lecheria[[#This Row],[Año Económico]]=Tipo_Cambio[Año])*(Tipo_Cambio[Actualización]))</f>
        <v>1</v>
      </c>
      <c r="AO8" s="986">
        <f>IF(ISNUMBER(Producción_Lecheria[[#This Row],[Fecha Financiero]])=TRUE,MONTH(Producción_Lecheria[[#This Row],[Fecha Financiero]]),0)</f>
        <v>0</v>
      </c>
      <c r="AP8" s="986">
        <f>IF(ISNUMBER(Producción_Lecheria[[#This Row],[Fecha Financiero]])=TRUE,YEAR(Producción_Lecheria[[#This Row],[Fecha Financiero]]),0)</f>
        <v>0</v>
      </c>
      <c r="AQ8" s="987">
        <f>SUMPRODUCT((Producción_Lecheria[[#This Row],[Mes Financiero]]=Tipo_Cambio[Mes])*(Producción_Lecheria[[#This Row],[Año Financiero]]=Tipo_Cambio[Año])*(Tipo_Cambio[$/U$S]))</f>
        <v>0</v>
      </c>
      <c r="AR8" s="987">
        <f>SUMPRODUCT((Producción_Lecheria[[#This Row],[Mes Financiero]]=Tipo_Cambio[Mes])*(Producción_Lecheria[[#This Row],[Año Financiero]]=Tipo_Cambio[Año])*(Tipo_Cambio[Actualización]))</f>
        <v>0</v>
      </c>
      <c r="AS8" s="988">
        <f>SUMPRODUCT((Producción_Lecheria[[#This Row],[Centro de Costo]]=Tabla1924[Centro de Costo])*(Tabla19[Superficie]))</f>
        <v>2356</v>
      </c>
      <c r="AT8" s="987">
        <f>IFERROR(Producción_Lecheria[[#This Row],[Económico $Corrientes]]/Producción_Lecheria[[#This Row],[Superficie]],0)</f>
        <v>0</v>
      </c>
      <c r="AU8" s="987">
        <f>IFERROR(Producción_Lecheria[[#This Row],[Económico $Constantes]]/Producción_Lecheria[[#This Row],[Superficie]],0)</f>
        <v>0</v>
      </c>
      <c r="AV8" s="987">
        <f>IFERROR(Producción_Lecheria[[#This Row],[Económico U$S Dólares]]/Producción_Lecheria[[#This Row],[Superficie]],0)</f>
        <v>0</v>
      </c>
      <c r="AW8" s="983" t="str">
        <f>IF(Económico!$F$4=0,0,Producción_Lecheria[Centro de Costo])</f>
        <v>Campo 1</v>
      </c>
    </row>
    <row r="9" spans="2:49" x14ac:dyDescent="0.25">
      <c r="D9" s="548">
        <f>DATE(LEFT(Producción_Lecheria[[#This Row],[Campaña]],4),7,1)</f>
        <v>43282</v>
      </c>
      <c r="E9" s="478"/>
      <c r="F9" s="479" t="str">
        <f t="shared" si="0"/>
        <v>2018-2019</v>
      </c>
      <c r="G9" s="480" t="str">
        <f t="shared" si="1"/>
        <v>Stock Inicio</v>
      </c>
      <c r="H9" s="481" t="s">
        <v>2</v>
      </c>
      <c r="I9" s="481" t="str">
        <f>Produccion_Lecheria[[#This Row],[Categoría]]</f>
        <v>Vaquillona 06-15</v>
      </c>
      <c r="J9" s="549"/>
      <c r="K9" s="481"/>
      <c r="L9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9" s="520"/>
      <c r="O9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-400</v>
      </c>
      <c r="P9" s="483">
        <v>1</v>
      </c>
      <c r="Q9" s="491" t="s">
        <v>140</v>
      </c>
      <c r="R9" s="875">
        <f>IF(ISNUMBER(Producción_Lecheria[[#This Row],[Cabezas]])=TRUE,Producción_Lecheria[[#This Row],[Cabezas]]*Producción_Lecheria[[#This Row],[Cantidad]],Producción_Lecheria[[#This Row],[Cantidad]])</f>
        <v>1</v>
      </c>
      <c r="S9" s="491"/>
      <c r="T9" s="483" t="s">
        <v>48</v>
      </c>
      <c r="U9" s="485"/>
      <c r="V9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9" s="977">
        <f>IFERROR(Producción_Lecheria[[#This Row],[Económico $Corrientes]]/Producción_Lecheria[[#This Row],[Indexación Económico]],0)</f>
        <v>0</v>
      </c>
      <c r="X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9" s="977">
        <f>IFERROR(Producción_Lecheria[[#This Row],[Financiero $Corrientes]]/Producción_Lecheria[[#This Row],[Indexación Financiero]],0)</f>
        <v>0</v>
      </c>
      <c r="AA9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9" s="981">
        <f>IFERROR(Producción_Lecheria[[#This Row],[Intereses $Corrientes]]/Producción_Lecheria[[#This Row],[Indexación Financiero]],0)</f>
        <v>0</v>
      </c>
      <c r="AD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9" s="982" t="str">
        <f>IFERROR(INDEX(Produccion_Lecheria_Cuentas[],MATCH(Producción_Lecheria[[#This Row],[Cuenta Contable]],Produccion_Lecheria_Cuentas[Cuenta Contable],0),2),0)</f>
        <v>Stock Inicio</v>
      </c>
      <c r="AF9" s="983">
        <f>IF(Producción_Lecheria[[#This Row],[Mov. Stock]]="(+)",Producción_Lecheria[[#This Row],[Cabezas]],IF(Producción_Lecheria[[#This Row],[Mov. Stock]]="(-)",-Producción_Lecheria[[#This Row],[Cabezas]],0))</f>
        <v>0</v>
      </c>
      <c r="AG9" s="984" t="str">
        <f>IFERROR(INDEX(Produccion_Lecheria_Cuentas[],MATCH(Producción_Lecheria[[#This Row],[Cuenta Contable]],Produccion_Lecheria_Cuentas[Cuenta Contable],0),5),0)</f>
        <v>(+)</v>
      </c>
      <c r="AH9" s="985" t="str">
        <f>IF(Producción_Lecheria[[#This Row],[Cuenta Contable]]=Configuración!$AC$9,"Si","No")</f>
        <v>No</v>
      </c>
      <c r="AI9" s="983" t="str">
        <f>IFERROR(INDEX(Tabla9[],MATCH(Producción_Lecheria[[#This Row],[Movimiento]],Tabla9[Movimientos],0),2),0)</f>
        <v>No</v>
      </c>
      <c r="AJ9" s="984" t="str">
        <f>IFERROR(INDEX(Tabla9[],MATCH(Producción_Lecheria[[#This Row],[Movimiento]],Tabla9[Movimientos],0),3),0)</f>
        <v>(-)</v>
      </c>
      <c r="AK9" s="986">
        <f>IF(Producción_Lecheria[[#This Row],[Fecha Económico]]=0,0,MONTH(Producción_Lecheria[[#This Row],[Fecha Económico]]))</f>
        <v>7</v>
      </c>
      <c r="AL9" s="986">
        <f>IF(Producción_Lecheria[[#This Row],[Fecha Económico]]=0,0,YEAR(Producción_Lecheria[[#This Row],[Fecha Económico]]))</f>
        <v>2018</v>
      </c>
      <c r="AM9" s="987">
        <f>SUMPRODUCT((Producción_Lecheria[[#This Row],[Mes Económico]]=Tipo_Cambio[Mes])*(Producción_Lecheria[[#This Row],[Año Económico]]=Tipo_Cambio[Año])*(Tipo_Cambio[$/U$S]))</f>
        <v>22</v>
      </c>
      <c r="AN9" s="987">
        <f>SUMPRODUCT((Producción_Lecheria[[#This Row],[Mes Económico]]=Tipo_Cambio[Mes])*(Producción_Lecheria[[#This Row],[Año Económico]]=Tipo_Cambio[Año])*(Tipo_Cambio[Actualización]))</f>
        <v>1</v>
      </c>
      <c r="AO9" s="986">
        <f>IF(ISNUMBER(Producción_Lecheria[[#This Row],[Fecha Financiero]])=TRUE,MONTH(Producción_Lecheria[[#This Row],[Fecha Financiero]]),0)</f>
        <v>0</v>
      </c>
      <c r="AP9" s="986">
        <f>IF(ISNUMBER(Producción_Lecheria[[#This Row],[Fecha Financiero]])=TRUE,YEAR(Producción_Lecheria[[#This Row],[Fecha Financiero]]),0)</f>
        <v>0</v>
      </c>
      <c r="AQ9" s="987">
        <f>SUMPRODUCT((Producción_Lecheria[[#This Row],[Mes Financiero]]=Tipo_Cambio[Mes])*(Producción_Lecheria[[#This Row],[Año Financiero]]=Tipo_Cambio[Año])*(Tipo_Cambio[$/U$S]))</f>
        <v>0</v>
      </c>
      <c r="AR9" s="987">
        <f>SUMPRODUCT((Producción_Lecheria[[#This Row],[Mes Financiero]]=Tipo_Cambio[Mes])*(Producción_Lecheria[[#This Row],[Año Financiero]]=Tipo_Cambio[Año])*(Tipo_Cambio[Actualización]))</f>
        <v>0</v>
      </c>
      <c r="AS9" s="988">
        <f>SUMPRODUCT((Producción_Lecheria[[#This Row],[Centro de Costo]]=Tabla1924[Centro de Costo])*(Tabla19[Superficie]))</f>
        <v>2356</v>
      </c>
      <c r="AT9" s="987">
        <f>IFERROR(Producción_Lecheria[[#This Row],[Económico $Corrientes]]/Producción_Lecheria[[#This Row],[Superficie]],0)</f>
        <v>0</v>
      </c>
      <c r="AU9" s="987">
        <f>IFERROR(Producción_Lecheria[[#This Row],[Económico $Constantes]]/Producción_Lecheria[[#This Row],[Superficie]],0)</f>
        <v>0</v>
      </c>
      <c r="AV9" s="987">
        <f>IFERROR(Producción_Lecheria[[#This Row],[Económico U$S Dólares]]/Producción_Lecheria[[#This Row],[Superficie]],0)</f>
        <v>0</v>
      </c>
      <c r="AW9" s="983" t="str">
        <f>IF(Económico!$F$4=0,0,Producción_Lecheria[Centro de Costo])</f>
        <v>Campo 1</v>
      </c>
    </row>
    <row r="10" spans="2:49" x14ac:dyDescent="0.25">
      <c r="D10" s="548">
        <f>DATE(LEFT(Producción_Lecheria[[#This Row],[Campaña]],4),7,1)</f>
        <v>43282</v>
      </c>
      <c r="E10" s="478"/>
      <c r="F10" s="479" t="str">
        <f t="shared" si="0"/>
        <v>2018-2019</v>
      </c>
      <c r="G10" s="480" t="str">
        <f t="shared" si="1"/>
        <v>Stock Inicio</v>
      </c>
      <c r="H10" s="481" t="s">
        <v>2</v>
      </c>
      <c r="I10" s="481" t="str">
        <f>Produccion_Lecheria[[#This Row],[Categoría]]</f>
        <v>Vaquillona 15-27</v>
      </c>
      <c r="J10" s="549"/>
      <c r="K10" s="481"/>
      <c r="L10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0" s="520"/>
      <c r="O10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-300</v>
      </c>
      <c r="P10" s="483">
        <v>1</v>
      </c>
      <c r="Q10" s="491" t="s">
        <v>140</v>
      </c>
      <c r="R10" s="875">
        <f>IF(ISNUMBER(Producción_Lecheria[[#This Row],[Cabezas]])=TRUE,Producción_Lecheria[[#This Row],[Cabezas]]*Producción_Lecheria[[#This Row],[Cantidad]],Producción_Lecheria[[#This Row],[Cantidad]])</f>
        <v>1</v>
      </c>
      <c r="S10" s="491"/>
      <c r="T10" s="483" t="s">
        <v>48</v>
      </c>
      <c r="U10" s="485"/>
      <c r="V10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0" s="977">
        <f>IFERROR(Producción_Lecheria[[#This Row],[Económico $Corrientes]]/Producción_Lecheria[[#This Row],[Indexación Económico]],0)</f>
        <v>0</v>
      </c>
      <c r="X1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0" s="977">
        <f>IFERROR(Producción_Lecheria[[#This Row],[Financiero $Corrientes]]/Producción_Lecheria[[#This Row],[Indexación Financiero]],0)</f>
        <v>0</v>
      </c>
      <c r="AA10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0" s="981">
        <f>IFERROR(Producción_Lecheria[[#This Row],[Intereses $Corrientes]]/Producción_Lecheria[[#This Row],[Indexación Financiero]],0)</f>
        <v>0</v>
      </c>
      <c r="AD1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0" s="982" t="str">
        <f>IFERROR(INDEX(Produccion_Lecheria_Cuentas[],MATCH(Producción_Lecheria[[#This Row],[Cuenta Contable]],Produccion_Lecheria_Cuentas[Cuenta Contable],0),2),0)</f>
        <v>Stock Inicio</v>
      </c>
      <c r="AF10" s="983">
        <f>IF(Producción_Lecheria[[#This Row],[Mov. Stock]]="(+)",Producción_Lecheria[[#This Row],[Cabezas]],IF(Producción_Lecheria[[#This Row],[Mov. Stock]]="(-)",-Producción_Lecheria[[#This Row],[Cabezas]],0))</f>
        <v>0</v>
      </c>
      <c r="AG10" s="984" t="str">
        <f>IFERROR(INDEX(Produccion_Lecheria_Cuentas[],MATCH(Producción_Lecheria[[#This Row],[Cuenta Contable]],Produccion_Lecheria_Cuentas[Cuenta Contable],0),5),0)</f>
        <v>(+)</v>
      </c>
      <c r="AH10" s="985" t="str">
        <f>IF(Producción_Lecheria[[#This Row],[Cuenta Contable]]=Configuración!$AC$9,"Si","No")</f>
        <v>No</v>
      </c>
      <c r="AI10" s="983" t="str">
        <f>IFERROR(INDEX(Tabla9[],MATCH(Producción_Lecheria[[#This Row],[Movimiento]],Tabla9[Movimientos],0),2),0)</f>
        <v>No</v>
      </c>
      <c r="AJ10" s="984" t="str">
        <f>IFERROR(INDEX(Tabla9[],MATCH(Producción_Lecheria[[#This Row],[Movimiento]],Tabla9[Movimientos],0),3),0)</f>
        <v>(-)</v>
      </c>
      <c r="AK10" s="986">
        <f>IF(Producción_Lecheria[[#This Row],[Fecha Económico]]=0,0,MONTH(Producción_Lecheria[[#This Row],[Fecha Económico]]))</f>
        <v>7</v>
      </c>
      <c r="AL10" s="986">
        <f>IF(Producción_Lecheria[[#This Row],[Fecha Económico]]=0,0,YEAR(Producción_Lecheria[[#This Row],[Fecha Económico]]))</f>
        <v>2018</v>
      </c>
      <c r="AM10" s="987">
        <f>SUMPRODUCT((Producción_Lecheria[[#This Row],[Mes Económico]]=Tipo_Cambio[Mes])*(Producción_Lecheria[[#This Row],[Año Económico]]=Tipo_Cambio[Año])*(Tipo_Cambio[$/U$S]))</f>
        <v>22</v>
      </c>
      <c r="AN10" s="987">
        <f>SUMPRODUCT((Producción_Lecheria[[#This Row],[Mes Económico]]=Tipo_Cambio[Mes])*(Producción_Lecheria[[#This Row],[Año Económico]]=Tipo_Cambio[Año])*(Tipo_Cambio[Actualización]))</f>
        <v>1</v>
      </c>
      <c r="AO10" s="986">
        <f>IF(ISNUMBER(Producción_Lecheria[[#This Row],[Fecha Financiero]])=TRUE,MONTH(Producción_Lecheria[[#This Row],[Fecha Financiero]]),0)</f>
        <v>0</v>
      </c>
      <c r="AP10" s="986">
        <f>IF(ISNUMBER(Producción_Lecheria[[#This Row],[Fecha Financiero]])=TRUE,YEAR(Producción_Lecheria[[#This Row],[Fecha Financiero]]),0)</f>
        <v>0</v>
      </c>
      <c r="AQ10" s="987">
        <f>SUMPRODUCT((Producción_Lecheria[[#This Row],[Mes Financiero]]=Tipo_Cambio[Mes])*(Producción_Lecheria[[#This Row],[Año Financiero]]=Tipo_Cambio[Año])*(Tipo_Cambio[$/U$S]))</f>
        <v>0</v>
      </c>
      <c r="AR10" s="987">
        <f>SUMPRODUCT((Producción_Lecheria[[#This Row],[Mes Financiero]]=Tipo_Cambio[Mes])*(Producción_Lecheria[[#This Row],[Año Financiero]]=Tipo_Cambio[Año])*(Tipo_Cambio[Actualización]))</f>
        <v>0</v>
      </c>
      <c r="AS10" s="988">
        <f>SUMPRODUCT((Producción_Lecheria[[#This Row],[Centro de Costo]]=Tabla1924[Centro de Costo])*(Tabla19[Superficie]))</f>
        <v>2356</v>
      </c>
      <c r="AT10" s="987">
        <f>IFERROR(Producción_Lecheria[[#This Row],[Económico $Corrientes]]/Producción_Lecheria[[#This Row],[Superficie]],0)</f>
        <v>0</v>
      </c>
      <c r="AU10" s="987">
        <f>IFERROR(Producción_Lecheria[[#This Row],[Económico $Constantes]]/Producción_Lecheria[[#This Row],[Superficie]],0)</f>
        <v>0</v>
      </c>
      <c r="AV10" s="987">
        <f>IFERROR(Producción_Lecheria[[#This Row],[Económico U$S Dólares]]/Producción_Lecheria[[#This Row],[Superficie]],0)</f>
        <v>0</v>
      </c>
      <c r="AW10" s="983" t="str">
        <f>IF(Económico!$F$4=0,0,Producción_Lecheria[Centro de Costo])</f>
        <v>Campo 1</v>
      </c>
    </row>
    <row r="11" spans="2:49" x14ac:dyDescent="0.25">
      <c r="D11" s="548">
        <f>DATE(LEFT(Producción_Lecheria[[#This Row],[Campaña]],4),7,1)</f>
        <v>43282</v>
      </c>
      <c r="E11" s="478"/>
      <c r="F11" s="479" t="str">
        <f t="shared" si="0"/>
        <v>2018-2019</v>
      </c>
      <c r="G11" s="480" t="str">
        <f t="shared" si="1"/>
        <v>Stock Inicio</v>
      </c>
      <c r="H11" s="481" t="s">
        <v>2</v>
      </c>
      <c r="I11" s="481" t="str">
        <f>Produccion_Lecheria[[#This Row],[Categoría]]</f>
        <v>Ternera</v>
      </c>
      <c r="J11" s="549"/>
      <c r="K11" s="481"/>
      <c r="L11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1" s="520"/>
      <c r="O11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-150</v>
      </c>
      <c r="P11" s="483">
        <v>1</v>
      </c>
      <c r="Q11" s="491" t="s">
        <v>140</v>
      </c>
      <c r="R11" s="875">
        <f>IF(ISNUMBER(Producción_Lecheria[[#This Row],[Cabezas]])=TRUE,Producción_Lecheria[[#This Row],[Cabezas]]*Producción_Lecheria[[#This Row],[Cantidad]],Producción_Lecheria[[#This Row],[Cantidad]])</f>
        <v>1</v>
      </c>
      <c r="S11" s="491"/>
      <c r="T11" s="483" t="s">
        <v>48</v>
      </c>
      <c r="U11" s="485"/>
      <c r="V11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1" s="977">
        <f>IFERROR(Producción_Lecheria[[#This Row],[Económico $Corrientes]]/Producción_Lecheria[[#This Row],[Indexación Económico]],0)</f>
        <v>0</v>
      </c>
      <c r="X1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1" s="977">
        <f>IFERROR(Producción_Lecheria[[#This Row],[Financiero $Corrientes]]/Producción_Lecheria[[#This Row],[Indexación Financiero]],0)</f>
        <v>0</v>
      </c>
      <c r="AA11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1" s="981">
        <f>IFERROR(Producción_Lecheria[[#This Row],[Intereses $Corrientes]]/Producción_Lecheria[[#This Row],[Indexación Financiero]],0)</f>
        <v>0</v>
      </c>
      <c r="AD1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1" s="982" t="str">
        <f>IFERROR(INDEX(Produccion_Lecheria_Cuentas[],MATCH(Producción_Lecheria[[#This Row],[Cuenta Contable]],Produccion_Lecheria_Cuentas[Cuenta Contable],0),2),0)</f>
        <v>Stock Inicio</v>
      </c>
      <c r="AF11" s="983">
        <f>IF(Producción_Lecheria[[#This Row],[Mov. Stock]]="(+)",Producción_Lecheria[[#This Row],[Cabezas]],IF(Producción_Lecheria[[#This Row],[Mov. Stock]]="(-)",-Producción_Lecheria[[#This Row],[Cabezas]],0))</f>
        <v>0</v>
      </c>
      <c r="AG11" s="984" t="str">
        <f>IFERROR(INDEX(Produccion_Lecheria_Cuentas[],MATCH(Producción_Lecheria[[#This Row],[Cuenta Contable]],Produccion_Lecheria_Cuentas[Cuenta Contable],0),5),0)</f>
        <v>(+)</v>
      </c>
      <c r="AH11" s="985" t="str">
        <f>IF(Producción_Lecheria[[#This Row],[Cuenta Contable]]=Configuración!$AC$9,"Si","No")</f>
        <v>No</v>
      </c>
      <c r="AI11" s="983" t="str">
        <f>IFERROR(INDEX(Tabla9[],MATCH(Producción_Lecheria[[#This Row],[Movimiento]],Tabla9[Movimientos],0),2),0)</f>
        <v>No</v>
      </c>
      <c r="AJ11" s="984" t="str">
        <f>IFERROR(INDEX(Tabla9[],MATCH(Producción_Lecheria[[#This Row],[Movimiento]],Tabla9[Movimientos],0),3),0)</f>
        <v>(-)</v>
      </c>
      <c r="AK11" s="986">
        <f>IF(Producción_Lecheria[[#This Row],[Fecha Económico]]=0,0,MONTH(Producción_Lecheria[[#This Row],[Fecha Económico]]))</f>
        <v>7</v>
      </c>
      <c r="AL11" s="986">
        <f>IF(Producción_Lecheria[[#This Row],[Fecha Económico]]=0,0,YEAR(Producción_Lecheria[[#This Row],[Fecha Económico]]))</f>
        <v>2018</v>
      </c>
      <c r="AM11" s="987">
        <f>SUMPRODUCT((Producción_Lecheria[[#This Row],[Mes Económico]]=Tipo_Cambio[Mes])*(Producción_Lecheria[[#This Row],[Año Económico]]=Tipo_Cambio[Año])*(Tipo_Cambio[$/U$S]))</f>
        <v>22</v>
      </c>
      <c r="AN11" s="987">
        <f>SUMPRODUCT((Producción_Lecheria[[#This Row],[Mes Económico]]=Tipo_Cambio[Mes])*(Producción_Lecheria[[#This Row],[Año Económico]]=Tipo_Cambio[Año])*(Tipo_Cambio[Actualización]))</f>
        <v>1</v>
      </c>
      <c r="AO11" s="986">
        <f>IF(ISNUMBER(Producción_Lecheria[[#This Row],[Fecha Financiero]])=TRUE,MONTH(Producción_Lecheria[[#This Row],[Fecha Financiero]]),0)</f>
        <v>0</v>
      </c>
      <c r="AP11" s="986">
        <f>IF(ISNUMBER(Producción_Lecheria[[#This Row],[Fecha Financiero]])=TRUE,YEAR(Producción_Lecheria[[#This Row],[Fecha Financiero]]),0)</f>
        <v>0</v>
      </c>
      <c r="AQ11" s="987">
        <f>SUMPRODUCT((Producción_Lecheria[[#This Row],[Mes Financiero]]=Tipo_Cambio[Mes])*(Producción_Lecheria[[#This Row],[Año Financiero]]=Tipo_Cambio[Año])*(Tipo_Cambio[$/U$S]))</f>
        <v>0</v>
      </c>
      <c r="AR11" s="987">
        <f>SUMPRODUCT((Producción_Lecheria[[#This Row],[Mes Financiero]]=Tipo_Cambio[Mes])*(Producción_Lecheria[[#This Row],[Año Financiero]]=Tipo_Cambio[Año])*(Tipo_Cambio[Actualización]))</f>
        <v>0</v>
      </c>
      <c r="AS11" s="988">
        <f>SUMPRODUCT((Producción_Lecheria[[#This Row],[Centro de Costo]]=Tabla1924[Centro de Costo])*(Tabla19[Superficie]))</f>
        <v>2356</v>
      </c>
      <c r="AT11" s="987">
        <f>IFERROR(Producción_Lecheria[[#This Row],[Económico $Corrientes]]/Producción_Lecheria[[#This Row],[Superficie]],0)</f>
        <v>0</v>
      </c>
      <c r="AU11" s="987">
        <f>IFERROR(Producción_Lecheria[[#This Row],[Económico $Constantes]]/Producción_Lecheria[[#This Row],[Superficie]],0)</f>
        <v>0</v>
      </c>
      <c r="AV11" s="987">
        <f>IFERROR(Producción_Lecheria[[#This Row],[Económico U$S Dólares]]/Producción_Lecheria[[#This Row],[Superficie]],0)</f>
        <v>0</v>
      </c>
      <c r="AW11" s="983" t="str">
        <f>IF(Económico!$F$4=0,0,Producción_Lecheria[Centro de Costo])</f>
        <v>Campo 1</v>
      </c>
    </row>
    <row r="12" spans="2:49" x14ac:dyDescent="0.25">
      <c r="D12" s="548">
        <f>DATE(LEFT(Producción_Lecheria[[#This Row],[Campaña]],4),7,1)</f>
        <v>43282</v>
      </c>
      <c r="E12" s="478"/>
      <c r="F12" s="479" t="str">
        <f t="shared" si="0"/>
        <v>2018-2019</v>
      </c>
      <c r="G12" s="480" t="str">
        <f t="shared" si="1"/>
        <v>Stock Inicio</v>
      </c>
      <c r="H12" s="481" t="s">
        <v>2</v>
      </c>
      <c r="I12" s="481" t="str">
        <f>Produccion_Lecheria[[#This Row],[Categoría]]</f>
        <v>Ternero</v>
      </c>
      <c r="J12" s="549"/>
      <c r="K12" s="481"/>
      <c r="L12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2" s="520"/>
      <c r="O12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-150</v>
      </c>
      <c r="P12" s="483">
        <v>1</v>
      </c>
      <c r="Q12" s="491" t="s">
        <v>140</v>
      </c>
      <c r="R12" s="875">
        <f>IF(ISNUMBER(Producción_Lecheria[[#This Row],[Cabezas]])=TRUE,Producción_Lecheria[[#This Row],[Cabezas]]*Producción_Lecheria[[#This Row],[Cantidad]],Producción_Lecheria[[#This Row],[Cantidad]])</f>
        <v>1</v>
      </c>
      <c r="S12" s="491"/>
      <c r="T12" s="483" t="s">
        <v>48</v>
      </c>
      <c r="U12" s="485"/>
      <c r="V12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2" s="989">
        <f>IFERROR(Producción_Lecheria[[#This Row],[Económico $Corrientes]]/Producción_Lecheria[[#This Row],[Indexación Económico]],0)</f>
        <v>0</v>
      </c>
      <c r="X1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2" s="989">
        <f>IFERROR(Producción_Lecheria[[#This Row],[Financiero $Corrientes]]/Producción_Lecheria[[#This Row],[Indexación Financiero]],0)</f>
        <v>0</v>
      </c>
      <c r="AA12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2" s="981">
        <f>IFERROR(Producción_Lecheria[[#This Row],[Intereses $Corrientes]]/Producción_Lecheria[[#This Row],[Indexación Financiero]],0)</f>
        <v>0</v>
      </c>
      <c r="AD1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2" s="982" t="str">
        <f>IFERROR(INDEX(Produccion_Lecheria_Cuentas[],MATCH(Producción_Lecheria[[#This Row],[Cuenta Contable]],Produccion_Lecheria_Cuentas[Cuenta Contable],0),2),0)</f>
        <v>Stock Inicio</v>
      </c>
      <c r="AF12" s="983">
        <f>IF(Producción_Lecheria[[#This Row],[Mov. Stock]]="(+)",Producción_Lecheria[[#This Row],[Cabezas]],IF(Producción_Lecheria[[#This Row],[Mov. Stock]]="(-)",-Producción_Lecheria[[#This Row],[Cabezas]],0))</f>
        <v>0</v>
      </c>
      <c r="AG12" s="984" t="str">
        <f>IFERROR(INDEX(Produccion_Lecheria_Cuentas[],MATCH(Producción_Lecheria[[#This Row],[Cuenta Contable]],Produccion_Lecheria_Cuentas[Cuenta Contable],0),5),0)</f>
        <v>(+)</v>
      </c>
      <c r="AH12" s="985" t="str">
        <f>IF(Producción_Lecheria[[#This Row],[Cuenta Contable]]=Configuración!$AC$9,"Si","No")</f>
        <v>No</v>
      </c>
      <c r="AI12" s="983" t="str">
        <f>IFERROR(INDEX(Tabla9[],MATCH(Producción_Lecheria[[#This Row],[Movimiento]],Tabla9[Movimientos],0),2),0)</f>
        <v>No</v>
      </c>
      <c r="AJ12" s="984" t="str">
        <f>IFERROR(INDEX(Tabla9[],MATCH(Producción_Lecheria[[#This Row],[Movimiento]],Tabla9[Movimientos],0),3),0)</f>
        <v>(-)</v>
      </c>
      <c r="AK12" s="986">
        <f>IF(Producción_Lecheria[[#This Row],[Fecha Económico]]=0,0,MONTH(Producción_Lecheria[[#This Row],[Fecha Económico]]))</f>
        <v>7</v>
      </c>
      <c r="AL12" s="986">
        <f>IF(Producción_Lecheria[[#This Row],[Fecha Económico]]=0,0,YEAR(Producción_Lecheria[[#This Row],[Fecha Económico]]))</f>
        <v>2018</v>
      </c>
      <c r="AM12" s="987">
        <f>SUMPRODUCT((Producción_Lecheria[[#This Row],[Mes Económico]]=Tipo_Cambio[Mes])*(Producción_Lecheria[[#This Row],[Año Económico]]=Tipo_Cambio[Año])*(Tipo_Cambio[$/U$S]))</f>
        <v>22</v>
      </c>
      <c r="AN12" s="987">
        <f>SUMPRODUCT((Producción_Lecheria[[#This Row],[Mes Económico]]=Tipo_Cambio[Mes])*(Producción_Lecheria[[#This Row],[Año Económico]]=Tipo_Cambio[Año])*(Tipo_Cambio[Actualización]))</f>
        <v>1</v>
      </c>
      <c r="AO12" s="986">
        <f>IF(ISNUMBER(Producción_Lecheria[[#This Row],[Fecha Financiero]])=TRUE,MONTH(Producción_Lecheria[[#This Row],[Fecha Financiero]]),0)</f>
        <v>0</v>
      </c>
      <c r="AP12" s="986">
        <f>IF(ISNUMBER(Producción_Lecheria[[#This Row],[Fecha Financiero]])=TRUE,YEAR(Producción_Lecheria[[#This Row],[Fecha Financiero]]),0)</f>
        <v>0</v>
      </c>
      <c r="AQ12" s="987">
        <f>SUMPRODUCT((Producción_Lecheria[[#This Row],[Mes Financiero]]=Tipo_Cambio[Mes])*(Producción_Lecheria[[#This Row],[Año Financiero]]=Tipo_Cambio[Año])*(Tipo_Cambio[$/U$S]))</f>
        <v>0</v>
      </c>
      <c r="AR12" s="987">
        <f>SUMPRODUCT((Producción_Lecheria[[#This Row],[Mes Financiero]]=Tipo_Cambio[Mes])*(Producción_Lecheria[[#This Row],[Año Financiero]]=Tipo_Cambio[Año])*(Tipo_Cambio[Actualización]))</f>
        <v>0</v>
      </c>
      <c r="AS12" s="988">
        <f>SUMPRODUCT((Producción_Lecheria[[#This Row],[Centro de Costo]]=Tabla1924[Centro de Costo])*(Tabla19[Superficie]))</f>
        <v>2356</v>
      </c>
      <c r="AT12" s="987">
        <f>IFERROR(Producción_Lecheria[[#This Row],[Económico $Corrientes]]/Producción_Lecheria[[#This Row],[Superficie]],0)</f>
        <v>0</v>
      </c>
      <c r="AU12" s="987">
        <f>IFERROR(Producción_Lecheria[[#This Row],[Económico $Constantes]]/Producción_Lecheria[[#This Row],[Superficie]],0)</f>
        <v>0</v>
      </c>
      <c r="AV12" s="987">
        <f>IFERROR(Producción_Lecheria[[#This Row],[Económico U$S Dólares]]/Producción_Lecheria[[#This Row],[Superficie]],0)</f>
        <v>0</v>
      </c>
      <c r="AW12" s="983" t="str">
        <f>IF(Económico!$F$4=0,0,Producción_Lecheria[Centro de Costo])</f>
        <v>Campo 1</v>
      </c>
    </row>
    <row r="13" spans="2:49" x14ac:dyDescent="0.25">
      <c r="D13" s="548">
        <f>DATE(LEFT(Producción_Lecheria[[#This Row],[Campaña]],4),7,1)</f>
        <v>43282</v>
      </c>
      <c r="E13" s="522"/>
      <c r="F13" s="479" t="str">
        <f t="shared" si="0"/>
        <v>2018-2019</v>
      </c>
      <c r="G13" s="480" t="str">
        <f t="shared" si="1"/>
        <v>Stock Inicio</v>
      </c>
      <c r="H13" s="481" t="s">
        <v>2</v>
      </c>
      <c r="I13" s="481" t="str">
        <f>Produccion_Lecheria[[#This Row],[Categoría]]</f>
        <v>Vaca descarte</v>
      </c>
      <c r="J13" s="549"/>
      <c r="K13" s="481"/>
      <c r="L13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3" s="520"/>
      <c r="O13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-600</v>
      </c>
      <c r="P13" s="483">
        <v>1</v>
      </c>
      <c r="Q13" s="491" t="s">
        <v>140</v>
      </c>
      <c r="R13" s="875">
        <f>IF(ISNUMBER(Producción_Lecheria[[#This Row],[Cabezas]])=TRUE,Producción_Lecheria[[#This Row],[Cabezas]]*Producción_Lecheria[[#This Row],[Cantidad]],Producción_Lecheria[[#This Row],[Cantidad]])</f>
        <v>1</v>
      </c>
      <c r="S13" s="491"/>
      <c r="T13" s="552" t="s">
        <v>48</v>
      </c>
      <c r="U13" s="553"/>
      <c r="V1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3" s="989">
        <f>IFERROR(Producción_Lecheria[[#This Row],[Económico $Corrientes]]/Producción_Lecheria[[#This Row],[Indexación Económico]],0)</f>
        <v>0</v>
      </c>
      <c r="X1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3" s="989">
        <f>IFERROR(Producción_Lecheria[[#This Row],[Financiero $Corrientes]]/Producción_Lecheria[[#This Row],[Indexación Financiero]],0)</f>
        <v>0</v>
      </c>
      <c r="AA1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3" s="981">
        <f>IFERROR(Producción_Lecheria[[#This Row],[Intereses $Corrientes]]/Producción_Lecheria[[#This Row],[Indexación Financiero]],0)</f>
        <v>0</v>
      </c>
      <c r="AD1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3" s="991" t="str">
        <f>IFERROR(INDEX(Produccion_Lecheria_Cuentas[],MATCH(Producción_Lecheria[[#This Row],[Cuenta Contable]],Produccion_Lecheria_Cuentas[Cuenta Contable],0),2),0)</f>
        <v>Stock Inicio</v>
      </c>
      <c r="AF13" s="992">
        <f>IF(Producción_Lecheria[[#This Row],[Mov. Stock]]="(+)",Producción_Lecheria[[#This Row],[Cabezas]],IF(Producción_Lecheria[[#This Row],[Mov. Stock]]="(-)",-Producción_Lecheria[[#This Row],[Cabezas]],0))</f>
        <v>0</v>
      </c>
      <c r="AG13" s="993" t="str">
        <f>IFERROR(INDEX(Produccion_Lecheria_Cuentas[],MATCH(Producción_Lecheria[[#This Row],[Cuenta Contable]],Produccion_Lecheria_Cuentas[Cuenta Contable],0),5),0)</f>
        <v>(+)</v>
      </c>
      <c r="AH13" s="994" t="str">
        <f>IF(Producción_Lecheria[[#This Row],[Cuenta Contable]]=Configuración!$AC$9,"Si","No")</f>
        <v>No</v>
      </c>
      <c r="AI13" s="983" t="str">
        <f>IFERROR(INDEX(Tabla9[],MATCH(Producción_Lecheria[[#This Row],[Movimiento]],Tabla9[Movimientos],0),2),0)</f>
        <v>No</v>
      </c>
      <c r="AJ13" s="984" t="str">
        <f>IFERROR(INDEX(Tabla9[],MATCH(Producción_Lecheria[[#This Row],[Movimiento]],Tabla9[Movimientos],0),3),0)</f>
        <v>(-)</v>
      </c>
      <c r="AK13" s="986">
        <f>IF(Producción_Lecheria[[#This Row],[Fecha Económico]]=0,0,MONTH(Producción_Lecheria[[#This Row],[Fecha Económico]]))</f>
        <v>7</v>
      </c>
      <c r="AL13" s="986">
        <f>IF(Producción_Lecheria[[#This Row],[Fecha Económico]]=0,0,YEAR(Producción_Lecheria[[#This Row],[Fecha Económico]]))</f>
        <v>2018</v>
      </c>
      <c r="AM13" s="987">
        <f>SUMPRODUCT((Producción_Lecheria[[#This Row],[Mes Económico]]=Tipo_Cambio[Mes])*(Producción_Lecheria[[#This Row],[Año Económico]]=Tipo_Cambio[Año])*(Tipo_Cambio[$/U$S]))</f>
        <v>22</v>
      </c>
      <c r="AN13" s="987">
        <f>SUMPRODUCT((Producción_Lecheria[[#This Row],[Mes Económico]]=Tipo_Cambio[Mes])*(Producción_Lecheria[[#This Row],[Año Económico]]=Tipo_Cambio[Año])*(Tipo_Cambio[Actualización]))</f>
        <v>1</v>
      </c>
      <c r="AO13" s="986">
        <f>IF(ISNUMBER(Producción_Lecheria[[#This Row],[Fecha Financiero]])=TRUE,MONTH(Producción_Lecheria[[#This Row],[Fecha Financiero]]),0)</f>
        <v>0</v>
      </c>
      <c r="AP13" s="986">
        <f>IF(ISNUMBER(Producción_Lecheria[[#This Row],[Fecha Financiero]])=TRUE,YEAR(Producción_Lecheria[[#This Row],[Fecha Financiero]]),0)</f>
        <v>0</v>
      </c>
      <c r="AQ13" s="987">
        <f>SUMPRODUCT((Producción_Lecheria[[#This Row],[Mes Financiero]]=Tipo_Cambio[Mes])*(Producción_Lecheria[[#This Row],[Año Financiero]]=Tipo_Cambio[Año])*(Tipo_Cambio[$/U$S]))</f>
        <v>0</v>
      </c>
      <c r="AR13" s="987">
        <f>SUMPRODUCT((Producción_Lecheria[[#This Row],[Mes Financiero]]=Tipo_Cambio[Mes])*(Producción_Lecheria[[#This Row],[Año Financiero]]=Tipo_Cambio[Año])*(Tipo_Cambio[Actualización]))</f>
        <v>0</v>
      </c>
      <c r="AS13" s="988">
        <f>SUMPRODUCT((Producción_Lecheria[[#This Row],[Centro de Costo]]=Tabla1924[Centro de Costo])*(Tabla19[Superficie]))</f>
        <v>2356</v>
      </c>
      <c r="AT13" s="987">
        <f>IFERROR(Producción_Lecheria[[#This Row],[Económico $Corrientes]]/Producción_Lecheria[[#This Row],[Superficie]],0)</f>
        <v>0</v>
      </c>
      <c r="AU13" s="987">
        <f>IFERROR(Producción_Lecheria[[#This Row],[Económico $Constantes]]/Producción_Lecheria[[#This Row],[Superficie]],0)</f>
        <v>0</v>
      </c>
      <c r="AV13" s="987">
        <f>IFERROR(Producción_Lecheria[[#This Row],[Económico U$S Dólares]]/Producción_Lecheria[[#This Row],[Superficie]],0)</f>
        <v>0</v>
      </c>
      <c r="AW13" s="983" t="str">
        <f>IF(Económico!$F$4=0,0,Producción_Lecheria[Centro de Costo])</f>
        <v>Campo 1</v>
      </c>
    </row>
    <row r="14" spans="2:49" x14ac:dyDescent="0.25">
      <c r="D14" s="548">
        <f>DATE(LEFT(Producción_Lecheria[[#This Row],[Campaña]],4),7,1)</f>
        <v>43282</v>
      </c>
      <c r="E14" s="522"/>
      <c r="F14" s="479" t="str">
        <f t="shared" si="0"/>
        <v>2018-2019</v>
      </c>
      <c r="G14" s="480" t="str">
        <f t="shared" si="1"/>
        <v>Stock Inicio</v>
      </c>
      <c r="H14" s="481" t="s">
        <v>2</v>
      </c>
      <c r="I14" s="481" t="str">
        <f>Produccion_Lecheria[[#This Row],[Categoría]]</f>
        <v>Toro Descarte</v>
      </c>
      <c r="J14" s="549"/>
      <c r="K14" s="481"/>
      <c r="L14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4" s="520"/>
      <c r="O14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-650</v>
      </c>
      <c r="P14" s="483">
        <v>1</v>
      </c>
      <c r="Q14" s="491" t="s">
        <v>140</v>
      </c>
      <c r="R14" s="875">
        <f>IF(ISNUMBER(Producción_Lecheria[[#This Row],[Cabezas]])=TRUE,Producción_Lecheria[[#This Row],[Cabezas]]*Producción_Lecheria[[#This Row],[Cantidad]],Producción_Lecheria[[#This Row],[Cantidad]])</f>
        <v>1</v>
      </c>
      <c r="S14" s="491"/>
      <c r="T14" s="552" t="s">
        <v>48</v>
      </c>
      <c r="U14" s="553"/>
      <c r="V1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4" s="989">
        <f>IFERROR(Producción_Lecheria[[#This Row],[Económico $Corrientes]]/Producción_Lecheria[[#This Row],[Indexación Económico]],0)</f>
        <v>0</v>
      </c>
      <c r="X1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4" s="989">
        <f>IFERROR(Producción_Lecheria[[#This Row],[Financiero $Corrientes]]/Producción_Lecheria[[#This Row],[Indexación Financiero]],0)</f>
        <v>0</v>
      </c>
      <c r="AA1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4" s="981">
        <f>IFERROR(Producción_Lecheria[[#This Row],[Intereses $Corrientes]]/Producción_Lecheria[[#This Row],[Indexación Financiero]],0)</f>
        <v>0</v>
      </c>
      <c r="AD1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4" s="991" t="str">
        <f>IFERROR(INDEX(Produccion_Lecheria_Cuentas[],MATCH(Producción_Lecheria[[#This Row],[Cuenta Contable]],Produccion_Lecheria_Cuentas[Cuenta Contable],0),2),0)</f>
        <v>Stock Inicio</v>
      </c>
      <c r="AF14" s="992">
        <f>IF(Producción_Lecheria[[#This Row],[Mov. Stock]]="(+)",Producción_Lecheria[[#This Row],[Cabezas]],IF(Producción_Lecheria[[#This Row],[Mov. Stock]]="(-)",-Producción_Lecheria[[#This Row],[Cabezas]],0))</f>
        <v>0</v>
      </c>
      <c r="AG14" s="993" t="str">
        <f>IFERROR(INDEX(Produccion_Lecheria_Cuentas[],MATCH(Producción_Lecheria[[#This Row],[Cuenta Contable]],Produccion_Lecheria_Cuentas[Cuenta Contable],0),5),0)</f>
        <v>(+)</v>
      </c>
      <c r="AH14" s="994" t="str">
        <f>IF(Producción_Lecheria[[#This Row],[Cuenta Contable]]=Configuración!$AC$9,"Si","No")</f>
        <v>No</v>
      </c>
      <c r="AI14" s="983" t="str">
        <f>IFERROR(INDEX(Tabla9[],MATCH(Producción_Lecheria[[#This Row],[Movimiento]],Tabla9[Movimientos],0),2),0)</f>
        <v>No</v>
      </c>
      <c r="AJ14" s="984" t="str">
        <f>IFERROR(INDEX(Tabla9[],MATCH(Producción_Lecheria[[#This Row],[Movimiento]],Tabla9[Movimientos],0),3),0)</f>
        <v>(-)</v>
      </c>
      <c r="AK14" s="986">
        <f>IF(Producción_Lecheria[[#This Row],[Fecha Económico]]=0,0,MONTH(Producción_Lecheria[[#This Row],[Fecha Económico]]))</f>
        <v>7</v>
      </c>
      <c r="AL14" s="986">
        <f>IF(Producción_Lecheria[[#This Row],[Fecha Económico]]=0,0,YEAR(Producción_Lecheria[[#This Row],[Fecha Económico]]))</f>
        <v>2018</v>
      </c>
      <c r="AM14" s="987">
        <f>SUMPRODUCT((Producción_Lecheria[[#This Row],[Mes Económico]]=Tipo_Cambio[Mes])*(Producción_Lecheria[[#This Row],[Año Económico]]=Tipo_Cambio[Año])*(Tipo_Cambio[$/U$S]))</f>
        <v>22</v>
      </c>
      <c r="AN14" s="987">
        <f>SUMPRODUCT((Producción_Lecheria[[#This Row],[Mes Económico]]=Tipo_Cambio[Mes])*(Producción_Lecheria[[#This Row],[Año Económico]]=Tipo_Cambio[Año])*(Tipo_Cambio[Actualización]))</f>
        <v>1</v>
      </c>
      <c r="AO14" s="986">
        <f>IF(ISNUMBER(Producción_Lecheria[[#This Row],[Fecha Financiero]])=TRUE,MONTH(Producción_Lecheria[[#This Row],[Fecha Financiero]]),0)</f>
        <v>0</v>
      </c>
      <c r="AP14" s="986">
        <f>IF(ISNUMBER(Producción_Lecheria[[#This Row],[Fecha Financiero]])=TRUE,YEAR(Producción_Lecheria[[#This Row],[Fecha Financiero]]),0)</f>
        <v>0</v>
      </c>
      <c r="AQ14" s="987">
        <f>SUMPRODUCT((Producción_Lecheria[[#This Row],[Mes Financiero]]=Tipo_Cambio[Mes])*(Producción_Lecheria[[#This Row],[Año Financiero]]=Tipo_Cambio[Año])*(Tipo_Cambio[$/U$S]))</f>
        <v>0</v>
      </c>
      <c r="AR14" s="987">
        <f>SUMPRODUCT((Producción_Lecheria[[#This Row],[Mes Financiero]]=Tipo_Cambio[Mes])*(Producción_Lecheria[[#This Row],[Año Financiero]]=Tipo_Cambio[Año])*(Tipo_Cambio[Actualización]))</f>
        <v>0</v>
      </c>
      <c r="AS14" s="988">
        <f>SUMPRODUCT((Producción_Lecheria[[#This Row],[Centro de Costo]]=Tabla1924[Centro de Costo])*(Tabla19[Superficie]))</f>
        <v>2356</v>
      </c>
      <c r="AT14" s="987">
        <f>IFERROR(Producción_Lecheria[[#This Row],[Económico $Corrientes]]/Producción_Lecheria[[#This Row],[Superficie]],0)</f>
        <v>0</v>
      </c>
      <c r="AU14" s="987">
        <f>IFERROR(Producción_Lecheria[[#This Row],[Económico $Constantes]]/Producción_Lecheria[[#This Row],[Superficie]],0)</f>
        <v>0</v>
      </c>
      <c r="AV14" s="987">
        <f>IFERROR(Producción_Lecheria[[#This Row],[Económico U$S Dólares]]/Producción_Lecheria[[#This Row],[Superficie]],0)</f>
        <v>0</v>
      </c>
      <c r="AW14" s="983" t="str">
        <f>IF(Económico!$F$4=0,0,Producción_Lecheria[Centro de Costo])</f>
        <v>Campo 1</v>
      </c>
    </row>
    <row r="15" spans="2:49" x14ac:dyDescent="0.25">
      <c r="D15" s="548">
        <f>DATE(LEFT(Producción_Lecheria[[#This Row],[Campaña]],4),7,1)</f>
        <v>43282</v>
      </c>
      <c r="E15" s="522"/>
      <c r="F15" s="479" t="str">
        <f t="shared" si="0"/>
        <v>2018-2019</v>
      </c>
      <c r="G15" s="480" t="str">
        <f t="shared" si="1"/>
        <v>Stock Inicio</v>
      </c>
      <c r="H15" s="481"/>
      <c r="I15" s="481">
        <f>Produccion_Lecheria[[#This Row],[Categoría]]</f>
        <v>0</v>
      </c>
      <c r="J15" s="549"/>
      <c r="K15" s="481"/>
      <c r="L15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5" s="520"/>
      <c r="O15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5" s="483"/>
      <c r="Q15" s="491"/>
      <c r="R15" s="875">
        <f>IF(ISNUMBER(Producción_Lecheria[[#This Row],[Cabezas]])=TRUE,Producción_Lecheria[[#This Row],[Cabezas]]*Producción_Lecheria[[#This Row],[Cantidad]],Producción_Lecheria[[#This Row],[Cantidad]])</f>
        <v>0</v>
      </c>
      <c r="S15" s="491"/>
      <c r="T15" s="552" t="s">
        <v>48</v>
      </c>
      <c r="U15" s="553"/>
      <c r="V1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5" s="989">
        <f>IFERROR(Producción_Lecheria[[#This Row],[Económico $Corrientes]]/Producción_Lecheria[[#This Row],[Indexación Económico]],0)</f>
        <v>0</v>
      </c>
      <c r="X1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5" s="989">
        <f>IFERROR(Producción_Lecheria[[#This Row],[Financiero $Corrientes]]/Producción_Lecheria[[#This Row],[Indexación Financiero]],0)</f>
        <v>0</v>
      </c>
      <c r="AA1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5" s="981">
        <f>IFERROR(Producción_Lecheria[[#This Row],[Intereses $Corrientes]]/Producción_Lecheria[[#This Row],[Indexación Financiero]],0)</f>
        <v>0</v>
      </c>
      <c r="AD1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5" s="991" t="str">
        <f>IFERROR(INDEX(Produccion_Lecheria_Cuentas[],MATCH(Producción_Lecheria[[#This Row],[Cuenta Contable]],Produccion_Lecheria_Cuentas[Cuenta Contable],0),2),0)</f>
        <v>Stock Inicio</v>
      </c>
      <c r="AF15" s="992">
        <f>IF(Producción_Lecheria[[#This Row],[Mov. Stock]]="(+)",Producción_Lecheria[[#This Row],[Cabezas]],IF(Producción_Lecheria[[#This Row],[Mov. Stock]]="(-)",-Producción_Lecheria[[#This Row],[Cabezas]],0))</f>
        <v>0</v>
      </c>
      <c r="AG15" s="993" t="str">
        <f>IFERROR(INDEX(Produccion_Lecheria_Cuentas[],MATCH(Producción_Lecheria[[#This Row],[Cuenta Contable]],Produccion_Lecheria_Cuentas[Cuenta Contable],0),5),0)</f>
        <v>(+)</v>
      </c>
      <c r="AH15" s="994" t="str">
        <f>IF(Producción_Lecheria[[#This Row],[Cuenta Contable]]=Configuración!$AC$9,"Si","No")</f>
        <v>No</v>
      </c>
      <c r="AI15" s="983" t="str">
        <f>IFERROR(INDEX(Tabla9[],MATCH(Producción_Lecheria[[#This Row],[Movimiento]],Tabla9[Movimientos],0),2),0)</f>
        <v>No</v>
      </c>
      <c r="AJ15" s="984" t="str">
        <f>IFERROR(INDEX(Tabla9[],MATCH(Producción_Lecheria[[#This Row],[Movimiento]],Tabla9[Movimientos],0),3),0)</f>
        <v>(-)</v>
      </c>
      <c r="AK15" s="986">
        <f>IF(Producción_Lecheria[[#This Row],[Fecha Económico]]=0,0,MONTH(Producción_Lecheria[[#This Row],[Fecha Económico]]))</f>
        <v>7</v>
      </c>
      <c r="AL15" s="986">
        <f>IF(Producción_Lecheria[[#This Row],[Fecha Económico]]=0,0,YEAR(Producción_Lecheria[[#This Row],[Fecha Económico]]))</f>
        <v>2018</v>
      </c>
      <c r="AM15" s="987">
        <f>SUMPRODUCT((Producción_Lecheria[[#This Row],[Mes Económico]]=Tipo_Cambio[Mes])*(Producción_Lecheria[[#This Row],[Año Económico]]=Tipo_Cambio[Año])*(Tipo_Cambio[$/U$S]))</f>
        <v>22</v>
      </c>
      <c r="AN15" s="987">
        <f>SUMPRODUCT((Producción_Lecheria[[#This Row],[Mes Económico]]=Tipo_Cambio[Mes])*(Producción_Lecheria[[#This Row],[Año Económico]]=Tipo_Cambio[Año])*(Tipo_Cambio[Actualización]))</f>
        <v>1</v>
      </c>
      <c r="AO15" s="986">
        <f>IF(ISNUMBER(Producción_Lecheria[[#This Row],[Fecha Financiero]])=TRUE,MONTH(Producción_Lecheria[[#This Row],[Fecha Financiero]]),0)</f>
        <v>0</v>
      </c>
      <c r="AP15" s="986">
        <f>IF(ISNUMBER(Producción_Lecheria[[#This Row],[Fecha Financiero]])=TRUE,YEAR(Producción_Lecheria[[#This Row],[Fecha Financiero]]),0)</f>
        <v>0</v>
      </c>
      <c r="AQ15" s="987">
        <f>SUMPRODUCT((Producción_Lecheria[[#This Row],[Mes Financiero]]=Tipo_Cambio[Mes])*(Producción_Lecheria[[#This Row],[Año Financiero]]=Tipo_Cambio[Año])*(Tipo_Cambio[$/U$S]))</f>
        <v>0</v>
      </c>
      <c r="AR15" s="987">
        <f>SUMPRODUCT((Producción_Lecheria[[#This Row],[Mes Financiero]]=Tipo_Cambio[Mes])*(Producción_Lecheria[[#This Row],[Año Financiero]]=Tipo_Cambio[Año])*(Tipo_Cambio[Actualización]))</f>
        <v>0</v>
      </c>
      <c r="AS15" s="988">
        <f>SUMPRODUCT((Producción_Lecheria[[#This Row],[Centro de Costo]]=Tabla1924[Centro de Costo])*(Tabla19[Superficie]))</f>
        <v>0</v>
      </c>
      <c r="AT15" s="987">
        <f>IFERROR(Producción_Lecheria[[#This Row],[Económico $Corrientes]]/Producción_Lecheria[[#This Row],[Superficie]],0)</f>
        <v>0</v>
      </c>
      <c r="AU15" s="987">
        <f>IFERROR(Producción_Lecheria[[#This Row],[Económico $Constantes]]/Producción_Lecheria[[#This Row],[Superficie]],0)</f>
        <v>0</v>
      </c>
      <c r="AV15" s="987">
        <f>IFERROR(Producción_Lecheria[[#This Row],[Económico U$S Dólares]]/Producción_Lecheria[[#This Row],[Superficie]],0)</f>
        <v>0</v>
      </c>
      <c r="AW15" s="983">
        <f>IF(Económico!$F$4=0,0,Producción_Lecheria[Centro de Costo])</f>
        <v>0</v>
      </c>
    </row>
    <row r="16" spans="2:49" x14ac:dyDescent="0.25">
      <c r="D16" s="548">
        <f>DATE(LEFT(Producción_Lecheria[[#This Row],[Campaña]],4),7,1)</f>
        <v>43282</v>
      </c>
      <c r="E16" s="522"/>
      <c r="F16" s="479" t="str">
        <f t="shared" si="0"/>
        <v>2018-2019</v>
      </c>
      <c r="G16" s="480" t="str">
        <f t="shared" si="1"/>
        <v>Stock Inicio</v>
      </c>
      <c r="H16" s="481"/>
      <c r="I16" s="481">
        <f>Produccion_Lecheria[[#This Row],[Categoría]]</f>
        <v>0</v>
      </c>
      <c r="J16" s="549"/>
      <c r="K16" s="481"/>
      <c r="L16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6" s="520"/>
      <c r="O16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6" s="483"/>
      <c r="Q16" s="491"/>
      <c r="R16" s="875">
        <f>IF(ISNUMBER(Producción_Lecheria[[#This Row],[Cabezas]])=TRUE,Producción_Lecheria[[#This Row],[Cabezas]]*Producción_Lecheria[[#This Row],[Cantidad]],Producción_Lecheria[[#This Row],[Cantidad]])</f>
        <v>0</v>
      </c>
      <c r="S16" s="491"/>
      <c r="T16" s="552" t="s">
        <v>48</v>
      </c>
      <c r="U16" s="553"/>
      <c r="V1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6" s="989">
        <f>IFERROR(Producción_Lecheria[[#This Row],[Económico $Corrientes]]/Producción_Lecheria[[#This Row],[Indexación Económico]],0)</f>
        <v>0</v>
      </c>
      <c r="X1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6" s="989">
        <f>IFERROR(Producción_Lecheria[[#This Row],[Financiero $Corrientes]]/Producción_Lecheria[[#This Row],[Indexación Financiero]],0)</f>
        <v>0</v>
      </c>
      <c r="AA1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6" s="981">
        <f>IFERROR(Producción_Lecheria[[#This Row],[Intereses $Corrientes]]/Producción_Lecheria[[#This Row],[Indexación Financiero]],0)</f>
        <v>0</v>
      </c>
      <c r="AD1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6" s="991" t="str">
        <f>IFERROR(INDEX(Produccion_Lecheria_Cuentas[],MATCH(Producción_Lecheria[[#This Row],[Cuenta Contable]],Produccion_Lecheria_Cuentas[Cuenta Contable],0),2),0)</f>
        <v>Stock Inicio</v>
      </c>
      <c r="AF16" s="992">
        <f>IF(Producción_Lecheria[[#This Row],[Mov. Stock]]="(+)",Producción_Lecheria[[#This Row],[Cabezas]],IF(Producción_Lecheria[[#This Row],[Mov. Stock]]="(-)",-Producción_Lecheria[[#This Row],[Cabezas]],0))</f>
        <v>0</v>
      </c>
      <c r="AG16" s="993" t="str">
        <f>IFERROR(INDEX(Produccion_Lecheria_Cuentas[],MATCH(Producción_Lecheria[[#This Row],[Cuenta Contable]],Produccion_Lecheria_Cuentas[Cuenta Contable],0),5),0)</f>
        <v>(+)</v>
      </c>
      <c r="AH16" s="994" t="str">
        <f>IF(Producción_Lecheria[[#This Row],[Cuenta Contable]]=Configuración!$AC$9,"Si","No")</f>
        <v>No</v>
      </c>
      <c r="AI16" s="983" t="str">
        <f>IFERROR(INDEX(Tabla9[],MATCH(Producción_Lecheria[[#This Row],[Movimiento]],Tabla9[Movimientos],0),2),0)</f>
        <v>No</v>
      </c>
      <c r="AJ16" s="984" t="str">
        <f>IFERROR(INDEX(Tabla9[],MATCH(Producción_Lecheria[[#This Row],[Movimiento]],Tabla9[Movimientos],0),3),0)</f>
        <v>(-)</v>
      </c>
      <c r="AK16" s="986">
        <f>IF(Producción_Lecheria[[#This Row],[Fecha Económico]]=0,0,MONTH(Producción_Lecheria[[#This Row],[Fecha Económico]]))</f>
        <v>7</v>
      </c>
      <c r="AL16" s="986">
        <f>IF(Producción_Lecheria[[#This Row],[Fecha Económico]]=0,0,YEAR(Producción_Lecheria[[#This Row],[Fecha Económico]]))</f>
        <v>2018</v>
      </c>
      <c r="AM16" s="987">
        <f>SUMPRODUCT((Producción_Lecheria[[#This Row],[Mes Económico]]=Tipo_Cambio[Mes])*(Producción_Lecheria[[#This Row],[Año Económico]]=Tipo_Cambio[Año])*(Tipo_Cambio[$/U$S]))</f>
        <v>22</v>
      </c>
      <c r="AN16" s="987">
        <f>SUMPRODUCT((Producción_Lecheria[[#This Row],[Mes Económico]]=Tipo_Cambio[Mes])*(Producción_Lecheria[[#This Row],[Año Económico]]=Tipo_Cambio[Año])*(Tipo_Cambio[Actualización]))</f>
        <v>1</v>
      </c>
      <c r="AO16" s="986">
        <f>IF(ISNUMBER(Producción_Lecheria[[#This Row],[Fecha Financiero]])=TRUE,MONTH(Producción_Lecheria[[#This Row],[Fecha Financiero]]),0)</f>
        <v>0</v>
      </c>
      <c r="AP16" s="986">
        <f>IF(ISNUMBER(Producción_Lecheria[[#This Row],[Fecha Financiero]])=TRUE,YEAR(Producción_Lecheria[[#This Row],[Fecha Financiero]]),0)</f>
        <v>0</v>
      </c>
      <c r="AQ16" s="987">
        <f>SUMPRODUCT((Producción_Lecheria[[#This Row],[Mes Financiero]]=Tipo_Cambio[Mes])*(Producción_Lecheria[[#This Row],[Año Financiero]]=Tipo_Cambio[Año])*(Tipo_Cambio[$/U$S]))</f>
        <v>0</v>
      </c>
      <c r="AR16" s="987">
        <f>SUMPRODUCT((Producción_Lecheria[[#This Row],[Mes Financiero]]=Tipo_Cambio[Mes])*(Producción_Lecheria[[#This Row],[Año Financiero]]=Tipo_Cambio[Año])*(Tipo_Cambio[Actualización]))</f>
        <v>0</v>
      </c>
      <c r="AS16" s="988">
        <f>SUMPRODUCT((Producción_Lecheria[[#This Row],[Centro de Costo]]=Tabla1924[Centro de Costo])*(Tabla19[Superficie]))</f>
        <v>0</v>
      </c>
      <c r="AT16" s="987">
        <f>IFERROR(Producción_Lecheria[[#This Row],[Económico $Corrientes]]/Producción_Lecheria[[#This Row],[Superficie]],0)</f>
        <v>0</v>
      </c>
      <c r="AU16" s="987">
        <f>IFERROR(Producción_Lecheria[[#This Row],[Económico $Constantes]]/Producción_Lecheria[[#This Row],[Superficie]],0)</f>
        <v>0</v>
      </c>
      <c r="AV16" s="987">
        <f>IFERROR(Producción_Lecheria[[#This Row],[Económico U$S Dólares]]/Producción_Lecheria[[#This Row],[Superficie]],0)</f>
        <v>0</v>
      </c>
      <c r="AW16" s="983">
        <f>IF(Económico!$F$4=0,0,Producción_Lecheria[Centro de Costo])</f>
        <v>0</v>
      </c>
    </row>
    <row r="17" spans="2:49" ht="15.75" thickBot="1" x14ac:dyDescent="0.3">
      <c r="B17" s="370" t="s">
        <v>101</v>
      </c>
      <c r="D17" s="548">
        <f>DATE(LEFT(Producción_Lecheria[[#This Row],[Campaña]],4),7,1)</f>
        <v>43282</v>
      </c>
      <c r="E17" s="522"/>
      <c r="F17" s="479" t="str">
        <f t="shared" si="0"/>
        <v>2018-2019</v>
      </c>
      <c r="G17" s="480" t="str">
        <f t="shared" si="1"/>
        <v>Stock Inicio</v>
      </c>
      <c r="H17" s="481"/>
      <c r="I17" s="481"/>
      <c r="J17" s="549"/>
      <c r="K17" s="481"/>
      <c r="L17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7" s="520"/>
      <c r="O17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7" s="483"/>
      <c r="Q17" s="491"/>
      <c r="R17" s="875">
        <f>IF(ISNUMBER(Producción_Lecheria[[#This Row],[Cabezas]])=TRUE,Producción_Lecheria[[#This Row],[Cabezas]]*Producción_Lecheria[[#This Row],[Cantidad]],Producción_Lecheria[[#This Row],[Cantidad]])</f>
        <v>0</v>
      </c>
      <c r="S17" s="491"/>
      <c r="T17" s="552" t="s">
        <v>48</v>
      </c>
      <c r="U17" s="553"/>
      <c r="V1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7" s="989">
        <f>IFERROR(Producción_Lecheria[[#This Row],[Económico $Corrientes]]/Producción_Lecheria[[#This Row],[Indexación Económico]],0)</f>
        <v>0</v>
      </c>
      <c r="X1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7" s="989">
        <f>IFERROR(Producción_Lecheria[[#This Row],[Financiero $Corrientes]]/Producción_Lecheria[[#This Row],[Indexación Financiero]],0)</f>
        <v>0</v>
      </c>
      <c r="AA1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7" s="981">
        <f>IFERROR(Producción_Lecheria[[#This Row],[Intereses $Corrientes]]/Producción_Lecheria[[#This Row],[Indexación Financiero]],0)</f>
        <v>0</v>
      </c>
      <c r="AD1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7" s="991" t="str">
        <f>IFERROR(INDEX(Produccion_Lecheria_Cuentas[],MATCH(Producción_Lecheria[[#This Row],[Cuenta Contable]],Produccion_Lecheria_Cuentas[Cuenta Contable],0),2),0)</f>
        <v>Stock Inicio</v>
      </c>
      <c r="AF17" s="992">
        <f>IF(Producción_Lecheria[[#This Row],[Mov. Stock]]="(+)",Producción_Lecheria[[#This Row],[Cabezas]],IF(Producción_Lecheria[[#This Row],[Mov. Stock]]="(-)",-Producción_Lecheria[[#This Row],[Cabezas]],0))</f>
        <v>0</v>
      </c>
      <c r="AG17" s="993" t="str">
        <f>IFERROR(INDEX(Produccion_Lecheria_Cuentas[],MATCH(Producción_Lecheria[[#This Row],[Cuenta Contable]],Produccion_Lecheria_Cuentas[Cuenta Contable],0),5),0)</f>
        <v>(+)</v>
      </c>
      <c r="AH17" s="994" t="str">
        <f>IF(Producción_Lecheria[[#This Row],[Cuenta Contable]]=Configuración!$AC$9,"Si","No")</f>
        <v>No</v>
      </c>
      <c r="AI17" s="983" t="str">
        <f>IFERROR(INDEX(Tabla9[],MATCH(Producción_Lecheria[[#This Row],[Movimiento]],Tabla9[Movimientos],0),2),0)</f>
        <v>No</v>
      </c>
      <c r="AJ17" s="984" t="str">
        <f>IFERROR(INDEX(Tabla9[],MATCH(Producción_Lecheria[[#This Row],[Movimiento]],Tabla9[Movimientos],0),3),0)</f>
        <v>(-)</v>
      </c>
      <c r="AK17" s="986">
        <f>IF(Producción_Lecheria[[#This Row],[Fecha Económico]]=0,0,MONTH(Producción_Lecheria[[#This Row],[Fecha Económico]]))</f>
        <v>7</v>
      </c>
      <c r="AL17" s="986">
        <f>IF(Producción_Lecheria[[#This Row],[Fecha Económico]]=0,0,YEAR(Producción_Lecheria[[#This Row],[Fecha Económico]]))</f>
        <v>2018</v>
      </c>
      <c r="AM17" s="987">
        <f>SUMPRODUCT((Producción_Lecheria[[#This Row],[Mes Económico]]=Tipo_Cambio[Mes])*(Producción_Lecheria[[#This Row],[Año Económico]]=Tipo_Cambio[Año])*(Tipo_Cambio[$/U$S]))</f>
        <v>22</v>
      </c>
      <c r="AN17" s="987">
        <f>SUMPRODUCT((Producción_Lecheria[[#This Row],[Mes Económico]]=Tipo_Cambio[Mes])*(Producción_Lecheria[[#This Row],[Año Económico]]=Tipo_Cambio[Año])*(Tipo_Cambio[Actualización]))</f>
        <v>1</v>
      </c>
      <c r="AO17" s="986">
        <f>IF(ISNUMBER(Producción_Lecheria[[#This Row],[Fecha Financiero]])=TRUE,MONTH(Producción_Lecheria[[#This Row],[Fecha Financiero]]),0)</f>
        <v>0</v>
      </c>
      <c r="AP17" s="986">
        <f>IF(ISNUMBER(Producción_Lecheria[[#This Row],[Fecha Financiero]])=TRUE,YEAR(Producción_Lecheria[[#This Row],[Fecha Financiero]]),0)</f>
        <v>0</v>
      </c>
      <c r="AQ17" s="987">
        <f>SUMPRODUCT((Producción_Lecheria[[#This Row],[Mes Financiero]]=Tipo_Cambio[Mes])*(Producción_Lecheria[[#This Row],[Año Financiero]]=Tipo_Cambio[Año])*(Tipo_Cambio[$/U$S]))</f>
        <v>0</v>
      </c>
      <c r="AR17" s="987">
        <f>SUMPRODUCT((Producción_Lecheria[[#This Row],[Mes Financiero]]=Tipo_Cambio[Mes])*(Producción_Lecheria[[#This Row],[Año Financiero]]=Tipo_Cambio[Año])*(Tipo_Cambio[Actualización]))</f>
        <v>0</v>
      </c>
      <c r="AS17" s="988">
        <f>SUMPRODUCT((Producción_Lecheria[[#This Row],[Centro de Costo]]=Tabla1924[Centro de Costo])*(Tabla19[Superficie]))</f>
        <v>0</v>
      </c>
      <c r="AT17" s="987">
        <f>IFERROR(Producción_Lecheria[[#This Row],[Económico $Corrientes]]/Producción_Lecheria[[#This Row],[Superficie]],0)</f>
        <v>0</v>
      </c>
      <c r="AU17" s="987">
        <f>IFERROR(Producción_Lecheria[[#This Row],[Económico $Constantes]]/Producción_Lecheria[[#This Row],[Superficie]],0)</f>
        <v>0</v>
      </c>
      <c r="AV17" s="987">
        <f>IFERROR(Producción_Lecheria[[#This Row],[Económico U$S Dólares]]/Producción_Lecheria[[#This Row],[Superficie]],0)</f>
        <v>0</v>
      </c>
      <c r="AW17" s="983">
        <f>IF(Económico!$F$4=0,0,Producción_Lecheria[Centro de Costo])</f>
        <v>0</v>
      </c>
    </row>
    <row r="18" spans="2:49" ht="15.75" thickTop="1" x14ac:dyDescent="0.25">
      <c r="B18" s="1136" t="s">
        <v>170</v>
      </c>
      <c r="D18" s="554"/>
      <c r="E18" s="555"/>
      <c r="F18" s="556" t="str">
        <f t="shared" si="0"/>
        <v>2018-2019</v>
      </c>
      <c r="G18" s="557" t="str">
        <f>LCH_Compra_Hacienda</f>
        <v>Compra Hacienda</v>
      </c>
      <c r="H18" s="551" t="s">
        <v>2</v>
      </c>
      <c r="I18" s="551" t="s">
        <v>129</v>
      </c>
      <c r="J18" s="558"/>
      <c r="K18" s="551"/>
      <c r="L18" s="961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8" s="961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8" s="559"/>
      <c r="O18" s="969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8" s="560"/>
      <c r="Q18" s="551"/>
      <c r="R18" s="975">
        <f>IF(ISNUMBER(Producción_Lecheria[[#This Row],[Cabezas]])=TRUE,Producción_Lecheria[[#This Row],[Cabezas]]*Producción_Lecheria[[#This Row],[Cantidad]],Producción_Lecheria[[#This Row],[Cantidad]])</f>
        <v>0</v>
      </c>
      <c r="S18" s="551"/>
      <c r="T18" s="561" t="s">
        <v>48</v>
      </c>
      <c r="U18" s="562"/>
      <c r="V18" s="995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8" s="996">
        <f>IFERROR(Producción_Lecheria[[#This Row],[Económico $Corrientes]]/Producción_Lecheria[[#This Row],[Indexación Económico]],0)</f>
        <v>0</v>
      </c>
      <c r="X18" s="997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8" s="995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8" s="996">
        <f>IFERROR(Producción_Lecheria[[#This Row],[Financiero $Corrientes]]/Producción_Lecheria[[#This Row],[Indexación Financiero]],0)</f>
        <v>0</v>
      </c>
      <c r="AA18" s="998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8" s="999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8" s="1000">
        <f>IFERROR(Producción_Lecheria[[#This Row],[Intereses $Corrientes]]/Producción_Lecheria[[#This Row],[Indexación Financiero]],0)</f>
        <v>0</v>
      </c>
      <c r="AD18" s="1000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8" s="1001" t="str">
        <f>IFERROR(INDEX(Produccion_Lecheria_Cuentas[],MATCH(Producción_Lecheria[[#This Row],[Cuenta Contable]],Produccion_Lecheria_Cuentas[Cuenta Contable],0),2),0)</f>
        <v>Egreso</v>
      </c>
      <c r="AF18" s="1002">
        <f>IF(Producción_Lecheria[[#This Row],[Mov. Stock]]="(+)",Producción_Lecheria[[#This Row],[Cabezas]],IF(Producción_Lecheria[[#This Row],[Mov. Stock]]="(-)",-Producción_Lecheria[[#This Row],[Cabezas]],0))</f>
        <v>0</v>
      </c>
      <c r="AG18" s="1003" t="str">
        <f>IFERROR(INDEX(Produccion_Lecheria_Cuentas[],MATCH(Producción_Lecheria[[#This Row],[Cuenta Contable]],Produccion_Lecheria_Cuentas[Cuenta Contable],0),5),0)</f>
        <v>(+)</v>
      </c>
      <c r="AH18" s="1004" t="str">
        <f>IF(Producción_Lecheria[[#This Row],[Cuenta Contable]]=Configuración!$AC$9,"Si","No")</f>
        <v>No</v>
      </c>
      <c r="AI18" s="1005" t="str">
        <f>IFERROR(INDEX(Tabla9[],MATCH(Producción_Lecheria[[#This Row],[Movimiento]],Tabla9[Movimientos],0),2),0)</f>
        <v>Si</v>
      </c>
      <c r="AJ18" s="1006" t="str">
        <f>IFERROR(INDEX(Tabla9[],MATCH(Producción_Lecheria[[#This Row],[Movimiento]],Tabla9[Movimientos],0),3),0)</f>
        <v>(-)</v>
      </c>
      <c r="AK18" s="1000">
        <f>IF(Producción_Lecheria[[#This Row],[Fecha Económico]]=0,0,MONTH(Producción_Lecheria[[#This Row],[Fecha Económico]]))</f>
        <v>0</v>
      </c>
      <c r="AL18" s="1000">
        <f>IF(Producción_Lecheria[[#This Row],[Fecha Económico]]=0,0,YEAR(Producción_Lecheria[[#This Row],[Fecha Económico]]))</f>
        <v>0</v>
      </c>
      <c r="AM18" s="1007">
        <f>SUMPRODUCT((Producción_Lecheria[[#This Row],[Mes Económico]]=Tipo_Cambio[Mes])*(Producción_Lecheria[[#This Row],[Año Económico]]=Tipo_Cambio[Año])*(Tipo_Cambio[$/U$S]))</f>
        <v>0</v>
      </c>
      <c r="AN18" s="1007">
        <f>SUMPRODUCT((Producción_Lecheria[[#This Row],[Mes Económico]]=Tipo_Cambio[Mes])*(Producción_Lecheria[[#This Row],[Año Económico]]=Tipo_Cambio[Año])*(Tipo_Cambio[Actualización]))</f>
        <v>0</v>
      </c>
      <c r="AO18" s="1000">
        <f>IF(ISNUMBER(Producción_Lecheria[[#This Row],[Fecha Financiero]])=TRUE,MONTH(Producción_Lecheria[[#This Row],[Fecha Financiero]]),0)</f>
        <v>0</v>
      </c>
      <c r="AP18" s="1000">
        <f>IF(ISNUMBER(Producción_Lecheria[[#This Row],[Fecha Financiero]])=TRUE,YEAR(Producción_Lecheria[[#This Row],[Fecha Financiero]]),0)</f>
        <v>0</v>
      </c>
      <c r="AQ18" s="1007">
        <f>SUMPRODUCT((Producción_Lecheria[[#This Row],[Mes Financiero]]=Tipo_Cambio[Mes])*(Producción_Lecheria[[#This Row],[Año Financiero]]=Tipo_Cambio[Año])*(Tipo_Cambio[$/U$S]))</f>
        <v>0</v>
      </c>
      <c r="AR18" s="1007">
        <f>SUMPRODUCT((Producción_Lecheria[[#This Row],[Mes Financiero]]=Tipo_Cambio[Mes])*(Producción_Lecheria[[#This Row],[Año Financiero]]=Tipo_Cambio[Año])*(Tipo_Cambio[Actualización]))</f>
        <v>0</v>
      </c>
      <c r="AS18" s="1008">
        <f>SUMPRODUCT((Producción_Lecheria[[#This Row],[Centro de Costo]]=Tabla1924[Centro de Costo])*(Tabla19[Superficie]))</f>
        <v>2356</v>
      </c>
      <c r="AT18" s="1007">
        <f>IFERROR(Producción_Lecheria[[#This Row],[Económico $Corrientes]]/Producción_Lecheria[[#This Row],[Superficie]],0)</f>
        <v>0</v>
      </c>
      <c r="AU18" s="1007">
        <f>IFERROR(Producción_Lecheria[[#This Row],[Económico $Constantes]]/Producción_Lecheria[[#This Row],[Superficie]],0)</f>
        <v>0</v>
      </c>
      <c r="AV18" s="1007">
        <f>IFERROR(Producción_Lecheria[[#This Row],[Económico U$S Dólares]]/Producción_Lecheria[[#This Row],[Superficie]],0)</f>
        <v>0</v>
      </c>
      <c r="AW18" s="1005" t="str">
        <f>IF(Económico!$F$4=0,0,Producción_Lecheria[Centro de Costo])</f>
        <v>Campo 1</v>
      </c>
    </row>
    <row r="19" spans="2:49" x14ac:dyDescent="0.25">
      <c r="B19" s="1136"/>
      <c r="D19" s="528"/>
      <c r="E19" s="522"/>
      <c r="F19" s="479" t="str">
        <f t="shared" si="0"/>
        <v>2018-2019</v>
      </c>
      <c r="G19" s="480" t="s">
        <v>126</v>
      </c>
      <c r="H19" s="481" t="s">
        <v>2</v>
      </c>
      <c r="I19" s="481"/>
      <c r="J19" s="549"/>
      <c r="K19" s="481"/>
      <c r="L19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9" s="520"/>
      <c r="O19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9" s="483"/>
      <c r="Q19" s="491"/>
      <c r="R19" s="875">
        <f>IF(ISNUMBER(Producción_Lecheria[[#This Row],[Cabezas]])=TRUE,Producción_Lecheria[[#This Row],[Cabezas]]*Producción_Lecheria[[#This Row],[Cantidad]],Producción_Lecheria[[#This Row],[Cantidad]])</f>
        <v>0</v>
      </c>
      <c r="S19" s="491"/>
      <c r="T19" s="552" t="s">
        <v>48</v>
      </c>
      <c r="U19" s="553"/>
      <c r="V1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9" s="989">
        <f>IFERROR(Producción_Lecheria[[#This Row],[Económico $Corrientes]]/Producción_Lecheria[[#This Row],[Indexación Económico]],0)</f>
        <v>0</v>
      </c>
      <c r="X1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9" s="989">
        <f>IFERROR(Producción_Lecheria[[#This Row],[Financiero $Corrientes]]/Producción_Lecheria[[#This Row],[Indexación Financiero]],0)</f>
        <v>0</v>
      </c>
      <c r="AA1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9" s="981">
        <f>IFERROR(Producción_Lecheria[[#This Row],[Intereses $Corrientes]]/Producción_Lecheria[[#This Row],[Indexación Financiero]],0)</f>
        <v>0</v>
      </c>
      <c r="AD1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9" s="991" t="str">
        <f>IFERROR(INDEX(Produccion_Lecheria_Cuentas[],MATCH(Producción_Lecheria[[#This Row],[Cuenta Contable]],Produccion_Lecheria_Cuentas[Cuenta Contable],0),2),0)</f>
        <v>Egreso</v>
      </c>
      <c r="AF19" s="992">
        <f>IF(Producción_Lecheria[[#This Row],[Mov. Stock]]="(+)",Producción_Lecheria[[#This Row],[Cabezas]],IF(Producción_Lecheria[[#This Row],[Mov. Stock]]="(-)",-Producción_Lecheria[[#This Row],[Cabezas]],0))</f>
        <v>0</v>
      </c>
      <c r="AG19" s="993">
        <f>IFERROR(INDEX(Produccion_Lecheria_Cuentas[],MATCH(Producción_Lecheria[[#This Row],[Cuenta Contable]],Produccion_Lecheria_Cuentas[Cuenta Contable],0),5),0)</f>
        <v>0</v>
      </c>
      <c r="AH19" s="994" t="str">
        <f>IF(Producción_Lecheria[[#This Row],[Cuenta Contable]]=Configuración!$AC$9,"Si","No")</f>
        <v>No</v>
      </c>
      <c r="AI19" s="983" t="str">
        <f>IFERROR(INDEX(Tabla9[],MATCH(Producción_Lecheria[[#This Row],[Movimiento]],Tabla9[Movimientos],0),2),0)</f>
        <v>Si</v>
      </c>
      <c r="AJ19" s="984" t="str">
        <f>IFERROR(INDEX(Tabla9[],MATCH(Producción_Lecheria[[#This Row],[Movimiento]],Tabla9[Movimientos],0),3),0)</f>
        <v>(-)</v>
      </c>
      <c r="AK19" s="986">
        <f>IF(Producción_Lecheria[[#This Row],[Fecha Económico]]=0,0,MONTH(Producción_Lecheria[[#This Row],[Fecha Económico]]))</f>
        <v>0</v>
      </c>
      <c r="AL19" s="986">
        <f>IF(Producción_Lecheria[[#This Row],[Fecha Económico]]=0,0,YEAR(Producción_Lecheria[[#This Row],[Fecha Económico]]))</f>
        <v>0</v>
      </c>
      <c r="AM19" s="987">
        <f>SUMPRODUCT((Producción_Lecheria[[#This Row],[Mes Económico]]=Tipo_Cambio[Mes])*(Producción_Lecheria[[#This Row],[Año Económico]]=Tipo_Cambio[Año])*(Tipo_Cambio[$/U$S]))</f>
        <v>0</v>
      </c>
      <c r="AN19" s="987">
        <f>SUMPRODUCT((Producción_Lecheria[[#This Row],[Mes Económico]]=Tipo_Cambio[Mes])*(Producción_Lecheria[[#This Row],[Año Económico]]=Tipo_Cambio[Año])*(Tipo_Cambio[Actualización]))</f>
        <v>0</v>
      </c>
      <c r="AO19" s="986">
        <f>IF(ISNUMBER(Producción_Lecheria[[#This Row],[Fecha Financiero]])=TRUE,MONTH(Producción_Lecheria[[#This Row],[Fecha Financiero]]),0)</f>
        <v>0</v>
      </c>
      <c r="AP19" s="986">
        <f>IF(ISNUMBER(Producción_Lecheria[[#This Row],[Fecha Financiero]])=TRUE,YEAR(Producción_Lecheria[[#This Row],[Fecha Financiero]]),0)</f>
        <v>0</v>
      </c>
      <c r="AQ19" s="987">
        <f>SUMPRODUCT((Producción_Lecheria[[#This Row],[Mes Financiero]]=Tipo_Cambio[Mes])*(Producción_Lecheria[[#This Row],[Año Financiero]]=Tipo_Cambio[Año])*(Tipo_Cambio[$/U$S]))</f>
        <v>0</v>
      </c>
      <c r="AR19" s="987">
        <f>SUMPRODUCT((Producción_Lecheria[[#This Row],[Mes Financiero]]=Tipo_Cambio[Mes])*(Producción_Lecheria[[#This Row],[Año Financiero]]=Tipo_Cambio[Año])*(Tipo_Cambio[Actualización]))</f>
        <v>0</v>
      </c>
      <c r="AS19" s="988">
        <f>SUMPRODUCT((Producción_Lecheria[[#This Row],[Centro de Costo]]=Tabla1924[Centro de Costo])*(Tabla19[Superficie]))</f>
        <v>2356</v>
      </c>
      <c r="AT19" s="987">
        <f>IFERROR(Producción_Lecheria[[#This Row],[Económico $Corrientes]]/Producción_Lecheria[[#This Row],[Superficie]],0)</f>
        <v>0</v>
      </c>
      <c r="AU19" s="987">
        <f>IFERROR(Producción_Lecheria[[#This Row],[Económico $Constantes]]/Producción_Lecheria[[#This Row],[Superficie]],0)</f>
        <v>0</v>
      </c>
      <c r="AV19" s="987">
        <f>IFERROR(Producción_Lecheria[[#This Row],[Económico U$S Dólares]]/Producción_Lecheria[[#This Row],[Superficie]],0)</f>
        <v>0</v>
      </c>
      <c r="AW19" s="983" t="str">
        <f>IF(Económico!$F$4=0,0,Producción_Lecheria[Centro de Costo])</f>
        <v>Campo 1</v>
      </c>
    </row>
    <row r="20" spans="2:49" x14ac:dyDescent="0.25">
      <c r="B20" s="1136"/>
      <c r="D20" s="528"/>
      <c r="E20" s="522"/>
      <c r="F20" s="479" t="str">
        <f t="shared" si="0"/>
        <v>2018-2019</v>
      </c>
      <c r="G20" s="480" t="str">
        <f>LCH_Compra_Hacienda</f>
        <v>Compra Hacienda</v>
      </c>
      <c r="H20" s="481" t="s">
        <v>2</v>
      </c>
      <c r="I20" s="481" t="s">
        <v>129</v>
      </c>
      <c r="J20" s="549"/>
      <c r="K20" s="481"/>
      <c r="L20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0" s="520"/>
      <c r="O20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0" s="483"/>
      <c r="Q20" s="491"/>
      <c r="R20" s="875">
        <f>IF(ISNUMBER(Producción_Lecheria[[#This Row],[Cabezas]])=TRUE,Producción_Lecheria[[#This Row],[Cabezas]]*Producción_Lecheria[[#This Row],[Cantidad]],Producción_Lecheria[[#This Row],[Cantidad]])</f>
        <v>0</v>
      </c>
      <c r="S20" s="491"/>
      <c r="T20" s="552" t="s">
        <v>48</v>
      </c>
      <c r="U20" s="553"/>
      <c r="V2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0" s="989">
        <f>IFERROR(Producción_Lecheria[[#This Row],[Económico $Corrientes]]/Producción_Lecheria[[#This Row],[Indexación Económico]],0)</f>
        <v>0</v>
      </c>
      <c r="X2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0" s="989">
        <f>IFERROR(Producción_Lecheria[[#This Row],[Financiero $Corrientes]]/Producción_Lecheria[[#This Row],[Indexación Financiero]],0)</f>
        <v>0</v>
      </c>
      <c r="AA2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0" s="981">
        <f>IFERROR(Producción_Lecheria[[#This Row],[Intereses $Corrientes]]/Producción_Lecheria[[#This Row],[Indexación Financiero]],0)</f>
        <v>0</v>
      </c>
      <c r="AD2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0" s="991" t="str">
        <f>IFERROR(INDEX(Produccion_Lecheria_Cuentas[],MATCH(Producción_Lecheria[[#This Row],[Cuenta Contable]],Produccion_Lecheria_Cuentas[Cuenta Contable],0),2),0)</f>
        <v>Egreso</v>
      </c>
      <c r="AF20" s="992">
        <f>IF(Producción_Lecheria[[#This Row],[Mov. Stock]]="(+)",Producción_Lecheria[[#This Row],[Cabezas]],IF(Producción_Lecheria[[#This Row],[Mov. Stock]]="(-)",-Producción_Lecheria[[#This Row],[Cabezas]],0))</f>
        <v>0</v>
      </c>
      <c r="AG20" s="993" t="str">
        <f>IFERROR(INDEX(Produccion_Lecheria_Cuentas[],MATCH(Producción_Lecheria[[#This Row],[Cuenta Contable]],Produccion_Lecheria_Cuentas[Cuenta Contable],0),5),0)</f>
        <v>(+)</v>
      </c>
      <c r="AH20" s="994" t="str">
        <f>IF(Producción_Lecheria[[#This Row],[Cuenta Contable]]=Configuración!$AC$9,"Si","No")</f>
        <v>No</v>
      </c>
      <c r="AI20" s="983" t="str">
        <f>IFERROR(INDEX(Tabla9[],MATCH(Producción_Lecheria[[#This Row],[Movimiento]],Tabla9[Movimientos],0),2),0)</f>
        <v>Si</v>
      </c>
      <c r="AJ20" s="984" t="str">
        <f>IFERROR(INDEX(Tabla9[],MATCH(Producción_Lecheria[[#This Row],[Movimiento]],Tabla9[Movimientos],0),3),0)</f>
        <v>(-)</v>
      </c>
      <c r="AK20" s="986">
        <f>IF(Producción_Lecheria[[#This Row],[Fecha Económico]]=0,0,MONTH(Producción_Lecheria[[#This Row],[Fecha Económico]]))</f>
        <v>0</v>
      </c>
      <c r="AL20" s="986">
        <f>IF(Producción_Lecheria[[#This Row],[Fecha Económico]]=0,0,YEAR(Producción_Lecheria[[#This Row],[Fecha Económico]]))</f>
        <v>0</v>
      </c>
      <c r="AM20" s="987">
        <f>SUMPRODUCT((Producción_Lecheria[[#This Row],[Mes Económico]]=Tipo_Cambio[Mes])*(Producción_Lecheria[[#This Row],[Año Económico]]=Tipo_Cambio[Año])*(Tipo_Cambio[$/U$S]))</f>
        <v>0</v>
      </c>
      <c r="AN20" s="987">
        <f>SUMPRODUCT((Producción_Lecheria[[#This Row],[Mes Económico]]=Tipo_Cambio[Mes])*(Producción_Lecheria[[#This Row],[Año Económico]]=Tipo_Cambio[Año])*(Tipo_Cambio[Actualización]))</f>
        <v>0</v>
      </c>
      <c r="AO20" s="986">
        <f>IF(ISNUMBER(Producción_Lecheria[[#This Row],[Fecha Financiero]])=TRUE,MONTH(Producción_Lecheria[[#This Row],[Fecha Financiero]]),0)</f>
        <v>0</v>
      </c>
      <c r="AP20" s="986">
        <f>IF(ISNUMBER(Producción_Lecheria[[#This Row],[Fecha Financiero]])=TRUE,YEAR(Producción_Lecheria[[#This Row],[Fecha Financiero]]),0)</f>
        <v>0</v>
      </c>
      <c r="AQ20" s="987">
        <f>SUMPRODUCT((Producción_Lecheria[[#This Row],[Mes Financiero]]=Tipo_Cambio[Mes])*(Producción_Lecheria[[#This Row],[Año Financiero]]=Tipo_Cambio[Año])*(Tipo_Cambio[$/U$S]))</f>
        <v>0</v>
      </c>
      <c r="AR20" s="987">
        <f>SUMPRODUCT((Producción_Lecheria[[#This Row],[Mes Financiero]]=Tipo_Cambio[Mes])*(Producción_Lecheria[[#This Row],[Año Financiero]]=Tipo_Cambio[Año])*(Tipo_Cambio[Actualización]))</f>
        <v>0</v>
      </c>
      <c r="AS20" s="988">
        <f>SUMPRODUCT((Producción_Lecheria[[#This Row],[Centro de Costo]]=Tabla1924[Centro de Costo])*(Tabla19[Superficie]))</f>
        <v>2356</v>
      </c>
      <c r="AT20" s="987">
        <f>IFERROR(Producción_Lecheria[[#This Row],[Económico $Corrientes]]/Producción_Lecheria[[#This Row],[Superficie]],0)</f>
        <v>0</v>
      </c>
      <c r="AU20" s="987">
        <f>IFERROR(Producción_Lecheria[[#This Row],[Económico $Constantes]]/Producción_Lecheria[[#This Row],[Superficie]],0)</f>
        <v>0</v>
      </c>
      <c r="AV20" s="987">
        <f>IFERROR(Producción_Lecheria[[#This Row],[Económico U$S Dólares]]/Producción_Lecheria[[#This Row],[Superficie]],0)</f>
        <v>0</v>
      </c>
      <c r="AW20" s="983" t="str">
        <f>IF(Económico!$F$4=0,0,Producción_Lecheria[Centro de Costo])</f>
        <v>Campo 1</v>
      </c>
    </row>
    <row r="21" spans="2:49" x14ac:dyDescent="0.25">
      <c r="D21" s="528"/>
      <c r="E21" s="522"/>
      <c r="F21" s="479" t="str">
        <f t="shared" si="0"/>
        <v>2018-2019</v>
      </c>
      <c r="G21" s="480" t="s">
        <v>126</v>
      </c>
      <c r="H21" s="481" t="s">
        <v>2</v>
      </c>
      <c r="I21" s="481"/>
      <c r="J21" s="549"/>
      <c r="K21" s="481"/>
      <c r="L21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1" s="520"/>
      <c r="O21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1" s="483"/>
      <c r="Q21" s="491"/>
      <c r="R21" s="875">
        <f>IF(ISNUMBER(Producción_Lecheria[[#This Row],[Cabezas]])=TRUE,Producción_Lecheria[[#This Row],[Cabezas]]*Producción_Lecheria[[#This Row],[Cantidad]],Producción_Lecheria[[#This Row],[Cantidad]])</f>
        <v>0</v>
      </c>
      <c r="S21" s="491"/>
      <c r="T21" s="552" t="s">
        <v>48</v>
      </c>
      <c r="U21" s="553"/>
      <c r="V2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1" s="989">
        <f>IFERROR(Producción_Lecheria[[#This Row],[Económico $Corrientes]]/Producción_Lecheria[[#This Row],[Indexación Económico]],0)</f>
        <v>0</v>
      </c>
      <c r="X2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1" s="989">
        <f>IFERROR(Producción_Lecheria[[#This Row],[Financiero $Corrientes]]/Producción_Lecheria[[#This Row],[Indexación Financiero]],0)</f>
        <v>0</v>
      </c>
      <c r="AA2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1" s="981">
        <f>IFERROR(Producción_Lecheria[[#This Row],[Intereses $Corrientes]]/Producción_Lecheria[[#This Row],[Indexación Financiero]],0)</f>
        <v>0</v>
      </c>
      <c r="AD2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1" s="991" t="str">
        <f>IFERROR(INDEX(Produccion_Lecheria_Cuentas[],MATCH(Producción_Lecheria[[#This Row],[Cuenta Contable]],Produccion_Lecheria_Cuentas[Cuenta Contable],0),2),0)</f>
        <v>Egreso</v>
      </c>
      <c r="AF21" s="992">
        <f>IF(Producción_Lecheria[[#This Row],[Mov. Stock]]="(+)",Producción_Lecheria[[#This Row],[Cabezas]],IF(Producción_Lecheria[[#This Row],[Mov. Stock]]="(-)",-Producción_Lecheria[[#This Row],[Cabezas]],0))</f>
        <v>0</v>
      </c>
      <c r="AG21" s="993">
        <f>IFERROR(INDEX(Produccion_Lecheria_Cuentas[],MATCH(Producción_Lecheria[[#This Row],[Cuenta Contable]],Produccion_Lecheria_Cuentas[Cuenta Contable],0),5),0)</f>
        <v>0</v>
      </c>
      <c r="AH21" s="994" t="str">
        <f>IF(Producción_Lecheria[[#This Row],[Cuenta Contable]]=Configuración!$AC$9,"Si","No")</f>
        <v>No</v>
      </c>
      <c r="AI21" s="983" t="str">
        <f>IFERROR(INDEX(Tabla9[],MATCH(Producción_Lecheria[[#This Row],[Movimiento]],Tabla9[Movimientos],0),2),0)</f>
        <v>Si</v>
      </c>
      <c r="AJ21" s="984" t="str">
        <f>IFERROR(INDEX(Tabla9[],MATCH(Producción_Lecheria[[#This Row],[Movimiento]],Tabla9[Movimientos],0),3),0)</f>
        <v>(-)</v>
      </c>
      <c r="AK21" s="986">
        <f>IF(Producción_Lecheria[[#This Row],[Fecha Económico]]=0,0,MONTH(Producción_Lecheria[[#This Row],[Fecha Económico]]))</f>
        <v>0</v>
      </c>
      <c r="AL21" s="986">
        <f>IF(Producción_Lecheria[[#This Row],[Fecha Económico]]=0,0,YEAR(Producción_Lecheria[[#This Row],[Fecha Económico]]))</f>
        <v>0</v>
      </c>
      <c r="AM21" s="987">
        <f>SUMPRODUCT((Producción_Lecheria[[#This Row],[Mes Económico]]=Tipo_Cambio[Mes])*(Producción_Lecheria[[#This Row],[Año Económico]]=Tipo_Cambio[Año])*(Tipo_Cambio[$/U$S]))</f>
        <v>0</v>
      </c>
      <c r="AN21" s="987">
        <f>SUMPRODUCT((Producción_Lecheria[[#This Row],[Mes Económico]]=Tipo_Cambio[Mes])*(Producción_Lecheria[[#This Row],[Año Económico]]=Tipo_Cambio[Año])*(Tipo_Cambio[Actualización]))</f>
        <v>0</v>
      </c>
      <c r="AO21" s="986">
        <f>IF(ISNUMBER(Producción_Lecheria[[#This Row],[Fecha Financiero]])=TRUE,MONTH(Producción_Lecheria[[#This Row],[Fecha Financiero]]),0)</f>
        <v>0</v>
      </c>
      <c r="AP21" s="986">
        <f>IF(ISNUMBER(Producción_Lecheria[[#This Row],[Fecha Financiero]])=TRUE,YEAR(Producción_Lecheria[[#This Row],[Fecha Financiero]]),0)</f>
        <v>0</v>
      </c>
      <c r="AQ21" s="987">
        <f>SUMPRODUCT((Producción_Lecheria[[#This Row],[Mes Financiero]]=Tipo_Cambio[Mes])*(Producción_Lecheria[[#This Row],[Año Financiero]]=Tipo_Cambio[Año])*(Tipo_Cambio[$/U$S]))</f>
        <v>0</v>
      </c>
      <c r="AR21" s="987">
        <f>SUMPRODUCT((Producción_Lecheria[[#This Row],[Mes Financiero]]=Tipo_Cambio[Mes])*(Producción_Lecheria[[#This Row],[Año Financiero]]=Tipo_Cambio[Año])*(Tipo_Cambio[Actualización]))</f>
        <v>0</v>
      </c>
      <c r="AS21" s="988">
        <f>SUMPRODUCT((Producción_Lecheria[[#This Row],[Centro de Costo]]=Tabla1924[Centro de Costo])*(Tabla19[Superficie]))</f>
        <v>2356</v>
      </c>
      <c r="AT21" s="987">
        <f>IFERROR(Producción_Lecheria[[#This Row],[Económico $Corrientes]]/Producción_Lecheria[[#This Row],[Superficie]],0)</f>
        <v>0</v>
      </c>
      <c r="AU21" s="987">
        <f>IFERROR(Producción_Lecheria[[#This Row],[Económico $Constantes]]/Producción_Lecheria[[#This Row],[Superficie]],0)</f>
        <v>0</v>
      </c>
      <c r="AV21" s="987">
        <f>IFERROR(Producción_Lecheria[[#This Row],[Económico U$S Dólares]]/Producción_Lecheria[[#This Row],[Superficie]],0)</f>
        <v>0</v>
      </c>
      <c r="AW21" s="983" t="str">
        <f>IF(Económico!$F$4=0,0,Producción_Lecheria[Centro de Costo])</f>
        <v>Campo 1</v>
      </c>
    </row>
    <row r="22" spans="2:49" x14ac:dyDescent="0.25">
      <c r="D22" s="528"/>
      <c r="E22" s="522"/>
      <c r="F22" s="479" t="str">
        <f t="shared" si="0"/>
        <v>2018-2019</v>
      </c>
      <c r="G22" s="480" t="str">
        <f>LCH_Compra_Hacienda</f>
        <v>Compra Hacienda</v>
      </c>
      <c r="H22" s="481" t="s">
        <v>2</v>
      </c>
      <c r="I22" s="481" t="s">
        <v>129</v>
      </c>
      <c r="J22" s="549"/>
      <c r="K22" s="481"/>
      <c r="L22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2" s="520"/>
      <c r="O22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2" s="483"/>
      <c r="Q22" s="491"/>
      <c r="R22" s="875">
        <f>IF(ISNUMBER(Producción_Lecheria[[#This Row],[Cabezas]])=TRUE,Producción_Lecheria[[#This Row],[Cabezas]]*Producción_Lecheria[[#This Row],[Cantidad]],Producción_Lecheria[[#This Row],[Cantidad]])</f>
        <v>0</v>
      </c>
      <c r="S22" s="491"/>
      <c r="T22" s="552" t="s">
        <v>48</v>
      </c>
      <c r="U22" s="553"/>
      <c r="V2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2" s="989">
        <f>IFERROR(Producción_Lecheria[[#This Row],[Económico $Corrientes]]/Producción_Lecheria[[#This Row],[Indexación Económico]],0)</f>
        <v>0</v>
      </c>
      <c r="X2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2" s="989">
        <f>IFERROR(Producción_Lecheria[[#This Row],[Financiero $Corrientes]]/Producción_Lecheria[[#This Row],[Indexación Financiero]],0)</f>
        <v>0</v>
      </c>
      <c r="AA2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2" s="981">
        <f>IFERROR(Producción_Lecheria[[#This Row],[Intereses $Corrientes]]/Producción_Lecheria[[#This Row],[Indexación Financiero]],0)</f>
        <v>0</v>
      </c>
      <c r="AD2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2" s="991" t="str">
        <f>IFERROR(INDEX(Produccion_Lecheria_Cuentas[],MATCH(Producción_Lecheria[[#This Row],[Cuenta Contable]],Produccion_Lecheria_Cuentas[Cuenta Contable],0),2),0)</f>
        <v>Egreso</v>
      </c>
      <c r="AF22" s="992">
        <f>IF(Producción_Lecheria[[#This Row],[Mov. Stock]]="(+)",Producción_Lecheria[[#This Row],[Cabezas]],IF(Producción_Lecheria[[#This Row],[Mov. Stock]]="(-)",-Producción_Lecheria[[#This Row],[Cabezas]],0))</f>
        <v>0</v>
      </c>
      <c r="AG22" s="993" t="str">
        <f>IFERROR(INDEX(Produccion_Lecheria_Cuentas[],MATCH(Producción_Lecheria[[#This Row],[Cuenta Contable]],Produccion_Lecheria_Cuentas[Cuenta Contable],0),5),0)</f>
        <v>(+)</v>
      </c>
      <c r="AH22" s="994" t="str">
        <f>IF(Producción_Lecheria[[#This Row],[Cuenta Contable]]=Configuración!$AC$9,"Si","No")</f>
        <v>No</v>
      </c>
      <c r="AI22" s="983" t="str">
        <f>IFERROR(INDEX(Tabla9[],MATCH(Producción_Lecheria[[#This Row],[Movimiento]],Tabla9[Movimientos],0),2),0)</f>
        <v>Si</v>
      </c>
      <c r="AJ22" s="984" t="str">
        <f>IFERROR(INDEX(Tabla9[],MATCH(Producción_Lecheria[[#This Row],[Movimiento]],Tabla9[Movimientos],0),3),0)</f>
        <v>(-)</v>
      </c>
      <c r="AK22" s="986">
        <f>IF(Producción_Lecheria[[#This Row],[Fecha Económico]]=0,0,MONTH(Producción_Lecheria[[#This Row],[Fecha Económico]]))</f>
        <v>0</v>
      </c>
      <c r="AL22" s="986">
        <f>IF(Producción_Lecheria[[#This Row],[Fecha Económico]]=0,0,YEAR(Producción_Lecheria[[#This Row],[Fecha Económico]]))</f>
        <v>0</v>
      </c>
      <c r="AM22" s="987">
        <f>SUMPRODUCT((Producción_Lecheria[[#This Row],[Mes Económico]]=Tipo_Cambio[Mes])*(Producción_Lecheria[[#This Row],[Año Económico]]=Tipo_Cambio[Año])*(Tipo_Cambio[$/U$S]))</f>
        <v>0</v>
      </c>
      <c r="AN22" s="987">
        <f>SUMPRODUCT((Producción_Lecheria[[#This Row],[Mes Económico]]=Tipo_Cambio[Mes])*(Producción_Lecheria[[#This Row],[Año Económico]]=Tipo_Cambio[Año])*(Tipo_Cambio[Actualización]))</f>
        <v>0</v>
      </c>
      <c r="AO22" s="986">
        <f>IF(ISNUMBER(Producción_Lecheria[[#This Row],[Fecha Financiero]])=TRUE,MONTH(Producción_Lecheria[[#This Row],[Fecha Financiero]]),0)</f>
        <v>0</v>
      </c>
      <c r="AP22" s="986">
        <f>IF(ISNUMBER(Producción_Lecheria[[#This Row],[Fecha Financiero]])=TRUE,YEAR(Producción_Lecheria[[#This Row],[Fecha Financiero]]),0)</f>
        <v>0</v>
      </c>
      <c r="AQ22" s="987">
        <f>SUMPRODUCT((Producción_Lecheria[[#This Row],[Mes Financiero]]=Tipo_Cambio[Mes])*(Producción_Lecheria[[#This Row],[Año Financiero]]=Tipo_Cambio[Año])*(Tipo_Cambio[$/U$S]))</f>
        <v>0</v>
      </c>
      <c r="AR22" s="987">
        <f>SUMPRODUCT((Producción_Lecheria[[#This Row],[Mes Financiero]]=Tipo_Cambio[Mes])*(Producción_Lecheria[[#This Row],[Año Financiero]]=Tipo_Cambio[Año])*(Tipo_Cambio[Actualización]))</f>
        <v>0</v>
      </c>
      <c r="AS22" s="988">
        <f>SUMPRODUCT((Producción_Lecheria[[#This Row],[Centro de Costo]]=Tabla1924[Centro de Costo])*(Tabla19[Superficie]))</f>
        <v>2356</v>
      </c>
      <c r="AT22" s="987">
        <f>IFERROR(Producción_Lecheria[[#This Row],[Económico $Corrientes]]/Producción_Lecheria[[#This Row],[Superficie]],0)</f>
        <v>0</v>
      </c>
      <c r="AU22" s="987">
        <f>IFERROR(Producción_Lecheria[[#This Row],[Económico $Constantes]]/Producción_Lecheria[[#This Row],[Superficie]],0)</f>
        <v>0</v>
      </c>
      <c r="AV22" s="987">
        <f>IFERROR(Producción_Lecheria[[#This Row],[Económico U$S Dólares]]/Producción_Lecheria[[#This Row],[Superficie]],0)</f>
        <v>0</v>
      </c>
      <c r="AW22" s="983" t="str">
        <f>IF(Económico!$F$4=0,0,Producción_Lecheria[Centro de Costo])</f>
        <v>Campo 1</v>
      </c>
    </row>
    <row r="23" spans="2:49" x14ac:dyDescent="0.25">
      <c r="D23" s="528"/>
      <c r="E23" s="522"/>
      <c r="F23" s="479" t="str">
        <f t="shared" si="0"/>
        <v>2018-2019</v>
      </c>
      <c r="G23" s="480" t="s">
        <v>126</v>
      </c>
      <c r="H23" s="481" t="s">
        <v>2</v>
      </c>
      <c r="I23" s="481"/>
      <c r="J23" s="549"/>
      <c r="K23" s="481"/>
      <c r="L23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3" s="520"/>
      <c r="O23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3" s="483"/>
      <c r="Q23" s="491"/>
      <c r="R23" s="875">
        <f>IF(ISNUMBER(Producción_Lecheria[[#This Row],[Cabezas]])=TRUE,Producción_Lecheria[[#This Row],[Cabezas]]*Producción_Lecheria[[#This Row],[Cantidad]],Producción_Lecheria[[#This Row],[Cantidad]])</f>
        <v>0</v>
      </c>
      <c r="S23" s="491"/>
      <c r="T23" s="552" t="s">
        <v>48</v>
      </c>
      <c r="U23" s="553"/>
      <c r="V2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3" s="989">
        <f>IFERROR(Producción_Lecheria[[#This Row],[Económico $Corrientes]]/Producción_Lecheria[[#This Row],[Indexación Económico]],0)</f>
        <v>0</v>
      </c>
      <c r="X2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3" s="989">
        <f>IFERROR(Producción_Lecheria[[#This Row],[Financiero $Corrientes]]/Producción_Lecheria[[#This Row],[Indexación Financiero]],0)</f>
        <v>0</v>
      </c>
      <c r="AA2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3" s="981">
        <f>IFERROR(Producción_Lecheria[[#This Row],[Intereses $Corrientes]]/Producción_Lecheria[[#This Row],[Indexación Financiero]],0)</f>
        <v>0</v>
      </c>
      <c r="AD2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3" s="991" t="str">
        <f>IFERROR(INDEX(Produccion_Lecheria_Cuentas[],MATCH(Producción_Lecheria[[#This Row],[Cuenta Contable]],Produccion_Lecheria_Cuentas[Cuenta Contable],0),2),0)</f>
        <v>Egreso</v>
      </c>
      <c r="AF23" s="992">
        <f>IF(Producción_Lecheria[[#This Row],[Mov. Stock]]="(+)",Producción_Lecheria[[#This Row],[Cabezas]],IF(Producción_Lecheria[[#This Row],[Mov. Stock]]="(-)",-Producción_Lecheria[[#This Row],[Cabezas]],0))</f>
        <v>0</v>
      </c>
      <c r="AG23" s="993">
        <f>IFERROR(INDEX(Produccion_Lecheria_Cuentas[],MATCH(Producción_Lecheria[[#This Row],[Cuenta Contable]],Produccion_Lecheria_Cuentas[Cuenta Contable],0),5),0)</f>
        <v>0</v>
      </c>
      <c r="AH23" s="994" t="str">
        <f>IF(Producción_Lecheria[[#This Row],[Cuenta Contable]]=Configuración!$AC$9,"Si","No")</f>
        <v>No</v>
      </c>
      <c r="AI23" s="983" t="str">
        <f>IFERROR(INDEX(Tabla9[],MATCH(Producción_Lecheria[[#This Row],[Movimiento]],Tabla9[Movimientos],0),2),0)</f>
        <v>Si</v>
      </c>
      <c r="AJ23" s="984" t="str">
        <f>IFERROR(INDEX(Tabla9[],MATCH(Producción_Lecheria[[#This Row],[Movimiento]],Tabla9[Movimientos],0),3),0)</f>
        <v>(-)</v>
      </c>
      <c r="AK23" s="986">
        <f>IF(Producción_Lecheria[[#This Row],[Fecha Económico]]=0,0,MONTH(Producción_Lecheria[[#This Row],[Fecha Económico]]))</f>
        <v>0</v>
      </c>
      <c r="AL23" s="986">
        <f>IF(Producción_Lecheria[[#This Row],[Fecha Económico]]=0,0,YEAR(Producción_Lecheria[[#This Row],[Fecha Económico]]))</f>
        <v>0</v>
      </c>
      <c r="AM23" s="987">
        <f>SUMPRODUCT((Producción_Lecheria[[#This Row],[Mes Económico]]=Tipo_Cambio[Mes])*(Producción_Lecheria[[#This Row],[Año Económico]]=Tipo_Cambio[Año])*(Tipo_Cambio[$/U$S]))</f>
        <v>0</v>
      </c>
      <c r="AN23" s="987">
        <f>SUMPRODUCT((Producción_Lecheria[[#This Row],[Mes Económico]]=Tipo_Cambio[Mes])*(Producción_Lecheria[[#This Row],[Año Económico]]=Tipo_Cambio[Año])*(Tipo_Cambio[Actualización]))</f>
        <v>0</v>
      </c>
      <c r="AO23" s="986">
        <f>IF(ISNUMBER(Producción_Lecheria[[#This Row],[Fecha Financiero]])=TRUE,MONTH(Producción_Lecheria[[#This Row],[Fecha Financiero]]),0)</f>
        <v>0</v>
      </c>
      <c r="AP23" s="986">
        <f>IF(ISNUMBER(Producción_Lecheria[[#This Row],[Fecha Financiero]])=TRUE,YEAR(Producción_Lecheria[[#This Row],[Fecha Financiero]]),0)</f>
        <v>0</v>
      </c>
      <c r="AQ23" s="987">
        <f>SUMPRODUCT((Producción_Lecheria[[#This Row],[Mes Financiero]]=Tipo_Cambio[Mes])*(Producción_Lecheria[[#This Row],[Año Financiero]]=Tipo_Cambio[Año])*(Tipo_Cambio[$/U$S]))</f>
        <v>0</v>
      </c>
      <c r="AR23" s="987">
        <f>SUMPRODUCT((Producción_Lecheria[[#This Row],[Mes Financiero]]=Tipo_Cambio[Mes])*(Producción_Lecheria[[#This Row],[Año Financiero]]=Tipo_Cambio[Año])*(Tipo_Cambio[Actualización]))</f>
        <v>0</v>
      </c>
      <c r="AS23" s="988">
        <f>SUMPRODUCT((Producción_Lecheria[[#This Row],[Centro de Costo]]=Tabla1924[Centro de Costo])*(Tabla19[Superficie]))</f>
        <v>2356</v>
      </c>
      <c r="AT23" s="987">
        <f>IFERROR(Producción_Lecheria[[#This Row],[Económico $Corrientes]]/Producción_Lecheria[[#This Row],[Superficie]],0)</f>
        <v>0</v>
      </c>
      <c r="AU23" s="987">
        <f>IFERROR(Producción_Lecheria[[#This Row],[Económico $Constantes]]/Producción_Lecheria[[#This Row],[Superficie]],0)</f>
        <v>0</v>
      </c>
      <c r="AV23" s="987">
        <f>IFERROR(Producción_Lecheria[[#This Row],[Económico U$S Dólares]]/Producción_Lecheria[[#This Row],[Superficie]],0)</f>
        <v>0</v>
      </c>
      <c r="AW23" s="983" t="str">
        <f>IF(Económico!$F$4=0,0,Producción_Lecheria[Centro de Costo])</f>
        <v>Campo 1</v>
      </c>
    </row>
    <row r="24" spans="2:49" x14ac:dyDescent="0.25">
      <c r="D24" s="528"/>
      <c r="E24" s="522"/>
      <c r="F24" s="479" t="str">
        <f t="shared" ref="F24:F31" si="2">Campaña_Actual</f>
        <v>2018-2019</v>
      </c>
      <c r="G24" s="480" t="str">
        <f>LCH_Compra_Hacienda</f>
        <v>Compra Hacienda</v>
      </c>
      <c r="H24" s="481" t="s">
        <v>2</v>
      </c>
      <c r="I24" s="481" t="s">
        <v>129</v>
      </c>
      <c r="J24" s="549"/>
      <c r="K24" s="484"/>
      <c r="L2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4" s="520"/>
      <c r="O2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4" s="563"/>
      <c r="Q24" s="491"/>
      <c r="R24" s="875">
        <f>IF(ISNUMBER(Producción_Lecheria[[#This Row],[Cabezas]])=TRUE,Producción_Lecheria[[#This Row],[Cabezas]]*Producción_Lecheria[[#This Row],[Cantidad]],Producción_Lecheria[[#This Row],[Cantidad]])</f>
        <v>0</v>
      </c>
      <c r="S24" s="491"/>
      <c r="T24" s="552" t="s">
        <v>48</v>
      </c>
      <c r="U24" s="553"/>
      <c r="V2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4" s="989">
        <f>IFERROR(Producción_Lecheria[[#This Row],[Económico $Corrientes]]/Producción_Lecheria[[#This Row],[Indexación Económico]],0)</f>
        <v>0</v>
      </c>
      <c r="X2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4" s="989">
        <f>IFERROR(Producción_Lecheria[[#This Row],[Financiero $Corrientes]]/Producción_Lecheria[[#This Row],[Indexación Financiero]],0)</f>
        <v>0</v>
      </c>
      <c r="AA2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4" s="981">
        <f>IFERROR(Producción_Lecheria[[#This Row],[Intereses $Corrientes]]/Producción_Lecheria[[#This Row],[Indexación Financiero]],0)</f>
        <v>0</v>
      </c>
      <c r="AD2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4" s="991" t="str">
        <f>IFERROR(INDEX(Produccion_Lecheria_Cuentas[],MATCH(Producción_Lecheria[[#This Row],[Cuenta Contable]],Produccion_Lecheria_Cuentas[Cuenta Contable],0),2),0)</f>
        <v>Egreso</v>
      </c>
      <c r="AF24" s="992">
        <f>IF(Producción_Lecheria[[#This Row],[Mov. Stock]]="(+)",Producción_Lecheria[[#This Row],[Cabezas]],IF(Producción_Lecheria[[#This Row],[Mov. Stock]]="(-)",-Producción_Lecheria[[#This Row],[Cabezas]],0))</f>
        <v>0</v>
      </c>
      <c r="AG24" s="993" t="str">
        <f>IFERROR(INDEX(Produccion_Lecheria_Cuentas[],MATCH(Producción_Lecheria[[#This Row],[Cuenta Contable]],Produccion_Lecheria_Cuentas[Cuenta Contable],0),5),0)</f>
        <v>(+)</v>
      </c>
      <c r="AH24" s="985" t="str">
        <f>IF(Producción_Lecheria[[#This Row],[Cuenta Contable]]=Configuración!$AC$9,"Si","No")</f>
        <v>No</v>
      </c>
      <c r="AI24" s="983" t="str">
        <f>IFERROR(INDEX(Tabla9[],MATCH(Producción_Lecheria[[#This Row],[Movimiento]],Tabla9[Movimientos],0),2),0)</f>
        <v>Si</v>
      </c>
      <c r="AJ24" s="984" t="str">
        <f>IFERROR(INDEX(Tabla9[],MATCH(Producción_Lecheria[[#This Row],[Movimiento]],Tabla9[Movimientos],0),3),0)</f>
        <v>(-)</v>
      </c>
      <c r="AK24" s="986">
        <f>IF(Producción_Lecheria[[#This Row],[Fecha Económico]]=0,0,MONTH(Producción_Lecheria[[#This Row],[Fecha Económico]]))</f>
        <v>0</v>
      </c>
      <c r="AL24" s="986">
        <f>IF(Producción_Lecheria[[#This Row],[Fecha Económico]]=0,0,YEAR(Producción_Lecheria[[#This Row],[Fecha Económico]]))</f>
        <v>0</v>
      </c>
      <c r="AM24" s="987">
        <f>SUMPRODUCT((Producción_Lecheria[[#This Row],[Mes Económico]]=Tipo_Cambio[Mes])*(Producción_Lecheria[[#This Row],[Año Económico]]=Tipo_Cambio[Año])*(Tipo_Cambio[$/U$S]))</f>
        <v>0</v>
      </c>
      <c r="AN24" s="987">
        <f>SUMPRODUCT((Producción_Lecheria[[#This Row],[Mes Económico]]=Tipo_Cambio[Mes])*(Producción_Lecheria[[#This Row],[Año Económico]]=Tipo_Cambio[Año])*(Tipo_Cambio[Actualización]))</f>
        <v>0</v>
      </c>
      <c r="AO24" s="986">
        <f>IF(ISNUMBER(Producción_Lecheria[[#This Row],[Fecha Financiero]])=TRUE,MONTH(Producción_Lecheria[[#This Row],[Fecha Financiero]]),0)</f>
        <v>0</v>
      </c>
      <c r="AP24" s="986">
        <f>IF(ISNUMBER(Producción_Lecheria[[#This Row],[Fecha Financiero]])=TRUE,YEAR(Producción_Lecheria[[#This Row],[Fecha Financiero]]),0)</f>
        <v>0</v>
      </c>
      <c r="AQ24" s="987">
        <f>SUMPRODUCT((Producción_Lecheria[[#This Row],[Mes Financiero]]=Tipo_Cambio[Mes])*(Producción_Lecheria[[#This Row],[Año Financiero]]=Tipo_Cambio[Año])*(Tipo_Cambio[$/U$S]))</f>
        <v>0</v>
      </c>
      <c r="AR24" s="987">
        <f>SUMPRODUCT((Producción_Lecheria[[#This Row],[Mes Financiero]]=Tipo_Cambio[Mes])*(Producción_Lecheria[[#This Row],[Año Financiero]]=Tipo_Cambio[Año])*(Tipo_Cambio[Actualización]))</f>
        <v>0</v>
      </c>
      <c r="AS24" s="1009">
        <f>SUMPRODUCT((Producción_Lecheria[[#This Row],[Centro de Costo]]=Tabla1924[Centro de Costo])*(Tabla19[Superficie]))</f>
        <v>2356</v>
      </c>
      <c r="AT24" s="1010">
        <f>IFERROR(Producción_Lecheria[[#This Row],[Económico $Corrientes]]/Producción_Lecheria[[#This Row],[Superficie]],0)</f>
        <v>0</v>
      </c>
      <c r="AU24" s="1010">
        <f>IFERROR(Producción_Lecheria[[#This Row],[Económico $Constantes]]/Producción_Lecheria[[#This Row],[Superficie]],0)</f>
        <v>0</v>
      </c>
      <c r="AV24" s="1010">
        <f>IFERROR(Producción_Lecheria[[#This Row],[Económico U$S Dólares]]/Producción_Lecheria[[#This Row],[Superficie]],0)</f>
        <v>0</v>
      </c>
      <c r="AW24" s="992" t="str">
        <f>IF(Económico!$F$4=0,0,Producción_Lecheria[Centro de Costo])</f>
        <v>Campo 1</v>
      </c>
    </row>
    <row r="25" spans="2:49" x14ac:dyDescent="0.25">
      <c r="D25" s="528"/>
      <c r="E25" s="522"/>
      <c r="F25" s="479" t="str">
        <f t="shared" si="2"/>
        <v>2018-2019</v>
      </c>
      <c r="G25" s="480" t="s">
        <v>126</v>
      </c>
      <c r="H25" s="481" t="s">
        <v>2</v>
      </c>
      <c r="I25" s="481"/>
      <c r="J25" s="549"/>
      <c r="K25" s="484"/>
      <c r="L2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5" s="520"/>
      <c r="O2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5" s="563"/>
      <c r="Q25" s="491"/>
      <c r="R25" s="875">
        <f>IF(ISNUMBER(Producción_Lecheria[[#This Row],[Cabezas]])=TRUE,Producción_Lecheria[[#This Row],[Cabezas]]*Producción_Lecheria[[#This Row],[Cantidad]],Producción_Lecheria[[#This Row],[Cantidad]])</f>
        <v>0</v>
      </c>
      <c r="S25" s="491"/>
      <c r="T25" s="552" t="s">
        <v>48</v>
      </c>
      <c r="U25" s="553"/>
      <c r="V2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5" s="989">
        <f>IFERROR(Producción_Lecheria[[#This Row],[Económico $Corrientes]]/Producción_Lecheria[[#This Row],[Indexación Económico]],0)</f>
        <v>0</v>
      </c>
      <c r="X2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5" s="989">
        <f>IFERROR(Producción_Lecheria[[#This Row],[Financiero $Corrientes]]/Producción_Lecheria[[#This Row],[Indexación Financiero]],0)</f>
        <v>0</v>
      </c>
      <c r="AA2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5" s="981">
        <f>IFERROR(Producción_Lecheria[[#This Row],[Intereses $Corrientes]]/Producción_Lecheria[[#This Row],[Indexación Financiero]],0)</f>
        <v>0</v>
      </c>
      <c r="AD2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5" s="991" t="str">
        <f>IFERROR(INDEX(Produccion_Lecheria_Cuentas[],MATCH(Producción_Lecheria[[#This Row],[Cuenta Contable]],Produccion_Lecheria_Cuentas[Cuenta Contable],0),2),0)</f>
        <v>Egreso</v>
      </c>
      <c r="AF25" s="992">
        <f>IF(Producción_Lecheria[[#This Row],[Mov. Stock]]="(+)",Producción_Lecheria[[#This Row],[Cabezas]],IF(Producción_Lecheria[[#This Row],[Mov. Stock]]="(-)",-Producción_Lecheria[[#This Row],[Cabezas]],0))</f>
        <v>0</v>
      </c>
      <c r="AG25" s="993">
        <f>IFERROR(INDEX(Produccion_Lecheria_Cuentas[],MATCH(Producción_Lecheria[[#This Row],[Cuenta Contable]],Produccion_Lecheria_Cuentas[Cuenta Contable],0),5),0)</f>
        <v>0</v>
      </c>
      <c r="AH25" s="985" t="str">
        <f>IF(Producción_Lecheria[[#This Row],[Cuenta Contable]]=Configuración!$AC$9,"Si","No")</f>
        <v>No</v>
      </c>
      <c r="AI25" s="983" t="str">
        <f>IFERROR(INDEX(Tabla9[],MATCH(Producción_Lecheria[[#This Row],[Movimiento]],Tabla9[Movimientos],0),2),0)</f>
        <v>Si</v>
      </c>
      <c r="AJ25" s="984" t="str">
        <f>IFERROR(INDEX(Tabla9[],MATCH(Producción_Lecheria[[#This Row],[Movimiento]],Tabla9[Movimientos],0),3),0)</f>
        <v>(-)</v>
      </c>
      <c r="AK25" s="986">
        <f>IF(Producción_Lecheria[[#This Row],[Fecha Económico]]=0,0,MONTH(Producción_Lecheria[[#This Row],[Fecha Económico]]))</f>
        <v>0</v>
      </c>
      <c r="AL25" s="986">
        <f>IF(Producción_Lecheria[[#This Row],[Fecha Económico]]=0,0,YEAR(Producción_Lecheria[[#This Row],[Fecha Económico]]))</f>
        <v>0</v>
      </c>
      <c r="AM25" s="987">
        <f>SUMPRODUCT((Producción_Lecheria[[#This Row],[Mes Económico]]=Tipo_Cambio[Mes])*(Producción_Lecheria[[#This Row],[Año Económico]]=Tipo_Cambio[Año])*(Tipo_Cambio[$/U$S]))</f>
        <v>0</v>
      </c>
      <c r="AN25" s="987">
        <f>SUMPRODUCT((Producción_Lecheria[[#This Row],[Mes Económico]]=Tipo_Cambio[Mes])*(Producción_Lecheria[[#This Row],[Año Económico]]=Tipo_Cambio[Año])*(Tipo_Cambio[Actualización]))</f>
        <v>0</v>
      </c>
      <c r="AO25" s="986">
        <f>IF(ISNUMBER(Producción_Lecheria[[#This Row],[Fecha Financiero]])=TRUE,MONTH(Producción_Lecheria[[#This Row],[Fecha Financiero]]),0)</f>
        <v>0</v>
      </c>
      <c r="AP25" s="986">
        <f>IF(ISNUMBER(Producción_Lecheria[[#This Row],[Fecha Financiero]])=TRUE,YEAR(Producción_Lecheria[[#This Row],[Fecha Financiero]]),0)</f>
        <v>0</v>
      </c>
      <c r="AQ25" s="987">
        <f>SUMPRODUCT((Producción_Lecheria[[#This Row],[Mes Financiero]]=Tipo_Cambio[Mes])*(Producción_Lecheria[[#This Row],[Año Financiero]]=Tipo_Cambio[Año])*(Tipo_Cambio[$/U$S]))</f>
        <v>0</v>
      </c>
      <c r="AR25" s="987">
        <f>SUMPRODUCT((Producción_Lecheria[[#This Row],[Mes Financiero]]=Tipo_Cambio[Mes])*(Producción_Lecheria[[#This Row],[Año Financiero]]=Tipo_Cambio[Año])*(Tipo_Cambio[Actualización]))</f>
        <v>0</v>
      </c>
      <c r="AS25" s="1009">
        <f>SUMPRODUCT((Producción_Lecheria[[#This Row],[Centro de Costo]]=Tabla1924[Centro de Costo])*(Tabla19[Superficie]))</f>
        <v>2356</v>
      </c>
      <c r="AT25" s="1010">
        <f>IFERROR(Producción_Lecheria[[#This Row],[Económico $Corrientes]]/Producción_Lecheria[[#This Row],[Superficie]],0)</f>
        <v>0</v>
      </c>
      <c r="AU25" s="1010">
        <f>IFERROR(Producción_Lecheria[[#This Row],[Económico $Constantes]]/Producción_Lecheria[[#This Row],[Superficie]],0)</f>
        <v>0</v>
      </c>
      <c r="AV25" s="1010">
        <f>IFERROR(Producción_Lecheria[[#This Row],[Económico U$S Dólares]]/Producción_Lecheria[[#This Row],[Superficie]],0)</f>
        <v>0</v>
      </c>
      <c r="AW25" s="992" t="str">
        <f>IF(Económico!$F$4=0,0,Producción_Lecheria[Centro de Costo])</f>
        <v>Campo 1</v>
      </c>
    </row>
    <row r="26" spans="2:49" x14ac:dyDescent="0.25">
      <c r="D26" s="528"/>
      <c r="E26" s="522"/>
      <c r="F26" s="479" t="str">
        <f t="shared" si="2"/>
        <v>2018-2019</v>
      </c>
      <c r="G26" s="480" t="str">
        <f>LCH_Compra_Hacienda</f>
        <v>Compra Hacienda</v>
      </c>
      <c r="H26" s="481" t="s">
        <v>2</v>
      </c>
      <c r="I26" s="481"/>
      <c r="J26" s="549"/>
      <c r="K26" s="484"/>
      <c r="L2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6" s="520"/>
      <c r="O2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6" s="563"/>
      <c r="Q26" s="491"/>
      <c r="R26" s="875">
        <f>IF(ISNUMBER(Producción_Lecheria[[#This Row],[Cabezas]])=TRUE,Producción_Lecheria[[#This Row],[Cabezas]]*Producción_Lecheria[[#This Row],[Cantidad]],Producción_Lecheria[[#This Row],[Cantidad]])</f>
        <v>0</v>
      </c>
      <c r="S26" s="491"/>
      <c r="T26" s="552" t="s">
        <v>48</v>
      </c>
      <c r="U26" s="553"/>
      <c r="V2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6" s="989">
        <f>IFERROR(Producción_Lecheria[[#This Row],[Económico $Corrientes]]/Producción_Lecheria[[#This Row],[Indexación Económico]],0)</f>
        <v>0</v>
      </c>
      <c r="X2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6" s="989">
        <f>IFERROR(Producción_Lecheria[[#This Row],[Financiero $Corrientes]]/Producción_Lecheria[[#This Row],[Indexación Financiero]],0)</f>
        <v>0</v>
      </c>
      <c r="AA2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6" s="981">
        <f>IFERROR(Producción_Lecheria[[#This Row],[Intereses $Corrientes]]/Producción_Lecheria[[#This Row],[Indexación Financiero]],0)</f>
        <v>0</v>
      </c>
      <c r="AD2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6" s="991" t="str">
        <f>IFERROR(INDEX(Produccion_Lecheria_Cuentas[],MATCH(Producción_Lecheria[[#This Row],[Cuenta Contable]],Produccion_Lecheria_Cuentas[Cuenta Contable],0),2),0)</f>
        <v>Egreso</v>
      </c>
      <c r="AF26" s="992">
        <f>IF(Producción_Lecheria[[#This Row],[Mov. Stock]]="(+)",Producción_Lecheria[[#This Row],[Cabezas]],IF(Producción_Lecheria[[#This Row],[Mov. Stock]]="(-)",-Producción_Lecheria[[#This Row],[Cabezas]],0))</f>
        <v>0</v>
      </c>
      <c r="AG26" s="993" t="str">
        <f>IFERROR(INDEX(Produccion_Lecheria_Cuentas[],MATCH(Producción_Lecheria[[#This Row],[Cuenta Contable]],Produccion_Lecheria_Cuentas[Cuenta Contable],0),5),0)</f>
        <v>(+)</v>
      </c>
      <c r="AH26" s="985" t="str">
        <f>IF(Producción_Lecheria[[#This Row],[Cuenta Contable]]=Configuración!$AC$9,"Si","No")</f>
        <v>No</v>
      </c>
      <c r="AI26" s="983" t="str">
        <f>IFERROR(INDEX(Tabla9[],MATCH(Producción_Lecheria[[#This Row],[Movimiento]],Tabla9[Movimientos],0),2),0)</f>
        <v>Si</v>
      </c>
      <c r="AJ26" s="984" t="str">
        <f>IFERROR(INDEX(Tabla9[],MATCH(Producción_Lecheria[[#This Row],[Movimiento]],Tabla9[Movimientos],0),3),0)</f>
        <v>(-)</v>
      </c>
      <c r="AK26" s="986">
        <f>IF(Producción_Lecheria[[#This Row],[Fecha Económico]]=0,0,MONTH(Producción_Lecheria[[#This Row],[Fecha Económico]]))</f>
        <v>0</v>
      </c>
      <c r="AL26" s="986">
        <f>IF(Producción_Lecheria[[#This Row],[Fecha Económico]]=0,0,YEAR(Producción_Lecheria[[#This Row],[Fecha Económico]]))</f>
        <v>0</v>
      </c>
      <c r="AM26" s="987">
        <f>SUMPRODUCT((Producción_Lecheria[[#This Row],[Mes Económico]]=Tipo_Cambio[Mes])*(Producción_Lecheria[[#This Row],[Año Económico]]=Tipo_Cambio[Año])*(Tipo_Cambio[$/U$S]))</f>
        <v>0</v>
      </c>
      <c r="AN26" s="987">
        <f>SUMPRODUCT((Producción_Lecheria[[#This Row],[Mes Económico]]=Tipo_Cambio[Mes])*(Producción_Lecheria[[#This Row],[Año Económico]]=Tipo_Cambio[Año])*(Tipo_Cambio[Actualización]))</f>
        <v>0</v>
      </c>
      <c r="AO26" s="986">
        <f>IF(ISNUMBER(Producción_Lecheria[[#This Row],[Fecha Financiero]])=TRUE,MONTH(Producción_Lecheria[[#This Row],[Fecha Financiero]]),0)</f>
        <v>0</v>
      </c>
      <c r="AP26" s="986">
        <f>IF(ISNUMBER(Producción_Lecheria[[#This Row],[Fecha Financiero]])=TRUE,YEAR(Producción_Lecheria[[#This Row],[Fecha Financiero]]),0)</f>
        <v>0</v>
      </c>
      <c r="AQ26" s="987">
        <f>SUMPRODUCT((Producción_Lecheria[[#This Row],[Mes Financiero]]=Tipo_Cambio[Mes])*(Producción_Lecheria[[#This Row],[Año Financiero]]=Tipo_Cambio[Año])*(Tipo_Cambio[$/U$S]))</f>
        <v>0</v>
      </c>
      <c r="AR26" s="987">
        <f>SUMPRODUCT((Producción_Lecheria[[#This Row],[Mes Financiero]]=Tipo_Cambio[Mes])*(Producción_Lecheria[[#This Row],[Año Financiero]]=Tipo_Cambio[Año])*(Tipo_Cambio[Actualización]))</f>
        <v>0</v>
      </c>
      <c r="AS26" s="1009">
        <f>SUMPRODUCT((Producción_Lecheria[[#This Row],[Centro de Costo]]=Tabla1924[Centro de Costo])*(Tabla19[Superficie]))</f>
        <v>2356</v>
      </c>
      <c r="AT26" s="1010">
        <f>IFERROR(Producción_Lecheria[[#This Row],[Económico $Corrientes]]/Producción_Lecheria[[#This Row],[Superficie]],0)</f>
        <v>0</v>
      </c>
      <c r="AU26" s="1010">
        <f>IFERROR(Producción_Lecheria[[#This Row],[Económico $Constantes]]/Producción_Lecheria[[#This Row],[Superficie]],0)</f>
        <v>0</v>
      </c>
      <c r="AV26" s="1010">
        <f>IFERROR(Producción_Lecheria[[#This Row],[Económico U$S Dólares]]/Producción_Lecheria[[#This Row],[Superficie]],0)</f>
        <v>0</v>
      </c>
      <c r="AW26" s="992" t="str">
        <f>IF(Económico!$F$4=0,0,Producción_Lecheria[Centro de Costo])</f>
        <v>Campo 1</v>
      </c>
    </row>
    <row r="27" spans="2:49" x14ac:dyDescent="0.25">
      <c r="D27" s="528"/>
      <c r="E27" s="522"/>
      <c r="F27" s="479" t="str">
        <f t="shared" si="2"/>
        <v>2018-2019</v>
      </c>
      <c r="G27" s="480" t="s">
        <v>126</v>
      </c>
      <c r="H27" s="481" t="s">
        <v>2</v>
      </c>
      <c r="I27" s="481"/>
      <c r="J27" s="549"/>
      <c r="K27" s="484"/>
      <c r="L2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7" s="520"/>
      <c r="O2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7" s="563"/>
      <c r="Q27" s="491"/>
      <c r="R27" s="875">
        <f>IF(ISNUMBER(Producción_Lecheria[[#This Row],[Cabezas]])=TRUE,Producción_Lecheria[[#This Row],[Cabezas]]*Producción_Lecheria[[#This Row],[Cantidad]],Producción_Lecheria[[#This Row],[Cantidad]])</f>
        <v>0</v>
      </c>
      <c r="S27" s="491"/>
      <c r="T27" s="552" t="s">
        <v>48</v>
      </c>
      <c r="U27" s="553"/>
      <c r="V2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7" s="989">
        <f>IFERROR(Producción_Lecheria[[#This Row],[Económico $Corrientes]]/Producción_Lecheria[[#This Row],[Indexación Económico]],0)</f>
        <v>0</v>
      </c>
      <c r="X2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7" s="989">
        <f>IFERROR(Producción_Lecheria[[#This Row],[Financiero $Corrientes]]/Producción_Lecheria[[#This Row],[Indexación Financiero]],0)</f>
        <v>0</v>
      </c>
      <c r="AA2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7" s="981">
        <f>IFERROR(Producción_Lecheria[[#This Row],[Intereses $Corrientes]]/Producción_Lecheria[[#This Row],[Indexación Financiero]],0)</f>
        <v>0</v>
      </c>
      <c r="AD2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7" s="991" t="str">
        <f>IFERROR(INDEX(Produccion_Lecheria_Cuentas[],MATCH(Producción_Lecheria[[#This Row],[Cuenta Contable]],Produccion_Lecheria_Cuentas[Cuenta Contable],0),2),0)</f>
        <v>Egreso</v>
      </c>
      <c r="AF27" s="992">
        <f>IF(Producción_Lecheria[[#This Row],[Mov. Stock]]="(+)",Producción_Lecheria[[#This Row],[Cabezas]],IF(Producción_Lecheria[[#This Row],[Mov. Stock]]="(-)",-Producción_Lecheria[[#This Row],[Cabezas]],0))</f>
        <v>0</v>
      </c>
      <c r="AG27" s="993">
        <f>IFERROR(INDEX(Produccion_Lecheria_Cuentas[],MATCH(Producción_Lecheria[[#This Row],[Cuenta Contable]],Produccion_Lecheria_Cuentas[Cuenta Contable],0),5),0)</f>
        <v>0</v>
      </c>
      <c r="AH27" s="985" t="str">
        <f>IF(Producción_Lecheria[[#This Row],[Cuenta Contable]]=Configuración!$AC$9,"Si","No")</f>
        <v>No</v>
      </c>
      <c r="AI27" s="983" t="str">
        <f>IFERROR(INDEX(Tabla9[],MATCH(Producción_Lecheria[[#This Row],[Movimiento]],Tabla9[Movimientos],0),2),0)</f>
        <v>Si</v>
      </c>
      <c r="AJ27" s="984" t="str">
        <f>IFERROR(INDEX(Tabla9[],MATCH(Producción_Lecheria[[#This Row],[Movimiento]],Tabla9[Movimientos],0),3),0)</f>
        <v>(-)</v>
      </c>
      <c r="AK27" s="986">
        <f>IF(Producción_Lecheria[[#This Row],[Fecha Económico]]=0,0,MONTH(Producción_Lecheria[[#This Row],[Fecha Económico]]))</f>
        <v>0</v>
      </c>
      <c r="AL27" s="986">
        <f>IF(Producción_Lecheria[[#This Row],[Fecha Económico]]=0,0,YEAR(Producción_Lecheria[[#This Row],[Fecha Económico]]))</f>
        <v>0</v>
      </c>
      <c r="AM27" s="987">
        <f>SUMPRODUCT((Producción_Lecheria[[#This Row],[Mes Económico]]=Tipo_Cambio[Mes])*(Producción_Lecheria[[#This Row],[Año Económico]]=Tipo_Cambio[Año])*(Tipo_Cambio[$/U$S]))</f>
        <v>0</v>
      </c>
      <c r="AN27" s="987">
        <f>SUMPRODUCT((Producción_Lecheria[[#This Row],[Mes Económico]]=Tipo_Cambio[Mes])*(Producción_Lecheria[[#This Row],[Año Económico]]=Tipo_Cambio[Año])*(Tipo_Cambio[Actualización]))</f>
        <v>0</v>
      </c>
      <c r="AO27" s="986">
        <f>IF(ISNUMBER(Producción_Lecheria[[#This Row],[Fecha Financiero]])=TRUE,MONTH(Producción_Lecheria[[#This Row],[Fecha Financiero]]),0)</f>
        <v>0</v>
      </c>
      <c r="AP27" s="986">
        <f>IF(ISNUMBER(Producción_Lecheria[[#This Row],[Fecha Financiero]])=TRUE,YEAR(Producción_Lecheria[[#This Row],[Fecha Financiero]]),0)</f>
        <v>0</v>
      </c>
      <c r="AQ27" s="987">
        <f>SUMPRODUCT((Producción_Lecheria[[#This Row],[Mes Financiero]]=Tipo_Cambio[Mes])*(Producción_Lecheria[[#This Row],[Año Financiero]]=Tipo_Cambio[Año])*(Tipo_Cambio[$/U$S]))</f>
        <v>0</v>
      </c>
      <c r="AR27" s="987">
        <f>SUMPRODUCT((Producción_Lecheria[[#This Row],[Mes Financiero]]=Tipo_Cambio[Mes])*(Producción_Lecheria[[#This Row],[Año Financiero]]=Tipo_Cambio[Año])*(Tipo_Cambio[Actualización]))</f>
        <v>0</v>
      </c>
      <c r="AS27" s="1009">
        <f>SUMPRODUCT((Producción_Lecheria[[#This Row],[Centro de Costo]]=Tabla1924[Centro de Costo])*(Tabla19[Superficie]))</f>
        <v>2356</v>
      </c>
      <c r="AT27" s="1010">
        <f>IFERROR(Producción_Lecheria[[#This Row],[Económico $Corrientes]]/Producción_Lecheria[[#This Row],[Superficie]],0)</f>
        <v>0</v>
      </c>
      <c r="AU27" s="1010">
        <f>IFERROR(Producción_Lecheria[[#This Row],[Económico $Constantes]]/Producción_Lecheria[[#This Row],[Superficie]],0)</f>
        <v>0</v>
      </c>
      <c r="AV27" s="1010">
        <f>IFERROR(Producción_Lecheria[[#This Row],[Económico U$S Dólares]]/Producción_Lecheria[[#This Row],[Superficie]],0)</f>
        <v>0</v>
      </c>
      <c r="AW27" s="992" t="str">
        <f>IF(Económico!$F$4=0,0,Producción_Lecheria[Centro de Costo])</f>
        <v>Campo 1</v>
      </c>
    </row>
    <row r="28" spans="2:49" x14ac:dyDescent="0.25">
      <c r="D28" s="528"/>
      <c r="E28" s="522"/>
      <c r="F28" s="479" t="str">
        <f t="shared" si="2"/>
        <v>2018-2019</v>
      </c>
      <c r="G28" s="480" t="str">
        <f>LCH_Compra_Hacienda</f>
        <v>Compra Hacienda</v>
      </c>
      <c r="H28" s="481" t="s">
        <v>2</v>
      </c>
      <c r="I28" s="481"/>
      <c r="J28" s="549"/>
      <c r="K28" s="484"/>
      <c r="L2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8" s="520"/>
      <c r="O2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8" s="563"/>
      <c r="Q28" s="491"/>
      <c r="R28" s="875">
        <f>IF(ISNUMBER(Producción_Lecheria[[#This Row],[Cabezas]])=TRUE,Producción_Lecheria[[#This Row],[Cabezas]]*Producción_Lecheria[[#This Row],[Cantidad]],Producción_Lecheria[[#This Row],[Cantidad]])</f>
        <v>0</v>
      </c>
      <c r="S28" s="491"/>
      <c r="T28" s="552" t="s">
        <v>48</v>
      </c>
      <c r="U28" s="553"/>
      <c r="V2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8" s="989">
        <f>IFERROR(Producción_Lecheria[[#This Row],[Económico $Corrientes]]/Producción_Lecheria[[#This Row],[Indexación Económico]],0)</f>
        <v>0</v>
      </c>
      <c r="X2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8" s="989">
        <f>IFERROR(Producción_Lecheria[[#This Row],[Financiero $Corrientes]]/Producción_Lecheria[[#This Row],[Indexación Financiero]],0)</f>
        <v>0</v>
      </c>
      <c r="AA2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8" s="981">
        <f>IFERROR(Producción_Lecheria[[#This Row],[Intereses $Corrientes]]/Producción_Lecheria[[#This Row],[Indexación Financiero]],0)</f>
        <v>0</v>
      </c>
      <c r="AD2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8" s="991" t="str">
        <f>IFERROR(INDEX(Produccion_Lecheria_Cuentas[],MATCH(Producción_Lecheria[[#This Row],[Cuenta Contable]],Produccion_Lecheria_Cuentas[Cuenta Contable],0),2),0)</f>
        <v>Egreso</v>
      </c>
      <c r="AF28" s="992">
        <f>IF(Producción_Lecheria[[#This Row],[Mov. Stock]]="(+)",Producción_Lecheria[[#This Row],[Cabezas]],IF(Producción_Lecheria[[#This Row],[Mov. Stock]]="(-)",-Producción_Lecheria[[#This Row],[Cabezas]],0))</f>
        <v>0</v>
      </c>
      <c r="AG28" s="993" t="str">
        <f>IFERROR(INDEX(Produccion_Lecheria_Cuentas[],MATCH(Producción_Lecheria[[#This Row],[Cuenta Contable]],Produccion_Lecheria_Cuentas[Cuenta Contable],0),5),0)</f>
        <v>(+)</v>
      </c>
      <c r="AH28" s="985" t="str">
        <f>IF(Producción_Lecheria[[#This Row],[Cuenta Contable]]=Configuración!$AC$9,"Si","No")</f>
        <v>No</v>
      </c>
      <c r="AI28" s="983" t="str">
        <f>IFERROR(INDEX(Tabla9[],MATCH(Producción_Lecheria[[#This Row],[Movimiento]],Tabla9[Movimientos],0),2),0)</f>
        <v>Si</v>
      </c>
      <c r="AJ28" s="984" t="str">
        <f>IFERROR(INDEX(Tabla9[],MATCH(Producción_Lecheria[[#This Row],[Movimiento]],Tabla9[Movimientos],0),3),0)</f>
        <v>(-)</v>
      </c>
      <c r="AK28" s="986">
        <f>IF(Producción_Lecheria[[#This Row],[Fecha Económico]]=0,0,MONTH(Producción_Lecheria[[#This Row],[Fecha Económico]]))</f>
        <v>0</v>
      </c>
      <c r="AL28" s="986">
        <f>IF(Producción_Lecheria[[#This Row],[Fecha Económico]]=0,0,YEAR(Producción_Lecheria[[#This Row],[Fecha Económico]]))</f>
        <v>0</v>
      </c>
      <c r="AM28" s="987">
        <f>SUMPRODUCT((Producción_Lecheria[[#This Row],[Mes Económico]]=Tipo_Cambio[Mes])*(Producción_Lecheria[[#This Row],[Año Económico]]=Tipo_Cambio[Año])*(Tipo_Cambio[$/U$S]))</f>
        <v>0</v>
      </c>
      <c r="AN28" s="987">
        <f>SUMPRODUCT((Producción_Lecheria[[#This Row],[Mes Económico]]=Tipo_Cambio[Mes])*(Producción_Lecheria[[#This Row],[Año Económico]]=Tipo_Cambio[Año])*(Tipo_Cambio[Actualización]))</f>
        <v>0</v>
      </c>
      <c r="AO28" s="986">
        <f>IF(ISNUMBER(Producción_Lecheria[[#This Row],[Fecha Financiero]])=TRUE,MONTH(Producción_Lecheria[[#This Row],[Fecha Financiero]]),0)</f>
        <v>0</v>
      </c>
      <c r="AP28" s="986">
        <f>IF(ISNUMBER(Producción_Lecheria[[#This Row],[Fecha Financiero]])=TRUE,YEAR(Producción_Lecheria[[#This Row],[Fecha Financiero]]),0)</f>
        <v>0</v>
      </c>
      <c r="AQ28" s="987">
        <f>SUMPRODUCT((Producción_Lecheria[[#This Row],[Mes Financiero]]=Tipo_Cambio[Mes])*(Producción_Lecheria[[#This Row],[Año Financiero]]=Tipo_Cambio[Año])*(Tipo_Cambio[$/U$S]))</f>
        <v>0</v>
      </c>
      <c r="AR28" s="987">
        <f>SUMPRODUCT((Producción_Lecheria[[#This Row],[Mes Financiero]]=Tipo_Cambio[Mes])*(Producción_Lecheria[[#This Row],[Año Financiero]]=Tipo_Cambio[Año])*(Tipo_Cambio[Actualización]))</f>
        <v>0</v>
      </c>
      <c r="AS28" s="1009">
        <f>SUMPRODUCT((Producción_Lecheria[[#This Row],[Centro de Costo]]=Tabla1924[Centro de Costo])*(Tabla19[Superficie]))</f>
        <v>2356</v>
      </c>
      <c r="AT28" s="1010">
        <f>IFERROR(Producción_Lecheria[[#This Row],[Económico $Corrientes]]/Producción_Lecheria[[#This Row],[Superficie]],0)</f>
        <v>0</v>
      </c>
      <c r="AU28" s="1010">
        <f>IFERROR(Producción_Lecheria[[#This Row],[Económico $Constantes]]/Producción_Lecheria[[#This Row],[Superficie]],0)</f>
        <v>0</v>
      </c>
      <c r="AV28" s="1010">
        <f>IFERROR(Producción_Lecheria[[#This Row],[Económico U$S Dólares]]/Producción_Lecheria[[#This Row],[Superficie]],0)</f>
        <v>0</v>
      </c>
      <c r="AW28" s="992" t="str">
        <f>IF(Económico!$F$4=0,0,Producción_Lecheria[Centro de Costo])</f>
        <v>Campo 1</v>
      </c>
    </row>
    <row r="29" spans="2:49" x14ac:dyDescent="0.25">
      <c r="D29" s="528"/>
      <c r="E29" s="522"/>
      <c r="F29" s="479" t="str">
        <f t="shared" si="2"/>
        <v>2018-2019</v>
      </c>
      <c r="G29" s="480" t="s">
        <v>126</v>
      </c>
      <c r="H29" s="481" t="s">
        <v>2</v>
      </c>
      <c r="I29" s="481"/>
      <c r="J29" s="549"/>
      <c r="K29" s="484"/>
      <c r="L2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9" s="520"/>
      <c r="O2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9" s="563"/>
      <c r="Q29" s="491"/>
      <c r="R29" s="875">
        <f>IF(ISNUMBER(Producción_Lecheria[[#This Row],[Cabezas]])=TRUE,Producción_Lecheria[[#This Row],[Cabezas]]*Producción_Lecheria[[#This Row],[Cantidad]],Producción_Lecheria[[#This Row],[Cantidad]])</f>
        <v>0</v>
      </c>
      <c r="S29" s="491"/>
      <c r="T29" s="552" t="s">
        <v>48</v>
      </c>
      <c r="U29" s="553"/>
      <c r="V2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9" s="989">
        <f>IFERROR(Producción_Lecheria[[#This Row],[Económico $Corrientes]]/Producción_Lecheria[[#This Row],[Indexación Económico]],0)</f>
        <v>0</v>
      </c>
      <c r="X2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9" s="989">
        <f>IFERROR(Producción_Lecheria[[#This Row],[Financiero $Corrientes]]/Producción_Lecheria[[#This Row],[Indexación Financiero]],0)</f>
        <v>0</v>
      </c>
      <c r="AA2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9" s="981">
        <f>IFERROR(Producción_Lecheria[[#This Row],[Intereses $Corrientes]]/Producción_Lecheria[[#This Row],[Indexación Financiero]],0)</f>
        <v>0</v>
      </c>
      <c r="AD2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9" s="991" t="str">
        <f>IFERROR(INDEX(Produccion_Lecheria_Cuentas[],MATCH(Producción_Lecheria[[#This Row],[Cuenta Contable]],Produccion_Lecheria_Cuentas[Cuenta Contable],0),2),0)</f>
        <v>Egreso</v>
      </c>
      <c r="AF29" s="992">
        <f>IF(Producción_Lecheria[[#This Row],[Mov. Stock]]="(+)",Producción_Lecheria[[#This Row],[Cabezas]],IF(Producción_Lecheria[[#This Row],[Mov. Stock]]="(-)",-Producción_Lecheria[[#This Row],[Cabezas]],0))</f>
        <v>0</v>
      </c>
      <c r="AG29" s="993">
        <f>IFERROR(INDEX(Produccion_Lecheria_Cuentas[],MATCH(Producción_Lecheria[[#This Row],[Cuenta Contable]],Produccion_Lecheria_Cuentas[Cuenta Contable],0),5),0)</f>
        <v>0</v>
      </c>
      <c r="AH29" s="985" t="str">
        <f>IF(Producción_Lecheria[[#This Row],[Cuenta Contable]]=Configuración!$AC$9,"Si","No")</f>
        <v>No</v>
      </c>
      <c r="AI29" s="983" t="str">
        <f>IFERROR(INDEX(Tabla9[],MATCH(Producción_Lecheria[[#This Row],[Movimiento]],Tabla9[Movimientos],0),2),0)</f>
        <v>Si</v>
      </c>
      <c r="AJ29" s="984" t="str">
        <f>IFERROR(INDEX(Tabla9[],MATCH(Producción_Lecheria[[#This Row],[Movimiento]],Tabla9[Movimientos],0),3),0)</f>
        <v>(-)</v>
      </c>
      <c r="AK29" s="986">
        <f>IF(Producción_Lecheria[[#This Row],[Fecha Económico]]=0,0,MONTH(Producción_Lecheria[[#This Row],[Fecha Económico]]))</f>
        <v>0</v>
      </c>
      <c r="AL29" s="986">
        <f>IF(Producción_Lecheria[[#This Row],[Fecha Económico]]=0,0,YEAR(Producción_Lecheria[[#This Row],[Fecha Económico]]))</f>
        <v>0</v>
      </c>
      <c r="AM29" s="987">
        <f>SUMPRODUCT((Producción_Lecheria[[#This Row],[Mes Económico]]=Tipo_Cambio[Mes])*(Producción_Lecheria[[#This Row],[Año Económico]]=Tipo_Cambio[Año])*(Tipo_Cambio[$/U$S]))</f>
        <v>0</v>
      </c>
      <c r="AN29" s="987">
        <f>SUMPRODUCT((Producción_Lecheria[[#This Row],[Mes Económico]]=Tipo_Cambio[Mes])*(Producción_Lecheria[[#This Row],[Año Económico]]=Tipo_Cambio[Año])*(Tipo_Cambio[Actualización]))</f>
        <v>0</v>
      </c>
      <c r="AO29" s="986">
        <f>IF(ISNUMBER(Producción_Lecheria[[#This Row],[Fecha Financiero]])=TRUE,MONTH(Producción_Lecheria[[#This Row],[Fecha Financiero]]),0)</f>
        <v>0</v>
      </c>
      <c r="AP29" s="986">
        <f>IF(ISNUMBER(Producción_Lecheria[[#This Row],[Fecha Financiero]])=TRUE,YEAR(Producción_Lecheria[[#This Row],[Fecha Financiero]]),0)</f>
        <v>0</v>
      </c>
      <c r="AQ29" s="987">
        <f>SUMPRODUCT((Producción_Lecheria[[#This Row],[Mes Financiero]]=Tipo_Cambio[Mes])*(Producción_Lecheria[[#This Row],[Año Financiero]]=Tipo_Cambio[Año])*(Tipo_Cambio[$/U$S]))</f>
        <v>0</v>
      </c>
      <c r="AR29" s="987">
        <f>SUMPRODUCT((Producción_Lecheria[[#This Row],[Mes Financiero]]=Tipo_Cambio[Mes])*(Producción_Lecheria[[#This Row],[Año Financiero]]=Tipo_Cambio[Año])*(Tipo_Cambio[Actualización]))</f>
        <v>0</v>
      </c>
      <c r="AS29" s="1009">
        <f>SUMPRODUCT((Producción_Lecheria[[#This Row],[Centro de Costo]]=Tabla1924[Centro de Costo])*(Tabla19[Superficie]))</f>
        <v>2356</v>
      </c>
      <c r="AT29" s="1010">
        <f>IFERROR(Producción_Lecheria[[#This Row],[Económico $Corrientes]]/Producción_Lecheria[[#This Row],[Superficie]],0)</f>
        <v>0</v>
      </c>
      <c r="AU29" s="1010">
        <f>IFERROR(Producción_Lecheria[[#This Row],[Económico $Constantes]]/Producción_Lecheria[[#This Row],[Superficie]],0)</f>
        <v>0</v>
      </c>
      <c r="AV29" s="1010">
        <f>IFERROR(Producción_Lecheria[[#This Row],[Económico U$S Dólares]]/Producción_Lecheria[[#This Row],[Superficie]],0)</f>
        <v>0</v>
      </c>
      <c r="AW29" s="992" t="str">
        <f>IF(Económico!$F$4=0,0,Producción_Lecheria[Centro de Costo])</f>
        <v>Campo 1</v>
      </c>
    </row>
    <row r="30" spans="2:49" x14ac:dyDescent="0.25">
      <c r="D30" s="528"/>
      <c r="E30" s="522"/>
      <c r="F30" s="479" t="str">
        <f t="shared" si="2"/>
        <v>2018-2019</v>
      </c>
      <c r="G30" s="480" t="str">
        <f>LCH_Compra_Hacienda</f>
        <v>Compra Hacienda</v>
      </c>
      <c r="H30" s="481" t="s">
        <v>2</v>
      </c>
      <c r="I30" s="481"/>
      <c r="J30" s="549"/>
      <c r="K30" s="484"/>
      <c r="L3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0" s="520"/>
      <c r="O3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0" s="563"/>
      <c r="Q30" s="491"/>
      <c r="R30" s="875">
        <f>IF(ISNUMBER(Producción_Lecheria[[#This Row],[Cabezas]])=TRUE,Producción_Lecheria[[#This Row],[Cabezas]]*Producción_Lecheria[[#This Row],[Cantidad]],Producción_Lecheria[[#This Row],[Cantidad]])</f>
        <v>0</v>
      </c>
      <c r="S30" s="491"/>
      <c r="T30" s="552" t="s">
        <v>48</v>
      </c>
      <c r="U30" s="553"/>
      <c r="V3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0" s="989">
        <f>IFERROR(Producción_Lecheria[[#This Row],[Económico $Corrientes]]/Producción_Lecheria[[#This Row],[Indexación Económico]],0)</f>
        <v>0</v>
      </c>
      <c r="X3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0" s="989">
        <f>IFERROR(Producción_Lecheria[[#This Row],[Financiero $Corrientes]]/Producción_Lecheria[[#This Row],[Indexación Financiero]],0)</f>
        <v>0</v>
      </c>
      <c r="AA3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0" s="981">
        <f>IFERROR(Producción_Lecheria[[#This Row],[Intereses $Corrientes]]/Producción_Lecheria[[#This Row],[Indexación Financiero]],0)</f>
        <v>0</v>
      </c>
      <c r="AD3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0" s="991" t="str">
        <f>IFERROR(INDEX(Produccion_Lecheria_Cuentas[],MATCH(Producción_Lecheria[[#This Row],[Cuenta Contable]],Produccion_Lecheria_Cuentas[Cuenta Contable],0),2),0)</f>
        <v>Egreso</v>
      </c>
      <c r="AF30" s="992">
        <f>IF(Producción_Lecheria[[#This Row],[Mov. Stock]]="(+)",Producción_Lecheria[[#This Row],[Cabezas]],IF(Producción_Lecheria[[#This Row],[Mov. Stock]]="(-)",-Producción_Lecheria[[#This Row],[Cabezas]],0))</f>
        <v>0</v>
      </c>
      <c r="AG30" s="993" t="str">
        <f>IFERROR(INDEX(Produccion_Lecheria_Cuentas[],MATCH(Producción_Lecheria[[#This Row],[Cuenta Contable]],Produccion_Lecheria_Cuentas[Cuenta Contable],0),5),0)</f>
        <v>(+)</v>
      </c>
      <c r="AH30" s="985" t="str">
        <f>IF(Producción_Lecheria[[#This Row],[Cuenta Contable]]=Configuración!$AC$9,"Si","No")</f>
        <v>No</v>
      </c>
      <c r="AI30" s="983" t="str">
        <f>IFERROR(INDEX(Tabla9[],MATCH(Producción_Lecheria[[#This Row],[Movimiento]],Tabla9[Movimientos],0),2),0)</f>
        <v>Si</v>
      </c>
      <c r="AJ30" s="984" t="str">
        <f>IFERROR(INDEX(Tabla9[],MATCH(Producción_Lecheria[[#This Row],[Movimiento]],Tabla9[Movimientos],0),3),0)</f>
        <v>(-)</v>
      </c>
      <c r="AK30" s="986">
        <f>IF(Producción_Lecheria[[#This Row],[Fecha Económico]]=0,0,MONTH(Producción_Lecheria[[#This Row],[Fecha Económico]]))</f>
        <v>0</v>
      </c>
      <c r="AL30" s="986">
        <f>IF(Producción_Lecheria[[#This Row],[Fecha Económico]]=0,0,YEAR(Producción_Lecheria[[#This Row],[Fecha Económico]]))</f>
        <v>0</v>
      </c>
      <c r="AM30" s="987">
        <f>SUMPRODUCT((Producción_Lecheria[[#This Row],[Mes Económico]]=Tipo_Cambio[Mes])*(Producción_Lecheria[[#This Row],[Año Económico]]=Tipo_Cambio[Año])*(Tipo_Cambio[$/U$S]))</f>
        <v>0</v>
      </c>
      <c r="AN30" s="987">
        <f>SUMPRODUCT((Producción_Lecheria[[#This Row],[Mes Económico]]=Tipo_Cambio[Mes])*(Producción_Lecheria[[#This Row],[Año Económico]]=Tipo_Cambio[Año])*(Tipo_Cambio[Actualización]))</f>
        <v>0</v>
      </c>
      <c r="AO30" s="986">
        <f>IF(ISNUMBER(Producción_Lecheria[[#This Row],[Fecha Financiero]])=TRUE,MONTH(Producción_Lecheria[[#This Row],[Fecha Financiero]]),0)</f>
        <v>0</v>
      </c>
      <c r="AP30" s="986">
        <f>IF(ISNUMBER(Producción_Lecheria[[#This Row],[Fecha Financiero]])=TRUE,YEAR(Producción_Lecheria[[#This Row],[Fecha Financiero]]),0)</f>
        <v>0</v>
      </c>
      <c r="AQ30" s="987">
        <f>SUMPRODUCT((Producción_Lecheria[[#This Row],[Mes Financiero]]=Tipo_Cambio[Mes])*(Producción_Lecheria[[#This Row],[Año Financiero]]=Tipo_Cambio[Año])*(Tipo_Cambio[$/U$S]))</f>
        <v>0</v>
      </c>
      <c r="AR30" s="987">
        <f>SUMPRODUCT((Producción_Lecheria[[#This Row],[Mes Financiero]]=Tipo_Cambio[Mes])*(Producción_Lecheria[[#This Row],[Año Financiero]]=Tipo_Cambio[Año])*(Tipo_Cambio[Actualización]))</f>
        <v>0</v>
      </c>
      <c r="AS30" s="1009">
        <f>SUMPRODUCT((Producción_Lecheria[[#This Row],[Centro de Costo]]=Tabla1924[Centro de Costo])*(Tabla19[Superficie]))</f>
        <v>2356</v>
      </c>
      <c r="AT30" s="1010">
        <f>IFERROR(Producción_Lecheria[[#This Row],[Económico $Corrientes]]/Producción_Lecheria[[#This Row],[Superficie]],0)</f>
        <v>0</v>
      </c>
      <c r="AU30" s="1010">
        <f>IFERROR(Producción_Lecheria[[#This Row],[Económico $Constantes]]/Producción_Lecheria[[#This Row],[Superficie]],0)</f>
        <v>0</v>
      </c>
      <c r="AV30" s="1010">
        <f>IFERROR(Producción_Lecheria[[#This Row],[Económico U$S Dólares]]/Producción_Lecheria[[#This Row],[Superficie]],0)</f>
        <v>0</v>
      </c>
      <c r="AW30" s="992" t="str">
        <f>IF(Económico!$F$4=0,0,Producción_Lecheria[Centro de Costo])</f>
        <v>Campo 1</v>
      </c>
    </row>
    <row r="31" spans="2:49" x14ac:dyDescent="0.25">
      <c r="D31" s="528"/>
      <c r="E31" s="522"/>
      <c r="F31" s="479" t="str">
        <f t="shared" si="2"/>
        <v>2018-2019</v>
      </c>
      <c r="G31" s="480" t="s">
        <v>126</v>
      </c>
      <c r="H31" s="481" t="s">
        <v>2</v>
      </c>
      <c r="I31" s="481"/>
      <c r="J31" s="549"/>
      <c r="K31" s="484"/>
      <c r="L3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1" s="520"/>
      <c r="O3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1" s="563"/>
      <c r="Q31" s="491"/>
      <c r="R31" s="875">
        <f>IF(ISNUMBER(Producción_Lecheria[[#This Row],[Cabezas]])=TRUE,Producción_Lecheria[[#This Row],[Cabezas]]*Producción_Lecheria[[#This Row],[Cantidad]],Producción_Lecheria[[#This Row],[Cantidad]])</f>
        <v>0</v>
      </c>
      <c r="S31" s="491"/>
      <c r="T31" s="552" t="s">
        <v>48</v>
      </c>
      <c r="U31" s="553"/>
      <c r="V3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1" s="989">
        <f>IFERROR(Producción_Lecheria[[#This Row],[Económico $Corrientes]]/Producción_Lecheria[[#This Row],[Indexación Económico]],0)</f>
        <v>0</v>
      </c>
      <c r="X3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1" s="989">
        <f>IFERROR(Producción_Lecheria[[#This Row],[Financiero $Corrientes]]/Producción_Lecheria[[#This Row],[Indexación Financiero]],0)</f>
        <v>0</v>
      </c>
      <c r="AA3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1" s="981">
        <f>IFERROR(Producción_Lecheria[[#This Row],[Intereses $Corrientes]]/Producción_Lecheria[[#This Row],[Indexación Financiero]],0)</f>
        <v>0</v>
      </c>
      <c r="AD3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1" s="991" t="str">
        <f>IFERROR(INDEX(Produccion_Lecheria_Cuentas[],MATCH(Producción_Lecheria[[#This Row],[Cuenta Contable]],Produccion_Lecheria_Cuentas[Cuenta Contable],0),2),0)</f>
        <v>Egreso</v>
      </c>
      <c r="AF31" s="992">
        <f>IF(Producción_Lecheria[[#This Row],[Mov. Stock]]="(+)",Producción_Lecheria[[#This Row],[Cabezas]],IF(Producción_Lecheria[[#This Row],[Mov. Stock]]="(-)",-Producción_Lecheria[[#This Row],[Cabezas]],0))</f>
        <v>0</v>
      </c>
      <c r="AG31" s="993">
        <f>IFERROR(INDEX(Produccion_Lecheria_Cuentas[],MATCH(Producción_Lecheria[[#This Row],[Cuenta Contable]],Produccion_Lecheria_Cuentas[Cuenta Contable],0),5),0)</f>
        <v>0</v>
      </c>
      <c r="AH31" s="985" t="str">
        <f>IF(Producción_Lecheria[[#This Row],[Cuenta Contable]]=Configuración!$AC$9,"Si","No")</f>
        <v>No</v>
      </c>
      <c r="AI31" s="983" t="str">
        <f>IFERROR(INDEX(Tabla9[],MATCH(Producción_Lecheria[[#This Row],[Movimiento]],Tabla9[Movimientos],0),2),0)</f>
        <v>Si</v>
      </c>
      <c r="AJ31" s="984" t="str">
        <f>IFERROR(INDEX(Tabla9[],MATCH(Producción_Lecheria[[#This Row],[Movimiento]],Tabla9[Movimientos],0),3),0)</f>
        <v>(-)</v>
      </c>
      <c r="AK31" s="986">
        <f>IF(Producción_Lecheria[[#This Row],[Fecha Económico]]=0,0,MONTH(Producción_Lecheria[[#This Row],[Fecha Económico]]))</f>
        <v>0</v>
      </c>
      <c r="AL31" s="986">
        <f>IF(Producción_Lecheria[[#This Row],[Fecha Económico]]=0,0,YEAR(Producción_Lecheria[[#This Row],[Fecha Económico]]))</f>
        <v>0</v>
      </c>
      <c r="AM31" s="987">
        <f>SUMPRODUCT((Producción_Lecheria[[#This Row],[Mes Económico]]=Tipo_Cambio[Mes])*(Producción_Lecheria[[#This Row],[Año Económico]]=Tipo_Cambio[Año])*(Tipo_Cambio[$/U$S]))</f>
        <v>0</v>
      </c>
      <c r="AN31" s="987">
        <f>SUMPRODUCT((Producción_Lecheria[[#This Row],[Mes Económico]]=Tipo_Cambio[Mes])*(Producción_Lecheria[[#This Row],[Año Económico]]=Tipo_Cambio[Año])*(Tipo_Cambio[Actualización]))</f>
        <v>0</v>
      </c>
      <c r="AO31" s="986">
        <f>IF(ISNUMBER(Producción_Lecheria[[#This Row],[Fecha Financiero]])=TRUE,MONTH(Producción_Lecheria[[#This Row],[Fecha Financiero]]),0)</f>
        <v>0</v>
      </c>
      <c r="AP31" s="986">
        <f>IF(ISNUMBER(Producción_Lecheria[[#This Row],[Fecha Financiero]])=TRUE,YEAR(Producción_Lecheria[[#This Row],[Fecha Financiero]]),0)</f>
        <v>0</v>
      </c>
      <c r="AQ31" s="987">
        <f>SUMPRODUCT((Producción_Lecheria[[#This Row],[Mes Financiero]]=Tipo_Cambio[Mes])*(Producción_Lecheria[[#This Row],[Año Financiero]]=Tipo_Cambio[Año])*(Tipo_Cambio[$/U$S]))</f>
        <v>0</v>
      </c>
      <c r="AR31" s="987">
        <f>SUMPRODUCT((Producción_Lecheria[[#This Row],[Mes Financiero]]=Tipo_Cambio[Mes])*(Producción_Lecheria[[#This Row],[Año Financiero]]=Tipo_Cambio[Año])*(Tipo_Cambio[Actualización]))</f>
        <v>0</v>
      </c>
      <c r="AS31" s="1009">
        <f>SUMPRODUCT((Producción_Lecheria[[#This Row],[Centro de Costo]]=Tabla1924[Centro de Costo])*(Tabla19[Superficie]))</f>
        <v>2356</v>
      </c>
      <c r="AT31" s="1010">
        <f>IFERROR(Producción_Lecheria[[#This Row],[Económico $Corrientes]]/Producción_Lecheria[[#This Row],[Superficie]],0)</f>
        <v>0</v>
      </c>
      <c r="AU31" s="1010">
        <f>IFERROR(Producción_Lecheria[[#This Row],[Económico $Constantes]]/Producción_Lecheria[[#This Row],[Superficie]],0)</f>
        <v>0</v>
      </c>
      <c r="AV31" s="1010">
        <f>IFERROR(Producción_Lecheria[[#This Row],[Económico U$S Dólares]]/Producción_Lecheria[[#This Row],[Superficie]],0)</f>
        <v>0</v>
      </c>
      <c r="AW31" s="992" t="str">
        <f>IF(Económico!$F$4=0,0,Producción_Lecheria[Centro de Costo])</f>
        <v>Campo 1</v>
      </c>
    </row>
    <row r="32" spans="2:49" ht="15.75" thickBot="1" x14ac:dyDescent="0.3">
      <c r="B32" s="373" t="s">
        <v>101</v>
      </c>
      <c r="C32" s="86"/>
      <c r="D32" s="564"/>
      <c r="E32" s="565"/>
      <c r="F32" s="566" t="str">
        <f t="shared" si="0"/>
        <v>2018-2019</v>
      </c>
      <c r="G32" s="567"/>
      <c r="H32" s="567"/>
      <c r="I32" s="567"/>
      <c r="J32" s="568"/>
      <c r="K32" s="567"/>
      <c r="L32" s="963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2" s="963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2" s="569"/>
      <c r="O32" s="971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2" s="570"/>
      <c r="Q32" s="567"/>
      <c r="R32" s="976">
        <f>IF(ISNUMBER(Producción_Lecheria[[#This Row],[Cabezas]])=TRUE,Producción_Lecheria[[#This Row],[Cabezas]]*Producción_Lecheria[[#This Row],[Cantidad]],Producción_Lecheria[[#This Row],[Cantidad]])</f>
        <v>0</v>
      </c>
      <c r="S32" s="567"/>
      <c r="T32" s="571" t="s">
        <v>48</v>
      </c>
      <c r="U32" s="572"/>
      <c r="V32" s="1011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2" s="1012">
        <f>IFERROR(Producción_Lecheria[[#This Row],[Económico $Corrientes]]/Producción_Lecheria[[#This Row],[Indexación Económico]],0)</f>
        <v>0</v>
      </c>
      <c r="X32" s="1013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2" s="1011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2" s="1012">
        <f>IFERROR(Producción_Lecheria[[#This Row],[Financiero $Corrientes]]/Producción_Lecheria[[#This Row],[Indexación Financiero]],0)</f>
        <v>0</v>
      </c>
      <c r="AA32" s="1014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2" s="1015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2" s="1016">
        <f>IFERROR(Producción_Lecheria[[#This Row],[Intereses $Corrientes]]/Producción_Lecheria[[#This Row],[Indexación Financiero]],0)</f>
        <v>0</v>
      </c>
      <c r="AD32" s="101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2" s="1017">
        <f>IFERROR(INDEX(Produccion_Lecheria_Cuentas[],MATCH(Producción_Lecheria[[#This Row],[Cuenta Contable]],Produccion_Lecheria_Cuentas[Cuenta Contable],0),2),0)</f>
        <v>0</v>
      </c>
      <c r="AF32" s="1018">
        <f>IF(Producción_Lecheria[[#This Row],[Mov. Stock]]="(+)",Producción_Lecheria[[#This Row],[Cabezas]],IF(Producción_Lecheria[[#This Row],[Mov. Stock]]="(-)",-Producción_Lecheria[[#This Row],[Cabezas]],0))</f>
        <v>0</v>
      </c>
      <c r="AG32" s="1019">
        <f>IFERROR(INDEX(Produccion_Lecheria_Cuentas[],MATCH(Producción_Lecheria[[#This Row],[Cuenta Contable]],Produccion_Lecheria_Cuentas[Cuenta Contable],0),5),0)</f>
        <v>0</v>
      </c>
      <c r="AH32" s="1020" t="str">
        <f>IF(Producción_Lecheria[[#This Row],[Cuenta Contable]]=Configuración!$AC$9,"Si","No")</f>
        <v>No</v>
      </c>
      <c r="AI32" s="1021">
        <f>IFERROR(INDEX(Tabla9[],MATCH(Producción_Lecheria[[#This Row],[Movimiento]],Tabla9[Movimientos],0),2),0)</f>
        <v>0</v>
      </c>
      <c r="AJ32" s="1022">
        <f>IFERROR(INDEX(Tabla9[],MATCH(Producción_Lecheria[[#This Row],[Movimiento]],Tabla9[Movimientos],0),3),0)</f>
        <v>0</v>
      </c>
      <c r="AK32" s="1016">
        <f>IF(Producción_Lecheria[[#This Row],[Fecha Económico]]=0,0,MONTH(Producción_Lecheria[[#This Row],[Fecha Económico]]))</f>
        <v>0</v>
      </c>
      <c r="AL32" s="1016">
        <f>IF(Producción_Lecheria[[#This Row],[Fecha Económico]]=0,0,YEAR(Producción_Lecheria[[#This Row],[Fecha Económico]]))</f>
        <v>0</v>
      </c>
      <c r="AM32" s="1023">
        <f>SUMPRODUCT((Producción_Lecheria[[#This Row],[Mes Económico]]=Tipo_Cambio[Mes])*(Producción_Lecheria[[#This Row],[Año Económico]]=Tipo_Cambio[Año])*(Tipo_Cambio[$/U$S]))</f>
        <v>0</v>
      </c>
      <c r="AN32" s="1023">
        <f>SUMPRODUCT((Producción_Lecheria[[#This Row],[Mes Económico]]=Tipo_Cambio[Mes])*(Producción_Lecheria[[#This Row],[Año Económico]]=Tipo_Cambio[Año])*(Tipo_Cambio[Actualización]))</f>
        <v>0</v>
      </c>
      <c r="AO32" s="1016">
        <f>IF(ISNUMBER(Producción_Lecheria[[#This Row],[Fecha Financiero]])=TRUE,MONTH(Producción_Lecheria[[#This Row],[Fecha Financiero]]),0)</f>
        <v>0</v>
      </c>
      <c r="AP32" s="1016">
        <f>IF(ISNUMBER(Producción_Lecheria[[#This Row],[Fecha Financiero]])=TRUE,YEAR(Producción_Lecheria[[#This Row],[Fecha Financiero]]),0)</f>
        <v>0</v>
      </c>
      <c r="AQ32" s="1023">
        <f>SUMPRODUCT((Producción_Lecheria[[#This Row],[Mes Financiero]]=Tipo_Cambio[Mes])*(Producción_Lecheria[[#This Row],[Año Financiero]]=Tipo_Cambio[Año])*(Tipo_Cambio[$/U$S]))</f>
        <v>0</v>
      </c>
      <c r="AR32" s="1023">
        <f>SUMPRODUCT((Producción_Lecheria[[#This Row],[Mes Financiero]]=Tipo_Cambio[Mes])*(Producción_Lecheria[[#This Row],[Año Financiero]]=Tipo_Cambio[Año])*(Tipo_Cambio[Actualización]))</f>
        <v>0</v>
      </c>
      <c r="AS32" s="1024">
        <f>SUMPRODUCT((Producción_Lecheria[[#This Row],[Centro de Costo]]=Tabla1924[Centro de Costo])*(Tabla19[Superficie]))</f>
        <v>0</v>
      </c>
      <c r="AT32" s="1023">
        <f>IFERROR(Producción_Lecheria[[#This Row],[Económico $Corrientes]]/Producción_Lecheria[[#This Row],[Superficie]],0)</f>
        <v>0</v>
      </c>
      <c r="AU32" s="1023">
        <f>IFERROR(Producción_Lecheria[[#This Row],[Económico $Constantes]]/Producción_Lecheria[[#This Row],[Superficie]],0)</f>
        <v>0</v>
      </c>
      <c r="AV32" s="1023">
        <f>IFERROR(Producción_Lecheria[[#This Row],[Económico U$S Dólares]]/Producción_Lecheria[[#This Row],[Superficie]],0)</f>
        <v>0</v>
      </c>
      <c r="AW32" s="1021">
        <f>IF(Económico!$F$4=0,0,Producción_Lecheria[Centro de Costo])</f>
        <v>0</v>
      </c>
    </row>
    <row r="33" spans="1:49" ht="15.75" thickTop="1" x14ac:dyDescent="0.25">
      <c r="B33" s="1136" t="s">
        <v>145</v>
      </c>
      <c r="D33" s="478"/>
      <c r="E33" s="478"/>
      <c r="F33" s="479" t="str">
        <f t="shared" si="0"/>
        <v>2018-2019</v>
      </c>
      <c r="G33" s="480" t="str">
        <f t="shared" ref="G33:G39" si="3">LCH_Traslado_Entrada</f>
        <v>Entrada Traslados</v>
      </c>
      <c r="H33" s="481" t="s">
        <v>2</v>
      </c>
      <c r="I33" s="481"/>
      <c r="J33" s="549"/>
      <c r="K33" s="481"/>
      <c r="L33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3" s="520"/>
      <c r="O33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3" s="483"/>
      <c r="Q33" s="491"/>
      <c r="R33" s="875">
        <f>IF(ISNUMBER(Producción_Lecheria[[#This Row],[Cabezas]])=TRUE,Producción_Lecheria[[#This Row],[Cabezas]]*Producción_Lecheria[[#This Row],[Cantidad]],Producción_Lecheria[[#This Row],[Cantidad]])</f>
        <v>0</v>
      </c>
      <c r="S33" s="491"/>
      <c r="T33" s="483" t="s">
        <v>48</v>
      </c>
      <c r="U33" s="485"/>
      <c r="V33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3" s="977">
        <f>IFERROR(Producción_Lecheria[[#This Row],[Económico $Corrientes]]/Producción_Lecheria[[#This Row],[Indexación Económico]],0)</f>
        <v>0</v>
      </c>
      <c r="X3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3" s="977">
        <f>IFERROR(Producción_Lecheria[[#This Row],[Financiero $Corrientes]]/Producción_Lecheria[[#This Row],[Indexación Financiero]],0)</f>
        <v>0</v>
      </c>
      <c r="AA33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3" s="981">
        <f>IFERROR(Producción_Lecheria[[#This Row],[Intereses $Corrientes]]/Producción_Lecheria[[#This Row],[Indexación Financiero]],0)</f>
        <v>0</v>
      </c>
      <c r="AD3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3" s="982" t="str">
        <f>IFERROR(INDEX(Produccion_Lecheria_Cuentas[],MATCH(Producción_Lecheria[[#This Row],[Cuenta Contable]],Produccion_Lecheria_Cuentas[Cuenta Contable],0),2),0)</f>
        <v>Mov. Hacienda</v>
      </c>
      <c r="AF33" s="983">
        <f>IF(Producción_Lecheria[[#This Row],[Mov. Stock]]="(+)",Producción_Lecheria[[#This Row],[Cabezas]],IF(Producción_Lecheria[[#This Row],[Mov. Stock]]="(-)",-Producción_Lecheria[[#This Row],[Cabezas]],0))</f>
        <v>0</v>
      </c>
      <c r="AG33" s="984" t="str">
        <f>IFERROR(INDEX(Produccion_Lecheria_Cuentas[],MATCH(Producción_Lecheria[[#This Row],[Cuenta Contable]],Produccion_Lecheria_Cuentas[Cuenta Contable],0),5),0)</f>
        <v>(+)</v>
      </c>
      <c r="AH33" s="985" t="str">
        <f>IF(Producción_Lecheria[[#This Row],[Cuenta Contable]]=Configuración!$AC$9,"Si","No")</f>
        <v>No</v>
      </c>
      <c r="AI33" s="983" t="str">
        <f>IFERROR(INDEX(Tabla9[],MATCH(Producción_Lecheria[[#This Row],[Movimiento]],Tabla9[Movimientos],0),2),0)</f>
        <v>No</v>
      </c>
      <c r="AJ33" s="984">
        <f>IFERROR(INDEX(Tabla9[],MATCH(Producción_Lecheria[[#This Row],[Movimiento]],Tabla9[Movimientos],0),3),0)</f>
        <v>0</v>
      </c>
      <c r="AK33" s="986">
        <f>IF(Producción_Lecheria[[#This Row],[Fecha Económico]]=0,0,MONTH(Producción_Lecheria[[#This Row],[Fecha Económico]]))</f>
        <v>0</v>
      </c>
      <c r="AL33" s="986">
        <f>IF(Producción_Lecheria[[#This Row],[Fecha Económico]]=0,0,YEAR(Producción_Lecheria[[#This Row],[Fecha Económico]]))</f>
        <v>0</v>
      </c>
      <c r="AM33" s="987">
        <f>SUMPRODUCT((Producción_Lecheria[[#This Row],[Mes Económico]]=Tipo_Cambio[Mes])*(Producción_Lecheria[[#This Row],[Año Económico]]=Tipo_Cambio[Año])*(Tipo_Cambio[$/U$S]))</f>
        <v>0</v>
      </c>
      <c r="AN33" s="987">
        <f>SUMPRODUCT((Producción_Lecheria[[#This Row],[Mes Económico]]=Tipo_Cambio[Mes])*(Producción_Lecheria[[#This Row],[Año Económico]]=Tipo_Cambio[Año])*(Tipo_Cambio[Actualización]))</f>
        <v>0</v>
      </c>
      <c r="AO33" s="986">
        <f>IF(ISNUMBER(Producción_Lecheria[[#This Row],[Fecha Financiero]])=TRUE,MONTH(Producción_Lecheria[[#This Row],[Fecha Financiero]]),0)</f>
        <v>0</v>
      </c>
      <c r="AP33" s="986">
        <f>IF(ISNUMBER(Producción_Lecheria[[#This Row],[Fecha Financiero]])=TRUE,YEAR(Producción_Lecheria[[#This Row],[Fecha Financiero]]),0)</f>
        <v>0</v>
      </c>
      <c r="AQ33" s="987">
        <f>SUMPRODUCT((Producción_Lecheria[[#This Row],[Mes Financiero]]=Tipo_Cambio[Mes])*(Producción_Lecheria[[#This Row],[Año Financiero]]=Tipo_Cambio[Año])*(Tipo_Cambio[$/U$S]))</f>
        <v>0</v>
      </c>
      <c r="AR33" s="987">
        <f>SUMPRODUCT((Producción_Lecheria[[#This Row],[Mes Financiero]]=Tipo_Cambio[Mes])*(Producción_Lecheria[[#This Row],[Año Financiero]]=Tipo_Cambio[Año])*(Tipo_Cambio[Actualización]))</f>
        <v>0</v>
      </c>
      <c r="AS33" s="988">
        <f>SUMPRODUCT((Producción_Lecheria[[#This Row],[Centro de Costo]]=Tabla1924[Centro de Costo])*(Tabla19[Superficie]))</f>
        <v>2356</v>
      </c>
      <c r="AT33" s="987">
        <f>IFERROR(Producción_Lecheria[[#This Row],[Económico $Corrientes]]/Producción_Lecheria[[#This Row],[Superficie]],0)</f>
        <v>0</v>
      </c>
      <c r="AU33" s="987">
        <f>IFERROR(Producción_Lecheria[[#This Row],[Económico $Constantes]]/Producción_Lecheria[[#This Row],[Superficie]],0)</f>
        <v>0</v>
      </c>
      <c r="AV33" s="987">
        <f>IFERROR(Producción_Lecheria[[#This Row],[Económico U$S Dólares]]/Producción_Lecheria[[#This Row],[Superficie]],0)</f>
        <v>0</v>
      </c>
      <c r="AW33" s="983" t="str">
        <f>IF(Económico!$F$4=0,0,Producción_Lecheria[Centro de Costo])</f>
        <v>Campo 1</v>
      </c>
    </row>
    <row r="34" spans="1:49" x14ac:dyDescent="0.25">
      <c r="B34" s="1136"/>
      <c r="D34" s="478"/>
      <c r="E34" s="478"/>
      <c r="F34" s="479" t="str">
        <f t="shared" si="0"/>
        <v>2018-2019</v>
      </c>
      <c r="G34" s="480" t="str">
        <f t="shared" si="3"/>
        <v>Entrada Traslados</v>
      </c>
      <c r="H34" s="481" t="s">
        <v>2</v>
      </c>
      <c r="I34" s="481"/>
      <c r="J34" s="549"/>
      <c r="K34" s="481"/>
      <c r="L34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4" s="520"/>
      <c r="O34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4" s="483"/>
      <c r="Q34" s="491"/>
      <c r="R34" s="875">
        <f>IF(ISNUMBER(Producción_Lecheria[[#This Row],[Cabezas]])=TRUE,Producción_Lecheria[[#This Row],[Cabezas]]*Producción_Lecheria[[#This Row],[Cantidad]],Producción_Lecheria[[#This Row],[Cantidad]])</f>
        <v>0</v>
      </c>
      <c r="S34" s="491"/>
      <c r="T34" s="483" t="s">
        <v>48</v>
      </c>
      <c r="U34" s="485"/>
      <c r="V34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4" s="977">
        <f>IFERROR(Producción_Lecheria[[#This Row],[Económico $Corrientes]]/Producción_Lecheria[[#This Row],[Indexación Económico]],0)</f>
        <v>0</v>
      </c>
      <c r="X3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4" s="977">
        <f>IFERROR(Producción_Lecheria[[#This Row],[Financiero $Corrientes]]/Producción_Lecheria[[#This Row],[Indexación Financiero]],0)</f>
        <v>0</v>
      </c>
      <c r="AA34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4" s="981">
        <f>IFERROR(Producción_Lecheria[[#This Row],[Intereses $Corrientes]]/Producción_Lecheria[[#This Row],[Indexación Financiero]],0)</f>
        <v>0</v>
      </c>
      <c r="AD3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4" s="982" t="str">
        <f>IFERROR(INDEX(Produccion_Lecheria_Cuentas[],MATCH(Producción_Lecheria[[#This Row],[Cuenta Contable]],Produccion_Lecheria_Cuentas[Cuenta Contable],0),2),0)</f>
        <v>Mov. Hacienda</v>
      </c>
      <c r="AF34" s="983">
        <f>IF(Producción_Lecheria[[#This Row],[Mov. Stock]]="(+)",Producción_Lecheria[[#This Row],[Cabezas]],IF(Producción_Lecheria[[#This Row],[Mov. Stock]]="(-)",-Producción_Lecheria[[#This Row],[Cabezas]],0))</f>
        <v>0</v>
      </c>
      <c r="AG34" s="984" t="str">
        <f>IFERROR(INDEX(Produccion_Lecheria_Cuentas[],MATCH(Producción_Lecheria[[#This Row],[Cuenta Contable]],Produccion_Lecheria_Cuentas[Cuenta Contable],0),5),0)</f>
        <v>(+)</v>
      </c>
      <c r="AH34" s="985" t="str">
        <f>IF(Producción_Lecheria[[#This Row],[Cuenta Contable]]=Configuración!$AC$9,"Si","No")</f>
        <v>No</v>
      </c>
      <c r="AI34" s="983" t="str">
        <f>IFERROR(INDEX(Tabla9[],MATCH(Producción_Lecheria[[#This Row],[Movimiento]],Tabla9[Movimientos],0),2),0)</f>
        <v>No</v>
      </c>
      <c r="AJ34" s="984">
        <f>IFERROR(INDEX(Tabla9[],MATCH(Producción_Lecheria[[#This Row],[Movimiento]],Tabla9[Movimientos],0),3),0)</f>
        <v>0</v>
      </c>
      <c r="AK34" s="986">
        <f>IF(Producción_Lecheria[[#This Row],[Fecha Económico]]=0,0,MONTH(Producción_Lecheria[[#This Row],[Fecha Económico]]))</f>
        <v>0</v>
      </c>
      <c r="AL34" s="986">
        <f>IF(Producción_Lecheria[[#This Row],[Fecha Económico]]=0,0,YEAR(Producción_Lecheria[[#This Row],[Fecha Económico]]))</f>
        <v>0</v>
      </c>
      <c r="AM34" s="987">
        <f>SUMPRODUCT((Producción_Lecheria[[#This Row],[Mes Económico]]=Tipo_Cambio[Mes])*(Producción_Lecheria[[#This Row],[Año Económico]]=Tipo_Cambio[Año])*(Tipo_Cambio[$/U$S]))</f>
        <v>0</v>
      </c>
      <c r="AN34" s="987">
        <f>SUMPRODUCT((Producción_Lecheria[[#This Row],[Mes Económico]]=Tipo_Cambio[Mes])*(Producción_Lecheria[[#This Row],[Año Económico]]=Tipo_Cambio[Año])*(Tipo_Cambio[Actualización]))</f>
        <v>0</v>
      </c>
      <c r="AO34" s="986">
        <f>IF(ISNUMBER(Producción_Lecheria[[#This Row],[Fecha Financiero]])=TRUE,MONTH(Producción_Lecheria[[#This Row],[Fecha Financiero]]),0)</f>
        <v>0</v>
      </c>
      <c r="AP34" s="986">
        <f>IF(ISNUMBER(Producción_Lecheria[[#This Row],[Fecha Financiero]])=TRUE,YEAR(Producción_Lecheria[[#This Row],[Fecha Financiero]]),0)</f>
        <v>0</v>
      </c>
      <c r="AQ34" s="987">
        <f>SUMPRODUCT((Producción_Lecheria[[#This Row],[Mes Financiero]]=Tipo_Cambio[Mes])*(Producción_Lecheria[[#This Row],[Año Financiero]]=Tipo_Cambio[Año])*(Tipo_Cambio[$/U$S]))</f>
        <v>0</v>
      </c>
      <c r="AR34" s="987">
        <f>SUMPRODUCT((Producción_Lecheria[[#This Row],[Mes Financiero]]=Tipo_Cambio[Mes])*(Producción_Lecheria[[#This Row],[Año Financiero]]=Tipo_Cambio[Año])*(Tipo_Cambio[Actualización]))</f>
        <v>0</v>
      </c>
      <c r="AS34" s="988">
        <f>SUMPRODUCT((Producción_Lecheria[[#This Row],[Centro de Costo]]=Tabla1924[Centro de Costo])*(Tabla19[Superficie]))</f>
        <v>2356</v>
      </c>
      <c r="AT34" s="987">
        <f>IFERROR(Producción_Lecheria[[#This Row],[Económico $Corrientes]]/Producción_Lecheria[[#This Row],[Superficie]],0)</f>
        <v>0</v>
      </c>
      <c r="AU34" s="987">
        <f>IFERROR(Producción_Lecheria[[#This Row],[Económico $Constantes]]/Producción_Lecheria[[#This Row],[Superficie]],0)</f>
        <v>0</v>
      </c>
      <c r="AV34" s="987">
        <f>IFERROR(Producción_Lecheria[[#This Row],[Económico U$S Dólares]]/Producción_Lecheria[[#This Row],[Superficie]],0)</f>
        <v>0</v>
      </c>
      <c r="AW34" s="983" t="str">
        <f>IF(Económico!$F$4=0,0,Producción_Lecheria[Centro de Costo])</f>
        <v>Campo 1</v>
      </c>
    </row>
    <row r="35" spans="1:49" x14ac:dyDescent="0.25">
      <c r="B35" s="1136"/>
      <c r="D35" s="478"/>
      <c r="E35" s="478"/>
      <c r="F35" s="479" t="str">
        <f t="shared" si="0"/>
        <v>2018-2019</v>
      </c>
      <c r="G35" s="480" t="str">
        <f t="shared" si="3"/>
        <v>Entrada Traslados</v>
      </c>
      <c r="H35" s="481" t="s">
        <v>2</v>
      </c>
      <c r="I35" s="481"/>
      <c r="J35" s="549"/>
      <c r="K35" s="481"/>
      <c r="L35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5" s="520"/>
      <c r="O35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5" s="483"/>
      <c r="Q35" s="491"/>
      <c r="R35" s="875">
        <f>IF(ISNUMBER(Producción_Lecheria[[#This Row],[Cabezas]])=TRUE,Producción_Lecheria[[#This Row],[Cabezas]]*Producción_Lecheria[[#This Row],[Cantidad]],Producción_Lecheria[[#This Row],[Cantidad]])</f>
        <v>0</v>
      </c>
      <c r="S35" s="491"/>
      <c r="T35" s="483" t="s">
        <v>48</v>
      </c>
      <c r="U35" s="485"/>
      <c r="V35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5" s="977">
        <f>IFERROR(Producción_Lecheria[[#This Row],[Económico $Corrientes]]/Producción_Lecheria[[#This Row],[Indexación Económico]],0)</f>
        <v>0</v>
      </c>
      <c r="X3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5" s="977">
        <f>IFERROR(Producción_Lecheria[[#This Row],[Financiero $Corrientes]]/Producción_Lecheria[[#This Row],[Indexación Financiero]],0)</f>
        <v>0</v>
      </c>
      <c r="AA35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5" s="981">
        <f>IFERROR(Producción_Lecheria[[#This Row],[Intereses $Corrientes]]/Producción_Lecheria[[#This Row],[Indexación Financiero]],0)</f>
        <v>0</v>
      </c>
      <c r="AD3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5" s="982" t="str">
        <f>IFERROR(INDEX(Produccion_Lecheria_Cuentas[],MATCH(Producción_Lecheria[[#This Row],[Cuenta Contable]],Produccion_Lecheria_Cuentas[Cuenta Contable],0),2),0)</f>
        <v>Mov. Hacienda</v>
      </c>
      <c r="AF35" s="983">
        <f>IF(Producción_Lecheria[[#This Row],[Mov. Stock]]="(+)",Producción_Lecheria[[#This Row],[Cabezas]],IF(Producción_Lecheria[[#This Row],[Mov. Stock]]="(-)",-Producción_Lecheria[[#This Row],[Cabezas]],0))</f>
        <v>0</v>
      </c>
      <c r="AG35" s="984" t="str">
        <f>IFERROR(INDEX(Produccion_Lecheria_Cuentas[],MATCH(Producción_Lecheria[[#This Row],[Cuenta Contable]],Produccion_Lecheria_Cuentas[Cuenta Contable],0),5),0)</f>
        <v>(+)</v>
      </c>
      <c r="AH35" s="985" t="str">
        <f>IF(Producción_Lecheria[[#This Row],[Cuenta Contable]]=Configuración!$AC$9,"Si","No")</f>
        <v>No</v>
      </c>
      <c r="AI35" s="983" t="str">
        <f>IFERROR(INDEX(Tabla9[],MATCH(Producción_Lecheria[[#This Row],[Movimiento]],Tabla9[Movimientos],0),2),0)</f>
        <v>No</v>
      </c>
      <c r="AJ35" s="984">
        <f>IFERROR(INDEX(Tabla9[],MATCH(Producción_Lecheria[[#This Row],[Movimiento]],Tabla9[Movimientos],0),3),0)</f>
        <v>0</v>
      </c>
      <c r="AK35" s="986">
        <f>IF(Producción_Lecheria[[#This Row],[Fecha Económico]]=0,0,MONTH(Producción_Lecheria[[#This Row],[Fecha Económico]]))</f>
        <v>0</v>
      </c>
      <c r="AL35" s="986">
        <f>IF(Producción_Lecheria[[#This Row],[Fecha Económico]]=0,0,YEAR(Producción_Lecheria[[#This Row],[Fecha Económico]]))</f>
        <v>0</v>
      </c>
      <c r="AM35" s="987">
        <f>SUMPRODUCT((Producción_Lecheria[[#This Row],[Mes Económico]]=Tipo_Cambio[Mes])*(Producción_Lecheria[[#This Row],[Año Económico]]=Tipo_Cambio[Año])*(Tipo_Cambio[$/U$S]))</f>
        <v>0</v>
      </c>
      <c r="AN35" s="987">
        <f>SUMPRODUCT((Producción_Lecheria[[#This Row],[Mes Económico]]=Tipo_Cambio[Mes])*(Producción_Lecheria[[#This Row],[Año Económico]]=Tipo_Cambio[Año])*(Tipo_Cambio[Actualización]))</f>
        <v>0</v>
      </c>
      <c r="AO35" s="986">
        <f>IF(ISNUMBER(Producción_Lecheria[[#This Row],[Fecha Financiero]])=TRUE,MONTH(Producción_Lecheria[[#This Row],[Fecha Financiero]]),0)</f>
        <v>0</v>
      </c>
      <c r="AP35" s="986">
        <f>IF(ISNUMBER(Producción_Lecheria[[#This Row],[Fecha Financiero]])=TRUE,YEAR(Producción_Lecheria[[#This Row],[Fecha Financiero]]),0)</f>
        <v>0</v>
      </c>
      <c r="AQ35" s="987">
        <f>SUMPRODUCT((Producción_Lecheria[[#This Row],[Mes Financiero]]=Tipo_Cambio[Mes])*(Producción_Lecheria[[#This Row],[Año Financiero]]=Tipo_Cambio[Año])*(Tipo_Cambio[$/U$S]))</f>
        <v>0</v>
      </c>
      <c r="AR35" s="987">
        <f>SUMPRODUCT((Producción_Lecheria[[#This Row],[Mes Financiero]]=Tipo_Cambio[Mes])*(Producción_Lecheria[[#This Row],[Año Financiero]]=Tipo_Cambio[Año])*(Tipo_Cambio[Actualización]))</f>
        <v>0</v>
      </c>
      <c r="AS35" s="988">
        <f>SUMPRODUCT((Producción_Lecheria[[#This Row],[Centro de Costo]]=Tabla1924[Centro de Costo])*(Tabla19[Superficie]))</f>
        <v>2356</v>
      </c>
      <c r="AT35" s="987">
        <f>IFERROR(Producción_Lecheria[[#This Row],[Económico $Corrientes]]/Producción_Lecheria[[#This Row],[Superficie]],0)</f>
        <v>0</v>
      </c>
      <c r="AU35" s="987">
        <f>IFERROR(Producción_Lecheria[[#This Row],[Económico $Constantes]]/Producción_Lecheria[[#This Row],[Superficie]],0)</f>
        <v>0</v>
      </c>
      <c r="AV35" s="987">
        <f>IFERROR(Producción_Lecheria[[#This Row],[Económico U$S Dólares]]/Producción_Lecheria[[#This Row],[Superficie]],0)</f>
        <v>0</v>
      </c>
      <c r="AW35" s="983" t="str">
        <f>IF(Económico!$F$4=0,0,Producción_Lecheria[Centro de Costo])</f>
        <v>Campo 1</v>
      </c>
    </row>
    <row r="36" spans="1:49" x14ac:dyDescent="0.25">
      <c r="D36" s="478"/>
      <c r="E36" s="478"/>
      <c r="F36" s="479" t="str">
        <f t="shared" si="0"/>
        <v>2018-2019</v>
      </c>
      <c r="G36" s="480" t="str">
        <f t="shared" si="3"/>
        <v>Entrada Traslados</v>
      </c>
      <c r="H36" s="481" t="s">
        <v>2</v>
      </c>
      <c r="I36" s="481"/>
      <c r="J36" s="549"/>
      <c r="K36" s="481"/>
      <c r="L36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6" s="520"/>
      <c r="O36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6" s="483"/>
      <c r="Q36" s="491"/>
      <c r="R36" s="875">
        <f>IF(ISNUMBER(Producción_Lecheria[[#This Row],[Cabezas]])=TRUE,Producción_Lecheria[[#This Row],[Cabezas]]*Producción_Lecheria[[#This Row],[Cantidad]],Producción_Lecheria[[#This Row],[Cantidad]])</f>
        <v>0</v>
      </c>
      <c r="S36" s="491"/>
      <c r="T36" s="483" t="s">
        <v>48</v>
      </c>
      <c r="U36" s="485"/>
      <c r="V36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6" s="977">
        <f>IFERROR(Producción_Lecheria[[#This Row],[Económico $Corrientes]]/Producción_Lecheria[[#This Row],[Indexación Económico]],0)</f>
        <v>0</v>
      </c>
      <c r="X3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6" s="977">
        <f>IFERROR(Producción_Lecheria[[#This Row],[Financiero $Corrientes]]/Producción_Lecheria[[#This Row],[Indexación Financiero]],0)</f>
        <v>0</v>
      </c>
      <c r="AA36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6" s="981">
        <f>IFERROR(Producción_Lecheria[[#This Row],[Intereses $Corrientes]]/Producción_Lecheria[[#This Row],[Indexación Financiero]],0)</f>
        <v>0</v>
      </c>
      <c r="AD3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6" s="982" t="str">
        <f>IFERROR(INDEX(Produccion_Lecheria_Cuentas[],MATCH(Producción_Lecheria[[#This Row],[Cuenta Contable]],Produccion_Lecheria_Cuentas[Cuenta Contable],0),2),0)</f>
        <v>Mov. Hacienda</v>
      </c>
      <c r="AF36" s="983">
        <f>IF(Producción_Lecheria[[#This Row],[Mov. Stock]]="(+)",Producción_Lecheria[[#This Row],[Cabezas]],IF(Producción_Lecheria[[#This Row],[Mov. Stock]]="(-)",-Producción_Lecheria[[#This Row],[Cabezas]],0))</f>
        <v>0</v>
      </c>
      <c r="AG36" s="984" t="str">
        <f>IFERROR(INDEX(Produccion_Lecheria_Cuentas[],MATCH(Producción_Lecheria[[#This Row],[Cuenta Contable]],Produccion_Lecheria_Cuentas[Cuenta Contable],0),5),0)</f>
        <v>(+)</v>
      </c>
      <c r="AH36" s="985" t="str">
        <f>IF(Producción_Lecheria[[#This Row],[Cuenta Contable]]=Configuración!$AC$9,"Si","No")</f>
        <v>No</v>
      </c>
      <c r="AI36" s="983" t="str">
        <f>IFERROR(INDEX(Tabla9[],MATCH(Producción_Lecheria[[#This Row],[Movimiento]],Tabla9[Movimientos],0),2),0)</f>
        <v>No</v>
      </c>
      <c r="AJ36" s="984">
        <f>IFERROR(INDEX(Tabla9[],MATCH(Producción_Lecheria[[#This Row],[Movimiento]],Tabla9[Movimientos],0),3),0)</f>
        <v>0</v>
      </c>
      <c r="AK36" s="986">
        <f>IF(Producción_Lecheria[[#This Row],[Fecha Económico]]=0,0,MONTH(Producción_Lecheria[[#This Row],[Fecha Económico]]))</f>
        <v>0</v>
      </c>
      <c r="AL36" s="986">
        <f>IF(Producción_Lecheria[[#This Row],[Fecha Económico]]=0,0,YEAR(Producción_Lecheria[[#This Row],[Fecha Económico]]))</f>
        <v>0</v>
      </c>
      <c r="AM36" s="987">
        <f>SUMPRODUCT((Producción_Lecheria[[#This Row],[Mes Económico]]=Tipo_Cambio[Mes])*(Producción_Lecheria[[#This Row],[Año Económico]]=Tipo_Cambio[Año])*(Tipo_Cambio[$/U$S]))</f>
        <v>0</v>
      </c>
      <c r="AN36" s="987">
        <f>SUMPRODUCT((Producción_Lecheria[[#This Row],[Mes Económico]]=Tipo_Cambio[Mes])*(Producción_Lecheria[[#This Row],[Año Económico]]=Tipo_Cambio[Año])*(Tipo_Cambio[Actualización]))</f>
        <v>0</v>
      </c>
      <c r="AO36" s="986">
        <f>IF(ISNUMBER(Producción_Lecheria[[#This Row],[Fecha Financiero]])=TRUE,MONTH(Producción_Lecheria[[#This Row],[Fecha Financiero]]),0)</f>
        <v>0</v>
      </c>
      <c r="AP36" s="986">
        <f>IF(ISNUMBER(Producción_Lecheria[[#This Row],[Fecha Financiero]])=TRUE,YEAR(Producción_Lecheria[[#This Row],[Fecha Financiero]]),0)</f>
        <v>0</v>
      </c>
      <c r="AQ36" s="987">
        <f>SUMPRODUCT((Producción_Lecheria[[#This Row],[Mes Financiero]]=Tipo_Cambio[Mes])*(Producción_Lecheria[[#This Row],[Año Financiero]]=Tipo_Cambio[Año])*(Tipo_Cambio[$/U$S]))</f>
        <v>0</v>
      </c>
      <c r="AR36" s="987">
        <f>SUMPRODUCT((Producción_Lecheria[[#This Row],[Mes Financiero]]=Tipo_Cambio[Mes])*(Producción_Lecheria[[#This Row],[Año Financiero]]=Tipo_Cambio[Año])*(Tipo_Cambio[Actualización]))</f>
        <v>0</v>
      </c>
      <c r="AS36" s="988">
        <f>SUMPRODUCT((Producción_Lecheria[[#This Row],[Centro de Costo]]=Tabla1924[Centro de Costo])*(Tabla19[Superficie]))</f>
        <v>2356</v>
      </c>
      <c r="AT36" s="987">
        <f>IFERROR(Producción_Lecheria[[#This Row],[Económico $Corrientes]]/Producción_Lecheria[[#This Row],[Superficie]],0)</f>
        <v>0</v>
      </c>
      <c r="AU36" s="987">
        <f>IFERROR(Producción_Lecheria[[#This Row],[Económico $Constantes]]/Producción_Lecheria[[#This Row],[Superficie]],0)</f>
        <v>0</v>
      </c>
      <c r="AV36" s="987">
        <f>IFERROR(Producción_Lecheria[[#This Row],[Económico U$S Dólares]]/Producción_Lecheria[[#This Row],[Superficie]],0)</f>
        <v>0</v>
      </c>
      <c r="AW36" s="983" t="str">
        <f>IF(Económico!$F$4=0,0,Producción_Lecheria[Centro de Costo])</f>
        <v>Campo 1</v>
      </c>
    </row>
    <row r="37" spans="1:49" x14ac:dyDescent="0.25">
      <c r="D37" s="478"/>
      <c r="E37" s="478"/>
      <c r="F37" s="479" t="str">
        <f t="shared" si="0"/>
        <v>2018-2019</v>
      </c>
      <c r="G37" s="480" t="str">
        <f t="shared" si="3"/>
        <v>Entrada Traslados</v>
      </c>
      <c r="H37" s="481" t="s">
        <v>2</v>
      </c>
      <c r="I37" s="481"/>
      <c r="J37" s="549"/>
      <c r="K37" s="481"/>
      <c r="L37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7" s="520"/>
      <c r="O37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7" s="483"/>
      <c r="Q37" s="491"/>
      <c r="R37" s="875">
        <f>IF(ISNUMBER(Producción_Lecheria[[#This Row],[Cabezas]])=TRUE,Producción_Lecheria[[#This Row],[Cabezas]]*Producción_Lecheria[[#This Row],[Cantidad]],Producción_Lecheria[[#This Row],[Cantidad]])</f>
        <v>0</v>
      </c>
      <c r="S37" s="491"/>
      <c r="T37" s="483" t="s">
        <v>48</v>
      </c>
      <c r="U37" s="485"/>
      <c r="V37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7" s="977">
        <f>IFERROR(Producción_Lecheria[[#This Row],[Económico $Corrientes]]/Producción_Lecheria[[#This Row],[Indexación Económico]],0)</f>
        <v>0</v>
      </c>
      <c r="X3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7" s="977">
        <f>IFERROR(Producción_Lecheria[[#This Row],[Financiero $Corrientes]]/Producción_Lecheria[[#This Row],[Indexación Financiero]],0)</f>
        <v>0</v>
      </c>
      <c r="AA37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7" s="981">
        <f>IFERROR(Producción_Lecheria[[#This Row],[Intereses $Corrientes]]/Producción_Lecheria[[#This Row],[Indexación Financiero]],0)</f>
        <v>0</v>
      </c>
      <c r="AD3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7" s="982" t="str">
        <f>IFERROR(INDEX(Produccion_Lecheria_Cuentas[],MATCH(Producción_Lecheria[[#This Row],[Cuenta Contable]],Produccion_Lecheria_Cuentas[Cuenta Contable],0),2),0)</f>
        <v>Mov. Hacienda</v>
      </c>
      <c r="AF37" s="983">
        <f>IF(Producción_Lecheria[[#This Row],[Mov. Stock]]="(+)",Producción_Lecheria[[#This Row],[Cabezas]],IF(Producción_Lecheria[[#This Row],[Mov. Stock]]="(-)",-Producción_Lecheria[[#This Row],[Cabezas]],0))</f>
        <v>0</v>
      </c>
      <c r="AG37" s="984" t="str">
        <f>IFERROR(INDEX(Produccion_Lecheria_Cuentas[],MATCH(Producción_Lecheria[[#This Row],[Cuenta Contable]],Produccion_Lecheria_Cuentas[Cuenta Contable],0),5),0)</f>
        <v>(+)</v>
      </c>
      <c r="AH37" s="985" t="str">
        <f>IF(Producción_Lecheria[[#This Row],[Cuenta Contable]]=Configuración!$AC$9,"Si","No")</f>
        <v>No</v>
      </c>
      <c r="AI37" s="983" t="str">
        <f>IFERROR(INDEX(Tabla9[],MATCH(Producción_Lecheria[[#This Row],[Movimiento]],Tabla9[Movimientos],0),2),0)</f>
        <v>No</v>
      </c>
      <c r="AJ37" s="984">
        <f>IFERROR(INDEX(Tabla9[],MATCH(Producción_Lecheria[[#This Row],[Movimiento]],Tabla9[Movimientos],0),3),0)</f>
        <v>0</v>
      </c>
      <c r="AK37" s="986">
        <f>IF(Producción_Lecheria[[#This Row],[Fecha Económico]]=0,0,MONTH(Producción_Lecheria[[#This Row],[Fecha Económico]]))</f>
        <v>0</v>
      </c>
      <c r="AL37" s="986">
        <f>IF(Producción_Lecheria[[#This Row],[Fecha Económico]]=0,0,YEAR(Producción_Lecheria[[#This Row],[Fecha Económico]]))</f>
        <v>0</v>
      </c>
      <c r="AM37" s="987">
        <f>SUMPRODUCT((Producción_Lecheria[[#This Row],[Mes Económico]]=Tipo_Cambio[Mes])*(Producción_Lecheria[[#This Row],[Año Económico]]=Tipo_Cambio[Año])*(Tipo_Cambio[$/U$S]))</f>
        <v>0</v>
      </c>
      <c r="AN37" s="987">
        <f>SUMPRODUCT((Producción_Lecheria[[#This Row],[Mes Económico]]=Tipo_Cambio[Mes])*(Producción_Lecheria[[#This Row],[Año Económico]]=Tipo_Cambio[Año])*(Tipo_Cambio[Actualización]))</f>
        <v>0</v>
      </c>
      <c r="AO37" s="986">
        <f>IF(ISNUMBER(Producción_Lecheria[[#This Row],[Fecha Financiero]])=TRUE,MONTH(Producción_Lecheria[[#This Row],[Fecha Financiero]]),0)</f>
        <v>0</v>
      </c>
      <c r="AP37" s="986">
        <f>IF(ISNUMBER(Producción_Lecheria[[#This Row],[Fecha Financiero]])=TRUE,YEAR(Producción_Lecheria[[#This Row],[Fecha Financiero]]),0)</f>
        <v>0</v>
      </c>
      <c r="AQ37" s="987">
        <f>SUMPRODUCT((Producción_Lecheria[[#This Row],[Mes Financiero]]=Tipo_Cambio[Mes])*(Producción_Lecheria[[#This Row],[Año Financiero]]=Tipo_Cambio[Año])*(Tipo_Cambio[$/U$S]))</f>
        <v>0</v>
      </c>
      <c r="AR37" s="987">
        <f>SUMPRODUCT((Producción_Lecheria[[#This Row],[Mes Financiero]]=Tipo_Cambio[Mes])*(Producción_Lecheria[[#This Row],[Año Financiero]]=Tipo_Cambio[Año])*(Tipo_Cambio[Actualización]))</f>
        <v>0</v>
      </c>
      <c r="AS37" s="988">
        <f>SUMPRODUCT((Producción_Lecheria[[#This Row],[Centro de Costo]]=Tabla1924[Centro de Costo])*(Tabla19[Superficie]))</f>
        <v>2356</v>
      </c>
      <c r="AT37" s="987">
        <f>IFERROR(Producción_Lecheria[[#This Row],[Económico $Corrientes]]/Producción_Lecheria[[#This Row],[Superficie]],0)</f>
        <v>0</v>
      </c>
      <c r="AU37" s="987">
        <f>IFERROR(Producción_Lecheria[[#This Row],[Económico $Constantes]]/Producción_Lecheria[[#This Row],[Superficie]],0)</f>
        <v>0</v>
      </c>
      <c r="AV37" s="987">
        <f>IFERROR(Producción_Lecheria[[#This Row],[Económico U$S Dólares]]/Producción_Lecheria[[#This Row],[Superficie]],0)</f>
        <v>0</v>
      </c>
      <c r="AW37" s="983" t="str">
        <f>IF(Económico!$F$4=0,0,Producción_Lecheria[Centro de Costo])</f>
        <v>Campo 1</v>
      </c>
    </row>
    <row r="38" spans="1:49" x14ac:dyDescent="0.25">
      <c r="D38" s="478"/>
      <c r="E38" s="478"/>
      <c r="F38" s="479" t="str">
        <f t="shared" si="0"/>
        <v>2018-2019</v>
      </c>
      <c r="G38" s="480" t="str">
        <f t="shared" si="3"/>
        <v>Entrada Traslados</v>
      </c>
      <c r="H38" s="481" t="s">
        <v>2</v>
      </c>
      <c r="I38" s="481"/>
      <c r="J38" s="549"/>
      <c r="K38" s="481"/>
      <c r="L38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8" s="520"/>
      <c r="O38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8" s="483"/>
      <c r="Q38" s="491"/>
      <c r="R38" s="875">
        <f>IF(ISNUMBER(Producción_Lecheria[[#This Row],[Cabezas]])=TRUE,Producción_Lecheria[[#This Row],[Cabezas]]*Producción_Lecheria[[#This Row],[Cantidad]],Producción_Lecheria[[#This Row],[Cantidad]])</f>
        <v>0</v>
      </c>
      <c r="S38" s="491"/>
      <c r="T38" s="483" t="s">
        <v>48</v>
      </c>
      <c r="U38" s="485"/>
      <c r="V38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8" s="977">
        <f>IFERROR(Producción_Lecheria[[#This Row],[Económico $Corrientes]]/Producción_Lecheria[[#This Row],[Indexación Económico]],0)</f>
        <v>0</v>
      </c>
      <c r="X3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8" s="977">
        <f>IFERROR(Producción_Lecheria[[#This Row],[Financiero $Corrientes]]/Producción_Lecheria[[#This Row],[Indexación Financiero]],0)</f>
        <v>0</v>
      </c>
      <c r="AA38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8" s="981">
        <f>IFERROR(Producción_Lecheria[[#This Row],[Intereses $Corrientes]]/Producción_Lecheria[[#This Row],[Indexación Financiero]],0)</f>
        <v>0</v>
      </c>
      <c r="AD3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8" s="982" t="str">
        <f>IFERROR(INDEX(Produccion_Lecheria_Cuentas[],MATCH(Producción_Lecheria[[#This Row],[Cuenta Contable]],Produccion_Lecheria_Cuentas[Cuenta Contable],0),2),0)</f>
        <v>Mov. Hacienda</v>
      </c>
      <c r="AF38" s="983">
        <f>IF(Producción_Lecheria[[#This Row],[Mov. Stock]]="(+)",Producción_Lecheria[[#This Row],[Cabezas]],IF(Producción_Lecheria[[#This Row],[Mov. Stock]]="(-)",-Producción_Lecheria[[#This Row],[Cabezas]],0))</f>
        <v>0</v>
      </c>
      <c r="AG38" s="984" t="str">
        <f>IFERROR(INDEX(Produccion_Lecheria_Cuentas[],MATCH(Producción_Lecheria[[#This Row],[Cuenta Contable]],Produccion_Lecheria_Cuentas[Cuenta Contable],0),5),0)</f>
        <v>(+)</v>
      </c>
      <c r="AH38" s="985" t="str">
        <f>IF(Producción_Lecheria[[#This Row],[Cuenta Contable]]=Configuración!$AC$9,"Si","No")</f>
        <v>No</v>
      </c>
      <c r="AI38" s="983" t="str">
        <f>IFERROR(INDEX(Tabla9[],MATCH(Producción_Lecheria[[#This Row],[Movimiento]],Tabla9[Movimientos],0),2),0)</f>
        <v>No</v>
      </c>
      <c r="AJ38" s="984">
        <f>IFERROR(INDEX(Tabla9[],MATCH(Producción_Lecheria[[#This Row],[Movimiento]],Tabla9[Movimientos],0),3),0)</f>
        <v>0</v>
      </c>
      <c r="AK38" s="986">
        <f>IF(Producción_Lecheria[[#This Row],[Fecha Económico]]=0,0,MONTH(Producción_Lecheria[[#This Row],[Fecha Económico]]))</f>
        <v>0</v>
      </c>
      <c r="AL38" s="986">
        <f>IF(Producción_Lecheria[[#This Row],[Fecha Económico]]=0,0,YEAR(Producción_Lecheria[[#This Row],[Fecha Económico]]))</f>
        <v>0</v>
      </c>
      <c r="AM38" s="987">
        <f>SUMPRODUCT((Producción_Lecheria[[#This Row],[Mes Económico]]=Tipo_Cambio[Mes])*(Producción_Lecheria[[#This Row],[Año Económico]]=Tipo_Cambio[Año])*(Tipo_Cambio[$/U$S]))</f>
        <v>0</v>
      </c>
      <c r="AN38" s="987">
        <f>SUMPRODUCT((Producción_Lecheria[[#This Row],[Mes Económico]]=Tipo_Cambio[Mes])*(Producción_Lecheria[[#This Row],[Año Económico]]=Tipo_Cambio[Año])*(Tipo_Cambio[Actualización]))</f>
        <v>0</v>
      </c>
      <c r="AO38" s="986">
        <f>IF(ISNUMBER(Producción_Lecheria[[#This Row],[Fecha Financiero]])=TRUE,MONTH(Producción_Lecheria[[#This Row],[Fecha Financiero]]),0)</f>
        <v>0</v>
      </c>
      <c r="AP38" s="986">
        <f>IF(ISNUMBER(Producción_Lecheria[[#This Row],[Fecha Financiero]])=TRUE,YEAR(Producción_Lecheria[[#This Row],[Fecha Financiero]]),0)</f>
        <v>0</v>
      </c>
      <c r="AQ38" s="987">
        <f>SUMPRODUCT((Producción_Lecheria[[#This Row],[Mes Financiero]]=Tipo_Cambio[Mes])*(Producción_Lecheria[[#This Row],[Año Financiero]]=Tipo_Cambio[Año])*(Tipo_Cambio[$/U$S]))</f>
        <v>0</v>
      </c>
      <c r="AR38" s="987">
        <f>SUMPRODUCT((Producción_Lecheria[[#This Row],[Mes Financiero]]=Tipo_Cambio[Mes])*(Producción_Lecheria[[#This Row],[Año Financiero]]=Tipo_Cambio[Año])*(Tipo_Cambio[Actualización]))</f>
        <v>0</v>
      </c>
      <c r="AS38" s="988">
        <f>SUMPRODUCT((Producción_Lecheria[[#This Row],[Centro de Costo]]=Tabla1924[Centro de Costo])*(Tabla19[Superficie]))</f>
        <v>2356</v>
      </c>
      <c r="AT38" s="987">
        <f>IFERROR(Producción_Lecheria[[#This Row],[Económico $Corrientes]]/Producción_Lecheria[[#This Row],[Superficie]],0)</f>
        <v>0</v>
      </c>
      <c r="AU38" s="987">
        <f>IFERROR(Producción_Lecheria[[#This Row],[Económico $Constantes]]/Producción_Lecheria[[#This Row],[Superficie]],0)</f>
        <v>0</v>
      </c>
      <c r="AV38" s="987">
        <f>IFERROR(Producción_Lecheria[[#This Row],[Económico U$S Dólares]]/Producción_Lecheria[[#This Row],[Superficie]],0)</f>
        <v>0</v>
      </c>
      <c r="AW38" s="983" t="str">
        <f>IF(Económico!$F$4=0,0,Producción_Lecheria[Centro de Costo])</f>
        <v>Campo 1</v>
      </c>
    </row>
    <row r="39" spans="1:49" ht="15.75" thickBot="1" x14ac:dyDescent="0.3">
      <c r="B39" s="373" t="s">
        <v>101</v>
      </c>
      <c r="D39" s="478"/>
      <c r="E39" s="478"/>
      <c r="F39" s="479" t="str">
        <f t="shared" si="0"/>
        <v>2018-2019</v>
      </c>
      <c r="G39" s="480" t="str">
        <f t="shared" si="3"/>
        <v>Entrada Traslados</v>
      </c>
      <c r="H39" s="481" t="s">
        <v>2</v>
      </c>
      <c r="I39" s="481"/>
      <c r="J39" s="549"/>
      <c r="K39" s="481"/>
      <c r="L39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9" s="520"/>
      <c r="O39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9" s="483"/>
      <c r="Q39" s="491"/>
      <c r="R39" s="875">
        <f>IF(ISNUMBER(Producción_Lecheria[[#This Row],[Cabezas]])=TRUE,Producción_Lecheria[[#This Row],[Cabezas]]*Producción_Lecheria[[#This Row],[Cantidad]],Producción_Lecheria[[#This Row],[Cantidad]])</f>
        <v>0</v>
      </c>
      <c r="S39" s="491"/>
      <c r="T39" s="483" t="s">
        <v>48</v>
      </c>
      <c r="U39" s="485"/>
      <c r="V39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9" s="977">
        <f>IFERROR(Producción_Lecheria[[#This Row],[Económico $Corrientes]]/Producción_Lecheria[[#This Row],[Indexación Económico]],0)</f>
        <v>0</v>
      </c>
      <c r="X3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9" s="977">
        <f>IFERROR(Producción_Lecheria[[#This Row],[Financiero $Corrientes]]/Producción_Lecheria[[#This Row],[Indexación Financiero]],0)</f>
        <v>0</v>
      </c>
      <c r="AA39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9" s="981">
        <f>IFERROR(Producción_Lecheria[[#This Row],[Intereses $Corrientes]]/Producción_Lecheria[[#This Row],[Indexación Financiero]],0)</f>
        <v>0</v>
      </c>
      <c r="AD3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9" s="982" t="str">
        <f>IFERROR(INDEX(Produccion_Lecheria_Cuentas[],MATCH(Producción_Lecheria[[#This Row],[Cuenta Contable]],Produccion_Lecheria_Cuentas[Cuenta Contable],0),2),0)</f>
        <v>Mov. Hacienda</v>
      </c>
      <c r="AF39" s="983">
        <f>IF(Producción_Lecheria[[#This Row],[Mov. Stock]]="(+)",Producción_Lecheria[[#This Row],[Cabezas]],IF(Producción_Lecheria[[#This Row],[Mov. Stock]]="(-)",-Producción_Lecheria[[#This Row],[Cabezas]],0))</f>
        <v>0</v>
      </c>
      <c r="AG39" s="984" t="str">
        <f>IFERROR(INDEX(Produccion_Lecheria_Cuentas[],MATCH(Producción_Lecheria[[#This Row],[Cuenta Contable]],Produccion_Lecheria_Cuentas[Cuenta Contable],0),5),0)</f>
        <v>(+)</v>
      </c>
      <c r="AH39" s="985" t="str">
        <f>IF(Producción_Lecheria[[#This Row],[Cuenta Contable]]=Configuración!$AC$9,"Si","No")</f>
        <v>No</v>
      </c>
      <c r="AI39" s="983" t="str">
        <f>IFERROR(INDEX(Tabla9[],MATCH(Producción_Lecheria[[#This Row],[Movimiento]],Tabla9[Movimientos],0),2),0)</f>
        <v>No</v>
      </c>
      <c r="AJ39" s="984">
        <f>IFERROR(INDEX(Tabla9[],MATCH(Producción_Lecheria[[#This Row],[Movimiento]],Tabla9[Movimientos],0),3),0)</f>
        <v>0</v>
      </c>
      <c r="AK39" s="986">
        <f>IF(Producción_Lecheria[[#This Row],[Fecha Económico]]=0,0,MONTH(Producción_Lecheria[[#This Row],[Fecha Económico]]))</f>
        <v>0</v>
      </c>
      <c r="AL39" s="986">
        <f>IF(Producción_Lecheria[[#This Row],[Fecha Económico]]=0,0,YEAR(Producción_Lecheria[[#This Row],[Fecha Económico]]))</f>
        <v>0</v>
      </c>
      <c r="AM39" s="987">
        <f>SUMPRODUCT((Producción_Lecheria[[#This Row],[Mes Económico]]=Tipo_Cambio[Mes])*(Producción_Lecheria[[#This Row],[Año Económico]]=Tipo_Cambio[Año])*(Tipo_Cambio[$/U$S]))</f>
        <v>0</v>
      </c>
      <c r="AN39" s="987">
        <f>SUMPRODUCT((Producción_Lecheria[[#This Row],[Mes Económico]]=Tipo_Cambio[Mes])*(Producción_Lecheria[[#This Row],[Año Económico]]=Tipo_Cambio[Año])*(Tipo_Cambio[Actualización]))</f>
        <v>0</v>
      </c>
      <c r="AO39" s="986">
        <f>IF(ISNUMBER(Producción_Lecheria[[#This Row],[Fecha Financiero]])=TRUE,MONTH(Producción_Lecheria[[#This Row],[Fecha Financiero]]),0)</f>
        <v>0</v>
      </c>
      <c r="AP39" s="986">
        <f>IF(ISNUMBER(Producción_Lecheria[[#This Row],[Fecha Financiero]])=TRUE,YEAR(Producción_Lecheria[[#This Row],[Fecha Financiero]]),0)</f>
        <v>0</v>
      </c>
      <c r="AQ39" s="987">
        <f>SUMPRODUCT((Producción_Lecheria[[#This Row],[Mes Financiero]]=Tipo_Cambio[Mes])*(Producción_Lecheria[[#This Row],[Año Financiero]]=Tipo_Cambio[Año])*(Tipo_Cambio[$/U$S]))</f>
        <v>0</v>
      </c>
      <c r="AR39" s="987">
        <f>SUMPRODUCT((Producción_Lecheria[[#This Row],[Mes Financiero]]=Tipo_Cambio[Mes])*(Producción_Lecheria[[#This Row],[Año Financiero]]=Tipo_Cambio[Año])*(Tipo_Cambio[Actualización]))</f>
        <v>0</v>
      </c>
      <c r="AS39" s="988">
        <f>SUMPRODUCT((Producción_Lecheria[[#This Row],[Centro de Costo]]=Tabla1924[Centro de Costo])*(Tabla19[Superficie]))</f>
        <v>2356</v>
      </c>
      <c r="AT39" s="987">
        <f>IFERROR(Producción_Lecheria[[#This Row],[Económico $Corrientes]]/Producción_Lecheria[[#This Row],[Superficie]],0)</f>
        <v>0</v>
      </c>
      <c r="AU39" s="987">
        <f>IFERROR(Producción_Lecheria[[#This Row],[Económico $Constantes]]/Producción_Lecheria[[#This Row],[Superficie]],0)</f>
        <v>0</v>
      </c>
      <c r="AV39" s="987">
        <f>IFERROR(Producción_Lecheria[[#This Row],[Económico U$S Dólares]]/Producción_Lecheria[[#This Row],[Superficie]],0)</f>
        <v>0</v>
      </c>
      <c r="AW39" s="983" t="str">
        <f>IF(Económico!$F$4=0,0,Producción_Lecheria[Centro de Costo])</f>
        <v>Campo 1</v>
      </c>
    </row>
    <row r="40" spans="1:49" ht="15.75" thickTop="1" x14ac:dyDescent="0.25">
      <c r="B40" s="1136" t="s">
        <v>141</v>
      </c>
      <c r="D40" s="554"/>
      <c r="E40" s="554"/>
      <c r="F40" s="556" t="str">
        <f t="shared" si="0"/>
        <v>2018-2019</v>
      </c>
      <c r="G40" s="557" t="str">
        <f t="shared" ref="G40:G46" si="4">LCH_Traslado_Salida</f>
        <v>Salida Traslados</v>
      </c>
      <c r="H40" s="551" t="s">
        <v>2</v>
      </c>
      <c r="I40" s="551"/>
      <c r="J40" s="558"/>
      <c r="K40" s="551"/>
      <c r="L40" s="961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40" s="961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40" s="559"/>
      <c r="O40" s="969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40" s="560"/>
      <c r="Q40" s="551"/>
      <c r="R40" s="975">
        <f>IF(ISNUMBER(Producción_Lecheria[[#This Row],[Cabezas]])=TRUE,Producción_Lecheria[[#This Row],[Cabezas]]*Producción_Lecheria[[#This Row],[Cantidad]],Producción_Lecheria[[#This Row],[Cantidad]])</f>
        <v>0</v>
      </c>
      <c r="S40" s="551"/>
      <c r="T40" s="560" t="s">
        <v>48</v>
      </c>
      <c r="U40" s="573"/>
      <c r="V40" s="996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40" s="996">
        <f>IFERROR(Producción_Lecheria[[#This Row],[Económico $Corrientes]]/Producción_Lecheria[[#This Row],[Indexación Económico]],0)</f>
        <v>0</v>
      </c>
      <c r="X40" s="997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40" s="995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40" s="996">
        <f>IFERROR(Producción_Lecheria[[#This Row],[Financiero $Corrientes]]/Producción_Lecheria[[#This Row],[Indexación Financiero]],0)</f>
        <v>0</v>
      </c>
      <c r="AA40" s="996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40" s="999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40" s="1000">
        <f>IFERROR(Producción_Lecheria[[#This Row],[Intereses $Corrientes]]/Producción_Lecheria[[#This Row],[Indexación Financiero]],0)</f>
        <v>0</v>
      </c>
      <c r="AD40" s="1000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40" s="1025" t="str">
        <f>IFERROR(INDEX(Produccion_Lecheria_Cuentas[],MATCH(Producción_Lecheria[[#This Row],[Cuenta Contable]],Produccion_Lecheria_Cuentas[Cuenta Contable],0),2),0)</f>
        <v>Mov. Hacienda</v>
      </c>
      <c r="AF40" s="1005">
        <f>IF(Producción_Lecheria[[#This Row],[Mov. Stock]]="(+)",Producción_Lecheria[[#This Row],[Cabezas]],IF(Producción_Lecheria[[#This Row],[Mov. Stock]]="(-)",-Producción_Lecheria[[#This Row],[Cabezas]],0))</f>
        <v>0</v>
      </c>
      <c r="AG40" s="1006" t="str">
        <f>IFERROR(INDEX(Produccion_Lecheria_Cuentas[],MATCH(Producción_Lecheria[[#This Row],[Cuenta Contable]],Produccion_Lecheria_Cuentas[Cuenta Contable],0),5),0)</f>
        <v>(-)</v>
      </c>
      <c r="AH40" s="1007" t="str">
        <f>IF(Producción_Lecheria[[#This Row],[Cuenta Contable]]=Configuración!$AC$9,"Si","No")</f>
        <v>No</v>
      </c>
      <c r="AI40" s="1005" t="str">
        <f>IFERROR(INDEX(Tabla9[],MATCH(Producción_Lecheria[[#This Row],[Movimiento]],Tabla9[Movimientos],0),2),0)</f>
        <v>No</v>
      </c>
      <c r="AJ40" s="1006">
        <f>IFERROR(INDEX(Tabla9[],MATCH(Producción_Lecheria[[#This Row],[Movimiento]],Tabla9[Movimientos],0),3),0)</f>
        <v>0</v>
      </c>
      <c r="AK40" s="1000">
        <f>IF(Producción_Lecheria[[#This Row],[Fecha Económico]]=0,0,MONTH(Producción_Lecheria[[#This Row],[Fecha Económico]]))</f>
        <v>0</v>
      </c>
      <c r="AL40" s="1000">
        <f>IF(Producción_Lecheria[[#This Row],[Fecha Económico]]=0,0,YEAR(Producción_Lecheria[[#This Row],[Fecha Económico]]))</f>
        <v>0</v>
      </c>
      <c r="AM40" s="1007">
        <f>SUMPRODUCT((Producción_Lecheria[[#This Row],[Mes Económico]]=Tipo_Cambio[Mes])*(Producción_Lecheria[[#This Row],[Año Económico]]=Tipo_Cambio[Año])*(Tipo_Cambio[$/U$S]))</f>
        <v>0</v>
      </c>
      <c r="AN40" s="1007">
        <f>SUMPRODUCT((Producción_Lecheria[[#This Row],[Mes Económico]]=Tipo_Cambio[Mes])*(Producción_Lecheria[[#This Row],[Año Económico]]=Tipo_Cambio[Año])*(Tipo_Cambio[Actualización]))</f>
        <v>0</v>
      </c>
      <c r="AO40" s="1000">
        <f>IF(ISNUMBER(Producción_Lecheria[[#This Row],[Fecha Financiero]])=TRUE,MONTH(Producción_Lecheria[[#This Row],[Fecha Financiero]]),0)</f>
        <v>0</v>
      </c>
      <c r="AP40" s="1000">
        <f>IF(ISNUMBER(Producción_Lecheria[[#This Row],[Fecha Financiero]])=TRUE,YEAR(Producción_Lecheria[[#This Row],[Fecha Financiero]]),0)</f>
        <v>0</v>
      </c>
      <c r="AQ40" s="1007">
        <f>SUMPRODUCT((Producción_Lecheria[[#This Row],[Mes Financiero]]=Tipo_Cambio[Mes])*(Producción_Lecheria[[#This Row],[Año Financiero]]=Tipo_Cambio[Año])*(Tipo_Cambio[$/U$S]))</f>
        <v>0</v>
      </c>
      <c r="AR40" s="1007">
        <f>SUMPRODUCT((Producción_Lecheria[[#This Row],[Mes Financiero]]=Tipo_Cambio[Mes])*(Producción_Lecheria[[#This Row],[Año Financiero]]=Tipo_Cambio[Año])*(Tipo_Cambio[Actualización]))</f>
        <v>0</v>
      </c>
      <c r="AS40" s="1008">
        <f>SUMPRODUCT((Producción_Lecheria[[#This Row],[Centro de Costo]]=Tabla1924[Centro de Costo])*(Tabla19[Superficie]))</f>
        <v>2356</v>
      </c>
      <c r="AT40" s="1007">
        <f>IFERROR(Producción_Lecheria[[#This Row],[Económico $Corrientes]]/Producción_Lecheria[[#This Row],[Superficie]],0)</f>
        <v>0</v>
      </c>
      <c r="AU40" s="1007">
        <f>IFERROR(Producción_Lecheria[[#This Row],[Económico $Constantes]]/Producción_Lecheria[[#This Row],[Superficie]],0)</f>
        <v>0</v>
      </c>
      <c r="AV40" s="1007">
        <f>IFERROR(Producción_Lecheria[[#This Row],[Económico U$S Dólares]]/Producción_Lecheria[[#This Row],[Superficie]],0)</f>
        <v>0</v>
      </c>
      <c r="AW40" s="1005" t="str">
        <f>IF(Económico!$F$4=0,0,Producción_Lecheria[Centro de Costo])</f>
        <v>Campo 1</v>
      </c>
    </row>
    <row r="41" spans="1:49" x14ac:dyDescent="0.25">
      <c r="B41" s="1136"/>
      <c r="D41" s="478"/>
      <c r="E41" s="478"/>
      <c r="F41" s="479" t="str">
        <f t="shared" si="0"/>
        <v>2018-2019</v>
      </c>
      <c r="G41" s="480" t="str">
        <f t="shared" si="4"/>
        <v>Salida Traslados</v>
      </c>
      <c r="H41" s="481" t="s">
        <v>2</v>
      </c>
      <c r="I41" s="481"/>
      <c r="J41" s="549"/>
      <c r="K41" s="481"/>
      <c r="L41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4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41" s="520"/>
      <c r="O41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41" s="483"/>
      <c r="Q41" s="491"/>
      <c r="R41" s="875">
        <f>IF(ISNUMBER(Producción_Lecheria[[#This Row],[Cabezas]])=TRUE,Producción_Lecheria[[#This Row],[Cabezas]]*Producción_Lecheria[[#This Row],[Cantidad]],Producción_Lecheria[[#This Row],[Cantidad]])</f>
        <v>0</v>
      </c>
      <c r="S41" s="491"/>
      <c r="T41" s="483" t="s">
        <v>48</v>
      </c>
      <c r="U41" s="485"/>
      <c r="V41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41" s="977">
        <f>IFERROR(Producción_Lecheria[[#This Row],[Económico $Corrientes]]/Producción_Lecheria[[#This Row],[Indexación Económico]],0)</f>
        <v>0</v>
      </c>
      <c r="X4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4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41" s="977">
        <f>IFERROR(Producción_Lecheria[[#This Row],[Financiero $Corrientes]]/Producción_Lecheria[[#This Row],[Indexación Financiero]],0)</f>
        <v>0</v>
      </c>
      <c r="AA41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4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41" s="981">
        <f>IFERROR(Producción_Lecheria[[#This Row],[Intereses $Corrientes]]/Producción_Lecheria[[#This Row],[Indexación Financiero]],0)</f>
        <v>0</v>
      </c>
      <c r="AD4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41" s="982" t="str">
        <f>IFERROR(INDEX(Produccion_Lecheria_Cuentas[],MATCH(Producción_Lecheria[[#This Row],[Cuenta Contable]],Produccion_Lecheria_Cuentas[Cuenta Contable],0),2),0)</f>
        <v>Mov. Hacienda</v>
      </c>
      <c r="AF41" s="983">
        <f>IF(Producción_Lecheria[[#This Row],[Mov. Stock]]="(+)",Producción_Lecheria[[#This Row],[Cabezas]],IF(Producción_Lecheria[[#This Row],[Mov. Stock]]="(-)",-Producción_Lecheria[[#This Row],[Cabezas]],0))</f>
        <v>0</v>
      </c>
      <c r="AG41" s="984" t="str">
        <f>IFERROR(INDEX(Produccion_Lecheria_Cuentas[],MATCH(Producción_Lecheria[[#This Row],[Cuenta Contable]],Produccion_Lecheria_Cuentas[Cuenta Contable],0),5),0)</f>
        <v>(-)</v>
      </c>
      <c r="AH41" s="985" t="str">
        <f>IF(Producción_Lecheria[[#This Row],[Cuenta Contable]]=Configuración!$AC$9,"Si","No")</f>
        <v>No</v>
      </c>
      <c r="AI41" s="983" t="str">
        <f>IFERROR(INDEX(Tabla9[],MATCH(Producción_Lecheria[[#This Row],[Movimiento]],Tabla9[Movimientos],0),2),0)</f>
        <v>No</v>
      </c>
      <c r="AJ41" s="984">
        <f>IFERROR(INDEX(Tabla9[],MATCH(Producción_Lecheria[[#This Row],[Movimiento]],Tabla9[Movimientos],0),3),0)</f>
        <v>0</v>
      </c>
      <c r="AK41" s="986">
        <f>IF(Producción_Lecheria[[#This Row],[Fecha Económico]]=0,0,MONTH(Producción_Lecheria[[#This Row],[Fecha Económico]]))</f>
        <v>0</v>
      </c>
      <c r="AL41" s="986">
        <f>IF(Producción_Lecheria[[#This Row],[Fecha Económico]]=0,0,YEAR(Producción_Lecheria[[#This Row],[Fecha Económico]]))</f>
        <v>0</v>
      </c>
      <c r="AM41" s="987">
        <f>SUMPRODUCT((Producción_Lecheria[[#This Row],[Mes Económico]]=Tipo_Cambio[Mes])*(Producción_Lecheria[[#This Row],[Año Económico]]=Tipo_Cambio[Año])*(Tipo_Cambio[$/U$S]))</f>
        <v>0</v>
      </c>
      <c r="AN41" s="987">
        <f>SUMPRODUCT((Producción_Lecheria[[#This Row],[Mes Económico]]=Tipo_Cambio[Mes])*(Producción_Lecheria[[#This Row],[Año Económico]]=Tipo_Cambio[Año])*(Tipo_Cambio[Actualización]))</f>
        <v>0</v>
      </c>
      <c r="AO41" s="986">
        <f>IF(ISNUMBER(Producción_Lecheria[[#This Row],[Fecha Financiero]])=TRUE,MONTH(Producción_Lecheria[[#This Row],[Fecha Financiero]]),0)</f>
        <v>0</v>
      </c>
      <c r="AP41" s="986">
        <f>IF(ISNUMBER(Producción_Lecheria[[#This Row],[Fecha Financiero]])=TRUE,YEAR(Producción_Lecheria[[#This Row],[Fecha Financiero]]),0)</f>
        <v>0</v>
      </c>
      <c r="AQ41" s="987">
        <f>SUMPRODUCT((Producción_Lecheria[[#This Row],[Mes Financiero]]=Tipo_Cambio[Mes])*(Producción_Lecheria[[#This Row],[Año Financiero]]=Tipo_Cambio[Año])*(Tipo_Cambio[$/U$S]))</f>
        <v>0</v>
      </c>
      <c r="AR41" s="987">
        <f>SUMPRODUCT((Producción_Lecheria[[#This Row],[Mes Financiero]]=Tipo_Cambio[Mes])*(Producción_Lecheria[[#This Row],[Año Financiero]]=Tipo_Cambio[Año])*(Tipo_Cambio[Actualización]))</f>
        <v>0</v>
      </c>
      <c r="AS41" s="988">
        <f>SUMPRODUCT((Producción_Lecheria[[#This Row],[Centro de Costo]]=Tabla1924[Centro de Costo])*(Tabla19[Superficie]))</f>
        <v>2356</v>
      </c>
      <c r="AT41" s="987">
        <f>IFERROR(Producción_Lecheria[[#This Row],[Económico $Corrientes]]/Producción_Lecheria[[#This Row],[Superficie]],0)</f>
        <v>0</v>
      </c>
      <c r="AU41" s="987">
        <f>IFERROR(Producción_Lecheria[[#This Row],[Económico $Constantes]]/Producción_Lecheria[[#This Row],[Superficie]],0)</f>
        <v>0</v>
      </c>
      <c r="AV41" s="987">
        <f>IFERROR(Producción_Lecheria[[#This Row],[Económico U$S Dólares]]/Producción_Lecheria[[#This Row],[Superficie]],0)</f>
        <v>0</v>
      </c>
      <c r="AW41" s="983" t="str">
        <f>IF(Económico!$F$4=0,0,Producción_Lecheria[Centro de Costo])</f>
        <v>Campo 1</v>
      </c>
    </row>
    <row r="42" spans="1:49" x14ac:dyDescent="0.25">
      <c r="B42" s="1136"/>
      <c r="D42" s="478"/>
      <c r="E42" s="478"/>
      <c r="F42" s="479" t="str">
        <f t="shared" si="0"/>
        <v>2018-2019</v>
      </c>
      <c r="G42" s="480" t="str">
        <f t="shared" si="4"/>
        <v>Salida Traslados</v>
      </c>
      <c r="H42" s="481" t="s">
        <v>2</v>
      </c>
      <c r="I42" s="481"/>
      <c r="J42" s="549"/>
      <c r="K42" s="481"/>
      <c r="L42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4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42" s="520"/>
      <c r="O42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42" s="483"/>
      <c r="Q42" s="491"/>
      <c r="R42" s="875">
        <f>IF(ISNUMBER(Producción_Lecheria[[#This Row],[Cabezas]])=TRUE,Producción_Lecheria[[#This Row],[Cabezas]]*Producción_Lecheria[[#This Row],[Cantidad]],Producción_Lecheria[[#This Row],[Cantidad]])</f>
        <v>0</v>
      </c>
      <c r="S42" s="491"/>
      <c r="T42" s="483" t="s">
        <v>48</v>
      </c>
      <c r="U42" s="485"/>
      <c r="V42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42" s="977">
        <f>IFERROR(Producción_Lecheria[[#This Row],[Económico $Corrientes]]/Producción_Lecheria[[#This Row],[Indexación Económico]],0)</f>
        <v>0</v>
      </c>
      <c r="X4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4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42" s="977">
        <f>IFERROR(Producción_Lecheria[[#This Row],[Financiero $Corrientes]]/Producción_Lecheria[[#This Row],[Indexación Financiero]],0)</f>
        <v>0</v>
      </c>
      <c r="AA42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4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42" s="981">
        <f>IFERROR(Producción_Lecheria[[#This Row],[Intereses $Corrientes]]/Producción_Lecheria[[#This Row],[Indexación Financiero]],0)</f>
        <v>0</v>
      </c>
      <c r="AD4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42" s="982" t="str">
        <f>IFERROR(INDEX(Produccion_Lecheria_Cuentas[],MATCH(Producción_Lecheria[[#This Row],[Cuenta Contable]],Produccion_Lecheria_Cuentas[Cuenta Contable],0),2),0)</f>
        <v>Mov. Hacienda</v>
      </c>
      <c r="AF42" s="983">
        <f>IF(Producción_Lecheria[[#This Row],[Mov. Stock]]="(+)",Producción_Lecheria[[#This Row],[Cabezas]],IF(Producción_Lecheria[[#This Row],[Mov. Stock]]="(-)",-Producción_Lecheria[[#This Row],[Cabezas]],0))</f>
        <v>0</v>
      </c>
      <c r="AG42" s="984" t="str">
        <f>IFERROR(INDEX(Produccion_Lecheria_Cuentas[],MATCH(Producción_Lecheria[[#This Row],[Cuenta Contable]],Produccion_Lecheria_Cuentas[Cuenta Contable],0),5),0)</f>
        <v>(-)</v>
      </c>
      <c r="AH42" s="985" t="str">
        <f>IF(Producción_Lecheria[[#This Row],[Cuenta Contable]]=Configuración!$AC$9,"Si","No")</f>
        <v>No</v>
      </c>
      <c r="AI42" s="983" t="str">
        <f>IFERROR(INDEX(Tabla9[],MATCH(Producción_Lecheria[[#This Row],[Movimiento]],Tabla9[Movimientos],0),2),0)</f>
        <v>No</v>
      </c>
      <c r="AJ42" s="984">
        <f>IFERROR(INDEX(Tabla9[],MATCH(Producción_Lecheria[[#This Row],[Movimiento]],Tabla9[Movimientos],0),3),0)</f>
        <v>0</v>
      </c>
      <c r="AK42" s="986">
        <f>IF(Producción_Lecheria[[#This Row],[Fecha Económico]]=0,0,MONTH(Producción_Lecheria[[#This Row],[Fecha Económico]]))</f>
        <v>0</v>
      </c>
      <c r="AL42" s="986">
        <f>IF(Producción_Lecheria[[#This Row],[Fecha Económico]]=0,0,YEAR(Producción_Lecheria[[#This Row],[Fecha Económico]]))</f>
        <v>0</v>
      </c>
      <c r="AM42" s="987">
        <f>SUMPRODUCT((Producción_Lecheria[[#This Row],[Mes Económico]]=Tipo_Cambio[Mes])*(Producción_Lecheria[[#This Row],[Año Económico]]=Tipo_Cambio[Año])*(Tipo_Cambio[$/U$S]))</f>
        <v>0</v>
      </c>
      <c r="AN42" s="987">
        <f>SUMPRODUCT((Producción_Lecheria[[#This Row],[Mes Económico]]=Tipo_Cambio[Mes])*(Producción_Lecheria[[#This Row],[Año Económico]]=Tipo_Cambio[Año])*(Tipo_Cambio[Actualización]))</f>
        <v>0</v>
      </c>
      <c r="AO42" s="986">
        <f>IF(ISNUMBER(Producción_Lecheria[[#This Row],[Fecha Financiero]])=TRUE,MONTH(Producción_Lecheria[[#This Row],[Fecha Financiero]]),0)</f>
        <v>0</v>
      </c>
      <c r="AP42" s="986">
        <f>IF(ISNUMBER(Producción_Lecheria[[#This Row],[Fecha Financiero]])=TRUE,YEAR(Producción_Lecheria[[#This Row],[Fecha Financiero]]),0)</f>
        <v>0</v>
      </c>
      <c r="AQ42" s="987">
        <f>SUMPRODUCT((Producción_Lecheria[[#This Row],[Mes Financiero]]=Tipo_Cambio[Mes])*(Producción_Lecheria[[#This Row],[Año Financiero]]=Tipo_Cambio[Año])*(Tipo_Cambio[$/U$S]))</f>
        <v>0</v>
      </c>
      <c r="AR42" s="987">
        <f>SUMPRODUCT((Producción_Lecheria[[#This Row],[Mes Financiero]]=Tipo_Cambio[Mes])*(Producción_Lecheria[[#This Row],[Año Financiero]]=Tipo_Cambio[Año])*(Tipo_Cambio[Actualización]))</f>
        <v>0</v>
      </c>
      <c r="AS42" s="988">
        <f>SUMPRODUCT((Producción_Lecheria[[#This Row],[Centro de Costo]]=Tabla1924[Centro de Costo])*(Tabla19[Superficie]))</f>
        <v>2356</v>
      </c>
      <c r="AT42" s="987">
        <f>IFERROR(Producción_Lecheria[[#This Row],[Económico $Corrientes]]/Producción_Lecheria[[#This Row],[Superficie]],0)</f>
        <v>0</v>
      </c>
      <c r="AU42" s="987">
        <f>IFERROR(Producción_Lecheria[[#This Row],[Económico $Constantes]]/Producción_Lecheria[[#This Row],[Superficie]],0)</f>
        <v>0</v>
      </c>
      <c r="AV42" s="987">
        <f>IFERROR(Producción_Lecheria[[#This Row],[Económico U$S Dólares]]/Producción_Lecheria[[#This Row],[Superficie]],0)</f>
        <v>0</v>
      </c>
      <c r="AW42" s="983" t="str">
        <f>IF(Económico!$F$4=0,0,Producción_Lecheria[Centro de Costo])</f>
        <v>Campo 1</v>
      </c>
    </row>
    <row r="43" spans="1:49" x14ac:dyDescent="0.25">
      <c r="D43" s="478"/>
      <c r="E43" s="478"/>
      <c r="F43" s="479" t="str">
        <f t="shared" si="0"/>
        <v>2018-2019</v>
      </c>
      <c r="G43" s="480" t="str">
        <f t="shared" si="4"/>
        <v>Salida Traslados</v>
      </c>
      <c r="H43" s="481" t="s">
        <v>2</v>
      </c>
      <c r="I43" s="481"/>
      <c r="J43" s="549"/>
      <c r="K43" s="481"/>
      <c r="L43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4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43" s="520"/>
      <c r="O43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43" s="483"/>
      <c r="Q43" s="491"/>
      <c r="R43" s="875">
        <f>IF(ISNUMBER(Producción_Lecheria[[#This Row],[Cabezas]])=TRUE,Producción_Lecheria[[#This Row],[Cabezas]]*Producción_Lecheria[[#This Row],[Cantidad]],Producción_Lecheria[[#This Row],[Cantidad]])</f>
        <v>0</v>
      </c>
      <c r="S43" s="491"/>
      <c r="T43" s="483" t="s">
        <v>48</v>
      </c>
      <c r="U43" s="485"/>
      <c r="V43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43" s="977">
        <f>IFERROR(Producción_Lecheria[[#This Row],[Económico $Corrientes]]/Producción_Lecheria[[#This Row],[Indexación Económico]],0)</f>
        <v>0</v>
      </c>
      <c r="X4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4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43" s="977">
        <f>IFERROR(Producción_Lecheria[[#This Row],[Financiero $Corrientes]]/Producción_Lecheria[[#This Row],[Indexación Financiero]],0)</f>
        <v>0</v>
      </c>
      <c r="AA43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4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43" s="981">
        <f>IFERROR(Producción_Lecheria[[#This Row],[Intereses $Corrientes]]/Producción_Lecheria[[#This Row],[Indexación Financiero]],0)</f>
        <v>0</v>
      </c>
      <c r="AD4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43" s="982" t="str">
        <f>IFERROR(INDEX(Produccion_Lecheria_Cuentas[],MATCH(Producción_Lecheria[[#This Row],[Cuenta Contable]],Produccion_Lecheria_Cuentas[Cuenta Contable],0),2),0)</f>
        <v>Mov. Hacienda</v>
      </c>
      <c r="AF43" s="983">
        <f>IF(Producción_Lecheria[[#This Row],[Mov. Stock]]="(+)",Producción_Lecheria[[#This Row],[Cabezas]],IF(Producción_Lecheria[[#This Row],[Mov. Stock]]="(-)",-Producción_Lecheria[[#This Row],[Cabezas]],0))</f>
        <v>0</v>
      </c>
      <c r="AG43" s="984" t="str">
        <f>IFERROR(INDEX(Produccion_Lecheria_Cuentas[],MATCH(Producción_Lecheria[[#This Row],[Cuenta Contable]],Produccion_Lecheria_Cuentas[Cuenta Contable],0),5),0)</f>
        <v>(-)</v>
      </c>
      <c r="AH43" s="985" t="str">
        <f>IF(Producción_Lecheria[[#This Row],[Cuenta Contable]]=Configuración!$AC$9,"Si","No")</f>
        <v>No</v>
      </c>
      <c r="AI43" s="983" t="str">
        <f>IFERROR(INDEX(Tabla9[],MATCH(Producción_Lecheria[[#This Row],[Movimiento]],Tabla9[Movimientos],0),2),0)</f>
        <v>No</v>
      </c>
      <c r="AJ43" s="984">
        <f>IFERROR(INDEX(Tabla9[],MATCH(Producción_Lecheria[[#This Row],[Movimiento]],Tabla9[Movimientos],0),3),0)</f>
        <v>0</v>
      </c>
      <c r="AK43" s="986">
        <f>IF(Producción_Lecheria[[#This Row],[Fecha Económico]]=0,0,MONTH(Producción_Lecheria[[#This Row],[Fecha Económico]]))</f>
        <v>0</v>
      </c>
      <c r="AL43" s="986">
        <f>IF(Producción_Lecheria[[#This Row],[Fecha Económico]]=0,0,YEAR(Producción_Lecheria[[#This Row],[Fecha Económico]]))</f>
        <v>0</v>
      </c>
      <c r="AM43" s="987">
        <f>SUMPRODUCT((Producción_Lecheria[[#This Row],[Mes Económico]]=Tipo_Cambio[Mes])*(Producción_Lecheria[[#This Row],[Año Económico]]=Tipo_Cambio[Año])*(Tipo_Cambio[$/U$S]))</f>
        <v>0</v>
      </c>
      <c r="AN43" s="987">
        <f>SUMPRODUCT((Producción_Lecheria[[#This Row],[Mes Económico]]=Tipo_Cambio[Mes])*(Producción_Lecheria[[#This Row],[Año Económico]]=Tipo_Cambio[Año])*(Tipo_Cambio[Actualización]))</f>
        <v>0</v>
      </c>
      <c r="AO43" s="986">
        <f>IF(ISNUMBER(Producción_Lecheria[[#This Row],[Fecha Financiero]])=TRUE,MONTH(Producción_Lecheria[[#This Row],[Fecha Financiero]]),0)</f>
        <v>0</v>
      </c>
      <c r="AP43" s="986">
        <f>IF(ISNUMBER(Producción_Lecheria[[#This Row],[Fecha Financiero]])=TRUE,YEAR(Producción_Lecheria[[#This Row],[Fecha Financiero]]),0)</f>
        <v>0</v>
      </c>
      <c r="AQ43" s="987">
        <f>SUMPRODUCT((Producción_Lecheria[[#This Row],[Mes Financiero]]=Tipo_Cambio[Mes])*(Producción_Lecheria[[#This Row],[Año Financiero]]=Tipo_Cambio[Año])*(Tipo_Cambio[$/U$S]))</f>
        <v>0</v>
      </c>
      <c r="AR43" s="987">
        <f>SUMPRODUCT((Producción_Lecheria[[#This Row],[Mes Financiero]]=Tipo_Cambio[Mes])*(Producción_Lecheria[[#This Row],[Año Financiero]]=Tipo_Cambio[Año])*(Tipo_Cambio[Actualización]))</f>
        <v>0</v>
      </c>
      <c r="AS43" s="988">
        <f>SUMPRODUCT((Producción_Lecheria[[#This Row],[Centro de Costo]]=Tabla1924[Centro de Costo])*(Tabla19[Superficie]))</f>
        <v>2356</v>
      </c>
      <c r="AT43" s="987">
        <f>IFERROR(Producción_Lecheria[[#This Row],[Económico $Corrientes]]/Producción_Lecheria[[#This Row],[Superficie]],0)</f>
        <v>0</v>
      </c>
      <c r="AU43" s="987">
        <f>IFERROR(Producción_Lecheria[[#This Row],[Económico $Constantes]]/Producción_Lecheria[[#This Row],[Superficie]],0)</f>
        <v>0</v>
      </c>
      <c r="AV43" s="987">
        <f>IFERROR(Producción_Lecheria[[#This Row],[Económico U$S Dólares]]/Producción_Lecheria[[#This Row],[Superficie]],0)</f>
        <v>0</v>
      </c>
      <c r="AW43" s="983" t="str">
        <f>IF(Económico!$F$4=0,0,Producción_Lecheria[Centro de Costo])</f>
        <v>Campo 1</v>
      </c>
    </row>
    <row r="44" spans="1:49" x14ac:dyDescent="0.25">
      <c r="D44" s="478"/>
      <c r="E44" s="478"/>
      <c r="F44" s="479" t="str">
        <f t="shared" si="0"/>
        <v>2018-2019</v>
      </c>
      <c r="G44" s="490" t="str">
        <f t="shared" si="4"/>
        <v>Salida Traslados</v>
      </c>
      <c r="H44" s="491" t="s">
        <v>2</v>
      </c>
      <c r="I44" s="481"/>
      <c r="J44" s="549"/>
      <c r="K44" s="491"/>
      <c r="L44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4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44" s="520"/>
      <c r="O44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44" s="483"/>
      <c r="Q44" s="491"/>
      <c r="R44" s="875">
        <f>IF(ISNUMBER(Producción_Lecheria[[#This Row],[Cabezas]])=TRUE,Producción_Lecheria[[#This Row],[Cabezas]]*Producción_Lecheria[[#This Row],[Cantidad]],Producción_Lecheria[[#This Row],[Cantidad]])</f>
        <v>0</v>
      </c>
      <c r="S44" s="491"/>
      <c r="T44" s="483" t="s">
        <v>48</v>
      </c>
      <c r="U44" s="485"/>
      <c r="V44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44" s="977">
        <f>IFERROR(Producción_Lecheria[[#This Row],[Económico $Corrientes]]/Producción_Lecheria[[#This Row],[Indexación Económico]],0)</f>
        <v>0</v>
      </c>
      <c r="X4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4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44" s="977">
        <f>IFERROR(Producción_Lecheria[[#This Row],[Financiero $Corrientes]]/Producción_Lecheria[[#This Row],[Indexación Financiero]],0)</f>
        <v>0</v>
      </c>
      <c r="AA44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4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44" s="981">
        <f>IFERROR(Producción_Lecheria[[#This Row],[Intereses $Corrientes]]/Producción_Lecheria[[#This Row],[Indexación Financiero]],0)</f>
        <v>0</v>
      </c>
      <c r="AD4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44" s="982" t="str">
        <f>IFERROR(INDEX(Produccion_Lecheria_Cuentas[],MATCH(Producción_Lecheria[[#This Row],[Cuenta Contable]],Produccion_Lecheria_Cuentas[Cuenta Contable],0),2),0)</f>
        <v>Mov. Hacienda</v>
      </c>
      <c r="AF44" s="983">
        <f>IF(Producción_Lecheria[[#This Row],[Mov. Stock]]="(+)",Producción_Lecheria[[#This Row],[Cabezas]],IF(Producción_Lecheria[[#This Row],[Mov. Stock]]="(-)",-Producción_Lecheria[[#This Row],[Cabezas]],0))</f>
        <v>0</v>
      </c>
      <c r="AG44" s="984" t="str">
        <f>IFERROR(INDEX(Produccion_Lecheria_Cuentas[],MATCH(Producción_Lecheria[[#This Row],[Cuenta Contable]],Produccion_Lecheria_Cuentas[Cuenta Contable],0),5),0)</f>
        <v>(-)</v>
      </c>
      <c r="AH44" s="985" t="str">
        <f>IF(Producción_Lecheria[[#This Row],[Cuenta Contable]]=Configuración!$AC$9,"Si","No")</f>
        <v>No</v>
      </c>
      <c r="AI44" s="983" t="str">
        <f>IFERROR(INDEX(Tabla9[],MATCH(Producción_Lecheria[[#This Row],[Movimiento]],Tabla9[Movimientos],0),2),0)</f>
        <v>No</v>
      </c>
      <c r="AJ44" s="984">
        <f>IFERROR(INDEX(Tabla9[],MATCH(Producción_Lecheria[[#This Row],[Movimiento]],Tabla9[Movimientos],0),3),0)</f>
        <v>0</v>
      </c>
      <c r="AK44" s="981">
        <f>IF(Producción_Lecheria[[#This Row],[Fecha Económico]]=0,0,MONTH(Producción_Lecheria[[#This Row],[Fecha Económico]]))</f>
        <v>0</v>
      </c>
      <c r="AL44" s="981">
        <f>IF(Producción_Lecheria[[#This Row],[Fecha Económico]]=0,0,YEAR(Producción_Lecheria[[#This Row],[Fecha Económico]]))</f>
        <v>0</v>
      </c>
      <c r="AM44" s="985">
        <f>SUMPRODUCT((Producción_Lecheria[[#This Row],[Mes Económico]]=Tipo_Cambio[Mes])*(Producción_Lecheria[[#This Row],[Año Económico]]=Tipo_Cambio[Año])*(Tipo_Cambio[$/U$S]))</f>
        <v>0</v>
      </c>
      <c r="AN44" s="985">
        <f>SUMPRODUCT((Producción_Lecheria[[#This Row],[Mes Económico]]=Tipo_Cambio[Mes])*(Producción_Lecheria[[#This Row],[Año Económico]]=Tipo_Cambio[Año])*(Tipo_Cambio[Actualización]))</f>
        <v>0</v>
      </c>
      <c r="AO44" s="981">
        <f>IF(ISNUMBER(Producción_Lecheria[[#This Row],[Fecha Financiero]])=TRUE,MONTH(Producción_Lecheria[[#This Row],[Fecha Financiero]]),0)</f>
        <v>0</v>
      </c>
      <c r="AP44" s="981">
        <f>IF(ISNUMBER(Producción_Lecheria[[#This Row],[Fecha Financiero]])=TRUE,YEAR(Producción_Lecheria[[#This Row],[Fecha Financiero]]),0)</f>
        <v>0</v>
      </c>
      <c r="AQ44" s="985">
        <f>SUMPRODUCT((Producción_Lecheria[[#This Row],[Mes Financiero]]=Tipo_Cambio[Mes])*(Producción_Lecheria[[#This Row],[Año Financiero]]=Tipo_Cambio[Año])*(Tipo_Cambio[$/U$S]))</f>
        <v>0</v>
      </c>
      <c r="AR44" s="985">
        <f>SUMPRODUCT((Producción_Lecheria[[#This Row],[Mes Financiero]]=Tipo_Cambio[Mes])*(Producción_Lecheria[[#This Row],[Año Financiero]]=Tipo_Cambio[Año])*(Tipo_Cambio[Actualización]))</f>
        <v>0</v>
      </c>
      <c r="AS44" s="988">
        <f>SUMPRODUCT((Producción_Lecheria[[#This Row],[Centro de Costo]]=Tabla1924[Centro de Costo])*(Tabla19[Superficie]))</f>
        <v>2356</v>
      </c>
      <c r="AT44" s="987">
        <f>IFERROR(Producción_Lecheria[[#This Row],[Económico $Corrientes]]/Producción_Lecheria[[#This Row],[Superficie]],0)</f>
        <v>0</v>
      </c>
      <c r="AU44" s="987">
        <f>IFERROR(Producción_Lecheria[[#This Row],[Económico $Constantes]]/Producción_Lecheria[[#This Row],[Superficie]],0)</f>
        <v>0</v>
      </c>
      <c r="AV44" s="987">
        <f>IFERROR(Producción_Lecheria[[#This Row],[Económico U$S Dólares]]/Producción_Lecheria[[#This Row],[Superficie]],0)</f>
        <v>0</v>
      </c>
      <c r="AW44" s="983" t="str">
        <f>IF(Económico!$F$4=0,0,Producción_Lecheria[Centro de Costo])</f>
        <v>Campo 1</v>
      </c>
    </row>
    <row r="45" spans="1:49" x14ac:dyDescent="0.25">
      <c r="D45" s="478"/>
      <c r="E45" s="522"/>
      <c r="F45" s="479" t="str">
        <f>Campaña_Actual</f>
        <v>2018-2019</v>
      </c>
      <c r="G45" s="490" t="str">
        <f t="shared" si="4"/>
        <v>Salida Traslados</v>
      </c>
      <c r="H45" s="491" t="s">
        <v>2</v>
      </c>
      <c r="I45" s="481"/>
      <c r="J45" s="549"/>
      <c r="K45" s="484"/>
      <c r="L4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4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45" s="520"/>
      <c r="O4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45" s="563"/>
      <c r="Q45" s="491"/>
      <c r="R45" s="875">
        <f>IF(ISNUMBER(Producción_Lecheria[[#This Row],[Cabezas]])=TRUE,Producción_Lecheria[[#This Row],[Cabezas]]*Producción_Lecheria[[#This Row],[Cantidad]],Producción_Lecheria[[#This Row],[Cantidad]])</f>
        <v>0</v>
      </c>
      <c r="S45" s="491"/>
      <c r="T45" s="552" t="s">
        <v>48</v>
      </c>
      <c r="U45" s="553"/>
      <c r="V4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45" s="977">
        <f>IFERROR(Producción_Lecheria[[#This Row],[Económico $Corrientes]]/Producción_Lecheria[[#This Row],[Indexación Económico]],0)</f>
        <v>0</v>
      </c>
      <c r="X4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4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45" s="977">
        <f>IFERROR(Producción_Lecheria[[#This Row],[Financiero $Corrientes]]/Producción_Lecheria[[#This Row],[Indexación Financiero]],0)</f>
        <v>0</v>
      </c>
      <c r="AA4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4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45" s="981">
        <f>IFERROR(Producción_Lecheria[[#This Row],[Intereses $Corrientes]]/Producción_Lecheria[[#This Row],[Indexación Financiero]],0)</f>
        <v>0</v>
      </c>
      <c r="AD4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45" s="991" t="str">
        <f>IFERROR(INDEX(Produccion_Lecheria_Cuentas[],MATCH(Producción_Lecheria[[#This Row],[Cuenta Contable]],Produccion_Lecheria_Cuentas[Cuenta Contable],0),2),0)</f>
        <v>Mov. Hacienda</v>
      </c>
      <c r="AF45" s="992">
        <f>IF(Producción_Lecheria[[#This Row],[Mov. Stock]]="(+)",Producción_Lecheria[[#This Row],[Cabezas]],IF(Producción_Lecheria[[#This Row],[Mov. Stock]]="(-)",-Producción_Lecheria[[#This Row],[Cabezas]],0))</f>
        <v>0</v>
      </c>
      <c r="AG45" s="993" t="str">
        <f>IFERROR(INDEX(Produccion_Lecheria_Cuentas[],MATCH(Producción_Lecheria[[#This Row],[Cuenta Contable]],Produccion_Lecheria_Cuentas[Cuenta Contable],0),5),0)</f>
        <v>(-)</v>
      </c>
      <c r="AH45" s="985" t="str">
        <f>IF(Producción_Lecheria[[#This Row],[Cuenta Contable]]=Configuración!$AC$9,"Si","No")</f>
        <v>No</v>
      </c>
      <c r="AI45" s="983" t="str">
        <f>IFERROR(INDEX(Tabla9[],MATCH(Producción_Lecheria[[#This Row],[Movimiento]],Tabla9[Movimientos],0),2),0)</f>
        <v>No</v>
      </c>
      <c r="AJ45" s="984">
        <f>IFERROR(INDEX(Tabla9[],MATCH(Producción_Lecheria[[#This Row],[Movimiento]],Tabla9[Movimientos],0),3),0)</f>
        <v>0</v>
      </c>
      <c r="AK45" s="981">
        <f>IF(Producción_Lecheria[[#This Row],[Fecha Económico]]=0,0,MONTH(Producción_Lecheria[[#This Row],[Fecha Económico]]))</f>
        <v>0</v>
      </c>
      <c r="AL45" s="981">
        <f>IF(Producción_Lecheria[[#This Row],[Fecha Económico]]=0,0,YEAR(Producción_Lecheria[[#This Row],[Fecha Económico]]))</f>
        <v>0</v>
      </c>
      <c r="AM45" s="985">
        <f>SUMPRODUCT((Producción_Lecheria[[#This Row],[Mes Económico]]=Tipo_Cambio[Mes])*(Producción_Lecheria[[#This Row],[Año Económico]]=Tipo_Cambio[Año])*(Tipo_Cambio[$/U$S]))</f>
        <v>0</v>
      </c>
      <c r="AN45" s="985">
        <f>SUMPRODUCT((Producción_Lecheria[[#This Row],[Mes Económico]]=Tipo_Cambio[Mes])*(Producción_Lecheria[[#This Row],[Año Económico]]=Tipo_Cambio[Año])*(Tipo_Cambio[Actualización]))</f>
        <v>0</v>
      </c>
      <c r="AO45" s="981">
        <f>IF(ISNUMBER(Producción_Lecheria[[#This Row],[Fecha Financiero]])=TRUE,MONTH(Producción_Lecheria[[#This Row],[Fecha Financiero]]),0)</f>
        <v>0</v>
      </c>
      <c r="AP45" s="981">
        <f>IF(ISNUMBER(Producción_Lecheria[[#This Row],[Fecha Financiero]])=TRUE,YEAR(Producción_Lecheria[[#This Row],[Fecha Financiero]]),0)</f>
        <v>0</v>
      </c>
      <c r="AQ45" s="985">
        <f>SUMPRODUCT((Producción_Lecheria[[#This Row],[Mes Financiero]]=Tipo_Cambio[Mes])*(Producción_Lecheria[[#This Row],[Año Financiero]]=Tipo_Cambio[Año])*(Tipo_Cambio[$/U$S]))</f>
        <v>0</v>
      </c>
      <c r="AR45" s="985">
        <f>SUMPRODUCT((Producción_Lecheria[[#This Row],[Mes Financiero]]=Tipo_Cambio[Mes])*(Producción_Lecheria[[#This Row],[Año Financiero]]=Tipo_Cambio[Año])*(Tipo_Cambio[Actualización]))</f>
        <v>0</v>
      </c>
      <c r="AS45" s="1009">
        <f>SUMPRODUCT((Producción_Lecheria[[#This Row],[Centro de Costo]]=Tabla1924[Centro de Costo])*(Tabla19[Superficie]))</f>
        <v>2356</v>
      </c>
      <c r="AT45" s="1010">
        <f>IFERROR(Producción_Lecheria[[#This Row],[Económico $Corrientes]]/Producción_Lecheria[[#This Row],[Superficie]],0)</f>
        <v>0</v>
      </c>
      <c r="AU45" s="1010">
        <f>IFERROR(Producción_Lecheria[[#This Row],[Económico $Constantes]]/Producción_Lecheria[[#This Row],[Superficie]],0)</f>
        <v>0</v>
      </c>
      <c r="AV45" s="1010">
        <f>IFERROR(Producción_Lecheria[[#This Row],[Económico U$S Dólares]]/Producción_Lecheria[[#This Row],[Superficie]],0)</f>
        <v>0</v>
      </c>
      <c r="AW45" s="992" t="str">
        <f>IF(Económico!$F$4=0,0,Producción_Lecheria[Centro de Costo])</f>
        <v>Campo 1</v>
      </c>
    </row>
    <row r="46" spans="1:49" ht="15.75" thickBot="1" x14ac:dyDescent="0.3">
      <c r="B46" s="373" t="s">
        <v>101</v>
      </c>
      <c r="C46" s="70"/>
      <c r="D46" s="564"/>
      <c r="E46" s="564"/>
      <c r="F46" s="566" t="str">
        <f t="shared" si="0"/>
        <v>2018-2019</v>
      </c>
      <c r="G46" s="574" t="str">
        <f t="shared" si="4"/>
        <v>Salida Traslados</v>
      </c>
      <c r="H46" s="567" t="s">
        <v>2</v>
      </c>
      <c r="I46" s="567"/>
      <c r="J46" s="568"/>
      <c r="K46" s="567"/>
      <c r="L46" s="963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46" s="963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46" s="569"/>
      <c r="O46" s="971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46" s="570"/>
      <c r="Q46" s="567"/>
      <c r="R46" s="976">
        <f>IF(ISNUMBER(Producción_Lecheria[[#This Row],[Cabezas]])=TRUE,Producción_Lecheria[[#This Row],[Cabezas]]*Producción_Lecheria[[#This Row],[Cantidad]],Producción_Lecheria[[#This Row],[Cantidad]])</f>
        <v>0</v>
      </c>
      <c r="S46" s="567"/>
      <c r="T46" s="570" t="s">
        <v>48</v>
      </c>
      <c r="U46" s="575"/>
      <c r="V46" s="1012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46" s="1012">
        <f>IFERROR(Producción_Lecheria[[#This Row],[Económico $Corrientes]]/Producción_Lecheria[[#This Row],[Indexación Económico]],0)</f>
        <v>0</v>
      </c>
      <c r="X46" s="1013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46" s="1011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46" s="1012">
        <f>IFERROR(Producción_Lecheria[[#This Row],[Financiero $Corrientes]]/Producción_Lecheria[[#This Row],[Indexación Financiero]],0)</f>
        <v>0</v>
      </c>
      <c r="AA46" s="1012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46" s="1015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46" s="1016">
        <f>IFERROR(Producción_Lecheria[[#This Row],[Intereses $Corrientes]]/Producción_Lecheria[[#This Row],[Indexación Financiero]],0)</f>
        <v>0</v>
      </c>
      <c r="AD46" s="101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46" s="1026" t="str">
        <f>IFERROR(INDEX(Produccion_Lecheria_Cuentas[],MATCH(Producción_Lecheria[[#This Row],[Cuenta Contable]],Produccion_Lecheria_Cuentas[Cuenta Contable],0),2),0)</f>
        <v>Mov. Hacienda</v>
      </c>
      <c r="AF46" s="1021">
        <f>IF(Producción_Lecheria[[#This Row],[Mov. Stock]]="(+)",Producción_Lecheria[[#This Row],[Cabezas]],IF(Producción_Lecheria[[#This Row],[Mov. Stock]]="(-)",-Producción_Lecheria[[#This Row],[Cabezas]],0))</f>
        <v>0</v>
      </c>
      <c r="AG46" s="1022" t="str">
        <f>IFERROR(INDEX(Produccion_Lecheria_Cuentas[],MATCH(Producción_Lecheria[[#This Row],[Cuenta Contable]],Produccion_Lecheria_Cuentas[Cuenta Contable],0),5),0)</f>
        <v>(-)</v>
      </c>
      <c r="AH46" s="1023" t="str">
        <f>IF(Producción_Lecheria[[#This Row],[Cuenta Contable]]=Configuración!$AC$9,"Si","No")</f>
        <v>No</v>
      </c>
      <c r="AI46" s="1021" t="str">
        <f>IFERROR(INDEX(Tabla9[],MATCH(Producción_Lecheria[[#This Row],[Movimiento]],Tabla9[Movimientos],0),2),0)</f>
        <v>No</v>
      </c>
      <c r="AJ46" s="1022">
        <f>IFERROR(INDEX(Tabla9[],MATCH(Producción_Lecheria[[#This Row],[Movimiento]],Tabla9[Movimientos],0),3),0)</f>
        <v>0</v>
      </c>
      <c r="AK46" s="1016">
        <f>IF(Producción_Lecheria[[#This Row],[Fecha Económico]]=0,0,MONTH(Producción_Lecheria[[#This Row],[Fecha Económico]]))</f>
        <v>0</v>
      </c>
      <c r="AL46" s="1016">
        <f>IF(Producción_Lecheria[[#This Row],[Fecha Económico]]=0,0,YEAR(Producción_Lecheria[[#This Row],[Fecha Económico]]))</f>
        <v>0</v>
      </c>
      <c r="AM46" s="1023">
        <f>SUMPRODUCT((Producción_Lecheria[[#This Row],[Mes Económico]]=Tipo_Cambio[Mes])*(Producción_Lecheria[[#This Row],[Año Económico]]=Tipo_Cambio[Año])*(Tipo_Cambio[$/U$S]))</f>
        <v>0</v>
      </c>
      <c r="AN46" s="1023">
        <f>SUMPRODUCT((Producción_Lecheria[[#This Row],[Mes Económico]]=Tipo_Cambio[Mes])*(Producción_Lecheria[[#This Row],[Año Económico]]=Tipo_Cambio[Año])*(Tipo_Cambio[Actualización]))</f>
        <v>0</v>
      </c>
      <c r="AO46" s="1016">
        <f>IF(ISNUMBER(Producción_Lecheria[[#This Row],[Fecha Financiero]])=TRUE,MONTH(Producción_Lecheria[[#This Row],[Fecha Financiero]]),0)</f>
        <v>0</v>
      </c>
      <c r="AP46" s="1016">
        <f>IF(ISNUMBER(Producción_Lecheria[[#This Row],[Fecha Financiero]])=TRUE,YEAR(Producción_Lecheria[[#This Row],[Fecha Financiero]]),0)</f>
        <v>0</v>
      </c>
      <c r="AQ46" s="1023">
        <f>SUMPRODUCT((Producción_Lecheria[[#This Row],[Mes Financiero]]=Tipo_Cambio[Mes])*(Producción_Lecheria[[#This Row],[Año Financiero]]=Tipo_Cambio[Año])*(Tipo_Cambio[$/U$S]))</f>
        <v>0</v>
      </c>
      <c r="AR46" s="1023">
        <f>SUMPRODUCT((Producción_Lecheria[[#This Row],[Mes Financiero]]=Tipo_Cambio[Mes])*(Producción_Lecheria[[#This Row],[Año Financiero]]=Tipo_Cambio[Año])*(Tipo_Cambio[Actualización]))</f>
        <v>0</v>
      </c>
      <c r="AS46" s="1024">
        <f>SUMPRODUCT((Producción_Lecheria[[#This Row],[Centro de Costo]]=Tabla1924[Centro de Costo])*(Tabla19[Superficie]))</f>
        <v>2356</v>
      </c>
      <c r="AT46" s="1023">
        <f>IFERROR(Producción_Lecheria[[#This Row],[Económico $Corrientes]]/Producción_Lecheria[[#This Row],[Superficie]],0)</f>
        <v>0</v>
      </c>
      <c r="AU46" s="1023">
        <f>IFERROR(Producción_Lecheria[[#This Row],[Económico $Constantes]]/Producción_Lecheria[[#This Row],[Superficie]],0)</f>
        <v>0</v>
      </c>
      <c r="AV46" s="1023">
        <f>IFERROR(Producción_Lecheria[[#This Row],[Económico U$S Dólares]]/Producción_Lecheria[[#This Row],[Superficie]],0)</f>
        <v>0</v>
      </c>
      <c r="AW46" s="1021" t="str">
        <f>IF(Económico!$F$4=0,0,Producción_Lecheria[Centro de Costo])</f>
        <v>Campo 1</v>
      </c>
    </row>
    <row r="47" spans="1:49" ht="15.75" customHeight="1" thickTop="1" x14ac:dyDescent="0.25">
      <c r="A47" s="86"/>
      <c r="B47" s="1136" t="s">
        <v>143</v>
      </c>
      <c r="C47" s="86"/>
      <c r="D47" s="528">
        <f>DATE(LEFT(Producción_Lecheria[[#This Row],[Campaña]],4),7,1)</f>
        <v>43282</v>
      </c>
      <c r="E47" s="522"/>
      <c r="F47" s="479" t="str">
        <f t="shared" si="0"/>
        <v>2018-2019</v>
      </c>
      <c r="G47" s="480" t="str">
        <f t="shared" ref="G47:G70" si="5">LCH_Nacimientos</f>
        <v>Entrada Nacimientos</v>
      </c>
      <c r="H47" s="481" t="s">
        <v>2</v>
      </c>
      <c r="I47" s="481" t="s">
        <v>130</v>
      </c>
      <c r="J47" s="549"/>
      <c r="K47" s="481"/>
      <c r="L47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4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47" s="520"/>
      <c r="O47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47" s="483"/>
      <c r="Q47" s="491"/>
      <c r="R47" s="875">
        <f>IF(ISNUMBER(Producción_Lecheria[[#This Row],[Cabezas]])=TRUE,Producción_Lecheria[[#This Row],[Cabezas]]*Producción_Lecheria[[#This Row],[Cantidad]],Producción_Lecheria[[#This Row],[Cantidad]])</f>
        <v>0</v>
      </c>
      <c r="S47" s="491"/>
      <c r="T47" s="552"/>
      <c r="U47" s="553"/>
      <c r="V4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47" s="989">
        <f>IFERROR(Producción_Lecheria[[#This Row],[Económico $Corrientes]]/Producción_Lecheria[[#This Row],[Indexación Económico]],0)</f>
        <v>0</v>
      </c>
      <c r="X4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4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47" s="989">
        <f>IFERROR(Producción_Lecheria[[#This Row],[Financiero $Corrientes]]/Producción_Lecheria[[#This Row],[Indexación Financiero]],0)</f>
        <v>0</v>
      </c>
      <c r="AA4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4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47" s="981">
        <f>IFERROR(Producción_Lecheria[[#This Row],[Intereses $Corrientes]]/Producción_Lecheria[[#This Row],[Indexación Financiero]],0)</f>
        <v>0</v>
      </c>
      <c r="AD4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47" s="991" t="str">
        <f>IFERROR(INDEX(Produccion_Lecheria_Cuentas[],MATCH(Producción_Lecheria[[#This Row],[Cuenta Contable]],Produccion_Lecheria_Cuentas[Cuenta Contable],0),2),0)</f>
        <v>Mov. Hacienda</v>
      </c>
      <c r="AF47" s="992">
        <f>IF(Producción_Lecheria[[#This Row],[Mov. Stock]]="(+)",Producción_Lecheria[[#This Row],[Cabezas]],IF(Producción_Lecheria[[#This Row],[Mov. Stock]]="(-)",-Producción_Lecheria[[#This Row],[Cabezas]],0))</f>
        <v>0</v>
      </c>
      <c r="AG47" s="993" t="str">
        <f>IFERROR(INDEX(Produccion_Lecheria_Cuentas[],MATCH(Producción_Lecheria[[#This Row],[Cuenta Contable]],Produccion_Lecheria_Cuentas[Cuenta Contable],0),5),0)</f>
        <v>(+)</v>
      </c>
      <c r="AH47" s="994" t="str">
        <f>IF(Producción_Lecheria[[#This Row],[Cuenta Contable]]=Configuración!$AC$9,"Si","No")</f>
        <v>No</v>
      </c>
      <c r="AI47" s="983" t="str">
        <f>IFERROR(INDEX(Tabla9[],MATCH(Producción_Lecheria[[#This Row],[Movimiento]],Tabla9[Movimientos],0),2),0)</f>
        <v>No</v>
      </c>
      <c r="AJ47" s="984">
        <f>IFERROR(INDEX(Tabla9[],MATCH(Producción_Lecheria[[#This Row],[Movimiento]],Tabla9[Movimientos],0),3),0)</f>
        <v>0</v>
      </c>
      <c r="AK47" s="986">
        <f>IF(Producción_Lecheria[[#This Row],[Fecha Económico]]=0,0,MONTH(Producción_Lecheria[[#This Row],[Fecha Económico]]))</f>
        <v>7</v>
      </c>
      <c r="AL47" s="986">
        <f>IF(Producción_Lecheria[[#This Row],[Fecha Económico]]=0,0,YEAR(Producción_Lecheria[[#This Row],[Fecha Económico]]))</f>
        <v>2018</v>
      </c>
      <c r="AM47" s="987">
        <f>SUMPRODUCT((Producción_Lecheria[[#This Row],[Mes Económico]]=Tipo_Cambio[Mes])*(Producción_Lecheria[[#This Row],[Año Económico]]=Tipo_Cambio[Año])*(Tipo_Cambio[$/U$S]))</f>
        <v>22</v>
      </c>
      <c r="AN47" s="987">
        <f>SUMPRODUCT((Producción_Lecheria[[#This Row],[Mes Económico]]=Tipo_Cambio[Mes])*(Producción_Lecheria[[#This Row],[Año Económico]]=Tipo_Cambio[Año])*(Tipo_Cambio[Actualización]))</f>
        <v>1</v>
      </c>
      <c r="AO47" s="986">
        <f>IF(ISNUMBER(Producción_Lecheria[[#This Row],[Fecha Financiero]])=TRUE,MONTH(Producción_Lecheria[[#This Row],[Fecha Financiero]]),0)</f>
        <v>0</v>
      </c>
      <c r="AP47" s="986">
        <f>IF(ISNUMBER(Producción_Lecheria[[#This Row],[Fecha Financiero]])=TRUE,YEAR(Producción_Lecheria[[#This Row],[Fecha Financiero]]),0)</f>
        <v>0</v>
      </c>
      <c r="AQ47" s="987">
        <f>SUMPRODUCT((Producción_Lecheria[[#This Row],[Mes Financiero]]=Tipo_Cambio[Mes])*(Producción_Lecheria[[#This Row],[Año Financiero]]=Tipo_Cambio[Año])*(Tipo_Cambio[$/U$S]))</f>
        <v>0</v>
      </c>
      <c r="AR47" s="987">
        <f>SUMPRODUCT((Producción_Lecheria[[#This Row],[Mes Financiero]]=Tipo_Cambio[Mes])*(Producción_Lecheria[[#This Row],[Año Financiero]]=Tipo_Cambio[Año])*(Tipo_Cambio[Actualización]))</f>
        <v>0</v>
      </c>
      <c r="AS47" s="988">
        <f>SUMPRODUCT((Producción_Lecheria[[#This Row],[Centro de Costo]]=Tabla1924[Centro de Costo])*(Tabla19[Superficie]))</f>
        <v>2356</v>
      </c>
      <c r="AT47" s="987">
        <f>IFERROR(Producción_Lecheria[[#This Row],[Económico $Corrientes]]/Producción_Lecheria[[#This Row],[Superficie]],0)</f>
        <v>0</v>
      </c>
      <c r="AU47" s="987">
        <f>IFERROR(Producción_Lecheria[[#This Row],[Económico $Constantes]]/Producción_Lecheria[[#This Row],[Superficie]],0)</f>
        <v>0</v>
      </c>
      <c r="AV47" s="987">
        <f>IFERROR(Producción_Lecheria[[#This Row],[Económico U$S Dólares]]/Producción_Lecheria[[#This Row],[Superficie]],0)</f>
        <v>0</v>
      </c>
      <c r="AW47" s="983" t="str">
        <f>IF(Económico!$F$4=0,0,Producción_Lecheria[Centro de Costo])</f>
        <v>Campo 1</v>
      </c>
    </row>
    <row r="48" spans="1:49" x14ac:dyDescent="0.25">
      <c r="A48" s="86"/>
      <c r="B48" s="1136"/>
      <c r="C48" s="86"/>
      <c r="D48" s="528">
        <f>DATE(LEFT(Producción_Lecheria[[#This Row],[Campaña]],4),7,1)</f>
        <v>43282</v>
      </c>
      <c r="E48" s="493"/>
      <c r="F48" s="479" t="str">
        <f>Campaña_Actual</f>
        <v>2018-2019</v>
      </c>
      <c r="G48" s="576" t="str">
        <f t="shared" si="5"/>
        <v>Entrada Nacimientos</v>
      </c>
      <c r="H48" s="481" t="s">
        <v>2</v>
      </c>
      <c r="I48" s="481" t="s">
        <v>131</v>
      </c>
      <c r="J48" s="549"/>
      <c r="K48" s="484"/>
      <c r="L4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4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48" s="520"/>
      <c r="O4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48" s="563"/>
      <c r="Q48" s="491"/>
      <c r="R48" s="875">
        <f>IF(ISNUMBER(Producción_Lecheria[[#This Row],[Cabezas]])=TRUE,Producción_Lecheria[[#This Row],[Cabezas]]*Producción_Lecheria[[#This Row],[Cantidad]],Producción_Lecheria[[#This Row],[Cantidad]])</f>
        <v>0</v>
      </c>
      <c r="S48" s="491"/>
      <c r="T48" s="552"/>
      <c r="U48" s="553"/>
      <c r="V4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48" s="989">
        <f>IFERROR(Producción_Lecheria[[#This Row],[Económico $Corrientes]]/Producción_Lecheria[[#This Row],[Indexación Económico]],0)</f>
        <v>0</v>
      </c>
      <c r="X4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4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48" s="989">
        <f>IFERROR(Producción_Lecheria[[#This Row],[Financiero $Corrientes]]/Producción_Lecheria[[#This Row],[Indexación Financiero]],0)</f>
        <v>0</v>
      </c>
      <c r="AA4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4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48" s="981">
        <f>IFERROR(Producción_Lecheria[[#This Row],[Intereses $Corrientes]]/Producción_Lecheria[[#This Row],[Indexación Financiero]],0)</f>
        <v>0</v>
      </c>
      <c r="AD4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48" s="991" t="str">
        <f>IFERROR(INDEX(Produccion_Lecheria_Cuentas[],MATCH(Producción_Lecheria[[#This Row],[Cuenta Contable]],Produccion_Lecheria_Cuentas[Cuenta Contable],0),2),0)</f>
        <v>Mov. Hacienda</v>
      </c>
      <c r="AF48" s="992">
        <f>IF(Producción_Lecheria[[#This Row],[Mov. Stock]]="(+)",Producción_Lecheria[[#This Row],[Cabezas]],IF(Producción_Lecheria[[#This Row],[Mov. Stock]]="(-)",-Producción_Lecheria[[#This Row],[Cabezas]],0))</f>
        <v>0</v>
      </c>
      <c r="AG48" s="993" t="str">
        <f>IFERROR(INDEX(Produccion_Lecheria_Cuentas[],MATCH(Producción_Lecheria[[#This Row],[Cuenta Contable]],Produccion_Lecheria_Cuentas[Cuenta Contable],0),5),0)</f>
        <v>(+)</v>
      </c>
      <c r="AH48" s="985" t="str">
        <f>IF(Producción_Lecheria[[#This Row],[Cuenta Contable]]=Configuración!$AC$9,"Si","No")</f>
        <v>No</v>
      </c>
      <c r="AI48" s="983" t="str">
        <f>IFERROR(INDEX(Tabla9[],MATCH(Producción_Lecheria[[#This Row],[Movimiento]],Tabla9[Movimientos],0),2),0)</f>
        <v>No</v>
      </c>
      <c r="AJ48" s="984">
        <f>IFERROR(INDEX(Tabla9[],MATCH(Producción_Lecheria[[#This Row],[Movimiento]],Tabla9[Movimientos],0),3),0)</f>
        <v>0</v>
      </c>
      <c r="AK48" s="986">
        <f>IF(Producción_Lecheria[[#This Row],[Fecha Económico]]=0,0,MONTH(Producción_Lecheria[[#This Row],[Fecha Económico]]))</f>
        <v>7</v>
      </c>
      <c r="AL48" s="986">
        <f>IF(Producción_Lecheria[[#This Row],[Fecha Económico]]=0,0,YEAR(Producción_Lecheria[[#This Row],[Fecha Económico]]))</f>
        <v>2018</v>
      </c>
      <c r="AM48" s="987">
        <f>SUMPRODUCT((Producción_Lecheria[[#This Row],[Mes Económico]]=Tipo_Cambio[Mes])*(Producción_Lecheria[[#This Row],[Año Económico]]=Tipo_Cambio[Año])*(Tipo_Cambio[$/U$S]))</f>
        <v>22</v>
      </c>
      <c r="AN48" s="987">
        <f>SUMPRODUCT((Producción_Lecheria[[#This Row],[Mes Económico]]=Tipo_Cambio[Mes])*(Producción_Lecheria[[#This Row],[Año Económico]]=Tipo_Cambio[Año])*(Tipo_Cambio[Actualización]))</f>
        <v>1</v>
      </c>
      <c r="AO48" s="986">
        <f>IF(ISNUMBER(Producción_Lecheria[[#This Row],[Fecha Financiero]])=TRUE,MONTH(Producción_Lecheria[[#This Row],[Fecha Financiero]]),0)</f>
        <v>0</v>
      </c>
      <c r="AP48" s="986">
        <f>IF(ISNUMBER(Producción_Lecheria[[#This Row],[Fecha Financiero]])=TRUE,YEAR(Producción_Lecheria[[#This Row],[Fecha Financiero]]),0)</f>
        <v>0</v>
      </c>
      <c r="AQ48" s="987">
        <f>SUMPRODUCT((Producción_Lecheria[[#This Row],[Mes Financiero]]=Tipo_Cambio[Mes])*(Producción_Lecheria[[#This Row],[Año Financiero]]=Tipo_Cambio[Año])*(Tipo_Cambio[$/U$S]))</f>
        <v>0</v>
      </c>
      <c r="AR48" s="987">
        <f>SUMPRODUCT((Producción_Lecheria[[#This Row],[Mes Financiero]]=Tipo_Cambio[Mes])*(Producción_Lecheria[[#This Row],[Año Financiero]]=Tipo_Cambio[Año])*(Tipo_Cambio[Actualización]))</f>
        <v>0</v>
      </c>
      <c r="AS48" s="1009">
        <f>SUMPRODUCT((Producción_Lecheria[[#This Row],[Centro de Costo]]=Tabla1924[Centro de Costo])*(Tabla19[Superficie]))</f>
        <v>2356</v>
      </c>
      <c r="AT48" s="1010">
        <f>IFERROR(Producción_Lecheria[[#This Row],[Económico $Corrientes]]/Producción_Lecheria[[#This Row],[Superficie]],0)</f>
        <v>0</v>
      </c>
      <c r="AU48" s="1010">
        <f>IFERROR(Producción_Lecheria[[#This Row],[Económico $Constantes]]/Producción_Lecheria[[#This Row],[Superficie]],0)</f>
        <v>0</v>
      </c>
      <c r="AV48" s="1010">
        <f>IFERROR(Producción_Lecheria[[#This Row],[Económico U$S Dólares]]/Producción_Lecheria[[#This Row],[Superficie]],0)</f>
        <v>0</v>
      </c>
      <c r="AW48" s="992" t="str">
        <f>IF(Económico!$F$4=0,0,Producción_Lecheria[Centro de Costo])</f>
        <v>Campo 1</v>
      </c>
    </row>
    <row r="49" spans="1:49" x14ac:dyDescent="0.25">
      <c r="A49" s="86"/>
      <c r="B49" s="1136"/>
      <c r="C49" s="86"/>
      <c r="D49" s="528">
        <f t="shared" ref="D49:D70" si="6">DATE(IF(MONTH(D47)=1,YEAR(D47+1),YEAR(D47)),MONTH(D47)+1,1)</f>
        <v>43313</v>
      </c>
      <c r="E49" s="522"/>
      <c r="F49" s="479" t="str">
        <f t="shared" si="0"/>
        <v>2018-2019</v>
      </c>
      <c r="G49" s="480" t="str">
        <f t="shared" si="5"/>
        <v>Entrada Nacimientos</v>
      </c>
      <c r="H49" s="481" t="s">
        <v>2</v>
      </c>
      <c r="I49" s="481" t="s">
        <v>130</v>
      </c>
      <c r="J49" s="549"/>
      <c r="K49" s="481"/>
      <c r="L49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4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49" s="520"/>
      <c r="O49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49" s="483"/>
      <c r="Q49" s="491"/>
      <c r="R49" s="875">
        <f>IF(ISNUMBER(Producción_Lecheria[[#This Row],[Cabezas]])=TRUE,Producción_Lecheria[[#This Row],[Cabezas]]*Producción_Lecheria[[#This Row],[Cantidad]],Producción_Lecheria[[#This Row],[Cantidad]])</f>
        <v>0</v>
      </c>
      <c r="S49" s="491"/>
      <c r="T49" s="552"/>
      <c r="U49" s="553"/>
      <c r="V4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49" s="989">
        <f>IFERROR(Producción_Lecheria[[#This Row],[Económico $Corrientes]]/Producción_Lecheria[[#This Row],[Indexación Económico]],0)</f>
        <v>0</v>
      </c>
      <c r="X4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4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49" s="989">
        <f>IFERROR(Producción_Lecheria[[#This Row],[Financiero $Corrientes]]/Producción_Lecheria[[#This Row],[Indexación Financiero]],0)</f>
        <v>0</v>
      </c>
      <c r="AA4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4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49" s="981">
        <f>IFERROR(Producción_Lecheria[[#This Row],[Intereses $Corrientes]]/Producción_Lecheria[[#This Row],[Indexación Financiero]],0)</f>
        <v>0</v>
      </c>
      <c r="AD4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49" s="991" t="str">
        <f>IFERROR(INDEX(Produccion_Lecheria_Cuentas[],MATCH(Producción_Lecheria[[#This Row],[Cuenta Contable]],Produccion_Lecheria_Cuentas[Cuenta Contable],0),2),0)</f>
        <v>Mov. Hacienda</v>
      </c>
      <c r="AF49" s="992">
        <f>IF(Producción_Lecheria[[#This Row],[Mov. Stock]]="(+)",Producción_Lecheria[[#This Row],[Cabezas]],IF(Producción_Lecheria[[#This Row],[Mov. Stock]]="(-)",-Producción_Lecheria[[#This Row],[Cabezas]],0))</f>
        <v>0</v>
      </c>
      <c r="AG49" s="993" t="str">
        <f>IFERROR(INDEX(Produccion_Lecheria_Cuentas[],MATCH(Producción_Lecheria[[#This Row],[Cuenta Contable]],Produccion_Lecheria_Cuentas[Cuenta Contable],0),5),0)</f>
        <v>(+)</v>
      </c>
      <c r="AH49" s="994" t="str">
        <f>IF(Producción_Lecheria[[#This Row],[Cuenta Contable]]=Configuración!$AC$9,"Si","No")</f>
        <v>No</v>
      </c>
      <c r="AI49" s="983" t="str">
        <f>IFERROR(INDEX(Tabla9[],MATCH(Producción_Lecheria[[#This Row],[Movimiento]],Tabla9[Movimientos],0),2),0)</f>
        <v>No</v>
      </c>
      <c r="AJ49" s="984">
        <f>IFERROR(INDEX(Tabla9[],MATCH(Producción_Lecheria[[#This Row],[Movimiento]],Tabla9[Movimientos],0),3),0)</f>
        <v>0</v>
      </c>
      <c r="AK49" s="986">
        <f>IF(Producción_Lecheria[[#This Row],[Fecha Económico]]=0,0,MONTH(Producción_Lecheria[[#This Row],[Fecha Económico]]))</f>
        <v>8</v>
      </c>
      <c r="AL49" s="986">
        <f>IF(Producción_Lecheria[[#This Row],[Fecha Económico]]=0,0,YEAR(Producción_Lecheria[[#This Row],[Fecha Económico]]))</f>
        <v>2018</v>
      </c>
      <c r="AM49" s="987">
        <f>SUMPRODUCT((Producción_Lecheria[[#This Row],[Mes Económico]]=Tipo_Cambio[Mes])*(Producción_Lecheria[[#This Row],[Año Económico]]=Tipo_Cambio[Año])*(Tipo_Cambio[$/U$S]))</f>
        <v>22.22</v>
      </c>
      <c r="AN49" s="987">
        <f>SUMPRODUCT((Producción_Lecheria[[#This Row],[Mes Económico]]=Tipo_Cambio[Mes])*(Producción_Lecheria[[#This Row],[Año Económico]]=Tipo_Cambio[Año])*(Tipo_Cambio[Actualización]))</f>
        <v>1.02</v>
      </c>
      <c r="AO49" s="986">
        <f>IF(ISNUMBER(Producción_Lecheria[[#This Row],[Fecha Financiero]])=TRUE,MONTH(Producción_Lecheria[[#This Row],[Fecha Financiero]]),0)</f>
        <v>0</v>
      </c>
      <c r="AP49" s="986">
        <f>IF(ISNUMBER(Producción_Lecheria[[#This Row],[Fecha Financiero]])=TRUE,YEAR(Producción_Lecheria[[#This Row],[Fecha Financiero]]),0)</f>
        <v>0</v>
      </c>
      <c r="AQ49" s="987">
        <f>SUMPRODUCT((Producción_Lecheria[[#This Row],[Mes Financiero]]=Tipo_Cambio[Mes])*(Producción_Lecheria[[#This Row],[Año Financiero]]=Tipo_Cambio[Año])*(Tipo_Cambio[$/U$S]))</f>
        <v>0</v>
      </c>
      <c r="AR49" s="987">
        <f>SUMPRODUCT((Producción_Lecheria[[#This Row],[Mes Financiero]]=Tipo_Cambio[Mes])*(Producción_Lecheria[[#This Row],[Año Financiero]]=Tipo_Cambio[Año])*(Tipo_Cambio[Actualización]))</f>
        <v>0</v>
      </c>
      <c r="AS49" s="988">
        <f>SUMPRODUCT((Producción_Lecheria[[#This Row],[Centro de Costo]]=Tabla1924[Centro de Costo])*(Tabla19[Superficie]))</f>
        <v>2356</v>
      </c>
      <c r="AT49" s="987">
        <f>IFERROR(Producción_Lecheria[[#This Row],[Económico $Corrientes]]/Producción_Lecheria[[#This Row],[Superficie]],0)</f>
        <v>0</v>
      </c>
      <c r="AU49" s="987">
        <f>IFERROR(Producción_Lecheria[[#This Row],[Económico $Constantes]]/Producción_Lecheria[[#This Row],[Superficie]],0)</f>
        <v>0</v>
      </c>
      <c r="AV49" s="987">
        <f>IFERROR(Producción_Lecheria[[#This Row],[Económico U$S Dólares]]/Producción_Lecheria[[#This Row],[Superficie]],0)</f>
        <v>0</v>
      </c>
      <c r="AW49" s="983" t="str">
        <f>IF(Económico!$F$4=0,0,Producción_Lecheria[Centro de Costo])</f>
        <v>Campo 1</v>
      </c>
    </row>
    <row r="50" spans="1:49" x14ac:dyDescent="0.25">
      <c r="A50" s="86"/>
      <c r="B50" s="86"/>
      <c r="C50" s="86"/>
      <c r="D50" s="528">
        <f t="shared" si="6"/>
        <v>43313</v>
      </c>
      <c r="E50" s="493"/>
      <c r="F50" s="479" t="str">
        <f>Campaña_Actual</f>
        <v>2018-2019</v>
      </c>
      <c r="G50" s="576" t="str">
        <f t="shared" si="5"/>
        <v>Entrada Nacimientos</v>
      </c>
      <c r="H50" s="481" t="s">
        <v>2</v>
      </c>
      <c r="I50" s="481" t="s">
        <v>131</v>
      </c>
      <c r="J50" s="549"/>
      <c r="K50" s="484"/>
      <c r="L5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5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50" s="520"/>
      <c r="O5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50" s="563"/>
      <c r="Q50" s="491"/>
      <c r="R50" s="875">
        <f>IF(ISNUMBER(Producción_Lecheria[[#This Row],[Cabezas]])=TRUE,Producción_Lecheria[[#This Row],[Cabezas]]*Producción_Lecheria[[#This Row],[Cantidad]],Producción_Lecheria[[#This Row],[Cantidad]])</f>
        <v>0</v>
      </c>
      <c r="S50" s="491"/>
      <c r="T50" s="552"/>
      <c r="U50" s="553"/>
      <c r="V5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50" s="989">
        <f>IFERROR(Producción_Lecheria[[#This Row],[Económico $Corrientes]]/Producción_Lecheria[[#This Row],[Indexación Económico]],0)</f>
        <v>0</v>
      </c>
      <c r="X5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5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50" s="989">
        <f>IFERROR(Producción_Lecheria[[#This Row],[Financiero $Corrientes]]/Producción_Lecheria[[#This Row],[Indexación Financiero]],0)</f>
        <v>0</v>
      </c>
      <c r="AA5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5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50" s="981">
        <f>IFERROR(Producción_Lecheria[[#This Row],[Intereses $Corrientes]]/Producción_Lecheria[[#This Row],[Indexación Financiero]],0)</f>
        <v>0</v>
      </c>
      <c r="AD5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50" s="991" t="str">
        <f>IFERROR(INDEX(Produccion_Lecheria_Cuentas[],MATCH(Producción_Lecheria[[#This Row],[Cuenta Contable]],Produccion_Lecheria_Cuentas[Cuenta Contable],0),2),0)</f>
        <v>Mov. Hacienda</v>
      </c>
      <c r="AF50" s="992">
        <f>IF(Producción_Lecheria[[#This Row],[Mov. Stock]]="(+)",Producción_Lecheria[[#This Row],[Cabezas]],IF(Producción_Lecheria[[#This Row],[Mov. Stock]]="(-)",-Producción_Lecheria[[#This Row],[Cabezas]],0))</f>
        <v>0</v>
      </c>
      <c r="AG50" s="993" t="str">
        <f>IFERROR(INDEX(Produccion_Lecheria_Cuentas[],MATCH(Producción_Lecheria[[#This Row],[Cuenta Contable]],Produccion_Lecheria_Cuentas[Cuenta Contable],0),5),0)</f>
        <v>(+)</v>
      </c>
      <c r="AH50" s="985" t="str">
        <f>IF(Producción_Lecheria[[#This Row],[Cuenta Contable]]=Configuración!$AC$9,"Si","No")</f>
        <v>No</v>
      </c>
      <c r="AI50" s="983" t="str">
        <f>IFERROR(INDEX(Tabla9[],MATCH(Producción_Lecheria[[#This Row],[Movimiento]],Tabla9[Movimientos],0),2),0)</f>
        <v>No</v>
      </c>
      <c r="AJ50" s="984">
        <f>IFERROR(INDEX(Tabla9[],MATCH(Producción_Lecheria[[#This Row],[Movimiento]],Tabla9[Movimientos],0),3),0)</f>
        <v>0</v>
      </c>
      <c r="AK50" s="986">
        <f>IF(Producción_Lecheria[[#This Row],[Fecha Económico]]=0,0,MONTH(Producción_Lecheria[[#This Row],[Fecha Económico]]))</f>
        <v>8</v>
      </c>
      <c r="AL50" s="986">
        <f>IF(Producción_Lecheria[[#This Row],[Fecha Económico]]=0,0,YEAR(Producción_Lecheria[[#This Row],[Fecha Económico]]))</f>
        <v>2018</v>
      </c>
      <c r="AM50" s="987">
        <f>SUMPRODUCT((Producción_Lecheria[[#This Row],[Mes Económico]]=Tipo_Cambio[Mes])*(Producción_Lecheria[[#This Row],[Año Económico]]=Tipo_Cambio[Año])*(Tipo_Cambio[$/U$S]))</f>
        <v>22.22</v>
      </c>
      <c r="AN50" s="987">
        <f>SUMPRODUCT((Producción_Lecheria[[#This Row],[Mes Económico]]=Tipo_Cambio[Mes])*(Producción_Lecheria[[#This Row],[Año Económico]]=Tipo_Cambio[Año])*(Tipo_Cambio[Actualización]))</f>
        <v>1.02</v>
      </c>
      <c r="AO50" s="986">
        <f>IF(ISNUMBER(Producción_Lecheria[[#This Row],[Fecha Financiero]])=TRUE,MONTH(Producción_Lecheria[[#This Row],[Fecha Financiero]]),0)</f>
        <v>0</v>
      </c>
      <c r="AP50" s="986">
        <f>IF(ISNUMBER(Producción_Lecheria[[#This Row],[Fecha Financiero]])=TRUE,YEAR(Producción_Lecheria[[#This Row],[Fecha Financiero]]),0)</f>
        <v>0</v>
      </c>
      <c r="AQ50" s="987">
        <f>SUMPRODUCT((Producción_Lecheria[[#This Row],[Mes Financiero]]=Tipo_Cambio[Mes])*(Producción_Lecheria[[#This Row],[Año Financiero]]=Tipo_Cambio[Año])*(Tipo_Cambio[$/U$S]))</f>
        <v>0</v>
      </c>
      <c r="AR50" s="987">
        <f>SUMPRODUCT((Producción_Lecheria[[#This Row],[Mes Financiero]]=Tipo_Cambio[Mes])*(Producción_Lecheria[[#This Row],[Año Financiero]]=Tipo_Cambio[Año])*(Tipo_Cambio[Actualización]))</f>
        <v>0</v>
      </c>
      <c r="AS50" s="1009">
        <f>SUMPRODUCT((Producción_Lecheria[[#This Row],[Centro de Costo]]=Tabla1924[Centro de Costo])*(Tabla19[Superficie]))</f>
        <v>2356</v>
      </c>
      <c r="AT50" s="1010">
        <f>IFERROR(Producción_Lecheria[[#This Row],[Económico $Corrientes]]/Producción_Lecheria[[#This Row],[Superficie]],0)</f>
        <v>0</v>
      </c>
      <c r="AU50" s="1010">
        <f>IFERROR(Producción_Lecheria[[#This Row],[Económico $Constantes]]/Producción_Lecheria[[#This Row],[Superficie]],0)</f>
        <v>0</v>
      </c>
      <c r="AV50" s="1010">
        <f>IFERROR(Producción_Lecheria[[#This Row],[Económico U$S Dólares]]/Producción_Lecheria[[#This Row],[Superficie]],0)</f>
        <v>0</v>
      </c>
      <c r="AW50" s="992" t="str">
        <f>IF(Económico!$F$4=0,0,Producción_Lecheria[Centro de Costo])</f>
        <v>Campo 1</v>
      </c>
    </row>
    <row r="51" spans="1:49" x14ac:dyDescent="0.25">
      <c r="A51" s="86"/>
      <c r="B51" s="86"/>
      <c r="C51" s="86"/>
      <c r="D51" s="528">
        <f t="shared" si="6"/>
        <v>43344</v>
      </c>
      <c r="E51" s="522"/>
      <c r="F51" s="479" t="str">
        <f t="shared" si="0"/>
        <v>2018-2019</v>
      </c>
      <c r="G51" s="480" t="str">
        <f t="shared" si="5"/>
        <v>Entrada Nacimientos</v>
      </c>
      <c r="H51" s="481" t="s">
        <v>2</v>
      </c>
      <c r="I51" s="481" t="s">
        <v>130</v>
      </c>
      <c r="J51" s="549"/>
      <c r="K51" s="481"/>
      <c r="L51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5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51" s="520"/>
      <c r="O51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51" s="483"/>
      <c r="Q51" s="491"/>
      <c r="R51" s="875">
        <f>IF(ISNUMBER(Producción_Lecheria[[#This Row],[Cabezas]])=TRUE,Producción_Lecheria[[#This Row],[Cabezas]]*Producción_Lecheria[[#This Row],[Cantidad]],Producción_Lecheria[[#This Row],[Cantidad]])</f>
        <v>0</v>
      </c>
      <c r="S51" s="491"/>
      <c r="T51" s="552"/>
      <c r="U51" s="553"/>
      <c r="V5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51" s="989">
        <f>IFERROR(Producción_Lecheria[[#This Row],[Económico $Corrientes]]/Producción_Lecheria[[#This Row],[Indexación Económico]],0)</f>
        <v>0</v>
      </c>
      <c r="X5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5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51" s="989">
        <f>IFERROR(Producción_Lecheria[[#This Row],[Financiero $Corrientes]]/Producción_Lecheria[[#This Row],[Indexación Financiero]],0)</f>
        <v>0</v>
      </c>
      <c r="AA5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5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51" s="981">
        <f>IFERROR(Producción_Lecheria[[#This Row],[Intereses $Corrientes]]/Producción_Lecheria[[#This Row],[Indexación Financiero]],0)</f>
        <v>0</v>
      </c>
      <c r="AD5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51" s="991" t="str">
        <f>IFERROR(INDEX(Produccion_Lecheria_Cuentas[],MATCH(Producción_Lecheria[[#This Row],[Cuenta Contable]],Produccion_Lecheria_Cuentas[Cuenta Contable],0),2),0)</f>
        <v>Mov. Hacienda</v>
      </c>
      <c r="AF51" s="992">
        <f>IF(Producción_Lecheria[[#This Row],[Mov. Stock]]="(+)",Producción_Lecheria[[#This Row],[Cabezas]],IF(Producción_Lecheria[[#This Row],[Mov. Stock]]="(-)",-Producción_Lecheria[[#This Row],[Cabezas]],0))</f>
        <v>0</v>
      </c>
      <c r="AG51" s="993" t="str">
        <f>IFERROR(INDEX(Produccion_Lecheria_Cuentas[],MATCH(Producción_Lecheria[[#This Row],[Cuenta Contable]],Produccion_Lecheria_Cuentas[Cuenta Contable],0),5),0)</f>
        <v>(+)</v>
      </c>
      <c r="AH51" s="994" t="str">
        <f>IF(Producción_Lecheria[[#This Row],[Cuenta Contable]]=Configuración!$AC$9,"Si","No")</f>
        <v>No</v>
      </c>
      <c r="AI51" s="983" t="str">
        <f>IFERROR(INDEX(Tabla9[],MATCH(Producción_Lecheria[[#This Row],[Movimiento]],Tabla9[Movimientos],0),2),0)</f>
        <v>No</v>
      </c>
      <c r="AJ51" s="984">
        <f>IFERROR(INDEX(Tabla9[],MATCH(Producción_Lecheria[[#This Row],[Movimiento]],Tabla9[Movimientos],0),3),0)</f>
        <v>0</v>
      </c>
      <c r="AK51" s="986">
        <f>IF(Producción_Lecheria[[#This Row],[Fecha Económico]]=0,0,MONTH(Producción_Lecheria[[#This Row],[Fecha Económico]]))</f>
        <v>9</v>
      </c>
      <c r="AL51" s="986">
        <f>IF(Producción_Lecheria[[#This Row],[Fecha Económico]]=0,0,YEAR(Producción_Lecheria[[#This Row],[Fecha Económico]]))</f>
        <v>2018</v>
      </c>
      <c r="AM51" s="987">
        <f>SUMPRODUCT((Producción_Lecheria[[#This Row],[Mes Económico]]=Tipo_Cambio[Mes])*(Producción_Lecheria[[#This Row],[Año Económico]]=Tipo_Cambio[Año])*(Tipo_Cambio[$/U$S]))</f>
        <v>22.4422</v>
      </c>
      <c r="AN51" s="987">
        <f>SUMPRODUCT((Producción_Lecheria[[#This Row],[Mes Económico]]=Tipo_Cambio[Mes])*(Producción_Lecheria[[#This Row],[Año Económico]]=Tipo_Cambio[Año])*(Tipo_Cambio[Actualización]))</f>
        <v>1.0404</v>
      </c>
      <c r="AO51" s="986">
        <f>IF(ISNUMBER(Producción_Lecheria[[#This Row],[Fecha Financiero]])=TRUE,MONTH(Producción_Lecheria[[#This Row],[Fecha Financiero]]),0)</f>
        <v>0</v>
      </c>
      <c r="AP51" s="986">
        <f>IF(ISNUMBER(Producción_Lecheria[[#This Row],[Fecha Financiero]])=TRUE,YEAR(Producción_Lecheria[[#This Row],[Fecha Financiero]]),0)</f>
        <v>0</v>
      </c>
      <c r="AQ51" s="987">
        <f>SUMPRODUCT((Producción_Lecheria[[#This Row],[Mes Financiero]]=Tipo_Cambio[Mes])*(Producción_Lecheria[[#This Row],[Año Financiero]]=Tipo_Cambio[Año])*(Tipo_Cambio[$/U$S]))</f>
        <v>0</v>
      </c>
      <c r="AR51" s="987">
        <f>SUMPRODUCT((Producción_Lecheria[[#This Row],[Mes Financiero]]=Tipo_Cambio[Mes])*(Producción_Lecheria[[#This Row],[Año Financiero]]=Tipo_Cambio[Año])*(Tipo_Cambio[Actualización]))</f>
        <v>0</v>
      </c>
      <c r="AS51" s="988">
        <f>SUMPRODUCT((Producción_Lecheria[[#This Row],[Centro de Costo]]=Tabla1924[Centro de Costo])*(Tabla19[Superficie]))</f>
        <v>2356</v>
      </c>
      <c r="AT51" s="987">
        <f>IFERROR(Producción_Lecheria[[#This Row],[Económico $Corrientes]]/Producción_Lecheria[[#This Row],[Superficie]],0)</f>
        <v>0</v>
      </c>
      <c r="AU51" s="987">
        <f>IFERROR(Producción_Lecheria[[#This Row],[Económico $Constantes]]/Producción_Lecheria[[#This Row],[Superficie]],0)</f>
        <v>0</v>
      </c>
      <c r="AV51" s="987">
        <f>IFERROR(Producción_Lecheria[[#This Row],[Económico U$S Dólares]]/Producción_Lecheria[[#This Row],[Superficie]],0)</f>
        <v>0</v>
      </c>
      <c r="AW51" s="983" t="str">
        <f>IF(Económico!$F$4=0,0,Producción_Lecheria[Centro de Costo])</f>
        <v>Campo 1</v>
      </c>
    </row>
    <row r="52" spans="1:49" x14ac:dyDescent="0.25">
      <c r="A52" s="86"/>
      <c r="B52" s="86"/>
      <c r="C52" s="86"/>
      <c r="D52" s="528">
        <f t="shared" si="6"/>
        <v>43344</v>
      </c>
      <c r="E52" s="493"/>
      <c r="F52" s="479" t="str">
        <f>Campaña_Actual</f>
        <v>2018-2019</v>
      </c>
      <c r="G52" s="576" t="str">
        <f t="shared" si="5"/>
        <v>Entrada Nacimientos</v>
      </c>
      <c r="H52" s="481" t="s">
        <v>2</v>
      </c>
      <c r="I52" s="481" t="s">
        <v>131</v>
      </c>
      <c r="J52" s="549"/>
      <c r="K52" s="484"/>
      <c r="L5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5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52" s="520"/>
      <c r="O5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52" s="563"/>
      <c r="Q52" s="491"/>
      <c r="R52" s="875">
        <f>IF(ISNUMBER(Producción_Lecheria[[#This Row],[Cabezas]])=TRUE,Producción_Lecheria[[#This Row],[Cabezas]]*Producción_Lecheria[[#This Row],[Cantidad]],Producción_Lecheria[[#This Row],[Cantidad]])</f>
        <v>0</v>
      </c>
      <c r="S52" s="491"/>
      <c r="T52" s="552"/>
      <c r="U52" s="553"/>
      <c r="V5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52" s="989">
        <f>IFERROR(Producción_Lecheria[[#This Row],[Económico $Corrientes]]/Producción_Lecheria[[#This Row],[Indexación Económico]],0)</f>
        <v>0</v>
      </c>
      <c r="X5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5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52" s="989">
        <f>IFERROR(Producción_Lecheria[[#This Row],[Financiero $Corrientes]]/Producción_Lecheria[[#This Row],[Indexación Financiero]],0)</f>
        <v>0</v>
      </c>
      <c r="AA5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5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52" s="981">
        <f>IFERROR(Producción_Lecheria[[#This Row],[Intereses $Corrientes]]/Producción_Lecheria[[#This Row],[Indexación Financiero]],0)</f>
        <v>0</v>
      </c>
      <c r="AD5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52" s="991" t="str">
        <f>IFERROR(INDEX(Produccion_Lecheria_Cuentas[],MATCH(Producción_Lecheria[[#This Row],[Cuenta Contable]],Produccion_Lecheria_Cuentas[Cuenta Contable],0),2),0)</f>
        <v>Mov. Hacienda</v>
      </c>
      <c r="AF52" s="992">
        <f>IF(Producción_Lecheria[[#This Row],[Mov. Stock]]="(+)",Producción_Lecheria[[#This Row],[Cabezas]],IF(Producción_Lecheria[[#This Row],[Mov. Stock]]="(-)",-Producción_Lecheria[[#This Row],[Cabezas]],0))</f>
        <v>0</v>
      </c>
      <c r="AG52" s="993" t="str">
        <f>IFERROR(INDEX(Produccion_Lecheria_Cuentas[],MATCH(Producción_Lecheria[[#This Row],[Cuenta Contable]],Produccion_Lecheria_Cuentas[Cuenta Contable],0),5),0)</f>
        <v>(+)</v>
      </c>
      <c r="AH52" s="985" t="str">
        <f>IF(Producción_Lecheria[[#This Row],[Cuenta Contable]]=Configuración!$AC$9,"Si","No")</f>
        <v>No</v>
      </c>
      <c r="AI52" s="983" t="str">
        <f>IFERROR(INDEX(Tabla9[],MATCH(Producción_Lecheria[[#This Row],[Movimiento]],Tabla9[Movimientos],0),2),0)</f>
        <v>No</v>
      </c>
      <c r="AJ52" s="984">
        <f>IFERROR(INDEX(Tabla9[],MATCH(Producción_Lecheria[[#This Row],[Movimiento]],Tabla9[Movimientos],0),3),0)</f>
        <v>0</v>
      </c>
      <c r="AK52" s="986">
        <f>IF(Producción_Lecheria[[#This Row],[Fecha Económico]]=0,0,MONTH(Producción_Lecheria[[#This Row],[Fecha Económico]]))</f>
        <v>9</v>
      </c>
      <c r="AL52" s="986">
        <f>IF(Producción_Lecheria[[#This Row],[Fecha Económico]]=0,0,YEAR(Producción_Lecheria[[#This Row],[Fecha Económico]]))</f>
        <v>2018</v>
      </c>
      <c r="AM52" s="987">
        <f>SUMPRODUCT((Producción_Lecheria[[#This Row],[Mes Económico]]=Tipo_Cambio[Mes])*(Producción_Lecheria[[#This Row],[Año Económico]]=Tipo_Cambio[Año])*(Tipo_Cambio[$/U$S]))</f>
        <v>22.4422</v>
      </c>
      <c r="AN52" s="987">
        <f>SUMPRODUCT((Producción_Lecheria[[#This Row],[Mes Económico]]=Tipo_Cambio[Mes])*(Producción_Lecheria[[#This Row],[Año Económico]]=Tipo_Cambio[Año])*(Tipo_Cambio[Actualización]))</f>
        <v>1.0404</v>
      </c>
      <c r="AO52" s="986">
        <f>IF(ISNUMBER(Producción_Lecheria[[#This Row],[Fecha Financiero]])=TRUE,MONTH(Producción_Lecheria[[#This Row],[Fecha Financiero]]),0)</f>
        <v>0</v>
      </c>
      <c r="AP52" s="986">
        <f>IF(ISNUMBER(Producción_Lecheria[[#This Row],[Fecha Financiero]])=TRUE,YEAR(Producción_Lecheria[[#This Row],[Fecha Financiero]]),0)</f>
        <v>0</v>
      </c>
      <c r="AQ52" s="987">
        <f>SUMPRODUCT((Producción_Lecheria[[#This Row],[Mes Financiero]]=Tipo_Cambio[Mes])*(Producción_Lecheria[[#This Row],[Año Financiero]]=Tipo_Cambio[Año])*(Tipo_Cambio[$/U$S]))</f>
        <v>0</v>
      </c>
      <c r="AR52" s="987">
        <f>SUMPRODUCT((Producción_Lecheria[[#This Row],[Mes Financiero]]=Tipo_Cambio[Mes])*(Producción_Lecheria[[#This Row],[Año Financiero]]=Tipo_Cambio[Año])*(Tipo_Cambio[Actualización]))</f>
        <v>0</v>
      </c>
      <c r="AS52" s="1009">
        <f>SUMPRODUCT((Producción_Lecheria[[#This Row],[Centro de Costo]]=Tabla1924[Centro de Costo])*(Tabla19[Superficie]))</f>
        <v>2356</v>
      </c>
      <c r="AT52" s="1010">
        <f>IFERROR(Producción_Lecheria[[#This Row],[Económico $Corrientes]]/Producción_Lecheria[[#This Row],[Superficie]],0)</f>
        <v>0</v>
      </c>
      <c r="AU52" s="1010">
        <f>IFERROR(Producción_Lecheria[[#This Row],[Económico $Constantes]]/Producción_Lecheria[[#This Row],[Superficie]],0)</f>
        <v>0</v>
      </c>
      <c r="AV52" s="1010">
        <f>IFERROR(Producción_Lecheria[[#This Row],[Económico U$S Dólares]]/Producción_Lecheria[[#This Row],[Superficie]],0)</f>
        <v>0</v>
      </c>
      <c r="AW52" s="992" t="str">
        <f>IF(Económico!$F$4=0,0,Producción_Lecheria[Centro de Costo])</f>
        <v>Campo 1</v>
      </c>
    </row>
    <row r="53" spans="1:49" x14ac:dyDescent="0.25">
      <c r="A53" s="86"/>
      <c r="B53" s="86"/>
      <c r="C53" s="86"/>
      <c r="D53" s="528">
        <f t="shared" si="6"/>
        <v>43374</v>
      </c>
      <c r="E53" s="522"/>
      <c r="F53" s="479" t="str">
        <f t="shared" ref="F53:F67" si="7">Campaña_Actual</f>
        <v>2018-2019</v>
      </c>
      <c r="G53" s="480" t="str">
        <f t="shared" si="5"/>
        <v>Entrada Nacimientos</v>
      </c>
      <c r="H53" s="481" t="s">
        <v>2</v>
      </c>
      <c r="I53" s="481" t="s">
        <v>130</v>
      </c>
      <c r="J53" s="549"/>
      <c r="K53" s="484"/>
      <c r="L5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5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53" s="520"/>
      <c r="O5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53" s="563"/>
      <c r="Q53" s="491"/>
      <c r="R53" s="875">
        <f>IF(ISNUMBER(Producción_Lecheria[[#This Row],[Cabezas]])=TRUE,Producción_Lecheria[[#This Row],[Cabezas]]*Producción_Lecheria[[#This Row],[Cantidad]],Producción_Lecheria[[#This Row],[Cantidad]])</f>
        <v>0</v>
      </c>
      <c r="S53" s="491"/>
      <c r="T53" s="552"/>
      <c r="U53" s="553"/>
      <c r="V5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53" s="989">
        <f>IFERROR(Producción_Lecheria[[#This Row],[Económico $Corrientes]]/Producción_Lecheria[[#This Row],[Indexación Económico]],0)</f>
        <v>0</v>
      </c>
      <c r="X5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5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53" s="989">
        <f>IFERROR(Producción_Lecheria[[#This Row],[Financiero $Corrientes]]/Producción_Lecheria[[#This Row],[Indexación Financiero]],0)</f>
        <v>0</v>
      </c>
      <c r="AA5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5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53" s="981">
        <f>IFERROR(Producción_Lecheria[[#This Row],[Intereses $Corrientes]]/Producción_Lecheria[[#This Row],[Indexación Financiero]],0)</f>
        <v>0</v>
      </c>
      <c r="AD5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53" s="991" t="str">
        <f>IFERROR(INDEX(Produccion_Lecheria_Cuentas[],MATCH(Producción_Lecheria[[#This Row],[Cuenta Contable]],Produccion_Lecheria_Cuentas[Cuenta Contable],0),2),0)</f>
        <v>Mov. Hacienda</v>
      </c>
      <c r="AF53" s="992">
        <f>IF(Producción_Lecheria[[#This Row],[Mov. Stock]]="(+)",Producción_Lecheria[[#This Row],[Cabezas]],IF(Producción_Lecheria[[#This Row],[Mov. Stock]]="(-)",-Producción_Lecheria[[#This Row],[Cabezas]],0))</f>
        <v>0</v>
      </c>
      <c r="AG53" s="993" t="str">
        <f>IFERROR(INDEX(Produccion_Lecheria_Cuentas[],MATCH(Producción_Lecheria[[#This Row],[Cuenta Contable]],Produccion_Lecheria_Cuentas[Cuenta Contable],0),5),0)</f>
        <v>(+)</v>
      </c>
      <c r="AH53" s="985" t="str">
        <f>IF(Producción_Lecheria[[#This Row],[Cuenta Contable]]=Configuración!$AC$9,"Si","No")</f>
        <v>No</v>
      </c>
      <c r="AI53" s="983" t="str">
        <f>IFERROR(INDEX(Tabla9[],MATCH(Producción_Lecheria[[#This Row],[Movimiento]],Tabla9[Movimientos],0),2),0)</f>
        <v>No</v>
      </c>
      <c r="AJ53" s="984">
        <f>IFERROR(INDEX(Tabla9[],MATCH(Producción_Lecheria[[#This Row],[Movimiento]],Tabla9[Movimientos],0),3),0)</f>
        <v>0</v>
      </c>
      <c r="AK53" s="986">
        <f>IF(Producción_Lecheria[[#This Row],[Fecha Económico]]=0,0,MONTH(Producción_Lecheria[[#This Row],[Fecha Económico]]))</f>
        <v>10</v>
      </c>
      <c r="AL53" s="986">
        <f>IF(Producción_Lecheria[[#This Row],[Fecha Económico]]=0,0,YEAR(Producción_Lecheria[[#This Row],[Fecha Económico]]))</f>
        <v>2018</v>
      </c>
      <c r="AM53" s="987">
        <f>SUMPRODUCT((Producción_Lecheria[[#This Row],[Mes Económico]]=Tipo_Cambio[Mes])*(Producción_Lecheria[[#This Row],[Año Económico]]=Tipo_Cambio[Año])*(Tipo_Cambio[$/U$S]))</f>
        <v>22.666622</v>
      </c>
      <c r="AN53" s="987">
        <f>SUMPRODUCT((Producción_Lecheria[[#This Row],[Mes Económico]]=Tipo_Cambio[Mes])*(Producción_Lecheria[[#This Row],[Año Económico]]=Tipo_Cambio[Año])*(Tipo_Cambio[Actualización]))</f>
        <v>1.0612079999999999</v>
      </c>
      <c r="AO53" s="986">
        <f>IF(ISNUMBER(Producción_Lecheria[[#This Row],[Fecha Financiero]])=TRUE,MONTH(Producción_Lecheria[[#This Row],[Fecha Financiero]]),0)</f>
        <v>0</v>
      </c>
      <c r="AP53" s="986">
        <f>IF(ISNUMBER(Producción_Lecheria[[#This Row],[Fecha Financiero]])=TRUE,YEAR(Producción_Lecheria[[#This Row],[Fecha Financiero]]),0)</f>
        <v>0</v>
      </c>
      <c r="AQ53" s="987">
        <f>SUMPRODUCT((Producción_Lecheria[[#This Row],[Mes Financiero]]=Tipo_Cambio[Mes])*(Producción_Lecheria[[#This Row],[Año Financiero]]=Tipo_Cambio[Año])*(Tipo_Cambio[$/U$S]))</f>
        <v>0</v>
      </c>
      <c r="AR53" s="987">
        <f>SUMPRODUCT((Producción_Lecheria[[#This Row],[Mes Financiero]]=Tipo_Cambio[Mes])*(Producción_Lecheria[[#This Row],[Año Financiero]]=Tipo_Cambio[Año])*(Tipo_Cambio[Actualización]))</f>
        <v>0</v>
      </c>
      <c r="AS53" s="1009">
        <f>SUMPRODUCT((Producción_Lecheria[[#This Row],[Centro de Costo]]=Tabla1924[Centro de Costo])*(Tabla19[Superficie]))</f>
        <v>2356</v>
      </c>
      <c r="AT53" s="1010">
        <f>IFERROR(Producción_Lecheria[[#This Row],[Económico $Corrientes]]/Producción_Lecheria[[#This Row],[Superficie]],0)</f>
        <v>0</v>
      </c>
      <c r="AU53" s="1010">
        <f>IFERROR(Producción_Lecheria[[#This Row],[Económico $Constantes]]/Producción_Lecheria[[#This Row],[Superficie]],0)</f>
        <v>0</v>
      </c>
      <c r="AV53" s="1010">
        <f>IFERROR(Producción_Lecheria[[#This Row],[Económico U$S Dólares]]/Producción_Lecheria[[#This Row],[Superficie]],0)</f>
        <v>0</v>
      </c>
      <c r="AW53" s="992" t="str">
        <f>IF(Económico!$F$4=0,0,Producción_Lecheria[Centro de Costo])</f>
        <v>Campo 1</v>
      </c>
    </row>
    <row r="54" spans="1:49" x14ac:dyDescent="0.25">
      <c r="A54" s="86"/>
      <c r="B54" s="86"/>
      <c r="C54" s="86"/>
      <c r="D54" s="528">
        <f t="shared" si="6"/>
        <v>43374</v>
      </c>
      <c r="E54" s="493"/>
      <c r="F54" s="479" t="str">
        <f>Campaña_Actual</f>
        <v>2018-2019</v>
      </c>
      <c r="G54" s="576" t="str">
        <f t="shared" si="5"/>
        <v>Entrada Nacimientos</v>
      </c>
      <c r="H54" s="481" t="s">
        <v>2</v>
      </c>
      <c r="I54" s="481" t="s">
        <v>131</v>
      </c>
      <c r="J54" s="549"/>
      <c r="K54" s="484"/>
      <c r="L5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5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54" s="520"/>
      <c r="O5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54" s="563"/>
      <c r="Q54" s="491"/>
      <c r="R54" s="875">
        <f>IF(ISNUMBER(Producción_Lecheria[[#This Row],[Cabezas]])=TRUE,Producción_Lecheria[[#This Row],[Cabezas]]*Producción_Lecheria[[#This Row],[Cantidad]],Producción_Lecheria[[#This Row],[Cantidad]])</f>
        <v>0</v>
      </c>
      <c r="S54" s="491"/>
      <c r="T54" s="552"/>
      <c r="U54" s="553"/>
      <c r="V5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54" s="989">
        <f>IFERROR(Producción_Lecheria[[#This Row],[Económico $Corrientes]]/Producción_Lecheria[[#This Row],[Indexación Económico]],0)</f>
        <v>0</v>
      </c>
      <c r="X5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5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54" s="989">
        <f>IFERROR(Producción_Lecheria[[#This Row],[Financiero $Corrientes]]/Producción_Lecheria[[#This Row],[Indexación Financiero]],0)</f>
        <v>0</v>
      </c>
      <c r="AA5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5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54" s="981">
        <f>IFERROR(Producción_Lecheria[[#This Row],[Intereses $Corrientes]]/Producción_Lecheria[[#This Row],[Indexación Financiero]],0)</f>
        <v>0</v>
      </c>
      <c r="AD5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54" s="991" t="str">
        <f>IFERROR(INDEX(Produccion_Lecheria_Cuentas[],MATCH(Producción_Lecheria[[#This Row],[Cuenta Contable]],Produccion_Lecheria_Cuentas[Cuenta Contable],0),2),0)</f>
        <v>Mov. Hacienda</v>
      </c>
      <c r="AF54" s="992">
        <f>IF(Producción_Lecheria[[#This Row],[Mov. Stock]]="(+)",Producción_Lecheria[[#This Row],[Cabezas]],IF(Producción_Lecheria[[#This Row],[Mov. Stock]]="(-)",-Producción_Lecheria[[#This Row],[Cabezas]],0))</f>
        <v>0</v>
      </c>
      <c r="AG54" s="993" t="str">
        <f>IFERROR(INDEX(Produccion_Lecheria_Cuentas[],MATCH(Producción_Lecheria[[#This Row],[Cuenta Contable]],Produccion_Lecheria_Cuentas[Cuenta Contable],0),5),0)</f>
        <v>(+)</v>
      </c>
      <c r="AH54" s="985" t="str">
        <f>IF(Producción_Lecheria[[#This Row],[Cuenta Contable]]=Configuración!$AC$9,"Si","No")</f>
        <v>No</v>
      </c>
      <c r="AI54" s="983" t="str">
        <f>IFERROR(INDEX(Tabla9[],MATCH(Producción_Lecheria[[#This Row],[Movimiento]],Tabla9[Movimientos],0),2),0)</f>
        <v>No</v>
      </c>
      <c r="AJ54" s="984">
        <f>IFERROR(INDEX(Tabla9[],MATCH(Producción_Lecheria[[#This Row],[Movimiento]],Tabla9[Movimientos],0),3),0)</f>
        <v>0</v>
      </c>
      <c r="AK54" s="986">
        <f>IF(Producción_Lecheria[[#This Row],[Fecha Económico]]=0,0,MONTH(Producción_Lecheria[[#This Row],[Fecha Económico]]))</f>
        <v>10</v>
      </c>
      <c r="AL54" s="986">
        <f>IF(Producción_Lecheria[[#This Row],[Fecha Económico]]=0,0,YEAR(Producción_Lecheria[[#This Row],[Fecha Económico]]))</f>
        <v>2018</v>
      </c>
      <c r="AM54" s="987">
        <f>SUMPRODUCT((Producción_Lecheria[[#This Row],[Mes Económico]]=Tipo_Cambio[Mes])*(Producción_Lecheria[[#This Row],[Año Económico]]=Tipo_Cambio[Año])*(Tipo_Cambio[$/U$S]))</f>
        <v>22.666622</v>
      </c>
      <c r="AN54" s="987">
        <f>SUMPRODUCT((Producción_Lecheria[[#This Row],[Mes Económico]]=Tipo_Cambio[Mes])*(Producción_Lecheria[[#This Row],[Año Económico]]=Tipo_Cambio[Año])*(Tipo_Cambio[Actualización]))</f>
        <v>1.0612079999999999</v>
      </c>
      <c r="AO54" s="986">
        <f>IF(ISNUMBER(Producción_Lecheria[[#This Row],[Fecha Financiero]])=TRUE,MONTH(Producción_Lecheria[[#This Row],[Fecha Financiero]]),0)</f>
        <v>0</v>
      </c>
      <c r="AP54" s="986">
        <f>IF(ISNUMBER(Producción_Lecheria[[#This Row],[Fecha Financiero]])=TRUE,YEAR(Producción_Lecheria[[#This Row],[Fecha Financiero]]),0)</f>
        <v>0</v>
      </c>
      <c r="AQ54" s="987">
        <f>SUMPRODUCT((Producción_Lecheria[[#This Row],[Mes Financiero]]=Tipo_Cambio[Mes])*(Producción_Lecheria[[#This Row],[Año Financiero]]=Tipo_Cambio[Año])*(Tipo_Cambio[$/U$S]))</f>
        <v>0</v>
      </c>
      <c r="AR54" s="987">
        <f>SUMPRODUCT((Producción_Lecheria[[#This Row],[Mes Financiero]]=Tipo_Cambio[Mes])*(Producción_Lecheria[[#This Row],[Año Financiero]]=Tipo_Cambio[Año])*(Tipo_Cambio[Actualización]))</f>
        <v>0</v>
      </c>
      <c r="AS54" s="1009">
        <f>SUMPRODUCT((Producción_Lecheria[[#This Row],[Centro de Costo]]=Tabla1924[Centro de Costo])*(Tabla19[Superficie]))</f>
        <v>2356</v>
      </c>
      <c r="AT54" s="1010">
        <f>IFERROR(Producción_Lecheria[[#This Row],[Económico $Corrientes]]/Producción_Lecheria[[#This Row],[Superficie]],0)</f>
        <v>0</v>
      </c>
      <c r="AU54" s="1010">
        <f>IFERROR(Producción_Lecheria[[#This Row],[Económico $Constantes]]/Producción_Lecheria[[#This Row],[Superficie]],0)</f>
        <v>0</v>
      </c>
      <c r="AV54" s="1010">
        <f>IFERROR(Producción_Lecheria[[#This Row],[Económico U$S Dólares]]/Producción_Lecheria[[#This Row],[Superficie]],0)</f>
        <v>0</v>
      </c>
      <c r="AW54" s="992" t="str">
        <f>IF(Económico!$F$4=0,0,Producción_Lecheria[Centro de Costo])</f>
        <v>Campo 1</v>
      </c>
    </row>
    <row r="55" spans="1:49" x14ac:dyDescent="0.25">
      <c r="A55" s="86"/>
      <c r="B55" s="86"/>
      <c r="C55" s="86"/>
      <c r="D55" s="528">
        <f t="shared" si="6"/>
        <v>43405</v>
      </c>
      <c r="E55" s="522"/>
      <c r="F55" s="479" t="str">
        <f t="shared" si="7"/>
        <v>2018-2019</v>
      </c>
      <c r="G55" s="480" t="str">
        <f t="shared" si="5"/>
        <v>Entrada Nacimientos</v>
      </c>
      <c r="H55" s="481" t="s">
        <v>2</v>
      </c>
      <c r="I55" s="481" t="s">
        <v>130</v>
      </c>
      <c r="J55" s="549"/>
      <c r="K55" s="484"/>
      <c r="L5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5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55" s="520"/>
      <c r="O5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55" s="563"/>
      <c r="Q55" s="491"/>
      <c r="R55" s="875">
        <f>IF(ISNUMBER(Producción_Lecheria[[#This Row],[Cabezas]])=TRUE,Producción_Lecheria[[#This Row],[Cabezas]]*Producción_Lecheria[[#This Row],[Cantidad]],Producción_Lecheria[[#This Row],[Cantidad]])</f>
        <v>0</v>
      </c>
      <c r="S55" s="491"/>
      <c r="T55" s="552"/>
      <c r="U55" s="553"/>
      <c r="V5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55" s="989">
        <f>IFERROR(Producción_Lecheria[[#This Row],[Económico $Corrientes]]/Producción_Lecheria[[#This Row],[Indexación Económico]],0)</f>
        <v>0</v>
      </c>
      <c r="X5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5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55" s="989">
        <f>IFERROR(Producción_Lecheria[[#This Row],[Financiero $Corrientes]]/Producción_Lecheria[[#This Row],[Indexación Financiero]],0)</f>
        <v>0</v>
      </c>
      <c r="AA5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5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55" s="981">
        <f>IFERROR(Producción_Lecheria[[#This Row],[Intereses $Corrientes]]/Producción_Lecheria[[#This Row],[Indexación Financiero]],0)</f>
        <v>0</v>
      </c>
      <c r="AD5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55" s="991" t="str">
        <f>IFERROR(INDEX(Produccion_Lecheria_Cuentas[],MATCH(Producción_Lecheria[[#This Row],[Cuenta Contable]],Produccion_Lecheria_Cuentas[Cuenta Contable],0),2),0)</f>
        <v>Mov. Hacienda</v>
      </c>
      <c r="AF55" s="992">
        <f>IF(Producción_Lecheria[[#This Row],[Mov. Stock]]="(+)",Producción_Lecheria[[#This Row],[Cabezas]],IF(Producción_Lecheria[[#This Row],[Mov. Stock]]="(-)",-Producción_Lecheria[[#This Row],[Cabezas]],0))</f>
        <v>0</v>
      </c>
      <c r="AG55" s="993" t="str">
        <f>IFERROR(INDEX(Produccion_Lecheria_Cuentas[],MATCH(Producción_Lecheria[[#This Row],[Cuenta Contable]],Produccion_Lecheria_Cuentas[Cuenta Contable],0),5),0)</f>
        <v>(+)</v>
      </c>
      <c r="AH55" s="985" t="str">
        <f>IF(Producción_Lecheria[[#This Row],[Cuenta Contable]]=Configuración!$AC$9,"Si","No")</f>
        <v>No</v>
      </c>
      <c r="AI55" s="983" t="str">
        <f>IFERROR(INDEX(Tabla9[],MATCH(Producción_Lecheria[[#This Row],[Movimiento]],Tabla9[Movimientos],0),2),0)</f>
        <v>No</v>
      </c>
      <c r="AJ55" s="984">
        <f>IFERROR(INDEX(Tabla9[],MATCH(Producción_Lecheria[[#This Row],[Movimiento]],Tabla9[Movimientos],0),3),0)</f>
        <v>0</v>
      </c>
      <c r="AK55" s="986">
        <f>IF(Producción_Lecheria[[#This Row],[Fecha Económico]]=0,0,MONTH(Producción_Lecheria[[#This Row],[Fecha Económico]]))</f>
        <v>11</v>
      </c>
      <c r="AL55" s="986">
        <f>IF(Producción_Lecheria[[#This Row],[Fecha Económico]]=0,0,YEAR(Producción_Lecheria[[#This Row],[Fecha Económico]]))</f>
        <v>2018</v>
      </c>
      <c r="AM55" s="987">
        <f>SUMPRODUCT((Producción_Lecheria[[#This Row],[Mes Económico]]=Tipo_Cambio[Mes])*(Producción_Lecheria[[#This Row],[Año Económico]]=Tipo_Cambio[Año])*(Tipo_Cambio[$/U$S]))</f>
        <v>22.893288219999999</v>
      </c>
      <c r="AN55" s="987">
        <f>SUMPRODUCT((Producción_Lecheria[[#This Row],[Mes Económico]]=Tipo_Cambio[Mes])*(Producción_Lecheria[[#This Row],[Año Económico]]=Tipo_Cambio[Año])*(Tipo_Cambio[Actualización]))</f>
        <v>1.08243216</v>
      </c>
      <c r="AO55" s="986">
        <f>IF(ISNUMBER(Producción_Lecheria[[#This Row],[Fecha Financiero]])=TRUE,MONTH(Producción_Lecheria[[#This Row],[Fecha Financiero]]),0)</f>
        <v>0</v>
      </c>
      <c r="AP55" s="986">
        <f>IF(ISNUMBER(Producción_Lecheria[[#This Row],[Fecha Financiero]])=TRUE,YEAR(Producción_Lecheria[[#This Row],[Fecha Financiero]]),0)</f>
        <v>0</v>
      </c>
      <c r="AQ55" s="987">
        <f>SUMPRODUCT((Producción_Lecheria[[#This Row],[Mes Financiero]]=Tipo_Cambio[Mes])*(Producción_Lecheria[[#This Row],[Año Financiero]]=Tipo_Cambio[Año])*(Tipo_Cambio[$/U$S]))</f>
        <v>0</v>
      </c>
      <c r="AR55" s="987">
        <f>SUMPRODUCT((Producción_Lecheria[[#This Row],[Mes Financiero]]=Tipo_Cambio[Mes])*(Producción_Lecheria[[#This Row],[Año Financiero]]=Tipo_Cambio[Año])*(Tipo_Cambio[Actualización]))</f>
        <v>0</v>
      </c>
      <c r="AS55" s="1009">
        <f>SUMPRODUCT((Producción_Lecheria[[#This Row],[Centro de Costo]]=Tabla1924[Centro de Costo])*(Tabla19[Superficie]))</f>
        <v>2356</v>
      </c>
      <c r="AT55" s="1010">
        <f>IFERROR(Producción_Lecheria[[#This Row],[Económico $Corrientes]]/Producción_Lecheria[[#This Row],[Superficie]],0)</f>
        <v>0</v>
      </c>
      <c r="AU55" s="1010">
        <f>IFERROR(Producción_Lecheria[[#This Row],[Económico $Constantes]]/Producción_Lecheria[[#This Row],[Superficie]],0)</f>
        <v>0</v>
      </c>
      <c r="AV55" s="1010">
        <f>IFERROR(Producción_Lecheria[[#This Row],[Económico U$S Dólares]]/Producción_Lecheria[[#This Row],[Superficie]],0)</f>
        <v>0</v>
      </c>
      <c r="AW55" s="992" t="str">
        <f>IF(Económico!$F$4=0,0,Producción_Lecheria[Centro de Costo])</f>
        <v>Campo 1</v>
      </c>
    </row>
    <row r="56" spans="1:49" x14ac:dyDescent="0.25">
      <c r="A56" s="86"/>
      <c r="B56" s="86"/>
      <c r="C56" s="86"/>
      <c r="D56" s="528">
        <f t="shared" si="6"/>
        <v>43405</v>
      </c>
      <c r="E56" s="493"/>
      <c r="F56" s="479" t="str">
        <f>Campaña_Actual</f>
        <v>2018-2019</v>
      </c>
      <c r="G56" s="576" t="str">
        <f t="shared" si="5"/>
        <v>Entrada Nacimientos</v>
      </c>
      <c r="H56" s="481" t="s">
        <v>2</v>
      </c>
      <c r="I56" s="481" t="s">
        <v>131</v>
      </c>
      <c r="J56" s="549"/>
      <c r="K56" s="484"/>
      <c r="L5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5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56" s="520"/>
      <c r="O5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56" s="563"/>
      <c r="Q56" s="491"/>
      <c r="R56" s="875">
        <f>IF(ISNUMBER(Producción_Lecheria[[#This Row],[Cabezas]])=TRUE,Producción_Lecheria[[#This Row],[Cabezas]]*Producción_Lecheria[[#This Row],[Cantidad]],Producción_Lecheria[[#This Row],[Cantidad]])</f>
        <v>0</v>
      </c>
      <c r="S56" s="491"/>
      <c r="T56" s="552"/>
      <c r="U56" s="553"/>
      <c r="V5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56" s="989">
        <f>IFERROR(Producción_Lecheria[[#This Row],[Económico $Corrientes]]/Producción_Lecheria[[#This Row],[Indexación Económico]],0)</f>
        <v>0</v>
      </c>
      <c r="X5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5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56" s="989">
        <f>IFERROR(Producción_Lecheria[[#This Row],[Financiero $Corrientes]]/Producción_Lecheria[[#This Row],[Indexación Financiero]],0)</f>
        <v>0</v>
      </c>
      <c r="AA5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5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56" s="981">
        <f>IFERROR(Producción_Lecheria[[#This Row],[Intereses $Corrientes]]/Producción_Lecheria[[#This Row],[Indexación Financiero]],0)</f>
        <v>0</v>
      </c>
      <c r="AD5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56" s="991" t="str">
        <f>IFERROR(INDEX(Produccion_Lecheria_Cuentas[],MATCH(Producción_Lecheria[[#This Row],[Cuenta Contable]],Produccion_Lecheria_Cuentas[Cuenta Contable],0),2),0)</f>
        <v>Mov. Hacienda</v>
      </c>
      <c r="AF56" s="992">
        <f>IF(Producción_Lecheria[[#This Row],[Mov. Stock]]="(+)",Producción_Lecheria[[#This Row],[Cabezas]],IF(Producción_Lecheria[[#This Row],[Mov. Stock]]="(-)",-Producción_Lecheria[[#This Row],[Cabezas]],0))</f>
        <v>0</v>
      </c>
      <c r="AG56" s="993" t="str">
        <f>IFERROR(INDEX(Produccion_Lecheria_Cuentas[],MATCH(Producción_Lecheria[[#This Row],[Cuenta Contable]],Produccion_Lecheria_Cuentas[Cuenta Contable],0),5),0)</f>
        <v>(+)</v>
      </c>
      <c r="AH56" s="985" t="str">
        <f>IF(Producción_Lecheria[[#This Row],[Cuenta Contable]]=Configuración!$AC$9,"Si","No")</f>
        <v>No</v>
      </c>
      <c r="AI56" s="983" t="str">
        <f>IFERROR(INDEX(Tabla9[],MATCH(Producción_Lecheria[[#This Row],[Movimiento]],Tabla9[Movimientos],0),2),0)</f>
        <v>No</v>
      </c>
      <c r="AJ56" s="984">
        <f>IFERROR(INDEX(Tabla9[],MATCH(Producción_Lecheria[[#This Row],[Movimiento]],Tabla9[Movimientos],0),3),0)</f>
        <v>0</v>
      </c>
      <c r="AK56" s="986">
        <f>IF(Producción_Lecheria[[#This Row],[Fecha Económico]]=0,0,MONTH(Producción_Lecheria[[#This Row],[Fecha Económico]]))</f>
        <v>11</v>
      </c>
      <c r="AL56" s="986">
        <f>IF(Producción_Lecheria[[#This Row],[Fecha Económico]]=0,0,YEAR(Producción_Lecheria[[#This Row],[Fecha Económico]]))</f>
        <v>2018</v>
      </c>
      <c r="AM56" s="987">
        <f>SUMPRODUCT((Producción_Lecheria[[#This Row],[Mes Económico]]=Tipo_Cambio[Mes])*(Producción_Lecheria[[#This Row],[Año Económico]]=Tipo_Cambio[Año])*(Tipo_Cambio[$/U$S]))</f>
        <v>22.893288219999999</v>
      </c>
      <c r="AN56" s="987">
        <f>SUMPRODUCT((Producción_Lecheria[[#This Row],[Mes Económico]]=Tipo_Cambio[Mes])*(Producción_Lecheria[[#This Row],[Año Económico]]=Tipo_Cambio[Año])*(Tipo_Cambio[Actualización]))</f>
        <v>1.08243216</v>
      </c>
      <c r="AO56" s="986">
        <f>IF(ISNUMBER(Producción_Lecheria[[#This Row],[Fecha Financiero]])=TRUE,MONTH(Producción_Lecheria[[#This Row],[Fecha Financiero]]),0)</f>
        <v>0</v>
      </c>
      <c r="AP56" s="986">
        <f>IF(ISNUMBER(Producción_Lecheria[[#This Row],[Fecha Financiero]])=TRUE,YEAR(Producción_Lecheria[[#This Row],[Fecha Financiero]]),0)</f>
        <v>0</v>
      </c>
      <c r="AQ56" s="987">
        <f>SUMPRODUCT((Producción_Lecheria[[#This Row],[Mes Financiero]]=Tipo_Cambio[Mes])*(Producción_Lecheria[[#This Row],[Año Financiero]]=Tipo_Cambio[Año])*(Tipo_Cambio[$/U$S]))</f>
        <v>0</v>
      </c>
      <c r="AR56" s="987">
        <f>SUMPRODUCT((Producción_Lecheria[[#This Row],[Mes Financiero]]=Tipo_Cambio[Mes])*(Producción_Lecheria[[#This Row],[Año Financiero]]=Tipo_Cambio[Año])*(Tipo_Cambio[Actualización]))</f>
        <v>0</v>
      </c>
      <c r="AS56" s="1009">
        <f>SUMPRODUCT((Producción_Lecheria[[#This Row],[Centro de Costo]]=Tabla1924[Centro de Costo])*(Tabla19[Superficie]))</f>
        <v>2356</v>
      </c>
      <c r="AT56" s="1010">
        <f>IFERROR(Producción_Lecheria[[#This Row],[Económico $Corrientes]]/Producción_Lecheria[[#This Row],[Superficie]],0)</f>
        <v>0</v>
      </c>
      <c r="AU56" s="1010">
        <f>IFERROR(Producción_Lecheria[[#This Row],[Económico $Constantes]]/Producción_Lecheria[[#This Row],[Superficie]],0)</f>
        <v>0</v>
      </c>
      <c r="AV56" s="1010">
        <f>IFERROR(Producción_Lecheria[[#This Row],[Económico U$S Dólares]]/Producción_Lecheria[[#This Row],[Superficie]],0)</f>
        <v>0</v>
      </c>
      <c r="AW56" s="992" t="str">
        <f>IF(Económico!$F$4=0,0,Producción_Lecheria[Centro de Costo])</f>
        <v>Campo 1</v>
      </c>
    </row>
    <row r="57" spans="1:49" x14ac:dyDescent="0.25">
      <c r="A57" s="86"/>
      <c r="B57" s="86"/>
      <c r="C57" s="86"/>
      <c r="D57" s="528">
        <f t="shared" si="6"/>
        <v>43435</v>
      </c>
      <c r="E57" s="522"/>
      <c r="F57" s="479" t="str">
        <f t="shared" si="7"/>
        <v>2018-2019</v>
      </c>
      <c r="G57" s="480" t="str">
        <f t="shared" si="5"/>
        <v>Entrada Nacimientos</v>
      </c>
      <c r="H57" s="481" t="s">
        <v>2</v>
      </c>
      <c r="I57" s="481" t="s">
        <v>130</v>
      </c>
      <c r="J57" s="549"/>
      <c r="K57" s="484"/>
      <c r="L5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5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57" s="520"/>
      <c r="O5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57" s="563"/>
      <c r="Q57" s="491"/>
      <c r="R57" s="875">
        <f>IF(ISNUMBER(Producción_Lecheria[[#This Row],[Cabezas]])=TRUE,Producción_Lecheria[[#This Row],[Cabezas]]*Producción_Lecheria[[#This Row],[Cantidad]],Producción_Lecheria[[#This Row],[Cantidad]])</f>
        <v>0</v>
      </c>
      <c r="S57" s="491"/>
      <c r="T57" s="552"/>
      <c r="U57" s="553"/>
      <c r="V5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57" s="989">
        <f>IFERROR(Producción_Lecheria[[#This Row],[Económico $Corrientes]]/Producción_Lecheria[[#This Row],[Indexación Económico]],0)</f>
        <v>0</v>
      </c>
      <c r="X5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5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57" s="989">
        <f>IFERROR(Producción_Lecheria[[#This Row],[Financiero $Corrientes]]/Producción_Lecheria[[#This Row],[Indexación Financiero]],0)</f>
        <v>0</v>
      </c>
      <c r="AA5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5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57" s="981">
        <f>IFERROR(Producción_Lecheria[[#This Row],[Intereses $Corrientes]]/Producción_Lecheria[[#This Row],[Indexación Financiero]],0)</f>
        <v>0</v>
      </c>
      <c r="AD5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57" s="991" t="str">
        <f>IFERROR(INDEX(Produccion_Lecheria_Cuentas[],MATCH(Producción_Lecheria[[#This Row],[Cuenta Contable]],Produccion_Lecheria_Cuentas[Cuenta Contable],0),2),0)</f>
        <v>Mov. Hacienda</v>
      </c>
      <c r="AF57" s="992">
        <f>IF(Producción_Lecheria[[#This Row],[Mov. Stock]]="(+)",Producción_Lecheria[[#This Row],[Cabezas]],IF(Producción_Lecheria[[#This Row],[Mov. Stock]]="(-)",-Producción_Lecheria[[#This Row],[Cabezas]],0))</f>
        <v>0</v>
      </c>
      <c r="AG57" s="993" t="str">
        <f>IFERROR(INDEX(Produccion_Lecheria_Cuentas[],MATCH(Producción_Lecheria[[#This Row],[Cuenta Contable]],Produccion_Lecheria_Cuentas[Cuenta Contable],0),5),0)</f>
        <v>(+)</v>
      </c>
      <c r="AH57" s="985" t="str">
        <f>IF(Producción_Lecheria[[#This Row],[Cuenta Contable]]=Configuración!$AC$9,"Si","No")</f>
        <v>No</v>
      </c>
      <c r="AI57" s="983" t="str">
        <f>IFERROR(INDEX(Tabla9[],MATCH(Producción_Lecheria[[#This Row],[Movimiento]],Tabla9[Movimientos],0),2),0)</f>
        <v>No</v>
      </c>
      <c r="AJ57" s="984">
        <f>IFERROR(INDEX(Tabla9[],MATCH(Producción_Lecheria[[#This Row],[Movimiento]],Tabla9[Movimientos],0),3),0)</f>
        <v>0</v>
      </c>
      <c r="AK57" s="986">
        <f>IF(Producción_Lecheria[[#This Row],[Fecha Económico]]=0,0,MONTH(Producción_Lecheria[[#This Row],[Fecha Económico]]))</f>
        <v>12</v>
      </c>
      <c r="AL57" s="986">
        <f>IF(Producción_Lecheria[[#This Row],[Fecha Económico]]=0,0,YEAR(Producción_Lecheria[[#This Row],[Fecha Económico]]))</f>
        <v>2018</v>
      </c>
      <c r="AM57" s="987">
        <f>SUMPRODUCT((Producción_Lecheria[[#This Row],[Mes Económico]]=Tipo_Cambio[Mes])*(Producción_Lecheria[[#This Row],[Año Económico]]=Tipo_Cambio[Año])*(Tipo_Cambio[$/U$S]))</f>
        <v>23.122221102199997</v>
      </c>
      <c r="AN57" s="987">
        <f>SUMPRODUCT((Producción_Lecheria[[#This Row],[Mes Económico]]=Tipo_Cambio[Mes])*(Producción_Lecheria[[#This Row],[Año Económico]]=Tipo_Cambio[Año])*(Tipo_Cambio[Actualización]))</f>
        <v>1.1040808032</v>
      </c>
      <c r="AO57" s="986">
        <f>IF(ISNUMBER(Producción_Lecheria[[#This Row],[Fecha Financiero]])=TRUE,MONTH(Producción_Lecheria[[#This Row],[Fecha Financiero]]),0)</f>
        <v>0</v>
      </c>
      <c r="AP57" s="986">
        <f>IF(ISNUMBER(Producción_Lecheria[[#This Row],[Fecha Financiero]])=TRUE,YEAR(Producción_Lecheria[[#This Row],[Fecha Financiero]]),0)</f>
        <v>0</v>
      </c>
      <c r="AQ57" s="987">
        <f>SUMPRODUCT((Producción_Lecheria[[#This Row],[Mes Financiero]]=Tipo_Cambio[Mes])*(Producción_Lecheria[[#This Row],[Año Financiero]]=Tipo_Cambio[Año])*(Tipo_Cambio[$/U$S]))</f>
        <v>0</v>
      </c>
      <c r="AR57" s="987">
        <f>SUMPRODUCT((Producción_Lecheria[[#This Row],[Mes Financiero]]=Tipo_Cambio[Mes])*(Producción_Lecheria[[#This Row],[Año Financiero]]=Tipo_Cambio[Año])*(Tipo_Cambio[Actualización]))</f>
        <v>0</v>
      </c>
      <c r="AS57" s="1009">
        <f>SUMPRODUCT((Producción_Lecheria[[#This Row],[Centro de Costo]]=Tabla1924[Centro de Costo])*(Tabla19[Superficie]))</f>
        <v>2356</v>
      </c>
      <c r="AT57" s="1010">
        <f>IFERROR(Producción_Lecheria[[#This Row],[Económico $Corrientes]]/Producción_Lecheria[[#This Row],[Superficie]],0)</f>
        <v>0</v>
      </c>
      <c r="AU57" s="1010">
        <f>IFERROR(Producción_Lecheria[[#This Row],[Económico $Constantes]]/Producción_Lecheria[[#This Row],[Superficie]],0)</f>
        <v>0</v>
      </c>
      <c r="AV57" s="1010">
        <f>IFERROR(Producción_Lecheria[[#This Row],[Económico U$S Dólares]]/Producción_Lecheria[[#This Row],[Superficie]],0)</f>
        <v>0</v>
      </c>
      <c r="AW57" s="992" t="str">
        <f>IF(Económico!$F$4=0,0,Producción_Lecheria[Centro de Costo])</f>
        <v>Campo 1</v>
      </c>
    </row>
    <row r="58" spans="1:49" x14ac:dyDescent="0.25">
      <c r="A58" s="86"/>
      <c r="B58" s="86"/>
      <c r="C58" s="86"/>
      <c r="D58" s="528">
        <f t="shared" si="6"/>
        <v>43435</v>
      </c>
      <c r="E58" s="493"/>
      <c r="F58" s="479" t="str">
        <f>Campaña_Actual</f>
        <v>2018-2019</v>
      </c>
      <c r="G58" s="576" t="str">
        <f t="shared" si="5"/>
        <v>Entrada Nacimientos</v>
      </c>
      <c r="H58" s="481" t="s">
        <v>2</v>
      </c>
      <c r="I58" s="481" t="s">
        <v>131</v>
      </c>
      <c r="J58" s="549"/>
      <c r="K58" s="484"/>
      <c r="L5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5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58" s="520"/>
      <c r="O5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58" s="563"/>
      <c r="Q58" s="491"/>
      <c r="R58" s="875">
        <f>IF(ISNUMBER(Producción_Lecheria[[#This Row],[Cabezas]])=TRUE,Producción_Lecheria[[#This Row],[Cabezas]]*Producción_Lecheria[[#This Row],[Cantidad]],Producción_Lecheria[[#This Row],[Cantidad]])</f>
        <v>0</v>
      </c>
      <c r="S58" s="491"/>
      <c r="T58" s="552"/>
      <c r="U58" s="553"/>
      <c r="V5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58" s="989">
        <f>IFERROR(Producción_Lecheria[[#This Row],[Económico $Corrientes]]/Producción_Lecheria[[#This Row],[Indexación Económico]],0)</f>
        <v>0</v>
      </c>
      <c r="X5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5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58" s="989">
        <f>IFERROR(Producción_Lecheria[[#This Row],[Financiero $Corrientes]]/Producción_Lecheria[[#This Row],[Indexación Financiero]],0)</f>
        <v>0</v>
      </c>
      <c r="AA5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5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58" s="981">
        <f>IFERROR(Producción_Lecheria[[#This Row],[Intereses $Corrientes]]/Producción_Lecheria[[#This Row],[Indexación Financiero]],0)</f>
        <v>0</v>
      </c>
      <c r="AD5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58" s="991" t="str">
        <f>IFERROR(INDEX(Produccion_Lecheria_Cuentas[],MATCH(Producción_Lecheria[[#This Row],[Cuenta Contable]],Produccion_Lecheria_Cuentas[Cuenta Contable],0),2),0)</f>
        <v>Mov. Hacienda</v>
      </c>
      <c r="AF58" s="992">
        <f>IF(Producción_Lecheria[[#This Row],[Mov. Stock]]="(+)",Producción_Lecheria[[#This Row],[Cabezas]],IF(Producción_Lecheria[[#This Row],[Mov. Stock]]="(-)",-Producción_Lecheria[[#This Row],[Cabezas]],0))</f>
        <v>0</v>
      </c>
      <c r="AG58" s="993" t="str">
        <f>IFERROR(INDEX(Produccion_Lecheria_Cuentas[],MATCH(Producción_Lecheria[[#This Row],[Cuenta Contable]],Produccion_Lecheria_Cuentas[Cuenta Contable],0),5),0)</f>
        <v>(+)</v>
      </c>
      <c r="AH58" s="985" t="str">
        <f>IF(Producción_Lecheria[[#This Row],[Cuenta Contable]]=Configuración!$AC$9,"Si","No")</f>
        <v>No</v>
      </c>
      <c r="AI58" s="983" t="str">
        <f>IFERROR(INDEX(Tabla9[],MATCH(Producción_Lecheria[[#This Row],[Movimiento]],Tabla9[Movimientos],0),2),0)</f>
        <v>No</v>
      </c>
      <c r="AJ58" s="984">
        <f>IFERROR(INDEX(Tabla9[],MATCH(Producción_Lecheria[[#This Row],[Movimiento]],Tabla9[Movimientos],0),3),0)</f>
        <v>0</v>
      </c>
      <c r="AK58" s="986">
        <f>IF(Producción_Lecheria[[#This Row],[Fecha Económico]]=0,0,MONTH(Producción_Lecheria[[#This Row],[Fecha Económico]]))</f>
        <v>12</v>
      </c>
      <c r="AL58" s="986">
        <f>IF(Producción_Lecheria[[#This Row],[Fecha Económico]]=0,0,YEAR(Producción_Lecheria[[#This Row],[Fecha Económico]]))</f>
        <v>2018</v>
      </c>
      <c r="AM58" s="987">
        <f>SUMPRODUCT((Producción_Lecheria[[#This Row],[Mes Económico]]=Tipo_Cambio[Mes])*(Producción_Lecheria[[#This Row],[Año Económico]]=Tipo_Cambio[Año])*(Tipo_Cambio[$/U$S]))</f>
        <v>23.122221102199997</v>
      </c>
      <c r="AN58" s="987">
        <f>SUMPRODUCT((Producción_Lecheria[[#This Row],[Mes Económico]]=Tipo_Cambio[Mes])*(Producción_Lecheria[[#This Row],[Año Económico]]=Tipo_Cambio[Año])*(Tipo_Cambio[Actualización]))</f>
        <v>1.1040808032</v>
      </c>
      <c r="AO58" s="986">
        <f>IF(ISNUMBER(Producción_Lecheria[[#This Row],[Fecha Financiero]])=TRUE,MONTH(Producción_Lecheria[[#This Row],[Fecha Financiero]]),0)</f>
        <v>0</v>
      </c>
      <c r="AP58" s="986">
        <f>IF(ISNUMBER(Producción_Lecheria[[#This Row],[Fecha Financiero]])=TRUE,YEAR(Producción_Lecheria[[#This Row],[Fecha Financiero]]),0)</f>
        <v>0</v>
      </c>
      <c r="AQ58" s="987">
        <f>SUMPRODUCT((Producción_Lecheria[[#This Row],[Mes Financiero]]=Tipo_Cambio[Mes])*(Producción_Lecheria[[#This Row],[Año Financiero]]=Tipo_Cambio[Año])*(Tipo_Cambio[$/U$S]))</f>
        <v>0</v>
      </c>
      <c r="AR58" s="987">
        <f>SUMPRODUCT((Producción_Lecheria[[#This Row],[Mes Financiero]]=Tipo_Cambio[Mes])*(Producción_Lecheria[[#This Row],[Año Financiero]]=Tipo_Cambio[Año])*(Tipo_Cambio[Actualización]))</f>
        <v>0</v>
      </c>
      <c r="AS58" s="1009">
        <f>SUMPRODUCT((Producción_Lecheria[[#This Row],[Centro de Costo]]=Tabla1924[Centro de Costo])*(Tabla19[Superficie]))</f>
        <v>2356</v>
      </c>
      <c r="AT58" s="1010">
        <f>IFERROR(Producción_Lecheria[[#This Row],[Económico $Corrientes]]/Producción_Lecheria[[#This Row],[Superficie]],0)</f>
        <v>0</v>
      </c>
      <c r="AU58" s="1010">
        <f>IFERROR(Producción_Lecheria[[#This Row],[Económico $Constantes]]/Producción_Lecheria[[#This Row],[Superficie]],0)</f>
        <v>0</v>
      </c>
      <c r="AV58" s="1010">
        <f>IFERROR(Producción_Lecheria[[#This Row],[Económico U$S Dólares]]/Producción_Lecheria[[#This Row],[Superficie]],0)</f>
        <v>0</v>
      </c>
      <c r="AW58" s="992" t="str">
        <f>IF(Económico!$F$4=0,0,Producción_Lecheria[Centro de Costo])</f>
        <v>Campo 1</v>
      </c>
    </row>
    <row r="59" spans="1:49" x14ac:dyDescent="0.25">
      <c r="A59" s="86"/>
      <c r="B59" s="86"/>
      <c r="C59" s="86"/>
      <c r="D59" s="528">
        <f t="shared" si="6"/>
        <v>43466</v>
      </c>
      <c r="E59" s="522"/>
      <c r="F59" s="479" t="str">
        <f t="shared" si="7"/>
        <v>2018-2019</v>
      </c>
      <c r="G59" s="480" t="str">
        <f t="shared" si="5"/>
        <v>Entrada Nacimientos</v>
      </c>
      <c r="H59" s="481" t="s">
        <v>2</v>
      </c>
      <c r="I59" s="481" t="s">
        <v>130</v>
      </c>
      <c r="J59" s="549"/>
      <c r="K59" s="484"/>
      <c r="L5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5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59" s="520"/>
      <c r="O5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59" s="563"/>
      <c r="Q59" s="491"/>
      <c r="R59" s="875">
        <f>IF(ISNUMBER(Producción_Lecheria[[#This Row],[Cabezas]])=TRUE,Producción_Lecheria[[#This Row],[Cabezas]]*Producción_Lecheria[[#This Row],[Cantidad]],Producción_Lecheria[[#This Row],[Cantidad]])</f>
        <v>0</v>
      </c>
      <c r="S59" s="491"/>
      <c r="T59" s="552"/>
      <c r="U59" s="553"/>
      <c r="V5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59" s="989">
        <f>IFERROR(Producción_Lecheria[[#This Row],[Económico $Corrientes]]/Producción_Lecheria[[#This Row],[Indexación Económico]],0)</f>
        <v>0</v>
      </c>
      <c r="X5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5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59" s="989">
        <f>IFERROR(Producción_Lecheria[[#This Row],[Financiero $Corrientes]]/Producción_Lecheria[[#This Row],[Indexación Financiero]],0)</f>
        <v>0</v>
      </c>
      <c r="AA5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5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59" s="981">
        <f>IFERROR(Producción_Lecheria[[#This Row],[Intereses $Corrientes]]/Producción_Lecheria[[#This Row],[Indexación Financiero]],0)</f>
        <v>0</v>
      </c>
      <c r="AD5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59" s="991" t="str">
        <f>IFERROR(INDEX(Produccion_Lecheria_Cuentas[],MATCH(Producción_Lecheria[[#This Row],[Cuenta Contable]],Produccion_Lecheria_Cuentas[Cuenta Contable],0),2),0)</f>
        <v>Mov. Hacienda</v>
      </c>
      <c r="AF59" s="992">
        <f>IF(Producción_Lecheria[[#This Row],[Mov. Stock]]="(+)",Producción_Lecheria[[#This Row],[Cabezas]],IF(Producción_Lecheria[[#This Row],[Mov. Stock]]="(-)",-Producción_Lecheria[[#This Row],[Cabezas]],0))</f>
        <v>0</v>
      </c>
      <c r="AG59" s="993" t="str">
        <f>IFERROR(INDEX(Produccion_Lecheria_Cuentas[],MATCH(Producción_Lecheria[[#This Row],[Cuenta Contable]],Produccion_Lecheria_Cuentas[Cuenta Contable],0),5),0)</f>
        <v>(+)</v>
      </c>
      <c r="AH59" s="985" t="str">
        <f>IF(Producción_Lecheria[[#This Row],[Cuenta Contable]]=Configuración!$AC$9,"Si","No")</f>
        <v>No</v>
      </c>
      <c r="AI59" s="983" t="str">
        <f>IFERROR(INDEX(Tabla9[],MATCH(Producción_Lecheria[[#This Row],[Movimiento]],Tabla9[Movimientos],0),2),0)</f>
        <v>No</v>
      </c>
      <c r="AJ59" s="984">
        <f>IFERROR(INDEX(Tabla9[],MATCH(Producción_Lecheria[[#This Row],[Movimiento]],Tabla9[Movimientos],0),3),0)</f>
        <v>0</v>
      </c>
      <c r="AK59" s="986">
        <f>IF(Producción_Lecheria[[#This Row],[Fecha Económico]]=0,0,MONTH(Producción_Lecheria[[#This Row],[Fecha Económico]]))</f>
        <v>1</v>
      </c>
      <c r="AL59" s="986">
        <f>IF(Producción_Lecheria[[#This Row],[Fecha Económico]]=0,0,YEAR(Producción_Lecheria[[#This Row],[Fecha Económico]]))</f>
        <v>2019</v>
      </c>
      <c r="AM59" s="987">
        <f>SUMPRODUCT((Producción_Lecheria[[#This Row],[Mes Económico]]=Tipo_Cambio[Mes])*(Producción_Lecheria[[#This Row],[Año Económico]]=Tipo_Cambio[Año])*(Tipo_Cambio[$/U$S]))</f>
        <v>23.353443313221998</v>
      </c>
      <c r="AN59" s="987">
        <f>SUMPRODUCT((Producción_Lecheria[[#This Row],[Mes Económico]]=Tipo_Cambio[Mes])*(Producción_Lecheria[[#This Row],[Año Económico]]=Tipo_Cambio[Año])*(Tipo_Cambio[Actualización]))</f>
        <v>1.1261624192640001</v>
      </c>
      <c r="AO59" s="986">
        <f>IF(ISNUMBER(Producción_Lecheria[[#This Row],[Fecha Financiero]])=TRUE,MONTH(Producción_Lecheria[[#This Row],[Fecha Financiero]]),0)</f>
        <v>0</v>
      </c>
      <c r="AP59" s="986">
        <f>IF(ISNUMBER(Producción_Lecheria[[#This Row],[Fecha Financiero]])=TRUE,YEAR(Producción_Lecheria[[#This Row],[Fecha Financiero]]),0)</f>
        <v>0</v>
      </c>
      <c r="AQ59" s="987">
        <f>SUMPRODUCT((Producción_Lecheria[[#This Row],[Mes Financiero]]=Tipo_Cambio[Mes])*(Producción_Lecheria[[#This Row],[Año Financiero]]=Tipo_Cambio[Año])*(Tipo_Cambio[$/U$S]))</f>
        <v>0</v>
      </c>
      <c r="AR59" s="987">
        <f>SUMPRODUCT((Producción_Lecheria[[#This Row],[Mes Financiero]]=Tipo_Cambio[Mes])*(Producción_Lecheria[[#This Row],[Año Financiero]]=Tipo_Cambio[Año])*(Tipo_Cambio[Actualización]))</f>
        <v>0</v>
      </c>
      <c r="AS59" s="1009">
        <f>SUMPRODUCT((Producción_Lecheria[[#This Row],[Centro de Costo]]=Tabla1924[Centro de Costo])*(Tabla19[Superficie]))</f>
        <v>2356</v>
      </c>
      <c r="AT59" s="1010">
        <f>IFERROR(Producción_Lecheria[[#This Row],[Económico $Corrientes]]/Producción_Lecheria[[#This Row],[Superficie]],0)</f>
        <v>0</v>
      </c>
      <c r="AU59" s="1010">
        <f>IFERROR(Producción_Lecheria[[#This Row],[Económico $Constantes]]/Producción_Lecheria[[#This Row],[Superficie]],0)</f>
        <v>0</v>
      </c>
      <c r="AV59" s="1010">
        <f>IFERROR(Producción_Lecheria[[#This Row],[Económico U$S Dólares]]/Producción_Lecheria[[#This Row],[Superficie]],0)</f>
        <v>0</v>
      </c>
      <c r="AW59" s="992" t="str">
        <f>IF(Económico!$F$4=0,0,Producción_Lecheria[Centro de Costo])</f>
        <v>Campo 1</v>
      </c>
    </row>
    <row r="60" spans="1:49" x14ac:dyDescent="0.25">
      <c r="A60" s="86"/>
      <c r="B60" s="86"/>
      <c r="C60" s="86"/>
      <c r="D60" s="528">
        <f t="shared" si="6"/>
        <v>43466</v>
      </c>
      <c r="E60" s="493"/>
      <c r="F60" s="479" t="str">
        <f>Campaña_Actual</f>
        <v>2018-2019</v>
      </c>
      <c r="G60" s="576" t="str">
        <f t="shared" si="5"/>
        <v>Entrada Nacimientos</v>
      </c>
      <c r="H60" s="481" t="s">
        <v>2</v>
      </c>
      <c r="I60" s="481" t="s">
        <v>131</v>
      </c>
      <c r="J60" s="549"/>
      <c r="K60" s="484"/>
      <c r="L6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6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60" s="520"/>
      <c r="O6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60" s="563"/>
      <c r="Q60" s="491"/>
      <c r="R60" s="875">
        <f>IF(ISNUMBER(Producción_Lecheria[[#This Row],[Cabezas]])=TRUE,Producción_Lecheria[[#This Row],[Cabezas]]*Producción_Lecheria[[#This Row],[Cantidad]],Producción_Lecheria[[#This Row],[Cantidad]])</f>
        <v>0</v>
      </c>
      <c r="S60" s="491"/>
      <c r="T60" s="552"/>
      <c r="U60" s="553"/>
      <c r="V6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60" s="989">
        <f>IFERROR(Producción_Lecheria[[#This Row],[Económico $Corrientes]]/Producción_Lecheria[[#This Row],[Indexación Económico]],0)</f>
        <v>0</v>
      </c>
      <c r="X6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6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60" s="989">
        <f>IFERROR(Producción_Lecheria[[#This Row],[Financiero $Corrientes]]/Producción_Lecheria[[#This Row],[Indexación Financiero]],0)</f>
        <v>0</v>
      </c>
      <c r="AA6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6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60" s="981">
        <f>IFERROR(Producción_Lecheria[[#This Row],[Intereses $Corrientes]]/Producción_Lecheria[[#This Row],[Indexación Financiero]],0)</f>
        <v>0</v>
      </c>
      <c r="AD6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60" s="991" t="str">
        <f>IFERROR(INDEX(Produccion_Lecheria_Cuentas[],MATCH(Producción_Lecheria[[#This Row],[Cuenta Contable]],Produccion_Lecheria_Cuentas[Cuenta Contable],0),2),0)</f>
        <v>Mov. Hacienda</v>
      </c>
      <c r="AF60" s="992">
        <f>IF(Producción_Lecheria[[#This Row],[Mov. Stock]]="(+)",Producción_Lecheria[[#This Row],[Cabezas]],IF(Producción_Lecheria[[#This Row],[Mov. Stock]]="(-)",-Producción_Lecheria[[#This Row],[Cabezas]],0))</f>
        <v>0</v>
      </c>
      <c r="AG60" s="993" t="str">
        <f>IFERROR(INDEX(Produccion_Lecheria_Cuentas[],MATCH(Producción_Lecheria[[#This Row],[Cuenta Contable]],Produccion_Lecheria_Cuentas[Cuenta Contable],0),5),0)</f>
        <v>(+)</v>
      </c>
      <c r="AH60" s="985" t="str">
        <f>IF(Producción_Lecheria[[#This Row],[Cuenta Contable]]=Configuración!$AC$9,"Si","No")</f>
        <v>No</v>
      </c>
      <c r="AI60" s="983" t="str">
        <f>IFERROR(INDEX(Tabla9[],MATCH(Producción_Lecheria[[#This Row],[Movimiento]],Tabla9[Movimientos],0),2),0)</f>
        <v>No</v>
      </c>
      <c r="AJ60" s="984">
        <f>IFERROR(INDEX(Tabla9[],MATCH(Producción_Lecheria[[#This Row],[Movimiento]],Tabla9[Movimientos],0),3),0)</f>
        <v>0</v>
      </c>
      <c r="AK60" s="986">
        <f>IF(Producción_Lecheria[[#This Row],[Fecha Económico]]=0,0,MONTH(Producción_Lecheria[[#This Row],[Fecha Económico]]))</f>
        <v>1</v>
      </c>
      <c r="AL60" s="986">
        <f>IF(Producción_Lecheria[[#This Row],[Fecha Económico]]=0,0,YEAR(Producción_Lecheria[[#This Row],[Fecha Económico]]))</f>
        <v>2019</v>
      </c>
      <c r="AM60" s="987">
        <f>SUMPRODUCT((Producción_Lecheria[[#This Row],[Mes Económico]]=Tipo_Cambio[Mes])*(Producción_Lecheria[[#This Row],[Año Económico]]=Tipo_Cambio[Año])*(Tipo_Cambio[$/U$S]))</f>
        <v>23.353443313221998</v>
      </c>
      <c r="AN60" s="987">
        <f>SUMPRODUCT((Producción_Lecheria[[#This Row],[Mes Económico]]=Tipo_Cambio[Mes])*(Producción_Lecheria[[#This Row],[Año Económico]]=Tipo_Cambio[Año])*(Tipo_Cambio[Actualización]))</f>
        <v>1.1261624192640001</v>
      </c>
      <c r="AO60" s="986">
        <f>IF(ISNUMBER(Producción_Lecheria[[#This Row],[Fecha Financiero]])=TRUE,MONTH(Producción_Lecheria[[#This Row],[Fecha Financiero]]),0)</f>
        <v>0</v>
      </c>
      <c r="AP60" s="986">
        <f>IF(ISNUMBER(Producción_Lecheria[[#This Row],[Fecha Financiero]])=TRUE,YEAR(Producción_Lecheria[[#This Row],[Fecha Financiero]]),0)</f>
        <v>0</v>
      </c>
      <c r="AQ60" s="987">
        <f>SUMPRODUCT((Producción_Lecheria[[#This Row],[Mes Financiero]]=Tipo_Cambio[Mes])*(Producción_Lecheria[[#This Row],[Año Financiero]]=Tipo_Cambio[Año])*(Tipo_Cambio[$/U$S]))</f>
        <v>0</v>
      </c>
      <c r="AR60" s="987">
        <f>SUMPRODUCT((Producción_Lecheria[[#This Row],[Mes Financiero]]=Tipo_Cambio[Mes])*(Producción_Lecheria[[#This Row],[Año Financiero]]=Tipo_Cambio[Año])*(Tipo_Cambio[Actualización]))</f>
        <v>0</v>
      </c>
      <c r="AS60" s="1009">
        <f>SUMPRODUCT((Producción_Lecheria[[#This Row],[Centro de Costo]]=Tabla1924[Centro de Costo])*(Tabla19[Superficie]))</f>
        <v>2356</v>
      </c>
      <c r="AT60" s="1010">
        <f>IFERROR(Producción_Lecheria[[#This Row],[Económico $Corrientes]]/Producción_Lecheria[[#This Row],[Superficie]],0)</f>
        <v>0</v>
      </c>
      <c r="AU60" s="1010">
        <f>IFERROR(Producción_Lecheria[[#This Row],[Económico $Constantes]]/Producción_Lecheria[[#This Row],[Superficie]],0)</f>
        <v>0</v>
      </c>
      <c r="AV60" s="1010">
        <f>IFERROR(Producción_Lecheria[[#This Row],[Económico U$S Dólares]]/Producción_Lecheria[[#This Row],[Superficie]],0)</f>
        <v>0</v>
      </c>
      <c r="AW60" s="992" t="str">
        <f>IF(Económico!$F$4=0,0,Producción_Lecheria[Centro de Costo])</f>
        <v>Campo 1</v>
      </c>
    </row>
    <row r="61" spans="1:49" x14ac:dyDescent="0.25">
      <c r="A61" s="86"/>
      <c r="B61" s="86"/>
      <c r="C61" s="86"/>
      <c r="D61" s="528">
        <f t="shared" si="6"/>
        <v>43497</v>
      </c>
      <c r="E61" s="522"/>
      <c r="F61" s="479" t="str">
        <f t="shared" si="7"/>
        <v>2018-2019</v>
      </c>
      <c r="G61" s="480" t="str">
        <f t="shared" si="5"/>
        <v>Entrada Nacimientos</v>
      </c>
      <c r="H61" s="481" t="s">
        <v>2</v>
      </c>
      <c r="I61" s="481" t="s">
        <v>130</v>
      </c>
      <c r="J61" s="549"/>
      <c r="K61" s="484"/>
      <c r="L6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6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61" s="520"/>
      <c r="O6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61" s="563"/>
      <c r="Q61" s="491"/>
      <c r="R61" s="875">
        <f>IF(ISNUMBER(Producción_Lecheria[[#This Row],[Cabezas]])=TRUE,Producción_Lecheria[[#This Row],[Cabezas]]*Producción_Lecheria[[#This Row],[Cantidad]],Producción_Lecheria[[#This Row],[Cantidad]])</f>
        <v>0</v>
      </c>
      <c r="S61" s="491"/>
      <c r="T61" s="552"/>
      <c r="U61" s="553"/>
      <c r="V6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61" s="989">
        <f>IFERROR(Producción_Lecheria[[#This Row],[Económico $Corrientes]]/Producción_Lecheria[[#This Row],[Indexación Económico]],0)</f>
        <v>0</v>
      </c>
      <c r="X6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6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61" s="989">
        <f>IFERROR(Producción_Lecheria[[#This Row],[Financiero $Corrientes]]/Producción_Lecheria[[#This Row],[Indexación Financiero]],0)</f>
        <v>0</v>
      </c>
      <c r="AA6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6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61" s="981">
        <f>IFERROR(Producción_Lecheria[[#This Row],[Intereses $Corrientes]]/Producción_Lecheria[[#This Row],[Indexación Financiero]],0)</f>
        <v>0</v>
      </c>
      <c r="AD6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61" s="991" t="str">
        <f>IFERROR(INDEX(Produccion_Lecheria_Cuentas[],MATCH(Producción_Lecheria[[#This Row],[Cuenta Contable]],Produccion_Lecheria_Cuentas[Cuenta Contable],0),2),0)</f>
        <v>Mov. Hacienda</v>
      </c>
      <c r="AF61" s="992">
        <f>IF(Producción_Lecheria[[#This Row],[Mov. Stock]]="(+)",Producción_Lecheria[[#This Row],[Cabezas]],IF(Producción_Lecheria[[#This Row],[Mov. Stock]]="(-)",-Producción_Lecheria[[#This Row],[Cabezas]],0))</f>
        <v>0</v>
      </c>
      <c r="AG61" s="993" t="str">
        <f>IFERROR(INDEX(Produccion_Lecheria_Cuentas[],MATCH(Producción_Lecheria[[#This Row],[Cuenta Contable]],Produccion_Lecheria_Cuentas[Cuenta Contable],0),5),0)</f>
        <v>(+)</v>
      </c>
      <c r="AH61" s="985" t="str">
        <f>IF(Producción_Lecheria[[#This Row],[Cuenta Contable]]=Configuración!$AC$9,"Si","No")</f>
        <v>No</v>
      </c>
      <c r="AI61" s="983" t="str">
        <f>IFERROR(INDEX(Tabla9[],MATCH(Producción_Lecheria[[#This Row],[Movimiento]],Tabla9[Movimientos],0),2),0)</f>
        <v>No</v>
      </c>
      <c r="AJ61" s="984">
        <f>IFERROR(INDEX(Tabla9[],MATCH(Producción_Lecheria[[#This Row],[Movimiento]],Tabla9[Movimientos],0),3),0)</f>
        <v>0</v>
      </c>
      <c r="AK61" s="986">
        <f>IF(Producción_Lecheria[[#This Row],[Fecha Económico]]=0,0,MONTH(Producción_Lecheria[[#This Row],[Fecha Económico]]))</f>
        <v>2</v>
      </c>
      <c r="AL61" s="986">
        <f>IF(Producción_Lecheria[[#This Row],[Fecha Económico]]=0,0,YEAR(Producción_Lecheria[[#This Row],[Fecha Económico]]))</f>
        <v>2019</v>
      </c>
      <c r="AM61" s="987">
        <f>SUMPRODUCT((Producción_Lecheria[[#This Row],[Mes Económico]]=Tipo_Cambio[Mes])*(Producción_Lecheria[[#This Row],[Año Económico]]=Tipo_Cambio[Año])*(Tipo_Cambio[$/U$S]))</f>
        <v>23.586977746354219</v>
      </c>
      <c r="AN61" s="987">
        <f>SUMPRODUCT((Producción_Lecheria[[#This Row],[Mes Económico]]=Tipo_Cambio[Mes])*(Producción_Lecheria[[#This Row],[Año Económico]]=Tipo_Cambio[Año])*(Tipo_Cambio[Actualización]))</f>
        <v>1.14868566764928</v>
      </c>
      <c r="AO61" s="986">
        <f>IF(ISNUMBER(Producción_Lecheria[[#This Row],[Fecha Financiero]])=TRUE,MONTH(Producción_Lecheria[[#This Row],[Fecha Financiero]]),0)</f>
        <v>0</v>
      </c>
      <c r="AP61" s="986">
        <f>IF(ISNUMBER(Producción_Lecheria[[#This Row],[Fecha Financiero]])=TRUE,YEAR(Producción_Lecheria[[#This Row],[Fecha Financiero]]),0)</f>
        <v>0</v>
      </c>
      <c r="AQ61" s="987">
        <f>SUMPRODUCT((Producción_Lecheria[[#This Row],[Mes Financiero]]=Tipo_Cambio[Mes])*(Producción_Lecheria[[#This Row],[Año Financiero]]=Tipo_Cambio[Año])*(Tipo_Cambio[$/U$S]))</f>
        <v>0</v>
      </c>
      <c r="AR61" s="987">
        <f>SUMPRODUCT((Producción_Lecheria[[#This Row],[Mes Financiero]]=Tipo_Cambio[Mes])*(Producción_Lecheria[[#This Row],[Año Financiero]]=Tipo_Cambio[Año])*(Tipo_Cambio[Actualización]))</f>
        <v>0</v>
      </c>
      <c r="AS61" s="1009">
        <f>SUMPRODUCT((Producción_Lecheria[[#This Row],[Centro de Costo]]=Tabla1924[Centro de Costo])*(Tabla19[Superficie]))</f>
        <v>2356</v>
      </c>
      <c r="AT61" s="1010">
        <f>IFERROR(Producción_Lecheria[[#This Row],[Económico $Corrientes]]/Producción_Lecheria[[#This Row],[Superficie]],0)</f>
        <v>0</v>
      </c>
      <c r="AU61" s="1010">
        <f>IFERROR(Producción_Lecheria[[#This Row],[Económico $Constantes]]/Producción_Lecheria[[#This Row],[Superficie]],0)</f>
        <v>0</v>
      </c>
      <c r="AV61" s="1010">
        <f>IFERROR(Producción_Lecheria[[#This Row],[Económico U$S Dólares]]/Producción_Lecheria[[#This Row],[Superficie]],0)</f>
        <v>0</v>
      </c>
      <c r="AW61" s="992" t="str">
        <f>IF(Económico!$F$4=0,0,Producción_Lecheria[Centro de Costo])</f>
        <v>Campo 1</v>
      </c>
    </row>
    <row r="62" spans="1:49" x14ac:dyDescent="0.25">
      <c r="A62" s="86"/>
      <c r="B62" s="86"/>
      <c r="C62" s="86"/>
      <c r="D62" s="528">
        <f t="shared" si="6"/>
        <v>43497</v>
      </c>
      <c r="E62" s="493"/>
      <c r="F62" s="479" t="str">
        <f>Campaña_Actual</f>
        <v>2018-2019</v>
      </c>
      <c r="G62" s="576" t="str">
        <f t="shared" si="5"/>
        <v>Entrada Nacimientos</v>
      </c>
      <c r="H62" s="481" t="s">
        <v>2</v>
      </c>
      <c r="I62" s="481" t="s">
        <v>131</v>
      </c>
      <c r="J62" s="549"/>
      <c r="K62" s="484"/>
      <c r="L6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6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62" s="520"/>
      <c r="O6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62" s="563"/>
      <c r="Q62" s="491"/>
      <c r="R62" s="875">
        <f>IF(ISNUMBER(Producción_Lecheria[[#This Row],[Cabezas]])=TRUE,Producción_Lecheria[[#This Row],[Cabezas]]*Producción_Lecheria[[#This Row],[Cantidad]],Producción_Lecheria[[#This Row],[Cantidad]])</f>
        <v>0</v>
      </c>
      <c r="S62" s="491"/>
      <c r="T62" s="552"/>
      <c r="U62" s="553"/>
      <c r="V6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62" s="989">
        <f>IFERROR(Producción_Lecheria[[#This Row],[Económico $Corrientes]]/Producción_Lecheria[[#This Row],[Indexación Económico]],0)</f>
        <v>0</v>
      </c>
      <c r="X6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6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62" s="989">
        <f>IFERROR(Producción_Lecheria[[#This Row],[Financiero $Corrientes]]/Producción_Lecheria[[#This Row],[Indexación Financiero]],0)</f>
        <v>0</v>
      </c>
      <c r="AA6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6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62" s="981">
        <f>IFERROR(Producción_Lecheria[[#This Row],[Intereses $Corrientes]]/Producción_Lecheria[[#This Row],[Indexación Financiero]],0)</f>
        <v>0</v>
      </c>
      <c r="AD6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62" s="991" t="str">
        <f>IFERROR(INDEX(Produccion_Lecheria_Cuentas[],MATCH(Producción_Lecheria[[#This Row],[Cuenta Contable]],Produccion_Lecheria_Cuentas[Cuenta Contable],0),2),0)</f>
        <v>Mov. Hacienda</v>
      </c>
      <c r="AF62" s="992">
        <f>IF(Producción_Lecheria[[#This Row],[Mov. Stock]]="(+)",Producción_Lecheria[[#This Row],[Cabezas]],IF(Producción_Lecheria[[#This Row],[Mov. Stock]]="(-)",-Producción_Lecheria[[#This Row],[Cabezas]],0))</f>
        <v>0</v>
      </c>
      <c r="AG62" s="993" t="str">
        <f>IFERROR(INDEX(Produccion_Lecheria_Cuentas[],MATCH(Producción_Lecheria[[#This Row],[Cuenta Contable]],Produccion_Lecheria_Cuentas[Cuenta Contable],0),5),0)</f>
        <v>(+)</v>
      </c>
      <c r="AH62" s="985" t="str">
        <f>IF(Producción_Lecheria[[#This Row],[Cuenta Contable]]=Configuración!$AC$9,"Si","No")</f>
        <v>No</v>
      </c>
      <c r="AI62" s="983" t="str">
        <f>IFERROR(INDEX(Tabla9[],MATCH(Producción_Lecheria[[#This Row],[Movimiento]],Tabla9[Movimientos],0),2),0)</f>
        <v>No</v>
      </c>
      <c r="AJ62" s="984">
        <f>IFERROR(INDEX(Tabla9[],MATCH(Producción_Lecheria[[#This Row],[Movimiento]],Tabla9[Movimientos],0),3),0)</f>
        <v>0</v>
      </c>
      <c r="AK62" s="986">
        <f>IF(Producción_Lecheria[[#This Row],[Fecha Económico]]=0,0,MONTH(Producción_Lecheria[[#This Row],[Fecha Económico]]))</f>
        <v>2</v>
      </c>
      <c r="AL62" s="986">
        <f>IF(Producción_Lecheria[[#This Row],[Fecha Económico]]=0,0,YEAR(Producción_Lecheria[[#This Row],[Fecha Económico]]))</f>
        <v>2019</v>
      </c>
      <c r="AM62" s="987">
        <f>SUMPRODUCT((Producción_Lecheria[[#This Row],[Mes Económico]]=Tipo_Cambio[Mes])*(Producción_Lecheria[[#This Row],[Año Económico]]=Tipo_Cambio[Año])*(Tipo_Cambio[$/U$S]))</f>
        <v>23.586977746354219</v>
      </c>
      <c r="AN62" s="987">
        <f>SUMPRODUCT((Producción_Lecheria[[#This Row],[Mes Económico]]=Tipo_Cambio[Mes])*(Producción_Lecheria[[#This Row],[Año Económico]]=Tipo_Cambio[Año])*(Tipo_Cambio[Actualización]))</f>
        <v>1.14868566764928</v>
      </c>
      <c r="AO62" s="986">
        <f>IF(ISNUMBER(Producción_Lecheria[[#This Row],[Fecha Financiero]])=TRUE,MONTH(Producción_Lecheria[[#This Row],[Fecha Financiero]]),0)</f>
        <v>0</v>
      </c>
      <c r="AP62" s="986">
        <f>IF(ISNUMBER(Producción_Lecheria[[#This Row],[Fecha Financiero]])=TRUE,YEAR(Producción_Lecheria[[#This Row],[Fecha Financiero]]),0)</f>
        <v>0</v>
      </c>
      <c r="AQ62" s="987">
        <f>SUMPRODUCT((Producción_Lecheria[[#This Row],[Mes Financiero]]=Tipo_Cambio[Mes])*(Producción_Lecheria[[#This Row],[Año Financiero]]=Tipo_Cambio[Año])*(Tipo_Cambio[$/U$S]))</f>
        <v>0</v>
      </c>
      <c r="AR62" s="987">
        <f>SUMPRODUCT((Producción_Lecheria[[#This Row],[Mes Financiero]]=Tipo_Cambio[Mes])*(Producción_Lecheria[[#This Row],[Año Financiero]]=Tipo_Cambio[Año])*(Tipo_Cambio[Actualización]))</f>
        <v>0</v>
      </c>
      <c r="AS62" s="1009">
        <f>SUMPRODUCT((Producción_Lecheria[[#This Row],[Centro de Costo]]=Tabla1924[Centro de Costo])*(Tabla19[Superficie]))</f>
        <v>2356</v>
      </c>
      <c r="AT62" s="1010">
        <f>IFERROR(Producción_Lecheria[[#This Row],[Económico $Corrientes]]/Producción_Lecheria[[#This Row],[Superficie]],0)</f>
        <v>0</v>
      </c>
      <c r="AU62" s="1010">
        <f>IFERROR(Producción_Lecheria[[#This Row],[Económico $Constantes]]/Producción_Lecheria[[#This Row],[Superficie]],0)</f>
        <v>0</v>
      </c>
      <c r="AV62" s="1010">
        <f>IFERROR(Producción_Lecheria[[#This Row],[Económico U$S Dólares]]/Producción_Lecheria[[#This Row],[Superficie]],0)</f>
        <v>0</v>
      </c>
      <c r="AW62" s="992" t="str">
        <f>IF(Económico!$F$4=0,0,Producción_Lecheria[Centro de Costo])</f>
        <v>Campo 1</v>
      </c>
    </row>
    <row r="63" spans="1:49" x14ac:dyDescent="0.25">
      <c r="A63" s="86"/>
      <c r="B63" s="86"/>
      <c r="C63" s="86"/>
      <c r="D63" s="528">
        <f t="shared" si="6"/>
        <v>43525</v>
      </c>
      <c r="E63" s="522"/>
      <c r="F63" s="479" t="str">
        <f t="shared" si="7"/>
        <v>2018-2019</v>
      </c>
      <c r="G63" s="480" t="str">
        <f t="shared" si="5"/>
        <v>Entrada Nacimientos</v>
      </c>
      <c r="H63" s="481" t="s">
        <v>2</v>
      </c>
      <c r="I63" s="481" t="s">
        <v>130</v>
      </c>
      <c r="J63" s="549"/>
      <c r="K63" s="484"/>
      <c r="L6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6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63" s="520"/>
      <c r="O6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63" s="563"/>
      <c r="Q63" s="491"/>
      <c r="R63" s="875">
        <f>IF(ISNUMBER(Producción_Lecheria[[#This Row],[Cabezas]])=TRUE,Producción_Lecheria[[#This Row],[Cabezas]]*Producción_Lecheria[[#This Row],[Cantidad]],Producción_Lecheria[[#This Row],[Cantidad]])</f>
        <v>0</v>
      </c>
      <c r="S63" s="491"/>
      <c r="T63" s="552"/>
      <c r="U63" s="553"/>
      <c r="V6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63" s="989">
        <f>IFERROR(Producción_Lecheria[[#This Row],[Económico $Corrientes]]/Producción_Lecheria[[#This Row],[Indexación Económico]],0)</f>
        <v>0</v>
      </c>
      <c r="X6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6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63" s="989">
        <f>IFERROR(Producción_Lecheria[[#This Row],[Financiero $Corrientes]]/Producción_Lecheria[[#This Row],[Indexación Financiero]],0)</f>
        <v>0</v>
      </c>
      <c r="AA6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6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63" s="981">
        <f>IFERROR(Producción_Lecheria[[#This Row],[Intereses $Corrientes]]/Producción_Lecheria[[#This Row],[Indexación Financiero]],0)</f>
        <v>0</v>
      </c>
      <c r="AD6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63" s="991" t="str">
        <f>IFERROR(INDEX(Produccion_Lecheria_Cuentas[],MATCH(Producción_Lecheria[[#This Row],[Cuenta Contable]],Produccion_Lecheria_Cuentas[Cuenta Contable],0),2),0)</f>
        <v>Mov. Hacienda</v>
      </c>
      <c r="AF63" s="992">
        <f>IF(Producción_Lecheria[[#This Row],[Mov. Stock]]="(+)",Producción_Lecheria[[#This Row],[Cabezas]],IF(Producción_Lecheria[[#This Row],[Mov. Stock]]="(-)",-Producción_Lecheria[[#This Row],[Cabezas]],0))</f>
        <v>0</v>
      </c>
      <c r="AG63" s="993" t="str">
        <f>IFERROR(INDEX(Produccion_Lecheria_Cuentas[],MATCH(Producción_Lecheria[[#This Row],[Cuenta Contable]],Produccion_Lecheria_Cuentas[Cuenta Contable],0),5),0)</f>
        <v>(+)</v>
      </c>
      <c r="AH63" s="985" t="str">
        <f>IF(Producción_Lecheria[[#This Row],[Cuenta Contable]]=Configuración!$AC$9,"Si","No")</f>
        <v>No</v>
      </c>
      <c r="AI63" s="983" t="str">
        <f>IFERROR(INDEX(Tabla9[],MATCH(Producción_Lecheria[[#This Row],[Movimiento]],Tabla9[Movimientos],0),2),0)</f>
        <v>No</v>
      </c>
      <c r="AJ63" s="984">
        <f>IFERROR(INDEX(Tabla9[],MATCH(Producción_Lecheria[[#This Row],[Movimiento]],Tabla9[Movimientos],0),3),0)</f>
        <v>0</v>
      </c>
      <c r="AK63" s="986">
        <f>IF(Producción_Lecheria[[#This Row],[Fecha Económico]]=0,0,MONTH(Producción_Lecheria[[#This Row],[Fecha Económico]]))</f>
        <v>3</v>
      </c>
      <c r="AL63" s="986">
        <f>IF(Producción_Lecheria[[#This Row],[Fecha Económico]]=0,0,YEAR(Producción_Lecheria[[#This Row],[Fecha Económico]]))</f>
        <v>2019</v>
      </c>
      <c r="AM63" s="987">
        <f>SUMPRODUCT((Producción_Lecheria[[#This Row],[Mes Económico]]=Tipo_Cambio[Mes])*(Producción_Lecheria[[#This Row],[Año Económico]]=Tipo_Cambio[Año])*(Tipo_Cambio[$/U$S]))</f>
        <v>23.82284752381776</v>
      </c>
      <c r="AN63" s="987">
        <f>SUMPRODUCT((Producción_Lecheria[[#This Row],[Mes Económico]]=Tipo_Cambio[Mes])*(Producción_Lecheria[[#This Row],[Año Económico]]=Tipo_Cambio[Año])*(Tipo_Cambio[Actualización]))</f>
        <v>1.1716593810022657</v>
      </c>
      <c r="AO63" s="986">
        <f>IF(ISNUMBER(Producción_Lecheria[[#This Row],[Fecha Financiero]])=TRUE,MONTH(Producción_Lecheria[[#This Row],[Fecha Financiero]]),0)</f>
        <v>0</v>
      </c>
      <c r="AP63" s="986">
        <f>IF(ISNUMBER(Producción_Lecheria[[#This Row],[Fecha Financiero]])=TRUE,YEAR(Producción_Lecheria[[#This Row],[Fecha Financiero]]),0)</f>
        <v>0</v>
      </c>
      <c r="AQ63" s="987">
        <f>SUMPRODUCT((Producción_Lecheria[[#This Row],[Mes Financiero]]=Tipo_Cambio[Mes])*(Producción_Lecheria[[#This Row],[Año Financiero]]=Tipo_Cambio[Año])*(Tipo_Cambio[$/U$S]))</f>
        <v>0</v>
      </c>
      <c r="AR63" s="987">
        <f>SUMPRODUCT((Producción_Lecheria[[#This Row],[Mes Financiero]]=Tipo_Cambio[Mes])*(Producción_Lecheria[[#This Row],[Año Financiero]]=Tipo_Cambio[Año])*(Tipo_Cambio[Actualización]))</f>
        <v>0</v>
      </c>
      <c r="AS63" s="1009">
        <f>SUMPRODUCT((Producción_Lecheria[[#This Row],[Centro de Costo]]=Tabla1924[Centro de Costo])*(Tabla19[Superficie]))</f>
        <v>2356</v>
      </c>
      <c r="AT63" s="1010">
        <f>IFERROR(Producción_Lecheria[[#This Row],[Económico $Corrientes]]/Producción_Lecheria[[#This Row],[Superficie]],0)</f>
        <v>0</v>
      </c>
      <c r="AU63" s="1010">
        <f>IFERROR(Producción_Lecheria[[#This Row],[Económico $Constantes]]/Producción_Lecheria[[#This Row],[Superficie]],0)</f>
        <v>0</v>
      </c>
      <c r="AV63" s="1010">
        <f>IFERROR(Producción_Lecheria[[#This Row],[Económico U$S Dólares]]/Producción_Lecheria[[#This Row],[Superficie]],0)</f>
        <v>0</v>
      </c>
      <c r="AW63" s="992" t="str">
        <f>IF(Económico!$F$4=0,0,Producción_Lecheria[Centro de Costo])</f>
        <v>Campo 1</v>
      </c>
    </row>
    <row r="64" spans="1:49" x14ac:dyDescent="0.25">
      <c r="A64" s="86"/>
      <c r="B64" s="86"/>
      <c r="C64" s="86"/>
      <c r="D64" s="528">
        <f t="shared" si="6"/>
        <v>43525</v>
      </c>
      <c r="E64" s="493"/>
      <c r="F64" s="479" t="str">
        <f>Campaña_Actual</f>
        <v>2018-2019</v>
      </c>
      <c r="G64" s="576" t="str">
        <f t="shared" si="5"/>
        <v>Entrada Nacimientos</v>
      </c>
      <c r="H64" s="481" t="s">
        <v>2</v>
      </c>
      <c r="I64" s="481" t="s">
        <v>131</v>
      </c>
      <c r="J64" s="549"/>
      <c r="K64" s="484"/>
      <c r="L6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6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64" s="520"/>
      <c r="O6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64" s="563"/>
      <c r="Q64" s="491"/>
      <c r="R64" s="875">
        <f>IF(ISNUMBER(Producción_Lecheria[[#This Row],[Cabezas]])=TRUE,Producción_Lecheria[[#This Row],[Cabezas]]*Producción_Lecheria[[#This Row],[Cantidad]],Producción_Lecheria[[#This Row],[Cantidad]])</f>
        <v>0</v>
      </c>
      <c r="S64" s="491"/>
      <c r="T64" s="552"/>
      <c r="U64" s="553"/>
      <c r="V6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64" s="989">
        <f>IFERROR(Producción_Lecheria[[#This Row],[Económico $Corrientes]]/Producción_Lecheria[[#This Row],[Indexación Económico]],0)</f>
        <v>0</v>
      </c>
      <c r="X6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6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64" s="989">
        <f>IFERROR(Producción_Lecheria[[#This Row],[Financiero $Corrientes]]/Producción_Lecheria[[#This Row],[Indexación Financiero]],0)</f>
        <v>0</v>
      </c>
      <c r="AA6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6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64" s="981">
        <f>IFERROR(Producción_Lecheria[[#This Row],[Intereses $Corrientes]]/Producción_Lecheria[[#This Row],[Indexación Financiero]],0)</f>
        <v>0</v>
      </c>
      <c r="AD6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64" s="991" t="str">
        <f>IFERROR(INDEX(Produccion_Lecheria_Cuentas[],MATCH(Producción_Lecheria[[#This Row],[Cuenta Contable]],Produccion_Lecheria_Cuentas[Cuenta Contable],0),2),0)</f>
        <v>Mov. Hacienda</v>
      </c>
      <c r="AF64" s="992">
        <f>IF(Producción_Lecheria[[#This Row],[Mov. Stock]]="(+)",Producción_Lecheria[[#This Row],[Cabezas]],IF(Producción_Lecheria[[#This Row],[Mov. Stock]]="(-)",-Producción_Lecheria[[#This Row],[Cabezas]],0))</f>
        <v>0</v>
      </c>
      <c r="AG64" s="993" t="str">
        <f>IFERROR(INDEX(Produccion_Lecheria_Cuentas[],MATCH(Producción_Lecheria[[#This Row],[Cuenta Contable]],Produccion_Lecheria_Cuentas[Cuenta Contable],0),5),0)</f>
        <v>(+)</v>
      </c>
      <c r="AH64" s="985" t="str">
        <f>IF(Producción_Lecheria[[#This Row],[Cuenta Contable]]=Configuración!$AC$9,"Si","No")</f>
        <v>No</v>
      </c>
      <c r="AI64" s="983" t="str">
        <f>IFERROR(INDEX(Tabla9[],MATCH(Producción_Lecheria[[#This Row],[Movimiento]],Tabla9[Movimientos],0),2),0)</f>
        <v>No</v>
      </c>
      <c r="AJ64" s="984">
        <f>IFERROR(INDEX(Tabla9[],MATCH(Producción_Lecheria[[#This Row],[Movimiento]],Tabla9[Movimientos],0),3),0)</f>
        <v>0</v>
      </c>
      <c r="AK64" s="986">
        <f>IF(Producción_Lecheria[[#This Row],[Fecha Económico]]=0,0,MONTH(Producción_Lecheria[[#This Row],[Fecha Económico]]))</f>
        <v>3</v>
      </c>
      <c r="AL64" s="986">
        <f>IF(Producción_Lecheria[[#This Row],[Fecha Económico]]=0,0,YEAR(Producción_Lecheria[[#This Row],[Fecha Económico]]))</f>
        <v>2019</v>
      </c>
      <c r="AM64" s="987">
        <f>SUMPRODUCT((Producción_Lecheria[[#This Row],[Mes Económico]]=Tipo_Cambio[Mes])*(Producción_Lecheria[[#This Row],[Año Económico]]=Tipo_Cambio[Año])*(Tipo_Cambio[$/U$S]))</f>
        <v>23.82284752381776</v>
      </c>
      <c r="AN64" s="987">
        <f>SUMPRODUCT((Producción_Lecheria[[#This Row],[Mes Económico]]=Tipo_Cambio[Mes])*(Producción_Lecheria[[#This Row],[Año Económico]]=Tipo_Cambio[Año])*(Tipo_Cambio[Actualización]))</f>
        <v>1.1716593810022657</v>
      </c>
      <c r="AO64" s="986">
        <f>IF(ISNUMBER(Producción_Lecheria[[#This Row],[Fecha Financiero]])=TRUE,MONTH(Producción_Lecheria[[#This Row],[Fecha Financiero]]),0)</f>
        <v>0</v>
      </c>
      <c r="AP64" s="986">
        <f>IF(ISNUMBER(Producción_Lecheria[[#This Row],[Fecha Financiero]])=TRUE,YEAR(Producción_Lecheria[[#This Row],[Fecha Financiero]]),0)</f>
        <v>0</v>
      </c>
      <c r="AQ64" s="987">
        <f>SUMPRODUCT((Producción_Lecheria[[#This Row],[Mes Financiero]]=Tipo_Cambio[Mes])*(Producción_Lecheria[[#This Row],[Año Financiero]]=Tipo_Cambio[Año])*(Tipo_Cambio[$/U$S]))</f>
        <v>0</v>
      </c>
      <c r="AR64" s="987">
        <f>SUMPRODUCT((Producción_Lecheria[[#This Row],[Mes Financiero]]=Tipo_Cambio[Mes])*(Producción_Lecheria[[#This Row],[Año Financiero]]=Tipo_Cambio[Año])*(Tipo_Cambio[Actualización]))</f>
        <v>0</v>
      </c>
      <c r="AS64" s="1009">
        <f>SUMPRODUCT((Producción_Lecheria[[#This Row],[Centro de Costo]]=Tabla1924[Centro de Costo])*(Tabla19[Superficie]))</f>
        <v>2356</v>
      </c>
      <c r="AT64" s="1010">
        <f>IFERROR(Producción_Lecheria[[#This Row],[Económico $Corrientes]]/Producción_Lecheria[[#This Row],[Superficie]],0)</f>
        <v>0</v>
      </c>
      <c r="AU64" s="1010">
        <f>IFERROR(Producción_Lecheria[[#This Row],[Económico $Constantes]]/Producción_Lecheria[[#This Row],[Superficie]],0)</f>
        <v>0</v>
      </c>
      <c r="AV64" s="1010">
        <f>IFERROR(Producción_Lecheria[[#This Row],[Económico U$S Dólares]]/Producción_Lecheria[[#This Row],[Superficie]],0)</f>
        <v>0</v>
      </c>
      <c r="AW64" s="992" t="str">
        <f>IF(Económico!$F$4=0,0,Producción_Lecheria[Centro de Costo])</f>
        <v>Campo 1</v>
      </c>
    </row>
    <row r="65" spans="1:49" x14ac:dyDescent="0.25">
      <c r="A65" s="86"/>
      <c r="B65" s="86"/>
      <c r="C65" s="86"/>
      <c r="D65" s="528">
        <f t="shared" si="6"/>
        <v>43556</v>
      </c>
      <c r="E65" s="522"/>
      <c r="F65" s="479" t="str">
        <f t="shared" si="7"/>
        <v>2018-2019</v>
      </c>
      <c r="G65" s="480" t="str">
        <f t="shared" si="5"/>
        <v>Entrada Nacimientos</v>
      </c>
      <c r="H65" s="481" t="s">
        <v>2</v>
      </c>
      <c r="I65" s="481" t="s">
        <v>130</v>
      </c>
      <c r="J65" s="549"/>
      <c r="K65" s="484"/>
      <c r="L6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6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65" s="520"/>
      <c r="O6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65" s="563"/>
      <c r="Q65" s="491"/>
      <c r="R65" s="875">
        <f>IF(ISNUMBER(Producción_Lecheria[[#This Row],[Cabezas]])=TRUE,Producción_Lecheria[[#This Row],[Cabezas]]*Producción_Lecheria[[#This Row],[Cantidad]],Producción_Lecheria[[#This Row],[Cantidad]])</f>
        <v>0</v>
      </c>
      <c r="S65" s="491"/>
      <c r="T65" s="552"/>
      <c r="U65" s="553"/>
      <c r="V6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65" s="989">
        <f>IFERROR(Producción_Lecheria[[#This Row],[Económico $Corrientes]]/Producción_Lecheria[[#This Row],[Indexación Económico]],0)</f>
        <v>0</v>
      </c>
      <c r="X6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6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65" s="989">
        <f>IFERROR(Producción_Lecheria[[#This Row],[Financiero $Corrientes]]/Producción_Lecheria[[#This Row],[Indexación Financiero]],0)</f>
        <v>0</v>
      </c>
      <c r="AA6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6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65" s="981">
        <f>IFERROR(Producción_Lecheria[[#This Row],[Intereses $Corrientes]]/Producción_Lecheria[[#This Row],[Indexación Financiero]],0)</f>
        <v>0</v>
      </c>
      <c r="AD6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65" s="991" t="str">
        <f>IFERROR(INDEX(Produccion_Lecheria_Cuentas[],MATCH(Producción_Lecheria[[#This Row],[Cuenta Contable]],Produccion_Lecheria_Cuentas[Cuenta Contable],0),2),0)</f>
        <v>Mov. Hacienda</v>
      </c>
      <c r="AF65" s="992">
        <f>IF(Producción_Lecheria[[#This Row],[Mov. Stock]]="(+)",Producción_Lecheria[[#This Row],[Cabezas]],IF(Producción_Lecheria[[#This Row],[Mov. Stock]]="(-)",-Producción_Lecheria[[#This Row],[Cabezas]],0))</f>
        <v>0</v>
      </c>
      <c r="AG65" s="993" t="str">
        <f>IFERROR(INDEX(Produccion_Lecheria_Cuentas[],MATCH(Producción_Lecheria[[#This Row],[Cuenta Contable]],Produccion_Lecheria_Cuentas[Cuenta Contable],0),5),0)</f>
        <v>(+)</v>
      </c>
      <c r="AH65" s="985" t="str">
        <f>IF(Producción_Lecheria[[#This Row],[Cuenta Contable]]=Configuración!$AC$9,"Si","No")</f>
        <v>No</v>
      </c>
      <c r="AI65" s="983" t="str">
        <f>IFERROR(INDEX(Tabla9[],MATCH(Producción_Lecheria[[#This Row],[Movimiento]],Tabla9[Movimientos],0),2),0)</f>
        <v>No</v>
      </c>
      <c r="AJ65" s="984">
        <f>IFERROR(INDEX(Tabla9[],MATCH(Producción_Lecheria[[#This Row],[Movimiento]],Tabla9[Movimientos],0),3),0)</f>
        <v>0</v>
      </c>
      <c r="AK65" s="986">
        <f>IF(Producción_Lecheria[[#This Row],[Fecha Económico]]=0,0,MONTH(Producción_Lecheria[[#This Row],[Fecha Económico]]))</f>
        <v>4</v>
      </c>
      <c r="AL65" s="986">
        <f>IF(Producción_Lecheria[[#This Row],[Fecha Económico]]=0,0,YEAR(Producción_Lecheria[[#This Row],[Fecha Económico]]))</f>
        <v>2019</v>
      </c>
      <c r="AM65" s="987">
        <f>SUMPRODUCT((Producción_Lecheria[[#This Row],[Mes Económico]]=Tipo_Cambio[Mes])*(Producción_Lecheria[[#This Row],[Año Económico]]=Tipo_Cambio[Año])*(Tipo_Cambio[$/U$S]))</f>
        <v>24.061075999055937</v>
      </c>
      <c r="AN65" s="987">
        <f>SUMPRODUCT((Producción_Lecheria[[#This Row],[Mes Económico]]=Tipo_Cambio[Mes])*(Producción_Lecheria[[#This Row],[Año Económico]]=Tipo_Cambio[Año])*(Tipo_Cambio[Actualización]))</f>
        <v>1.1950925686223111</v>
      </c>
      <c r="AO65" s="986">
        <f>IF(ISNUMBER(Producción_Lecheria[[#This Row],[Fecha Financiero]])=TRUE,MONTH(Producción_Lecheria[[#This Row],[Fecha Financiero]]),0)</f>
        <v>0</v>
      </c>
      <c r="AP65" s="986">
        <f>IF(ISNUMBER(Producción_Lecheria[[#This Row],[Fecha Financiero]])=TRUE,YEAR(Producción_Lecheria[[#This Row],[Fecha Financiero]]),0)</f>
        <v>0</v>
      </c>
      <c r="AQ65" s="987">
        <f>SUMPRODUCT((Producción_Lecheria[[#This Row],[Mes Financiero]]=Tipo_Cambio[Mes])*(Producción_Lecheria[[#This Row],[Año Financiero]]=Tipo_Cambio[Año])*(Tipo_Cambio[$/U$S]))</f>
        <v>0</v>
      </c>
      <c r="AR65" s="987">
        <f>SUMPRODUCT((Producción_Lecheria[[#This Row],[Mes Financiero]]=Tipo_Cambio[Mes])*(Producción_Lecheria[[#This Row],[Año Financiero]]=Tipo_Cambio[Año])*(Tipo_Cambio[Actualización]))</f>
        <v>0</v>
      </c>
      <c r="AS65" s="1009">
        <f>SUMPRODUCT((Producción_Lecheria[[#This Row],[Centro de Costo]]=Tabla1924[Centro de Costo])*(Tabla19[Superficie]))</f>
        <v>2356</v>
      </c>
      <c r="AT65" s="1010">
        <f>IFERROR(Producción_Lecheria[[#This Row],[Económico $Corrientes]]/Producción_Lecheria[[#This Row],[Superficie]],0)</f>
        <v>0</v>
      </c>
      <c r="AU65" s="1010">
        <f>IFERROR(Producción_Lecheria[[#This Row],[Económico $Constantes]]/Producción_Lecheria[[#This Row],[Superficie]],0)</f>
        <v>0</v>
      </c>
      <c r="AV65" s="1010">
        <f>IFERROR(Producción_Lecheria[[#This Row],[Económico U$S Dólares]]/Producción_Lecheria[[#This Row],[Superficie]],0)</f>
        <v>0</v>
      </c>
      <c r="AW65" s="992" t="str">
        <f>IF(Económico!$F$4=0,0,Producción_Lecheria[Centro de Costo])</f>
        <v>Campo 1</v>
      </c>
    </row>
    <row r="66" spans="1:49" x14ac:dyDescent="0.25">
      <c r="A66" s="86"/>
      <c r="B66" s="86"/>
      <c r="C66" s="86"/>
      <c r="D66" s="528">
        <f t="shared" si="6"/>
        <v>43556</v>
      </c>
      <c r="E66" s="493"/>
      <c r="F66" s="479" t="str">
        <f>Campaña_Actual</f>
        <v>2018-2019</v>
      </c>
      <c r="G66" s="576" t="str">
        <f t="shared" si="5"/>
        <v>Entrada Nacimientos</v>
      </c>
      <c r="H66" s="481" t="s">
        <v>2</v>
      </c>
      <c r="I66" s="481" t="s">
        <v>131</v>
      </c>
      <c r="J66" s="549"/>
      <c r="K66" s="484"/>
      <c r="L6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6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66" s="520"/>
      <c r="O6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66" s="563"/>
      <c r="Q66" s="491"/>
      <c r="R66" s="875">
        <f>IF(ISNUMBER(Producción_Lecheria[[#This Row],[Cabezas]])=TRUE,Producción_Lecheria[[#This Row],[Cabezas]]*Producción_Lecheria[[#This Row],[Cantidad]],Producción_Lecheria[[#This Row],[Cantidad]])</f>
        <v>0</v>
      </c>
      <c r="S66" s="491"/>
      <c r="T66" s="552"/>
      <c r="U66" s="553"/>
      <c r="V6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66" s="989">
        <f>IFERROR(Producción_Lecheria[[#This Row],[Económico $Corrientes]]/Producción_Lecheria[[#This Row],[Indexación Económico]],0)</f>
        <v>0</v>
      </c>
      <c r="X6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6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66" s="989">
        <f>IFERROR(Producción_Lecheria[[#This Row],[Financiero $Corrientes]]/Producción_Lecheria[[#This Row],[Indexación Financiero]],0)</f>
        <v>0</v>
      </c>
      <c r="AA6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6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66" s="981">
        <f>IFERROR(Producción_Lecheria[[#This Row],[Intereses $Corrientes]]/Producción_Lecheria[[#This Row],[Indexación Financiero]],0)</f>
        <v>0</v>
      </c>
      <c r="AD6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66" s="991" t="str">
        <f>IFERROR(INDEX(Produccion_Lecheria_Cuentas[],MATCH(Producción_Lecheria[[#This Row],[Cuenta Contable]],Produccion_Lecheria_Cuentas[Cuenta Contable],0),2),0)</f>
        <v>Mov. Hacienda</v>
      </c>
      <c r="AF66" s="992">
        <f>IF(Producción_Lecheria[[#This Row],[Mov. Stock]]="(+)",Producción_Lecheria[[#This Row],[Cabezas]],IF(Producción_Lecheria[[#This Row],[Mov. Stock]]="(-)",-Producción_Lecheria[[#This Row],[Cabezas]],0))</f>
        <v>0</v>
      </c>
      <c r="AG66" s="993" t="str">
        <f>IFERROR(INDEX(Produccion_Lecheria_Cuentas[],MATCH(Producción_Lecheria[[#This Row],[Cuenta Contable]],Produccion_Lecheria_Cuentas[Cuenta Contable],0),5),0)</f>
        <v>(+)</v>
      </c>
      <c r="AH66" s="985" t="str">
        <f>IF(Producción_Lecheria[[#This Row],[Cuenta Contable]]=Configuración!$AC$9,"Si","No")</f>
        <v>No</v>
      </c>
      <c r="AI66" s="983" t="str">
        <f>IFERROR(INDEX(Tabla9[],MATCH(Producción_Lecheria[[#This Row],[Movimiento]],Tabla9[Movimientos],0),2),0)</f>
        <v>No</v>
      </c>
      <c r="AJ66" s="984">
        <f>IFERROR(INDEX(Tabla9[],MATCH(Producción_Lecheria[[#This Row],[Movimiento]],Tabla9[Movimientos],0),3),0)</f>
        <v>0</v>
      </c>
      <c r="AK66" s="986">
        <f>IF(Producción_Lecheria[[#This Row],[Fecha Económico]]=0,0,MONTH(Producción_Lecheria[[#This Row],[Fecha Económico]]))</f>
        <v>4</v>
      </c>
      <c r="AL66" s="986">
        <f>IF(Producción_Lecheria[[#This Row],[Fecha Económico]]=0,0,YEAR(Producción_Lecheria[[#This Row],[Fecha Económico]]))</f>
        <v>2019</v>
      </c>
      <c r="AM66" s="987">
        <f>SUMPRODUCT((Producción_Lecheria[[#This Row],[Mes Económico]]=Tipo_Cambio[Mes])*(Producción_Lecheria[[#This Row],[Año Económico]]=Tipo_Cambio[Año])*(Tipo_Cambio[$/U$S]))</f>
        <v>24.061075999055937</v>
      </c>
      <c r="AN66" s="987">
        <f>SUMPRODUCT((Producción_Lecheria[[#This Row],[Mes Económico]]=Tipo_Cambio[Mes])*(Producción_Lecheria[[#This Row],[Año Económico]]=Tipo_Cambio[Año])*(Tipo_Cambio[Actualización]))</f>
        <v>1.1950925686223111</v>
      </c>
      <c r="AO66" s="986">
        <f>IF(ISNUMBER(Producción_Lecheria[[#This Row],[Fecha Financiero]])=TRUE,MONTH(Producción_Lecheria[[#This Row],[Fecha Financiero]]),0)</f>
        <v>0</v>
      </c>
      <c r="AP66" s="986">
        <f>IF(ISNUMBER(Producción_Lecheria[[#This Row],[Fecha Financiero]])=TRUE,YEAR(Producción_Lecheria[[#This Row],[Fecha Financiero]]),0)</f>
        <v>0</v>
      </c>
      <c r="AQ66" s="987">
        <f>SUMPRODUCT((Producción_Lecheria[[#This Row],[Mes Financiero]]=Tipo_Cambio[Mes])*(Producción_Lecheria[[#This Row],[Año Financiero]]=Tipo_Cambio[Año])*(Tipo_Cambio[$/U$S]))</f>
        <v>0</v>
      </c>
      <c r="AR66" s="987">
        <f>SUMPRODUCT((Producción_Lecheria[[#This Row],[Mes Financiero]]=Tipo_Cambio[Mes])*(Producción_Lecheria[[#This Row],[Año Financiero]]=Tipo_Cambio[Año])*(Tipo_Cambio[Actualización]))</f>
        <v>0</v>
      </c>
      <c r="AS66" s="1009">
        <f>SUMPRODUCT((Producción_Lecheria[[#This Row],[Centro de Costo]]=Tabla1924[Centro de Costo])*(Tabla19[Superficie]))</f>
        <v>2356</v>
      </c>
      <c r="AT66" s="1010">
        <f>IFERROR(Producción_Lecheria[[#This Row],[Económico $Corrientes]]/Producción_Lecheria[[#This Row],[Superficie]],0)</f>
        <v>0</v>
      </c>
      <c r="AU66" s="1010">
        <f>IFERROR(Producción_Lecheria[[#This Row],[Económico $Constantes]]/Producción_Lecheria[[#This Row],[Superficie]],0)</f>
        <v>0</v>
      </c>
      <c r="AV66" s="1010">
        <f>IFERROR(Producción_Lecheria[[#This Row],[Económico U$S Dólares]]/Producción_Lecheria[[#This Row],[Superficie]],0)</f>
        <v>0</v>
      </c>
      <c r="AW66" s="992" t="str">
        <f>IF(Económico!$F$4=0,0,Producción_Lecheria[Centro de Costo])</f>
        <v>Campo 1</v>
      </c>
    </row>
    <row r="67" spans="1:49" x14ac:dyDescent="0.25">
      <c r="A67" s="86"/>
      <c r="B67" s="86"/>
      <c r="C67" s="86"/>
      <c r="D67" s="528">
        <f t="shared" si="6"/>
        <v>43586</v>
      </c>
      <c r="E67" s="522"/>
      <c r="F67" s="479" t="str">
        <f t="shared" si="7"/>
        <v>2018-2019</v>
      </c>
      <c r="G67" s="480" t="str">
        <f t="shared" si="5"/>
        <v>Entrada Nacimientos</v>
      </c>
      <c r="H67" s="481" t="s">
        <v>2</v>
      </c>
      <c r="I67" s="481" t="s">
        <v>130</v>
      </c>
      <c r="J67" s="549"/>
      <c r="K67" s="484"/>
      <c r="L6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6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67" s="520"/>
      <c r="O6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67" s="563"/>
      <c r="Q67" s="491"/>
      <c r="R67" s="875">
        <f>IF(ISNUMBER(Producción_Lecheria[[#This Row],[Cabezas]])=TRUE,Producción_Lecheria[[#This Row],[Cabezas]]*Producción_Lecheria[[#This Row],[Cantidad]],Producción_Lecheria[[#This Row],[Cantidad]])</f>
        <v>0</v>
      </c>
      <c r="S67" s="491"/>
      <c r="T67" s="552"/>
      <c r="U67" s="553"/>
      <c r="V6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67" s="989">
        <f>IFERROR(Producción_Lecheria[[#This Row],[Económico $Corrientes]]/Producción_Lecheria[[#This Row],[Indexación Económico]],0)</f>
        <v>0</v>
      </c>
      <c r="X6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6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67" s="989">
        <f>IFERROR(Producción_Lecheria[[#This Row],[Financiero $Corrientes]]/Producción_Lecheria[[#This Row],[Indexación Financiero]],0)</f>
        <v>0</v>
      </c>
      <c r="AA6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6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67" s="981">
        <f>IFERROR(Producción_Lecheria[[#This Row],[Intereses $Corrientes]]/Producción_Lecheria[[#This Row],[Indexación Financiero]],0)</f>
        <v>0</v>
      </c>
      <c r="AD6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67" s="991" t="str">
        <f>IFERROR(INDEX(Produccion_Lecheria_Cuentas[],MATCH(Producción_Lecheria[[#This Row],[Cuenta Contable]],Produccion_Lecheria_Cuentas[Cuenta Contable],0),2),0)</f>
        <v>Mov. Hacienda</v>
      </c>
      <c r="AF67" s="992">
        <f>IF(Producción_Lecheria[[#This Row],[Mov. Stock]]="(+)",Producción_Lecheria[[#This Row],[Cabezas]],IF(Producción_Lecheria[[#This Row],[Mov. Stock]]="(-)",-Producción_Lecheria[[#This Row],[Cabezas]],0))</f>
        <v>0</v>
      </c>
      <c r="AG67" s="993" t="str">
        <f>IFERROR(INDEX(Produccion_Lecheria_Cuentas[],MATCH(Producción_Lecheria[[#This Row],[Cuenta Contable]],Produccion_Lecheria_Cuentas[Cuenta Contable],0),5),0)</f>
        <v>(+)</v>
      </c>
      <c r="AH67" s="985" t="str">
        <f>IF(Producción_Lecheria[[#This Row],[Cuenta Contable]]=Configuración!$AC$9,"Si","No")</f>
        <v>No</v>
      </c>
      <c r="AI67" s="983" t="str">
        <f>IFERROR(INDEX(Tabla9[],MATCH(Producción_Lecheria[[#This Row],[Movimiento]],Tabla9[Movimientos],0),2),0)</f>
        <v>No</v>
      </c>
      <c r="AJ67" s="984">
        <f>IFERROR(INDEX(Tabla9[],MATCH(Producción_Lecheria[[#This Row],[Movimiento]],Tabla9[Movimientos],0),3),0)</f>
        <v>0</v>
      </c>
      <c r="AK67" s="986">
        <f>IF(Producción_Lecheria[[#This Row],[Fecha Económico]]=0,0,MONTH(Producción_Lecheria[[#This Row],[Fecha Económico]]))</f>
        <v>5</v>
      </c>
      <c r="AL67" s="986">
        <f>IF(Producción_Lecheria[[#This Row],[Fecha Económico]]=0,0,YEAR(Producción_Lecheria[[#This Row],[Fecha Económico]]))</f>
        <v>2019</v>
      </c>
      <c r="AM67" s="987">
        <f>SUMPRODUCT((Producción_Lecheria[[#This Row],[Mes Económico]]=Tipo_Cambio[Mes])*(Producción_Lecheria[[#This Row],[Año Económico]]=Tipo_Cambio[Año])*(Tipo_Cambio[$/U$S]))</f>
        <v>24.301686759046497</v>
      </c>
      <c r="AN67" s="987">
        <f>SUMPRODUCT((Producción_Lecheria[[#This Row],[Mes Económico]]=Tipo_Cambio[Mes])*(Producción_Lecheria[[#This Row],[Año Económico]]=Tipo_Cambio[Año])*(Tipo_Cambio[Actualización]))</f>
        <v>1.2189944199947573</v>
      </c>
      <c r="AO67" s="986">
        <f>IF(ISNUMBER(Producción_Lecheria[[#This Row],[Fecha Financiero]])=TRUE,MONTH(Producción_Lecheria[[#This Row],[Fecha Financiero]]),0)</f>
        <v>0</v>
      </c>
      <c r="AP67" s="986">
        <f>IF(ISNUMBER(Producción_Lecheria[[#This Row],[Fecha Financiero]])=TRUE,YEAR(Producción_Lecheria[[#This Row],[Fecha Financiero]]),0)</f>
        <v>0</v>
      </c>
      <c r="AQ67" s="987">
        <f>SUMPRODUCT((Producción_Lecheria[[#This Row],[Mes Financiero]]=Tipo_Cambio[Mes])*(Producción_Lecheria[[#This Row],[Año Financiero]]=Tipo_Cambio[Año])*(Tipo_Cambio[$/U$S]))</f>
        <v>0</v>
      </c>
      <c r="AR67" s="987">
        <f>SUMPRODUCT((Producción_Lecheria[[#This Row],[Mes Financiero]]=Tipo_Cambio[Mes])*(Producción_Lecheria[[#This Row],[Año Financiero]]=Tipo_Cambio[Año])*(Tipo_Cambio[Actualización]))</f>
        <v>0</v>
      </c>
      <c r="AS67" s="1009">
        <f>SUMPRODUCT((Producción_Lecheria[[#This Row],[Centro de Costo]]=Tabla1924[Centro de Costo])*(Tabla19[Superficie]))</f>
        <v>2356</v>
      </c>
      <c r="AT67" s="1010">
        <f>IFERROR(Producción_Lecheria[[#This Row],[Económico $Corrientes]]/Producción_Lecheria[[#This Row],[Superficie]],0)</f>
        <v>0</v>
      </c>
      <c r="AU67" s="1010">
        <f>IFERROR(Producción_Lecheria[[#This Row],[Económico $Constantes]]/Producción_Lecheria[[#This Row],[Superficie]],0)</f>
        <v>0</v>
      </c>
      <c r="AV67" s="1010">
        <f>IFERROR(Producción_Lecheria[[#This Row],[Económico U$S Dólares]]/Producción_Lecheria[[#This Row],[Superficie]],0)</f>
        <v>0</v>
      </c>
      <c r="AW67" s="992" t="str">
        <f>IF(Económico!$F$4=0,0,Producción_Lecheria[Centro de Costo])</f>
        <v>Campo 1</v>
      </c>
    </row>
    <row r="68" spans="1:49" x14ac:dyDescent="0.25">
      <c r="A68" s="86"/>
      <c r="B68" s="86"/>
      <c r="C68" s="86"/>
      <c r="D68" s="528">
        <f t="shared" si="6"/>
        <v>43586</v>
      </c>
      <c r="E68" s="493"/>
      <c r="F68" s="479" t="str">
        <f>Campaña_Actual</f>
        <v>2018-2019</v>
      </c>
      <c r="G68" s="576" t="str">
        <f t="shared" si="5"/>
        <v>Entrada Nacimientos</v>
      </c>
      <c r="H68" s="481" t="s">
        <v>2</v>
      </c>
      <c r="I68" s="481" t="s">
        <v>131</v>
      </c>
      <c r="J68" s="549"/>
      <c r="K68" s="484"/>
      <c r="L6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6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68" s="520"/>
      <c r="O6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68" s="563"/>
      <c r="Q68" s="491"/>
      <c r="R68" s="875">
        <f>IF(ISNUMBER(Producción_Lecheria[[#This Row],[Cabezas]])=TRUE,Producción_Lecheria[[#This Row],[Cabezas]]*Producción_Lecheria[[#This Row],[Cantidad]],Producción_Lecheria[[#This Row],[Cantidad]])</f>
        <v>0</v>
      </c>
      <c r="S68" s="491"/>
      <c r="T68" s="552"/>
      <c r="U68" s="553"/>
      <c r="V6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68" s="989">
        <f>IFERROR(Producción_Lecheria[[#This Row],[Económico $Corrientes]]/Producción_Lecheria[[#This Row],[Indexación Económico]],0)</f>
        <v>0</v>
      </c>
      <c r="X6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6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68" s="989">
        <f>IFERROR(Producción_Lecheria[[#This Row],[Financiero $Corrientes]]/Producción_Lecheria[[#This Row],[Indexación Financiero]],0)</f>
        <v>0</v>
      </c>
      <c r="AA6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6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68" s="981">
        <f>IFERROR(Producción_Lecheria[[#This Row],[Intereses $Corrientes]]/Producción_Lecheria[[#This Row],[Indexación Financiero]],0)</f>
        <v>0</v>
      </c>
      <c r="AD6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68" s="991" t="str">
        <f>IFERROR(INDEX(Produccion_Lecheria_Cuentas[],MATCH(Producción_Lecheria[[#This Row],[Cuenta Contable]],Produccion_Lecheria_Cuentas[Cuenta Contable],0),2),0)</f>
        <v>Mov. Hacienda</v>
      </c>
      <c r="AF68" s="992">
        <f>IF(Producción_Lecheria[[#This Row],[Mov. Stock]]="(+)",Producción_Lecheria[[#This Row],[Cabezas]],IF(Producción_Lecheria[[#This Row],[Mov. Stock]]="(-)",-Producción_Lecheria[[#This Row],[Cabezas]],0))</f>
        <v>0</v>
      </c>
      <c r="AG68" s="993" t="str">
        <f>IFERROR(INDEX(Produccion_Lecheria_Cuentas[],MATCH(Producción_Lecheria[[#This Row],[Cuenta Contable]],Produccion_Lecheria_Cuentas[Cuenta Contable],0),5),0)</f>
        <v>(+)</v>
      </c>
      <c r="AH68" s="985" t="str">
        <f>IF(Producción_Lecheria[[#This Row],[Cuenta Contable]]=Configuración!$AC$9,"Si","No")</f>
        <v>No</v>
      </c>
      <c r="AI68" s="983" t="str">
        <f>IFERROR(INDEX(Tabla9[],MATCH(Producción_Lecheria[[#This Row],[Movimiento]],Tabla9[Movimientos],0),2),0)</f>
        <v>No</v>
      </c>
      <c r="AJ68" s="984">
        <f>IFERROR(INDEX(Tabla9[],MATCH(Producción_Lecheria[[#This Row],[Movimiento]],Tabla9[Movimientos],0),3),0)</f>
        <v>0</v>
      </c>
      <c r="AK68" s="986">
        <f>IF(Producción_Lecheria[[#This Row],[Fecha Económico]]=0,0,MONTH(Producción_Lecheria[[#This Row],[Fecha Económico]]))</f>
        <v>5</v>
      </c>
      <c r="AL68" s="986">
        <f>IF(Producción_Lecheria[[#This Row],[Fecha Económico]]=0,0,YEAR(Producción_Lecheria[[#This Row],[Fecha Económico]]))</f>
        <v>2019</v>
      </c>
      <c r="AM68" s="987">
        <f>SUMPRODUCT((Producción_Lecheria[[#This Row],[Mes Económico]]=Tipo_Cambio[Mes])*(Producción_Lecheria[[#This Row],[Año Económico]]=Tipo_Cambio[Año])*(Tipo_Cambio[$/U$S]))</f>
        <v>24.301686759046497</v>
      </c>
      <c r="AN68" s="987">
        <f>SUMPRODUCT((Producción_Lecheria[[#This Row],[Mes Económico]]=Tipo_Cambio[Mes])*(Producción_Lecheria[[#This Row],[Año Económico]]=Tipo_Cambio[Año])*(Tipo_Cambio[Actualización]))</f>
        <v>1.2189944199947573</v>
      </c>
      <c r="AO68" s="986">
        <f>IF(ISNUMBER(Producción_Lecheria[[#This Row],[Fecha Financiero]])=TRUE,MONTH(Producción_Lecheria[[#This Row],[Fecha Financiero]]),0)</f>
        <v>0</v>
      </c>
      <c r="AP68" s="986">
        <f>IF(ISNUMBER(Producción_Lecheria[[#This Row],[Fecha Financiero]])=TRUE,YEAR(Producción_Lecheria[[#This Row],[Fecha Financiero]]),0)</f>
        <v>0</v>
      </c>
      <c r="AQ68" s="987">
        <f>SUMPRODUCT((Producción_Lecheria[[#This Row],[Mes Financiero]]=Tipo_Cambio[Mes])*(Producción_Lecheria[[#This Row],[Año Financiero]]=Tipo_Cambio[Año])*(Tipo_Cambio[$/U$S]))</f>
        <v>0</v>
      </c>
      <c r="AR68" s="987">
        <f>SUMPRODUCT((Producción_Lecheria[[#This Row],[Mes Financiero]]=Tipo_Cambio[Mes])*(Producción_Lecheria[[#This Row],[Año Financiero]]=Tipo_Cambio[Año])*(Tipo_Cambio[Actualización]))</f>
        <v>0</v>
      </c>
      <c r="AS68" s="1009">
        <f>SUMPRODUCT((Producción_Lecheria[[#This Row],[Centro de Costo]]=Tabla1924[Centro de Costo])*(Tabla19[Superficie]))</f>
        <v>2356</v>
      </c>
      <c r="AT68" s="1010">
        <f>IFERROR(Producción_Lecheria[[#This Row],[Económico $Corrientes]]/Producción_Lecheria[[#This Row],[Superficie]],0)</f>
        <v>0</v>
      </c>
      <c r="AU68" s="1010">
        <f>IFERROR(Producción_Lecheria[[#This Row],[Económico $Constantes]]/Producción_Lecheria[[#This Row],[Superficie]],0)</f>
        <v>0</v>
      </c>
      <c r="AV68" s="1010">
        <f>IFERROR(Producción_Lecheria[[#This Row],[Económico U$S Dólares]]/Producción_Lecheria[[#This Row],[Superficie]],0)</f>
        <v>0</v>
      </c>
      <c r="AW68" s="992" t="str">
        <f>IF(Económico!$F$4=0,0,Producción_Lecheria[Centro de Costo])</f>
        <v>Campo 1</v>
      </c>
    </row>
    <row r="69" spans="1:49" x14ac:dyDescent="0.25">
      <c r="A69" s="86"/>
      <c r="B69" s="86"/>
      <c r="C69" s="86"/>
      <c r="D69" s="528">
        <f t="shared" si="6"/>
        <v>43617</v>
      </c>
      <c r="E69" s="493"/>
      <c r="F69" s="479" t="str">
        <f>Campaña_Actual</f>
        <v>2018-2019</v>
      </c>
      <c r="G69" s="576" t="str">
        <f t="shared" si="5"/>
        <v>Entrada Nacimientos</v>
      </c>
      <c r="H69" s="481" t="s">
        <v>2</v>
      </c>
      <c r="I69" s="481" t="s">
        <v>130</v>
      </c>
      <c r="J69" s="549"/>
      <c r="K69" s="484"/>
      <c r="L6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6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69" s="520"/>
      <c r="O6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69" s="563"/>
      <c r="Q69" s="491"/>
      <c r="R69" s="875">
        <f>IF(ISNUMBER(Producción_Lecheria[[#This Row],[Cabezas]])=TRUE,Producción_Lecheria[[#This Row],[Cabezas]]*Producción_Lecheria[[#This Row],[Cantidad]],Producción_Lecheria[[#This Row],[Cantidad]])</f>
        <v>0</v>
      </c>
      <c r="S69" s="491"/>
      <c r="T69" s="552"/>
      <c r="U69" s="553"/>
      <c r="V6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69" s="989">
        <f>IFERROR(Producción_Lecheria[[#This Row],[Económico $Corrientes]]/Producción_Lecheria[[#This Row],[Indexación Económico]],0)</f>
        <v>0</v>
      </c>
      <c r="X6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6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69" s="989">
        <f>IFERROR(Producción_Lecheria[[#This Row],[Financiero $Corrientes]]/Producción_Lecheria[[#This Row],[Indexación Financiero]],0)</f>
        <v>0</v>
      </c>
      <c r="AA6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6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69" s="981">
        <f>IFERROR(Producción_Lecheria[[#This Row],[Intereses $Corrientes]]/Producción_Lecheria[[#This Row],[Indexación Financiero]],0)</f>
        <v>0</v>
      </c>
      <c r="AD6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69" s="991" t="str">
        <f>IFERROR(INDEX(Produccion_Lecheria_Cuentas[],MATCH(Producción_Lecheria[[#This Row],[Cuenta Contable]],Produccion_Lecheria_Cuentas[Cuenta Contable],0),2),0)</f>
        <v>Mov. Hacienda</v>
      </c>
      <c r="AF69" s="992">
        <f>IF(Producción_Lecheria[[#This Row],[Mov. Stock]]="(+)",Producción_Lecheria[[#This Row],[Cabezas]],IF(Producción_Lecheria[[#This Row],[Mov. Stock]]="(-)",-Producción_Lecheria[[#This Row],[Cabezas]],0))</f>
        <v>0</v>
      </c>
      <c r="AG69" s="993" t="str">
        <f>IFERROR(INDEX(Produccion_Lecheria_Cuentas[],MATCH(Producción_Lecheria[[#This Row],[Cuenta Contable]],Produccion_Lecheria_Cuentas[Cuenta Contable],0),5),0)</f>
        <v>(+)</v>
      </c>
      <c r="AH69" s="985" t="str">
        <f>IF(Producción_Lecheria[[#This Row],[Cuenta Contable]]=Configuración!$AC$9,"Si","No")</f>
        <v>No</v>
      </c>
      <c r="AI69" s="983" t="str">
        <f>IFERROR(INDEX(Tabla9[],MATCH(Producción_Lecheria[[#This Row],[Movimiento]],Tabla9[Movimientos],0),2),0)</f>
        <v>No</v>
      </c>
      <c r="AJ69" s="984">
        <f>IFERROR(INDEX(Tabla9[],MATCH(Producción_Lecheria[[#This Row],[Movimiento]],Tabla9[Movimientos],0),3),0)</f>
        <v>0</v>
      </c>
      <c r="AK69" s="986">
        <f>IF(Producción_Lecheria[[#This Row],[Fecha Económico]]=0,0,MONTH(Producción_Lecheria[[#This Row],[Fecha Económico]]))</f>
        <v>6</v>
      </c>
      <c r="AL69" s="986">
        <f>IF(Producción_Lecheria[[#This Row],[Fecha Económico]]=0,0,YEAR(Producción_Lecheria[[#This Row],[Fecha Económico]]))</f>
        <v>2019</v>
      </c>
      <c r="AM69" s="987">
        <f>SUMPRODUCT((Producción_Lecheria[[#This Row],[Mes Económico]]=Tipo_Cambio[Mes])*(Producción_Lecheria[[#This Row],[Año Económico]]=Tipo_Cambio[Año])*(Tipo_Cambio[$/U$S]))</f>
        <v>24.544703626636963</v>
      </c>
      <c r="AN69" s="987">
        <f>SUMPRODUCT((Producción_Lecheria[[#This Row],[Mes Económico]]=Tipo_Cambio[Mes])*(Producción_Lecheria[[#This Row],[Año Económico]]=Tipo_Cambio[Año])*(Tipo_Cambio[Actualización]))</f>
        <v>1.2433743083946525</v>
      </c>
      <c r="AO69" s="986">
        <f>IF(ISNUMBER(Producción_Lecheria[[#This Row],[Fecha Financiero]])=TRUE,MONTH(Producción_Lecheria[[#This Row],[Fecha Financiero]]),0)</f>
        <v>0</v>
      </c>
      <c r="AP69" s="986">
        <f>IF(ISNUMBER(Producción_Lecheria[[#This Row],[Fecha Financiero]])=TRUE,YEAR(Producción_Lecheria[[#This Row],[Fecha Financiero]]),0)</f>
        <v>0</v>
      </c>
      <c r="AQ69" s="987">
        <f>SUMPRODUCT((Producción_Lecheria[[#This Row],[Mes Financiero]]=Tipo_Cambio[Mes])*(Producción_Lecheria[[#This Row],[Año Financiero]]=Tipo_Cambio[Año])*(Tipo_Cambio[$/U$S]))</f>
        <v>0</v>
      </c>
      <c r="AR69" s="987">
        <f>SUMPRODUCT((Producción_Lecheria[[#This Row],[Mes Financiero]]=Tipo_Cambio[Mes])*(Producción_Lecheria[[#This Row],[Año Financiero]]=Tipo_Cambio[Año])*(Tipo_Cambio[Actualización]))</f>
        <v>0</v>
      </c>
      <c r="AS69" s="1009">
        <f>SUMPRODUCT((Producción_Lecheria[[#This Row],[Centro de Costo]]=Tabla1924[Centro de Costo])*(Tabla19[Superficie]))</f>
        <v>2356</v>
      </c>
      <c r="AT69" s="1010">
        <f>IFERROR(Producción_Lecheria[[#This Row],[Económico $Corrientes]]/Producción_Lecheria[[#This Row],[Superficie]],0)</f>
        <v>0</v>
      </c>
      <c r="AU69" s="1010">
        <f>IFERROR(Producción_Lecheria[[#This Row],[Económico $Constantes]]/Producción_Lecheria[[#This Row],[Superficie]],0)</f>
        <v>0</v>
      </c>
      <c r="AV69" s="1010">
        <f>IFERROR(Producción_Lecheria[[#This Row],[Económico U$S Dólares]]/Producción_Lecheria[[#This Row],[Superficie]],0)</f>
        <v>0</v>
      </c>
      <c r="AW69" s="992" t="str">
        <f>IF(Económico!$F$4=0,0,Producción_Lecheria[Centro de Costo])</f>
        <v>Campo 1</v>
      </c>
    </row>
    <row r="70" spans="1:49" x14ac:dyDescent="0.25">
      <c r="A70" s="86"/>
      <c r="B70" s="86"/>
      <c r="C70" s="86"/>
      <c r="D70" s="528">
        <f t="shared" si="6"/>
        <v>43617</v>
      </c>
      <c r="E70" s="493"/>
      <c r="F70" s="479" t="str">
        <f>Campaña_Actual</f>
        <v>2018-2019</v>
      </c>
      <c r="G70" s="576" t="str">
        <f t="shared" si="5"/>
        <v>Entrada Nacimientos</v>
      </c>
      <c r="H70" s="481" t="s">
        <v>2</v>
      </c>
      <c r="I70" s="481" t="s">
        <v>131</v>
      </c>
      <c r="J70" s="549"/>
      <c r="K70" s="484"/>
      <c r="L7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7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70" s="520"/>
      <c r="O7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70" s="563"/>
      <c r="Q70" s="491"/>
      <c r="R70" s="875">
        <f>IF(ISNUMBER(Producción_Lecheria[[#This Row],[Cabezas]])=TRUE,Producción_Lecheria[[#This Row],[Cabezas]]*Producción_Lecheria[[#This Row],[Cantidad]],Producción_Lecheria[[#This Row],[Cantidad]])</f>
        <v>0</v>
      </c>
      <c r="S70" s="491"/>
      <c r="T70" s="552"/>
      <c r="U70" s="553"/>
      <c r="V7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70" s="989">
        <f>IFERROR(Producción_Lecheria[[#This Row],[Económico $Corrientes]]/Producción_Lecheria[[#This Row],[Indexación Económico]],0)</f>
        <v>0</v>
      </c>
      <c r="X7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7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70" s="989">
        <f>IFERROR(Producción_Lecheria[[#This Row],[Financiero $Corrientes]]/Producción_Lecheria[[#This Row],[Indexación Financiero]],0)</f>
        <v>0</v>
      </c>
      <c r="AA7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7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70" s="981">
        <f>IFERROR(Producción_Lecheria[[#This Row],[Intereses $Corrientes]]/Producción_Lecheria[[#This Row],[Indexación Financiero]],0)</f>
        <v>0</v>
      </c>
      <c r="AD7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70" s="991" t="str">
        <f>IFERROR(INDEX(Produccion_Lecheria_Cuentas[],MATCH(Producción_Lecheria[[#This Row],[Cuenta Contable]],Produccion_Lecheria_Cuentas[Cuenta Contable],0),2),0)</f>
        <v>Mov. Hacienda</v>
      </c>
      <c r="AF70" s="992">
        <f>IF(Producción_Lecheria[[#This Row],[Mov. Stock]]="(+)",Producción_Lecheria[[#This Row],[Cabezas]],IF(Producción_Lecheria[[#This Row],[Mov. Stock]]="(-)",-Producción_Lecheria[[#This Row],[Cabezas]],0))</f>
        <v>0</v>
      </c>
      <c r="AG70" s="993" t="str">
        <f>IFERROR(INDEX(Produccion_Lecheria_Cuentas[],MATCH(Producción_Lecheria[[#This Row],[Cuenta Contable]],Produccion_Lecheria_Cuentas[Cuenta Contable],0),5),0)</f>
        <v>(+)</v>
      </c>
      <c r="AH70" s="985" t="str">
        <f>IF(Producción_Lecheria[[#This Row],[Cuenta Contable]]=Configuración!$AC$9,"Si","No")</f>
        <v>No</v>
      </c>
      <c r="AI70" s="983" t="str">
        <f>IFERROR(INDEX(Tabla9[],MATCH(Producción_Lecheria[[#This Row],[Movimiento]],Tabla9[Movimientos],0),2),0)</f>
        <v>No</v>
      </c>
      <c r="AJ70" s="984">
        <f>IFERROR(INDEX(Tabla9[],MATCH(Producción_Lecheria[[#This Row],[Movimiento]],Tabla9[Movimientos],0),3),0)</f>
        <v>0</v>
      </c>
      <c r="AK70" s="986">
        <f>IF(Producción_Lecheria[[#This Row],[Fecha Económico]]=0,0,MONTH(Producción_Lecheria[[#This Row],[Fecha Económico]]))</f>
        <v>6</v>
      </c>
      <c r="AL70" s="986">
        <f>IF(Producción_Lecheria[[#This Row],[Fecha Económico]]=0,0,YEAR(Producción_Lecheria[[#This Row],[Fecha Económico]]))</f>
        <v>2019</v>
      </c>
      <c r="AM70" s="987">
        <f>SUMPRODUCT((Producción_Lecheria[[#This Row],[Mes Económico]]=Tipo_Cambio[Mes])*(Producción_Lecheria[[#This Row],[Año Económico]]=Tipo_Cambio[Año])*(Tipo_Cambio[$/U$S]))</f>
        <v>24.544703626636963</v>
      </c>
      <c r="AN70" s="987">
        <f>SUMPRODUCT((Producción_Lecheria[[#This Row],[Mes Económico]]=Tipo_Cambio[Mes])*(Producción_Lecheria[[#This Row],[Año Económico]]=Tipo_Cambio[Año])*(Tipo_Cambio[Actualización]))</f>
        <v>1.2433743083946525</v>
      </c>
      <c r="AO70" s="986">
        <f>IF(ISNUMBER(Producción_Lecheria[[#This Row],[Fecha Financiero]])=TRUE,MONTH(Producción_Lecheria[[#This Row],[Fecha Financiero]]),0)</f>
        <v>0</v>
      </c>
      <c r="AP70" s="986">
        <f>IF(ISNUMBER(Producción_Lecheria[[#This Row],[Fecha Financiero]])=TRUE,YEAR(Producción_Lecheria[[#This Row],[Fecha Financiero]]),0)</f>
        <v>0</v>
      </c>
      <c r="AQ70" s="987">
        <f>SUMPRODUCT((Producción_Lecheria[[#This Row],[Mes Financiero]]=Tipo_Cambio[Mes])*(Producción_Lecheria[[#This Row],[Año Financiero]]=Tipo_Cambio[Año])*(Tipo_Cambio[$/U$S]))</f>
        <v>0</v>
      </c>
      <c r="AR70" s="987">
        <f>SUMPRODUCT((Producción_Lecheria[[#This Row],[Mes Financiero]]=Tipo_Cambio[Mes])*(Producción_Lecheria[[#This Row],[Año Financiero]]=Tipo_Cambio[Año])*(Tipo_Cambio[Actualización]))</f>
        <v>0</v>
      </c>
      <c r="AS70" s="1009">
        <f>SUMPRODUCT((Producción_Lecheria[[#This Row],[Centro de Costo]]=Tabla1924[Centro de Costo])*(Tabla19[Superficie]))</f>
        <v>2356</v>
      </c>
      <c r="AT70" s="1010">
        <f>IFERROR(Producción_Lecheria[[#This Row],[Económico $Corrientes]]/Producción_Lecheria[[#This Row],[Superficie]],0)</f>
        <v>0</v>
      </c>
      <c r="AU70" s="1010">
        <f>IFERROR(Producción_Lecheria[[#This Row],[Económico $Constantes]]/Producción_Lecheria[[#This Row],[Superficie]],0)</f>
        <v>0</v>
      </c>
      <c r="AV70" s="1010">
        <f>IFERROR(Producción_Lecheria[[#This Row],[Económico U$S Dólares]]/Producción_Lecheria[[#This Row],[Superficie]],0)</f>
        <v>0</v>
      </c>
      <c r="AW70" s="992" t="str">
        <f>IF(Económico!$F$4=0,0,Producción_Lecheria[Centro de Costo])</f>
        <v>Campo 1</v>
      </c>
    </row>
    <row r="71" spans="1:49" ht="15.75" thickBot="1" x14ac:dyDescent="0.3">
      <c r="A71" s="86"/>
      <c r="B71" s="373" t="s">
        <v>101</v>
      </c>
      <c r="C71" s="86"/>
      <c r="D71" s="564"/>
      <c r="E71" s="565"/>
      <c r="F71" s="566" t="str">
        <f t="shared" si="0"/>
        <v>2018-2019</v>
      </c>
      <c r="G71" s="567"/>
      <c r="H71" s="567"/>
      <c r="I71" s="567"/>
      <c r="J71" s="568"/>
      <c r="K71" s="567"/>
      <c r="L71" s="963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71" s="963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71" s="569"/>
      <c r="O71" s="971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71" s="570"/>
      <c r="Q71" s="567"/>
      <c r="R71" s="976">
        <f>IF(ISNUMBER(Producción_Lecheria[[#This Row],[Cabezas]])=TRUE,Producción_Lecheria[[#This Row],[Cabezas]]*Producción_Lecheria[[#This Row],[Cantidad]],Producción_Lecheria[[#This Row],[Cantidad]])</f>
        <v>0</v>
      </c>
      <c r="S71" s="567"/>
      <c r="T71" s="571"/>
      <c r="U71" s="572"/>
      <c r="V71" s="1011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71" s="1012">
        <f>IFERROR(Producción_Lecheria[[#This Row],[Económico $Corrientes]]/Producción_Lecheria[[#This Row],[Indexación Económico]],0)</f>
        <v>0</v>
      </c>
      <c r="X71" s="1013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71" s="1011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71" s="1012">
        <f>IFERROR(Producción_Lecheria[[#This Row],[Financiero $Corrientes]]/Producción_Lecheria[[#This Row],[Indexación Financiero]],0)</f>
        <v>0</v>
      </c>
      <c r="AA71" s="1014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71" s="1015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71" s="1016">
        <f>IFERROR(Producción_Lecheria[[#This Row],[Intereses $Corrientes]]/Producción_Lecheria[[#This Row],[Indexación Financiero]],0)</f>
        <v>0</v>
      </c>
      <c r="AD71" s="101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71" s="1017">
        <f>IFERROR(INDEX(Produccion_Lecheria_Cuentas[],MATCH(Producción_Lecheria[[#This Row],[Cuenta Contable]],Produccion_Lecheria_Cuentas[Cuenta Contable],0),2),0)</f>
        <v>0</v>
      </c>
      <c r="AF71" s="1018">
        <f>IF(Producción_Lecheria[[#This Row],[Mov. Stock]]="(+)",Producción_Lecheria[[#This Row],[Cabezas]],IF(Producción_Lecheria[[#This Row],[Mov. Stock]]="(-)",-Producción_Lecheria[[#This Row],[Cabezas]],0))</f>
        <v>0</v>
      </c>
      <c r="AG71" s="1019">
        <f>IFERROR(INDEX(Produccion_Lecheria_Cuentas[],MATCH(Producción_Lecheria[[#This Row],[Cuenta Contable]],Produccion_Lecheria_Cuentas[Cuenta Contable],0),5),0)</f>
        <v>0</v>
      </c>
      <c r="AH71" s="1020" t="str">
        <f>IF(Producción_Lecheria[[#This Row],[Cuenta Contable]]=Configuración!$AC$9,"Si","No")</f>
        <v>No</v>
      </c>
      <c r="AI71" s="1021">
        <f>IFERROR(INDEX(Tabla9[],MATCH(Producción_Lecheria[[#This Row],[Movimiento]],Tabla9[Movimientos],0),2),0)</f>
        <v>0</v>
      </c>
      <c r="AJ71" s="1022">
        <f>IFERROR(INDEX(Tabla9[],MATCH(Producción_Lecheria[[#This Row],[Movimiento]],Tabla9[Movimientos],0),3),0)</f>
        <v>0</v>
      </c>
      <c r="AK71" s="1016">
        <f>IF(Producción_Lecheria[[#This Row],[Fecha Económico]]=0,0,MONTH(Producción_Lecheria[[#This Row],[Fecha Económico]]))</f>
        <v>0</v>
      </c>
      <c r="AL71" s="1016">
        <f>IF(Producción_Lecheria[[#This Row],[Fecha Económico]]=0,0,YEAR(Producción_Lecheria[[#This Row],[Fecha Económico]]))</f>
        <v>0</v>
      </c>
      <c r="AM71" s="1023">
        <f>SUMPRODUCT((Producción_Lecheria[[#This Row],[Mes Económico]]=Tipo_Cambio[Mes])*(Producción_Lecheria[[#This Row],[Año Económico]]=Tipo_Cambio[Año])*(Tipo_Cambio[$/U$S]))</f>
        <v>0</v>
      </c>
      <c r="AN71" s="1023">
        <f>SUMPRODUCT((Producción_Lecheria[[#This Row],[Mes Económico]]=Tipo_Cambio[Mes])*(Producción_Lecheria[[#This Row],[Año Económico]]=Tipo_Cambio[Año])*(Tipo_Cambio[Actualización]))</f>
        <v>0</v>
      </c>
      <c r="AO71" s="1016">
        <f>IF(ISNUMBER(Producción_Lecheria[[#This Row],[Fecha Financiero]])=TRUE,MONTH(Producción_Lecheria[[#This Row],[Fecha Financiero]]),0)</f>
        <v>0</v>
      </c>
      <c r="AP71" s="1016">
        <f>IF(ISNUMBER(Producción_Lecheria[[#This Row],[Fecha Financiero]])=TRUE,YEAR(Producción_Lecheria[[#This Row],[Fecha Financiero]]),0)</f>
        <v>0</v>
      </c>
      <c r="AQ71" s="1023">
        <f>SUMPRODUCT((Producción_Lecheria[[#This Row],[Mes Financiero]]=Tipo_Cambio[Mes])*(Producción_Lecheria[[#This Row],[Año Financiero]]=Tipo_Cambio[Año])*(Tipo_Cambio[$/U$S]))</f>
        <v>0</v>
      </c>
      <c r="AR71" s="1023">
        <f>SUMPRODUCT((Producción_Lecheria[[#This Row],[Mes Financiero]]=Tipo_Cambio[Mes])*(Producción_Lecheria[[#This Row],[Año Financiero]]=Tipo_Cambio[Año])*(Tipo_Cambio[Actualización]))</f>
        <v>0</v>
      </c>
      <c r="AS71" s="1024">
        <f>SUMPRODUCT((Producción_Lecheria[[#This Row],[Centro de Costo]]=Tabla1924[Centro de Costo])*(Tabla19[Superficie]))</f>
        <v>0</v>
      </c>
      <c r="AT71" s="1023">
        <f>IFERROR(Producción_Lecheria[[#This Row],[Económico $Corrientes]]/Producción_Lecheria[[#This Row],[Superficie]],0)</f>
        <v>0</v>
      </c>
      <c r="AU71" s="1023">
        <f>IFERROR(Producción_Lecheria[[#This Row],[Económico $Constantes]]/Producción_Lecheria[[#This Row],[Superficie]],0)</f>
        <v>0</v>
      </c>
      <c r="AV71" s="1023">
        <f>IFERROR(Producción_Lecheria[[#This Row],[Económico U$S Dólares]]/Producción_Lecheria[[#This Row],[Superficie]],0)</f>
        <v>0</v>
      </c>
      <c r="AW71" s="1021">
        <f>IF(Económico!$F$4=0,0,Producción_Lecheria[Centro de Costo])</f>
        <v>0</v>
      </c>
    </row>
    <row r="72" spans="1:49" ht="15.75" customHeight="1" thickTop="1" x14ac:dyDescent="0.25">
      <c r="A72" s="86"/>
      <c r="B72" s="1136" t="s">
        <v>169</v>
      </c>
      <c r="C72" s="86"/>
      <c r="D72" s="548">
        <f>DATE(LEFT(Producción_Lecheria[[#This Row],[Campaña]],4),7,1)</f>
        <v>43282</v>
      </c>
      <c r="E72" s="522"/>
      <c r="F72" s="479" t="str">
        <f t="shared" ref="F72:F147" si="8">Campaña_Actual</f>
        <v>2018-2019</v>
      </c>
      <c r="G72" s="490" t="str">
        <f>LCH_Venta_Hacienda</f>
        <v>Venta Hacienda</v>
      </c>
      <c r="H72" s="491" t="s">
        <v>2</v>
      </c>
      <c r="I72" s="491" t="s">
        <v>485</v>
      </c>
      <c r="J72" s="549"/>
      <c r="K72" s="484"/>
      <c r="L7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7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72" s="520"/>
      <c r="O7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72" s="563"/>
      <c r="Q72" s="491"/>
      <c r="R72" s="875">
        <f>IF(ISNUMBER(Producción_Lecheria[[#This Row],[Cabezas]])=TRUE,Producción_Lecheria[[#This Row],[Cabezas]]*Producción_Lecheria[[#This Row],[Cantidad]],Producción_Lecheria[[#This Row],[Cantidad]])</f>
        <v>0</v>
      </c>
      <c r="S72" s="491"/>
      <c r="T72" s="552"/>
      <c r="U72" s="553"/>
      <c r="V7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72" s="977">
        <f>IFERROR(Producción_Lecheria[[#This Row],[Económico $Corrientes]]/Producción_Lecheria[[#This Row],[Indexación Económico]],0)</f>
        <v>0</v>
      </c>
      <c r="X7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7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72" s="977">
        <f>IFERROR(Producción_Lecheria[[#This Row],[Financiero $Corrientes]]/Producción_Lecheria[[#This Row],[Indexación Financiero]],0)</f>
        <v>0</v>
      </c>
      <c r="AA7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7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72" s="981">
        <f>IFERROR(Producción_Lecheria[[#This Row],[Intereses $Corrientes]]/Producción_Lecheria[[#This Row],[Indexación Financiero]],0)</f>
        <v>0</v>
      </c>
      <c r="AD7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72" s="991" t="str">
        <f>IFERROR(INDEX(Produccion_Lecheria_Cuentas[],MATCH(Producción_Lecheria[[#This Row],[Cuenta Contable]],Produccion_Lecheria_Cuentas[Cuenta Contable],0),2),0)</f>
        <v>Ingreso</v>
      </c>
      <c r="AF72" s="992">
        <f>IF(Producción_Lecheria[[#This Row],[Mov. Stock]]="(+)",Producción_Lecheria[[#This Row],[Cabezas]],IF(Producción_Lecheria[[#This Row],[Mov. Stock]]="(-)",-Producción_Lecheria[[#This Row],[Cabezas]],0))</f>
        <v>0</v>
      </c>
      <c r="AG72" s="993" t="str">
        <f>IFERROR(INDEX(Produccion_Lecheria_Cuentas[],MATCH(Producción_Lecheria[[#This Row],[Cuenta Contable]],Produccion_Lecheria_Cuentas[Cuenta Contable],0),5),0)</f>
        <v>(-)</v>
      </c>
      <c r="AH72" s="985" t="str">
        <f>IF(Producción_Lecheria[[#This Row],[Cuenta Contable]]=Configuración!$AC$9,"Si","No")</f>
        <v>No</v>
      </c>
      <c r="AI72" s="983" t="str">
        <f>IFERROR(INDEX(Tabla9[],MATCH(Producción_Lecheria[[#This Row],[Movimiento]],Tabla9[Movimientos],0),2),0)</f>
        <v>Si</v>
      </c>
      <c r="AJ72" s="984" t="str">
        <f>IFERROR(INDEX(Tabla9[],MATCH(Producción_Lecheria[[#This Row],[Movimiento]],Tabla9[Movimientos],0),3),0)</f>
        <v>(+)</v>
      </c>
      <c r="AK72" s="981">
        <f>IF(Producción_Lecheria[[#This Row],[Fecha Económico]]=0,0,MONTH(Producción_Lecheria[[#This Row],[Fecha Económico]]))</f>
        <v>7</v>
      </c>
      <c r="AL72" s="981">
        <f>IF(Producción_Lecheria[[#This Row],[Fecha Económico]]=0,0,YEAR(Producción_Lecheria[[#This Row],[Fecha Económico]]))</f>
        <v>2018</v>
      </c>
      <c r="AM72" s="985">
        <f>SUMPRODUCT((Producción_Lecheria[[#This Row],[Mes Económico]]=Tipo_Cambio[Mes])*(Producción_Lecheria[[#This Row],[Año Económico]]=Tipo_Cambio[Año])*(Tipo_Cambio[$/U$S]))</f>
        <v>22</v>
      </c>
      <c r="AN72" s="985">
        <f>SUMPRODUCT((Producción_Lecheria[[#This Row],[Mes Económico]]=Tipo_Cambio[Mes])*(Producción_Lecheria[[#This Row],[Año Económico]]=Tipo_Cambio[Año])*(Tipo_Cambio[Actualización]))</f>
        <v>1</v>
      </c>
      <c r="AO72" s="981">
        <f>IF(ISNUMBER(Producción_Lecheria[[#This Row],[Fecha Financiero]])=TRUE,MONTH(Producción_Lecheria[[#This Row],[Fecha Financiero]]),0)</f>
        <v>0</v>
      </c>
      <c r="AP72" s="981">
        <f>IF(ISNUMBER(Producción_Lecheria[[#This Row],[Fecha Financiero]])=TRUE,YEAR(Producción_Lecheria[[#This Row],[Fecha Financiero]]),0)</f>
        <v>0</v>
      </c>
      <c r="AQ72" s="985">
        <f>SUMPRODUCT((Producción_Lecheria[[#This Row],[Mes Financiero]]=Tipo_Cambio[Mes])*(Producción_Lecheria[[#This Row],[Año Financiero]]=Tipo_Cambio[Año])*(Tipo_Cambio[$/U$S]))</f>
        <v>0</v>
      </c>
      <c r="AR72" s="985">
        <f>SUMPRODUCT((Producción_Lecheria[[#This Row],[Mes Financiero]]=Tipo_Cambio[Mes])*(Producción_Lecheria[[#This Row],[Año Financiero]]=Tipo_Cambio[Año])*(Tipo_Cambio[Actualización]))</f>
        <v>0</v>
      </c>
      <c r="AS72" s="1009">
        <f>SUMPRODUCT((Producción_Lecheria[[#This Row],[Centro de Costo]]=Tabla1924[Centro de Costo])*(Tabla19[Superficie]))</f>
        <v>2356</v>
      </c>
      <c r="AT72" s="994">
        <f>IFERROR(Producción_Lecheria[[#This Row],[Económico $Corrientes]]/Producción_Lecheria[[#This Row],[Superficie]],0)</f>
        <v>0</v>
      </c>
      <c r="AU72" s="994">
        <f>IFERROR(Producción_Lecheria[[#This Row],[Económico $Constantes]]/Producción_Lecheria[[#This Row],[Superficie]],0)</f>
        <v>0</v>
      </c>
      <c r="AV72" s="994">
        <f>IFERROR(Producción_Lecheria[[#This Row],[Económico U$S Dólares]]/Producción_Lecheria[[#This Row],[Superficie]],0)</f>
        <v>0</v>
      </c>
      <c r="AW72" s="992" t="str">
        <f>IF(Económico!$F$4=0,0,Producción_Lecheria[Centro de Costo])</f>
        <v>Campo 1</v>
      </c>
    </row>
    <row r="73" spans="1:49" x14ac:dyDescent="0.25">
      <c r="A73" s="86"/>
      <c r="B73" s="1136"/>
      <c r="C73" s="86"/>
      <c r="D73" s="548">
        <f>DATE(LEFT(Producción_Lecheria[[#This Row],[Campaña]],4),7,1)</f>
        <v>43282</v>
      </c>
      <c r="E73" s="493"/>
      <c r="F73" s="479" t="str">
        <f>Campaña_Actual</f>
        <v>2018-2019</v>
      </c>
      <c r="G73" s="576" t="str">
        <f>LCH_Venta_Hacienda</f>
        <v>Venta Hacienda</v>
      </c>
      <c r="H73" s="491" t="s">
        <v>2</v>
      </c>
      <c r="I73" s="491" t="s">
        <v>131</v>
      </c>
      <c r="J73" s="549"/>
      <c r="K73" s="484"/>
      <c r="L7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7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73" s="520"/>
      <c r="O7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73" s="563"/>
      <c r="Q73" s="491"/>
      <c r="R73" s="875">
        <f>IF(ISNUMBER(Producción_Lecheria[[#This Row],[Cabezas]])=TRUE,Producción_Lecheria[[#This Row],[Cabezas]]*Producción_Lecheria[[#This Row],[Cantidad]],Producción_Lecheria[[#This Row],[Cantidad]])</f>
        <v>0</v>
      </c>
      <c r="S73" s="491"/>
      <c r="T73" s="552"/>
      <c r="U73" s="553"/>
      <c r="V7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73" s="977">
        <f>IFERROR(Producción_Lecheria[[#This Row],[Económico $Corrientes]]/Producción_Lecheria[[#This Row],[Indexación Económico]],0)</f>
        <v>0</v>
      </c>
      <c r="X7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7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73" s="977">
        <f>IFERROR(Producción_Lecheria[[#This Row],[Financiero $Corrientes]]/Producción_Lecheria[[#This Row],[Indexación Financiero]],0)</f>
        <v>0</v>
      </c>
      <c r="AA7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7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73" s="981">
        <f>IFERROR(Producción_Lecheria[[#This Row],[Intereses $Corrientes]]/Producción_Lecheria[[#This Row],[Indexación Financiero]],0)</f>
        <v>0</v>
      </c>
      <c r="AD7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73" s="991" t="str">
        <f>IFERROR(INDEX(Produccion_Lecheria_Cuentas[],MATCH(Producción_Lecheria[[#This Row],[Cuenta Contable]],Produccion_Lecheria_Cuentas[Cuenta Contable],0),2),0)</f>
        <v>Ingreso</v>
      </c>
      <c r="AF73" s="992">
        <f>IF(Producción_Lecheria[[#This Row],[Mov. Stock]]="(+)",Producción_Lecheria[[#This Row],[Cabezas]],IF(Producción_Lecheria[[#This Row],[Mov. Stock]]="(-)",-Producción_Lecheria[[#This Row],[Cabezas]],0))</f>
        <v>0</v>
      </c>
      <c r="AG73" s="993" t="str">
        <f>IFERROR(INDEX(Produccion_Lecheria_Cuentas[],MATCH(Producción_Lecheria[[#This Row],[Cuenta Contable]],Produccion_Lecheria_Cuentas[Cuenta Contable],0),5),0)</f>
        <v>(-)</v>
      </c>
      <c r="AH73" s="985" t="str">
        <f>IF(Producción_Lecheria[[#This Row],[Cuenta Contable]]=Configuración!$AC$9,"Si","No")</f>
        <v>No</v>
      </c>
      <c r="AI73" s="983" t="str">
        <f>IFERROR(INDEX(Tabla9[],MATCH(Producción_Lecheria[[#This Row],[Movimiento]],Tabla9[Movimientos],0),2),0)</f>
        <v>Si</v>
      </c>
      <c r="AJ73" s="984" t="str">
        <f>IFERROR(INDEX(Tabla9[],MATCH(Producción_Lecheria[[#This Row],[Movimiento]],Tabla9[Movimientos],0),3),0)</f>
        <v>(+)</v>
      </c>
      <c r="AK73" s="981">
        <f>IF(Producción_Lecheria[[#This Row],[Fecha Económico]]=0,0,MONTH(Producción_Lecheria[[#This Row],[Fecha Económico]]))</f>
        <v>7</v>
      </c>
      <c r="AL73" s="981">
        <f>IF(Producción_Lecheria[[#This Row],[Fecha Económico]]=0,0,YEAR(Producción_Lecheria[[#This Row],[Fecha Económico]]))</f>
        <v>2018</v>
      </c>
      <c r="AM73" s="985">
        <f>SUMPRODUCT((Producción_Lecheria[[#This Row],[Mes Económico]]=Tipo_Cambio[Mes])*(Producción_Lecheria[[#This Row],[Año Económico]]=Tipo_Cambio[Año])*(Tipo_Cambio[$/U$S]))</f>
        <v>22</v>
      </c>
      <c r="AN73" s="985">
        <f>SUMPRODUCT((Producción_Lecheria[[#This Row],[Mes Económico]]=Tipo_Cambio[Mes])*(Producción_Lecheria[[#This Row],[Año Económico]]=Tipo_Cambio[Año])*(Tipo_Cambio[Actualización]))</f>
        <v>1</v>
      </c>
      <c r="AO73" s="981">
        <f>IF(ISNUMBER(Producción_Lecheria[[#This Row],[Fecha Financiero]])=TRUE,MONTH(Producción_Lecheria[[#This Row],[Fecha Financiero]]),0)</f>
        <v>0</v>
      </c>
      <c r="AP73" s="981">
        <f>IF(ISNUMBER(Producción_Lecheria[[#This Row],[Fecha Financiero]])=TRUE,YEAR(Producción_Lecheria[[#This Row],[Fecha Financiero]]),0)</f>
        <v>0</v>
      </c>
      <c r="AQ73" s="985">
        <f>SUMPRODUCT((Producción_Lecheria[[#This Row],[Mes Financiero]]=Tipo_Cambio[Mes])*(Producción_Lecheria[[#This Row],[Año Financiero]]=Tipo_Cambio[Año])*(Tipo_Cambio[$/U$S]))</f>
        <v>0</v>
      </c>
      <c r="AR73" s="985">
        <f>SUMPRODUCT((Producción_Lecheria[[#This Row],[Mes Financiero]]=Tipo_Cambio[Mes])*(Producción_Lecheria[[#This Row],[Año Financiero]]=Tipo_Cambio[Año])*(Tipo_Cambio[Actualización]))</f>
        <v>0</v>
      </c>
      <c r="AS73" s="1009">
        <f>SUMPRODUCT((Producción_Lecheria[[#This Row],[Centro de Costo]]=Tabla1924[Centro de Costo])*(Tabla19[Superficie]))</f>
        <v>2356</v>
      </c>
      <c r="AT73" s="994">
        <f>IFERROR(Producción_Lecheria[[#This Row],[Económico $Corrientes]]/Producción_Lecheria[[#This Row],[Superficie]],0)</f>
        <v>0</v>
      </c>
      <c r="AU73" s="994">
        <f>IFERROR(Producción_Lecheria[[#This Row],[Económico $Constantes]]/Producción_Lecheria[[#This Row],[Superficie]],0)</f>
        <v>0</v>
      </c>
      <c r="AV73" s="994">
        <f>IFERROR(Producción_Lecheria[[#This Row],[Económico U$S Dólares]]/Producción_Lecheria[[#This Row],[Superficie]],0)</f>
        <v>0</v>
      </c>
      <c r="AW73" s="992" t="str">
        <f>IF(Económico!$F$4=0,0,Producción_Lecheria[Centro de Costo])</f>
        <v>Campo 1</v>
      </c>
    </row>
    <row r="74" spans="1:49" x14ac:dyDescent="0.25">
      <c r="A74" s="86"/>
      <c r="B74" s="1136"/>
      <c r="C74" s="86"/>
      <c r="D74" s="548">
        <f>DATE(LEFT(Producción_Lecheria[[#This Row],[Campaña]],4),7,1)</f>
        <v>43282</v>
      </c>
      <c r="E74" s="493"/>
      <c r="F74" s="479" t="str">
        <f>Campaña_Actual</f>
        <v>2018-2019</v>
      </c>
      <c r="G74" s="576" t="str">
        <f>LCH_Venta_Hacienda</f>
        <v>Venta Hacienda</v>
      </c>
      <c r="H74" s="491" t="s">
        <v>2</v>
      </c>
      <c r="I74" s="491" t="s">
        <v>129</v>
      </c>
      <c r="J74" s="549"/>
      <c r="K74" s="484"/>
      <c r="L7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7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74" s="520"/>
      <c r="O7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74" s="563"/>
      <c r="Q74" s="491"/>
      <c r="R74" s="875">
        <f>IF(ISNUMBER(Producción_Lecheria[[#This Row],[Cabezas]])=TRUE,Producción_Lecheria[[#This Row],[Cabezas]]*Producción_Lecheria[[#This Row],[Cantidad]],Producción_Lecheria[[#This Row],[Cantidad]])</f>
        <v>0</v>
      </c>
      <c r="S74" s="491"/>
      <c r="T74" s="552"/>
      <c r="U74" s="553"/>
      <c r="V7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74" s="977">
        <f>IFERROR(Producción_Lecheria[[#This Row],[Económico $Corrientes]]/Producción_Lecheria[[#This Row],[Indexación Económico]],0)</f>
        <v>0</v>
      </c>
      <c r="X7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7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74" s="977">
        <f>IFERROR(Producción_Lecheria[[#This Row],[Financiero $Corrientes]]/Producción_Lecheria[[#This Row],[Indexación Financiero]],0)</f>
        <v>0</v>
      </c>
      <c r="AA7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7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74" s="981">
        <f>IFERROR(Producción_Lecheria[[#This Row],[Intereses $Corrientes]]/Producción_Lecheria[[#This Row],[Indexación Financiero]],0)</f>
        <v>0</v>
      </c>
      <c r="AD7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74" s="991" t="str">
        <f>IFERROR(INDEX(Produccion_Lecheria_Cuentas[],MATCH(Producción_Lecheria[[#This Row],[Cuenta Contable]],Produccion_Lecheria_Cuentas[Cuenta Contable],0),2),0)</f>
        <v>Ingreso</v>
      </c>
      <c r="AF74" s="992">
        <f>IF(Producción_Lecheria[[#This Row],[Mov. Stock]]="(+)",Producción_Lecheria[[#This Row],[Cabezas]],IF(Producción_Lecheria[[#This Row],[Mov. Stock]]="(-)",-Producción_Lecheria[[#This Row],[Cabezas]],0))</f>
        <v>0</v>
      </c>
      <c r="AG74" s="993" t="str">
        <f>IFERROR(INDEX(Produccion_Lecheria_Cuentas[],MATCH(Producción_Lecheria[[#This Row],[Cuenta Contable]],Produccion_Lecheria_Cuentas[Cuenta Contable],0),5),0)</f>
        <v>(-)</v>
      </c>
      <c r="AH74" s="985" t="str">
        <f>IF(Producción_Lecheria[[#This Row],[Cuenta Contable]]=Configuración!$AC$9,"Si","No")</f>
        <v>No</v>
      </c>
      <c r="AI74" s="983" t="str">
        <f>IFERROR(INDEX(Tabla9[],MATCH(Producción_Lecheria[[#This Row],[Movimiento]],Tabla9[Movimientos],0),2),0)</f>
        <v>Si</v>
      </c>
      <c r="AJ74" s="984" t="str">
        <f>IFERROR(INDEX(Tabla9[],MATCH(Producción_Lecheria[[#This Row],[Movimiento]],Tabla9[Movimientos],0),3),0)</f>
        <v>(+)</v>
      </c>
      <c r="AK74" s="981">
        <f>IF(Producción_Lecheria[[#This Row],[Fecha Económico]]=0,0,MONTH(Producción_Lecheria[[#This Row],[Fecha Económico]]))</f>
        <v>7</v>
      </c>
      <c r="AL74" s="981">
        <f>IF(Producción_Lecheria[[#This Row],[Fecha Económico]]=0,0,YEAR(Producción_Lecheria[[#This Row],[Fecha Económico]]))</f>
        <v>2018</v>
      </c>
      <c r="AM74" s="985">
        <f>SUMPRODUCT((Producción_Lecheria[[#This Row],[Mes Económico]]=Tipo_Cambio[Mes])*(Producción_Lecheria[[#This Row],[Año Económico]]=Tipo_Cambio[Año])*(Tipo_Cambio[$/U$S]))</f>
        <v>22</v>
      </c>
      <c r="AN74" s="985">
        <f>SUMPRODUCT((Producción_Lecheria[[#This Row],[Mes Económico]]=Tipo_Cambio[Mes])*(Producción_Lecheria[[#This Row],[Año Económico]]=Tipo_Cambio[Año])*(Tipo_Cambio[Actualización]))</f>
        <v>1</v>
      </c>
      <c r="AO74" s="981">
        <f>IF(ISNUMBER(Producción_Lecheria[[#This Row],[Fecha Financiero]])=TRUE,MONTH(Producción_Lecheria[[#This Row],[Fecha Financiero]]),0)</f>
        <v>0</v>
      </c>
      <c r="AP74" s="981">
        <f>IF(ISNUMBER(Producción_Lecheria[[#This Row],[Fecha Financiero]])=TRUE,YEAR(Producción_Lecheria[[#This Row],[Fecha Financiero]]),0)</f>
        <v>0</v>
      </c>
      <c r="AQ74" s="985">
        <f>SUMPRODUCT((Producción_Lecheria[[#This Row],[Mes Financiero]]=Tipo_Cambio[Mes])*(Producción_Lecheria[[#This Row],[Año Financiero]]=Tipo_Cambio[Año])*(Tipo_Cambio[$/U$S]))</f>
        <v>0</v>
      </c>
      <c r="AR74" s="985">
        <f>SUMPRODUCT((Producción_Lecheria[[#This Row],[Mes Financiero]]=Tipo_Cambio[Mes])*(Producción_Lecheria[[#This Row],[Año Financiero]]=Tipo_Cambio[Año])*(Tipo_Cambio[Actualización]))</f>
        <v>0</v>
      </c>
      <c r="AS74" s="1009">
        <f>SUMPRODUCT((Producción_Lecheria[[#This Row],[Centro de Costo]]=Tabla1924[Centro de Costo])*(Tabla19[Superficie]))</f>
        <v>2356</v>
      </c>
      <c r="AT74" s="994">
        <f>IFERROR(Producción_Lecheria[[#This Row],[Económico $Corrientes]]/Producción_Lecheria[[#This Row],[Superficie]],0)</f>
        <v>0</v>
      </c>
      <c r="AU74" s="994">
        <f>IFERROR(Producción_Lecheria[[#This Row],[Económico $Constantes]]/Producción_Lecheria[[#This Row],[Superficie]],0)</f>
        <v>0</v>
      </c>
      <c r="AV74" s="994">
        <f>IFERROR(Producción_Lecheria[[#This Row],[Económico U$S Dólares]]/Producción_Lecheria[[#This Row],[Superficie]],0)</f>
        <v>0</v>
      </c>
      <c r="AW74" s="992" t="str">
        <f>IF(Económico!$F$4=0,0,Producción_Lecheria[Centro de Costo])</f>
        <v>Campo 1</v>
      </c>
    </row>
    <row r="75" spans="1:49" x14ac:dyDescent="0.25">
      <c r="A75" s="86"/>
      <c r="B75" s="373"/>
      <c r="C75" s="86"/>
      <c r="D75" s="548">
        <f>DATE(LEFT(Producción_Lecheria[[#This Row],[Campaña]],4),7,1)</f>
        <v>43282</v>
      </c>
      <c r="E75" s="522"/>
      <c r="F75" s="479" t="str">
        <f t="shared" si="8"/>
        <v>2018-2019</v>
      </c>
      <c r="G75" s="490" t="s">
        <v>127</v>
      </c>
      <c r="H75" s="491" t="s">
        <v>2</v>
      </c>
      <c r="I75" s="491"/>
      <c r="J75" s="549"/>
      <c r="K75" s="484"/>
      <c r="L7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7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75" s="520"/>
      <c r="O7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75" s="563"/>
      <c r="Q75" s="491"/>
      <c r="R75" s="875">
        <f>IF(ISNUMBER(Producción_Lecheria[[#This Row],[Cabezas]])=TRUE,Producción_Lecheria[[#This Row],[Cabezas]]*Producción_Lecheria[[#This Row],[Cantidad]],Producción_Lecheria[[#This Row],[Cantidad]])</f>
        <v>0</v>
      </c>
      <c r="S75" s="491"/>
      <c r="T75" s="552"/>
      <c r="U75" s="553"/>
      <c r="V7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75" s="977">
        <f>IFERROR(Producción_Lecheria[[#This Row],[Económico $Corrientes]]/Producción_Lecheria[[#This Row],[Indexación Económico]],0)</f>
        <v>0</v>
      </c>
      <c r="X7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7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75" s="977">
        <f>IFERROR(Producción_Lecheria[[#This Row],[Financiero $Corrientes]]/Producción_Lecheria[[#This Row],[Indexación Financiero]],0)</f>
        <v>0</v>
      </c>
      <c r="AA7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7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75" s="981">
        <f>IFERROR(Producción_Lecheria[[#This Row],[Intereses $Corrientes]]/Producción_Lecheria[[#This Row],[Indexación Financiero]],0)</f>
        <v>0</v>
      </c>
      <c r="AD7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75" s="991" t="str">
        <f>IFERROR(INDEX(Produccion_Lecheria_Cuentas[],MATCH(Producción_Lecheria[[#This Row],[Cuenta Contable]],Produccion_Lecheria_Cuentas[Cuenta Contable],0),2),0)</f>
        <v>Egreso</v>
      </c>
      <c r="AF75" s="992">
        <f>IF(Producción_Lecheria[[#This Row],[Mov. Stock]]="(+)",Producción_Lecheria[[#This Row],[Cabezas]],IF(Producción_Lecheria[[#This Row],[Mov. Stock]]="(-)",-Producción_Lecheria[[#This Row],[Cabezas]],0))</f>
        <v>0</v>
      </c>
      <c r="AG75" s="993">
        <f>IFERROR(INDEX(Produccion_Lecheria_Cuentas[],MATCH(Producción_Lecheria[[#This Row],[Cuenta Contable]],Produccion_Lecheria_Cuentas[Cuenta Contable],0),5),0)</f>
        <v>0</v>
      </c>
      <c r="AH75" s="985" t="str">
        <f>IF(Producción_Lecheria[[#This Row],[Cuenta Contable]]=Configuración!$AC$9,"Si","No")</f>
        <v>No</v>
      </c>
      <c r="AI75" s="983" t="str">
        <f>IFERROR(INDEX(Tabla9[],MATCH(Producción_Lecheria[[#This Row],[Movimiento]],Tabla9[Movimientos],0),2),0)</f>
        <v>Si</v>
      </c>
      <c r="AJ75" s="984" t="str">
        <f>IFERROR(INDEX(Tabla9[],MATCH(Producción_Lecheria[[#This Row],[Movimiento]],Tabla9[Movimientos],0),3),0)</f>
        <v>(-)</v>
      </c>
      <c r="AK75" s="981">
        <f>IF(Producción_Lecheria[[#This Row],[Fecha Económico]]=0,0,MONTH(Producción_Lecheria[[#This Row],[Fecha Económico]]))</f>
        <v>7</v>
      </c>
      <c r="AL75" s="981">
        <f>IF(Producción_Lecheria[[#This Row],[Fecha Económico]]=0,0,YEAR(Producción_Lecheria[[#This Row],[Fecha Económico]]))</f>
        <v>2018</v>
      </c>
      <c r="AM75" s="985">
        <f>SUMPRODUCT((Producción_Lecheria[[#This Row],[Mes Económico]]=Tipo_Cambio[Mes])*(Producción_Lecheria[[#This Row],[Año Económico]]=Tipo_Cambio[Año])*(Tipo_Cambio[$/U$S]))</f>
        <v>22</v>
      </c>
      <c r="AN75" s="985">
        <f>SUMPRODUCT((Producción_Lecheria[[#This Row],[Mes Económico]]=Tipo_Cambio[Mes])*(Producción_Lecheria[[#This Row],[Año Económico]]=Tipo_Cambio[Año])*(Tipo_Cambio[Actualización]))</f>
        <v>1</v>
      </c>
      <c r="AO75" s="981">
        <f>IF(ISNUMBER(Producción_Lecheria[[#This Row],[Fecha Financiero]])=TRUE,MONTH(Producción_Lecheria[[#This Row],[Fecha Financiero]]),0)</f>
        <v>0</v>
      </c>
      <c r="AP75" s="981">
        <f>IF(ISNUMBER(Producción_Lecheria[[#This Row],[Fecha Financiero]])=TRUE,YEAR(Producción_Lecheria[[#This Row],[Fecha Financiero]]),0)</f>
        <v>0</v>
      </c>
      <c r="AQ75" s="985">
        <f>SUMPRODUCT((Producción_Lecheria[[#This Row],[Mes Financiero]]=Tipo_Cambio[Mes])*(Producción_Lecheria[[#This Row],[Año Financiero]]=Tipo_Cambio[Año])*(Tipo_Cambio[$/U$S]))</f>
        <v>0</v>
      </c>
      <c r="AR75" s="985">
        <f>SUMPRODUCT((Producción_Lecheria[[#This Row],[Mes Financiero]]=Tipo_Cambio[Mes])*(Producción_Lecheria[[#This Row],[Año Financiero]]=Tipo_Cambio[Año])*(Tipo_Cambio[Actualización]))</f>
        <v>0</v>
      </c>
      <c r="AS75" s="1009">
        <f>SUMPRODUCT((Producción_Lecheria[[#This Row],[Centro de Costo]]=Tabla1924[Centro de Costo])*(Tabla19[Superficie]))</f>
        <v>2356</v>
      </c>
      <c r="AT75" s="994">
        <f>IFERROR(Producción_Lecheria[[#This Row],[Económico $Corrientes]]/Producción_Lecheria[[#This Row],[Superficie]],0)</f>
        <v>0</v>
      </c>
      <c r="AU75" s="994">
        <f>IFERROR(Producción_Lecheria[[#This Row],[Económico $Constantes]]/Producción_Lecheria[[#This Row],[Superficie]],0)</f>
        <v>0</v>
      </c>
      <c r="AV75" s="994">
        <f>IFERROR(Producción_Lecheria[[#This Row],[Económico U$S Dólares]]/Producción_Lecheria[[#This Row],[Superficie]],0)</f>
        <v>0</v>
      </c>
      <c r="AW75" s="992" t="str">
        <f>IF(Económico!$F$4=0,0,Producción_Lecheria[Centro de Costo])</f>
        <v>Campo 1</v>
      </c>
    </row>
    <row r="76" spans="1:49" x14ac:dyDescent="0.25">
      <c r="A76" s="86"/>
      <c r="B76" s="373"/>
      <c r="C76" s="86"/>
      <c r="D76" s="548">
        <f>DATE(IF(MONTH(D72)=1,YEAR(D72+1),YEAR(D72)),MONTH(D72)+1,1)</f>
        <v>43313</v>
      </c>
      <c r="E76" s="493"/>
      <c r="F76" s="479" t="str">
        <f>Campaña_Actual</f>
        <v>2018-2019</v>
      </c>
      <c r="G76" s="490" t="str">
        <f>LCH_Venta_Hacienda</f>
        <v>Venta Hacienda</v>
      </c>
      <c r="H76" s="491" t="s">
        <v>2</v>
      </c>
      <c r="I76" s="491" t="s">
        <v>485</v>
      </c>
      <c r="J76" s="549"/>
      <c r="K76" s="484"/>
      <c r="L7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7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76" s="520"/>
      <c r="O7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76" s="563"/>
      <c r="Q76" s="491"/>
      <c r="R76" s="875">
        <f>IF(ISNUMBER(Producción_Lecheria[[#This Row],[Cabezas]])=TRUE,Producción_Lecheria[[#This Row],[Cabezas]]*Producción_Lecheria[[#This Row],[Cantidad]],Producción_Lecheria[[#This Row],[Cantidad]])</f>
        <v>0</v>
      </c>
      <c r="S76" s="491"/>
      <c r="T76" s="552"/>
      <c r="U76" s="553"/>
      <c r="V7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76" s="977">
        <f>IFERROR(Producción_Lecheria[[#This Row],[Económico $Corrientes]]/Producción_Lecheria[[#This Row],[Indexación Económico]],0)</f>
        <v>0</v>
      </c>
      <c r="X7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7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76" s="977">
        <f>IFERROR(Producción_Lecheria[[#This Row],[Financiero $Corrientes]]/Producción_Lecheria[[#This Row],[Indexación Financiero]],0)</f>
        <v>0</v>
      </c>
      <c r="AA7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7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76" s="981">
        <f>IFERROR(Producción_Lecheria[[#This Row],[Intereses $Corrientes]]/Producción_Lecheria[[#This Row],[Indexación Financiero]],0)</f>
        <v>0</v>
      </c>
      <c r="AD7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76" s="991" t="str">
        <f>IFERROR(INDEX(Produccion_Lecheria_Cuentas[],MATCH(Producción_Lecheria[[#This Row],[Cuenta Contable]],Produccion_Lecheria_Cuentas[Cuenta Contable],0),2),0)</f>
        <v>Ingreso</v>
      </c>
      <c r="AF76" s="992">
        <f>IF(Producción_Lecheria[[#This Row],[Mov. Stock]]="(+)",Producción_Lecheria[[#This Row],[Cabezas]],IF(Producción_Lecheria[[#This Row],[Mov. Stock]]="(-)",-Producción_Lecheria[[#This Row],[Cabezas]],0))</f>
        <v>0</v>
      </c>
      <c r="AG76" s="993" t="str">
        <f>IFERROR(INDEX(Produccion_Lecheria_Cuentas[],MATCH(Producción_Lecheria[[#This Row],[Cuenta Contable]],Produccion_Lecheria_Cuentas[Cuenta Contable],0),5),0)</f>
        <v>(-)</v>
      </c>
      <c r="AH76" s="985" t="str">
        <f>IF(Producción_Lecheria[[#This Row],[Cuenta Contable]]=Configuración!$AC$9,"Si","No")</f>
        <v>No</v>
      </c>
      <c r="AI76" s="983" t="str">
        <f>IFERROR(INDEX(Tabla9[],MATCH(Producción_Lecheria[[#This Row],[Movimiento]],Tabla9[Movimientos],0),2),0)</f>
        <v>Si</v>
      </c>
      <c r="AJ76" s="984" t="str">
        <f>IFERROR(INDEX(Tabla9[],MATCH(Producción_Lecheria[[#This Row],[Movimiento]],Tabla9[Movimientos],0),3),0)</f>
        <v>(+)</v>
      </c>
      <c r="AK76" s="981">
        <f>IF(Producción_Lecheria[[#This Row],[Fecha Económico]]=0,0,MONTH(Producción_Lecheria[[#This Row],[Fecha Económico]]))</f>
        <v>8</v>
      </c>
      <c r="AL76" s="981">
        <f>IF(Producción_Lecheria[[#This Row],[Fecha Económico]]=0,0,YEAR(Producción_Lecheria[[#This Row],[Fecha Económico]]))</f>
        <v>2018</v>
      </c>
      <c r="AM76" s="985">
        <f>SUMPRODUCT((Producción_Lecheria[[#This Row],[Mes Económico]]=Tipo_Cambio[Mes])*(Producción_Lecheria[[#This Row],[Año Económico]]=Tipo_Cambio[Año])*(Tipo_Cambio[$/U$S]))</f>
        <v>22.22</v>
      </c>
      <c r="AN76" s="985">
        <f>SUMPRODUCT((Producción_Lecheria[[#This Row],[Mes Económico]]=Tipo_Cambio[Mes])*(Producción_Lecheria[[#This Row],[Año Económico]]=Tipo_Cambio[Año])*(Tipo_Cambio[Actualización]))</f>
        <v>1.02</v>
      </c>
      <c r="AO76" s="981">
        <f>IF(ISNUMBER(Producción_Lecheria[[#This Row],[Fecha Financiero]])=TRUE,MONTH(Producción_Lecheria[[#This Row],[Fecha Financiero]]),0)</f>
        <v>0</v>
      </c>
      <c r="AP76" s="981">
        <f>IF(ISNUMBER(Producción_Lecheria[[#This Row],[Fecha Financiero]])=TRUE,YEAR(Producción_Lecheria[[#This Row],[Fecha Financiero]]),0)</f>
        <v>0</v>
      </c>
      <c r="AQ76" s="985">
        <f>SUMPRODUCT((Producción_Lecheria[[#This Row],[Mes Financiero]]=Tipo_Cambio[Mes])*(Producción_Lecheria[[#This Row],[Año Financiero]]=Tipo_Cambio[Año])*(Tipo_Cambio[$/U$S]))</f>
        <v>0</v>
      </c>
      <c r="AR76" s="985">
        <f>SUMPRODUCT((Producción_Lecheria[[#This Row],[Mes Financiero]]=Tipo_Cambio[Mes])*(Producción_Lecheria[[#This Row],[Año Financiero]]=Tipo_Cambio[Año])*(Tipo_Cambio[Actualización]))</f>
        <v>0</v>
      </c>
      <c r="AS76" s="1009">
        <f>SUMPRODUCT((Producción_Lecheria[[#This Row],[Centro de Costo]]=Tabla1924[Centro de Costo])*(Tabla19[Superficie]))</f>
        <v>2356</v>
      </c>
      <c r="AT76" s="994">
        <f>IFERROR(Producción_Lecheria[[#This Row],[Económico $Corrientes]]/Producción_Lecheria[[#This Row],[Superficie]],0)</f>
        <v>0</v>
      </c>
      <c r="AU76" s="994">
        <f>IFERROR(Producción_Lecheria[[#This Row],[Económico $Constantes]]/Producción_Lecheria[[#This Row],[Superficie]],0)</f>
        <v>0</v>
      </c>
      <c r="AV76" s="994">
        <f>IFERROR(Producción_Lecheria[[#This Row],[Económico U$S Dólares]]/Producción_Lecheria[[#This Row],[Superficie]],0)</f>
        <v>0</v>
      </c>
      <c r="AW76" s="992" t="str">
        <f>IF(Económico!$F$4=0,0,Producción_Lecheria[Centro de Costo])</f>
        <v>Campo 1</v>
      </c>
    </row>
    <row r="77" spans="1:49" x14ac:dyDescent="0.25">
      <c r="A77" s="86"/>
      <c r="B77" s="373"/>
      <c r="C77" s="86"/>
      <c r="D77" s="548">
        <f t="shared" ref="D77:D119" si="9">DATE(IF(MONTH(D73)=1,YEAR(D73+1),YEAR(D73)),MONTH(D73)+1,1)</f>
        <v>43313</v>
      </c>
      <c r="E77" s="493"/>
      <c r="F77" s="479" t="str">
        <f>Campaña_Actual</f>
        <v>2018-2019</v>
      </c>
      <c r="G77" s="576" t="str">
        <f>LCH_Venta_Hacienda</f>
        <v>Venta Hacienda</v>
      </c>
      <c r="H77" s="491" t="s">
        <v>2</v>
      </c>
      <c r="I77" s="491" t="s">
        <v>131</v>
      </c>
      <c r="J77" s="549"/>
      <c r="K77" s="484"/>
      <c r="L7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7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77" s="520"/>
      <c r="O7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77" s="563"/>
      <c r="Q77" s="491"/>
      <c r="R77" s="875">
        <f>IF(ISNUMBER(Producción_Lecheria[[#This Row],[Cabezas]])=TRUE,Producción_Lecheria[[#This Row],[Cabezas]]*Producción_Lecheria[[#This Row],[Cantidad]],Producción_Lecheria[[#This Row],[Cantidad]])</f>
        <v>0</v>
      </c>
      <c r="S77" s="491"/>
      <c r="T77" s="552"/>
      <c r="U77" s="553"/>
      <c r="V7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77" s="977">
        <f>IFERROR(Producción_Lecheria[[#This Row],[Económico $Corrientes]]/Producción_Lecheria[[#This Row],[Indexación Económico]],0)</f>
        <v>0</v>
      </c>
      <c r="X7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7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77" s="977">
        <f>IFERROR(Producción_Lecheria[[#This Row],[Financiero $Corrientes]]/Producción_Lecheria[[#This Row],[Indexación Financiero]],0)</f>
        <v>0</v>
      </c>
      <c r="AA7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7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77" s="981">
        <f>IFERROR(Producción_Lecheria[[#This Row],[Intereses $Corrientes]]/Producción_Lecheria[[#This Row],[Indexación Financiero]],0)</f>
        <v>0</v>
      </c>
      <c r="AD7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77" s="991" t="str">
        <f>IFERROR(INDEX(Produccion_Lecheria_Cuentas[],MATCH(Producción_Lecheria[[#This Row],[Cuenta Contable]],Produccion_Lecheria_Cuentas[Cuenta Contable],0),2),0)</f>
        <v>Ingreso</v>
      </c>
      <c r="AF77" s="992">
        <f>IF(Producción_Lecheria[[#This Row],[Mov. Stock]]="(+)",Producción_Lecheria[[#This Row],[Cabezas]],IF(Producción_Lecheria[[#This Row],[Mov. Stock]]="(-)",-Producción_Lecheria[[#This Row],[Cabezas]],0))</f>
        <v>0</v>
      </c>
      <c r="AG77" s="993" t="str">
        <f>IFERROR(INDEX(Produccion_Lecheria_Cuentas[],MATCH(Producción_Lecheria[[#This Row],[Cuenta Contable]],Produccion_Lecheria_Cuentas[Cuenta Contable],0),5),0)</f>
        <v>(-)</v>
      </c>
      <c r="AH77" s="985" t="str">
        <f>IF(Producción_Lecheria[[#This Row],[Cuenta Contable]]=Configuración!$AC$9,"Si","No")</f>
        <v>No</v>
      </c>
      <c r="AI77" s="983" t="str">
        <f>IFERROR(INDEX(Tabla9[],MATCH(Producción_Lecheria[[#This Row],[Movimiento]],Tabla9[Movimientos],0),2),0)</f>
        <v>Si</v>
      </c>
      <c r="AJ77" s="984" t="str">
        <f>IFERROR(INDEX(Tabla9[],MATCH(Producción_Lecheria[[#This Row],[Movimiento]],Tabla9[Movimientos],0),3),0)</f>
        <v>(+)</v>
      </c>
      <c r="AK77" s="981">
        <f>IF(Producción_Lecheria[[#This Row],[Fecha Económico]]=0,0,MONTH(Producción_Lecheria[[#This Row],[Fecha Económico]]))</f>
        <v>8</v>
      </c>
      <c r="AL77" s="981">
        <f>IF(Producción_Lecheria[[#This Row],[Fecha Económico]]=0,0,YEAR(Producción_Lecheria[[#This Row],[Fecha Económico]]))</f>
        <v>2018</v>
      </c>
      <c r="AM77" s="985">
        <f>SUMPRODUCT((Producción_Lecheria[[#This Row],[Mes Económico]]=Tipo_Cambio[Mes])*(Producción_Lecheria[[#This Row],[Año Económico]]=Tipo_Cambio[Año])*(Tipo_Cambio[$/U$S]))</f>
        <v>22.22</v>
      </c>
      <c r="AN77" s="985">
        <f>SUMPRODUCT((Producción_Lecheria[[#This Row],[Mes Económico]]=Tipo_Cambio[Mes])*(Producción_Lecheria[[#This Row],[Año Económico]]=Tipo_Cambio[Año])*(Tipo_Cambio[Actualización]))</f>
        <v>1.02</v>
      </c>
      <c r="AO77" s="981">
        <f>IF(ISNUMBER(Producción_Lecheria[[#This Row],[Fecha Financiero]])=TRUE,MONTH(Producción_Lecheria[[#This Row],[Fecha Financiero]]),0)</f>
        <v>0</v>
      </c>
      <c r="AP77" s="981">
        <f>IF(ISNUMBER(Producción_Lecheria[[#This Row],[Fecha Financiero]])=TRUE,YEAR(Producción_Lecheria[[#This Row],[Fecha Financiero]]),0)</f>
        <v>0</v>
      </c>
      <c r="AQ77" s="985">
        <f>SUMPRODUCT((Producción_Lecheria[[#This Row],[Mes Financiero]]=Tipo_Cambio[Mes])*(Producción_Lecheria[[#This Row],[Año Financiero]]=Tipo_Cambio[Año])*(Tipo_Cambio[$/U$S]))</f>
        <v>0</v>
      </c>
      <c r="AR77" s="985">
        <f>SUMPRODUCT((Producción_Lecheria[[#This Row],[Mes Financiero]]=Tipo_Cambio[Mes])*(Producción_Lecheria[[#This Row],[Año Financiero]]=Tipo_Cambio[Año])*(Tipo_Cambio[Actualización]))</f>
        <v>0</v>
      </c>
      <c r="AS77" s="1009">
        <f>SUMPRODUCT((Producción_Lecheria[[#This Row],[Centro de Costo]]=Tabla1924[Centro de Costo])*(Tabla19[Superficie]))</f>
        <v>2356</v>
      </c>
      <c r="AT77" s="994">
        <f>IFERROR(Producción_Lecheria[[#This Row],[Económico $Corrientes]]/Producción_Lecheria[[#This Row],[Superficie]],0)</f>
        <v>0</v>
      </c>
      <c r="AU77" s="994">
        <f>IFERROR(Producción_Lecheria[[#This Row],[Económico $Constantes]]/Producción_Lecheria[[#This Row],[Superficie]],0)</f>
        <v>0</v>
      </c>
      <c r="AV77" s="994">
        <f>IFERROR(Producción_Lecheria[[#This Row],[Económico U$S Dólares]]/Producción_Lecheria[[#This Row],[Superficie]],0)</f>
        <v>0</v>
      </c>
      <c r="AW77" s="992" t="str">
        <f>IF(Económico!$F$4=0,0,Producción_Lecheria[Centro de Costo])</f>
        <v>Campo 1</v>
      </c>
    </row>
    <row r="78" spans="1:49" x14ac:dyDescent="0.25">
      <c r="A78" s="86"/>
      <c r="B78" s="373"/>
      <c r="C78" s="86"/>
      <c r="D78" s="548">
        <f t="shared" si="9"/>
        <v>43313</v>
      </c>
      <c r="E78" s="522"/>
      <c r="F78" s="479" t="str">
        <f t="shared" si="8"/>
        <v>2018-2019</v>
      </c>
      <c r="G78" s="576" t="str">
        <f>LCH_Venta_Hacienda</f>
        <v>Venta Hacienda</v>
      </c>
      <c r="H78" s="491" t="s">
        <v>2</v>
      </c>
      <c r="I78" s="491" t="s">
        <v>129</v>
      </c>
      <c r="J78" s="549"/>
      <c r="K78" s="484"/>
      <c r="L7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7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78" s="520"/>
      <c r="O7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78" s="563"/>
      <c r="Q78" s="491"/>
      <c r="R78" s="875">
        <f>IF(ISNUMBER(Producción_Lecheria[[#This Row],[Cabezas]])=TRUE,Producción_Lecheria[[#This Row],[Cabezas]]*Producción_Lecheria[[#This Row],[Cantidad]],Producción_Lecheria[[#This Row],[Cantidad]])</f>
        <v>0</v>
      </c>
      <c r="S78" s="491"/>
      <c r="T78" s="552"/>
      <c r="U78" s="553"/>
      <c r="V7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78" s="977">
        <f>IFERROR(Producción_Lecheria[[#This Row],[Económico $Corrientes]]/Producción_Lecheria[[#This Row],[Indexación Económico]],0)</f>
        <v>0</v>
      </c>
      <c r="X7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7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78" s="977">
        <f>IFERROR(Producción_Lecheria[[#This Row],[Financiero $Corrientes]]/Producción_Lecheria[[#This Row],[Indexación Financiero]],0)</f>
        <v>0</v>
      </c>
      <c r="AA7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7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78" s="981">
        <f>IFERROR(Producción_Lecheria[[#This Row],[Intereses $Corrientes]]/Producción_Lecheria[[#This Row],[Indexación Financiero]],0)</f>
        <v>0</v>
      </c>
      <c r="AD7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78" s="991" t="str">
        <f>IFERROR(INDEX(Produccion_Lecheria_Cuentas[],MATCH(Producción_Lecheria[[#This Row],[Cuenta Contable]],Produccion_Lecheria_Cuentas[Cuenta Contable],0),2),0)</f>
        <v>Ingreso</v>
      </c>
      <c r="AF78" s="992">
        <f>IF(Producción_Lecheria[[#This Row],[Mov. Stock]]="(+)",Producción_Lecheria[[#This Row],[Cabezas]],IF(Producción_Lecheria[[#This Row],[Mov. Stock]]="(-)",-Producción_Lecheria[[#This Row],[Cabezas]],0))</f>
        <v>0</v>
      </c>
      <c r="AG78" s="993" t="str">
        <f>IFERROR(INDEX(Produccion_Lecheria_Cuentas[],MATCH(Producción_Lecheria[[#This Row],[Cuenta Contable]],Produccion_Lecheria_Cuentas[Cuenta Contable],0),5),0)</f>
        <v>(-)</v>
      </c>
      <c r="AH78" s="985" t="str">
        <f>IF(Producción_Lecheria[[#This Row],[Cuenta Contable]]=Configuración!$AC$9,"Si","No")</f>
        <v>No</v>
      </c>
      <c r="AI78" s="983" t="str">
        <f>IFERROR(INDEX(Tabla9[],MATCH(Producción_Lecheria[[#This Row],[Movimiento]],Tabla9[Movimientos],0),2),0)</f>
        <v>Si</v>
      </c>
      <c r="AJ78" s="984" t="str">
        <f>IFERROR(INDEX(Tabla9[],MATCH(Producción_Lecheria[[#This Row],[Movimiento]],Tabla9[Movimientos],0),3),0)</f>
        <v>(+)</v>
      </c>
      <c r="AK78" s="981">
        <f>IF(Producción_Lecheria[[#This Row],[Fecha Económico]]=0,0,MONTH(Producción_Lecheria[[#This Row],[Fecha Económico]]))</f>
        <v>8</v>
      </c>
      <c r="AL78" s="981">
        <f>IF(Producción_Lecheria[[#This Row],[Fecha Económico]]=0,0,YEAR(Producción_Lecheria[[#This Row],[Fecha Económico]]))</f>
        <v>2018</v>
      </c>
      <c r="AM78" s="985">
        <f>SUMPRODUCT((Producción_Lecheria[[#This Row],[Mes Económico]]=Tipo_Cambio[Mes])*(Producción_Lecheria[[#This Row],[Año Económico]]=Tipo_Cambio[Año])*(Tipo_Cambio[$/U$S]))</f>
        <v>22.22</v>
      </c>
      <c r="AN78" s="985">
        <f>SUMPRODUCT((Producción_Lecheria[[#This Row],[Mes Económico]]=Tipo_Cambio[Mes])*(Producción_Lecheria[[#This Row],[Año Económico]]=Tipo_Cambio[Año])*(Tipo_Cambio[Actualización]))</f>
        <v>1.02</v>
      </c>
      <c r="AO78" s="981">
        <f>IF(ISNUMBER(Producción_Lecheria[[#This Row],[Fecha Financiero]])=TRUE,MONTH(Producción_Lecheria[[#This Row],[Fecha Financiero]]),0)</f>
        <v>0</v>
      </c>
      <c r="AP78" s="981">
        <f>IF(ISNUMBER(Producción_Lecheria[[#This Row],[Fecha Financiero]])=TRUE,YEAR(Producción_Lecheria[[#This Row],[Fecha Financiero]]),0)</f>
        <v>0</v>
      </c>
      <c r="AQ78" s="985">
        <f>SUMPRODUCT((Producción_Lecheria[[#This Row],[Mes Financiero]]=Tipo_Cambio[Mes])*(Producción_Lecheria[[#This Row],[Año Financiero]]=Tipo_Cambio[Año])*(Tipo_Cambio[$/U$S]))</f>
        <v>0</v>
      </c>
      <c r="AR78" s="985">
        <f>SUMPRODUCT((Producción_Lecheria[[#This Row],[Mes Financiero]]=Tipo_Cambio[Mes])*(Producción_Lecheria[[#This Row],[Año Financiero]]=Tipo_Cambio[Año])*(Tipo_Cambio[Actualización]))</f>
        <v>0</v>
      </c>
      <c r="AS78" s="1009">
        <f>SUMPRODUCT((Producción_Lecheria[[#This Row],[Centro de Costo]]=Tabla1924[Centro de Costo])*(Tabla19[Superficie]))</f>
        <v>2356</v>
      </c>
      <c r="AT78" s="994">
        <f>IFERROR(Producción_Lecheria[[#This Row],[Económico $Corrientes]]/Producción_Lecheria[[#This Row],[Superficie]],0)</f>
        <v>0</v>
      </c>
      <c r="AU78" s="994">
        <f>IFERROR(Producción_Lecheria[[#This Row],[Económico $Constantes]]/Producción_Lecheria[[#This Row],[Superficie]],0)</f>
        <v>0</v>
      </c>
      <c r="AV78" s="994">
        <f>IFERROR(Producción_Lecheria[[#This Row],[Económico U$S Dólares]]/Producción_Lecheria[[#This Row],[Superficie]],0)</f>
        <v>0</v>
      </c>
      <c r="AW78" s="992" t="str">
        <f>IF(Económico!$F$4=0,0,Producción_Lecheria[Centro de Costo])</f>
        <v>Campo 1</v>
      </c>
    </row>
    <row r="79" spans="1:49" x14ac:dyDescent="0.25">
      <c r="A79" s="86"/>
      <c r="B79" s="373"/>
      <c r="C79" s="86"/>
      <c r="D79" s="548">
        <f t="shared" si="9"/>
        <v>43313</v>
      </c>
      <c r="E79" s="522"/>
      <c r="F79" s="479" t="str">
        <f t="shared" si="8"/>
        <v>2018-2019</v>
      </c>
      <c r="G79" s="490" t="s">
        <v>127</v>
      </c>
      <c r="H79" s="491" t="s">
        <v>2</v>
      </c>
      <c r="I79" s="491"/>
      <c r="J79" s="549"/>
      <c r="K79" s="484"/>
      <c r="L7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7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79" s="520"/>
      <c r="O7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79" s="563"/>
      <c r="Q79" s="491"/>
      <c r="R79" s="875">
        <f>IF(ISNUMBER(Producción_Lecheria[[#This Row],[Cabezas]])=TRUE,Producción_Lecheria[[#This Row],[Cabezas]]*Producción_Lecheria[[#This Row],[Cantidad]],Producción_Lecheria[[#This Row],[Cantidad]])</f>
        <v>0</v>
      </c>
      <c r="S79" s="491"/>
      <c r="T79" s="552"/>
      <c r="U79" s="553"/>
      <c r="V7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79" s="977">
        <f>IFERROR(Producción_Lecheria[[#This Row],[Económico $Corrientes]]/Producción_Lecheria[[#This Row],[Indexación Económico]],0)</f>
        <v>0</v>
      </c>
      <c r="X7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7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79" s="977">
        <f>IFERROR(Producción_Lecheria[[#This Row],[Financiero $Corrientes]]/Producción_Lecheria[[#This Row],[Indexación Financiero]],0)</f>
        <v>0</v>
      </c>
      <c r="AA7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7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79" s="981">
        <f>IFERROR(Producción_Lecheria[[#This Row],[Intereses $Corrientes]]/Producción_Lecheria[[#This Row],[Indexación Financiero]],0)</f>
        <v>0</v>
      </c>
      <c r="AD7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79" s="991" t="str">
        <f>IFERROR(INDEX(Produccion_Lecheria_Cuentas[],MATCH(Producción_Lecheria[[#This Row],[Cuenta Contable]],Produccion_Lecheria_Cuentas[Cuenta Contable],0),2),0)</f>
        <v>Egreso</v>
      </c>
      <c r="AF79" s="992">
        <f>IF(Producción_Lecheria[[#This Row],[Mov. Stock]]="(+)",Producción_Lecheria[[#This Row],[Cabezas]],IF(Producción_Lecheria[[#This Row],[Mov. Stock]]="(-)",-Producción_Lecheria[[#This Row],[Cabezas]],0))</f>
        <v>0</v>
      </c>
      <c r="AG79" s="993">
        <f>IFERROR(INDEX(Produccion_Lecheria_Cuentas[],MATCH(Producción_Lecheria[[#This Row],[Cuenta Contable]],Produccion_Lecheria_Cuentas[Cuenta Contable],0),5),0)</f>
        <v>0</v>
      </c>
      <c r="AH79" s="985" t="str">
        <f>IF(Producción_Lecheria[[#This Row],[Cuenta Contable]]=Configuración!$AC$9,"Si","No")</f>
        <v>No</v>
      </c>
      <c r="AI79" s="983" t="str">
        <f>IFERROR(INDEX(Tabla9[],MATCH(Producción_Lecheria[[#This Row],[Movimiento]],Tabla9[Movimientos],0),2),0)</f>
        <v>Si</v>
      </c>
      <c r="AJ79" s="984" t="str">
        <f>IFERROR(INDEX(Tabla9[],MATCH(Producción_Lecheria[[#This Row],[Movimiento]],Tabla9[Movimientos],0),3),0)</f>
        <v>(-)</v>
      </c>
      <c r="AK79" s="981">
        <f>IF(Producción_Lecheria[[#This Row],[Fecha Económico]]=0,0,MONTH(Producción_Lecheria[[#This Row],[Fecha Económico]]))</f>
        <v>8</v>
      </c>
      <c r="AL79" s="981">
        <f>IF(Producción_Lecheria[[#This Row],[Fecha Económico]]=0,0,YEAR(Producción_Lecheria[[#This Row],[Fecha Económico]]))</f>
        <v>2018</v>
      </c>
      <c r="AM79" s="985">
        <f>SUMPRODUCT((Producción_Lecheria[[#This Row],[Mes Económico]]=Tipo_Cambio[Mes])*(Producción_Lecheria[[#This Row],[Año Económico]]=Tipo_Cambio[Año])*(Tipo_Cambio[$/U$S]))</f>
        <v>22.22</v>
      </c>
      <c r="AN79" s="985">
        <f>SUMPRODUCT((Producción_Lecheria[[#This Row],[Mes Económico]]=Tipo_Cambio[Mes])*(Producción_Lecheria[[#This Row],[Año Económico]]=Tipo_Cambio[Año])*(Tipo_Cambio[Actualización]))</f>
        <v>1.02</v>
      </c>
      <c r="AO79" s="981">
        <f>IF(ISNUMBER(Producción_Lecheria[[#This Row],[Fecha Financiero]])=TRUE,MONTH(Producción_Lecheria[[#This Row],[Fecha Financiero]]),0)</f>
        <v>0</v>
      </c>
      <c r="AP79" s="981">
        <f>IF(ISNUMBER(Producción_Lecheria[[#This Row],[Fecha Financiero]])=TRUE,YEAR(Producción_Lecheria[[#This Row],[Fecha Financiero]]),0)</f>
        <v>0</v>
      </c>
      <c r="AQ79" s="985">
        <f>SUMPRODUCT((Producción_Lecheria[[#This Row],[Mes Financiero]]=Tipo_Cambio[Mes])*(Producción_Lecheria[[#This Row],[Año Financiero]]=Tipo_Cambio[Año])*(Tipo_Cambio[$/U$S]))</f>
        <v>0</v>
      </c>
      <c r="AR79" s="985">
        <f>SUMPRODUCT((Producción_Lecheria[[#This Row],[Mes Financiero]]=Tipo_Cambio[Mes])*(Producción_Lecheria[[#This Row],[Año Financiero]]=Tipo_Cambio[Año])*(Tipo_Cambio[Actualización]))</f>
        <v>0</v>
      </c>
      <c r="AS79" s="1009">
        <f>SUMPRODUCT((Producción_Lecheria[[#This Row],[Centro de Costo]]=Tabla1924[Centro de Costo])*(Tabla19[Superficie]))</f>
        <v>2356</v>
      </c>
      <c r="AT79" s="994">
        <f>IFERROR(Producción_Lecheria[[#This Row],[Económico $Corrientes]]/Producción_Lecheria[[#This Row],[Superficie]],0)</f>
        <v>0</v>
      </c>
      <c r="AU79" s="994">
        <f>IFERROR(Producción_Lecheria[[#This Row],[Económico $Constantes]]/Producción_Lecheria[[#This Row],[Superficie]],0)</f>
        <v>0</v>
      </c>
      <c r="AV79" s="994">
        <f>IFERROR(Producción_Lecheria[[#This Row],[Económico U$S Dólares]]/Producción_Lecheria[[#This Row],[Superficie]],0)</f>
        <v>0</v>
      </c>
      <c r="AW79" s="992" t="str">
        <f>IF(Económico!$F$4=0,0,Producción_Lecheria[Centro de Costo])</f>
        <v>Campo 1</v>
      </c>
    </row>
    <row r="80" spans="1:49" x14ac:dyDescent="0.25">
      <c r="A80" s="86"/>
      <c r="B80" s="373"/>
      <c r="C80" s="86"/>
      <c r="D80" s="548">
        <f>DATE(IF(MONTH(D76)=1,YEAR(D76+1),YEAR(D76)),MONTH(D76)+1,1)</f>
        <v>43344</v>
      </c>
      <c r="E80" s="522"/>
      <c r="F80" s="479" t="str">
        <f t="shared" si="8"/>
        <v>2018-2019</v>
      </c>
      <c r="G80" s="490" t="str">
        <f>LCH_Venta_Hacienda</f>
        <v>Venta Hacienda</v>
      </c>
      <c r="H80" s="491" t="s">
        <v>2</v>
      </c>
      <c r="I80" s="491" t="s">
        <v>485</v>
      </c>
      <c r="J80" s="549"/>
      <c r="K80" s="484"/>
      <c r="L8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8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80" s="520"/>
      <c r="O8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80" s="563"/>
      <c r="Q80" s="491"/>
      <c r="R80" s="875">
        <f>IF(ISNUMBER(Producción_Lecheria[[#This Row],[Cabezas]])=TRUE,Producción_Lecheria[[#This Row],[Cabezas]]*Producción_Lecheria[[#This Row],[Cantidad]],Producción_Lecheria[[#This Row],[Cantidad]])</f>
        <v>0</v>
      </c>
      <c r="S80" s="491"/>
      <c r="T80" s="552"/>
      <c r="U80" s="553"/>
      <c r="V8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80" s="977">
        <f>IFERROR(Producción_Lecheria[[#This Row],[Económico $Corrientes]]/Producción_Lecheria[[#This Row],[Indexación Económico]],0)</f>
        <v>0</v>
      </c>
      <c r="X8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8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80" s="977">
        <f>IFERROR(Producción_Lecheria[[#This Row],[Financiero $Corrientes]]/Producción_Lecheria[[#This Row],[Indexación Financiero]],0)</f>
        <v>0</v>
      </c>
      <c r="AA8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8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80" s="981">
        <f>IFERROR(Producción_Lecheria[[#This Row],[Intereses $Corrientes]]/Producción_Lecheria[[#This Row],[Indexación Financiero]],0)</f>
        <v>0</v>
      </c>
      <c r="AD8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80" s="991" t="str">
        <f>IFERROR(INDEX(Produccion_Lecheria_Cuentas[],MATCH(Producción_Lecheria[[#This Row],[Cuenta Contable]],Produccion_Lecheria_Cuentas[Cuenta Contable],0),2),0)</f>
        <v>Ingreso</v>
      </c>
      <c r="AF80" s="992">
        <f>IF(Producción_Lecheria[[#This Row],[Mov. Stock]]="(+)",Producción_Lecheria[[#This Row],[Cabezas]],IF(Producción_Lecheria[[#This Row],[Mov. Stock]]="(-)",-Producción_Lecheria[[#This Row],[Cabezas]],0))</f>
        <v>0</v>
      </c>
      <c r="AG80" s="993" t="str">
        <f>IFERROR(INDEX(Produccion_Lecheria_Cuentas[],MATCH(Producción_Lecheria[[#This Row],[Cuenta Contable]],Produccion_Lecheria_Cuentas[Cuenta Contable],0),5),0)</f>
        <v>(-)</v>
      </c>
      <c r="AH80" s="985" t="str">
        <f>IF(Producción_Lecheria[[#This Row],[Cuenta Contable]]=Configuración!$AC$9,"Si","No")</f>
        <v>No</v>
      </c>
      <c r="AI80" s="983" t="str">
        <f>IFERROR(INDEX(Tabla9[],MATCH(Producción_Lecheria[[#This Row],[Movimiento]],Tabla9[Movimientos],0),2),0)</f>
        <v>Si</v>
      </c>
      <c r="AJ80" s="984" t="str">
        <f>IFERROR(INDEX(Tabla9[],MATCH(Producción_Lecheria[[#This Row],[Movimiento]],Tabla9[Movimientos],0),3),0)</f>
        <v>(+)</v>
      </c>
      <c r="AK80" s="981">
        <f>IF(Producción_Lecheria[[#This Row],[Fecha Económico]]=0,0,MONTH(Producción_Lecheria[[#This Row],[Fecha Económico]]))</f>
        <v>9</v>
      </c>
      <c r="AL80" s="981">
        <f>IF(Producción_Lecheria[[#This Row],[Fecha Económico]]=0,0,YEAR(Producción_Lecheria[[#This Row],[Fecha Económico]]))</f>
        <v>2018</v>
      </c>
      <c r="AM80" s="985">
        <f>SUMPRODUCT((Producción_Lecheria[[#This Row],[Mes Económico]]=Tipo_Cambio[Mes])*(Producción_Lecheria[[#This Row],[Año Económico]]=Tipo_Cambio[Año])*(Tipo_Cambio[$/U$S]))</f>
        <v>22.4422</v>
      </c>
      <c r="AN80" s="985">
        <f>SUMPRODUCT((Producción_Lecheria[[#This Row],[Mes Económico]]=Tipo_Cambio[Mes])*(Producción_Lecheria[[#This Row],[Año Económico]]=Tipo_Cambio[Año])*(Tipo_Cambio[Actualización]))</f>
        <v>1.0404</v>
      </c>
      <c r="AO80" s="981">
        <f>IF(ISNUMBER(Producción_Lecheria[[#This Row],[Fecha Financiero]])=TRUE,MONTH(Producción_Lecheria[[#This Row],[Fecha Financiero]]),0)</f>
        <v>0</v>
      </c>
      <c r="AP80" s="981">
        <f>IF(ISNUMBER(Producción_Lecheria[[#This Row],[Fecha Financiero]])=TRUE,YEAR(Producción_Lecheria[[#This Row],[Fecha Financiero]]),0)</f>
        <v>0</v>
      </c>
      <c r="AQ80" s="985">
        <f>SUMPRODUCT((Producción_Lecheria[[#This Row],[Mes Financiero]]=Tipo_Cambio[Mes])*(Producción_Lecheria[[#This Row],[Año Financiero]]=Tipo_Cambio[Año])*(Tipo_Cambio[$/U$S]))</f>
        <v>0</v>
      </c>
      <c r="AR80" s="985">
        <f>SUMPRODUCT((Producción_Lecheria[[#This Row],[Mes Financiero]]=Tipo_Cambio[Mes])*(Producción_Lecheria[[#This Row],[Año Financiero]]=Tipo_Cambio[Año])*(Tipo_Cambio[Actualización]))</f>
        <v>0</v>
      </c>
      <c r="AS80" s="1009">
        <f>SUMPRODUCT((Producción_Lecheria[[#This Row],[Centro de Costo]]=Tabla1924[Centro de Costo])*(Tabla19[Superficie]))</f>
        <v>2356</v>
      </c>
      <c r="AT80" s="994">
        <f>IFERROR(Producción_Lecheria[[#This Row],[Económico $Corrientes]]/Producción_Lecheria[[#This Row],[Superficie]],0)</f>
        <v>0</v>
      </c>
      <c r="AU80" s="994">
        <f>IFERROR(Producción_Lecheria[[#This Row],[Económico $Constantes]]/Producción_Lecheria[[#This Row],[Superficie]],0)</f>
        <v>0</v>
      </c>
      <c r="AV80" s="994">
        <f>IFERROR(Producción_Lecheria[[#This Row],[Económico U$S Dólares]]/Producción_Lecheria[[#This Row],[Superficie]],0)</f>
        <v>0</v>
      </c>
      <c r="AW80" s="992" t="str">
        <f>IF(Económico!$F$4=0,0,Producción_Lecheria[Centro de Costo])</f>
        <v>Campo 1</v>
      </c>
    </row>
    <row r="81" spans="1:49" x14ac:dyDescent="0.25">
      <c r="A81" s="86"/>
      <c r="B81" s="373"/>
      <c r="C81" s="86"/>
      <c r="D81" s="548">
        <f t="shared" si="9"/>
        <v>43344</v>
      </c>
      <c r="E81" s="493"/>
      <c r="F81" s="479" t="str">
        <f>Campaña_Actual</f>
        <v>2018-2019</v>
      </c>
      <c r="G81" s="576" t="str">
        <f>LCH_Venta_Hacienda</f>
        <v>Venta Hacienda</v>
      </c>
      <c r="H81" s="491" t="s">
        <v>2</v>
      </c>
      <c r="I81" s="491" t="s">
        <v>131</v>
      </c>
      <c r="J81" s="549"/>
      <c r="K81" s="484"/>
      <c r="L8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8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81" s="520"/>
      <c r="O8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81" s="563"/>
      <c r="Q81" s="491"/>
      <c r="R81" s="875">
        <f>IF(ISNUMBER(Producción_Lecheria[[#This Row],[Cabezas]])=TRUE,Producción_Lecheria[[#This Row],[Cabezas]]*Producción_Lecheria[[#This Row],[Cantidad]],Producción_Lecheria[[#This Row],[Cantidad]])</f>
        <v>0</v>
      </c>
      <c r="S81" s="491"/>
      <c r="T81" s="552"/>
      <c r="U81" s="553"/>
      <c r="V8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81" s="977">
        <f>IFERROR(Producción_Lecheria[[#This Row],[Económico $Corrientes]]/Producción_Lecheria[[#This Row],[Indexación Económico]],0)</f>
        <v>0</v>
      </c>
      <c r="X8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8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81" s="977">
        <f>IFERROR(Producción_Lecheria[[#This Row],[Financiero $Corrientes]]/Producción_Lecheria[[#This Row],[Indexación Financiero]],0)</f>
        <v>0</v>
      </c>
      <c r="AA8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8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81" s="981">
        <f>IFERROR(Producción_Lecheria[[#This Row],[Intereses $Corrientes]]/Producción_Lecheria[[#This Row],[Indexación Financiero]],0)</f>
        <v>0</v>
      </c>
      <c r="AD8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81" s="991" t="str">
        <f>IFERROR(INDEX(Produccion_Lecheria_Cuentas[],MATCH(Producción_Lecheria[[#This Row],[Cuenta Contable]],Produccion_Lecheria_Cuentas[Cuenta Contable],0),2),0)</f>
        <v>Ingreso</v>
      </c>
      <c r="AF81" s="992">
        <f>IF(Producción_Lecheria[[#This Row],[Mov. Stock]]="(+)",Producción_Lecheria[[#This Row],[Cabezas]],IF(Producción_Lecheria[[#This Row],[Mov. Stock]]="(-)",-Producción_Lecheria[[#This Row],[Cabezas]],0))</f>
        <v>0</v>
      </c>
      <c r="AG81" s="993" t="str">
        <f>IFERROR(INDEX(Produccion_Lecheria_Cuentas[],MATCH(Producción_Lecheria[[#This Row],[Cuenta Contable]],Produccion_Lecheria_Cuentas[Cuenta Contable],0),5),0)</f>
        <v>(-)</v>
      </c>
      <c r="AH81" s="985" t="str">
        <f>IF(Producción_Lecheria[[#This Row],[Cuenta Contable]]=Configuración!$AC$9,"Si","No")</f>
        <v>No</v>
      </c>
      <c r="AI81" s="983" t="str">
        <f>IFERROR(INDEX(Tabla9[],MATCH(Producción_Lecheria[[#This Row],[Movimiento]],Tabla9[Movimientos],0),2),0)</f>
        <v>Si</v>
      </c>
      <c r="AJ81" s="984" t="str">
        <f>IFERROR(INDEX(Tabla9[],MATCH(Producción_Lecheria[[#This Row],[Movimiento]],Tabla9[Movimientos],0),3),0)</f>
        <v>(+)</v>
      </c>
      <c r="AK81" s="981">
        <f>IF(Producción_Lecheria[[#This Row],[Fecha Económico]]=0,0,MONTH(Producción_Lecheria[[#This Row],[Fecha Económico]]))</f>
        <v>9</v>
      </c>
      <c r="AL81" s="981">
        <f>IF(Producción_Lecheria[[#This Row],[Fecha Económico]]=0,0,YEAR(Producción_Lecheria[[#This Row],[Fecha Económico]]))</f>
        <v>2018</v>
      </c>
      <c r="AM81" s="985">
        <f>SUMPRODUCT((Producción_Lecheria[[#This Row],[Mes Económico]]=Tipo_Cambio[Mes])*(Producción_Lecheria[[#This Row],[Año Económico]]=Tipo_Cambio[Año])*(Tipo_Cambio[$/U$S]))</f>
        <v>22.4422</v>
      </c>
      <c r="AN81" s="985">
        <f>SUMPRODUCT((Producción_Lecheria[[#This Row],[Mes Económico]]=Tipo_Cambio[Mes])*(Producción_Lecheria[[#This Row],[Año Económico]]=Tipo_Cambio[Año])*(Tipo_Cambio[Actualización]))</f>
        <v>1.0404</v>
      </c>
      <c r="AO81" s="981">
        <f>IF(ISNUMBER(Producción_Lecheria[[#This Row],[Fecha Financiero]])=TRUE,MONTH(Producción_Lecheria[[#This Row],[Fecha Financiero]]),0)</f>
        <v>0</v>
      </c>
      <c r="AP81" s="981">
        <f>IF(ISNUMBER(Producción_Lecheria[[#This Row],[Fecha Financiero]])=TRUE,YEAR(Producción_Lecheria[[#This Row],[Fecha Financiero]]),0)</f>
        <v>0</v>
      </c>
      <c r="AQ81" s="985">
        <f>SUMPRODUCT((Producción_Lecheria[[#This Row],[Mes Financiero]]=Tipo_Cambio[Mes])*(Producción_Lecheria[[#This Row],[Año Financiero]]=Tipo_Cambio[Año])*(Tipo_Cambio[$/U$S]))</f>
        <v>0</v>
      </c>
      <c r="AR81" s="985">
        <f>SUMPRODUCT((Producción_Lecheria[[#This Row],[Mes Financiero]]=Tipo_Cambio[Mes])*(Producción_Lecheria[[#This Row],[Año Financiero]]=Tipo_Cambio[Año])*(Tipo_Cambio[Actualización]))</f>
        <v>0</v>
      </c>
      <c r="AS81" s="1009">
        <f>SUMPRODUCT((Producción_Lecheria[[#This Row],[Centro de Costo]]=Tabla1924[Centro de Costo])*(Tabla19[Superficie]))</f>
        <v>2356</v>
      </c>
      <c r="AT81" s="994">
        <f>IFERROR(Producción_Lecheria[[#This Row],[Económico $Corrientes]]/Producción_Lecheria[[#This Row],[Superficie]],0)</f>
        <v>0</v>
      </c>
      <c r="AU81" s="994">
        <f>IFERROR(Producción_Lecheria[[#This Row],[Económico $Constantes]]/Producción_Lecheria[[#This Row],[Superficie]],0)</f>
        <v>0</v>
      </c>
      <c r="AV81" s="994">
        <f>IFERROR(Producción_Lecheria[[#This Row],[Económico U$S Dólares]]/Producción_Lecheria[[#This Row],[Superficie]],0)</f>
        <v>0</v>
      </c>
      <c r="AW81" s="992" t="str">
        <f>IF(Económico!$F$4=0,0,Producción_Lecheria[Centro de Costo])</f>
        <v>Campo 1</v>
      </c>
    </row>
    <row r="82" spans="1:49" x14ac:dyDescent="0.25">
      <c r="A82" s="86"/>
      <c r="B82" s="373"/>
      <c r="C82" s="86"/>
      <c r="D82" s="548">
        <f t="shared" si="9"/>
        <v>43344</v>
      </c>
      <c r="E82" s="493"/>
      <c r="F82" s="479" t="str">
        <f>Campaña_Actual</f>
        <v>2018-2019</v>
      </c>
      <c r="G82" s="576" t="str">
        <f>LCH_Venta_Hacienda</f>
        <v>Venta Hacienda</v>
      </c>
      <c r="H82" s="491" t="s">
        <v>2</v>
      </c>
      <c r="I82" s="491" t="s">
        <v>129</v>
      </c>
      <c r="J82" s="549"/>
      <c r="K82" s="484"/>
      <c r="L8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8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82" s="520"/>
      <c r="O8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82" s="563"/>
      <c r="Q82" s="491"/>
      <c r="R82" s="875">
        <f>IF(ISNUMBER(Producción_Lecheria[[#This Row],[Cabezas]])=TRUE,Producción_Lecheria[[#This Row],[Cabezas]]*Producción_Lecheria[[#This Row],[Cantidad]],Producción_Lecheria[[#This Row],[Cantidad]])</f>
        <v>0</v>
      </c>
      <c r="S82" s="491"/>
      <c r="T82" s="552"/>
      <c r="U82" s="553"/>
      <c r="V8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82" s="977">
        <f>IFERROR(Producción_Lecheria[[#This Row],[Económico $Corrientes]]/Producción_Lecheria[[#This Row],[Indexación Económico]],0)</f>
        <v>0</v>
      </c>
      <c r="X8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8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82" s="977">
        <f>IFERROR(Producción_Lecheria[[#This Row],[Financiero $Corrientes]]/Producción_Lecheria[[#This Row],[Indexación Financiero]],0)</f>
        <v>0</v>
      </c>
      <c r="AA8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8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82" s="981">
        <f>IFERROR(Producción_Lecheria[[#This Row],[Intereses $Corrientes]]/Producción_Lecheria[[#This Row],[Indexación Financiero]],0)</f>
        <v>0</v>
      </c>
      <c r="AD8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82" s="991" t="str">
        <f>IFERROR(INDEX(Produccion_Lecheria_Cuentas[],MATCH(Producción_Lecheria[[#This Row],[Cuenta Contable]],Produccion_Lecheria_Cuentas[Cuenta Contable],0),2),0)</f>
        <v>Ingreso</v>
      </c>
      <c r="AF82" s="992">
        <f>IF(Producción_Lecheria[[#This Row],[Mov. Stock]]="(+)",Producción_Lecheria[[#This Row],[Cabezas]],IF(Producción_Lecheria[[#This Row],[Mov. Stock]]="(-)",-Producción_Lecheria[[#This Row],[Cabezas]],0))</f>
        <v>0</v>
      </c>
      <c r="AG82" s="993" t="str">
        <f>IFERROR(INDEX(Produccion_Lecheria_Cuentas[],MATCH(Producción_Lecheria[[#This Row],[Cuenta Contable]],Produccion_Lecheria_Cuentas[Cuenta Contable],0),5),0)</f>
        <v>(-)</v>
      </c>
      <c r="AH82" s="985" t="str">
        <f>IF(Producción_Lecheria[[#This Row],[Cuenta Contable]]=Configuración!$AC$9,"Si","No")</f>
        <v>No</v>
      </c>
      <c r="AI82" s="983" t="str">
        <f>IFERROR(INDEX(Tabla9[],MATCH(Producción_Lecheria[[#This Row],[Movimiento]],Tabla9[Movimientos],0),2),0)</f>
        <v>Si</v>
      </c>
      <c r="AJ82" s="984" t="str">
        <f>IFERROR(INDEX(Tabla9[],MATCH(Producción_Lecheria[[#This Row],[Movimiento]],Tabla9[Movimientos],0),3),0)</f>
        <v>(+)</v>
      </c>
      <c r="AK82" s="981">
        <f>IF(Producción_Lecheria[[#This Row],[Fecha Económico]]=0,0,MONTH(Producción_Lecheria[[#This Row],[Fecha Económico]]))</f>
        <v>9</v>
      </c>
      <c r="AL82" s="981">
        <f>IF(Producción_Lecheria[[#This Row],[Fecha Económico]]=0,0,YEAR(Producción_Lecheria[[#This Row],[Fecha Económico]]))</f>
        <v>2018</v>
      </c>
      <c r="AM82" s="985">
        <f>SUMPRODUCT((Producción_Lecheria[[#This Row],[Mes Económico]]=Tipo_Cambio[Mes])*(Producción_Lecheria[[#This Row],[Año Económico]]=Tipo_Cambio[Año])*(Tipo_Cambio[$/U$S]))</f>
        <v>22.4422</v>
      </c>
      <c r="AN82" s="985">
        <f>SUMPRODUCT((Producción_Lecheria[[#This Row],[Mes Económico]]=Tipo_Cambio[Mes])*(Producción_Lecheria[[#This Row],[Año Económico]]=Tipo_Cambio[Año])*(Tipo_Cambio[Actualización]))</f>
        <v>1.0404</v>
      </c>
      <c r="AO82" s="981">
        <f>IF(ISNUMBER(Producción_Lecheria[[#This Row],[Fecha Financiero]])=TRUE,MONTH(Producción_Lecheria[[#This Row],[Fecha Financiero]]),0)</f>
        <v>0</v>
      </c>
      <c r="AP82" s="981">
        <f>IF(ISNUMBER(Producción_Lecheria[[#This Row],[Fecha Financiero]])=TRUE,YEAR(Producción_Lecheria[[#This Row],[Fecha Financiero]]),0)</f>
        <v>0</v>
      </c>
      <c r="AQ82" s="985">
        <f>SUMPRODUCT((Producción_Lecheria[[#This Row],[Mes Financiero]]=Tipo_Cambio[Mes])*(Producción_Lecheria[[#This Row],[Año Financiero]]=Tipo_Cambio[Año])*(Tipo_Cambio[$/U$S]))</f>
        <v>0</v>
      </c>
      <c r="AR82" s="985">
        <f>SUMPRODUCT((Producción_Lecheria[[#This Row],[Mes Financiero]]=Tipo_Cambio[Mes])*(Producción_Lecheria[[#This Row],[Año Financiero]]=Tipo_Cambio[Año])*(Tipo_Cambio[Actualización]))</f>
        <v>0</v>
      </c>
      <c r="AS82" s="1009">
        <f>SUMPRODUCT((Producción_Lecheria[[#This Row],[Centro de Costo]]=Tabla1924[Centro de Costo])*(Tabla19[Superficie]))</f>
        <v>2356</v>
      </c>
      <c r="AT82" s="994">
        <f>IFERROR(Producción_Lecheria[[#This Row],[Económico $Corrientes]]/Producción_Lecheria[[#This Row],[Superficie]],0)</f>
        <v>0</v>
      </c>
      <c r="AU82" s="994">
        <f>IFERROR(Producción_Lecheria[[#This Row],[Económico $Constantes]]/Producción_Lecheria[[#This Row],[Superficie]],0)</f>
        <v>0</v>
      </c>
      <c r="AV82" s="994">
        <f>IFERROR(Producción_Lecheria[[#This Row],[Económico U$S Dólares]]/Producción_Lecheria[[#This Row],[Superficie]],0)</f>
        <v>0</v>
      </c>
      <c r="AW82" s="992" t="str">
        <f>IF(Económico!$F$4=0,0,Producción_Lecheria[Centro de Costo])</f>
        <v>Campo 1</v>
      </c>
    </row>
    <row r="83" spans="1:49" x14ac:dyDescent="0.25">
      <c r="A83" s="86"/>
      <c r="B83" s="373"/>
      <c r="C83" s="86"/>
      <c r="D83" s="548">
        <f t="shared" si="9"/>
        <v>43344</v>
      </c>
      <c r="E83" s="522"/>
      <c r="F83" s="479" t="str">
        <f t="shared" si="8"/>
        <v>2018-2019</v>
      </c>
      <c r="G83" s="490" t="s">
        <v>127</v>
      </c>
      <c r="H83" s="491" t="s">
        <v>2</v>
      </c>
      <c r="I83" s="491"/>
      <c r="J83" s="549"/>
      <c r="K83" s="484"/>
      <c r="L8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8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83" s="520"/>
      <c r="O8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83" s="563"/>
      <c r="Q83" s="491"/>
      <c r="R83" s="875">
        <f>IF(ISNUMBER(Producción_Lecheria[[#This Row],[Cabezas]])=TRUE,Producción_Lecheria[[#This Row],[Cabezas]]*Producción_Lecheria[[#This Row],[Cantidad]],Producción_Lecheria[[#This Row],[Cantidad]])</f>
        <v>0</v>
      </c>
      <c r="S83" s="491"/>
      <c r="T83" s="552"/>
      <c r="U83" s="553"/>
      <c r="V8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83" s="977">
        <f>IFERROR(Producción_Lecheria[[#This Row],[Económico $Corrientes]]/Producción_Lecheria[[#This Row],[Indexación Económico]],0)</f>
        <v>0</v>
      </c>
      <c r="X8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8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83" s="977">
        <f>IFERROR(Producción_Lecheria[[#This Row],[Financiero $Corrientes]]/Producción_Lecheria[[#This Row],[Indexación Financiero]],0)</f>
        <v>0</v>
      </c>
      <c r="AA8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8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83" s="981">
        <f>IFERROR(Producción_Lecheria[[#This Row],[Intereses $Corrientes]]/Producción_Lecheria[[#This Row],[Indexación Financiero]],0)</f>
        <v>0</v>
      </c>
      <c r="AD8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83" s="991" t="str">
        <f>IFERROR(INDEX(Produccion_Lecheria_Cuentas[],MATCH(Producción_Lecheria[[#This Row],[Cuenta Contable]],Produccion_Lecheria_Cuentas[Cuenta Contable],0),2),0)</f>
        <v>Egreso</v>
      </c>
      <c r="AF83" s="992">
        <f>IF(Producción_Lecheria[[#This Row],[Mov. Stock]]="(+)",Producción_Lecheria[[#This Row],[Cabezas]],IF(Producción_Lecheria[[#This Row],[Mov. Stock]]="(-)",-Producción_Lecheria[[#This Row],[Cabezas]],0))</f>
        <v>0</v>
      </c>
      <c r="AG83" s="993">
        <f>IFERROR(INDEX(Produccion_Lecheria_Cuentas[],MATCH(Producción_Lecheria[[#This Row],[Cuenta Contable]],Produccion_Lecheria_Cuentas[Cuenta Contable],0),5),0)</f>
        <v>0</v>
      </c>
      <c r="AH83" s="985" t="str">
        <f>IF(Producción_Lecheria[[#This Row],[Cuenta Contable]]=Configuración!$AC$9,"Si","No")</f>
        <v>No</v>
      </c>
      <c r="AI83" s="983" t="str">
        <f>IFERROR(INDEX(Tabla9[],MATCH(Producción_Lecheria[[#This Row],[Movimiento]],Tabla9[Movimientos],0),2),0)</f>
        <v>Si</v>
      </c>
      <c r="AJ83" s="984" t="str">
        <f>IFERROR(INDEX(Tabla9[],MATCH(Producción_Lecheria[[#This Row],[Movimiento]],Tabla9[Movimientos],0),3),0)</f>
        <v>(-)</v>
      </c>
      <c r="AK83" s="981">
        <f>IF(Producción_Lecheria[[#This Row],[Fecha Económico]]=0,0,MONTH(Producción_Lecheria[[#This Row],[Fecha Económico]]))</f>
        <v>9</v>
      </c>
      <c r="AL83" s="981">
        <f>IF(Producción_Lecheria[[#This Row],[Fecha Económico]]=0,0,YEAR(Producción_Lecheria[[#This Row],[Fecha Económico]]))</f>
        <v>2018</v>
      </c>
      <c r="AM83" s="985">
        <f>SUMPRODUCT((Producción_Lecheria[[#This Row],[Mes Económico]]=Tipo_Cambio[Mes])*(Producción_Lecheria[[#This Row],[Año Económico]]=Tipo_Cambio[Año])*(Tipo_Cambio[$/U$S]))</f>
        <v>22.4422</v>
      </c>
      <c r="AN83" s="985">
        <f>SUMPRODUCT((Producción_Lecheria[[#This Row],[Mes Económico]]=Tipo_Cambio[Mes])*(Producción_Lecheria[[#This Row],[Año Económico]]=Tipo_Cambio[Año])*(Tipo_Cambio[Actualización]))</f>
        <v>1.0404</v>
      </c>
      <c r="AO83" s="981">
        <f>IF(ISNUMBER(Producción_Lecheria[[#This Row],[Fecha Financiero]])=TRUE,MONTH(Producción_Lecheria[[#This Row],[Fecha Financiero]]),0)</f>
        <v>0</v>
      </c>
      <c r="AP83" s="981">
        <f>IF(ISNUMBER(Producción_Lecheria[[#This Row],[Fecha Financiero]])=TRUE,YEAR(Producción_Lecheria[[#This Row],[Fecha Financiero]]),0)</f>
        <v>0</v>
      </c>
      <c r="AQ83" s="985">
        <f>SUMPRODUCT((Producción_Lecheria[[#This Row],[Mes Financiero]]=Tipo_Cambio[Mes])*(Producción_Lecheria[[#This Row],[Año Financiero]]=Tipo_Cambio[Año])*(Tipo_Cambio[$/U$S]))</f>
        <v>0</v>
      </c>
      <c r="AR83" s="985">
        <f>SUMPRODUCT((Producción_Lecheria[[#This Row],[Mes Financiero]]=Tipo_Cambio[Mes])*(Producción_Lecheria[[#This Row],[Año Financiero]]=Tipo_Cambio[Año])*(Tipo_Cambio[Actualización]))</f>
        <v>0</v>
      </c>
      <c r="AS83" s="1009">
        <f>SUMPRODUCT((Producción_Lecheria[[#This Row],[Centro de Costo]]=Tabla1924[Centro de Costo])*(Tabla19[Superficie]))</f>
        <v>2356</v>
      </c>
      <c r="AT83" s="994">
        <f>IFERROR(Producción_Lecheria[[#This Row],[Económico $Corrientes]]/Producción_Lecheria[[#This Row],[Superficie]],0)</f>
        <v>0</v>
      </c>
      <c r="AU83" s="994">
        <f>IFERROR(Producción_Lecheria[[#This Row],[Económico $Constantes]]/Producción_Lecheria[[#This Row],[Superficie]],0)</f>
        <v>0</v>
      </c>
      <c r="AV83" s="994">
        <f>IFERROR(Producción_Lecheria[[#This Row],[Económico U$S Dólares]]/Producción_Lecheria[[#This Row],[Superficie]],0)</f>
        <v>0</v>
      </c>
      <c r="AW83" s="992" t="str">
        <f>IF(Económico!$F$4=0,0,Producción_Lecheria[Centro de Costo])</f>
        <v>Campo 1</v>
      </c>
    </row>
    <row r="84" spans="1:49" x14ac:dyDescent="0.25">
      <c r="A84" s="86"/>
      <c r="B84" s="373"/>
      <c r="C84" s="86"/>
      <c r="D84" s="548">
        <f>DATE(IF(MONTH(D80)=1,YEAR(D80+1),YEAR(D80)),MONTH(D80)+1,1)</f>
        <v>43374</v>
      </c>
      <c r="E84" s="493"/>
      <c r="F84" s="479" t="str">
        <f>Campaña_Actual</f>
        <v>2018-2019</v>
      </c>
      <c r="G84" s="490" t="str">
        <f>LCH_Venta_Hacienda</f>
        <v>Venta Hacienda</v>
      </c>
      <c r="H84" s="491" t="s">
        <v>2</v>
      </c>
      <c r="I84" s="491" t="s">
        <v>485</v>
      </c>
      <c r="J84" s="549"/>
      <c r="K84" s="484"/>
      <c r="L8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8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84" s="520"/>
      <c r="O8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84" s="563"/>
      <c r="Q84" s="491"/>
      <c r="R84" s="875">
        <f>IF(ISNUMBER(Producción_Lecheria[[#This Row],[Cabezas]])=TRUE,Producción_Lecheria[[#This Row],[Cabezas]]*Producción_Lecheria[[#This Row],[Cantidad]],Producción_Lecheria[[#This Row],[Cantidad]])</f>
        <v>0</v>
      </c>
      <c r="S84" s="491"/>
      <c r="T84" s="552"/>
      <c r="U84" s="553"/>
      <c r="V8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84" s="977">
        <f>IFERROR(Producción_Lecheria[[#This Row],[Económico $Corrientes]]/Producción_Lecheria[[#This Row],[Indexación Económico]],0)</f>
        <v>0</v>
      </c>
      <c r="X8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8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84" s="977">
        <f>IFERROR(Producción_Lecheria[[#This Row],[Financiero $Corrientes]]/Producción_Lecheria[[#This Row],[Indexación Financiero]],0)</f>
        <v>0</v>
      </c>
      <c r="AA8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8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84" s="981">
        <f>IFERROR(Producción_Lecheria[[#This Row],[Intereses $Corrientes]]/Producción_Lecheria[[#This Row],[Indexación Financiero]],0)</f>
        <v>0</v>
      </c>
      <c r="AD8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84" s="991" t="str">
        <f>IFERROR(INDEX(Produccion_Lecheria_Cuentas[],MATCH(Producción_Lecheria[[#This Row],[Cuenta Contable]],Produccion_Lecheria_Cuentas[Cuenta Contable],0),2),0)</f>
        <v>Ingreso</v>
      </c>
      <c r="AF84" s="992">
        <f>IF(Producción_Lecheria[[#This Row],[Mov. Stock]]="(+)",Producción_Lecheria[[#This Row],[Cabezas]],IF(Producción_Lecheria[[#This Row],[Mov. Stock]]="(-)",-Producción_Lecheria[[#This Row],[Cabezas]],0))</f>
        <v>0</v>
      </c>
      <c r="AG84" s="993" t="str">
        <f>IFERROR(INDEX(Produccion_Lecheria_Cuentas[],MATCH(Producción_Lecheria[[#This Row],[Cuenta Contable]],Produccion_Lecheria_Cuentas[Cuenta Contable],0),5),0)</f>
        <v>(-)</v>
      </c>
      <c r="AH84" s="985" t="str">
        <f>IF(Producción_Lecheria[[#This Row],[Cuenta Contable]]=Configuración!$AC$9,"Si","No")</f>
        <v>No</v>
      </c>
      <c r="AI84" s="983" t="str">
        <f>IFERROR(INDEX(Tabla9[],MATCH(Producción_Lecheria[[#This Row],[Movimiento]],Tabla9[Movimientos],0),2),0)</f>
        <v>Si</v>
      </c>
      <c r="AJ84" s="984" t="str">
        <f>IFERROR(INDEX(Tabla9[],MATCH(Producción_Lecheria[[#This Row],[Movimiento]],Tabla9[Movimientos],0),3),0)</f>
        <v>(+)</v>
      </c>
      <c r="AK84" s="981">
        <f>IF(Producción_Lecheria[[#This Row],[Fecha Económico]]=0,0,MONTH(Producción_Lecheria[[#This Row],[Fecha Económico]]))</f>
        <v>10</v>
      </c>
      <c r="AL84" s="981">
        <f>IF(Producción_Lecheria[[#This Row],[Fecha Económico]]=0,0,YEAR(Producción_Lecheria[[#This Row],[Fecha Económico]]))</f>
        <v>2018</v>
      </c>
      <c r="AM84" s="985">
        <f>SUMPRODUCT((Producción_Lecheria[[#This Row],[Mes Económico]]=Tipo_Cambio[Mes])*(Producción_Lecheria[[#This Row],[Año Económico]]=Tipo_Cambio[Año])*(Tipo_Cambio[$/U$S]))</f>
        <v>22.666622</v>
      </c>
      <c r="AN84" s="985">
        <f>SUMPRODUCT((Producción_Lecheria[[#This Row],[Mes Económico]]=Tipo_Cambio[Mes])*(Producción_Lecheria[[#This Row],[Año Económico]]=Tipo_Cambio[Año])*(Tipo_Cambio[Actualización]))</f>
        <v>1.0612079999999999</v>
      </c>
      <c r="AO84" s="981">
        <f>IF(ISNUMBER(Producción_Lecheria[[#This Row],[Fecha Financiero]])=TRUE,MONTH(Producción_Lecheria[[#This Row],[Fecha Financiero]]),0)</f>
        <v>0</v>
      </c>
      <c r="AP84" s="981">
        <f>IF(ISNUMBER(Producción_Lecheria[[#This Row],[Fecha Financiero]])=TRUE,YEAR(Producción_Lecheria[[#This Row],[Fecha Financiero]]),0)</f>
        <v>0</v>
      </c>
      <c r="AQ84" s="985">
        <f>SUMPRODUCT((Producción_Lecheria[[#This Row],[Mes Financiero]]=Tipo_Cambio[Mes])*(Producción_Lecheria[[#This Row],[Año Financiero]]=Tipo_Cambio[Año])*(Tipo_Cambio[$/U$S]))</f>
        <v>0</v>
      </c>
      <c r="AR84" s="985">
        <f>SUMPRODUCT((Producción_Lecheria[[#This Row],[Mes Financiero]]=Tipo_Cambio[Mes])*(Producción_Lecheria[[#This Row],[Año Financiero]]=Tipo_Cambio[Año])*(Tipo_Cambio[Actualización]))</f>
        <v>0</v>
      </c>
      <c r="AS84" s="1009">
        <f>SUMPRODUCT((Producción_Lecheria[[#This Row],[Centro de Costo]]=Tabla1924[Centro de Costo])*(Tabla19[Superficie]))</f>
        <v>2356</v>
      </c>
      <c r="AT84" s="994">
        <f>IFERROR(Producción_Lecheria[[#This Row],[Económico $Corrientes]]/Producción_Lecheria[[#This Row],[Superficie]],0)</f>
        <v>0</v>
      </c>
      <c r="AU84" s="994">
        <f>IFERROR(Producción_Lecheria[[#This Row],[Económico $Constantes]]/Producción_Lecheria[[#This Row],[Superficie]],0)</f>
        <v>0</v>
      </c>
      <c r="AV84" s="994">
        <f>IFERROR(Producción_Lecheria[[#This Row],[Económico U$S Dólares]]/Producción_Lecheria[[#This Row],[Superficie]],0)</f>
        <v>0</v>
      </c>
      <c r="AW84" s="992" t="str">
        <f>IF(Económico!$F$4=0,0,Producción_Lecheria[Centro de Costo])</f>
        <v>Campo 1</v>
      </c>
    </row>
    <row r="85" spans="1:49" x14ac:dyDescent="0.25">
      <c r="A85" s="86"/>
      <c r="B85" s="373"/>
      <c r="C85" s="86"/>
      <c r="D85" s="548">
        <f t="shared" si="9"/>
        <v>43374</v>
      </c>
      <c r="E85" s="493"/>
      <c r="F85" s="479" t="str">
        <f>Campaña_Actual</f>
        <v>2018-2019</v>
      </c>
      <c r="G85" s="576" t="str">
        <f>LCH_Venta_Hacienda</f>
        <v>Venta Hacienda</v>
      </c>
      <c r="H85" s="491" t="s">
        <v>2</v>
      </c>
      <c r="I85" s="491" t="s">
        <v>131</v>
      </c>
      <c r="J85" s="549"/>
      <c r="K85" s="484"/>
      <c r="L8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8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85" s="520"/>
      <c r="O8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85" s="563"/>
      <c r="Q85" s="491"/>
      <c r="R85" s="875">
        <f>IF(ISNUMBER(Producción_Lecheria[[#This Row],[Cabezas]])=TRUE,Producción_Lecheria[[#This Row],[Cabezas]]*Producción_Lecheria[[#This Row],[Cantidad]],Producción_Lecheria[[#This Row],[Cantidad]])</f>
        <v>0</v>
      </c>
      <c r="S85" s="491"/>
      <c r="T85" s="552"/>
      <c r="U85" s="553"/>
      <c r="V8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85" s="977">
        <f>IFERROR(Producción_Lecheria[[#This Row],[Económico $Corrientes]]/Producción_Lecheria[[#This Row],[Indexación Económico]],0)</f>
        <v>0</v>
      </c>
      <c r="X8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8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85" s="977">
        <f>IFERROR(Producción_Lecheria[[#This Row],[Financiero $Corrientes]]/Producción_Lecheria[[#This Row],[Indexación Financiero]],0)</f>
        <v>0</v>
      </c>
      <c r="AA8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8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85" s="981">
        <f>IFERROR(Producción_Lecheria[[#This Row],[Intereses $Corrientes]]/Producción_Lecheria[[#This Row],[Indexación Financiero]],0)</f>
        <v>0</v>
      </c>
      <c r="AD8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85" s="991" t="str">
        <f>IFERROR(INDEX(Produccion_Lecheria_Cuentas[],MATCH(Producción_Lecheria[[#This Row],[Cuenta Contable]],Produccion_Lecheria_Cuentas[Cuenta Contable],0),2),0)</f>
        <v>Ingreso</v>
      </c>
      <c r="AF85" s="992">
        <f>IF(Producción_Lecheria[[#This Row],[Mov. Stock]]="(+)",Producción_Lecheria[[#This Row],[Cabezas]],IF(Producción_Lecheria[[#This Row],[Mov. Stock]]="(-)",-Producción_Lecheria[[#This Row],[Cabezas]],0))</f>
        <v>0</v>
      </c>
      <c r="AG85" s="993" t="str">
        <f>IFERROR(INDEX(Produccion_Lecheria_Cuentas[],MATCH(Producción_Lecheria[[#This Row],[Cuenta Contable]],Produccion_Lecheria_Cuentas[Cuenta Contable],0),5),0)</f>
        <v>(-)</v>
      </c>
      <c r="AH85" s="985" t="str">
        <f>IF(Producción_Lecheria[[#This Row],[Cuenta Contable]]=Configuración!$AC$9,"Si","No")</f>
        <v>No</v>
      </c>
      <c r="AI85" s="983" t="str">
        <f>IFERROR(INDEX(Tabla9[],MATCH(Producción_Lecheria[[#This Row],[Movimiento]],Tabla9[Movimientos],0),2),0)</f>
        <v>Si</v>
      </c>
      <c r="AJ85" s="984" t="str">
        <f>IFERROR(INDEX(Tabla9[],MATCH(Producción_Lecheria[[#This Row],[Movimiento]],Tabla9[Movimientos],0),3),0)</f>
        <v>(+)</v>
      </c>
      <c r="AK85" s="981">
        <f>IF(Producción_Lecheria[[#This Row],[Fecha Económico]]=0,0,MONTH(Producción_Lecheria[[#This Row],[Fecha Económico]]))</f>
        <v>10</v>
      </c>
      <c r="AL85" s="981">
        <f>IF(Producción_Lecheria[[#This Row],[Fecha Económico]]=0,0,YEAR(Producción_Lecheria[[#This Row],[Fecha Económico]]))</f>
        <v>2018</v>
      </c>
      <c r="AM85" s="985">
        <f>SUMPRODUCT((Producción_Lecheria[[#This Row],[Mes Económico]]=Tipo_Cambio[Mes])*(Producción_Lecheria[[#This Row],[Año Económico]]=Tipo_Cambio[Año])*(Tipo_Cambio[$/U$S]))</f>
        <v>22.666622</v>
      </c>
      <c r="AN85" s="985">
        <f>SUMPRODUCT((Producción_Lecheria[[#This Row],[Mes Económico]]=Tipo_Cambio[Mes])*(Producción_Lecheria[[#This Row],[Año Económico]]=Tipo_Cambio[Año])*(Tipo_Cambio[Actualización]))</f>
        <v>1.0612079999999999</v>
      </c>
      <c r="AO85" s="981">
        <f>IF(ISNUMBER(Producción_Lecheria[[#This Row],[Fecha Financiero]])=TRUE,MONTH(Producción_Lecheria[[#This Row],[Fecha Financiero]]),0)</f>
        <v>0</v>
      </c>
      <c r="AP85" s="981">
        <f>IF(ISNUMBER(Producción_Lecheria[[#This Row],[Fecha Financiero]])=TRUE,YEAR(Producción_Lecheria[[#This Row],[Fecha Financiero]]),0)</f>
        <v>0</v>
      </c>
      <c r="AQ85" s="985">
        <f>SUMPRODUCT((Producción_Lecheria[[#This Row],[Mes Financiero]]=Tipo_Cambio[Mes])*(Producción_Lecheria[[#This Row],[Año Financiero]]=Tipo_Cambio[Año])*(Tipo_Cambio[$/U$S]))</f>
        <v>0</v>
      </c>
      <c r="AR85" s="985">
        <f>SUMPRODUCT((Producción_Lecheria[[#This Row],[Mes Financiero]]=Tipo_Cambio[Mes])*(Producción_Lecheria[[#This Row],[Año Financiero]]=Tipo_Cambio[Año])*(Tipo_Cambio[Actualización]))</f>
        <v>0</v>
      </c>
      <c r="AS85" s="1009">
        <f>SUMPRODUCT((Producción_Lecheria[[#This Row],[Centro de Costo]]=Tabla1924[Centro de Costo])*(Tabla19[Superficie]))</f>
        <v>2356</v>
      </c>
      <c r="AT85" s="994">
        <f>IFERROR(Producción_Lecheria[[#This Row],[Económico $Corrientes]]/Producción_Lecheria[[#This Row],[Superficie]],0)</f>
        <v>0</v>
      </c>
      <c r="AU85" s="994">
        <f>IFERROR(Producción_Lecheria[[#This Row],[Económico $Constantes]]/Producción_Lecheria[[#This Row],[Superficie]],0)</f>
        <v>0</v>
      </c>
      <c r="AV85" s="994">
        <f>IFERROR(Producción_Lecheria[[#This Row],[Económico U$S Dólares]]/Producción_Lecheria[[#This Row],[Superficie]],0)</f>
        <v>0</v>
      </c>
      <c r="AW85" s="992" t="str">
        <f>IF(Económico!$F$4=0,0,Producción_Lecheria[Centro de Costo])</f>
        <v>Campo 1</v>
      </c>
    </row>
    <row r="86" spans="1:49" x14ac:dyDescent="0.25">
      <c r="A86" s="86"/>
      <c r="B86" s="373"/>
      <c r="C86" s="86"/>
      <c r="D86" s="548">
        <f t="shared" si="9"/>
        <v>43374</v>
      </c>
      <c r="E86" s="522"/>
      <c r="F86" s="479" t="str">
        <f t="shared" si="8"/>
        <v>2018-2019</v>
      </c>
      <c r="G86" s="576" t="str">
        <f>LCH_Venta_Hacienda</f>
        <v>Venta Hacienda</v>
      </c>
      <c r="H86" s="491" t="s">
        <v>2</v>
      </c>
      <c r="I86" s="491" t="s">
        <v>129</v>
      </c>
      <c r="J86" s="549"/>
      <c r="K86" s="484"/>
      <c r="L8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8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86" s="520"/>
      <c r="O8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86" s="563"/>
      <c r="Q86" s="491"/>
      <c r="R86" s="875">
        <f>IF(ISNUMBER(Producción_Lecheria[[#This Row],[Cabezas]])=TRUE,Producción_Lecheria[[#This Row],[Cabezas]]*Producción_Lecheria[[#This Row],[Cantidad]],Producción_Lecheria[[#This Row],[Cantidad]])</f>
        <v>0</v>
      </c>
      <c r="S86" s="491"/>
      <c r="T86" s="552"/>
      <c r="U86" s="553"/>
      <c r="V8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86" s="977">
        <f>IFERROR(Producción_Lecheria[[#This Row],[Económico $Corrientes]]/Producción_Lecheria[[#This Row],[Indexación Económico]],0)</f>
        <v>0</v>
      </c>
      <c r="X8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8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86" s="977">
        <f>IFERROR(Producción_Lecheria[[#This Row],[Financiero $Corrientes]]/Producción_Lecheria[[#This Row],[Indexación Financiero]],0)</f>
        <v>0</v>
      </c>
      <c r="AA8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8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86" s="981">
        <f>IFERROR(Producción_Lecheria[[#This Row],[Intereses $Corrientes]]/Producción_Lecheria[[#This Row],[Indexación Financiero]],0)</f>
        <v>0</v>
      </c>
      <c r="AD8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86" s="991" t="str">
        <f>IFERROR(INDEX(Produccion_Lecheria_Cuentas[],MATCH(Producción_Lecheria[[#This Row],[Cuenta Contable]],Produccion_Lecheria_Cuentas[Cuenta Contable],0),2),0)</f>
        <v>Ingreso</v>
      </c>
      <c r="AF86" s="992">
        <f>IF(Producción_Lecheria[[#This Row],[Mov. Stock]]="(+)",Producción_Lecheria[[#This Row],[Cabezas]],IF(Producción_Lecheria[[#This Row],[Mov. Stock]]="(-)",-Producción_Lecheria[[#This Row],[Cabezas]],0))</f>
        <v>0</v>
      </c>
      <c r="AG86" s="993" t="str">
        <f>IFERROR(INDEX(Produccion_Lecheria_Cuentas[],MATCH(Producción_Lecheria[[#This Row],[Cuenta Contable]],Produccion_Lecheria_Cuentas[Cuenta Contable],0),5),0)</f>
        <v>(-)</v>
      </c>
      <c r="AH86" s="985" t="str">
        <f>IF(Producción_Lecheria[[#This Row],[Cuenta Contable]]=Configuración!$AC$9,"Si","No")</f>
        <v>No</v>
      </c>
      <c r="AI86" s="983" t="str">
        <f>IFERROR(INDEX(Tabla9[],MATCH(Producción_Lecheria[[#This Row],[Movimiento]],Tabla9[Movimientos],0),2),0)</f>
        <v>Si</v>
      </c>
      <c r="AJ86" s="984" t="str">
        <f>IFERROR(INDEX(Tabla9[],MATCH(Producción_Lecheria[[#This Row],[Movimiento]],Tabla9[Movimientos],0),3),0)</f>
        <v>(+)</v>
      </c>
      <c r="AK86" s="981">
        <f>IF(Producción_Lecheria[[#This Row],[Fecha Económico]]=0,0,MONTH(Producción_Lecheria[[#This Row],[Fecha Económico]]))</f>
        <v>10</v>
      </c>
      <c r="AL86" s="981">
        <f>IF(Producción_Lecheria[[#This Row],[Fecha Económico]]=0,0,YEAR(Producción_Lecheria[[#This Row],[Fecha Económico]]))</f>
        <v>2018</v>
      </c>
      <c r="AM86" s="985">
        <f>SUMPRODUCT((Producción_Lecheria[[#This Row],[Mes Económico]]=Tipo_Cambio[Mes])*(Producción_Lecheria[[#This Row],[Año Económico]]=Tipo_Cambio[Año])*(Tipo_Cambio[$/U$S]))</f>
        <v>22.666622</v>
      </c>
      <c r="AN86" s="985">
        <f>SUMPRODUCT((Producción_Lecheria[[#This Row],[Mes Económico]]=Tipo_Cambio[Mes])*(Producción_Lecheria[[#This Row],[Año Económico]]=Tipo_Cambio[Año])*(Tipo_Cambio[Actualización]))</f>
        <v>1.0612079999999999</v>
      </c>
      <c r="AO86" s="981">
        <f>IF(ISNUMBER(Producción_Lecheria[[#This Row],[Fecha Financiero]])=TRUE,MONTH(Producción_Lecheria[[#This Row],[Fecha Financiero]]),0)</f>
        <v>0</v>
      </c>
      <c r="AP86" s="981">
        <f>IF(ISNUMBER(Producción_Lecheria[[#This Row],[Fecha Financiero]])=TRUE,YEAR(Producción_Lecheria[[#This Row],[Fecha Financiero]]),0)</f>
        <v>0</v>
      </c>
      <c r="AQ86" s="985">
        <f>SUMPRODUCT((Producción_Lecheria[[#This Row],[Mes Financiero]]=Tipo_Cambio[Mes])*(Producción_Lecheria[[#This Row],[Año Financiero]]=Tipo_Cambio[Año])*(Tipo_Cambio[$/U$S]))</f>
        <v>0</v>
      </c>
      <c r="AR86" s="985">
        <f>SUMPRODUCT((Producción_Lecheria[[#This Row],[Mes Financiero]]=Tipo_Cambio[Mes])*(Producción_Lecheria[[#This Row],[Año Financiero]]=Tipo_Cambio[Año])*(Tipo_Cambio[Actualización]))</f>
        <v>0</v>
      </c>
      <c r="AS86" s="1009">
        <f>SUMPRODUCT((Producción_Lecheria[[#This Row],[Centro de Costo]]=Tabla1924[Centro de Costo])*(Tabla19[Superficie]))</f>
        <v>2356</v>
      </c>
      <c r="AT86" s="994">
        <f>IFERROR(Producción_Lecheria[[#This Row],[Económico $Corrientes]]/Producción_Lecheria[[#This Row],[Superficie]],0)</f>
        <v>0</v>
      </c>
      <c r="AU86" s="994">
        <f>IFERROR(Producción_Lecheria[[#This Row],[Económico $Constantes]]/Producción_Lecheria[[#This Row],[Superficie]],0)</f>
        <v>0</v>
      </c>
      <c r="AV86" s="994">
        <f>IFERROR(Producción_Lecheria[[#This Row],[Económico U$S Dólares]]/Producción_Lecheria[[#This Row],[Superficie]],0)</f>
        <v>0</v>
      </c>
      <c r="AW86" s="992" t="str">
        <f>IF(Económico!$F$4=0,0,Producción_Lecheria[Centro de Costo])</f>
        <v>Campo 1</v>
      </c>
    </row>
    <row r="87" spans="1:49" x14ac:dyDescent="0.25">
      <c r="A87" s="86"/>
      <c r="B87" s="373"/>
      <c r="C87" s="86"/>
      <c r="D87" s="548">
        <f t="shared" si="9"/>
        <v>43374</v>
      </c>
      <c r="E87" s="522"/>
      <c r="F87" s="479" t="str">
        <f t="shared" si="8"/>
        <v>2018-2019</v>
      </c>
      <c r="G87" s="490" t="s">
        <v>127</v>
      </c>
      <c r="H87" s="491" t="s">
        <v>2</v>
      </c>
      <c r="I87" s="491"/>
      <c r="J87" s="549"/>
      <c r="K87" s="484"/>
      <c r="L8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8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87" s="520"/>
      <c r="O8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87" s="563"/>
      <c r="Q87" s="491"/>
      <c r="R87" s="875">
        <f>IF(ISNUMBER(Producción_Lecheria[[#This Row],[Cabezas]])=TRUE,Producción_Lecheria[[#This Row],[Cabezas]]*Producción_Lecheria[[#This Row],[Cantidad]],Producción_Lecheria[[#This Row],[Cantidad]])</f>
        <v>0</v>
      </c>
      <c r="S87" s="491"/>
      <c r="T87" s="552"/>
      <c r="U87" s="553"/>
      <c r="V8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87" s="977">
        <f>IFERROR(Producción_Lecheria[[#This Row],[Económico $Corrientes]]/Producción_Lecheria[[#This Row],[Indexación Económico]],0)</f>
        <v>0</v>
      </c>
      <c r="X8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8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87" s="977">
        <f>IFERROR(Producción_Lecheria[[#This Row],[Financiero $Corrientes]]/Producción_Lecheria[[#This Row],[Indexación Financiero]],0)</f>
        <v>0</v>
      </c>
      <c r="AA8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8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87" s="981">
        <f>IFERROR(Producción_Lecheria[[#This Row],[Intereses $Corrientes]]/Producción_Lecheria[[#This Row],[Indexación Financiero]],0)</f>
        <v>0</v>
      </c>
      <c r="AD8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87" s="991" t="str">
        <f>IFERROR(INDEX(Produccion_Lecheria_Cuentas[],MATCH(Producción_Lecheria[[#This Row],[Cuenta Contable]],Produccion_Lecheria_Cuentas[Cuenta Contable],0),2),0)</f>
        <v>Egreso</v>
      </c>
      <c r="AF87" s="992">
        <f>IF(Producción_Lecheria[[#This Row],[Mov. Stock]]="(+)",Producción_Lecheria[[#This Row],[Cabezas]],IF(Producción_Lecheria[[#This Row],[Mov. Stock]]="(-)",-Producción_Lecheria[[#This Row],[Cabezas]],0))</f>
        <v>0</v>
      </c>
      <c r="AG87" s="993">
        <f>IFERROR(INDEX(Produccion_Lecheria_Cuentas[],MATCH(Producción_Lecheria[[#This Row],[Cuenta Contable]],Produccion_Lecheria_Cuentas[Cuenta Contable],0),5),0)</f>
        <v>0</v>
      </c>
      <c r="AH87" s="985" t="str">
        <f>IF(Producción_Lecheria[[#This Row],[Cuenta Contable]]=Configuración!$AC$9,"Si","No")</f>
        <v>No</v>
      </c>
      <c r="AI87" s="983" t="str">
        <f>IFERROR(INDEX(Tabla9[],MATCH(Producción_Lecheria[[#This Row],[Movimiento]],Tabla9[Movimientos],0),2),0)</f>
        <v>Si</v>
      </c>
      <c r="AJ87" s="984" t="str">
        <f>IFERROR(INDEX(Tabla9[],MATCH(Producción_Lecheria[[#This Row],[Movimiento]],Tabla9[Movimientos],0),3),0)</f>
        <v>(-)</v>
      </c>
      <c r="AK87" s="981">
        <f>IF(Producción_Lecheria[[#This Row],[Fecha Económico]]=0,0,MONTH(Producción_Lecheria[[#This Row],[Fecha Económico]]))</f>
        <v>10</v>
      </c>
      <c r="AL87" s="981">
        <f>IF(Producción_Lecheria[[#This Row],[Fecha Económico]]=0,0,YEAR(Producción_Lecheria[[#This Row],[Fecha Económico]]))</f>
        <v>2018</v>
      </c>
      <c r="AM87" s="985">
        <f>SUMPRODUCT((Producción_Lecheria[[#This Row],[Mes Económico]]=Tipo_Cambio[Mes])*(Producción_Lecheria[[#This Row],[Año Económico]]=Tipo_Cambio[Año])*(Tipo_Cambio[$/U$S]))</f>
        <v>22.666622</v>
      </c>
      <c r="AN87" s="985">
        <f>SUMPRODUCT((Producción_Lecheria[[#This Row],[Mes Económico]]=Tipo_Cambio[Mes])*(Producción_Lecheria[[#This Row],[Año Económico]]=Tipo_Cambio[Año])*(Tipo_Cambio[Actualización]))</f>
        <v>1.0612079999999999</v>
      </c>
      <c r="AO87" s="981">
        <f>IF(ISNUMBER(Producción_Lecheria[[#This Row],[Fecha Financiero]])=TRUE,MONTH(Producción_Lecheria[[#This Row],[Fecha Financiero]]),0)</f>
        <v>0</v>
      </c>
      <c r="AP87" s="981">
        <f>IF(ISNUMBER(Producción_Lecheria[[#This Row],[Fecha Financiero]])=TRUE,YEAR(Producción_Lecheria[[#This Row],[Fecha Financiero]]),0)</f>
        <v>0</v>
      </c>
      <c r="AQ87" s="985">
        <f>SUMPRODUCT((Producción_Lecheria[[#This Row],[Mes Financiero]]=Tipo_Cambio[Mes])*(Producción_Lecheria[[#This Row],[Año Financiero]]=Tipo_Cambio[Año])*(Tipo_Cambio[$/U$S]))</f>
        <v>0</v>
      </c>
      <c r="AR87" s="985">
        <f>SUMPRODUCT((Producción_Lecheria[[#This Row],[Mes Financiero]]=Tipo_Cambio[Mes])*(Producción_Lecheria[[#This Row],[Año Financiero]]=Tipo_Cambio[Año])*(Tipo_Cambio[Actualización]))</f>
        <v>0</v>
      </c>
      <c r="AS87" s="1009">
        <f>SUMPRODUCT((Producción_Lecheria[[#This Row],[Centro de Costo]]=Tabla1924[Centro de Costo])*(Tabla19[Superficie]))</f>
        <v>2356</v>
      </c>
      <c r="AT87" s="994">
        <f>IFERROR(Producción_Lecheria[[#This Row],[Económico $Corrientes]]/Producción_Lecheria[[#This Row],[Superficie]],0)</f>
        <v>0</v>
      </c>
      <c r="AU87" s="994">
        <f>IFERROR(Producción_Lecheria[[#This Row],[Económico $Constantes]]/Producción_Lecheria[[#This Row],[Superficie]],0)</f>
        <v>0</v>
      </c>
      <c r="AV87" s="994">
        <f>IFERROR(Producción_Lecheria[[#This Row],[Económico U$S Dólares]]/Producción_Lecheria[[#This Row],[Superficie]],0)</f>
        <v>0</v>
      </c>
      <c r="AW87" s="992" t="str">
        <f>IF(Económico!$F$4=0,0,Producción_Lecheria[Centro de Costo])</f>
        <v>Campo 1</v>
      </c>
    </row>
    <row r="88" spans="1:49" x14ac:dyDescent="0.25">
      <c r="A88" s="86"/>
      <c r="B88" s="373"/>
      <c r="C88" s="86"/>
      <c r="D88" s="548">
        <f>DATE(IF(MONTH(D84)=1,YEAR(D84+1),YEAR(D84)),MONTH(D84)+1,1)</f>
        <v>43405</v>
      </c>
      <c r="E88" s="493"/>
      <c r="F88" s="479" t="str">
        <f t="shared" ref="F88:F97" si="10">Campaña_Actual</f>
        <v>2018-2019</v>
      </c>
      <c r="G88" s="490" t="str">
        <f>LCH_Venta_Hacienda</f>
        <v>Venta Hacienda</v>
      </c>
      <c r="H88" s="491" t="s">
        <v>2</v>
      </c>
      <c r="I88" s="491" t="s">
        <v>485</v>
      </c>
      <c r="J88" s="549"/>
      <c r="K88" s="484"/>
      <c r="L8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8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88" s="520"/>
      <c r="O8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88" s="563"/>
      <c r="Q88" s="491"/>
      <c r="R88" s="875">
        <f>IF(ISNUMBER(Producción_Lecheria[[#This Row],[Cabezas]])=TRUE,Producción_Lecheria[[#This Row],[Cabezas]]*Producción_Lecheria[[#This Row],[Cantidad]],Producción_Lecheria[[#This Row],[Cantidad]])</f>
        <v>0</v>
      </c>
      <c r="S88" s="491"/>
      <c r="T88" s="552"/>
      <c r="U88" s="553"/>
      <c r="V8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88" s="977">
        <f>IFERROR(Producción_Lecheria[[#This Row],[Económico $Corrientes]]/Producción_Lecheria[[#This Row],[Indexación Económico]],0)</f>
        <v>0</v>
      </c>
      <c r="X8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8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88" s="977">
        <f>IFERROR(Producción_Lecheria[[#This Row],[Financiero $Corrientes]]/Producción_Lecheria[[#This Row],[Indexación Financiero]],0)</f>
        <v>0</v>
      </c>
      <c r="AA8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8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88" s="981">
        <f>IFERROR(Producción_Lecheria[[#This Row],[Intereses $Corrientes]]/Producción_Lecheria[[#This Row],[Indexación Financiero]],0)</f>
        <v>0</v>
      </c>
      <c r="AD8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88" s="991" t="str">
        <f>IFERROR(INDEX(Produccion_Lecheria_Cuentas[],MATCH(Producción_Lecheria[[#This Row],[Cuenta Contable]],Produccion_Lecheria_Cuentas[Cuenta Contable],0),2),0)</f>
        <v>Ingreso</v>
      </c>
      <c r="AF88" s="992">
        <f>IF(Producción_Lecheria[[#This Row],[Mov. Stock]]="(+)",Producción_Lecheria[[#This Row],[Cabezas]],IF(Producción_Lecheria[[#This Row],[Mov. Stock]]="(-)",-Producción_Lecheria[[#This Row],[Cabezas]],0))</f>
        <v>0</v>
      </c>
      <c r="AG88" s="993" t="str">
        <f>IFERROR(INDEX(Produccion_Lecheria_Cuentas[],MATCH(Producción_Lecheria[[#This Row],[Cuenta Contable]],Produccion_Lecheria_Cuentas[Cuenta Contable],0),5),0)</f>
        <v>(-)</v>
      </c>
      <c r="AH88" s="985" t="str">
        <f>IF(Producción_Lecheria[[#This Row],[Cuenta Contable]]=Configuración!$AC$9,"Si","No")</f>
        <v>No</v>
      </c>
      <c r="AI88" s="983" t="str">
        <f>IFERROR(INDEX(Tabla9[],MATCH(Producción_Lecheria[[#This Row],[Movimiento]],Tabla9[Movimientos],0),2),0)</f>
        <v>Si</v>
      </c>
      <c r="AJ88" s="984" t="str">
        <f>IFERROR(INDEX(Tabla9[],MATCH(Producción_Lecheria[[#This Row],[Movimiento]],Tabla9[Movimientos],0),3),0)</f>
        <v>(+)</v>
      </c>
      <c r="AK88" s="981">
        <f>IF(Producción_Lecheria[[#This Row],[Fecha Económico]]=0,0,MONTH(Producción_Lecheria[[#This Row],[Fecha Económico]]))</f>
        <v>11</v>
      </c>
      <c r="AL88" s="981">
        <f>IF(Producción_Lecheria[[#This Row],[Fecha Económico]]=0,0,YEAR(Producción_Lecheria[[#This Row],[Fecha Económico]]))</f>
        <v>2018</v>
      </c>
      <c r="AM88" s="985">
        <f>SUMPRODUCT((Producción_Lecheria[[#This Row],[Mes Económico]]=Tipo_Cambio[Mes])*(Producción_Lecheria[[#This Row],[Año Económico]]=Tipo_Cambio[Año])*(Tipo_Cambio[$/U$S]))</f>
        <v>22.893288219999999</v>
      </c>
      <c r="AN88" s="985">
        <f>SUMPRODUCT((Producción_Lecheria[[#This Row],[Mes Económico]]=Tipo_Cambio[Mes])*(Producción_Lecheria[[#This Row],[Año Económico]]=Tipo_Cambio[Año])*(Tipo_Cambio[Actualización]))</f>
        <v>1.08243216</v>
      </c>
      <c r="AO88" s="981">
        <f>IF(ISNUMBER(Producción_Lecheria[[#This Row],[Fecha Financiero]])=TRUE,MONTH(Producción_Lecheria[[#This Row],[Fecha Financiero]]),0)</f>
        <v>0</v>
      </c>
      <c r="AP88" s="981">
        <f>IF(ISNUMBER(Producción_Lecheria[[#This Row],[Fecha Financiero]])=TRUE,YEAR(Producción_Lecheria[[#This Row],[Fecha Financiero]]),0)</f>
        <v>0</v>
      </c>
      <c r="AQ88" s="985">
        <f>SUMPRODUCT((Producción_Lecheria[[#This Row],[Mes Financiero]]=Tipo_Cambio[Mes])*(Producción_Lecheria[[#This Row],[Año Financiero]]=Tipo_Cambio[Año])*(Tipo_Cambio[$/U$S]))</f>
        <v>0</v>
      </c>
      <c r="AR88" s="985">
        <f>SUMPRODUCT((Producción_Lecheria[[#This Row],[Mes Financiero]]=Tipo_Cambio[Mes])*(Producción_Lecheria[[#This Row],[Año Financiero]]=Tipo_Cambio[Año])*(Tipo_Cambio[Actualización]))</f>
        <v>0</v>
      </c>
      <c r="AS88" s="1009">
        <f>SUMPRODUCT((Producción_Lecheria[[#This Row],[Centro de Costo]]=Tabla1924[Centro de Costo])*(Tabla19[Superficie]))</f>
        <v>2356</v>
      </c>
      <c r="AT88" s="994">
        <f>IFERROR(Producción_Lecheria[[#This Row],[Económico $Corrientes]]/Producción_Lecheria[[#This Row],[Superficie]],0)</f>
        <v>0</v>
      </c>
      <c r="AU88" s="994">
        <f>IFERROR(Producción_Lecheria[[#This Row],[Económico $Constantes]]/Producción_Lecheria[[#This Row],[Superficie]],0)</f>
        <v>0</v>
      </c>
      <c r="AV88" s="994">
        <f>IFERROR(Producción_Lecheria[[#This Row],[Económico U$S Dólares]]/Producción_Lecheria[[#This Row],[Superficie]],0)</f>
        <v>0</v>
      </c>
      <c r="AW88" s="992" t="str">
        <f>IF(Económico!$F$4=0,0,Producción_Lecheria[Centro de Costo])</f>
        <v>Campo 1</v>
      </c>
    </row>
    <row r="89" spans="1:49" x14ac:dyDescent="0.25">
      <c r="A89" s="86"/>
      <c r="B89" s="373"/>
      <c r="C89" s="86"/>
      <c r="D89" s="548">
        <f t="shared" si="9"/>
        <v>43405</v>
      </c>
      <c r="E89" s="493"/>
      <c r="F89" s="479" t="str">
        <f t="shared" si="10"/>
        <v>2018-2019</v>
      </c>
      <c r="G89" s="576" t="str">
        <f>LCH_Venta_Hacienda</f>
        <v>Venta Hacienda</v>
      </c>
      <c r="H89" s="491" t="s">
        <v>2</v>
      </c>
      <c r="I89" s="491" t="s">
        <v>131</v>
      </c>
      <c r="J89" s="549"/>
      <c r="K89" s="484"/>
      <c r="L8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8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89" s="520"/>
      <c r="O8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89" s="563"/>
      <c r="Q89" s="491"/>
      <c r="R89" s="875">
        <f>IF(ISNUMBER(Producción_Lecheria[[#This Row],[Cabezas]])=TRUE,Producción_Lecheria[[#This Row],[Cabezas]]*Producción_Lecheria[[#This Row],[Cantidad]],Producción_Lecheria[[#This Row],[Cantidad]])</f>
        <v>0</v>
      </c>
      <c r="S89" s="491"/>
      <c r="T89" s="552"/>
      <c r="U89" s="553"/>
      <c r="V8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89" s="977">
        <f>IFERROR(Producción_Lecheria[[#This Row],[Económico $Corrientes]]/Producción_Lecheria[[#This Row],[Indexación Económico]],0)</f>
        <v>0</v>
      </c>
      <c r="X8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8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89" s="977">
        <f>IFERROR(Producción_Lecheria[[#This Row],[Financiero $Corrientes]]/Producción_Lecheria[[#This Row],[Indexación Financiero]],0)</f>
        <v>0</v>
      </c>
      <c r="AA8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8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89" s="981">
        <f>IFERROR(Producción_Lecheria[[#This Row],[Intereses $Corrientes]]/Producción_Lecheria[[#This Row],[Indexación Financiero]],0)</f>
        <v>0</v>
      </c>
      <c r="AD8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89" s="991" t="str">
        <f>IFERROR(INDEX(Produccion_Lecheria_Cuentas[],MATCH(Producción_Lecheria[[#This Row],[Cuenta Contable]],Produccion_Lecheria_Cuentas[Cuenta Contable],0),2),0)</f>
        <v>Ingreso</v>
      </c>
      <c r="AF89" s="992">
        <f>IF(Producción_Lecheria[[#This Row],[Mov. Stock]]="(+)",Producción_Lecheria[[#This Row],[Cabezas]],IF(Producción_Lecheria[[#This Row],[Mov. Stock]]="(-)",-Producción_Lecheria[[#This Row],[Cabezas]],0))</f>
        <v>0</v>
      </c>
      <c r="AG89" s="993" t="str">
        <f>IFERROR(INDEX(Produccion_Lecheria_Cuentas[],MATCH(Producción_Lecheria[[#This Row],[Cuenta Contable]],Produccion_Lecheria_Cuentas[Cuenta Contable],0),5),0)</f>
        <v>(-)</v>
      </c>
      <c r="AH89" s="985" t="str">
        <f>IF(Producción_Lecheria[[#This Row],[Cuenta Contable]]=Configuración!$AC$9,"Si","No")</f>
        <v>No</v>
      </c>
      <c r="AI89" s="983" t="str">
        <f>IFERROR(INDEX(Tabla9[],MATCH(Producción_Lecheria[[#This Row],[Movimiento]],Tabla9[Movimientos],0),2),0)</f>
        <v>Si</v>
      </c>
      <c r="AJ89" s="984" t="str">
        <f>IFERROR(INDEX(Tabla9[],MATCH(Producción_Lecheria[[#This Row],[Movimiento]],Tabla9[Movimientos],0),3),0)</f>
        <v>(+)</v>
      </c>
      <c r="AK89" s="981">
        <f>IF(Producción_Lecheria[[#This Row],[Fecha Económico]]=0,0,MONTH(Producción_Lecheria[[#This Row],[Fecha Económico]]))</f>
        <v>11</v>
      </c>
      <c r="AL89" s="981">
        <f>IF(Producción_Lecheria[[#This Row],[Fecha Económico]]=0,0,YEAR(Producción_Lecheria[[#This Row],[Fecha Económico]]))</f>
        <v>2018</v>
      </c>
      <c r="AM89" s="985">
        <f>SUMPRODUCT((Producción_Lecheria[[#This Row],[Mes Económico]]=Tipo_Cambio[Mes])*(Producción_Lecheria[[#This Row],[Año Económico]]=Tipo_Cambio[Año])*(Tipo_Cambio[$/U$S]))</f>
        <v>22.893288219999999</v>
      </c>
      <c r="AN89" s="985">
        <f>SUMPRODUCT((Producción_Lecheria[[#This Row],[Mes Económico]]=Tipo_Cambio[Mes])*(Producción_Lecheria[[#This Row],[Año Económico]]=Tipo_Cambio[Año])*(Tipo_Cambio[Actualización]))</f>
        <v>1.08243216</v>
      </c>
      <c r="AO89" s="981">
        <f>IF(ISNUMBER(Producción_Lecheria[[#This Row],[Fecha Financiero]])=TRUE,MONTH(Producción_Lecheria[[#This Row],[Fecha Financiero]]),0)</f>
        <v>0</v>
      </c>
      <c r="AP89" s="981">
        <f>IF(ISNUMBER(Producción_Lecheria[[#This Row],[Fecha Financiero]])=TRUE,YEAR(Producción_Lecheria[[#This Row],[Fecha Financiero]]),0)</f>
        <v>0</v>
      </c>
      <c r="AQ89" s="985">
        <f>SUMPRODUCT((Producción_Lecheria[[#This Row],[Mes Financiero]]=Tipo_Cambio[Mes])*(Producción_Lecheria[[#This Row],[Año Financiero]]=Tipo_Cambio[Año])*(Tipo_Cambio[$/U$S]))</f>
        <v>0</v>
      </c>
      <c r="AR89" s="985">
        <f>SUMPRODUCT((Producción_Lecheria[[#This Row],[Mes Financiero]]=Tipo_Cambio[Mes])*(Producción_Lecheria[[#This Row],[Año Financiero]]=Tipo_Cambio[Año])*(Tipo_Cambio[Actualización]))</f>
        <v>0</v>
      </c>
      <c r="AS89" s="1009">
        <f>SUMPRODUCT((Producción_Lecheria[[#This Row],[Centro de Costo]]=Tabla1924[Centro de Costo])*(Tabla19[Superficie]))</f>
        <v>2356</v>
      </c>
      <c r="AT89" s="994">
        <f>IFERROR(Producción_Lecheria[[#This Row],[Económico $Corrientes]]/Producción_Lecheria[[#This Row],[Superficie]],0)</f>
        <v>0</v>
      </c>
      <c r="AU89" s="994">
        <f>IFERROR(Producción_Lecheria[[#This Row],[Económico $Constantes]]/Producción_Lecheria[[#This Row],[Superficie]],0)</f>
        <v>0</v>
      </c>
      <c r="AV89" s="994">
        <f>IFERROR(Producción_Lecheria[[#This Row],[Económico U$S Dólares]]/Producción_Lecheria[[#This Row],[Superficie]],0)</f>
        <v>0</v>
      </c>
      <c r="AW89" s="992" t="str">
        <f>IF(Económico!$F$4=0,0,Producción_Lecheria[Centro de Costo])</f>
        <v>Campo 1</v>
      </c>
    </row>
    <row r="90" spans="1:49" x14ac:dyDescent="0.25">
      <c r="A90" s="86"/>
      <c r="B90" s="373"/>
      <c r="C90" s="86"/>
      <c r="D90" s="548">
        <f t="shared" si="9"/>
        <v>43405</v>
      </c>
      <c r="E90" s="493"/>
      <c r="F90" s="479" t="str">
        <f t="shared" si="10"/>
        <v>2018-2019</v>
      </c>
      <c r="G90" s="576" t="str">
        <f>LCH_Venta_Hacienda</f>
        <v>Venta Hacienda</v>
      </c>
      <c r="H90" s="491" t="s">
        <v>2</v>
      </c>
      <c r="I90" s="491" t="s">
        <v>129</v>
      </c>
      <c r="J90" s="549"/>
      <c r="K90" s="484"/>
      <c r="L9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9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90" s="520"/>
      <c r="O9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90" s="563"/>
      <c r="Q90" s="491"/>
      <c r="R90" s="875">
        <f>IF(ISNUMBER(Producción_Lecheria[[#This Row],[Cabezas]])=TRUE,Producción_Lecheria[[#This Row],[Cabezas]]*Producción_Lecheria[[#This Row],[Cantidad]],Producción_Lecheria[[#This Row],[Cantidad]])</f>
        <v>0</v>
      </c>
      <c r="S90" s="491"/>
      <c r="T90" s="552"/>
      <c r="U90" s="553"/>
      <c r="V9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90" s="977">
        <f>IFERROR(Producción_Lecheria[[#This Row],[Económico $Corrientes]]/Producción_Lecheria[[#This Row],[Indexación Económico]],0)</f>
        <v>0</v>
      </c>
      <c r="X9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9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90" s="977">
        <f>IFERROR(Producción_Lecheria[[#This Row],[Financiero $Corrientes]]/Producción_Lecheria[[#This Row],[Indexación Financiero]],0)</f>
        <v>0</v>
      </c>
      <c r="AA9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9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90" s="981">
        <f>IFERROR(Producción_Lecheria[[#This Row],[Intereses $Corrientes]]/Producción_Lecheria[[#This Row],[Indexación Financiero]],0)</f>
        <v>0</v>
      </c>
      <c r="AD9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90" s="991" t="str">
        <f>IFERROR(INDEX(Produccion_Lecheria_Cuentas[],MATCH(Producción_Lecheria[[#This Row],[Cuenta Contable]],Produccion_Lecheria_Cuentas[Cuenta Contable],0),2),0)</f>
        <v>Ingreso</v>
      </c>
      <c r="AF90" s="992">
        <f>IF(Producción_Lecheria[[#This Row],[Mov. Stock]]="(+)",Producción_Lecheria[[#This Row],[Cabezas]],IF(Producción_Lecheria[[#This Row],[Mov. Stock]]="(-)",-Producción_Lecheria[[#This Row],[Cabezas]],0))</f>
        <v>0</v>
      </c>
      <c r="AG90" s="993" t="str">
        <f>IFERROR(INDEX(Produccion_Lecheria_Cuentas[],MATCH(Producción_Lecheria[[#This Row],[Cuenta Contable]],Produccion_Lecheria_Cuentas[Cuenta Contable],0),5),0)</f>
        <v>(-)</v>
      </c>
      <c r="AH90" s="985" t="str">
        <f>IF(Producción_Lecheria[[#This Row],[Cuenta Contable]]=Configuración!$AC$9,"Si","No")</f>
        <v>No</v>
      </c>
      <c r="AI90" s="983" t="str">
        <f>IFERROR(INDEX(Tabla9[],MATCH(Producción_Lecheria[[#This Row],[Movimiento]],Tabla9[Movimientos],0),2),0)</f>
        <v>Si</v>
      </c>
      <c r="AJ90" s="984" t="str">
        <f>IFERROR(INDEX(Tabla9[],MATCH(Producción_Lecheria[[#This Row],[Movimiento]],Tabla9[Movimientos],0),3),0)</f>
        <v>(+)</v>
      </c>
      <c r="AK90" s="981">
        <f>IF(Producción_Lecheria[[#This Row],[Fecha Económico]]=0,0,MONTH(Producción_Lecheria[[#This Row],[Fecha Económico]]))</f>
        <v>11</v>
      </c>
      <c r="AL90" s="981">
        <f>IF(Producción_Lecheria[[#This Row],[Fecha Económico]]=0,0,YEAR(Producción_Lecheria[[#This Row],[Fecha Económico]]))</f>
        <v>2018</v>
      </c>
      <c r="AM90" s="985">
        <f>SUMPRODUCT((Producción_Lecheria[[#This Row],[Mes Económico]]=Tipo_Cambio[Mes])*(Producción_Lecheria[[#This Row],[Año Económico]]=Tipo_Cambio[Año])*(Tipo_Cambio[$/U$S]))</f>
        <v>22.893288219999999</v>
      </c>
      <c r="AN90" s="985">
        <f>SUMPRODUCT((Producción_Lecheria[[#This Row],[Mes Económico]]=Tipo_Cambio[Mes])*(Producción_Lecheria[[#This Row],[Año Económico]]=Tipo_Cambio[Año])*(Tipo_Cambio[Actualización]))</f>
        <v>1.08243216</v>
      </c>
      <c r="AO90" s="981">
        <f>IF(ISNUMBER(Producción_Lecheria[[#This Row],[Fecha Financiero]])=TRUE,MONTH(Producción_Lecheria[[#This Row],[Fecha Financiero]]),0)</f>
        <v>0</v>
      </c>
      <c r="AP90" s="981">
        <f>IF(ISNUMBER(Producción_Lecheria[[#This Row],[Fecha Financiero]])=TRUE,YEAR(Producción_Lecheria[[#This Row],[Fecha Financiero]]),0)</f>
        <v>0</v>
      </c>
      <c r="AQ90" s="985">
        <f>SUMPRODUCT((Producción_Lecheria[[#This Row],[Mes Financiero]]=Tipo_Cambio[Mes])*(Producción_Lecheria[[#This Row],[Año Financiero]]=Tipo_Cambio[Año])*(Tipo_Cambio[$/U$S]))</f>
        <v>0</v>
      </c>
      <c r="AR90" s="985">
        <f>SUMPRODUCT((Producción_Lecheria[[#This Row],[Mes Financiero]]=Tipo_Cambio[Mes])*(Producción_Lecheria[[#This Row],[Año Financiero]]=Tipo_Cambio[Año])*(Tipo_Cambio[Actualización]))</f>
        <v>0</v>
      </c>
      <c r="AS90" s="1009">
        <f>SUMPRODUCT((Producción_Lecheria[[#This Row],[Centro de Costo]]=Tabla1924[Centro de Costo])*(Tabla19[Superficie]))</f>
        <v>2356</v>
      </c>
      <c r="AT90" s="994">
        <f>IFERROR(Producción_Lecheria[[#This Row],[Económico $Corrientes]]/Producción_Lecheria[[#This Row],[Superficie]],0)</f>
        <v>0</v>
      </c>
      <c r="AU90" s="994">
        <f>IFERROR(Producción_Lecheria[[#This Row],[Económico $Constantes]]/Producción_Lecheria[[#This Row],[Superficie]],0)</f>
        <v>0</v>
      </c>
      <c r="AV90" s="994">
        <f>IFERROR(Producción_Lecheria[[#This Row],[Económico U$S Dólares]]/Producción_Lecheria[[#This Row],[Superficie]],0)</f>
        <v>0</v>
      </c>
      <c r="AW90" s="992" t="str">
        <f>IF(Económico!$F$4=0,0,Producción_Lecheria[Centro de Costo])</f>
        <v>Campo 1</v>
      </c>
    </row>
    <row r="91" spans="1:49" x14ac:dyDescent="0.25">
      <c r="A91" s="86"/>
      <c r="B91" s="373"/>
      <c r="C91" s="86"/>
      <c r="D91" s="548">
        <f t="shared" si="9"/>
        <v>43405</v>
      </c>
      <c r="E91" s="493"/>
      <c r="F91" s="479" t="str">
        <f t="shared" si="10"/>
        <v>2018-2019</v>
      </c>
      <c r="G91" s="490" t="s">
        <v>127</v>
      </c>
      <c r="H91" s="491" t="s">
        <v>2</v>
      </c>
      <c r="I91" s="491"/>
      <c r="J91" s="549"/>
      <c r="K91" s="484"/>
      <c r="L9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9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91" s="520"/>
      <c r="O9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91" s="563"/>
      <c r="Q91" s="491"/>
      <c r="R91" s="875">
        <f>IF(ISNUMBER(Producción_Lecheria[[#This Row],[Cabezas]])=TRUE,Producción_Lecheria[[#This Row],[Cabezas]]*Producción_Lecheria[[#This Row],[Cantidad]],Producción_Lecheria[[#This Row],[Cantidad]])</f>
        <v>0</v>
      </c>
      <c r="S91" s="491"/>
      <c r="T91" s="552"/>
      <c r="U91" s="553"/>
      <c r="V9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91" s="977">
        <f>IFERROR(Producción_Lecheria[[#This Row],[Económico $Corrientes]]/Producción_Lecheria[[#This Row],[Indexación Económico]],0)</f>
        <v>0</v>
      </c>
      <c r="X9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9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91" s="977">
        <f>IFERROR(Producción_Lecheria[[#This Row],[Financiero $Corrientes]]/Producción_Lecheria[[#This Row],[Indexación Financiero]],0)</f>
        <v>0</v>
      </c>
      <c r="AA9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9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91" s="981">
        <f>IFERROR(Producción_Lecheria[[#This Row],[Intereses $Corrientes]]/Producción_Lecheria[[#This Row],[Indexación Financiero]],0)</f>
        <v>0</v>
      </c>
      <c r="AD9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91" s="991" t="str">
        <f>IFERROR(INDEX(Produccion_Lecheria_Cuentas[],MATCH(Producción_Lecheria[[#This Row],[Cuenta Contable]],Produccion_Lecheria_Cuentas[Cuenta Contable],0),2),0)</f>
        <v>Egreso</v>
      </c>
      <c r="AF91" s="992">
        <f>IF(Producción_Lecheria[[#This Row],[Mov. Stock]]="(+)",Producción_Lecheria[[#This Row],[Cabezas]],IF(Producción_Lecheria[[#This Row],[Mov. Stock]]="(-)",-Producción_Lecheria[[#This Row],[Cabezas]],0))</f>
        <v>0</v>
      </c>
      <c r="AG91" s="993">
        <f>IFERROR(INDEX(Produccion_Lecheria_Cuentas[],MATCH(Producción_Lecheria[[#This Row],[Cuenta Contable]],Produccion_Lecheria_Cuentas[Cuenta Contable],0),5),0)</f>
        <v>0</v>
      </c>
      <c r="AH91" s="985" t="str">
        <f>IF(Producción_Lecheria[[#This Row],[Cuenta Contable]]=Configuración!$AC$9,"Si","No")</f>
        <v>No</v>
      </c>
      <c r="AI91" s="983" t="str">
        <f>IFERROR(INDEX(Tabla9[],MATCH(Producción_Lecheria[[#This Row],[Movimiento]],Tabla9[Movimientos],0),2),0)</f>
        <v>Si</v>
      </c>
      <c r="AJ91" s="984" t="str">
        <f>IFERROR(INDEX(Tabla9[],MATCH(Producción_Lecheria[[#This Row],[Movimiento]],Tabla9[Movimientos],0),3),0)</f>
        <v>(-)</v>
      </c>
      <c r="AK91" s="981">
        <f>IF(Producción_Lecheria[[#This Row],[Fecha Económico]]=0,0,MONTH(Producción_Lecheria[[#This Row],[Fecha Económico]]))</f>
        <v>11</v>
      </c>
      <c r="AL91" s="981">
        <f>IF(Producción_Lecheria[[#This Row],[Fecha Económico]]=0,0,YEAR(Producción_Lecheria[[#This Row],[Fecha Económico]]))</f>
        <v>2018</v>
      </c>
      <c r="AM91" s="985">
        <f>SUMPRODUCT((Producción_Lecheria[[#This Row],[Mes Económico]]=Tipo_Cambio[Mes])*(Producción_Lecheria[[#This Row],[Año Económico]]=Tipo_Cambio[Año])*(Tipo_Cambio[$/U$S]))</f>
        <v>22.893288219999999</v>
      </c>
      <c r="AN91" s="985">
        <f>SUMPRODUCT((Producción_Lecheria[[#This Row],[Mes Económico]]=Tipo_Cambio[Mes])*(Producción_Lecheria[[#This Row],[Año Económico]]=Tipo_Cambio[Año])*(Tipo_Cambio[Actualización]))</f>
        <v>1.08243216</v>
      </c>
      <c r="AO91" s="981">
        <f>IF(ISNUMBER(Producción_Lecheria[[#This Row],[Fecha Financiero]])=TRUE,MONTH(Producción_Lecheria[[#This Row],[Fecha Financiero]]),0)</f>
        <v>0</v>
      </c>
      <c r="AP91" s="981">
        <f>IF(ISNUMBER(Producción_Lecheria[[#This Row],[Fecha Financiero]])=TRUE,YEAR(Producción_Lecheria[[#This Row],[Fecha Financiero]]),0)</f>
        <v>0</v>
      </c>
      <c r="AQ91" s="985">
        <f>SUMPRODUCT((Producción_Lecheria[[#This Row],[Mes Financiero]]=Tipo_Cambio[Mes])*(Producción_Lecheria[[#This Row],[Año Financiero]]=Tipo_Cambio[Año])*(Tipo_Cambio[$/U$S]))</f>
        <v>0</v>
      </c>
      <c r="AR91" s="985">
        <f>SUMPRODUCT((Producción_Lecheria[[#This Row],[Mes Financiero]]=Tipo_Cambio[Mes])*(Producción_Lecheria[[#This Row],[Año Financiero]]=Tipo_Cambio[Año])*(Tipo_Cambio[Actualización]))</f>
        <v>0</v>
      </c>
      <c r="AS91" s="1009">
        <f>SUMPRODUCT((Producción_Lecheria[[#This Row],[Centro de Costo]]=Tabla1924[Centro de Costo])*(Tabla19[Superficie]))</f>
        <v>2356</v>
      </c>
      <c r="AT91" s="994">
        <f>IFERROR(Producción_Lecheria[[#This Row],[Económico $Corrientes]]/Producción_Lecheria[[#This Row],[Superficie]],0)</f>
        <v>0</v>
      </c>
      <c r="AU91" s="994">
        <f>IFERROR(Producción_Lecheria[[#This Row],[Económico $Constantes]]/Producción_Lecheria[[#This Row],[Superficie]],0)</f>
        <v>0</v>
      </c>
      <c r="AV91" s="994">
        <f>IFERROR(Producción_Lecheria[[#This Row],[Económico U$S Dólares]]/Producción_Lecheria[[#This Row],[Superficie]],0)</f>
        <v>0</v>
      </c>
      <c r="AW91" s="992" t="str">
        <f>IF(Económico!$F$4=0,0,Producción_Lecheria[Centro de Costo])</f>
        <v>Campo 1</v>
      </c>
    </row>
    <row r="92" spans="1:49" x14ac:dyDescent="0.25">
      <c r="A92" s="86"/>
      <c r="B92" s="373"/>
      <c r="C92" s="86"/>
      <c r="D92" s="548">
        <f>DATE(IF(MONTH(D88)=1,YEAR(D88+1),YEAR(D88)),MONTH(D88)+1,1)</f>
        <v>43435</v>
      </c>
      <c r="E92" s="493"/>
      <c r="F92" s="479" t="str">
        <f t="shared" si="10"/>
        <v>2018-2019</v>
      </c>
      <c r="G92" s="490" t="str">
        <f>LCH_Venta_Hacienda</f>
        <v>Venta Hacienda</v>
      </c>
      <c r="H92" s="491" t="s">
        <v>2</v>
      </c>
      <c r="I92" s="491" t="s">
        <v>485</v>
      </c>
      <c r="J92" s="549"/>
      <c r="K92" s="484"/>
      <c r="L9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9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92" s="520"/>
      <c r="O9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92" s="563"/>
      <c r="Q92" s="491"/>
      <c r="R92" s="875">
        <f>IF(ISNUMBER(Producción_Lecheria[[#This Row],[Cabezas]])=TRUE,Producción_Lecheria[[#This Row],[Cabezas]]*Producción_Lecheria[[#This Row],[Cantidad]],Producción_Lecheria[[#This Row],[Cantidad]])</f>
        <v>0</v>
      </c>
      <c r="S92" s="491"/>
      <c r="T92" s="552"/>
      <c r="U92" s="553"/>
      <c r="V9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92" s="977">
        <f>IFERROR(Producción_Lecheria[[#This Row],[Económico $Corrientes]]/Producción_Lecheria[[#This Row],[Indexación Económico]],0)</f>
        <v>0</v>
      </c>
      <c r="X9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9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92" s="977">
        <f>IFERROR(Producción_Lecheria[[#This Row],[Financiero $Corrientes]]/Producción_Lecheria[[#This Row],[Indexación Financiero]],0)</f>
        <v>0</v>
      </c>
      <c r="AA9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9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92" s="981">
        <f>IFERROR(Producción_Lecheria[[#This Row],[Intereses $Corrientes]]/Producción_Lecheria[[#This Row],[Indexación Financiero]],0)</f>
        <v>0</v>
      </c>
      <c r="AD9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92" s="991" t="str">
        <f>IFERROR(INDEX(Produccion_Lecheria_Cuentas[],MATCH(Producción_Lecheria[[#This Row],[Cuenta Contable]],Produccion_Lecheria_Cuentas[Cuenta Contable],0),2),0)</f>
        <v>Ingreso</v>
      </c>
      <c r="AF92" s="992">
        <f>IF(Producción_Lecheria[[#This Row],[Mov. Stock]]="(+)",Producción_Lecheria[[#This Row],[Cabezas]],IF(Producción_Lecheria[[#This Row],[Mov. Stock]]="(-)",-Producción_Lecheria[[#This Row],[Cabezas]],0))</f>
        <v>0</v>
      </c>
      <c r="AG92" s="993" t="str">
        <f>IFERROR(INDEX(Produccion_Lecheria_Cuentas[],MATCH(Producción_Lecheria[[#This Row],[Cuenta Contable]],Produccion_Lecheria_Cuentas[Cuenta Contable],0),5),0)</f>
        <v>(-)</v>
      </c>
      <c r="AH92" s="985" t="str">
        <f>IF(Producción_Lecheria[[#This Row],[Cuenta Contable]]=Configuración!$AC$9,"Si","No")</f>
        <v>No</v>
      </c>
      <c r="AI92" s="983" t="str">
        <f>IFERROR(INDEX(Tabla9[],MATCH(Producción_Lecheria[[#This Row],[Movimiento]],Tabla9[Movimientos],0),2),0)</f>
        <v>Si</v>
      </c>
      <c r="AJ92" s="984" t="str">
        <f>IFERROR(INDEX(Tabla9[],MATCH(Producción_Lecheria[[#This Row],[Movimiento]],Tabla9[Movimientos],0),3),0)</f>
        <v>(+)</v>
      </c>
      <c r="AK92" s="981">
        <f>IF(Producción_Lecheria[[#This Row],[Fecha Económico]]=0,0,MONTH(Producción_Lecheria[[#This Row],[Fecha Económico]]))</f>
        <v>12</v>
      </c>
      <c r="AL92" s="981">
        <f>IF(Producción_Lecheria[[#This Row],[Fecha Económico]]=0,0,YEAR(Producción_Lecheria[[#This Row],[Fecha Económico]]))</f>
        <v>2018</v>
      </c>
      <c r="AM92" s="985">
        <f>SUMPRODUCT((Producción_Lecheria[[#This Row],[Mes Económico]]=Tipo_Cambio[Mes])*(Producción_Lecheria[[#This Row],[Año Económico]]=Tipo_Cambio[Año])*(Tipo_Cambio[$/U$S]))</f>
        <v>23.122221102199997</v>
      </c>
      <c r="AN92" s="985">
        <f>SUMPRODUCT((Producción_Lecheria[[#This Row],[Mes Económico]]=Tipo_Cambio[Mes])*(Producción_Lecheria[[#This Row],[Año Económico]]=Tipo_Cambio[Año])*(Tipo_Cambio[Actualización]))</f>
        <v>1.1040808032</v>
      </c>
      <c r="AO92" s="981">
        <f>IF(ISNUMBER(Producción_Lecheria[[#This Row],[Fecha Financiero]])=TRUE,MONTH(Producción_Lecheria[[#This Row],[Fecha Financiero]]),0)</f>
        <v>0</v>
      </c>
      <c r="AP92" s="981">
        <f>IF(ISNUMBER(Producción_Lecheria[[#This Row],[Fecha Financiero]])=TRUE,YEAR(Producción_Lecheria[[#This Row],[Fecha Financiero]]),0)</f>
        <v>0</v>
      </c>
      <c r="AQ92" s="985">
        <f>SUMPRODUCT((Producción_Lecheria[[#This Row],[Mes Financiero]]=Tipo_Cambio[Mes])*(Producción_Lecheria[[#This Row],[Año Financiero]]=Tipo_Cambio[Año])*(Tipo_Cambio[$/U$S]))</f>
        <v>0</v>
      </c>
      <c r="AR92" s="985">
        <f>SUMPRODUCT((Producción_Lecheria[[#This Row],[Mes Financiero]]=Tipo_Cambio[Mes])*(Producción_Lecheria[[#This Row],[Año Financiero]]=Tipo_Cambio[Año])*(Tipo_Cambio[Actualización]))</f>
        <v>0</v>
      </c>
      <c r="AS92" s="1009">
        <f>SUMPRODUCT((Producción_Lecheria[[#This Row],[Centro de Costo]]=Tabla1924[Centro de Costo])*(Tabla19[Superficie]))</f>
        <v>2356</v>
      </c>
      <c r="AT92" s="994">
        <f>IFERROR(Producción_Lecheria[[#This Row],[Económico $Corrientes]]/Producción_Lecheria[[#This Row],[Superficie]],0)</f>
        <v>0</v>
      </c>
      <c r="AU92" s="994">
        <f>IFERROR(Producción_Lecheria[[#This Row],[Económico $Constantes]]/Producción_Lecheria[[#This Row],[Superficie]],0)</f>
        <v>0</v>
      </c>
      <c r="AV92" s="994">
        <f>IFERROR(Producción_Lecheria[[#This Row],[Económico U$S Dólares]]/Producción_Lecheria[[#This Row],[Superficie]],0)</f>
        <v>0</v>
      </c>
      <c r="AW92" s="992" t="str">
        <f>IF(Económico!$F$4=0,0,Producción_Lecheria[Centro de Costo])</f>
        <v>Campo 1</v>
      </c>
    </row>
    <row r="93" spans="1:49" x14ac:dyDescent="0.25">
      <c r="A93" s="86"/>
      <c r="B93" s="373"/>
      <c r="C93" s="86"/>
      <c r="D93" s="548">
        <f t="shared" si="9"/>
        <v>43435</v>
      </c>
      <c r="E93" s="493"/>
      <c r="F93" s="479" t="str">
        <f t="shared" si="10"/>
        <v>2018-2019</v>
      </c>
      <c r="G93" s="576" t="str">
        <f>LCH_Venta_Hacienda</f>
        <v>Venta Hacienda</v>
      </c>
      <c r="H93" s="491" t="s">
        <v>2</v>
      </c>
      <c r="I93" s="491" t="s">
        <v>131</v>
      </c>
      <c r="J93" s="549"/>
      <c r="K93" s="484"/>
      <c r="L9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9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93" s="520"/>
      <c r="O9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93" s="563"/>
      <c r="Q93" s="491"/>
      <c r="R93" s="875">
        <f>IF(ISNUMBER(Producción_Lecheria[[#This Row],[Cabezas]])=TRUE,Producción_Lecheria[[#This Row],[Cabezas]]*Producción_Lecheria[[#This Row],[Cantidad]],Producción_Lecheria[[#This Row],[Cantidad]])</f>
        <v>0</v>
      </c>
      <c r="S93" s="491"/>
      <c r="T93" s="552"/>
      <c r="U93" s="553"/>
      <c r="V9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93" s="977">
        <f>IFERROR(Producción_Lecheria[[#This Row],[Económico $Corrientes]]/Producción_Lecheria[[#This Row],[Indexación Económico]],0)</f>
        <v>0</v>
      </c>
      <c r="X9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9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93" s="977">
        <f>IFERROR(Producción_Lecheria[[#This Row],[Financiero $Corrientes]]/Producción_Lecheria[[#This Row],[Indexación Financiero]],0)</f>
        <v>0</v>
      </c>
      <c r="AA9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9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93" s="981">
        <f>IFERROR(Producción_Lecheria[[#This Row],[Intereses $Corrientes]]/Producción_Lecheria[[#This Row],[Indexación Financiero]],0)</f>
        <v>0</v>
      </c>
      <c r="AD9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93" s="991" t="str">
        <f>IFERROR(INDEX(Produccion_Lecheria_Cuentas[],MATCH(Producción_Lecheria[[#This Row],[Cuenta Contable]],Produccion_Lecheria_Cuentas[Cuenta Contable],0),2),0)</f>
        <v>Ingreso</v>
      </c>
      <c r="AF93" s="992">
        <f>IF(Producción_Lecheria[[#This Row],[Mov. Stock]]="(+)",Producción_Lecheria[[#This Row],[Cabezas]],IF(Producción_Lecheria[[#This Row],[Mov. Stock]]="(-)",-Producción_Lecheria[[#This Row],[Cabezas]],0))</f>
        <v>0</v>
      </c>
      <c r="AG93" s="993" t="str">
        <f>IFERROR(INDEX(Produccion_Lecheria_Cuentas[],MATCH(Producción_Lecheria[[#This Row],[Cuenta Contable]],Produccion_Lecheria_Cuentas[Cuenta Contable],0),5),0)</f>
        <v>(-)</v>
      </c>
      <c r="AH93" s="985" t="str">
        <f>IF(Producción_Lecheria[[#This Row],[Cuenta Contable]]=Configuración!$AC$9,"Si","No")</f>
        <v>No</v>
      </c>
      <c r="AI93" s="983" t="str">
        <f>IFERROR(INDEX(Tabla9[],MATCH(Producción_Lecheria[[#This Row],[Movimiento]],Tabla9[Movimientos],0),2),0)</f>
        <v>Si</v>
      </c>
      <c r="AJ93" s="984" t="str">
        <f>IFERROR(INDEX(Tabla9[],MATCH(Producción_Lecheria[[#This Row],[Movimiento]],Tabla9[Movimientos],0),3),0)</f>
        <v>(+)</v>
      </c>
      <c r="AK93" s="981">
        <f>IF(Producción_Lecheria[[#This Row],[Fecha Económico]]=0,0,MONTH(Producción_Lecheria[[#This Row],[Fecha Económico]]))</f>
        <v>12</v>
      </c>
      <c r="AL93" s="981">
        <f>IF(Producción_Lecheria[[#This Row],[Fecha Económico]]=0,0,YEAR(Producción_Lecheria[[#This Row],[Fecha Económico]]))</f>
        <v>2018</v>
      </c>
      <c r="AM93" s="985">
        <f>SUMPRODUCT((Producción_Lecheria[[#This Row],[Mes Económico]]=Tipo_Cambio[Mes])*(Producción_Lecheria[[#This Row],[Año Económico]]=Tipo_Cambio[Año])*(Tipo_Cambio[$/U$S]))</f>
        <v>23.122221102199997</v>
      </c>
      <c r="AN93" s="985">
        <f>SUMPRODUCT((Producción_Lecheria[[#This Row],[Mes Económico]]=Tipo_Cambio[Mes])*(Producción_Lecheria[[#This Row],[Año Económico]]=Tipo_Cambio[Año])*(Tipo_Cambio[Actualización]))</f>
        <v>1.1040808032</v>
      </c>
      <c r="AO93" s="981">
        <f>IF(ISNUMBER(Producción_Lecheria[[#This Row],[Fecha Financiero]])=TRUE,MONTH(Producción_Lecheria[[#This Row],[Fecha Financiero]]),0)</f>
        <v>0</v>
      </c>
      <c r="AP93" s="981">
        <f>IF(ISNUMBER(Producción_Lecheria[[#This Row],[Fecha Financiero]])=TRUE,YEAR(Producción_Lecheria[[#This Row],[Fecha Financiero]]),0)</f>
        <v>0</v>
      </c>
      <c r="AQ93" s="985">
        <f>SUMPRODUCT((Producción_Lecheria[[#This Row],[Mes Financiero]]=Tipo_Cambio[Mes])*(Producción_Lecheria[[#This Row],[Año Financiero]]=Tipo_Cambio[Año])*(Tipo_Cambio[$/U$S]))</f>
        <v>0</v>
      </c>
      <c r="AR93" s="985">
        <f>SUMPRODUCT((Producción_Lecheria[[#This Row],[Mes Financiero]]=Tipo_Cambio[Mes])*(Producción_Lecheria[[#This Row],[Año Financiero]]=Tipo_Cambio[Año])*(Tipo_Cambio[Actualización]))</f>
        <v>0</v>
      </c>
      <c r="AS93" s="1009">
        <f>SUMPRODUCT((Producción_Lecheria[[#This Row],[Centro de Costo]]=Tabla1924[Centro de Costo])*(Tabla19[Superficie]))</f>
        <v>2356</v>
      </c>
      <c r="AT93" s="994">
        <f>IFERROR(Producción_Lecheria[[#This Row],[Económico $Corrientes]]/Producción_Lecheria[[#This Row],[Superficie]],0)</f>
        <v>0</v>
      </c>
      <c r="AU93" s="994">
        <f>IFERROR(Producción_Lecheria[[#This Row],[Económico $Constantes]]/Producción_Lecheria[[#This Row],[Superficie]],0)</f>
        <v>0</v>
      </c>
      <c r="AV93" s="994">
        <f>IFERROR(Producción_Lecheria[[#This Row],[Económico U$S Dólares]]/Producción_Lecheria[[#This Row],[Superficie]],0)</f>
        <v>0</v>
      </c>
      <c r="AW93" s="992" t="str">
        <f>IF(Económico!$F$4=0,0,Producción_Lecheria[Centro de Costo])</f>
        <v>Campo 1</v>
      </c>
    </row>
    <row r="94" spans="1:49" x14ac:dyDescent="0.25">
      <c r="A94" s="86"/>
      <c r="B94" s="373"/>
      <c r="C94" s="86"/>
      <c r="D94" s="548">
        <f t="shared" si="9"/>
        <v>43435</v>
      </c>
      <c r="E94" s="493"/>
      <c r="F94" s="479" t="str">
        <f t="shared" si="10"/>
        <v>2018-2019</v>
      </c>
      <c r="G94" s="576" t="str">
        <f>LCH_Venta_Hacienda</f>
        <v>Venta Hacienda</v>
      </c>
      <c r="H94" s="491" t="s">
        <v>2</v>
      </c>
      <c r="I94" s="491" t="s">
        <v>129</v>
      </c>
      <c r="J94" s="549"/>
      <c r="K94" s="484"/>
      <c r="L9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9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94" s="520"/>
      <c r="O9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94" s="563"/>
      <c r="Q94" s="491"/>
      <c r="R94" s="875">
        <f>IF(ISNUMBER(Producción_Lecheria[[#This Row],[Cabezas]])=TRUE,Producción_Lecheria[[#This Row],[Cabezas]]*Producción_Lecheria[[#This Row],[Cantidad]],Producción_Lecheria[[#This Row],[Cantidad]])</f>
        <v>0</v>
      </c>
      <c r="S94" s="491"/>
      <c r="T94" s="552"/>
      <c r="U94" s="553"/>
      <c r="V9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94" s="977">
        <f>IFERROR(Producción_Lecheria[[#This Row],[Económico $Corrientes]]/Producción_Lecheria[[#This Row],[Indexación Económico]],0)</f>
        <v>0</v>
      </c>
      <c r="X9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9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94" s="977">
        <f>IFERROR(Producción_Lecheria[[#This Row],[Financiero $Corrientes]]/Producción_Lecheria[[#This Row],[Indexación Financiero]],0)</f>
        <v>0</v>
      </c>
      <c r="AA9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9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94" s="981">
        <f>IFERROR(Producción_Lecheria[[#This Row],[Intereses $Corrientes]]/Producción_Lecheria[[#This Row],[Indexación Financiero]],0)</f>
        <v>0</v>
      </c>
      <c r="AD9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94" s="991" t="str">
        <f>IFERROR(INDEX(Produccion_Lecheria_Cuentas[],MATCH(Producción_Lecheria[[#This Row],[Cuenta Contable]],Produccion_Lecheria_Cuentas[Cuenta Contable],0),2),0)</f>
        <v>Ingreso</v>
      </c>
      <c r="AF94" s="992">
        <f>IF(Producción_Lecheria[[#This Row],[Mov. Stock]]="(+)",Producción_Lecheria[[#This Row],[Cabezas]],IF(Producción_Lecheria[[#This Row],[Mov. Stock]]="(-)",-Producción_Lecheria[[#This Row],[Cabezas]],0))</f>
        <v>0</v>
      </c>
      <c r="AG94" s="993" t="str">
        <f>IFERROR(INDEX(Produccion_Lecheria_Cuentas[],MATCH(Producción_Lecheria[[#This Row],[Cuenta Contable]],Produccion_Lecheria_Cuentas[Cuenta Contable],0),5),0)</f>
        <v>(-)</v>
      </c>
      <c r="AH94" s="985" t="str">
        <f>IF(Producción_Lecheria[[#This Row],[Cuenta Contable]]=Configuración!$AC$9,"Si","No")</f>
        <v>No</v>
      </c>
      <c r="AI94" s="983" t="str">
        <f>IFERROR(INDEX(Tabla9[],MATCH(Producción_Lecheria[[#This Row],[Movimiento]],Tabla9[Movimientos],0),2),0)</f>
        <v>Si</v>
      </c>
      <c r="AJ94" s="984" t="str">
        <f>IFERROR(INDEX(Tabla9[],MATCH(Producción_Lecheria[[#This Row],[Movimiento]],Tabla9[Movimientos],0),3),0)</f>
        <v>(+)</v>
      </c>
      <c r="AK94" s="981">
        <f>IF(Producción_Lecheria[[#This Row],[Fecha Económico]]=0,0,MONTH(Producción_Lecheria[[#This Row],[Fecha Económico]]))</f>
        <v>12</v>
      </c>
      <c r="AL94" s="981">
        <f>IF(Producción_Lecheria[[#This Row],[Fecha Económico]]=0,0,YEAR(Producción_Lecheria[[#This Row],[Fecha Económico]]))</f>
        <v>2018</v>
      </c>
      <c r="AM94" s="985">
        <f>SUMPRODUCT((Producción_Lecheria[[#This Row],[Mes Económico]]=Tipo_Cambio[Mes])*(Producción_Lecheria[[#This Row],[Año Económico]]=Tipo_Cambio[Año])*(Tipo_Cambio[$/U$S]))</f>
        <v>23.122221102199997</v>
      </c>
      <c r="AN94" s="985">
        <f>SUMPRODUCT((Producción_Lecheria[[#This Row],[Mes Económico]]=Tipo_Cambio[Mes])*(Producción_Lecheria[[#This Row],[Año Económico]]=Tipo_Cambio[Año])*(Tipo_Cambio[Actualización]))</f>
        <v>1.1040808032</v>
      </c>
      <c r="AO94" s="981">
        <f>IF(ISNUMBER(Producción_Lecheria[[#This Row],[Fecha Financiero]])=TRUE,MONTH(Producción_Lecheria[[#This Row],[Fecha Financiero]]),0)</f>
        <v>0</v>
      </c>
      <c r="AP94" s="981">
        <f>IF(ISNUMBER(Producción_Lecheria[[#This Row],[Fecha Financiero]])=TRUE,YEAR(Producción_Lecheria[[#This Row],[Fecha Financiero]]),0)</f>
        <v>0</v>
      </c>
      <c r="AQ94" s="985">
        <f>SUMPRODUCT((Producción_Lecheria[[#This Row],[Mes Financiero]]=Tipo_Cambio[Mes])*(Producción_Lecheria[[#This Row],[Año Financiero]]=Tipo_Cambio[Año])*(Tipo_Cambio[$/U$S]))</f>
        <v>0</v>
      </c>
      <c r="AR94" s="985">
        <f>SUMPRODUCT((Producción_Lecheria[[#This Row],[Mes Financiero]]=Tipo_Cambio[Mes])*(Producción_Lecheria[[#This Row],[Año Financiero]]=Tipo_Cambio[Año])*(Tipo_Cambio[Actualización]))</f>
        <v>0</v>
      </c>
      <c r="AS94" s="1009">
        <f>SUMPRODUCT((Producción_Lecheria[[#This Row],[Centro de Costo]]=Tabla1924[Centro de Costo])*(Tabla19[Superficie]))</f>
        <v>2356</v>
      </c>
      <c r="AT94" s="994">
        <f>IFERROR(Producción_Lecheria[[#This Row],[Económico $Corrientes]]/Producción_Lecheria[[#This Row],[Superficie]],0)</f>
        <v>0</v>
      </c>
      <c r="AU94" s="994">
        <f>IFERROR(Producción_Lecheria[[#This Row],[Económico $Constantes]]/Producción_Lecheria[[#This Row],[Superficie]],0)</f>
        <v>0</v>
      </c>
      <c r="AV94" s="994">
        <f>IFERROR(Producción_Lecheria[[#This Row],[Económico U$S Dólares]]/Producción_Lecheria[[#This Row],[Superficie]],0)</f>
        <v>0</v>
      </c>
      <c r="AW94" s="992" t="str">
        <f>IF(Económico!$F$4=0,0,Producción_Lecheria[Centro de Costo])</f>
        <v>Campo 1</v>
      </c>
    </row>
    <row r="95" spans="1:49" x14ac:dyDescent="0.25">
      <c r="A95" s="86"/>
      <c r="B95" s="373"/>
      <c r="C95" s="86"/>
      <c r="D95" s="548">
        <f t="shared" si="9"/>
        <v>43435</v>
      </c>
      <c r="E95" s="493"/>
      <c r="F95" s="479" t="str">
        <f t="shared" si="10"/>
        <v>2018-2019</v>
      </c>
      <c r="G95" s="490" t="s">
        <v>127</v>
      </c>
      <c r="H95" s="491" t="s">
        <v>2</v>
      </c>
      <c r="I95" s="491"/>
      <c r="J95" s="549"/>
      <c r="K95" s="484"/>
      <c r="L9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9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95" s="520"/>
      <c r="O9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95" s="563"/>
      <c r="Q95" s="491"/>
      <c r="R95" s="875">
        <f>IF(ISNUMBER(Producción_Lecheria[[#This Row],[Cabezas]])=TRUE,Producción_Lecheria[[#This Row],[Cabezas]]*Producción_Lecheria[[#This Row],[Cantidad]],Producción_Lecheria[[#This Row],[Cantidad]])</f>
        <v>0</v>
      </c>
      <c r="S95" s="491"/>
      <c r="T95" s="552"/>
      <c r="U95" s="553"/>
      <c r="V9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95" s="977">
        <f>IFERROR(Producción_Lecheria[[#This Row],[Económico $Corrientes]]/Producción_Lecheria[[#This Row],[Indexación Económico]],0)</f>
        <v>0</v>
      </c>
      <c r="X9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9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95" s="977">
        <f>IFERROR(Producción_Lecheria[[#This Row],[Financiero $Corrientes]]/Producción_Lecheria[[#This Row],[Indexación Financiero]],0)</f>
        <v>0</v>
      </c>
      <c r="AA9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9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95" s="981">
        <f>IFERROR(Producción_Lecheria[[#This Row],[Intereses $Corrientes]]/Producción_Lecheria[[#This Row],[Indexación Financiero]],0)</f>
        <v>0</v>
      </c>
      <c r="AD9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95" s="991" t="str">
        <f>IFERROR(INDEX(Produccion_Lecheria_Cuentas[],MATCH(Producción_Lecheria[[#This Row],[Cuenta Contable]],Produccion_Lecheria_Cuentas[Cuenta Contable],0),2),0)</f>
        <v>Egreso</v>
      </c>
      <c r="AF95" s="992">
        <f>IF(Producción_Lecheria[[#This Row],[Mov. Stock]]="(+)",Producción_Lecheria[[#This Row],[Cabezas]],IF(Producción_Lecheria[[#This Row],[Mov. Stock]]="(-)",-Producción_Lecheria[[#This Row],[Cabezas]],0))</f>
        <v>0</v>
      </c>
      <c r="AG95" s="993">
        <f>IFERROR(INDEX(Produccion_Lecheria_Cuentas[],MATCH(Producción_Lecheria[[#This Row],[Cuenta Contable]],Produccion_Lecheria_Cuentas[Cuenta Contable],0),5),0)</f>
        <v>0</v>
      </c>
      <c r="AH95" s="985" t="str">
        <f>IF(Producción_Lecheria[[#This Row],[Cuenta Contable]]=Configuración!$AC$9,"Si","No")</f>
        <v>No</v>
      </c>
      <c r="AI95" s="983" t="str">
        <f>IFERROR(INDEX(Tabla9[],MATCH(Producción_Lecheria[[#This Row],[Movimiento]],Tabla9[Movimientos],0),2),0)</f>
        <v>Si</v>
      </c>
      <c r="AJ95" s="984" t="str">
        <f>IFERROR(INDEX(Tabla9[],MATCH(Producción_Lecheria[[#This Row],[Movimiento]],Tabla9[Movimientos],0),3),0)</f>
        <v>(-)</v>
      </c>
      <c r="AK95" s="981">
        <f>IF(Producción_Lecheria[[#This Row],[Fecha Económico]]=0,0,MONTH(Producción_Lecheria[[#This Row],[Fecha Económico]]))</f>
        <v>12</v>
      </c>
      <c r="AL95" s="981">
        <f>IF(Producción_Lecheria[[#This Row],[Fecha Económico]]=0,0,YEAR(Producción_Lecheria[[#This Row],[Fecha Económico]]))</f>
        <v>2018</v>
      </c>
      <c r="AM95" s="985">
        <f>SUMPRODUCT((Producción_Lecheria[[#This Row],[Mes Económico]]=Tipo_Cambio[Mes])*(Producción_Lecheria[[#This Row],[Año Económico]]=Tipo_Cambio[Año])*(Tipo_Cambio[$/U$S]))</f>
        <v>23.122221102199997</v>
      </c>
      <c r="AN95" s="985">
        <f>SUMPRODUCT((Producción_Lecheria[[#This Row],[Mes Económico]]=Tipo_Cambio[Mes])*(Producción_Lecheria[[#This Row],[Año Económico]]=Tipo_Cambio[Año])*(Tipo_Cambio[Actualización]))</f>
        <v>1.1040808032</v>
      </c>
      <c r="AO95" s="981">
        <f>IF(ISNUMBER(Producción_Lecheria[[#This Row],[Fecha Financiero]])=TRUE,MONTH(Producción_Lecheria[[#This Row],[Fecha Financiero]]),0)</f>
        <v>0</v>
      </c>
      <c r="AP95" s="981">
        <f>IF(ISNUMBER(Producción_Lecheria[[#This Row],[Fecha Financiero]])=TRUE,YEAR(Producción_Lecheria[[#This Row],[Fecha Financiero]]),0)</f>
        <v>0</v>
      </c>
      <c r="AQ95" s="985">
        <f>SUMPRODUCT((Producción_Lecheria[[#This Row],[Mes Financiero]]=Tipo_Cambio[Mes])*(Producción_Lecheria[[#This Row],[Año Financiero]]=Tipo_Cambio[Año])*(Tipo_Cambio[$/U$S]))</f>
        <v>0</v>
      </c>
      <c r="AR95" s="985">
        <f>SUMPRODUCT((Producción_Lecheria[[#This Row],[Mes Financiero]]=Tipo_Cambio[Mes])*(Producción_Lecheria[[#This Row],[Año Financiero]]=Tipo_Cambio[Año])*(Tipo_Cambio[Actualización]))</f>
        <v>0</v>
      </c>
      <c r="AS95" s="1009">
        <f>SUMPRODUCT((Producción_Lecheria[[#This Row],[Centro de Costo]]=Tabla1924[Centro de Costo])*(Tabla19[Superficie]))</f>
        <v>2356</v>
      </c>
      <c r="AT95" s="994">
        <f>IFERROR(Producción_Lecheria[[#This Row],[Económico $Corrientes]]/Producción_Lecheria[[#This Row],[Superficie]],0)</f>
        <v>0</v>
      </c>
      <c r="AU95" s="994">
        <f>IFERROR(Producción_Lecheria[[#This Row],[Económico $Constantes]]/Producción_Lecheria[[#This Row],[Superficie]],0)</f>
        <v>0</v>
      </c>
      <c r="AV95" s="994">
        <f>IFERROR(Producción_Lecheria[[#This Row],[Económico U$S Dólares]]/Producción_Lecheria[[#This Row],[Superficie]],0)</f>
        <v>0</v>
      </c>
      <c r="AW95" s="992" t="str">
        <f>IF(Económico!$F$4=0,0,Producción_Lecheria[Centro de Costo])</f>
        <v>Campo 1</v>
      </c>
    </row>
    <row r="96" spans="1:49" x14ac:dyDescent="0.25">
      <c r="A96" s="86"/>
      <c r="B96" s="373"/>
      <c r="C96" s="86"/>
      <c r="D96" s="548">
        <f>DATE(IF(MONTH(D92)=1,YEAR(D92+1),YEAR(D92)),MONTH(D92)+1,1)</f>
        <v>43466</v>
      </c>
      <c r="E96" s="493"/>
      <c r="F96" s="479" t="str">
        <f t="shared" si="10"/>
        <v>2018-2019</v>
      </c>
      <c r="G96" s="490" t="str">
        <f>LCH_Venta_Hacienda</f>
        <v>Venta Hacienda</v>
      </c>
      <c r="H96" s="491" t="s">
        <v>2</v>
      </c>
      <c r="I96" s="491" t="s">
        <v>485</v>
      </c>
      <c r="J96" s="549"/>
      <c r="K96" s="484"/>
      <c r="L9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9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96" s="520"/>
      <c r="O9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96" s="563"/>
      <c r="Q96" s="491"/>
      <c r="R96" s="875">
        <f>IF(ISNUMBER(Producción_Lecheria[[#This Row],[Cabezas]])=TRUE,Producción_Lecheria[[#This Row],[Cabezas]]*Producción_Lecheria[[#This Row],[Cantidad]],Producción_Lecheria[[#This Row],[Cantidad]])</f>
        <v>0</v>
      </c>
      <c r="S96" s="491"/>
      <c r="T96" s="552"/>
      <c r="U96" s="553"/>
      <c r="V9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96" s="977">
        <f>IFERROR(Producción_Lecheria[[#This Row],[Económico $Corrientes]]/Producción_Lecheria[[#This Row],[Indexación Económico]],0)</f>
        <v>0</v>
      </c>
      <c r="X9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9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96" s="977">
        <f>IFERROR(Producción_Lecheria[[#This Row],[Financiero $Corrientes]]/Producción_Lecheria[[#This Row],[Indexación Financiero]],0)</f>
        <v>0</v>
      </c>
      <c r="AA9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9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96" s="981">
        <f>IFERROR(Producción_Lecheria[[#This Row],[Intereses $Corrientes]]/Producción_Lecheria[[#This Row],[Indexación Financiero]],0)</f>
        <v>0</v>
      </c>
      <c r="AD9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96" s="991" t="str">
        <f>IFERROR(INDEX(Produccion_Lecheria_Cuentas[],MATCH(Producción_Lecheria[[#This Row],[Cuenta Contable]],Produccion_Lecheria_Cuentas[Cuenta Contable],0),2),0)</f>
        <v>Ingreso</v>
      </c>
      <c r="AF96" s="992">
        <f>IF(Producción_Lecheria[[#This Row],[Mov. Stock]]="(+)",Producción_Lecheria[[#This Row],[Cabezas]],IF(Producción_Lecheria[[#This Row],[Mov. Stock]]="(-)",-Producción_Lecheria[[#This Row],[Cabezas]],0))</f>
        <v>0</v>
      </c>
      <c r="AG96" s="993" t="str">
        <f>IFERROR(INDEX(Produccion_Lecheria_Cuentas[],MATCH(Producción_Lecheria[[#This Row],[Cuenta Contable]],Produccion_Lecheria_Cuentas[Cuenta Contable],0),5),0)</f>
        <v>(-)</v>
      </c>
      <c r="AH96" s="985" t="str">
        <f>IF(Producción_Lecheria[[#This Row],[Cuenta Contable]]=Configuración!$AC$9,"Si","No")</f>
        <v>No</v>
      </c>
      <c r="AI96" s="983" t="str">
        <f>IFERROR(INDEX(Tabla9[],MATCH(Producción_Lecheria[[#This Row],[Movimiento]],Tabla9[Movimientos],0),2),0)</f>
        <v>Si</v>
      </c>
      <c r="AJ96" s="984" t="str">
        <f>IFERROR(INDEX(Tabla9[],MATCH(Producción_Lecheria[[#This Row],[Movimiento]],Tabla9[Movimientos],0),3),0)</f>
        <v>(+)</v>
      </c>
      <c r="AK96" s="981">
        <f>IF(Producción_Lecheria[[#This Row],[Fecha Económico]]=0,0,MONTH(Producción_Lecheria[[#This Row],[Fecha Económico]]))</f>
        <v>1</v>
      </c>
      <c r="AL96" s="981">
        <f>IF(Producción_Lecheria[[#This Row],[Fecha Económico]]=0,0,YEAR(Producción_Lecheria[[#This Row],[Fecha Económico]]))</f>
        <v>2019</v>
      </c>
      <c r="AM96" s="985">
        <f>SUMPRODUCT((Producción_Lecheria[[#This Row],[Mes Económico]]=Tipo_Cambio[Mes])*(Producción_Lecheria[[#This Row],[Año Económico]]=Tipo_Cambio[Año])*(Tipo_Cambio[$/U$S]))</f>
        <v>23.353443313221998</v>
      </c>
      <c r="AN96" s="985">
        <f>SUMPRODUCT((Producción_Lecheria[[#This Row],[Mes Económico]]=Tipo_Cambio[Mes])*(Producción_Lecheria[[#This Row],[Año Económico]]=Tipo_Cambio[Año])*(Tipo_Cambio[Actualización]))</f>
        <v>1.1261624192640001</v>
      </c>
      <c r="AO96" s="981">
        <f>IF(ISNUMBER(Producción_Lecheria[[#This Row],[Fecha Financiero]])=TRUE,MONTH(Producción_Lecheria[[#This Row],[Fecha Financiero]]),0)</f>
        <v>0</v>
      </c>
      <c r="AP96" s="981">
        <f>IF(ISNUMBER(Producción_Lecheria[[#This Row],[Fecha Financiero]])=TRUE,YEAR(Producción_Lecheria[[#This Row],[Fecha Financiero]]),0)</f>
        <v>0</v>
      </c>
      <c r="AQ96" s="985">
        <f>SUMPRODUCT((Producción_Lecheria[[#This Row],[Mes Financiero]]=Tipo_Cambio[Mes])*(Producción_Lecheria[[#This Row],[Año Financiero]]=Tipo_Cambio[Año])*(Tipo_Cambio[$/U$S]))</f>
        <v>0</v>
      </c>
      <c r="AR96" s="985">
        <f>SUMPRODUCT((Producción_Lecheria[[#This Row],[Mes Financiero]]=Tipo_Cambio[Mes])*(Producción_Lecheria[[#This Row],[Año Financiero]]=Tipo_Cambio[Año])*(Tipo_Cambio[Actualización]))</f>
        <v>0</v>
      </c>
      <c r="AS96" s="1009">
        <f>SUMPRODUCT((Producción_Lecheria[[#This Row],[Centro de Costo]]=Tabla1924[Centro de Costo])*(Tabla19[Superficie]))</f>
        <v>2356</v>
      </c>
      <c r="AT96" s="994">
        <f>IFERROR(Producción_Lecheria[[#This Row],[Económico $Corrientes]]/Producción_Lecheria[[#This Row],[Superficie]],0)</f>
        <v>0</v>
      </c>
      <c r="AU96" s="994">
        <f>IFERROR(Producción_Lecheria[[#This Row],[Económico $Constantes]]/Producción_Lecheria[[#This Row],[Superficie]],0)</f>
        <v>0</v>
      </c>
      <c r="AV96" s="994">
        <f>IFERROR(Producción_Lecheria[[#This Row],[Económico U$S Dólares]]/Producción_Lecheria[[#This Row],[Superficie]],0)</f>
        <v>0</v>
      </c>
      <c r="AW96" s="992" t="str">
        <f>IF(Económico!$F$4=0,0,Producción_Lecheria[Centro de Costo])</f>
        <v>Campo 1</v>
      </c>
    </row>
    <row r="97" spans="1:49" x14ac:dyDescent="0.25">
      <c r="A97" s="86"/>
      <c r="B97" s="373"/>
      <c r="C97" s="86"/>
      <c r="D97" s="548">
        <f t="shared" si="9"/>
        <v>43466</v>
      </c>
      <c r="E97" s="493"/>
      <c r="F97" s="479" t="str">
        <f t="shared" si="10"/>
        <v>2018-2019</v>
      </c>
      <c r="G97" s="576" t="str">
        <f>LCH_Venta_Hacienda</f>
        <v>Venta Hacienda</v>
      </c>
      <c r="H97" s="491" t="s">
        <v>2</v>
      </c>
      <c r="I97" s="491" t="s">
        <v>131</v>
      </c>
      <c r="J97" s="549"/>
      <c r="K97" s="484"/>
      <c r="L9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9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97" s="520"/>
      <c r="O9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97" s="563"/>
      <c r="Q97" s="491"/>
      <c r="R97" s="875">
        <f>IF(ISNUMBER(Producción_Lecheria[[#This Row],[Cabezas]])=TRUE,Producción_Lecheria[[#This Row],[Cabezas]]*Producción_Lecheria[[#This Row],[Cantidad]],Producción_Lecheria[[#This Row],[Cantidad]])</f>
        <v>0</v>
      </c>
      <c r="S97" s="491"/>
      <c r="T97" s="552"/>
      <c r="U97" s="553"/>
      <c r="V9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97" s="977">
        <f>IFERROR(Producción_Lecheria[[#This Row],[Económico $Corrientes]]/Producción_Lecheria[[#This Row],[Indexación Económico]],0)</f>
        <v>0</v>
      </c>
      <c r="X9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9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97" s="977">
        <f>IFERROR(Producción_Lecheria[[#This Row],[Financiero $Corrientes]]/Producción_Lecheria[[#This Row],[Indexación Financiero]],0)</f>
        <v>0</v>
      </c>
      <c r="AA9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9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97" s="981">
        <f>IFERROR(Producción_Lecheria[[#This Row],[Intereses $Corrientes]]/Producción_Lecheria[[#This Row],[Indexación Financiero]],0)</f>
        <v>0</v>
      </c>
      <c r="AD9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97" s="991" t="str">
        <f>IFERROR(INDEX(Produccion_Lecheria_Cuentas[],MATCH(Producción_Lecheria[[#This Row],[Cuenta Contable]],Produccion_Lecheria_Cuentas[Cuenta Contable],0),2),0)</f>
        <v>Ingreso</v>
      </c>
      <c r="AF97" s="992">
        <f>IF(Producción_Lecheria[[#This Row],[Mov. Stock]]="(+)",Producción_Lecheria[[#This Row],[Cabezas]],IF(Producción_Lecheria[[#This Row],[Mov. Stock]]="(-)",-Producción_Lecheria[[#This Row],[Cabezas]],0))</f>
        <v>0</v>
      </c>
      <c r="AG97" s="993" t="str">
        <f>IFERROR(INDEX(Produccion_Lecheria_Cuentas[],MATCH(Producción_Lecheria[[#This Row],[Cuenta Contable]],Produccion_Lecheria_Cuentas[Cuenta Contable],0),5),0)</f>
        <v>(-)</v>
      </c>
      <c r="AH97" s="985" t="str">
        <f>IF(Producción_Lecheria[[#This Row],[Cuenta Contable]]=Configuración!$AC$9,"Si","No")</f>
        <v>No</v>
      </c>
      <c r="AI97" s="983" t="str">
        <f>IFERROR(INDEX(Tabla9[],MATCH(Producción_Lecheria[[#This Row],[Movimiento]],Tabla9[Movimientos],0),2),0)</f>
        <v>Si</v>
      </c>
      <c r="AJ97" s="984" t="str">
        <f>IFERROR(INDEX(Tabla9[],MATCH(Producción_Lecheria[[#This Row],[Movimiento]],Tabla9[Movimientos],0),3),0)</f>
        <v>(+)</v>
      </c>
      <c r="AK97" s="981">
        <f>IF(Producción_Lecheria[[#This Row],[Fecha Económico]]=0,0,MONTH(Producción_Lecheria[[#This Row],[Fecha Económico]]))</f>
        <v>1</v>
      </c>
      <c r="AL97" s="981">
        <f>IF(Producción_Lecheria[[#This Row],[Fecha Económico]]=0,0,YEAR(Producción_Lecheria[[#This Row],[Fecha Económico]]))</f>
        <v>2019</v>
      </c>
      <c r="AM97" s="985">
        <f>SUMPRODUCT((Producción_Lecheria[[#This Row],[Mes Económico]]=Tipo_Cambio[Mes])*(Producción_Lecheria[[#This Row],[Año Económico]]=Tipo_Cambio[Año])*(Tipo_Cambio[$/U$S]))</f>
        <v>23.353443313221998</v>
      </c>
      <c r="AN97" s="985">
        <f>SUMPRODUCT((Producción_Lecheria[[#This Row],[Mes Económico]]=Tipo_Cambio[Mes])*(Producción_Lecheria[[#This Row],[Año Económico]]=Tipo_Cambio[Año])*(Tipo_Cambio[Actualización]))</f>
        <v>1.1261624192640001</v>
      </c>
      <c r="AO97" s="981">
        <f>IF(ISNUMBER(Producción_Lecheria[[#This Row],[Fecha Financiero]])=TRUE,MONTH(Producción_Lecheria[[#This Row],[Fecha Financiero]]),0)</f>
        <v>0</v>
      </c>
      <c r="AP97" s="981">
        <f>IF(ISNUMBER(Producción_Lecheria[[#This Row],[Fecha Financiero]])=TRUE,YEAR(Producción_Lecheria[[#This Row],[Fecha Financiero]]),0)</f>
        <v>0</v>
      </c>
      <c r="AQ97" s="985">
        <f>SUMPRODUCT((Producción_Lecheria[[#This Row],[Mes Financiero]]=Tipo_Cambio[Mes])*(Producción_Lecheria[[#This Row],[Año Financiero]]=Tipo_Cambio[Año])*(Tipo_Cambio[$/U$S]))</f>
        <v>0</v>
      </c>
      <c r="AR97" s="985">
        <f>SUMPRODUCT((Producción_Lecheria[[#This Row],[Mes Financiero]]=Tipo_Cambio[Mes])*(Producción_Lecheria[[#This Row],[Año Financiero]]=Tipo_Cambio[Año])*(Tipo_Cambio[Actualización]))</f>
        <v>0</v>
      </c>
      <c r="AS97" s="1009">
        <f>SUMPRODUCT((Producción_Lecheria[[#This Row],[Centro de Costo]]=Tabla1924[Centro de Costo])*(Tabla19[Superficie]))</f>
        <v>2356</v>
      </c>
      <c r="AT97" s="994">
        <f>IFERROR(Producción_Lecheria[[#This Row],[Económico $Corrientes]]/Producción_Lecheria[[#This Row],[Superficie]],0)</f>
        <v>0</v>
      </c>
      <c r="AU97" s="994">
        <f>IFERROR(Producción_Lecheria[[#This Row],[Económico $Constantes]]/Producción_Lecheria[[#This Row],[Superficie]],0)</f>
        <v>0</v>
      </c>
      <c r="AV97" s="994">
        <f>IFERROR(Producción_Lecheria[[#This Row],[Económico U$S Dólares]]/Producción_Lecheria[[#This Row],[Superficie]],0)</f>
        <v>0</v>
      </c>
      <c r="AW97" s="992" t="str">
        <f>IF(Económico!$F$4=0,0,Producción_Lecheria[Centro de Costo])</f>
        <v>Campo 1</v>
      </c>
    </row>
    <row r="98" spans="1:49" x14ac:dyDescent="0.25">
      <c r="A98" s="86"/>
      <c r="B98" s="373"/>
      <c r="C98" s="86"/>
      <c r="D98" s="548">
        <f t="shared" si="9"/>
        <v>43466</v>
      </c>
      <c r="E98" s="522"/>
      <c r="F98" s="479" t="str">
        <f t="shared" si="8"/>
        <v>2018-2019</v>
      </c>
      <c r="G98" s="576" t="str">
        <f>LCH_Venta_Hacienda</f>
        <v>Venta Hacienda</v>
      </c>
      <c r="H98" s="491" t="s">
        <v>2</v>
      </c>
      <c r="I98" s="491" t="s">
        <v>129</v>
      </c>
      <c r="J98" s="549"/>
      <c r="K98" s="484"/>
      <c r="L9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9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98" s="520"/>
      <c r="O9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98" s="563"/>
      <c r="Q98" s="491"/>
      <c r="R98" s="875">
        <f>IF(ISNUMBER(Producción_Lecheria[[#This Row],[Cabezas]])=TRUE,Producción_Lecheria[[#This Row],[Cabezas]]*Producción_Lecheria[[#This Row],[Cantidad]],Producción_Lecheria[[#This Row],[Cantidad]])</f>
        <v>0</v>
      </c>
      <c r="S98" s="491"/>
      <c r="T98" s="552"/>
      <c r="U98" s="553"/>
      <c r="V9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98" s="977">
        <f>IFERROR(Producción_Lecheria[[#This Row],[Económico $Corrientes]]/Producción_Lecheria[[#This Row],[Indexación Económico]],0)</f>
        <v>0</v>
      </c>
      <c r="X9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9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98" s="977">
        <f>IFERROR(Producción_Lecheria[[#This Row],[Financiero $Corrientes]]/Producción_Lecheria[[#This Row],[Indexación Financiero]],0)</f>
        <v>0</v>
      </c>
      <c r="AA9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9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98" s="981">
        <f>IFERROR(Producción_Lecheria[[#This Row],[Intereses $Corrientes]]/Producción_Lecheria[[#This Row],[Indexación Financiero]],0)</f>
        <v>0</v>
      </c>
      <c r="AD9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98" s="991" t="str">
        <f>IFERROR(INDEX(Produccion_Lecheria_Cuentas[],MATCH(Producción_Lecheria[[#This Row],[Cuenta Contable]],Produccion_Lecheria_Cuentas[Cuenta Contable],0),2),0)</f>
        <v>Ingreso</v>
      </c>
      <c r="AF98" s="992">
        <f>IF(Producción_Lecheria[[#This Row],[Mov. Stock]]="(+)",Producción_Lecheria[[#This Row],[Cabezas]],IF(Producción_Lecheria[[#This Row],[Mov. Stock]]="(-)",-Producción_Lecheria[[#This Row],[Cabezas]],0))</f>
        <v>0</v>
      </c>
      <c r="AG98" s="993" t="str">
        <f>IFERROR(INDEX(Produccion_Lecheria_Cuentas[],MATCH(Producción_Lecheria[[#This Row],[Cuenta Contable]],Produccion_Lecheria_Cuentas[Cuenta Contable],0),5),0)</f>
        <v>(-)</v>
      </c>
      <c r="AH98" s="985" t="str">
        <f>IF(Producción_Lecheria[[#This Row],[Cuenta Contable]]=Configuración!$AC$9,"Si","No")</f>
        <v>No</v>
      </c>
      <c r="AI98" s="983" t="str">
        <f>IFERROR(INDEX(Tabla9[],MATCH(Producción_Lecheria[[#This Row],[Movimiento]],Tabla9[Movimientos],0),2),0)</f>
        <v>Si</v>
      </c>
      <c r="AJ98" s="984" t="str">
        <f>IFERROR(INDEX(Tabla9[],MATCH(Producción_Lecheria[[#This Row],[Movimiento]],Tabla9[Movimientos],0),3),0)</f>
        <v>(+)</v>
      </c>
      <c r="AK98" s="981">
        <f>IF(Producción_Lecheria[[#This Row],[Fecha Económico]]=0,0,MONTH(Producción_Lecheria[[#This Row],[Fecha Económico]]))</f>
        <v>1</v>
      </c>
      <c r="AL98" s="981">
        <f>IF(Producción_Lecheria[[#This Row],[Fecha Económico]]=0,0,YEAR(Producción_Lecheria[[#This Row],[Fecha Económico]]))</f>
        <v>2019</v>
      </c>
      <c r="AM98" s="985">
        <f>SUMPRODUCT((Producción_Lecheria[[#This Row],[Mes Económico]]=Tipo_Cambio[Mes])*(Producción_Lecheria[[#This Row],[Año Económico]]=Tipo_Cambio[Año])*(Tipo_Cambio[$/U$S]))</f>
        <v>23.353443313221998</v>
      </c>
      <c r="AN98" s="985">
        <f>SUMPRODUCT((Producción_Lecheria[[#This Row],[Mes Económico]]=Tipo_Cambio[Mes])*(Producción_Lecheria[[#This Row],[Año Económico]]=Tipo_Cambio[Año])*(Tipo_Cambio[Actualización]))</f>
        <v>1.1261624192640001</v>
      </c>
      <c r="AO98" s="981">
        <f>IF(ISNUMBER(Producción_Lecheria[[#This Row],[Fecha Financiero]])=TRUE,MONTH(Producción_Lecheria[[#This Row],[Fecha Financiero]]),0)</f>
        <v>0</v>
      </c>
      <c r="AP98" s="981">
        <f>IF(ISNUMBER(Producción_Lecheria[[#This Row],[Fecha Financiero]])=TRUE,YEAR(Producción_Lecheria[[#This Row],[Fecha Financiero]]),0)</f>
        <v>0</v>
      </c>
      <c r="AQ98" s="985">
        <f>SUMPRODUCT((Producción_Lecheria[[#This Row],[Mes Financiero]]=Tipo_Cambio[Mes])*(Producción_Lecheria[[#This Row],[Año Financiero]]=Tipo_Cambio[Año])*(Tipo_Cambio[$/U$S]))</f>
        <v>0</v>
      </c>
      <c r="AR98" s="985">
        <f>SUMPRODUCT((Producción_Lecheria[[#This Row],[Mes Financiero]]=Tipo_Cambio[Mes])*(Producción_Lecheria[[#This Row],[Año Financiero]]=Tipo_Cambio[Año])*(Tipo_Cambio[Actualización]))</f>
        <v>0</v>
      </c>
      <c r="AS98" s="1009">
        <f>SUMPRODUCT((Producción_Lecheria[[#This Row],[Centro de Costo]]=Tabla1924[Centro de Costo])*(Tabla19[Superficie]))</f>
        <v>2356</v>
      </c>
      <c r="AT98" s="994">
        <f>IFERROR(Producción_Lecheria[[#This Row],[Económico $Corrientes]]/Producción_Lecheria[[#This Row],[Superficie]],0)</f>
        <v>0</v>
      </c>
      <c r="AU98" s="994">
        <f>IFERROR(Producción_Lecheria[[#This Row],[Económico $Constantes]]/Producción_Lecheria[[#This Row],[Superficie]],0)</f>
        <v>0</v>
      </c>
      <c r="AV98" s="994">
        <f>IFERROR(Producción_Lecheria[[#This Row],[Económico U$S Dólares]]/Producción_Lecheria[[#This Row],[Superficie]],0)</f>
        <v>0</v>
      </c>
      <c r="AW98" s="992" t="str">
        <f>IF(Económico!$F$4=0,0,Producción_Lecheria[Centro de Costo])</f>
        <v>Campo 1</v>
      </c>
    </row>
    <row r="99" spans="1:49" x14ac:dyDescent="0.25">
      <c r="A99" s="86"/>
      <c r="B99" s="373"/>
      <c r="C99" s="86"/>
      <c r="D99" s="548">
        <f t="shared" si="9"/>
        <v>43466</v>
      </c>
      <c r="E99" s="522"/>
      <c r="F99" s="479" t="str">
        <f t="shared" si="8"/>
        <v>2018-2019</v>
      </c>
      <c r="G99" s="490" t="s">
        <v>127</v>
      </c>
      <c r="H99" s="491" t="s">
        <v>2</v>
      </c>
      <c r="I99" s="491"/>
      <c r="J99" s="549"/>
      <c r="K99" s="484"/>
      <c r="L9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9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99" s="520"/>
      <c r="O9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99" s="563"/>
      <c r="Q99" s="491"/>
      <c r="R99" s="875">
        <f>IF(ISNUMBER(Producción_Lecheria[[#This Row],[Cabezas]])=TRUE,Producción_Lecheria[[#This Row],[Cabezas]]*Producción_Lecheria[[#This Row],[Cantidad]],Producción_Lecheria[[#This Row],[Cantidad]])</f>
        <v>0</v>
      </c>
      <c r="S99" s="491"/>
      <c r="T99" s="552"/>
      <c r="U99" s="553"/>
      <c r="V9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99" s="977">
        <f>IFERROR(Producción_Lecheria[[#This Row],[Económico $Corrientes]]/Producción_Lecheria[[#This Row],[Indexación Económico]],0)</f>
        <v>0</v>
      </c>
      <c r="X9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9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99" s="977">
        <f>IFERROR(Producción_Lecheria[[#This Row],[Financiero $Corrientes]]/Producción_Lecheria[[#This Row],[Indexación Financiero]],0)</f>
        <v>0</v>
      </c>
      <c r="AA9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9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99" s="981">
        <f>IFERROR(Producción_Lecheria[[#This Row],[Intereses $Corrientes]]/Producción_Lecheria[[#This Row],[Indexación Financiero]],0)</f>
        <v>0</v>
      </c>
      <c r="AD9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99" s="991" t="str">
        <f>IFERROR(INDEX(Produccion_Lecheria_Cuentas[],MATCH(Producción_Lecheria[[#This Row],[Cuenta Contable]],Produccion_Lecheria_Cuentas[Cuenta Contable],0),2),0)</f>
        <v>Egreso</v>
      </c>
      <c r="AF99" s="992">
        <f>IF(Producción_Lecheria[[#This Row],[Mov. Stock]]="(+)",Producción_Lecheria[[#This Row],[Cabezas]],IF(Producción_Lecheria[[#This Row],[Mov. Stock]]="(-)",-Producción_Lecheria[[#This Row],[Cabezas]],0))</f>
        <v>0</v>
      </c>
      <c r="AG99" s="993">
        <f>IFERROR(INDEX(Produccion_Lecheria_Cuentas[],MATCH(Producción_Lecheria[[#This Row],[Cuenta Contable]],Produccion_Lecheria_Cuentas[Cuenta Contable],0),5),0)</f>
        <v>0</v>
      </c>
      <c r="AH99" s="985" t="str">
        <f>IF(Producción_Lecheria[[#This Row],[Cuenta Contable]]=Configuración!$AC$9,"Si","No")</f>
        <v>No</v>
      </c>
      <c r="AI99" s="983" t="str">
        <f>IFERROR(INDEX(Tabla9[],MATCH(Producción_Lecheria[[#This Row],[Movimiento]],Tabla9[Movimientos],0),2),0)</f>
        <v>Si</v>
      </c>
      <c r="AJ99" s="984" t="str">
        <f>IFERROR(INDEX(Tabla9[],MATCH(Producción_Lecheria[[#This Row],[Movimiento]],Tabla9[Movimientos],0),3),0)</f>
        <v>(-)</v>
      </c>
      <c r="AK99" s="981">
        <f>IF(Producción_Lecheria[[#This Row],[Fecha Económico]]=0,0,MONTH(Producción_Lecheria[[#This Row],[Fecha Económico]]))</f>
        <v>1</v>
      </c>
      <c r="AL99" s="981">
        <f>IF(Producción_Lecheria[[#This Row],[Fecha Económico]]=0,0,YEAR(Producción_Lecheria[[#This Row],[Fecha Económico]]))</f>
        <v>2019</v>
      </c>
      <c r="AM99" s="985">
        <f>SUMPRODUCT((Producción_Lecheria[[#This Row],[Mes Económico]]=Tipo_Cambio[Mes])*(Producción_Lecheria[[#This Row],[Año Económico]]=Tipo_Cambio[Año])*(Tipo_Cambio[$/U$S]))</f>
        <v>23.353443313221998</v>
      </c>
      <c r="AN99" s="985">
        <f>SUMPRODUCT((Producción_Lecheria[[#This Row],[Mes Económico]]=Tipo_Cambio[Mes])*(Producción_Lecheria[[#This Row],[Año Económico]]=Tipo_Cambio[Año])*(Tipo_Cambio[Actualización]))</f>
        <v>1.1261624192640001</v>
      </c>
      <c r="AO99" s="981">
        <f>IF(ISNUMBER(Producción_Lecheria[[#This Row],[Fecha Financiero]])=TRUE,MONTH(Producción_Lecheria[[#This Row],[Fecha Financiero]]),0)</f>
        <v>0</v>
      </c>
      <c r="AP99" s="981">
        <f>IF(ISNUMBER(Producción_Lecheria[[#This Row],[Fecha Financiero]])=TRUE,YEAR(Producción_Lecheria[[#This Row],[Fecha Financiero]]),0)</f>
        <v>0</v>
      </c>
      <c r="AQ99" s="985">
        <f>SUMPRODUCT((Producción_Lecheria[[#This Row],[Mes Financiero]]=Tipo_Cambio[Mes])*(Producción_Lecheria[[#This Row],[Año Financiero]]=Tipo_Cambio[Año])*(Tipo_Cambio[$/U$S]))</f>
        <v>0</v>
      </c>
      <c r="AR99" s="985">
        <f>SUMPRODUCT((Producción_Lecheria[[#This Row],[Mes Financiero]]=Tipo_Cambio[Mes])*(Producción_Lecheria[[#This Row],[Año Financiero]]=Tipo_Cambio[Año])*(Tipo_Cambio[Actualización]))</f>
        <v>0</v>
      </c>
      <c r="AS99" s="1009">
        <f>SUMPRODUCT((Producción_Lecheria[[#This Row],[Centro de Costo]]=Tabla1924[Centro de Costo])*(Tabla19[Superficie]))</f>
        <v>2356</v>
      </c>
      <c r="AT99" s="994">
        <f>IFERROR(Producción_Lecheria[[#This Row],[Económico $Corrientes]]/Producción_Lecheria[[#This Row],[Superficie]],0)</f>
        <v>0</v>
      </c>
      <c r="AU99" s="994">
        <f>IFERROR(Producción_Lecheria[[#This Row],[Económico $Constantes]]/Producción_Lecheria[[#This Row],[Superficie]],0)</f>
        <v>0</v>
      </c>
      <c r="AV99" s="994">
        <f>IFERROR(Producción_Lecheria[[#This Row],[Económico U$S Dólares]]/Producción_Lecheria[[#This Row],[Superficie]],0)</f>
        <v>0</v>
      </c>
      <c r="AW99" s="992" t="str">
        <f>IF(Económico!$F$4=0,0,Producción_Lecheria[Centro de Costo])</f>
        <v>Campo 1</v>
      </c>
    </row>
    <row r="100" spans="1:49" x14ac:dyDescent="0.25">
      <c r="A100" s="86"/>
      <c r="B100" s="373"/>
      <c r="C100" s="86"/>
      <c r="D100" s="548">
        <f>DATE(IF(MONTH(D96)=1,YEAR(D96+1),YEAR(D96)),MONTH(D96)+1,1)</f>
        <v>43497</v>
      </c>
      <c r="E100" s="522"/>
      <c r="F100" s="479" t="str">
        <f t="shared" si="8"/>
        <v>2018-2019</v>
      </c>
      <c r="G100" s="490" t="str">
        <f>LCH_Venta_Hacienda</f>
        <v>Venta Hacienda</v>
      </c>
      <c r="H100" s="491" t="s">
        <v>2</v>
      </c>
      <c r="I100" s="491" t="s">
        <v>485</v>
      </c>
      <c r="J100" s="549"/>
      <c r="K100" s="484"/>
      <c r="L10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0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00" s="520"/>
      <c r="O10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00" s="563"/>
      <c r="Q100" s="491"/>
      <c r="R100" s="875">
        <f>IF(ISNUMBER(Producción_Lecheria[[#This Row],[Cabezas]])=TRUE,Producción_Lecheria[[#This Row],[Cabezas]]*Producción_Lecheria[[#This Row],[Cantidad]],Producción_Lecheria[[#This Row],[Cantidad]])</f>
        <v>0</v>
      </c>
      <c r="S100" s="491"/>
      <c r="T100" s="552"/>
      <c r="U100" s="553"/>
      <c r="V10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00" s="977">
        <f>IFERROR(Producción_Lecheria[[#This Row],[Económico $Corrientes]]/Producción_Lecheria[[#This Row],[Indexación Económico]],0)</f>
        <v>0</v>
      </c>
      <c r="X10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0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00" s="977">
        <f>IFERROR(Producción_Lecheria[[#This Row],[Financiero $Corrientes]]/Producción_Lecheria[[#This Row],[Indexación Financiero]],0)</f>
        <v>0</v>
      </c>
      <c r="AA10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0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00" s="981">
        <f>IFERROR(Producción_Lecheria[[#This Row],[Intereses $Corrientes]]/Producción_Lecheria[[#This Row],[Indexación Financiero]],0)</f>
        <v>0</v>
      </c>
      <c r="AD10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00" s="991" t="str">
        <f>IFERROR(INDEX(Produccion_Lecheria_Cuentas[],MATCH(Producción_Lecheria[[#This Row],[Cuenta Contable]],Produccion_Lecheria_Cuentas[Cuenta Contable],0),2),0)</f>
        <v>Ingreso</v>
      </c>
      <c r="AF100" s="992">
        <f>IF(Producción_Lecheria[[#This Row],[Mov. Stock]]="(+)",Producción_Lecheria[[#This Row],[Cabezas]],IF(Producción_Lecheria[[#This Row],[Mov. Stock]]="(-)",-Producción_Lecheria[[#This Row],[Cabezas]],0))</f>
        <v>0</v>
      </c>
      <c r="AG100" s="993" t="str">
        <f>IFERROR(INDEX(Produccion_Lecheria_Cuentas[],MATCH(Producción_Lecheria[[#This Row],[Cuenta Contable]],Produccion_Lecheria_Cuentas[Cuenta Contable],0),5),0)</f>
        <v>(-)</v>
      </c>
      <c r="AH100" s="985" t="str">
        <f>IF(Producción_Lecheria[[#This Row],[Cuenta Contable]]=Configuración!$AC$9,"Si","No")</f>
        <v>No</v>
      </c>
      <c r="AI100" s="983" t="str">
        <f>IFERROR(INDEX(Tabla9[],MATCH(Producción_Lecheria[[#This Row],[Movimiento]],Tabla9[Movimientos],0),2),0)</f>
        <v>Si</v>
      </c>
      <c r="AJ100" s="984" t="str">
        <f>IFERROR(INDEX(Tabla9[],MATCH(Producción_Lecheria[[#This Row],[Movimiento]],Tabla9[Movimientos],0),3),0)</f>
        <v>(+)</v>
      </c>
      <c r="AK100" s="981">
        <f>IF(Producción_Lecheria[[#This Row],[Fecha Económico]]=0,0,MONTH(Producción_Lecheria[[#This Row],[Fecha Económico]]))</f>
        <v>2</v>
      </c>
      <c r="AL100" s="981">
        <f>IF(Producción_Lecheria[[#This Row],[Fecha Económico]]=0,0,YEAR(Producción_Lecheria[[#This Row],[Fecha Económico]]))</f>
        <v>2019</v>
      </c>
      <c r="AM100" s="985">
        <f>SUMPRODUCT((Producción_Lecheria[[#This Row],[Mes Económico]]=Tipo_Cambio[Mes])*(Producción_Lecheria[[#This Row],[Año Económico]]=Tipo_Cambio[Año])*(Tipo_Cambio[$/U$S]))</f>
        <v>23.586977746354219</v>
      </c>
      <c r="AN100" s="985">
        <f>SUMPRODUCT((Producción_Lecheria[[#This Row],[Mes Económico]]=Tipo_Cambio[Mes])*(Producción_Lecheria[[#This Row],[Año Económico]]=Tipo_Cambio[Año])*(Tipo_Cambio[Actualización]))</f>
        <v>1.14868566764928</v>
      </c>
      <c r="AO100" s="981">
        <f>IF(ISNUMBER(Producción_Lecheria[[#This Row],[Fecha Financiero]])=TRUE,MONTH(Producción_Lecheria[[#This Row],[Fecha Financiero]]),0)</f>
        <v>0</v>
      </c>
      <c r="AP100" s="981">
        <f>IF(ISNUMBER(Producción_Lecheria[[#This Row],[Fecha Financiero]])=TRUE,YEAR(Producción_Lecheria[[#This Row],[Fecha Financiero]]),0)</f>
        <v>0</v>
      </c>
      <c r="AQ100" s="985">
        <f>SUMPRODUCT((Producción_Lecheria[[#This Row],[Mes Financiero]]=Tipo_Cambio[Mes])*(Producción_Lecheria[[#This Row],[Año Financiero]]=Tipo_Cambio[Año])*(Tipo_Cambio[$/U$S]))</f>
        <v>0</v>
      </c>
      <c r="AR100" s="985">
        <f>SUMPRODUCT((Producción_Lecheria[[#This Row],[Mes Financiero]]=Tipo_Cambio[Mes])*(Producción_Lecheria[[#This Row],[Año Financiero]]=Tipo_Cambio[Año])*(Tipo_Cambio[Actualización]))</f>
        <v>0</v>
      </c>
      <c r="AS100" s="1009">
        <f>SUMPRODUCT((Producción_Lecheria[[#This Row],[Centro de Costo]]=Tabla1924[Centro de Costo])*(Tabla19[Superficie]))</f>
        <v>2356</v>
      </c>
      <c r="AT100" s="994">
        <f>IFERROR(Producción_Lecheria[[#This Row],[Económico $Corrientes]]/Producción_Lecheria[[#This Row],[Superficie]],0)</f>
        <v>0</v>
      </c>
      <c r="AU100" s="994">
        <f>IFERROR(Producción_Lecheria[[#This Row],[Económico $Constantes]]/Producción_Lecheria[[#This Row],[Superficie]],0)</f>
        <v>0</v>
      </c>
      <c r="AV100" s="994">
        <f>IFERROR(Producción_Lecheria[[#This Row],[Económico U$S Dólares]]/Producción_Lecheria[[#This Row],[Superficie]],0)</f>
        <v>0</v>
      </c>
      <c r="AW100" s="992" t="str">
        <f>IF(Económico!$F$4=0,0,Producción_Lecheria[Centro de Costo])</f>
        <v>Campo 1</v>
      </c>
    </row>
    <row r="101" spans="1:49" x14ac:dyDescent="0.25">
      <c r="A101" s="86"/>
      <c r="B101" s="373"/>
      <c r="C101" s="86"/>
      <c r="D101" s="548">
        <f t="shared" si="9"/>
        <v>43497</v>
      </c>
      <c r="E101" s="522"/>
      <c r="F101" s="479" t="str">
        <f t="shared" si="8"/>
        <v>2018-2019</v>
      </c>
      <c r="G101" s="576" t="str">
        <f>LCH_Venta_Hacienda</f>
        <v>Venta Hacienda</v>
      </c>
      <c r="H101" s="491" t="s">
        <v>2</v>
      </c>
      <c r="I101" s="491" t="s">
        <v>131</v>
      </c>
      <c r="J101" s="549"/>
      <c r="K101" s="484"/>
      <c r="L10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0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01" s="520"/>
      <c r="O10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01" s="563"/>
      <c r="Q101" s="491"/>
      <c r="R101" s="875">
        <f>IF(ISNUMBER(Producción_Lecheria[[#This Row],[Cabezas]])=TRUE,Producción_Lecheria[[#This Row],[Cabezas]]*Producción_Lecheria[[#This Row],[Cantidad]],Producción_Lecheria[[#This Row],[Cantidad]])</f>
        <v>0</v>
      </c>
      <c r="S101" s="491"/>
      <c r="T101" s="552"/>
      <c r="U101" s="553"/>
      <c r="V10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01" s="977">
        <f>IFERROR(Producción_Lecheria[[#This Row],[Económico $Corrientes]]/Producción_Lecheria[[#This Row],[Indexación Económico]],0)</f>
        <v>0</v>
      </c>
      <c r="X10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0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01" s="977">
        <f>IFERROR(Producción_Lecheria[[#This Row],[Financiero $Corrientes]]/Producción_Lecheria[[#This Row],[Indexación Financiero]],0)</f>
        <v>0</v>
      </c>
      <c r="AA10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0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01" s="981">
        <f>IFERROR(Producción_Lecheria[[#This Row],[Intereses $Corrientes]]/Producción_Lecheria[[#This Row],[Indexación Financiero]],0)</f>
        <v>0</v>
      </c>
      <c r="AD10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01" s="991" t="str">
        <f>IFERROR(INDEX(Produccion_Lecheria_Cuentas[],MATCH(Producción_Lecheria[[#This Row],[Cuenta Contable]],Produccion_Lecheria_Cuentas[Cuenta Contable],0),2),0)</f>
        <v>Ingreso</v>
      </c>
      <c r="AF101" s="992">
        <f>IF(Producción_Lecheria[[#This Row],[Mov. Stock]]="(+)",Producción_Lecheria[[#This Row],[Cabezas]],IF(Producción_Lecheria[[#This Row],[Mov. Stock]]="(-)",-Producción_Lecheria[[#This Row],[Cabezas]],0))</f>
        <v>0</v>
      </c>
      <c r="AG101" s="993" t="str">
        <f>IFERROR(INDEX(Produccion_Lecheria_Cuentas[],MATCH(Producción_Lecheria[[#This Row],[Cuenta Contable]],Produccion_Lecheria_Cuentas[Cuenta Contable],0),5),0)</f>
        <v>(-)</v>
      </c>
      <c r="AH101" s="985" t="str">
        <f>IF(Producción_Lecheria[[#This Row],[Cuenta Contable]]=Configuración!$AC$9,"Si","No")</f>
        <v>No</v>
      </c>
      <c r="AI101" s="983" t="str">
        <f>IFERROR(INDEX(Tabla9[],MATCH(Producción_Lecheria[[#This Row],[Movimiento]],Tabla9[Movimientos],0),2),0)</f>
        <v>Si</v>
      </c>
      <c r="AJ101" s="984" t="str">
        <f>IFERROR(INDEX(Tabla9[],MATCH(Producción_Lecheria[[#This Row],[Movimiento]],Tabla9[Movimientos],0),3),0)</f>
        <v>(+)</v>
      </c>
      <c r="AK101" s="981">
        <f>IF(Producción_Lecheria[[#This Row],[Fecha Económico]]=0,0,MONTH(Producción_Lecheria[[#This Row],[Fecha Económico]]))</f>
        <v>2</v>
      </c>
      <c r="AL101" s="981">
        <f>IF(Producción_Lecheria[[#This Row],[Fecha Económico]]=0,0,YEAR(Producción_Lecheria[[#This Row],[Fecha Económico]]))</f>
        <v>2019</v>
      </c>
      <c r="AM101" s="985">
        <f>SUMPRODUCT((Producción_Lecheria[[#This Row],[Mes Económico]]=Tipo_Cambio[Mes])*(Producción_Lecheria[[#This Row],[Año Económico]]=Tipo_Cambio[Año])*(Tipo_Cambio[$/U$S]))</f>
        <v>23.586977746354219</v>
      </c>
      <c r="AN101" s="985">
        <f>SUMPRODUCT((Producción_Lecheria[[#This Row],[Mes Económico]]=Tipo_Cambio[Mes])*(Producción_Lecheria[[#This Row],[Año Económico]]=Tipo_Cambio[Año])*(Tipo_Cambio[Actualización]))</f>
        <v>1.14868566764928</v>
      </c>
      <c r="AO101" s="981">
        <f>IF(ISNUMBER(Producción_Lecheria[[#This Row],[Fecha Financiero]])=TRUE,MONTH(Producción_Lecheria[[#This Row],[Fecha Financiero]]),0)</f>
        <v>0</v>
      </c>
      <c r="AP101" s="981">
        <f>IF(ISNUMBER(Producción_Lecheria[[#This Row],[Fecha Financiero]])=TRUE,YEAR(Producción_Lecheria[[#This Row],[Fecha Financiero]]),0)</f>
        <v>0</v>
      </c>
      <c r="AQ101" s="985">
        <f>SUMPRODUCT((Producción_Lecheria[[#This Row],[Mes Financiero]]=Tipo_Cambio[Mes])*(Producción_Lecheria[[#This Row],[Año Financiero]]=Tipo_Cambio[Año])*(Tipo_Cambio[$/U$S]))</f>
        <v>0</v>
      </c>
      <c r="AR101" s="985">
        <f>SUMPRODUCT((Producción_Lecheria[[#This Row],[Mes Financiero]]=Tipo_Cambio[Mes])*(Producción_Lecheria[[#This Row],[Año Financiero]]=Tipo_Cambio[Año])*(Tipo_Cambio[Actualización]))</f>
        <v>0</v>
      </c>
      <c r="AS101" s="1009">
        <f>SUMPRODUCT((Producción_Lecheria[[#This Row],[Centro de Costo]]=Tabla1924[Centro de Costo])*(Tabla19[Superficie]))</f>
        <v>2356</v>
      </c>
      <c r="AT101" s="994">
        <f>IFERROR(Producción_Lecheria[[#This Row],[Económico $Corrientes]]/Producción_Lecheria[[#This Row],[Superficie]],0)</f>
        <v>0</v>
      </c>
      <c r="AU101" s="994">
        <f>IFERROR(Producción_Lecheria[[#This Row],[Económico $Constantes]]/Producción_Lecheria[[#This Row],[Superficie]],0)</f>
        <v>0</v>
      </c>
      <c r="AV101" s="994">
        <f>IFERROR(Producción_Lecheria[[#This Row],[Económico U$S Dólares]]/Producción_Lecheria[[#This Row],[Superficie]],0)</f>
        <v>0</v>
      </c>
      <c r="AW101" s="992" t="str">
        <f>IF(Económico!$F$4=0,0,Producción_Lecheria[Centro de Costo])</f>
        <v>Campo 1</v>
      </c>
    </row>
    <row r="102" spans="1:49" x14ac:dyDescent="0.25">
      <c r="A102" s="86"/>
      <c r="B102" s="373"/>
      <c r="C102" s="86"/>
      <c r="D102" s="548">
        <f t="shared" si="9"/>
        <v>43497</v>
      </c>
      <c r="E102" s="522"/>
      <c r="F102" s="479" t="str">
        <f t="shared" si="8"/>
        <v>2018-2019</v>
      </c>
      <c r="G102" s="576" t="str">
        <f>LCH_Venta_Hacienda</f>
        <v>Venta Hacienda</v>
      </c>
      <c r="H102" s="491" t="s">
        <v>2</v>
      </c>
      <c r="I102" s="491" t="s">
        <v>129</v>
      </c>
      <c r="J102" s="549"/>
      <c r="K102" s="484"/>
      <c r="L10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0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02" s="520"/>
      <c r="O10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02" s="563"/>
      <c r="Q102" s="491"/>
      <c r="R102" s="875">
        <f>IF(ISNUMBER(Producción_Lecheria[[#This Row],[Cabezas]])=TRUE,Producción_Lecheria[[#This Row],[Cabezas]]*Producción_Lecheria[[#This Row],[Cantidad]],Producción_Lecheria[[#This Row],[Cantidad]])</f>
        <v>0</v>
      </c>
      <c r="S102" s="491"/>
      <c r="T102" s="552"/>
      <c r="U102" s="553"/>
      <c r="V10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02" s="977">
        <f>IFERROR(Producción_Lecheria[[#This Row],[Económico $Corrientes]]/Producción_Lecheria[[#This Row],[Indexación Económico]],0)</f>
        <v>0</v>
      </c>
      <c r="X10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0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02" s="977">
        <f>IFERROR(Producción_Lecheria[[#This Row],[Financiero $Corrientes]]/Producción_Lecheria[[#This Row],[Indexación Financiero]],0)</f>
        <v>0</v>
      </c>
      <c r="AA10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0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02" s="981">
        <f>IFERROR(Producción_Lecheria[[#This Row],[Intereses $Corrientes]]/Producción_Lecheria[[#This Row],[Indexación Financiero]],0)</f>
        <v>0</v>
      </c>
      <c r="AD10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02" s="991" t="str">
        <f>IFERROR(INDEX(Produccion_Lecheria_Cuentas[],MATCH(Producción_Lecheria[[#This Row],[Cuenta Contable]],Produccion_Lecheria_Cuentas[Cuenta Contable],0),2),0)</f>
        <v>Ingreso</v>
      </c>
      <c r="AF102" s="992">
        <f>IF(Producción_Lecheria[[#This Row],[Mov. Stock]]="(+)",Producción_Lecheria[[#This Row],[Cabezas]],IF(Producción_Lecheria[[#This Row],[Mov. Stock]]="(-)",-Producción_Lecheria[[#This Row],[Cabezas]],0))</f>
        <v>0</v>
      </c>
      <c r="AG102" s="993" t="str">
        <f>IFERROR(INDEX(Produccion_Lecheria_Cuentas[],MATCH(Producción_Lecheria[[#This Row],[Cuenta Contable]],Produccion_Lecheria_Cuentas[Cuenta Contable],0),5),0)</f>
        <v>(-)</v>
      </c>
      <c r="AH102" s="985" t="str">
        <f>IF(Producción_Lecheria[[#This Row],[Cuenta Contable]]=Configuración!$AC$9,"Si","No")</f>
        <v>No</v>
      </c>
      <c r="AI102" s="983" t="str">
        <f>IFERROR(INDEX(Tabla9[],MATCH(Producción_Lecheria[[#This Row],[Movimiento]],Tabla9[Movimientos],0),2),0)</f>
        <v>Si</v>
      </c>
      <c r="AJ102" s="984" t="str">
        <f>IFERROR(INDEX(Tabla9[],MATCH(Producción_Lecheria[[#This Row],[Movimiento]],Tabla9[Movimientos],0),3),0)</f>
        <v>(+)</v>
      </c>
      <c r="AK102" s="981">
        <f>IF(Producción_Lecheria[[#This Row],[Fecha Económico]]=0,0,MONTH(Producción_Lecheria[[#This Row],[Fecha Económico]]))</f>
        <v>2</v>
      </c>
      <c r="AL102" s="981">
        <f>IF(Producción_Lecheria[[#This Row],[Fecha Económico]]=0,0,YEAR(Producción_Lecheria[[#This Row],[Fecha Económico]]))</f>
        <v>2019</v>
      </c>
      <c r="AM102" s="985">
        <f>SUMPRODUCT((Producción_Lecheria[[#This Row],[Mes Económico]]=Tipo_Cambio[Mes])*(Producción_Lecheria[[#This Row],[Año Económico]]=Tipo_Cambio[Año])*(Tipo_Cambio[$/U$S]))</f>
        <v>23.586977746354219</v>
      </c>
      <c r="AN102" s="985">
        <f>SUMPRODUCT((Producción_Lecheria[[#This Row],[Mes Económico]]=Tipo_Cambio[Mes])*(Producción_Lecheria[[#This Row],[Año Económico]]=Tipo_Cambio[Año])*(Tipo_Cambio[Actualización]))</f>
        <v>1.14868566764928</v>
      </c>
      <c r="AO102" s="981">
        <f>IF(ISNUMBER(Producción_Lecheria[[#This Row],[Fecha Financiero]])=TRUE,MONTH(Producción_Lecheria[[#This Row],[Fecha Financiero]]),0)</f>
        <v>0</v>
      </c>
      <c r="AP102" s="981">
        <f>IF(ISNUMBER(Producción_Lecheria[[#This Row],[Fecha Financiero]])=TRUE,YEAR(Producción_Lecheria[[#This Row],[Fecha Financiero]]),0)</f>
        <v>0</v>
      </c>
      <c r="AQ102" s="985">
        <f>SUMPRODUCT((Producción_Lecheria[[#This Row],[Mes Financiero]]=Tipo_Cambio[Mes])*(Producción_Lecheria[[#This Row],[Año Financiero]]=Tipo_Cambio[Año])*(Tipo_Cambio[$/U$S]))</f>
        <v>0</v>
      </c>
      <c r="AR102" s="985">
        <f>SUMPRODUCT((Producción_Lecheria[[#This Row],[Mes Financiero]]=Tipo_Cambio[Mes])*(Producción_Lecheria[[#This Row],[Año Financiero]]=Tipo_Cambio[Año])*(Tipo_Cambio[Actualización]))</f>
        <v>0</v>
      </c>
      <c r="AS102" s="1009">
        <f>SUMPRODUCT((Producción_Lecheria[[#This Row],[Centro de Costo]]=Tabla1924[Centro de Costo])*(Tabla19[Superficie]))</f>
        <v>2356</v>
      </c>
      <c r="AT102" s="994">
        <f>IFERROR(Producción_Lecheria[[#This Row],[Económico $Corrientes]]/Producción_Lecheria[[#This Row],[Superficie]],0)</f>
        <v>0</v>
      </c>
      <c r="AU102" s="994">
        <f>IFERROR(Producción_Lecheria[[#This Row],[Económico $Constantes]]/Producción_Lecheria[[#This Row],[Superficie]],0)</f>
        <v>0</v>
      </c>
      <c r="AV102" s="994">
        <f>IFERROR(Producción_Lecheria[[#This Row],[Económico U$S Dólares]]/Producción_Lecheria[[#This Row],[Superficie]],0)</f>
        <v>0</v>
      </c>
      <c r="AW102" s="992" t="str">
        <f>IF(Económico!$F$4=0,0,Producción_Lecheria[Centro de Costo])</f>
        <v>Campo 1</v>
      </c>
    </row>
    <row r="103" spans="1:49" x14ac:dyDescent="0.25">
      <c r="A103" s="86"/>
      <c r="B103" s="373"/>
      <c r="C103" s="86"/>
      <c r="D103" s="548">
        <f t="shared" si="9"/>
        <v>43497</v>
      </c>
      <c r="E103" s="522"/>
      <c r="F103" s="479" t="str">
        <f t="shared" si="8"/>
        <v>2018-2019</v>
      </c>
      <c r="G103" s="490" t="s">
        <v>127</v>
      </c>
      <c r="H103" s="491" t="s">
        <v>2</v>
      </c>
      <c r="I103" s="491"/>
      <c r="J103" s="549"/>
      <c r="K103" s="484"/>
      <c r="L10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0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03" s="520"/>
      <c r="O10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03" s="563"/>
      <c r="Q103" s="491"/>
      <c r="R103" s="875">
        <f>IF(ISNUMBER(Producción_Lecheria[[#This Row],[Cabezas]])=TRUE,Producción_Lecheria[[#This Row],[Cabezas]]*Producción_Lecheria[[#This Row],[Cantidad]],Producción_Lecheria[[#This Row],[Cantidad]])</f>
        <v>0</v>
      </c>
      <c r="S103" s="491"/>
      <c r="T103" s="552"/>
      <c r="U103" s="553"/>
      <c r="V10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03" s="977">
        <f>IFERROR(Producción_Lecheria[[#This Row],[Económico $Corrientes]]/Producción_Lecheria[[#This Row],[Indexación Económico]],0)</f>
        <v>0</v>
      </c>
      <c r="X10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0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03" s="977">
        <f>IFERROR(Producción_Lecheria[[#This Row],[Financiero $Corrientes]]/Producción_Lecheria[[#This Row],[Indexación Financiero]],0)</f>
        <v>0</v>
      </c>
      <c r="AA10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0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03" s="981">
        <f>IFERROR(Producción_Lecheria[[#This Row],[Intereses $Corrientes]]/Producción_Lecheria[[#This Row],[Indexación Financiero]],0)</f>
        <v>0</v>
      </c>
      <c r="AD10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03" s="991" t="str">
        <f>IFERROR(INDEX(Produccion_Lecheria_Cuentas[],MATCH(Producción_Lecheria[[#This Row],[Cuenta Contable]],Produccion_Lecheria_Cuentas[Cuenta Contable],0),2),0)</f>
        <v>Egreso</v>
      </c>
      <c r="AF103" s="992">
        <f>IF(Producción_Lecheria[[#This Row],[Mov. Stock]]="(+)",Producción_Lecheria[[#This Row],[Cabezas]],IF(Producción_Lecheria[[#This Row],[Mov. Stock]]="(-)",-Producción_Lecheria[[#This Row],[Cabezas]],0))</f>
        <v>0</v>
      </c>
      <c r="AG103" s="993">
        <f>IFERROR(INDEX(Produccion_Lecheria_Cuentas[],MATCH(Producción_Lecheria[[#This Row],[Cuenta Contable]],Produccion_Lecheria_Cuentas[Cuenta Contable],0),5),0)</f>
        <v>0</v>
      </c>
      <c r="AH103" s="985" t="str">
        <f>IF(Producción_Lecheria[[#This Row],[Cuenta Contable]]=Configuración!$AC$9,"Si","No")</f>
        <v>No</v>
      </c>
      <c r="AI103" s="983" t="str">
        <f>IFERROR(INDEX(Tabla9[],MATCH(Producción_Lecheria[[#This Row],[Movimiento]],Tabla9[Movimientos],0),2),0)</f>
        <v>Si</v>
      </c>
      <c r="AJ103" s="984" t="str">
        <f>IFERROR(INDEX(Tabla9[],MATCH(Producción_Lecheria[[#This Row],[Movimiento]],Tabla9[Movimientos],0),3),0)</f>
        <v>(-)</v>
      </c>
      <c r="AK103" s="981">
        <f>IF(Producción_Lecheria[[#This Row],[Fecha Económico]]=0,0,MONTH(Producción_Lecheria[[#This Row],[Fecha Económico]]))</f>
        <v>2</v>
      </c>
      <c r="AL103" s="981">
        <f>IF(Producción_Lecheria[[#This Row],[Fecha Económico]]=0,0,YEAR(Producción_Lecheria[[#This Row],[Fecha Económico]]))</f>
        <v>2019</v>
      </c>
      <c r="AM103" s="985">
        <f>SUMPRODUCT((Producción_Lecheria[[#This Row],[Mes Económico]]=Tipo_Cambio[Mes])*(Producción_Lecheria[[#This Row],[Año Económico]]=Tipo_Cambio[Año])*(Tipo_Cambio[$/U$S]))</f>
        <v>23.586977746354219</v>
      </c>
      <c r="AN103" s="985">
        <f>SUMPRODUCT((Producción_Lecheria[[#This Row],[Mes Económico]]=Tipo_Cambio[Mes])*(Producción_Lecheria[[#This Row],[Año Económico]]=Tipo_Cambio[Año])*(Tipo_Cambio[Actualización]))</f>
        <v>1.14868566764928</v>
      </c>
      <c r="AO103" s="981">
        <f>IF(ISNUMBER(Producción_Lecheria[[#This Row],[Fecha Financiero]])=TRUE,MONTH(Producción_Lecheria[[#This Row],[Fecha Financiero]]),0)</f>
        <v>0</v>
      </c>
      <c r="AP103" s="981">
        <f>IF(ISNUMBER(Producción_Lecheria[[#This Row],[Fecha Financiero]])=TRUE,YEAR(Producción_Lecheria[[#This Row],[Fecha Financiero]]),0)</f>
        <v>0</v>
      </c>
      <c r="AQ103" s="985">
        <f>SUMPRODUCT((Producción_Lecheria[[#This Row],[Mes Financiero]]=Tipo_Cambio[Mes])*(Producción_Lecheria[[#This Row],[Año Financiero]]=Tipo_Cambio[Año])*(Tipo_Cambio[$/U$S]))</f>
        <v>0</v>
      </c>
      <c r="AR103" s="985">
        <f>SUMPRODUCT((Producción_Lecheria[[#This Row],[Mes Financiero]]=Tipo_Cambio[Mes])*(Producción_Lecheria[[#This Row],[Año Financiero]]=Tipo_Cambio[Año])*(Tipo_Cambio[Actualización]))</f>
        <v>0</v>
      </c>
      <c r="AS103" s="1009">
        <f>SUMPRODUCT((Producción_Lecheria[[#This Row],[Centro de Costo]]=Tabla1924[Centro de Costo])*(Tabla19[Superficie]))</f>
        <v>2356</v>
      </c>
      <c r="AT103" s="994">
        <f>IFERROR(Producción_Lecheria[[#This Row],[Económico $Corrientes]]/Producción_Lecheria[[#This Row],[Superficie]],0)</f>
        <v>0</v>
      </c>
      <c r="AU103" s="994">
        <f>IFERROR(Producción_Lecheria[[#This Row],[Económico $Constantes]]/Producción_Lecheria[[#This Row],[Superficie]],0)</f>
        <v>0</v>
      </c>
      <c r="AV103" s="994">
        <f>IFERROR(Producción_Lecheria[[#This Row],[Económico U$S Dólares]]/Producción_Lecheria[[#This Row],[Superficie]],0)</f>
        <v>0</v>
      </c>
      <c r="AW103" s="992" t="str">
        <f>IF(Económico!$F$4=0,0,Producción_Lecheria[Centro de Costo])</f>
        <v>Campo 1</v>
      </c>
    </row>
    <row r="104" spans="1:49" x14ac:dyDescent="0.25">
      <c r="A104" s="86"/>
      <c r="B104" s="373"/>
      <c r="C104" s="86"/>
      <c r="D104" s="548">
        <f>DATE(IF(MONTH(D100)=1,YEAR(D100+1),YEAR(D100)),MONTH(D100)+1,1)</f>
        <v>43525</v>
      </c>
      <c r="E104" s="522"/>
      <c r="F104" s="479" t="str">
        <f t="shared" si="8"/>
        <v>2018-2019</v>
      </c>
      <c r="G104" s="490" t="str">
        <f>LCH_Venta_Hacienda</f>
        <v>Venta Hacienda</v>
      </c>
      <c r="H104" s="491" t="s">
        <v>2</v>
      </c>
      <c r="I104" s="491" t="s">
        <v>485</v>
      </c>
      <c r="J104" s="549"/>
      <c r="K104" s="484"/>
      <c r="L10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0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04" s="520"/>
      <c r="O10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04" s="563"/>
      <c r="Q104" s="491"/>
      <c r="R104" s="875">
        <f>IF(ISNUMBER(Producción_Lecheria[[#This Row],[Cabezas]])=TRUE,Producción_Lecheria[[#This Row],[Cabezas]]*Producción_Lecheria[[#This Row],[Cantidad]],Producción_Lecheria[[#This Row],[Cantidad]])</f>
        <v>0</v>
      </c>
      <c r="S104" s="491"/>
      <c r="T104" s="552"/>
      <c r="U104" s="553"/>
      <c r="V10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04" s="977">
        <f>IFERROR(Producción_Lecheria[[#This Row],[Económico $Corrientes]]/Producción_Lecheria[[#This Row],[Indexación Económico]],0)</f>
        <v>0</v>
      </c>
      <c r="X10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0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04" s="977">
        <f>IFERROR(Producción_Lecheria[[#This Row],[Financiero $Corrientes]]/Producción_Lecheria[[#This Row],[Indexación Financiero]],0)</f>
        <v>0</v>
      </c>
      <c r="AA10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0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04" s="981">
        <f>IFERROR(Producción_Lecheria[[#This Row],[Intereses $Corrientes]]/Producción_Lecheria[[#This Row],[Indexación Financiero]],0)</f>
        <v>0</v>
      </c>
      <c r="AD10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04" s="991" t="str">
        <f>IFERROR(INDEX(Produccion_Lecheria_Cuentas[],MATCH(Producción_Lecheria[[#This Row],[Cuenta Contable]],Produccion_Lecheria_Cuentas[Cuenta Contable],0),2),0)</f>
        <v>Ingreso</v>
      </c>
      <c r="AF104" s="992">
        <f>IF(Producción_Lecheria[[#This Row],[Mov. Stock]]="(+)",Producción_Lecheria[[#This Row],[Cabezas]],IF(Producción_Lecheria[[#This Row],[Mov. Stock]]="(-)",-Producción_Lecheria[[#This Row],[Cabezas]],0))</f>
        <v>0</v>
      </c>
      <c r="AG104" s="993" t="str">
        <f>IFERROR(INDEX(Produccion_Lecheria_Cuentas[],MATCH(Producción_Lecheria[[#This Row],[Cuenta Contable]],Produccion_Lecheria_Cuentas[Cuenta Contable],0),5),0)</f>
        <v>(-)</v>
      </c>
      <c r="AH104" s="985" t="str">
        <f>IF(Producción_Lecheria[[#This Row],[Cuenta Contable]]=Configuración!$AC$9,"Si","No")</f>
        <v>No</v>
      </c>
      <c r="AI104" s="983" t="str">
        <f>IFERROR(INDEX(Tabla9[],MATCH(Producción_Lecheria[[#This Row],[Movimiento]],Tabla9[Movimientos],0),2),0)</f>
        <v>Si</v>
      </c>
      <c r="AJ104" s="984" t="str">
        <f>IFERROR(INDEX(Tabla9[],MATCH(Producción_Lecheria[[#This Row],[Movimiento]],Tabla9[Movimientos],0),3),0)</f>
        <v>(+)</v>
      </c>
      <c r="AK104" s="981">
        <f>IF(Producción_Lecheria[[#This Row],[Fecha Económico]]=0,0,MONTH(Producción_Lecheria[[#This Row],[Fecha Económico]]))</f>
        <v>3</v>
      </c>
      <c r="AL104" s="981">
        <f>IF(Producción_Lecheria[[#This Row],[Fecha Económico]]=0,0,YEAR(Producción_Lecheria[[#This Row],[Fecha Económico]]))</f>
        <v>2019</v>
      </c>
      <c r="AM104" s="985">
        <f>SUMPRODUCT((Producción_Lecheria[[#This Row],[Mes Económico]]=Tipo_Cambio[Mes])*(Producción_Lecheria[[#This Row],[Año Económico]]=Tipo_Cambio[Año])*(Tipo_Cambio[$/U$S]))</f>
        <v>23.82284752381776</v>
      </c>
      <c r="AN104" s="985">
        <f>SUMPRODUCT((Producción_Lecheria[[#This Row],[Mes Económico]]=Tipo_Cambio[Mes])*(Producción_Lecheria[[#This Row],[Año Económico]]=Tipo_Cambio[Año])*(Tipo_Cambio[Actualización]))</f>
        <v>1.1716593810022657</v>
      </c>
      <c r="AO104" s="981">
        <f>IF(ISNUMBER(Producción_Lecheria[[#This Row],[Fecha Financiero]])=TRUE,MONTH(Producción_Lecheria[[#This Row],[Fecha Financiero]]),0)</f>
        <v>0</v>
      </c>
      <c r="AP104" s="981">
        <f>IF(ISNUMBER(Producción_Lecheria[[#This Row],[Fecha Financiero]])=TRUE,YEAR(Producción_Lecheria[[#This Row],[Fecha Financiero]]),0)</f>
        <v>0</v>
      </c>
      <c r="AQ104" s="985">
        <f>SUMPRODUCT((Producción_Lecheria[[#This Row],[Mes Financiero]]=Tipo_Cambio[Mes])*(Producción_Lecheria[[#This Row],[Año Financiero]]=Tipo_Cambio[Año])*(Tipo_Cambio[$/U$S]))</f>
        <v>0</v>
      </c>
      <c r="AR104" s="985">
        <f>SUMPRODUCT((Producción_Lecheria[[#This Row],[Mes Financiero]]=Tipo_Cambio[Mes])*(Producción_Lecheria[[#This Row],[Año Financiero]]=Tipo_Cambio[Año])*(Tipo_Cambio[Actualización]))</f>
        <v>0</v>
      </c>
      <c r="AS104" s="1009">
        <f>SUMPRODUCT((Producción_Lecheria[[#This Row],[Centro de Costo]]=Tabla1924[Centro de Costo])*(Tabla19[Superficie]))</f>
        <v>2356</v>
      </c>
      <c r="AT104" s="994">
        <f>IFERROR(Producción_Lecheria[[#This Row],[Económico $Corrientes]]/Producción_Lecheria[[#This Row],[Superficie]],0)</f>
        <v>0</v>
      </c>
      <c r="AU104" s="994">
        <f>IFERROR(Producción_Lecheria[[#This Row],[Económico $Constantes]]/Producción_Lecheria[[#This Row],[Superficie]],0)</f>
        <v>0</v>
      </c>
      <c r="AV104" s="994">
        <f>IFERROR(Producción_Lecheria[[#This Row],[Económico U$S Dólares]]/Producción_Lecheria[[#This Row],[Superficie]],0)</f>
        <v>0</v>
      </c>
      <c r="AW104" s="992" t="str">
        <f>IF(Económico!$F$4=0,0,Producción_Lecheria[Centro de Costo])</f>
        <v>Campo 1</v>
      </c>
    </row>
    <row r="105" spans="1:49" x14ac:dyDescent="0.25">
      <c r="A105" s="86"/>
      <c r="B105" s="373"/>
      <c r="C105" s="86"/>
      <c r="D105" s="548">
        <f t="shared" si="9"/>
        <v>43525</v>
      </c>
      <c r="E105" s="522"/>
      <c r="F105" s="479" t="str">
        <f t="shared" si="8"/>
        <v>2018-2019</v>
      </c>
      <c r="G105" s="576" t="str">
        <f>LCH_Venta_Hacienda</f>
        <v>Venta Hacienda</v>
      </c>
      <c r="H105" s="491" t="s">
        <v>2</v>
      </c>
      <c r="I105" s="491" t="s">
        <v>131</v>
      </c>
      <c r="J105" s="549"/>
      <c r="K105" s="484"/>
      <c r="L10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0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05" s="520"/>
      <c r="O10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05" s="563"/>
      <c r="Q105" s="491"/>
      <c r="R105" s="875">
        <f>IF(ISNUMBER(Producción_Lecheria[[#This Row],[Cabezas]])=TRUE,Producción_Lecheria[[#This Row],[Cabezas]]*Producción_Lecheria[[#This Row],[Cantidad]],Producción_Lecheria[[#This Row],[Cantidad]])</f>
        <v>0</v>
      </c>
      <c r="S105" s="491"/>
      <c r="T105" s="552"/>
      <c r="U105" s="553"/>
      <c r="V10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05" s="977">
        <f>IFERROR(Producción_Lecheria[[#This Row],[Económico $Corrientes]]/Producción_Lecheria[[#This Row],[Indexación Económico]],0)</f>
        <v>0</v>
      </c>
      <c r="X10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0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05" s="977">
        <f>IFERROR(Producción_Lecheria[[#This Row],[Financiero $Corrientes]]/Producción_Lecheria[[#This Row],[Indexación Financiero]],0)</f>
        <v>0</v>
      </c>
      <c r="AA10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0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05" s="981">
        <f>IFERROR(Producción_Lecheria[[#This Row],[Intereses $Corrientes]]/Producción_Lecheria[[#This Row],[Indexación Financiero]],0)</f>
        <v>0</v>
      </c>
      <c r="AD10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05" s="991" t="str">
        <f>IFERROR(INDEX(Produccion_Lecheria_Cuentas[],MATCH(Producción_Lecheria[[#This Row],[Cuenta Contable]],Produccion_Lecheria_Cuentas[Cuenta Contable],0),2),0)</f>
        <v>Ingreso</v>
      </c>
      <c r="AF105" s="992">
        <f>IF(Producción_Lecheria[[#This Row],[Mov. Stock]]="(+)",Producción_Lecheria[[#This Row],[Cabezas]],IF(Producción_Lecheria[[#This Row],[Mov. Stock]]="(-)",-Producción_Lecheria[[#This Row],[Cabezas]],0))</f>
        <v>0</v>
      </c>
      <c r="AG105" s="993" t="str">
        <f>IFERROR(INDEX(Produccion_Lecheria_Cuentas[],MATCH(Producción_Lecheria[[#This Row],[Cuenta Contable]],Produccion_Lecheria_Cuentas[Cuenta Contable],0),5),0)</f>
        <v>(-)</v>
      </c>
      <c r="AH105" s="985" t="str">
        <f>IF(Producción_Lecheria[[#This Row],[Cuenta Contable]]=Configuración!$AC$9,"Si","No")</f>
        <v>No</v>
      </c>
      <c r="AI105" s="983" t="str">
        <f>IFERROR(INDEX(Tabla9[],MATCH(Producción_Lecheria[[#This Row],[Movimiento]],Tabla9[Movimientos],0),2),0)</f>
        <v>Si</v>
      </c>
      <c r="AJ105" s="984" t="str">
        <f>IFERROR(INDEX(Tabla9[],MATCH(Producción_Lecheria[[#This Row],[Movimiento]],Tabla9[Movimientos],0),3),0)</f>
        <v>(+)</v>
      </c>
      <c r="AK105" s="981">
        <f>IF(Producción_Lecheria[[#This Row],[Fecha Económico]]=0,0,MONTH(Producción_Lecheria[[#This Row],[Fecha Económico]]))</f>
        <v>3</v>
      </c>
      <c r="AL105" s="981">
        <f>IF(Producción_Lecheria[[#This Row],[Fecha Económico]]=0,0,YEAR(Producción_Lecheria[[#This Row],[Fecha Económico]]))</f>
        <v>2019</v>
      </c>
      <c r="AM105" s="985">
        <f>SUMPRODUCT((Producción_Lecheria[[#This Row],[Mes Económico]]=Tipo_Cambio[Mes])*(Producción_Lecheria[[#This Row],[Año Económico]]=Tipo_Cambio[Año])*(Tipo_Cambio[$/U$S]))</f>
        <v>23.82284752381776</v>
      </c>
      <c r="AN105" s="985">
        <f>SUMPRODUCT((Producción_Lecheria[[#This Row],[Mes Económico]]=Tipo_Cambio[Mes])*(Producción_Lecheria[[#This Row],[Año Económico]]=Tipo_Cambio[Año])*(Tipo_Cambio[Actualización]))</f>
        <v>1.1716593810022657</v>
      </c>
      <c r="AO105" s="981">
        <f>IF(ISNUMBER(Producción_Lecheria[[#This Row],[Fecha Financiero]])=TRUE,MONTH(Producción_Lecheria[[#This Row],[Fecha Financiero]]),0)</f>
        <v>0</v>
      </c>
      <c r="AP105" s="981">
        <f>IF(ISNUMBER(Producción_Lecheria[[#This Row],[Fecha Financiero]])=TRUE,YEAR(Producción_Lecheria[[#This Row],[Fecha Financiero]]),0)</f>
        <v>0</v>
      </c>
      <c r="AQ105" s="985">
        <f>SUMPRODUCT((Producción_Lecheria[[#This Row],[Mes Financiero]]=Tipo_Cambio[Mes])*(Producción_Lecheria[[#This Row],[Año Financiero]]=Tipo_Cambio[Año])*(Tipo_Cambio[$/U$S]))</f>
        <v>0</v>
      </c>
      <c r="AR105" s="985">
        <f>SUMPRODUCT((Producción_Lecheria[[#This Row],[Mes Financiero]]=Tipo_Cambio[Mes])*(Producción_Lecheria[[#This Row],[Año Financiero]]=Tipo_Cambio[Año])*(Tipo_Cambio[Actualización]))</f>
        <v>0</v>
      </c>
      <c r="AS105" s="1009">
        <f>SUMPRODUCT((Producción_Lecheria[[#This Row],[Centro de Costo]]=Tabla1924[Centro de Costo])*(Tabla19[Superficie]))</f>
        <v>2356</v>
      </c>
      <c r="AT105" s="994">
        <f>IFERROR(Producción_Lecheria[[#This Row],[Económico $Corrientes]]/Producción_Lecheria[[#This Row],[Superficie]],0)</f>
        <v>0</v>
      </c>
      <c r="AU105" s="994">
        <f>IFERROR(Producción_Lecheria[[#This Row],[Económico $Constantes]]/Producción_Lecheria[[#This Row],[Superficie]],0)</f>
        <v>0</v>
      </c>
      <c r="AV105" s="994">
        <f>IFERROR(Producción_Lecheria[[#This Row],[Económico U$S Dólares]]/Producción_Lecheria[[#This Row],[Superficie]],0)</f>
        <v>0</v>
      </c>
      <c r="AW105" s="992" t="str">
        <f>IF(Económico!$F$4=0,0,Producción_Lecheria[Centro de Costo])</f>
        <v>Campo 1</v>
      </c>
    </row>
    <row r="106" spans="1:49" x14ac:dyDescent="0.25">
      <c r="A106" s="86"/>
      <c r="B106" s="373"/>
      <c r="C106" s="86"/>
      <c r="D106" s="548">
        <f t="shared" si="9"/>
        <v>43525</v>
      </c>
      <c r="E106" s="522"/>
      <c r="F106" s="479" t="str">
        <f t="shared" si="8"/>
        <v>2018-2019</v>
      </c>
      <c r="G106" s="576" t="str">
        <f>LCH_Venta_Hacienda</f>
        <v>Venta Hacienda</v>
      </c>
      <c r="H106" s="491" t="s">
        <v>2</v>
      </c>
      <c r="I106" s="491" t="s">
        <v>129</v>
      </c>
      <c r="J106" s="549"/>
      <c r="K106" s="484"/>
      <c r="L10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0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06" s="520"/>
      <c r="O10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06" s="563"/>
      <c r="Q106" s="491"/>
      <c r="R106" s="875">
        <f>IF(ISNUMBER(Producción_Lecheria[[#This Row],[Cabezas]])=TRUE,Producción_Lecheria[[#This Row],[Cabezas]]*Producción_Lecheria[[#This Row],[Cantidad]],Producción_Lecheria[[#This Row],[Cantidad]])</f>
        <v>0</v>
      </c>
      <c r="S106" s="491"/>
      <c r="T106" s="552"/>
      <c r="U106" s="553"/>
      <c r="V10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06" s="977">
        <f>IFERROR(Producción_Lecheria[[#This Row],[Económico $Corrientes]]/Producción_Lecheria[[#This Row],[Indexación Económico]],0)</f>
        <v>0</v>
      </c>
      <c r="X10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0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06" s="977">
        <f>IFERROR(Producción_Lecheria[[#This Row],[Financiero $Corrientes]]/Producción_Lecheria[[#This Row],[Indexación Financiero]],0)</f>
        <v>0</v>
      </c>
      <c r="AA10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0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06" s="981">
        <f>IFERROR(Producción_Lecheria[[#This Row],[Intereses $Corrientes]]/Producción_Lecheria[[#This Row],[Indexación Financiero]],0)</f>
        <v>0</v>
      </c>
      <c r="AD10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06" s="991" t="str">
        <f>IFERROR(INDEX(Produccion_Lecheria_Cuentas[],MATCH(Producción_Lecheria[[#This Row],[Cuenta Contable]],Produccion_Lecheria_Cuentas[Cuenta Contable],0),2),0)</f>
        <v>Ingreso</v>
      </c>
      <c r="AF106" s="992">
        <f>IF(Producción_Lecheria[[#This Row],[Mov. Stock]]="(+)",Producción_Lecheria[[#This Row],[Cabezas]],IF(Producción_Lecheria[[#This Row],[Mov. Stock]]="(-)",-Producción_Lecheria[[#This Row],[Cabezas]],0))</f>
        <v>0</v>
      </c>
      <c r="AG106" s="993" t="str">
        <f>IFERROR(INDEX(Produccion_Lecheria_Cuentas[],MATCH(Producción_Lecheria[[#This Row],[Cuenta Contable]],Produccion_Lecheria_Cuentas[Cuenta Contable],0),5),0)</f>
        <v>(-)</v>
      </c>
      <c r="AH106" s="985" t="str">
        <f>IF(Producción_Lecheria[[#This Row],[Cuenta Contable]]=Configuración!$AC$9,"Si","No")</f>
        <v>No</v>
      </c>
      <c r="AI106" s="983" t="str">
        <f>IFERROR(INDEX(Tabla9[],MATCH(Producción_Lecheria[[#This Row],[Movimiento]],Tabla9[Movimientos],0),2),0)</f>
        <v>Si</v>
      </c>
      <c r="AJ106" s="984" t="str">
        <f>IFERROR(INDEX(Tabla9[],MATCH(Producción_Lecheria[[#This Row],[Movimiento]],Tabla9[Movimientos],0),3),0)</f>
        <v>(+)</v>
      </c>
      <c r="AK106" s="981">
        <f>IF(Producción_Lecheria[[#This Row],[Fecha Económico]]=0,0,MONTH(Producción_Lecheria[[#This Row],[Fecha Económico]]))</f>
        <v>3</v>
      </c>
      <c r="AL106" s="981">
        <f>IF(Producción_Lecheria[[#This Row],[Fecha Económico]]=0,0,YEAR(Producción_Lecheria[[#This Row],[Fecha Económico]]))</f>
        <v>2019</v>
      </c>
      <c r="AM106" s="985">
        <f>SUMPRODUCT((Producción_Lecheria[[#This Row],[Mes Económico]]=Tipo_Cambio[Mes])*(Producción_Lecheria[[#This Row],[Año Económico]]=Tipo_Cambio[Año])*(Tipo_Cambio[$/U$S]))</f>
        <v>23.82284752381776</v>
      </c>
      <c r="AN106" s="985">
        <f>SUMPRODUCT((Producción_Lecheria[[#This Row],[Mes Económico]]=Tipo_Cambio[Mes])*(Producción_Lecheria[[#This Row],[Año Económico]]=Tipo_Cambio[Año])*(Tipo_Cambio[Actualización]))</f>
        <v>1.1716593810022657</v>
      </c>
      <c r="AO106" s="981">
        <f>IF(ISNUMBER(Producción_Lecheria[[#This Row],[Fecha Financiero]])=TRUE,MONTH(Producción_Lecheria[[#This Row],[Fecha Financiero]]),0)</f>
        <v>0</v>
      </c>
      <c r="AP106" s="981">
        <f>IF(ISNUMBER(Producción_Lecheria[[#This Row],[Fecha Financiero]])=TRUE,YEAR(Producción_Lecheria[[#This Row],[Fecha Financiero]]),0)</f>
        <v>0</v>
      </c>
      <c r="AQ106" s="985">
        <f>SUMPRODUCT((Producción_Lecheria[[#This Row],[Mes Financiero]]=Tipo_Cambio[Mes])*(Producción_Lecheria[[#This Row],[Año Financiero]]=Tipo_Cambio[Año])*(Tipo_Cambio[$/U$S]))</f>
        <v>0</v>
      </c>
      <c r="AR106" s="985">
        <f>SUMPRODUCT((Producción_Lecheria[[#This Row],[Mes Financiero]]=Tipo_Cambio[Mes])*(Producción_Lecheria[[#This Row],[Año Financiero]]=Tipo_Cambio[Año])*(Tipo_Cambio[Actualización]))</f>
        <v>0</v>
      </c>
      <c r="AS106" s="1009">
        <f>SUMPRODUCT((Producción_Lecheria[[#This Row],[Centro de Costo]]=Tabla1924[Centro de Costo])*(Tabla19[Superficie]))</f>
        <v>2356</v>
      </c>
      <c r="AT106" s="994">
        <f>IFERROR(Producción_Lecheria[[#This Row],[Económico $Corrientes]]/Producción_Lecheria[[#This Row],[Superficie]],0)</f>
        <v>0</v>
      </c>
      <c r="AU106" s="994">
        <f>IFERROR(Producción_Lecheria[[#This Row],[Económico $Constantes]]/Producción_Lecheria[[#This Row],[Superficie]],0)</f>
        <v>0</v>
      </c>
      <c r="AV106" s="994">
        <f>IFERROR(Producción_Lecheria[[#This Row],[Económico U$S Dólares]]/Producción_Lecheria[[#This Row],[Superficie]],0)</f>
        <v>0</v>
      </c>
      <c r="AW106" s="992" t="str">
        <f>IF(Económico!$F$4=0,0,Producción_Lecheria[Centro de Costo])</f>
        <v>Campo 1</v>
      </c>
    </row>
    <row r="107" spans="1:49" x14ac:dyDescent="0.25">
      <c r="A107" s="86"/>
      <c r="B107" s="373"/>
      <c r="C107" s="86"/>
      <c r="D107" s="548">
        <f t="shared" si="9"/>
        <v>43525</v>
      </c>
      <c r="E107" s="522"/>
      <c r="F107" s="479" t="str">
        <f t="shared" si="8"/>
        <v>2018-2019</v>
      </c>
      <c r="G107" s="490" t="s">
        <v>127</v>
      </c>
      <c r="H107" s="491" t="s">
        <v>2</v>
      </c>
      <c r="I107" s="491"/>
      <c r="J107" s="549"/>
      <c r="K107" s="484"/>
      <c r="L10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0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07" s="520"/>
      <c r="O10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07" s="563"/>
      <c r="Q107" s="491"/>
      <c r="R107" s="875">
        <f>IF(ISNUMBER(Producción_Lecheria[[#This Row],[Cabezas]])=TRUE,Producción_Lecheria[[#This Row],[Cabezas]]*Producción_Lecheria[[#This Row],[Cantidad]],Producción_Lecheria[[#This Row],[Cantidad]])</f>
        <v>0</v>
      </c>
      <c r="S107" s="491"/>
      <c r="T107" s="552"/>
      <c r="U107" s="553"/>
      <c r="V10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07" s="977">
        <f>IFERROR(Producción_Lecheria[[#This Row],[Económico $Corrientes]]/Producción_Lecheria[[#This Row],[Indexación Económico]],0)</f>
        <v>0</v>
      </c>
      <c r="X10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0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07" s="977">
        <f>IFERROR(Producción_Lecheria[[#This Row],[Financiero $Corrientes]]/Producción_Lecheria[[#This Row],[Indexación Financiero]],0)</f>
        <v>0</v>
      </c>
      <c r="AA10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0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07" s="981">
        <f>IFERROR(Producción_Lecheria[[#This Row],[Intereses $Corrientes]]/Producción_Lecheria[[#This Row],[Indexación Financiero]],0)</f>
        <v>0</v>
      </c>
      <c r="AD10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07" s="991" t="str">
        <f>IFERROR(INDEX(Produccion_Lecheria_Cuentas[],MATCH(Producción_Lecheria[[#This Row],[Cuenta Contable]],Produccion_Lecheria_Cuentas[Cuenta Contable],0),2),0)</f>
        <v>Egreso</v>
      </c>
      <c r="AF107" s="992">
        <f>IF(Producción_Lecheria[[#This Row],[Mov. Stock]]="(+)",Producción_Lecheria[[#This Row],[Cabezas]],IF(Producción_Lecheria[[#This Row],[Mov. Stock]]="(-)",-Producción_Lecheria[[#This Row],[Cabezas]],0))</f>
        <v>0</v>
      </c>
      <c r="AG107" s="993">
        <f>IFERROR(INDEX(Produccion_Lecheria_Cuentas[],MATCH(Producción_Lecheria[[#This Row],[Cuenta Contable]],Produccion_Lecheria_Cuentas[Cuenta Contable],0),5),0)</f>
        <v>0</v>
      </c>
      <c r="AH107" s="985" t="str">
        <f>IF(Producción_Lecheria[[#This Row],[Cuenta Contable]]=Configuración!$AC$9,"Si","No")</f>
        <v>No</v>
      </c>
      <c r="AI107" s="983" t="str">
        <f>IFERROR(INDEX(Tabla9[],MATCH(Producción_Lecheria[[#This Row],[Movimiento]],Tabla9[Movimientos],0),2),0)</f>
        <v>Si</v>
      </c>
      <c r="AJ107" s="984" t="str">
        <f>IFERROR(INDEX(Tabla9[],MATCH(Producción_Lecheria[[#This Row],[Movimiento]],Tabla9[Movimientos],0),3),0)</f>
        <v>(-)</v>
      </c>
      <c r="AK107" s="981">
        <f>IF(Producción_Lecheria[[#This Row],[Fecha Económico]]=0,0,MONTH(Producción_Lecheria[[#This Row],[Fecha Económico]]))</f>
        <v>3</v>
      </c>
      <c r="AL107" s="981">
        <f>IF(Producción_Lecheria[[#This Row],[Fecha Económico]]=0,0,YEAR(Producción_Lecheria[[#This Row],[Fecha Económico]]))</f>
        <v>2019</v>
      </c>
      <c r="AM107" s="985">
        <f>SUMPRODUCT((Producción_Lecheria[[#This Row],[Mes Económico]]=Tipo_Cambio[Mes])*(Producción_Lecheria[[#This Row],[Año Económico]]=Tipo_Cambio[Año])*(Tipo_Cambio[$/U$S]))</f>
        <v>23.82284752381776</v>
      </c>
      <c r="AN107" s="985">
        <f>SUMPRODUCT((Producción_Lecheria[[#This Row],[Mes Económico]]=Tipo_Cambio[Mes])*(Producción_Lecheria[[#This Row],[Año Económico]]=Tipo_Cambio[Año])*(Tipo_Cambio[Actualización]))</f>
        <v>1.1716593810022657</v>
      </c>
      <c r="AO107" s="981">
        <f>IF(ISNUMBER(Producción_Lecheria[[#This Row],[Fecha Financiero]])=TRUE,MONTH(Producción_Lecheria[[#This Row],[Fecha Financiero]]),0)</f>
        <v>0</v>
      </c>
      <c r="AP107" s="981">
        <f>IF(ISNUMBER(Producción_Lecheria[[#This Row],[Fecha Financiero]])=TRUE,YEAR(Producción_Lecheria[[#This Row],[Fecha Financiero]]),0)</f>
        <v>0</v>
      </c>
      <c r="AQ107" s="985">
        <f>SUMPRODUCT((Producción_Lecheria[[#This Row],[Mes Financiero]]=Tipo_Cambio[Mes])*(Producción_Lecheria[[#This Row],[Año Financiero]]=Tipo_Cambio[Año])*(Tipo_Cambio[$/U$S]))</f>
        <v>0</v>
      </c>
      <c r="AR107" s="985">
        <f>SUMPRODUCT((Producción_Lecheria[[#This Row],[Mes Financiero]]=Tipo_Cambio[Mes])*(Producción_Lecheria[[#This Row],[Año Financiero]]=Tipo_Cambio[Año])*(Tipo_Cambio[Actualización]))</f>
        <v>0</v>
      </c>
      <c r="AS107" s="1009">
        <f>SUMPRODUCT((Producción_Lecheria[[#This Row],[Centro de Costo]]=Tabla1924[Centro de Costo])*(Tabla19[Superficie]))</f>
        <v>2356</v>
      </c>
      <c r="AT107" s="994">
        <f>IFERROR(Producción_Lecheria[[#This Row],[Económico $Corrientes]]/Producción_Lecheria[[#This Row],[Superficie]],0)</f>
        <v>0</v>
      </c>
      <c r="AU107" s="994">
        <f>IFERROR(Producción_Lecheria[[#This Row],[Económico $Constantes]]/Producción_Lecheria[[#This Row],[Superficie]],0)</f>
        <v>0</v>
      </c>
      <c r="AV107" s="994">
        <f>IFERROR(Producción_Lecheria[[#This Row],[Económico U$S Dólares]]/Producción_Lecheria[[#This Row],[Superficie]],0)</f>
        <v>0</v>
      </c>
      <c r="AW107" s="992" t="str">
        <f>IF(Económico!$F$4=0,0,Producción_Lecheria[Centro de Costo])</f>
        <v>Campo 1</v>
      </c>
    </row>
    <row r="108" spans="1:49" x14ac:dyDescent="0.25">
      <c r="A108" s="86"/>
      <c r="B108" s="373"/>
      <c r="C108" s="86"/>
      <c r="D108" s="548">
        <f>DATE(IF(MONTH(D104)=1,YEAR(D104+1),YEAR(D104)),MONTH(D104)+1,1)</f>
        <v>43556</v>
      </c>
      <c r="E108" s="522"/>
      <c r="F108" s="479" t="str">
        <f t="shared" si="8"/>
        <v>2018-2019</v>
      </c>
      <c r="G108" s="490" t="str">
        <f>LCH_Venta_Hacienda</f>
        <v>Venta Hacienda</v>
      </c>
      <c r="H108" s="491" t="s">
        <v>2</v>
      </c>
      <c r="I108" s="491" t="s">
        <v>485</v>
      </c>
      <c r="J108" s="549"/>
      <c r="K108" s="484"/>
      <c r="L10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0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08" s="520"/>
      <c r="O10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08" s="563"/>
      <c r="Q108" s="491"/>
      <c r="R108" s="875">
        <f>IF(ISNUMBER(Producción_Lecheria[[#This Row],[Cabezas]])=TRUE,Producción_Lecheria[[#This Row],[Cabezas]]*Producción_Lecheria[[#This Row],[Cantidad]],Producción_Lecheria[[#This Row],[Cantidad]])</f>
        <v>0</v>
      </c>
      <c r="S108" s="491"/>
      <c r="T108" s="552"/>
      <c r="U108" s="553"/>
      <c r="V10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08" s="977">
        <f>IFERROR(Producción_Lecheria[[#This Row],[Económico $Corrientes]]/Producción_Lecheria[[#This Row],[Indexación Económico]],0)</f>
        <v>0</v>
      </c>
      <c r="X10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0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08" s="977">
        <f>IFERROR(Producción_Lecheria[[#This Row],[Financiero $Corrientes]]/Producción_Lecheria[[#This Row],[Indexación Financiero]],0)</f>
        <v>0</v>
      </c>
      <c r="AA10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0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08" s="981">
        <f>IFERROR(Producción_Lecheria[[#This Row],[Intereses $Corrientes]]/Producción_Lecheria[[#This Row],[Indexación Financiero]],0)</f>
        <v>0</v>
      </c>
      <c r="AD10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08" s="991" t="str">
        <f>IFERROR(INDEX(Produccion_Lecheria_Cuentas[],MATCH(Producción_Lecheria[[#This Row],[Cuenta Contable]],Produccion_Lecheria_Cuentas[Cuenta Contable],0),2),0)</f>
        <v>Ingreso</v>
      </c>
      <c r="AF108" s="992">
        <f>IF(Producción_Lecheria[[#This Row],[Mov. Stock]]="(+)",Producción_Lecheria[[#This Row],[Cabezas]],IF(Producción_Lecheria[[#This Row],[Mov. Stock]]="(-)",-Producción_Lecheria[[#This Row],[Cabezas]],0))</f>
        <v>0</v>
      </c>
      <c r="AG108" s="993" t="str">
        <f>IFERROR(INDEX(Produccion_Lecheria_Cuentas[],MATCH(Producción_Lecheria[[#This Row],[Cuenta Contable]],Produccion_Lecheria_Cuentas[Cuenta Contable],0),5),0)</f>
        <v>(-)</v>
      </c>
      <c r="AH108" s="985" t="str">
        <f>IF(Producción_Lecheria[[#This Row],[Cuenta Contable]]=Configuración!$AC$9,"Si","No")</f>
        <v>No</v>
      </c>
      <c r="AI108" s="983" t="str">
        <f>IFERROR(INDEX(Tabla9[],MATCH(Producción_Lecheria[[#This Row],[Movimiento]],Tabla9[Movimientos],0),2),0)</f>
        <v>Si</v>
      </c>
      <c r="AJ108" s="984" t="str">
        <f>IFERROR(INDEX(Tabla9[],MATCH(Producción_Lecheria[[#This Row],[Movimiento]],Tabla9[Movimientos],0),3),0)</f>
        <v>(+)</v>
      </c>
      <c r="AK108" s="981">
        <f>IF(Producción_Lecheria[[#This Row],[Fecha Económico]]=0,0,MONTH(Producción_Lecheria[[#This Row],[Fecha Económico]]))</f>
        <v>4</v>
      </c>
      <c r="AL108" s="981">
        <f>IF(Producción_Lecheria[[#This Row],[Fecha Económico]]=0,0,YEAR(Producción_Lecheria[[#This Row],[Fecha Económico]]))</f>
        <v>2019</v>
      </c>
      <c r="AM108" s="985">
        <f>SUMPRODUCT((Producción_Lecheria[[#This Row],[Mes Económico]]=Tipo_Cambio[Mes])*(Producción_Lecheria[[#This Row],[Año Económico]]=Tipo_Cambio[Año])*(Tipo_Cambio[$/U$S]))</f>
        <v>24.061075999055937</v>
      </c>
      <c r="AN108" s="985">
        <f>SUMPRODUCT((Producción_Lecheria[[#This Row],[Mes Económico]]=Tipo_Cambio[Mes])*(Producción_Lecheria[[#This Row],[Año Económico]]=Tipo_Cambio[Año])*(Tipo_Cambio[Actualización]))</f>
        <v>1.1950925686223111</v>
      </c>
      <c r="AO108" s="981">
        <f>IF(ISNUMBER(Producción_Lecheria[[#This Row],[Fecha Financiero]])=TRUE,MONTH(Producción_Lecheria[[#This Row],[Fecha Financiero]]),0)</f>
        <v>0</v>
      </c>
      <c r="AP108" s="981">
        <f>IF(ISNUMBER(Producción_Lecheria[[#This Row],[Fecha Financiero]])=TRUE,YEAR(Producción_Lecheria[[#This Row],[Fecha Financiero]]),0)</f>
        <v>0</v>
      </c>
      <c r="AQ108" s="985">
        <f>SUMPRODUCT((Producción_Lecheria[[#This Row],[Mes Financiero]]=Tipo_Cambio[Mes])*(Producción_Lecheria[[#This Row],[Año Financiero]]=Tipo_Cambio[Año])*(Tipo_Cambio[$/U$S]))</f>
        <v>0</v>
      </c>
      <c r="AR108" s="985">
        <f>SUMPRODUCT((Producción_Lecheria[[#This Row],[Mes Financiero]]=Tipo_Cambio[Mes])*(Producción_Lecheria[[#This Row],[Año Financiero]]=Tipo_Cambio[Año])*(Tipo_Cambio[Actualización]))</f>
        <v>0</v>
      </c>
      <c r="AS108" s="1009">
        <f>SUMPRODUCT((Producción_Lecheria[[#This Row],[Centro de Costo]]=Tabla1924[Centro de Costo])*(Tabla19[Superficie]))</f>
        <v>2356</v>
      </c>
      <c r="AT108" s="994">
        <f>IFERROR(Producción_Lecheria[[#This Row],[Económico $Corrientes]]/Producción_Lecheria[[#This Row],[Superficie]],0)</f>
        <v>0</v>
      </c>
      <c r="AU108" s="994">
        <f>IFERROR(Producción_Lecheria[[#This Row],[Económico $Constantes]]/Producción_Lecheria[[#This Row],[Superficie]],0)</f>
        <v>0</v>
      </c>
      <c r="AV108" s="994">
        <f>IFERROR(Producción_Lecheria[[#This Row],[Económico U$S Dólares]]/Producción_Lecheria[[#This Row],[Superficie]],0)</f>
        <v>0</v>
      </c>
      <c r="AW108" s="992" t="str">
        <f>IF(Económico!$F$4=0,0,Producción_Lecheria[Centro de Costo])</f>
        <v>Campo 1</v>
      </c>
    </row>
    <row r="109" spans="1:49" x14ac:dyDescent="0.25">
      <c r="A109" s="86"/>
      <c r="B109" s="373"/>
      <c r="C109" s="86"/>
      <c r="D109" s="548">
        <f t="shared" si="9"/>
        <v>43556</v>
      </c>
      <c r="E109" s="522"/>
      <c r="F109" s="479" t="str">
        <f t="shared" si="8"/>
        <v>2018-2019</v>
      </c>
      <c r="G109" s="576" t="str">
        <f>LCH_Venta_Hacienda</f>
        <v>Venta Hacienda</v>
      </c>
      <c r="H109" s="491" t="s">
        <v>2</v>
      </c>
      <c r="I109" s="491" t="s">
        <v>131</v>
      </c>
      <c r="J109" s="549"/>
      <c r="K109" s="484"/>
      <c r="L10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0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09" s="520"/>
      <c r="O10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09" s="563"/>
      <c r="Q109" s="491"/>
      <c r="R109" s="875">
        <f>IF(ISNUMBER(Producción_Lecheria[[#This Row],[Cabezas]])=TRUE,Producción_Lecheria[[#This Row],[Cabezas]]*Producción_Lecheria[[#This Row],[Cantidad]],Producción_Lecheria[[#This Row],[Cantidad]])</f>
        <v>0</v>
      </c>
      <c r="S109" s="491"/>
      <c r="T109" s="552"/>
      <c r="U109" s="553"/>
      <c r="V10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09" s="977">
        <f>IFERROR(Producción_Lecheria[[#This Row],[Económico $Corrientes]]/Producción_Lecheria[[#This Row],[Indexación Económico]],0)</f>
        <v>0</v>
      </c>
      <c r="X10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0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09" s="977">
        <f>IFERROR(Producción_Lecheria[[#This Row],[Financiero $Corrientes]]/Producción_Lecheria[[#This Row],[Indexación Financiero]],0)</f>
        <v>0</v>
      </c>
      <c r="AA10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0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09" s="981">
        <f>IFERROR(Producción_Lecheria[[#This Row],[Intereses $Corrientes]]/Producción_Lecheria[[#This Row],[Indexación Financiero]],0)</f>
        <v>0</v>
      </c>
      <c r="AD10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09" s="991" t="str">
        <f>IFERROR(INDEX(Produccion_Lecheria_Cuentas[],MATCH(Producción_Lecheria[[#This Row],[Cuenta Contable]],Produccion_Lecheria_Cuentas[Cuenta Contable],0),2),0)</f>
        <v>Ingreso</v>
      </c>
      <c r="AF109" s="992">
        <f>IF(Producción_Lecheria[[#This Row],[Mov. Stock]]="(+)",Producción_Lecheria[[#This Row],[Cabezas]],IF(Producción_Lecheria[[#This Row],[Mov. Stock]]="(-)",-Producción_Lecheria[[#This Row],[Cabezas]],0))</f>
        <v>0</v>
      </c>
      <c r="AG109" s="993" t="str">
        <f>IFERROR(INDEX(Produccion_Lecheria_Cuentas[],MATCH(Producción_Lecheria[[#This Row],[Cuenta Contable]],Produccion_Lecheria_Cuentas[Cuenta Contable],0),5),0)</f>
        <v>(-)</v>
      </c>
      <c r="AH109" s="985" t="str">
        <f>IF(Producción_Lecheria[[#This Row],[Cuenta Contable]]=Configuración!$AC$9,"Si","No")</f>
        <v>No</v>
      </c>
      <c r="AI109" s="983" t="str">
        <f>IFERROR(INDEX(Tabla9[],MATCH(Producción_Lecheria[[#This Row],[Movimiento]],Tabla9[Movimientos],0),2),0)</f>
        <v>Si</v>
      </c>
      <c r="AJ109" s="984" t="str">
        <f>IFERROR(INDEX(Tabla9[],MATCH(Producción_Lecheria[[#This Row],[Movimiento]],Tabla9[Movimientos],0),3),0)</f>
        <v>(+)</v>
      </c>
      <c r="AK109" s="981">
        <f>IF(Producción_Lecheria[[#This Row],[Fecha Económico]]=0,0,MONTH(Producción_Lecheria[[#This Row],[Fecha Económico]]))</f>
        <v>4</v>
      </c>
      <c r="AL109" s="981">
        <f>IF(Producción_Lecheria[[#This Row],[Fecha Económico]]=0,0,YEAR(Producción_Lecheria[[#This Row],[Fecha Económico]]))</f>
        <v>2019</v>
      </c>
      <c r="AM109" s="985">
        <f>SUMPRODUCT((Producción_Lecheria[[#This Row],[Mes Económico]]=Tipo_Cambio[Mes])*(Producción_Lecheria[[#This Row],[Año Económico]]=Tipo_Cambio[Año])*(Tipo_Cambio[$/U$S]))</f>
        <v>24.061075999055937</v>
      </c>
      <c r="AN109" s="985">
        <f>SUMPRODUCT((Producción_Lecheria[[#This Row],[Mes Económico]]=Tipo_Cambio[Mes])*(Producción_Lecheria[[#This Row],[Año Económico]]=Tipo_Cambio[Año])*(Tipo_Cambio[Actualización]))</f>
        <v>1.1950925686223111</v>
      </c>
      <c r="AO109" s="981">
        <f>IF(ISNUMBER(Producción_Lecheria[[#This Row],[Fecha Financiero]])=TRUE,MONTH(Producción_Lecheria[[#This Row],[Fecha Financiero]]),0)</f>
        <v>0</v>
      </c>
      <c r="AP109" s="981">
        <f>IF(ISNUMBER(Producción_Lecheria[[#This Row],[Fecha Financiero]])=TRUE,YEAR(Producción_Lecheria[[#This Row],[Fecha Financiero]]),0)</f>
        <v>0</v>
      </c>
      <c r="AQ109" s="985">
        <f>SUMPRODUCT((Producción_Lecheria[[#This Row],[Mes Financiero]]=Tipo_Cambio[Mes])*(Producción_Lecheria[[#This Row],[Año Financiero]]=Tipo_Cambio[Año])*(Tipo_Cambio[$/U$S]))</f>
        <v>0</v>
      </c>
      <c r="AR109" s="985">
        <f>SUMPRODUCT((Producción_Lecheria[[#This Row],[Mes Financiero]]=Tipo_Cambio[Mes])*(Producción_Lecheria[[#This Row],[Año Financiero]]=Tipo_Cambio[Año])*(Tipo_Cambio[Actualización]))</f>
        <v>0</v>
      </c>
      <c r="AS109" s="1009">
        <f>SUMPRODUCT((Producción_Lecheria[[#This Row],[Centro de Costo]]=Tabla1924[Centro de Costo])*(Tabla19[Superficie]))</f>
        <v>2356</v>
      </c>
      <c r="AT109" s="994">
        <f>IFERROR(Producción_Lecheria[[#This Row],[Económico $Corrientes]]/Producción_Lecheria[[#This Row],[Superficie]],0)</f>
        <v>0</v>
      </c>
      <c r="AU109" s="994">
        <f>IFERROR(Producción_Lecheria[[#This Row],[Económico $Constantes]]/Producción_Lecheria[[#This Row],[Superficie]],0)</f>
        <v>0</v>
      </c>
      <c r="AV109" s="994">
        <f>IFERROR(Producción_Lecheria[[#This Row],[Económico U$S Dólares]]/Producción_Lecheria[[#This Row],[Superficie]],0)</f>
        <v>0</v>
      </c>
      <c r="AW109" s="992" t="str">
        <f>IF(Económico!$F$4=0,0,Producción_Lecheria[Centro de Costo])</f>
        <v>Campo 1</v>
      </c>
    </row>
    <row r="110" spans="1:49" x14ac:dyDescent="0.25">
      <c r="A110" s="86"/>
      <c r="B110" s="373"/>
      <c r="C110" s="86"/>
      <c r="D110" s="548">
        <f t="shared" si="9"/>
        <v>43556</v>
      </c>
      <c r="E110" s="522"/>
      <c r="F110" s="479" t="str">
        <f t="shared" si="8"/>
        <v>2018-2019</v>
      </c>
      <c r="G110" s="576" t="str">
        <f>LCH_Venta_Hacienda</f>
        <v>Venta Hacienda</v>
      </c>
      <c r="H110" s="491" t="s">
        <v>2</v>
      </c>
      <c r="I110" s="491" t="s">
        <v>129</v>
      </c>
      <c r="J110" s="549"/>
      <c r="K110" s="484"/>
      <c r="L11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1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10" s="520"/>
      <c r="O11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10" s="563"/>
      <c r="Q110" s="491"/>
      <c r="R110" s="875">
        <f>IF(ISNUMBER(Producción_Lecheria[[#This Row],[Cabezas]])=TRUE,Producción_Lecheria[[#This Row],[Cabezas]]*Producción_Lecheria[[#This Row],[Cantidad]],Producción_Lecheria[[#This Row],[Cantidad]])</f>
        <v>0</v>
      </c>
      <c r="S110" s="491"/>
      <c r="T110" s="552"/>
      <c r="U110" s="553"/>
      <c r="V11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10" s="977">
        <f>IFERROR(Producción_Lecheria[[#This Row],[Económico $Corrientes]]/Producción_Lecheria[[#This Row],[Indexación Económico]],0)</f>
        <v>0</v>
      </c>
      <c r="X11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1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10" s="977">
        <f>IFERROR(Producción_Lecheria[[#This Row],[Financiero $Corrientes]]/Producción_Lecheria[[#This Row],[Indexación Financiero]],0)</f>
        <v>0</v>
      </c>
      <c r="AA11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1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10" s="981">
        <f>IFERROR(Producción_Lecheria[[#This Row],[Intereses $Corrientes]]/Producción_Lecheria[[#This Row],[Indexación Financiero]],0)</f>
        <v>0</v>
      </c>
      <c r="AD11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10" s="991" t="str">
        <f>IFERROR(INDEX(Produccion_Lecheria_Cuentas[],MATCH(Producción_Lecheria[[#This Row],[Cuenta Contable]],Produccion_Lecheria_Cuentas[Cuenta Contable],0),2),0)</f>
        <v>Ingreso</v>
      </c>
      <c r="AF110" s="992">
        <f>IF(Producción_Lecheria[[#This Row],[Mov. Stock]]="(+)",Producción_Lecheria[[#This Row],[Cabezas]],IF(Producción_Lecheria[[#This Row],[Mov. Stock]]="(-)",-Producción_Lecheria[[#This Row],[Cabezas]],0))</f>
        <v>0</v>
      </c>
      <c r="AG110" s="993" t="str">
        <f>IFERROR(INDEX(Produccion_Lecheria_Cuentas[],MATCH(Producción_Lecheria[[#This Row],[Cuenta Contable]],Produccion_Lecheria_Cuentas[Cuenta Contable],0),5),0)</f>
        <v>(-)</v>
      </c>
      <c r="AH110" s="985" t="str">
        <f>IF(Producción_Lecheria[[#This Row],[Cuenta Contable]]=Configuración!$AC$9,"Si","No")</f>
        <v>No</v>
      </c>
      <c r="AI110" s="983" t="str">
        <f>IFERROR(INDEX(Tabla9[],MATCH(Producción_Lecheria[[#This Row],[Movimiento]],Tabla9[Movimientos],0),2),0)</f>
        <v>Si</v>
      </c>
      <c r="AJ110" s="984" t="str">
        <f>IFERROR(INDEX(Tabla9[],MATCH(Producción_Lecheria[[#This Row],[Movimiento]],Tabla9[Movimientos],0),3),0)</f>
        <v>(+)</v>
      </c>
      <c r="AK110" s="981">
        <f>IF(Producción_Lecheria[[#This Row],[Fecha Económico]]=0,0,MONTH(Producción_Lecheria[[#This Row],[Fecha Económico]]))</f>
        <v>4</v>
      </c>
      <c r="AL110" s="981">
        <f>IF(Producción_Lecheria[[#This Row],[Fecha Económico]]=0,0,YEAR(Producción_Lecheria[[#This Row],[Fecha Económico]]))</f>
        <v>2019</v>
      </c>
      <c r="AM110" s="985">
        <f>SUMPRODUCT((Producción_Lecheria[[#This Row],[Mes Económico]]=Tipo_Cambio[Mes])*(Producción_Lecheria[[#This Row],[Año Económico]]=Tipo_Cambio[Año])*(Tipo_Cambio[$/U$S]))</f>
        <v>24.061075999055937</v>
      </c>
      <c r="AN110" s="985">
        <f>SUMPRODUCT((Producción_Lecheria[[#This Row],[Mes Económico]]=Tipo_Cambio[Mes])*(Producción_Lecheria[[#This Row],[Año Económico]]=Tipo_Cambio[Año])*(Tipo_Cambio[Actualización]))</f>
        <v>1.1950925686223111</v>
      </c>
      <c r="AO110" s="981">
        <f>IF(ISNUMBER(Producción_Lecheria[[#This Row],[Fecha Financiero]])=TRUE,MONTH(Producción_Lecheria[[#This Row],[Fecha Financiero]]),0)</f>
        <v>0</v>
      </c>
      <c r="AP110" s="981">
        <f>IF(ISNUMBER(Producción_Lecheria[[#This Row],[Fecha Financiero]])=TRUE,YEAR(Producción_Lecheria[[#This Row],[Fecha Financiero]]),0)</f>
        <v>0</v>
      </c>
      <c r="AQ110" s="985">
        <f>SUMPRODUCT((Producción_Lecheria[[#This Row],[Mes Financiero]]=Tipo_Cambio[Mes])*(Producción_Lecheria[[#This Row],[Año Financiero]]=Tipo_Cambio[Año])*(Tipo_Cambio[$/U$S]))</f>
        <v>0</v>
      </c>
      <c r="AR110" s="985">
        <f>SUMPRODUCT((Producción_Lecheria[[#This Row],[Mes Financiero]]=Tipo_Cambio[Mes])*(Producción_Lecheria[[#This Row],[Año Financiero]]=Tipo_Cambio[Año])*(Tipo_Cambio[Actualización]))</f>
        <v>0</v>
      </c>
      <c r="AS110" s="1009">
        <f>SUMPRODUCT((Producción_Lecheria[[#This Row],[Centro de Costo]]=Tabla1924[Centro de Costo])*(Tabla19[Superficie]))</f>
        <v>2356</v>
      </c>
      <c r="AT110" s="994">
        <f>IFERROR(Producción_Lecheria[[#This Row],[Económico $Corrientes]]/Producción_Lecheria[[#This Row],[Superficie]],0)</f>
        <v>0</v>
      </c>
      <c r="AU110" s="994">
        <f>IFERROR(Producción_Lecheria[[#This Row],[Económico $Constantes]]/Producción_Lecheria[[#This Row],[Superficie]],0)</f>
        <v>0</v>
      </c>
      <c r="AV110" s="994">
        <f>IFERROR(Producción_Lecheria[[#This Row],[Económico U$S Dólares]]/Producción_Lecheria[[#This Row],[Superficie]],0)</f>
        <v>0</v>
      </c>
      <c r="AW110" s="992" t="str">
        <f>IF(Económico!$F$4=0,0,Producción_Lecheria[Centro de Costo])</f>
        <v>Campo 1</v>
      </c>
    </row>
    <row r="111" spans="1:49" x14ac:dyDescent="0.25">
      <c r="A111" s="86"/>
      <c r="B111" s="373"/>
      <c r="C111" s="86"/>
      <c r="D111" s="548">
        <f t="shared" si="9"/>
        <v>43556</v>
      </c>
      <c r="E111" s="522"/>
      <c r="F111" s="479" t="str">
        <f t="shared" si="8"/>
        <v>2018-2019</v>
      </c>
      <c r="G111" s="490" t="s">
        <v>127</v>
      </c>
      <c r="H111" s="491" t="s">
        <v>2</v>
      </c>
      <c r="I111" s="491"/>
      <c r="J111" s="549"/>
      <c r="K111" s="484"/>
      <c r="L11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1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11" s="520"/>
      <c r="O11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11" s="563"/>
      <c r="Q111" s="491"/>
      <c r="R111" s="875">
        <f>IF(ISNUMBER(Producción_Lecheria[[#This Row],[Cabezas]])=TRUE,Producción_Lecheria[[#This Row],[Cabezas]]*Producción_Lecheria[[#This Row],[Cantidad]],Producción_Lecheria[[#This Row],[Cantidad]])</f>
        <v>0</v>
      </c>
      <c r="S111" s="491"/>
      <c r="T111" s="552"/>
      <c r="U111" s="553"/>
      <c r="V11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11" s="977">
        <f>IFERROR(Producción_Lecheria[[#This Row],[Económico $Corrientes]]/Producción_Lecheria[[#This Row],[Indexación Económico]],0)</f>
        <v>0</v>
      </c>
      <c r="X11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1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11" s="977">
        <f>IFERROR(Producción_Lecheria[[#This Row],[Financiero $Corrientes]]/Producción_Lecheria[[#This Row],[Indexación Financiero]],0)</f>
        <v>0</v>
      </c>
      <c r="AA11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1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11" s="981">
        <f>IFERROR(Producción_Lecheria[[#This Row],[Intereses $Corrientes]]/Producción_Lecheria[[#This Row],[Indexación Financiero]],0)</f>
        <v>0</v>
      </c>
      <c r="AD11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11" s="991" t="str">
        <f>IFERROR(INDEX(Produccion_Lecheria_Cuentas[],MATCH(Producción_Lecheria[[#This Row],[Cuenta Contable]],Produccion_Lecheria_Cuentas[Cuenta Contable],0),2),0)</f>
        <v>Egreso</v>
      </c>
      <c r="AF111" s="992">
        <f>IF(Producción_Lecheria[[#This Row],[Mov. Stock]]="(+)",Producción_Lecheria[[#This Row],[Cabezas]],IF(Producción_Lecheria[[#This Row],[Mov. Stock]]="(-)",-Producción_Lecheria[[#This Row],[Cabezas]],0))</f>
        <v>0</v>
      </c>
      <c r="AG111" s="993">
        <f>IFERROR(INDEX(Produccion_Lecheria_Cuentas[],MATCH(Producción_Lecheria[[#This Row],[Cuenta Contable]],Produccion_Lecheria_Cuentas[Cuenta Contable],0),5),0)</f>
        <v>0</v>
      </c>
      <c r="AH111" s="985" t="str">
        <f>IF(Producción_Lecheria[[#This Row],[Cuenta Contable]]=Configuración!$AC$9,"Si","No")</f>
        <v>No</v>
      </c>
      <c r="AI111" s="983" t="str">
        <f>IFERROR(INDEX(Tabla9[],MATCH(Producción_Lecheria[[#This Row],[Movimiento]],Tabla9[Movimientos],0),2),0)</f>
        <v>Si</v>
      </c>
      <c r="AJ111" s="984" t="str">
        <f>IFERROR(INDEX(Tabla9[],MATCH(Producción_Lecheria[[#This Row],[Movimiento]],Tabla9[Movimientos],0),3),0)</f>
        <v>(-)</v>
      </c>
      <c r="AK111" s="981">
        <f>IF(Producción_Lecheria[[#This Row],[Fecha Económico]]=0,0,MONTH(Producción_Lecheria[[#This Row],[Fecha Económico]]))</f>
        <v>4</v>
      </c>
      <c r="AL111" s="981">
        <f>IF(Producción_Lecheria[[#This Row],[Fecha Económico]]=0,0,YEAR(Producción_Lecheria[[#This Row],[Fecha Económico]]))</f>
        <v>2019</v>
      </c>
      <c r="AM111" s="985">
        <f>SUMPRODUCT((Producción_Lecheria[[#This Row],[Mes Económico]]=Tipo_Cambio[Mes])*(Producción_Lecheria[[#This Row],[Año Económico]]=Tipo_Cambio[Año])*(Tipo_Cambio[$/U$S]))</f>
        <v>24.061075999055937</v>
      </c>
      <c r="AN111" s="985">
        <f>SUMPRODUCT((Producción_Lecheria[[#This Row],[Mes Económico]]=Tipo_Cambio[Mes])*(Producción_Lecheria[[#This Row],[Año Económico]]=Tipo_Cambio[Año])*(Tipo_Cambio[Actualización]))</f>
        <v>1.1950925686223111</v>
      </c>
      <c r="AO111" s="981">
        <f>IF(ISNUMBER(Producción_Lecheria[[#This Row],[Fecha Financiero]])=TRUE,MONTH(Producción_Lecheria[[#This Row],[Fecha Financiero]]),0)</f>
        <v>0</v>
      </c>
      <c r="AP111" s="981">
        <f>IF(ISNUMBER(Producción_Lecheria[[#This Row],[Fecha Financiero]])=TRUE,YEAR(Producción_Lecheria[[#This Row],[Fecha Financiero]]),0)</f>
        <v>0</v>
      </c>
      <c r="AQ111" s="985">
        <f>SUMPRODUCT((Producción_Lecheria[[#This Row],[Mes Financiero]]=Tipo_Cambio[Mes])*(Producción_Lecheria[[#This Row],[Año Financiero]]=Tipo_Cambio[Año])*(Tipo_Cambio[$/U$S]))</f>
        <v>0</v>
      </c>
      <c r="AR111" s="985">
        <f>SUMPRODUCT((Producción_Lecheria[[#This Row],[Mes Financiero]]=Tipo_Cambio[Mes])*(Producción_Lecheria[[#This Row],[Año Financiero]]=Tipo_Cambio[Año])*(Tipo_Cambio[Actualización]))</f>
        <v>0</v>
      </c>
      <c r="AS111" s="1009">
        <f>SUMPRODUCT((Producción_Lecheria[[#This Row],[Centro de Costo]]=Tabla1924[Centro de Costo])*(Tabla19[Superficie]))</f>
        <v>2356</v>
      </c>
      <c r="AT111" s="994">
        <f>IFERROR(Producción_Lecheria[[#This Row],[Económico $Corrientes]]/Producción_Lecheria[[#This Row],[Superficie]],0)</f>
        <v>0</v>
      </c>
      <c r="AU111" s="994">
        <f>IFERROR(Producción_Lecheria[[#This Row],[Económico $Constantes]]/Producción_Lecheria[[#This Row],[Superficie]],0)</f>
        <v>0</v>
      </c>
      <c r="AV111" s="994">
        <f>IFERROR(Producción_Lecheria[[#This Row],[Económico U$S Dólares]]/Producción_Lecheria[[#This Row],[Superficie]],0)</f>
        <v>0</v>
      </c>
      <c r="AW111" s="992" t="str">
        <f>IF(Económico!$F$4=0,0,Producción_Lecheria[Centro de Costo])</f>
        <v>Campo 1</v>
      </c>
    </row>
    <row r="112" spans="1:49" x14ac:dyDescent="0.25">
      <c r="A112" s="86"/>
      <c r="B112" s="373"/>
      <c r="C112" s="86"/>
      <c r="D112" s="548">
        <f>DATE(IF(MONTH(D108)=1,YEAR(D108+1),YEAR(D108)),MONTH(D108)+1,1)</f>
        <v>43586</v>
      </c>
      <c r="E112" s="522"/>
      <c r="F112" s="479" t="str">
        <f t="shared" si="8"/>
        <v>2018-2019</v>
      </c>
      <c r="G112" s="490" t="str">
        <f>LCH_Venta_Hacienda</f>
        <v>Venta Hacienda</v>
      </c>
      <c r="H112" s="491" t="s">
        <v>2</v>
      </c>
      <c r="I112" s="491" t="s">
        <v>485</v>
      </c>
      <c r="J112" s="549"/>
      <c r="K112" s="484"/>
      <c r="L11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1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12" s="520"/>
      <c r="O11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12" s="563"/>
      <c r="Q112" s="491"/>
      <c r="R112" s="875">
        <f>IF(ISNUMBER(Producción_Lecheria[[#This Row],[Cabezas]])=TRUE,Producción_Lecheria[[#This Row],[Cabezas]]*Producción_Lecheria[[#This Row],[Cantidad]],Producción_Lecheria[[#This Row],[Cantidad]])</f>
        <v>0</v>
      </c>
      <c r="S112" s="491"/>
      <c r="T112" s="552"/>
      <c r="U112" s="553"/>
      <c r="V11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12" s="977">
        <f>IFERROR(Producción_Lecheria[[#This Row],[Económico $Corrientes]]/Producción_Lecheria[[#This Row],[Indexación Económico]],0)</f>
        <v>0</v>
      </c>
      <c r="X11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1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12" s="977">
        <f>IFERROR(Producción_Lecheria[[#This Row],[Financiero $Corrientes]]/Producción_Lecheria[[#This Row],[Indexación Financiero]],0)</f>
        <v>0</v>
      </c>
      <c r="AA11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1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12" s="981">
        <f>IFERROR(Producción_Lecheria[[#This Row],[Intereses $Corrientes]]/Producción_Lecheria[[#This Row],[Indexación Financiero]],0)</f>
        <v>0</v>
      </c>
      <c r="AD11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12" s="991" t="str">
        <f>IFERROR(INDEX(Produccion_Lecheria_Cuentas[],MATCH(Producción_Lecheria[[#This Row],[Cuenta Contable]],Produccion_Lecheria_Cuentas[Cuenta Contable],0),2),0)</f>
        <v>Ingreso</v>
      </c>
      <c r="AF112" s="992">
        <f>IF(Producción_Lecheria[[#This Row],[Mov. Stock]]="(+)",Producción_Lecheria[[#This Row],[Cabezas]],IF(Producción_Lecheria[[#This Row],[Mov. Stock]]="(-)",-Producción_Lecheria[[#This Row],[Cabezas]],0))</f>
        <v>0</v>
      </c>
      <c r="AG112" s="993" t="str">
        <f>IFERROR(INDEX(Produccion_Lecheria_Cuentas[],MATCH(Producción_Lecheria[[#This Row],[Cuenta Contable]],Produccion_Lecheria_Cuentas[Cuenta Contable],0),5),0)</f>
        <v>(-)</v>
      </c>
      <c r="AH112" s="985" t="str">
        <f>IF(Producción_Lecheria[[#This Row],[Cuenta Contable]]=Configuración!$AC$9,"Si","No")</f>
        <v>No</v>
      </c>
      <c r="AI112" s="983" t="str">
        <f>IFERROR(INDEX(Tabla9[],MATCH(Producción_Lecheria[[#This Row],[Movimiento]],Tabla9[Movimientos],0),2),0)</f>
        <v>Si</v>
      </c>
      <c r="AJ112" s="984" t="str">
        <f>IFERROR(INDEX(Tabla9[],MATCH(Producción_Lecheria[[#This Row],[Movimiento]],Tabla9[Movimientos],0),3),0)</f>
        <v>(+)</v>
      </c>
      <c r="AK112" s="981">
        <f>IF(Producción_Lecheria[[#This Row],[Fecha Económico]]=0,0,MONTH(Producción_Lecheria[[#This Row],[Fecha Económico]]))</f>
        <v>5</v>
      </c>
      <c r="AL112" s="981">
        <f>IF(Producción_Lecheria[[#This Row],[Fecha Económico]]=0,0,YEAR(Producción_Lecheria[[#This Row],[Fecha Económico]]))</f>
        <v>2019</v>
      </c>
      <c r="AM112" s="985">
        <f>SUMPRODUCT((Producción_Lecheria[[#This Row],[Mes Económico]]=Tipo_Cambio[Mes])*(Producción_Lecheria[[#This Row],[Año Económico]]=Tipo_Cambio[Año])*(Tipo_Cambio[$/U$S]))</f>
        <v>24.301686759046497</v>
      </c>
      <c r="AN112" s="985">
        <f>SUMPRODUCT((Producción_Lecheria[[#This Row],[Mes Económico]]=Tipo_Cambio[Mes])*(Producción_Lecheria[[#This Row],[Año Económico]]=Tipo_Cambio[Año])*(Tipo_Cambio[Actualización]))</f>
        <v>1.2189944199947573</v>
      </c>
      <c r="AO112" s="981">
        <f>IF(ISNUMBER(Producción_Lecheria[[#This Row],[Fecha Financiero]])=TRUE,MONTH(Producción_Lecheria[[#This Row],[Fecha Financiero]]),0)</f>
        <v>0</v>
      </c>
      <c r="AP112" s="981">
        <f>IF(ISNUMBER(Producción_Lecheria[[#This Row],[Fecha Financiero]])=TRUE,YEAR(Producción_Lecheria[[#This Row],[Fecha Financiero]]),0)</f>
        <v>0</v>
      </c>
      <c r="AQ112" s="985">
        <f>SUMPRODUCT((Producción_Lecheria[[#This Row],[Mes Financiero]]=Tipo_Cambio[Mes])*(Producción_Lecheria[[#This Row],[Año Financiero]]=Tipo_Cambio[Año])*(Tipo_Cambio[$/U$S]))</f>
        <v>0</v>
      </c>
      <c r="AR112" s="985">
        <f>SUMPRODUCT((Producción_Lecheria[[#This Row],[Mes Financiero]]=Tipo_Cambio[Mes])*(Producción_Lecheria[[#This Row],[Año Financiero]]=Tipo_Cambio[Año])*(Tipo_Cambio[Actualización]))</f>
        <v>0</v>
      </c>
      <c r="AS112" s="1009">
        <f>SUMPRODUCT((Producción_Lecheria[[#This Row],[Centro de Costo]]=Tabla1924[Centro de Costo])*(Tabla19[Superficie]))</f>
        <v>2356</v>
      </c>
      <c r="AT112" s="994">
        <f>IFERROR(Producción_Lecheria[[#This Row],[Económico $Corrientes]]/Producción_Lecheria[[#This Row],[Superficie]],0)</f>
        <v>0</v>
      </c>
      <c r="AU112" s="994">
        <f>IFERROR(Producción_Lecheria[[#This Row],[Económico $Constantes]]/Producción_Lecheria[[#This Row],[Superficie]],0)</f>
        <v>0</v>
      </c>
      <c r="AV112" s="994">
        <f>IFERROR(Producción_Lecheria[[#This Row],[Económico U$S Dólares]]/Producción_Lecheria[[#This Row],[Superficie]],0)</f>
        <v>0</v>
      </c>
      <c r="AW112" s="992" t="str">
        <f>IF(Económico!$F$4=0,0,Producción_Lecheria[Centro de Costo])</f>
        <v>Campo 1</v>
      </c>
    </row>
    <row r="113" spans="1:49" x14ac:dyDescent="0.25">
      <c r="A113" s="86"/>
      <c r="B113" s="373"/>
      <c r="C113" s="86"/>
      <c r="D113" s="548">
        <f t="shared" si="9"/>
        <v>43586</v>
      </c>
      <c r="E113" s="522"/>
      <c r="F113" s="479" t="str">
        <f t="shared" si="8"/>
        <v>2018-2019</v>
      </c>
      <c r="G113" s="576" t="str">
        <f>LCH_Venta_Hacienda</f>
        <v>Venta Hacienda</v>
      </c>
      <c r="H113" s="491" t="s">
        <v>2</v>
      </c>
      <c r="I113" s="491" t="s">
        <v>131</v>
      </c>
      <c r="J113" s="549"/>
      <c r="K113" s="484"/>
      <c r="L11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1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13" s="520"/>
      <c r="O11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13" s="563"/>
      <c r="Q113" s="491"/>
      <c r="R113" s="875">
        <f>IF(ISNUMBER(Producción_Lecheria[[#This Row],[Cabezas]])=TRUE,Producción_Lecheria[[#This Row],[Cabezas]]*Producción_Lecheria[[#This Row],[Cantidad]],Producción_Lecheria[[#This Row],[Cantidad]])</f>
        <v>0</v>
      </c>
      <c r="S113" s="491"/>
      <c r="T113" s="552"/>
      <c r="U113" s="553"/>
      <c r="V11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13" s="977">
        <f>IFERROR(Producción_Lecheria[[#This Row],[Económico $Corrientes]]/Producción_Lecheria[[#This Row],[Indexación Económico]],0)</f>
        <v>0</v>
      </c>
      <c r="X11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1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13" s="977">
        <f>IFERROR(Producción_Lecheria[[#This Row],[Financiero $Corrientes]]/Producción_Lecheria[[#This Row],[Indexación Financiero]],0)</f>
        <v>0</v>
      </c>
      <c r="AA11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1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13" s="981">
        <f>IFERROR(Producción_Lecheria[[#This Row],[Intereses $Corrientes]]/Producción_Lecheria[[#This Row],[Indexación Financiero]],0)</f>
        <v>0</v>
      </c>
      <c r="AD11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13" s="991" t="str">
        <f>IFERROR(INDEX(Produccion_Lecheria_Cuentas[],MATCH(Producción_Lecheria[[#This Row],[Cuenta Contable]],Produccion_Lecheria_Cuentas[Cuenta Contable],0),2),0)</f>
        <v>Ingreso</v>
      </c>
      <c r="AF113" s="992">
        <f>IF(Producción_Lecheria[[#This Row],[Mov. Stock]]="(+)",Producción_Lecheria[[#This Row],[Cabezas]],IF(Producción_Lecheria[[#This Row],[Mov. Stock]]="(-)",-Producción_Lecheria[[#This Row],[Cabezas]],0))</f>
        <v>0</v>
      </c>
      <c r="AG113" s="993" t="str">
        <f>IFERROR(INDEX(Produccion_Lecheria_Cuentas[],MATCH(Producción_Lecheria[[#This Row],[Cuenta Contable]],Produccion_Lecheria_Cuentas[Cuenta Contable],0),5),0)</f>
        <v>(-)</v>
      </c>
      <c r="AH113" s="985" t="str">
        <f>IF(Producción_Lecheria[[#This Row],[Cuenta Contable]]=Configuración!$AC$9,"Si","No")</f>
        <v>No</v>
      </c>
      <c r="AI113" s="983" t="str">
        <f>IFERROR(INDEX(Tabla9[],MATCH(Producción_Lecheria[[#This Row],[Movimiento]],Tabla9[Movimientos],0),2),0)</f>
        <v>Si</v>
      </c>
      <c r="AJ113" s="984" t="str">
        <f>IFERROR(INDEX(Tabla9[],MATCH(Producción_Lecheria[[#This Row],[Movimiento]],Tabla9[Movimientos],0),3),0)</f>
        <v>(+)</v>
      </c>
      <c r="AK113" s="981">
        <f>IF(Producción_Lecheria[[#This Row],[Fecha Económico]]=0,0,MONTH(Producción_Lecheria[[#This Row],[Fecha Económico]]))</f>
        <v>5</v>
      </c>
      <c r="AL113" s="981">
        <f>IF(Producción_Lecheria[[#This Row],[Fecha Económico]]=0,0,YEAR(Producción_Lecheria[[#This Row],[Fecha Económico]]))</f>
        <v>2019</v>
      </c>
      <c r="AM113" s="985">
        <f>SUMPRODUCT((Producción_Lecheria[[#This Row],[Mes Económico]]=Tipo_Cambio[Mes])*(Producción_Lecheria[[#This Row],[Año Económico]]=Tipo_Cambio[Año])*(Tipo_Cambio[$/U$S]))</f>
        <v>24.301686759046497</v>
      </c>
      <c r="AN113" s="985">
        <f>SUMPRODUCT((Producción_Lecheria[[#This Row],[Mes Económico]]=Tipo_Cambio[Mes])*(Producción_Lecheria[[#This Row],[Año Económico]]=Tipo_Cambio[Año])*(Tipo_Cambio[Actualización]))</f>
        <v>1.2189944199947573</v>
      </c>
      <c r="AO113" s="981">
        <f>IF(ISNUMBER(Producción_Lecheria[[#This Row],[Fecha Financiero]])=TRUE,MONTH(Producción_Lecheria[[#This Row],[Fecha Financiero]]),0)</f>
        <v>0</v>
      </c>
      <c r="AP113" s="981">
        <f>IF(ISNUMBER(Producción_Lecheria[[#This Row],[Fecha Financiero]])=TRUE,YEAR(Producción_Lecheria[[#This Row],[Fecha Financiero]]),0)</f>
        <v>0</v>
      </c>
      <c r="AQ113" s="985">
        <f>SUMPRODUCT((Producción_Lecheria[[#This Row],[Mes Financiero]]=Tipo_Cambio[Mes])*(Producción_Lecheria[[#This Row],[Año Financiero]]=Tipo_Cambio[Año])*(Tipo_Cambio[$/U$S]))</f>
        <v>0</v>
      </c>
      <c r="AR113" s="985">
        <f>SUMPRODUCT((Producción_Lecheria[[#This Row],[Mes Financiero]]=Tipo_Cambio[Mes])*(Producción_Lecheria[[#This Row],[Año Financiero]]=Tipo_Cambio[Año])*(Tipo_Cambio[Actualización]))</f>
        <v>0</v>
      </c>
      <c r="AS113" s="1009">
        <f>SUMPRODUCT((Producción_Lecheria[[#This Row],[Centro de Costo]]=Tabla1924[Centro de Costo])*(Tabla19[Superficie]))</f>
        <v>2356</v>
      </c>
      <c r="AT113" s="994">
        <f>IFERROR(Producción_Lecheria[[#This Row],[Económico $Corrientes]]/Producción_Lecheria[[#This Row],[Superficie]],0)</f>
        <v>0</v>
      </c>
      <c r="AU113" s="994">
        <f>IFERROR(Producción_Lecheria[[#This Row],[Económico $Constantes]]/Producción_Lecheria[[#This Row],[Superficie]],0)</f>
        <v>0</v>
      </c>
      <c r="AV113" s="994">
        <f>IFERROR(Producción_Lecheria[[#This Row],[Económico U$S Dólares]]/Producción_Lecheria[[#This Row],[Superficie]],0)</f>
        <v>0</v>
      </c>
      <c r="AW113" s="992" t="str">
        <f>IF(Económico!$F$4=0,0,Producción_Lecheria[Centro de Costo])</f>
        <v>Campo 1</v>
      </c>
    </row>
    <row r="114" spans="1:49" x14ac:dyDescent="0.25">
      <c r="A114" s="86"/>
      <c r="B114" s="373"/>
      <c r="C114" s="86"/>
      <c r="D114" s="548">
        <f t="shared" si="9"/>
        <v>43586</v>
      </c>
      <c r="E114" s="522"/>
      <c r="F114" s="479" t="str">
        <f t="shared" si="8"/>
        <v>2018-2019</v>
      </c>
      <c r="G114" s="576" t="str">
        <f>LCH_Venta_Hacienda</f>
        <v>Venta Hacienda</v>
      </c>
      <c r="H114" s="491" t="s">
        <v>2</v>
      </c>
      <c r="I114" s="491" t="s">
        <v>129</v>
      </c>
      <c r="J114" s="549"/>
      <c r="K114" s="484"/>
      <c r="L11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1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14" s="520"/>
      <c r="O11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14" s="563"/>
      <c r="Q114" s="491"/>
      <c r="R114" s="875">
        <f>IF(ISNUMBER(Producción_Lecheria[[#This Row],[Cabezas]])=TRUE,Producción_Lecheria[[#This Row],[Cabezas]]*Producción_Lecheria[[#This Row],[Cantidad]],Producción_Lecheria[[#This Row],[Cantidad]])</f>
        <v>0</v>
      </c>
      <c r="S114" s="491"/>
      <c r="T114" s="552"/>
      <c r="U114" s="553"/>
      <c r="V11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14" s="977">
        <f>IFERROR(Producción_Lecheria[[#This Row],[Económico $Corrientes]]/Producción_Lecheria[[#This Row],[Indexación Económico]],0)</f>
        <v>0</v>
      </c>
      <c r="X11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1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14" s="977">
        <f>IFERROR(Producción_Lecheria[[#This Row],[Financiero $Corrientes]]/Producción_Lecheria[[#This Row],[Indexación Financiero]],0)</f>
        <v>0</v>
      </c>
      <c r="AA11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1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14" s="981">
        <f>IFERROR(Producción_Lecheria[[#This Row],[Intereses $Corrientes]]/Producción_Lecheria[[#This Row],[Indexación Financiero]],0)</f>
        <v>0</v>
      </c>
      <c r="AD11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14" s="991" t="str">
        <f>IFERROR(INDEX(Produccion_Lecheria_Cuentas[],MATCH(Producción_Lecheria[[#This Row],[Cuenta Contable]],Produccion_Lecheria_Cuentas[Cuenta Contable],0),2),0)</f>
        <v>Ingreso</v>
      </c>
      <c r="AF114" s="992">
        <f>IF(Producción_Lecheria[[#This Row],[Mov. Stock]]="(+)",Producción_Lecheria[[#This Row],[Cabezas]],IF(Producción_Lecheria[[#This Row],[Mov. Stock]]="(-)",-Producción_Lecheria[[#This Row],[Cabezas]],0))</f>
        <v>0</v>
      </c>
      <c r="AG114" s="993" t="str">
        <f>IFERROR(INDEX(Produccion_Lecheria_Cuentas[],MATCH(Producción_Lecheria[[#This Row],[Cuenta Contable]],Produccion_Lecheria_Cuentas[Cuenta Contable],0),5),0)</f>
        <v>(-)</v>
      </c>
      <c r="AH114" s="985" t="str">
        <f>IF(Producción_Lecheria[[#This Row],[Cuenta Contable]]=Configuración!$AC$9,"Si","No")</f>
        <v>No</v>
      </c>
      <c r="AI114" s="983" t="str">
        <f>IFERROR(INDEX(Tabla9[],MATCH(Producción_Lecheria[[#This Row],[Movimiento]],Tabla9[Movimientos],0),2),0)</f>
        <v>Si</v>
      </c>
      <c r="AJ114" s="984" t="str">
        <f>IFERROR(INDEX(Tabla9[],MATCH(Producción_Lecheria[[#This Row],[Movimiento]],Tabla9[Movimientos],0),3),0)</f>
        <v>(+)</v>
      </c>
      <c r="AK114" s="981">
        <f>IF(Producción_Lecheria[[#This Row],[Fecha Económico]]=0,0,MONTH(Producción_Lecheria[[#This Row],[Fecha Económico]]))</f>
        <v>5</v>
      </c>
      <c r="AL114" s="981">
        <f>IF(Producción_Lecheria[[#This Row],[Fecha Económico]]=0,0,YEAR(Producción_Lecheria[[#This Row],[Fecha Económico]]))</f>
        <v>2019</v>
      </c>
      <c r="AM114" s="985">
        <f>SUMPRODUCT((Producción_Lecheria[[#This Row],[Mes Económico]]=Tipo_Cambio[Mes])*(Producción_Lecheria[[#This Row],[Año Económico]]=Tipo_Cambio[Año])*(Tipo_Cambio[$/U$S]))</f>
        <v>24.301686759046497</v>
      </c>
      <c r="AN114" s="985">
        <f>SUMPRODUCT((Producción_Lecheria[[#This Row],[Mes Económico]]=Tipo_Cambio[Mes])*(Producción_Lecheria[[#This Row],[Año Económico]]=Tipo_Cambio[Año])*(Tipo_Cambio[Actualización]))</f>
        <v>1.2189944199947573</v>
      </c>
      <c r="AO114" s="981">
        <f>IF(ISNUMBER(Producción_Lecheria[[#This Row],[Fecha Financiero]])=TRUE,MONTH(Producción_Lecheria[[#This Row],[Fecha Financiero]]),0)</f>
        <v>0</v>
      </c>
      <c r="AP114" s="981">
        <f>IF(ISNUMBER(Producción_Lecheria[[#This Row],[Fecha Financiero]])=TRUE,YEAR(Producción_Lecheria[[#This Row],[Fecha Financiero]]),0)</f>
        <v>0</v>
      </c>
      <c r="AQ114" s="985">
        <f>SUMPRODUCT((Producción_Lecheria[[#This Row],[Mes Financiero]]=Tipo_Cambio[Mes])*(Producción_Lecheria[[#This Row],[Año Financiero]]=Tipo_Cambio[Año])*(Tipo_Cambio[$/U$S]))</f>
        <v>0</v>
      </c>
      <c r="AR114" s="985">
        <f>SUMPRODUCT((Producción_Lecheria[[#This Row],[Mes Financiero]]=Tipo_Cambio[Mes])*(Producción_Lecheria[[#This Row],[Año Financiero]]=Tipo_Cambio[Año])*(Tipo_Cambio[Actualización]))</f>
        <v>0</v>
      </c>
      <c r="AS114" s="1009">
        <f>SUMPRODUCT((Producción_Lecheria[[#This Row],[Centro de Costo]]=Tabla1924[Centro de Costo])*(Tabla19[Superficie]))</f>
        <v>2356</v>
      </c>
      <c r="AT114" s="994">
        <f>IFERROR(Producción_Lecheria[[#This Row],[Económico $Corrientes]]/Producción_Lecheria[[#This Row],[Superficie]],0)</f>
        <v>0</v>
      </c>
      <c r="AU114" s="994">
        <f>IFERROR(Producción_Lecheria[[#This Row],[Económico $Constantes]]/Producción_Lecheria[[#This Row],[Superficie]],0)</f>
        <v>0</v>
      </c>
      <c r="AV114" s="994">
        <f>IFERROR(Producción_Lecheria[[#This Row],[Económico U$S Dólares]]/Producción_Lecheria[[#This Row],[Superficie]],0)</f>
        <v>0</v>
      </c>
      <c r="AW114" s="992" t="str">
        <f>IF(Económico!$F$4=0,0,Producción_Lecheria[Centro de Costo])</f>
        <v>Campo 1</v>
      </c>
    </row>
    <row r="115" spans="1:49" x14ac:dyDescent="0.25">
      <c r="A115" s="86"/>
      <c r="B115" s="373"/>
      <c r="C115" s="86"/>
      <c r="D115" s="548">
        <f t="shared" si="9"/>
        <v>43586</v>
      </c>
      <c r="E115" s="522"/>
      <c r="F115" s="479" t="str">
        <f t="shared" si="8"/>
        <v>2018-2019</v>
      </c>
      <c r="G115" s="490" t="s">
        <v>127</v>
      </c>
      <c r="H115" s="491" t="s">
        <v>2</v>
      </c>
      <c r="I115" s="491"/>
      <c r="J115" s="549"/>
      <c r="K115" s="484"/>
      <c r="L11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1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15" s="520"/>
      <c r="O11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15" s="563"/>
      <c r="Q115" s="491"/>
      <c r="R115" s="875">
        <f>IF(ISNUMBER(Producción_Lecheria[[#This Row],[Cabezas]])=TRUE,Producción_Lecheria[[#This Row],[Cabezas]]*Producción_Lecheria[[#This Row],[Cantidad]],Producción_Lecheria[[#This Row],[Cantidad]])</f>
        <v>0</v>
      </c>
      <c r="S115" s="491"/>
      <c r="T115" s="552"/>
      <c r="U115" s="553"/>
      <c r="V11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15" s="977">
        <f>IFERROR(Producción_Lecheria[[#This Row],[Económico $Corrientes]]/Producción_Lecheria[[#This Row],[Indexación Económico]],0)</f>
        <v>0</v>
      </c>
      <c r="X11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1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15" s="977">
        <f>IFERROR(Producción_Lecheria[[#This Row],[Financiero $Corrientes]]/Producción_Lecheria[[#This Row],[Indexación Financiero]],0)</f>
        <v>0</v>
      </c>
      <c r="AA11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1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15" s="981">
        <f>IFERROR(Producción_Lecheria[[#This Row],[Intereses $Corrientes]]/Producción_Lecheria[[#This Row],[Indexación Financiero]],0)</f>
        <v>0</v>
      </c>
      <c r="AD11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15" s="991" t="str">
        <f>IFERROR(INDEX(Produccion_Lecheria_Cuentas[],MATCH(Producción_Lecheria[[#This Row],[Cuenta Contable]],Produccion_Lecheria_Cuentas[Cuenta Contable],0),2),0)</f>
        <v>Egreso</v>
      </c>
      <c r="AF115" s="992">
        <f>IF(Producción_Lecheria[[#This Row],[Mov. Stock]]="(+)",Producción_Lecheria[[#This Row],[Cabezas]],IF(Producción_Lecheria[[#This Row],[Mov. Stock]]="(-)",-Producción_Lecheria[[#This Row],[Cabezas]],0))</f>
        <v>0</v>
      </c>
      <c r="AG115" s="993">
        <f>IFERROR(INDEX(Produccion_Lecheria_Cuentas[],MATCH(Producción_Lecheria[[#This Row],[Cuenta Contable]],Produccion_Lecheria_Cuentas[Cuenta Contable],0),5),0)</f>
        <v>0</v>
      </c>
      <c r="AH115" s="985" t="str">
        <f>IF(Producción_Lecheria[[#This Row],[Cuenta Contable]]=Configuración!$AC$9,"Si","No")</f>
        <v>No</v>
      </c>
      <c r="AI115" s="983" t="str">
        <f>IFERROR(INDEX(Tabla9[],MATCH(Producción_Lecheria[[#This Row],[Movimiento]],Tabla9[Movimientos],0),2),0)</f>
        <v>Si</v>
      </c>
      <c r="AJ115" s="984" t="str">
        <f>IFERROR(INDEX(Tabla9[],MATCH(Producción_Lecheria[[#This Row],[Movimiento]],Tabla9[Movimientos],0),3),0)</f>
        <v>(-)</v>
      </c>
      <c r="AK115" s="981">
        <f>IF(Producción_Lecheria[[#This Row],[Fecha Económico]]=0,0,MONTH(Producción_Lecheria[[#This Row],[Fecha Económico]]))</f>
        <v>5</v>
      </c>
      <c r="AL115" s="981">
        <f>IF(Producción_Lecheria[[#This Row],[Fecha Económico]]=0,0,YEAR(Producción_Lecheria[[#This Row],[Fecha Económico]]))</f>
        <v>2019</v>
      </c>
      <c r="AM115" s="985">
        <f>SUMPRODUCT((Producción_Lecheria[[#This Row],[Mes Económico]]=Tipo_Cambio[Mes])*(Producción_Lecheria[[#This Row],[Año Económico]]=Tipo_Cambio[Año])*(Tipo_Cambio[$/U$S]))</f>
        <v>24.301686759046497</v>
      </c>
      <c r="AN115" s="985">
        <f>SUMPRODUCT((Producción_Lecheria[[#This Row],[Mes Económico]]=Tipo_Cambio[Mes])*(Producción_Lecheria[[#This Row],[Año Económico]]=Tipo_Cambio[Año])*(Tipo_Cambio[Actualización]))</f>
        <v>1.2189944199947573</v>
      </c>
      <c r="AO115" s="981">
        <f>IF(ISNUMBER(Producción_Lecheria[[#This Row],[Fecha Financiero]])=TRUE,MONTH(Producción_Lecheria[[#This Row],[Fecha Financiero]]),0)</f>
        <v>0</v>
      </c>
      <c r="AP115" s="981">
        <f>IF(ISNUMBER(Producción_Lecheria[[#This Row],[Fecha Financiero]])=TRUE,YEAR(Producción_Lecheria[[#This Row],[Fecha Financiero]]),0)</f>
        <v>0</v>
      </c>
      <c r="AQ115" s="985">
        <f>SUMPRODUCT((Producción_Lecheria[[#This Row],[Mes Financiero]]=Tipo_Cambio[Mes])*(Producción_Lecheria[[#This Row],[Año Financiero]]=Tipo_Cambio[Año])*(Tipo_Cambio[$/U$S]))</f>
        <v>0</v>
      </c>
      <c r="AR115" s="985">
        <f>SUMPRODUCT((Producción_Lecheria[[#This Row],[Mes Financiero]]=Tipo_Cambio[Mes])*(Producción_Lecheria[[#This Row],[Año Financiero]]=Tipo_Cambio[Año])*(Tipo_Cambio[Actualización]))</f>
        <v>0</v>
      </c>
      <c r="AS115" s="1009">
        <f>SUMPRODUCT((Producción_Lecheria[[#This Row],[Centro de Costo]]=Tabla1924[Centro de Costo])*(Tabla19[Superficie]))</f>
        <v>2356</v>
      </c>
      <c r="AT115" s="994">
        <f>IFERROR(Producción_Lecheria[[#This Row],[Económico $Corrientes]]/Producción_Lecheria[[#This Row],[Superficie]],0)</f>
        <v>0</v>
      </c>
      <c r="AU115" s="994">
        <f>IFERROR(Producción_Lecheria[[#This Row],[Económico $Constantes]]/Producción_Lecheria[[#This Row],[Superficie]],0)</f>
        <v>0</v>
      </c>
      <c r="AV115" s="994">
        <f>IFERROR(Producción_Lecheria[[#This Row],[Económico U$S Dólares]]/Producción_Lecheria[[#This Row],[Superficie]],0)</f>
        <v>0</v>
      </c>
      <c r="AW115" s="992" t="str">
        <f>IF(Económico!$F$4=0,0,Producción_Lecheria[Centro de Costo])</f>
        <v>Campo 1</v>
      </c>
    </row>
    <row r="116" spans="1:49" x14ac:dyDescent="0.25">
      <c r="A116" s="86"/>
      <c r="B116" s="373"/>
      <c r="C116" s="86"/>
      <c r="D116" s="548">
        <f>DATE(IF(MONTH(D112)=1,YEAR(D112+1),YEAR(D112)),MONTH(D112)+1,1)</f>
        <v>43617</v>
      </c>
      <c r="E116" s="522"/>
      <c r="F116" s="479" t="str">
        <f t="shared" si="8"/>
        <v>2018-2019</v>
      </c>
      <c r="G116" s="490" t="str">
        <f>LCH_Venta_Hacienda</f>
        <v>Venta Hacienda</v>
      </c>
      <c r="H116" s="491" t="s">
        <v>2</v>
      </c>
      <c r="I116" s="491" t="s">
        <v>485</v>
      </c>
      <c r="J116" s="549"/>
      <c r="K116" s="484"/>
      <c r="L11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1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16" s="520"/>
      <c r="O11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16" s="563"/>
      <c r="Q116" s="491"/>
      <c r="R116" s="875">
        <f>IF(ISNUMBER(Producción_Lecheria[[#This Row],[Cabezas]])=TRUE,Producción_Lecheria[[#This Row],[Cabezas]]*Producción_Lecheria[[#This Row],[Cantidad]],Producción_Lecheria[[#This Row],[Cantidad]])</f>
        <v>0</v>
      </c>
      <c r="S116" s="491"/>
      <c r="T116" s="552"/>
      <c r="U116" s="553"/>
      <c r="V11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16" s="977">
        <f>IFERROR(Producción_Lecheria[[#This Row],[Económico $Corrientes]]/Producción_Lecheria[[#This Row],[Indexación Económico]],0)</f>
        <v>0</v>
      </c>
      <c r="X11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1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16" s="977">
        <f>IFERROR(Producción_Lecheria[[#This Row],[Financiero $Corrientes]]/Producción_Lecheria[[#This Row],[Indexación Financiero]],0)</f>
        <v>0</v>
      </c>
      <c r="AA11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1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16" s="981">
        <f>IFERROR(Producción_Lecheria[[#This Row],[Intereses $Corrientes]]/Producción_Lecheria[[#This Row],[Indexación Financiero]],0)</f>
        <v>0</v>
      </c>
      <c r="AD11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16" s="991" t="str">
        <f>IFERROR(INDEX(Produccion_Lecheria_Cuentas[],MATCH(Producción_Lecheria[[#This Row],[Cuenta Contable]],Produccion_Lecheria_Cuentas[Cuenta Contable],0),2),0)</f>
        <v>Ingreso</v>
      </c>
      <c r="AF116" s="992">
        <f>IF(Producción_Lecheria[[#This Row],[Mov. Stock]]="(+)",Producción_Lecheria[[#This Row],[Cabezas]],IF(Producción_Lecheria[[#This Row],[Mov. Stock]]="(-)",-Producción_Lecheria[[#This Row],[Cabezas]],0))</f>
        <v>0</v>
      </c>
      <c r="AG116" s="993" t="str">
        <f>IFERROR(INDEX(Produccion_Lecheria_Cuentas[],MATCH(Producción_Lecheria[[#This Row],[Cuenta Contable]],Produccion_Lecheria_Cuentas[Cuenta Contable],0),5),0)</f>
        <v>(-)</v>
      </c>
      <c r="AH116" s="985" t="str">
        <f>IF(Producción_Lecheria[[#This Row],[Cuenta Contable]]=Configuración!$AC$9,"Si","No")</f>
        <v>No</v>
      </c>
      <c r="AI116" s="983" t="str">
        <f>IFERROR(INDEX(Tabla9[],MATCH(Producción_Lecheria[[#This Row],[Movimiento]],Tabla9[Movimientos],0),2),0)</f>
        <v>Si</v>
      </c>
      <c r="AJ116" s="984" t="str">
        <f>IFERROR(INDEX(Tabla9[],MATCH(Producción_Lecheria[[#This Row],[Movimiento]],Tabla9[Movimientos],0),3),0)</f>
        <v>(+)</v>
      </c>
      <c r="AK116" s="981">
        <f>IF(Producción_Lecheria[[#This Row],[Fecha Económico]]=0,0,MONTH(Producción_Lecheria[[#This Row],[Fecha Económico]]))</f>
        <v>6</v>
      </c>
      <c r="AL116" s="981">
        <f>IF(Producción_Lecheria[[#This Row],[Fecha Económico]]=0,0,YEAR(Producción_Lecheria[[#This Row],[Fecha Económico]]))</f>
        <v>2019</v>
      </c>
      <c r="AM116" s="985">
        <f>SUMPRODUCT((Producción_Lecheria[[#This Row],[Mes Económico]]=Tipo_Cambio[Mes])*(Producción_Lecheria[[#This Row],[Año Económico]]=Tipo_Cambio[Año])*(Tipo_Cambio[$/U$S]))</f>
        <v>24.544703626636963</v>
      </c>
      <c r="AN116" s="985">
        <f>SUMPRODUCT((Producción_Lecheria[[#This Row],[Mes Económico]]=Tipo_Cambio[Mes])*(Producción_Lecheria[[#This Row],[Año Económico]]=Tipo_Cambio[Año])*(Tipo_Cambio[Actualización]))</f>
        <v>1.2433743083946525</v>
      </c>
      <c r="AO116" s="981">
        <f>IF(ISNUMBER(Producción_Lecheria[[#This Row],[Fecha Financiero]])=TRUE,MONTH(Producción_Lecheria[[#This Row],[Fecha Financiero]]),0)</f>
        <v>0</v>
      </c>
      <c r="AP116" s="981">
        <f>IF(ISNUMBER(Producción_Lecheria[[#This Row],[Fecha Financiero]])=TRUE,YEAR(Producción_Lecheria[[#This Row],[Fecha Financiero]]),0)</f>
        <v>0</v>
      </c>
      <c r="AQ116" s="985">
        <f>SUMPRODUCT((Producción_Lecheria[[#This Row],[Mes Financiero]]=Tipo_Cambio[Mes])*(Producción_Lecheria[[#This Row],[Año Financiero]]=Tipo_Cambio[Año])*(Tipo_Cambio[$/U$S]))</f>
        <v>0</v>
      </c>
      <c r="AR116" s="985">
        <f>SUMPRODUCT((Producción_Lecheria[[#This Row],[Mes Financiero]]=Tipo_Cambio[Mes])*(Producción_Lecheria[[#This Row],[Año Financiero]]=Tipo_Cambio[Año])*(Tipo_Cambio[Actualización]))</f>
        <v>0</v>
      </c>
      <c r="AS116" s="1009">
        <f>SUMPRODUCT((Producción_Lecheria[[#This Row],[Centro de Costo]]=Tabla1924[Centro de Costo])*(Tabla19[Superficie]))</f>
        <v>2356</v>
      </c>
      <c r="AT116" s="994">
        <f>IFERROR(Producción_Lecheria[[#This Row],[Económico $Corrientes]]/Producción_Lecheria[[#This Row],[Superficie]],0)</f>
        <v>0</v>
      </c>
      <c r="AU116" s="994">
        <f>IFERROR(Producción_Lecheria[[#This Row],[Económico $Constantes]]/Producción_Lecheria[[#This Row],[Superficie]],0)</f>
        <v>0</v>
      </c>
      <c r="AV116" s="994">
        <f>IFERROR(Producción_Lecheria[[#This Row],[Económico U$S Dólares]]/Producción_Lecheria[[#This Row],[Superficie]],0)</f>
        <v>0</v>
      </c>
      <c r="AW116" s="992" t="str">
        <f>IF(Económico!$F$4=0,0,Producción_Lecheria[Centro de Costo])</f>
        <v>Campo 1</v>
      </c>
    </row>
    <row r="117" spans="1:49" x14ac:dyDescent="0.25">
      <c r="A117" s="86"/>
      <c r="B117" s="373"/>
      <c r="C117" s="86"/>
      <c r="D117" s="548">
        <f t="shared" si="9"/>
        <v>43617</v>
      </c>
      <c r="E117" s="522"/>
      <c r="F117" s="479" t="str">
        <f t="shared" si="8"/>
        <v>2018-2019</v>
      </c>
      <c r="G117" s="576" t="str">
        <f>LCH_Venta_Hacienda</f>
        <v>Venta Hacienda</v>
      </c>
      <c r="H117" s="491" t="s">
        <v>2</v>
      </c>
      <c r="I117" s="491" t="s">
        <v>131</v>
      </c>
      <c r="J117" s="549"/>
      <c r="K117" s="484"/>
      <c r="L11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1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17" s="520"/>
      <c r="O11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17" s="563"/>
      <c r="Q117" s="491"/>
      <c r="R117" s="875">
        <f>IF(ISNUMBER(Producción_Lecheria[[#This Row],[Cabezas]])=TRUE,Producción_Lecheria[[#This Row],[Cabezas]]*Producción_Lecheria[[#This Row],[Cantidad]],Producción_Lecheria[[#This Row],[Cantidad]])</f>
        <v>0</v>
      </c>
      <c r="S117" s="491"/>
      <c r="T117" s="552"/>
      <c r="U117" s="553"/>
      <c r="V11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17" s="977">
        <f>IFERROR(Producción_Lecheria[[#This Row],[Económico $Corrientes]]/Producción_Lecheria[[#This Row],[Indexación Económico]],0)</f>
        <v>0</v>
      </c>
      <c r="X11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1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17" s="977">
        <f>IFERROR(Producción_Lecheria[[#This Row],[Financiero $Corrientes]]/Producción_Lecheria[[#This Row],[Indexación Financiero]],0)</f>
        <v>0</v>
      </c>
      <c r="AA11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1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17" s="981">
        <f>IFERROR(Producción_Lecheria[[#This Row],[Intereses $Corrientes]]/Producción_Lecheria[[#This Row],[Indexación Financiero]],0)</f>
        <v>0</v>
      </c>
      <c r="AD11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17" s="991" t="str">
        <f>IFERROR(INDEX(Produccion_Lecheria_Cuentas[],MATCH(Producción_Lecheria[[#This Row],[Cuenta Contable]],Produccion_Lecheria_Cuentas[Cuenta Contable],0),2),0)</f>
        <v>Ingreso</v>
      </c>
      <c r="AF117" s="992">
        <f>IF(Producción_Lecheria[[#This Row],[Mov. Stock]]="(+)",Producción_Lecheria[[#This Row],[Cabezas]],IF(Producción_Lecheria[[#This Row],[Mov. Stock]]="(-)",-Producción_Lecheria[[#This Row],[Cabezas]],0))</f>
        <v>0</v>
      </c>
      <c r="AG117" s="993" t="str">
        <f>IFERROR(INDEX(Produccion_Lecheria_Cuentas[],MATCH(Producción_Lecheria[[#This Row],[Cuenta Contable]],Produccion_Lecheria_Cuentas[Cuenta Contable],0),5),0)</f>
        <v>(-)</v>
      </c>
      <c r="AH117" s="985" t="str">
        <f>IF(Producción_Lecheria[[#This Row],[Cuenta Contable]]=Configuración!$AC$9,"Si","No")</f>
        <v>No</v>
      </c>
      <c r="AI117" s="983" t="str">
        <f>IFERROR(INDEX(Tabla9[],MATCH(Producción_Lecheria[[#This Row],[Movimiento]],Tabla9[Movimientos],0),2),0)</f>
        <v>Si</v>
      </c>
      <c r="AJ117" s="984" t="str">
        <f>IFERROR(INDEX(Tabla9[],MATCH(Producción_Lecheria[[#This Row],[Movimiento]],Tabla9[Movimientos],0),3),0)</f>
        <v>(+)</v>
      </c>
      <c r="AK117" s="981">
        <f>IF(Producción_Lecheria[[#This Row],[Fecha Económico]]=0,0,MONTH(Producción_Lecheria[[#This Row],[Fecha Económico]]))</f>
        <v>6</v>
      </c>
      <c r="AL117" s="981">
        <f>IF(Producción_Lecheria[[#This Row],[Fecha Económico]]=0,0,YEAR(Producción_Lecheria[[#This Row],[Fecha Económico]]))</f>
        <v>2019</v>
      </c>
      <c r="AM117" s="985">
        <f>SUMPRODUCT((Producción_Lecheria[[#This Row],[Mes Económico]]=Tipo_Cambio[Mes])*(Producción_Lecheria[[#This Row],[Año Económico]]=Tipo_Cambio[Año])*(Tipo_Cambio[$/U$S]))</f>
        <v>24.544703626636963</v>
      </c>
      <c r="AN117" s="985">
        <f>SUMPRODUCT((Producción_Lecheria[[#This Row],[Mes Económico]]=Tipo_Cambio[Mes])*(Producción_Lecheria[[#This Row],[Año Económico]]=Tipo_Cambio[Año])*(Tipo_Cambio[Actualización]))</f>
        <v>1.2433743083946525</v>
      </c>
      <c r="AO117" s="981">
        <f>IF(ISNUMBER(Producción_Lecheria[[#This Row],[Fecha Financiero]])=TRUE,MONTH(Producción_Lecheria[[#This Row],[Fecha Financiero]]),0)</f>
        <v>0</v>
      </c>
      <c r="AP117" s="981">
        <f>IF(ISNUMBER(Producción_Lecheria[[#This Row],[Fecha Financiero]])=TRUE,YEAR(Producción_Lecheria[[#This Row],[Fecha Financiero]]),0)</f>
        <v>0</v>
      </c>
      <c r="AQ117" s="985">
        <f>SUMPRODUCT((Producción_Lecheria[[#This Row],[Mes Financiero]]=Tipo_Cambio[Mes])*(Producción_Lecheria[[#This Row],[Año Financiero]]=Tipo_Cambio[Año])*(Tipo_Cambio[$/U$S]))</f>
        <v>0</v>
      </c>
      <c r="AR117" s="985">
        <f>SUMPRODUCT((Producción_Lecheria[[#This Row],[Mes Financiero]]=Tipo_Cambio[Mes])*(Producción_Lecheria[[#This Row],[Año Financiero]]=Tipo_Cambio[Año])*(Tipo_Cambio[Actualización]))</f>
        <v>0</v>
      </c>
      <c r="AS117" s="1009">
        <f>SUMPRODUCT((Producción_Lecheria[[#This Row],[Centro de Costo]]=Tabla1924[Centro de Costo])*(Tabla19[Superficie]))</f>
        <v>2356</v>
      </c>
      <c r="AT117" s="994">
        <f>IFERROR(Producción_Lecheria[[#This Row],[Económico $Corrientes]]/Producción_Lecheria[[#This Row],[Superficie]],0)</f>
        <v>0</v>
      </c>
      <c r="AU117" s="994">
        <f>IFERROR(Producción_Lecheria[[#This Row],[Económico $Constantes]]/Producción_Lecheria[[#This Row],[Superficie]],0)</f>
        <v>0</v>
      </c>
      <c r="AV117" s="994">
        <f>IFERROR(Producción_Lecheria[[#This Row],[Económico U$S Dólares]]/Producción_Lecheria[[#This Row],[Superficie]],0)</f>
        <v>0</v>
      </c>
      <c r="AW117" s="992" t="str">
        <f>IF(Económico!$F$4=0,0,Producción_Lecheria[Centro de Costo])</f>
        <v>Campo 1</v>
      </c>
    </row>
    <row r="118" spans="1:49" x14ac:dyDescent="0.25">
      <c r="A118" s="86"/>
      <c r="B118" s="373"/>
      <c r="C118" s="86"/>
      <c r="D118" s="548">
        <f t="shared" si="9"/>
        <v>43617</v>
      </c>
      <c r="E118" s="522"/>
      <c r="F118" s="479" t="str">
        <f t="shared" si="8"/>
        <v>2018-2019</v>
      </c>
      <c r="G118" s="576" t="str">
        <f>LCH_Venta_Hacienda</f>
        <v>Venta Hacienda</v>
      </c>
      <c r="H118" s="491" t="s">
        <v>2</v>
      </c>
      <c r="I118" s="491" t="s">
        <v>129</v>
      </c>
      <c r="J118" s="549"/>
      <c r="K118" s="484"/>
      <c r="L11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1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18" s="520"/>
      <c r="O11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18" s="563"/>
      <c r="Q118" s="491"/>
      <c r="R118" s="875">
        <f>IF(ISNUMBER(Producción_Lecheria[[#This Row],[Cabezas]])=TRUE,Producción_Lecheria[[#This Row],[Cabezas]]*Producción_Lecheria[[#This Row],[Cantidad]],Producción_Lecheria[[#This Row],[Cantidad]])</f>
        <v>0</v>
      </c>
      <c r="S118" s="491"/>
      <c r="T118" s="552"/>
      <c r="U118" s="553"/>
      <c r="V11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18" s="977">
        <f>IFERROR(Producción_Lecheria[[#This Row],[Económico $Corrientes]]/Producción_Lecheria[[#This Row],[Indexación Económico]],0)</f>
        <v>0</v>
      </c>
      <c r="X11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1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18" s="977">
        <f>IFERROR(Producción_Lecheria[[#This Row],[Financiero $Corrientes]]/Producción_Lecheria[[#This Row],[Indexación Financiero]],0)</f>
        <v>0</v>
      </c>
      <c r="AA11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1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18" s="981">
        <f>IFERROR(Producción_Lecheria[[#This Row],[Intereses $Corrientes]]/Producción_Lecheria[[#This Row],[Indexación Financiero]],0)</f>
        <v>0</v>
      </c>
      <c r="AD11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18" s="991" t="str">
        <f>IFERROR(INDEX(Produccion_Lecheria_Cuentas[],MATCH(Producción_Lecheria[[#This Row],[Cuenta Contable]],Produccion_Lecheria_Cuentas[Cuenta Contable],0),2),0)</f>
        <v>Ingreso</v>
      </c>
      <c r="AF118" s="992">
        <f>IF(Producción_Lecheria[[#This Row],[Mov. Stock]]="(+)",Producción_Lecheria[[#This Row],[Cabezas]],IF(Producción_Lecheria[[#This Row],[Mov. Stock]]="(-)",-Producción_Lecheria[[#This Row],[Cabezas]],0))</f>
        <v>0</v>
      </c>
      <c r="AG118" s="993" t="str">
        <f>IFERROR(INDEX(Produccion_Lecheria_Cuentas[],MATCH(Producción_Lecheria[[#This Row],[Cuenta Contable]],Produccion_Lecheria_Cuentas[Cuenta Contable],0),5),0)</f>
        <v>(-)</v>
      </c>
      <c r="AH118" s="985" t="str">
        <f>IF(Producción_Lecheria[[#This Row],[Cuenta Contable]]=Configuración!$AC$9,"Si","No")</f>
        <v>No</v>
      </c>
      <c r="AI118" s="983" t="str">
        <f>IFERROR(INDEX(Tabla9[],MATCH(Producción_Lecheria[[#This Row],[Movimiento]],Tabla9[Movimientos],0),2),0)</f>
        <v>Si</v>
      </c>
      <c r="AJ118" s="984" t="str">
        <f>IFERROR(INDEX(Tabla9[],MATCH(Producción_Lecheria[[#This Row],[Movimiento]],Tabla9[Movimientos],0),3),0)</f>
        <v>(+)</v>
      </c>
      <c r="AK118" s="981">
        <f>IF(Producción_Lecheria[[#This Row],[Fecha Económico]]=0,0,MONTH(Producción_Lecheria[[#This Row],[Fecha Económico]]))</f>
        <v>6</v>
      </c>
      <c r="AL118" s="981">
        <f>IF(Producción_Lecheria[[#This Row],[Fecha Económico]]=0,0,YEAR(Producción_Lecheria[[#This Row],[Fecha Económico]]))</f>
        <v>2019</v>
      </c>
      <c r="AM118" s="985">
        <f>SUMPRODUCT((Producción_Lecheria[[#This Row],[Mes Económico]]=Tipo_Cambio[Mes])*(Producción_Lecheria[[#This Row],[Año Económico]]=Tipo_Cambio[Año])*(Tipo_Cambio[$/U$S]))</f>
        <v>24.544703626636963</v>
      </c>
      <c r="AN118" s="985">
        <f>SUMPRODUCT((Producción_Lecheria[[#This Row],[Mes Económico]]=Tipo_Cambio[Mes])*(Producción_Lecheria[[#This Row],[Año Económico]]=Tipo_Cambio[Año])*(Tipo_Cambio[Actualización]))</f>
        <v>1.2433743083946525</v>
      </c>
      <c r="AO118" s="981">
        <f>IF(ISNUMBER(Producción_Lecheria[[#This Row],[Fecha Financiero]])=TRUE,MONTH(Producción_Lecheria[[#This Row],[Fecha Financiero]]),0)</f>
        <v>0</v>
      </c>
      <c r="AP118" s="981">
        <f>IF(ISNUMBER(Producción_Lecheria[[#This Row],[Fecha Financiero]])=TRUE,YEAR(Producción_Lecheria[[#This Row],[Fecha Financiero]]),0)</f>
        <v>0</v>
      </c>
      <c r="AQ118" s="985">
        <f>SUMPRODUCT((Producción_Lecheria[[#This Row],[Mes Financiero]]=Tipo_Cambio[Mes])*(Producción_Lecheria[[#This Row],[Año Financiero]]=Tipo_Cambio[Año])*(Tipo_Cambio[$/U$S]))</f>
        <v>0</v>
      </c>
      <c r="AR118" s="985">
        <f>SUMPRODUCT((Producción_Lecheria[[#This Row],[Mes Financiero]]=Tipo_Cambio[Mes])*(Producción_Lecheria[[#This Row],[Año Financiero]]=Tipo_Cambio[Año])*(Tipo_Cambio[Actualización]))</f>
        <v>0</v>
      </c>
      <c r="AS118" s="1009">
        <f>SUMPRODUCT((Producción_Lecheria[[#This Row],[Centro de Costo]]=Tabla1924[Centro de Costo])*(Tabla19[Superficie]))</f>
        <v>2356</v>
      </c>
      <c r="AT118" s="994">
        <f>IFERROR(Producción_Lecheria[[#This Row],[Económico $Corrientes]]/Producción_Lecheria[[#This Row],[Superficie]],0)</f>
        <v>0</v>
      </c>
      <c r="AU118" s="994">
        <f>IFERROR(Producción_Lecheria[[#This Row],[Económico $Constantes]]/Producción_Lecheria[[#This Row],[Superficie]],0)</f>
        <v>0</v>
      </c>
      <c r="AV118" s="994">
        <f>IFERROR(Producción_Lecheria[[#This Row],[Económico U$S Dólares]]/Producción_Lecheria[[#This Row],[Superficie]],0)</f>
        <v>0</v>
      </c>
      <c r="AW118" s="992" t="str">
        <f>IF(Económico!$F$4=0,0,Producción_Lecheria[Centro de Costo])</f>
        <v>Campo 1</v>
      </c>
    </row>
    <row r="119" spans="1:49" x14ac:dyDescent="0.25">
      <c r="A119" s="86"/>
      <c r="B119" s="373"/>
      <c r="C119" s="86"/>
      <c r="D119" s="548">
        <f t="shared" si="9"/>
        <v>43617</v>
      </c>
      <c r="E119" s="522"/>
      <c r="F119" s="479" t="str">
        <f t="shared" si="8"/>
        <v>2018-2019</v>
      </c>
      <c r="G119" s="490" t="s">
        <v>127</v>
      </c>
      <c r="H119" s="491" t="s">
        <v>2</v>
      </c>
      <c r="I119" s="491"/>
      <c r="J119" s="549"/>
      <c r="K119" s="484"/>
      <c r="L11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1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19" s="520"/>
      <c r="O11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19" s="563"/>
      <c r="Q119" s="491"/>
      <c r="R119" s="875">
        <f>IF(ISNUMBER(Producción_Lecheria[[#This Row],[Cabezas]])=TRUE,Producción_Lecheria[[#This Row],[Cabezas]]*Producción_Lecheria[[#This Row],[Cantidad]],Producción_Lecheria[[#This Row],[Cantidad]])</f>
        <v>0</v>
      </c>
      <c r="S119" s="491"/>
      <c r="T119" s="552"/>
      <c r="U119" s="553"/>
      <c r="V11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19" s="977">
        <f>IFERROR(Producción_Lecheria[[#This Row],[Económico $Corrientes]]/Producción_Lecheria[[#This Row],[Indexación Económico]],0)</f>
        <v>0</v>
      </c>
      <c r="X11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1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19" s="977">
        <f>IFERROR(Producción_Lecheria[[#This Row],[Financiero $Corrientes]]/Producción_Lecheria[[#This Row],[Indexación Financiero]],0)</f>
        <v>0</v>
      </c>
      <c r="AA11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1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19" s="981">
        <f>IFERROR(Producción_Lecheria[[#This Row],[Intereses $Corrientes]]/Producción_Lecheria[[#This Row],[Indexación Financiero]],0)</f>
        <v>0</v>
      </c>
      <c r="AD11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19" s="991" t="str">
        <f>IFERROR(INDEX(Produccion_Lecheria_Cuentas[],MATCH(Producción_Lecheria[[#This Row],[Cuenta Contable]],Produccion_Lecheria_Cuentas[Cuenta Contable],0),2),0)</f>
        <v>Egreso</v>
      </c>
      <c r="AF119" s="992">
        <f>IF(Producción_Lecheria[[#This Row],[Mov. Stock]]="(+)",Producción_Lecheria[[#This Row],[Cabezas]],IF(Producción_Lecheria[[#This Row],[Mov. Stock]]="(-)",-Producción_Lecheria[[#This Row],[Cabezas]],0))</f>
        <v>0</v>
      </c>
      <c r="AG119" s="993">
        <f>IFERROR(INDEX(Produccion_Lecheria_Cuentas[],MATCH(Producción_Lecheria[[#This Row],[Cuenta Contable]],Produccion_Lecheria_Cuentas[Cuenta Contable],0),5),0)</f>
        <v>0</v>
      </c>
      <c r="AH119" s="985" t="str">
        <f>IF(Producción_Lecheria[[#This Row],[Cuenta Contable]]=Configuración!$AC$9,"Si","No")</f>
        <v>No</v>
      </c>
      <c r="AI119" s="983" t="str">
        <f>IFERROR(INDEX(Tabla9[],MATCH(Producción_Lecheria[[#This Row],[Movimiento]],Tabla9[Movimientos],0),2),0)</f>
        <v>Si</v>
      </c>
      <c r="AJ119" s="984" t="str">
        <f>IFERROR(INDEX(Tabla9[],MATCH(Producción_Lecheria[[#This Row],[Movimiento]],Tabla9[Movimientos],0),3),0)</f>
        <v>(-)</v>
      </c>
      <c r="AK119" s="981">
        <f>IF(Producción_Lecheria[[#This Row],[Fecha Económico]]=0,0,MONTH(Producción_Lecheria[[#This Row],[Fecha Económico]]))</f>
        <v>6</v>
      </c>
      <c r="AL119" s="981">
        <f>IF(Producción_Lecheria[[#This Row],[Fecha Económico]]=0,0,YEAR(Producción_Lecheria[[#This Row],[Fecha Económico]]))</f>
        <v>2019</v>
      </c>
      <c r="AM119" s="985">
        <f>SUMPRODUCT((Producción_Lecheria[[#This Row],[Mes Económico]]=Tipo_Cambio[Mes])*(Producción_Lecheria[[#This Row],[Año Económico]]=Tipo_Cambio[Año])*(Tipo_Cambio[$/U$S]))</f>
        <v>24.544703626636963</v>
      </c>
      <c r="AN119" s="985">
        <f>SUMPRODUCT((Producción_Lecheria[[#This Row],[Mes Económico]]=Tipo_Cambio[Mes])*(Producción_Lecheria[[#This Row],[Año Económico]]=Tipo_Cambio[Año])*(Tipo_Cambio[Actualización]))</f>
        <v>1.2433743083946525</v>
      </c>
      <c r="AO119" s="981">
        <f>IF(ISNUMBER(Producción_Lecheria[[#This Row],[Fecha Financiero]])=TRUE,MONTH(Producción_Lecheria[[#This Row],[Fecha Financiero]]),0)</f>
        <v>0</v>
      </c>
      <c r="AP119" s="981">
        <f>IF(ISNUMBER(Producción_Lecheria[[#This Row],[Fecha Financiero]])=TRUE,YEAR(Producción_Lecheria[[#This Row],[Fecha Financiero]]),0)</f>
        <v>0</v>
      </c>
      <c r="AQ119" s="985">
        <f>SUMPRODUCT((Producción_Lecheria[[#This Row],[Mes Financiero]]=Tipo_Cambio[Mes])*(Producción_Lecheria[[#This Row],[Año Financiero]]=Tipo_Cambio[Año])*(Tipo_Cambio[$/U$S]))</f>
        <v>0</v>
      </c>
      <c r="AR119" s="985">
        <f>SUMPRODUCT((Producción_Lecheria[[#This Row],[Mes Financiero]]=Tipo_Cambio[Mes])*(Producción_Lecheria[[#This Row],[Año Financiero]]=Tipo_Cambio[Año])*(Tipo_Cambio[Actualización]))</f>
        <v>0</v>
      </c>
      <c r="AS119" s="1009">
        <f>SUMPRODUCT((Producción_Lecheria[[#This Row],[Centro de Costo]]=Tabla1924[Centro de Costo])*(Tabla19[Superficie]))</f>
        <v>2356</v>
      </c>
      <c r="AT119" s="994">
        <f>IFERROR(Producción_Lecheria[[#This Row],[Económico $Corrientes]]/Producción_Lecheria[[#This Row],[Superficie]],0)</f>
        <v>0</v>
      </c>
      <c r="AU119" s="994">
        <f>IFERROR(Producción_Lecheria[[#This Row],[Económico $Constantes]]/Producción_Lecheria[[#This Row],[Superficie]],0)</f>
        <v>0</v>
      </c>
      <c r="AV119" s="994">
        <f>IFERROR(Producción_Lecheria[[#This Row],[Económico U$S Dólares]]/Producción_Lecheria[[#This Row],[Superficie]],0)</f>
        <v>0</v>
      </c>
      <c r="AW119" s="992" t="str">
        <f>IF(Económico!$F$4=0,0,Producción_Lecheria[Centro de Costo])</f>
        <v>Campo 1</v>
      </c>
    </row>
    <row r="120" spans="1:49" x14ac:dyDescent="0.25">
      <c r="A120" s="86"/>
      <c r="B120" s="373"/>
      <c r="C120" s="86"/>
      <c r="D120" s="548"/>
      <c r="E120" s="493"/>
      <c r="F120" s="479" t="str">
        <f>Campaña_Actual</f>
        <v>2018-2019</v>
      </c>
      <c r="G120" s="576"/>
      <c r="H120" s="491"/>
      <c r="I120" s="491"/>
      <c r="J120" s="549"/>
      <c r="K120" s="484"/>
      <c r="L12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2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20" s="520"/>
      <c r="O12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20" s="563"/>
      <c r="Q120" s="491"/>
      <c r="R120" s="875">
        <f>IF(ISNUMBER(Producción_Lecheria[[#This Row],[Cabezas]])=TRUE,Producción_Lecheria[[#This Row],[Cabezas]]*Producción_Lecheria[[#This Row],[Cantidad]],Producción_Lecheria[[#This Row],[Cantidad]])</f>
        <v>0</v>
      </c>
      <c r="S120" s="491"/>
      <c r="T120" s="552"/>
      <c r="U120" s="553"/>
      <c r="V12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20" s="977">
        <f>IFERROR(Producción_Lecheria[[#This Row],[Económico $Corrientes]]/Producción_Lecheria[[#This Row],[Indexación Económico]],0)</f>
        <v>0</v>
      </c>
      <c r="X12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2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20" s="977">
        <f>IFERROR(Producción_Lecheria[[#This Row],[Financiero $Corrientes]]/Producción_Lecheria[[#This Row],[Indexación Financiero]],0)</f>
        <v>0</v>
      </c>
      <c r="AA12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2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20" s="981">
        <f>IFERROR(Producción_Lecheria[[#This Row],[Intereses $Corrientes]]/Producción_Lecheria[[#This Row],[Indexación Financiero]],0)</f>
        <v>0</v>
      </c>
      <c r="AD12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20" s="991">
        <f>IFERROR(INDEX(Produccion_Lecheria_Cuentas[],MATCH(Producción_Lecheria[[#This Row],[Cuenta Contable]],Produccion_Lecheria_Cuentas[Cuenta Contable],0),2),0)</f>
        <v>0</v>
      </c>
      <c r="AF120" s="992">
        <f>IF(Producción_Lecheria[[#This Row],[Mov. Stock]]="(+)",Producción_Lecheria[[#This Row],[Cabezas]],IF(Producción_Lecheria[[#This Row],[Mov. Stock]]="(-)",-Producción_Lecheria[[#This Row],[Cabezas]],0))</f>
        <v>0</v>
      </c>
      <c r="AG120" s="993">
        <f>IFERROR(INDEX(Produccion_Lecheria_Cuentas[],MATCH(Producción_Lecheria[[#This Row],[Cuenta Contable]],Produccion_Lecheria_Cuentas[Cuenta Contable],0),5),0)</f>
        <v>0</v>
      </c>
      <c r="AH120" s="985" t="str">
        <f>IF(Producción_Lecheria[[#This Row],[Cuenta Contable]]=Configuración!$AC$9,"Si","No")</f>
        <v>No</v>
      </c>
      <c r="AI120" s="983">
        <f>IFERROR(INDEX(Tabla9[],MATCH(Producción_Lecheria[[#This Row],[Movimiento]],Tabla9[Movimientos],0),2),0)</f>
        <v>0</v>
      </c>
      <c r="AJ120" s="984">
        <f>IFERROR(INDEX(Tabla9[],MATCH(Producción_Lecheria[[#This Row],[Movimiento]],Tabla9[Movimientos],0),3),0)</f>
        <v>0</v>
      </c>
      <c r="AK120" s="981">
        <f>IF(Producción_Lecheria[[#This Row],[Fecha Económico]]=0,0,MONTH(Producción_Lecheria[[#This Row],[Fecha Económico]]))</f>
        <v>0</v>
      </c>
      <c r="AL120" s="981">
        <f>IF(Producción_Lecheria[[#This Row],[Fecha Económico]]=0,0,YEAR(Producción_Lecheria[[#This Row],[Fecha Económico]]))</f>
        <v>0</v>
      </c>
      <c r="AM120" s="985">
        <f>SUMPRODUCT((Producción_Lecheria[[#This Row],[Mes Económico]]=Tipo_Cambio[Mes])*(Producción_Lecheria[[#This Row],[Año Económico]]=Tipo_Cambio[Año])*(Tipo_Cambio[$/U$S]))</f>
        <v>0</v>
      </c>
      <c r="AN120" s="985">
        <f>SUMPRODUCT((Producción_Lecheria[[#This Row],[Mes Económico]]=Tipo_Cambio[Mes])*(Producción_Lecheria[[#This Row],[Año Económico]]=Tipo_Cambio[Año])*(Tipo_Cambio[Actualización]))</f>
        <v>0</v>
      </c>
      <c r="AO120" s="981">
        <f>IF(ISNUMBER(Producción_Lecheria[[#This Row],[Fecha Financiero]])=TRUE,MONTH(Producción_Lecheria[[#This Row],[Fecha Financiero]]),0)</f>
        <v>0</v>
      </c>
      <c r="AP120" s="981">
        <f>IF(ISNUMBER(Producción_Lecheria[[#This Row],[Fecha Financiero]])=TRUE,YEAR(Producción_Lecheria[[#This Row],[Fecha Financiero]]),0)</f>
        <v>0</v>
      </c>
      <c r="AQ120" s="985">
        <f>SUMPRODUCT((Producción_Lecheria[[#This Row],[Mes Financiero]]=Tipo_Cambio[Mes])*(Producción_Lecheria[[#This Row],[Año Financiero]]=Tipo_Cambio[Año])*(Tipo_Cambio[$/U$S]))</f>
        <v>0</v>
      </c>
      <c r="AR120" s="985">
        <f>SUMPRODUCT((Producción_Lecheria[[#This Row],[Mes Financiero]]=Tipo_Cambio[Mes])*(Producción_Lecheria[[#This Row],[Año Financiero]]=Tipo_Cambio[Año])*(Tipo_Cambio[Actualización]))</f>
        <v>0</v>
      </c>
      <c r="AS120" s="1009">
        <f>SUMPRODUCT((Producción_Lecheria[[#This Row],[Centro de Costo]]=Tabla1924[Centro de Costo])*(Tabla19[Superficie]))</f>
        <v>0</v>
      </c>
      <c r="AT120" s="994">
        <f>IFERROR(Producción_Lecheria[[#This Row],[Económico $Corrientes]]/Producción_Lecheria[[#This Row],[Superficie]],0)</f>
        <v>0</v>
      </c>
      <c r="AU120" s="994">
        <f>IFERROR(Producción_Lecheria[[#This Row],[Económico $Constantes]]/Producción_Lecheria[[#This Row],[Superficie]],0)</f>
        <v>0</v>
      </c>
      <c r="AV120" s="994">
        <f>IFERROR(Producción_Lecheria[[#This Row],[Económico U$S Dólares]]/Producción_Lecheria[[#This Row],[Superficie]],0)</f>
        <v>0</v>
      </c>
      <c r="AW120" s="992">
        <f>IF(Económico!$F$4=0,0,Producción_Lecheria[Centro de Costo])</f>
        <v>0</v>
      </c>
    </row>
    <row r="121" spans="1:49" x14ac:dyDescent="0.25">
      <c r="A121" s="86"/>
      <c r="B121" s="373"/>
      <c r="C121" s="86"/>
      <c r="D121" s="478"/>
      <c r="E121" s="522"/>
      <c r="F121" s="479" t="str">
        <f t="shared" si="8"/>
        <v>2018-2019</v>
      </c>
      <c r="G121" s="491"/>
      <c r="H121" s="491"/>
      <c r="I121" s="491"/>
      <c r="J121" s="549"/>
      <c r="K121" s="484"/>
      <c r="L12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2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21" s="520"/>
      <c r="O12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21" s="563"/>
      <c r="Q121" s="491"/>
      <c r="R121" s="875">
        <f>IF(ISNUMBER(Producción_Lecheria[[#This Row],[Cabezas]])=TRUE,Producción_Lecheria[[#This Row],[Cabezas]]*Producción_Lecheria[[#This Row],[Cantidad]],Producción_Lecheria[[#This Row],[Cantidad]])</f>
        <v>0</v>
      </c>
      <c r="S121" s="491"/>
      <c r="T121" s="552"/>
      <c r="U121" s="553"/>
      <c r="V12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21" s="977">
        <f>IFERROR(Producción_Lecheria[[#This Row],[Económico $Corrientes]]/Producción_Lecheria[[#This Row],[Indexación Económico]],0)</f>
        <v>0</v>
      </c>
      <c r="X12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2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21" s="977">
        <f>IFERROR(Producción_Lecheria[[#This Row],[Financiero $Corrientes]]/Producción_Lecheria[[#This Row],[Indexación Financiero]],0)</f>
        <v>0</v>
      </c>
      <c r="AA12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2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21" s="981">
        <f>IFERROR(Producción_Lecheria[[#This Row],[Intereses $Corrientes]]/Producción_Lecheria[[#This Row],[Indexación Financiero]],0)</f>
        <v>0</v>
      </c>
      <c r="AD12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21" s="991">
        <f>IFERROR(INDEX(Produccion_Lecheria_Cuentas[],MATCH(Producción_Lecheria[[#This Row],[Cuenta Contable]],Produccion_Lecheria_Cuentas[Cuenta Contable],0),2),0)</f>
        <v>0</v>
      </c>
      <c r="AF121" s="992">
        <f>IF(Producción_Lecheria[[#This Row],[Mov. Stock]]="(+)",Producción_Lecheria[[#This Row],[Cabezas]],IF(Producción_Lecheria[[#This Row],[Mov. Stock]]="(-)",-Producción_Lecheria[[#This Row],[Cabezas]],0))</f>
        <v>0</v>
      </c>
      <c r="AG121" s="993">
        <f>IFERROR(INDEX(Produccion_Lecheria_Cuentas[],MATCH(Producción_Lecheria[[#This Row],[Cuenta Contable]],Produccion_Lecheria_Cuentas[Cuenta Contable],0),5),0)</f>
        <v>0</v>
      </c>
      <c r="AH121" s="985" t="str">
        <f>IF(Producción_Lecheria[[#This Row],[Cuenta Contable]]=Configuración!$AC$9,"Si","No")</f>
        <v>No</v>
      </c>
      <c r="AI121" s="983">
        <f>IFERROR(INDEX(Tabla9[],MATCH(Producción_Lecheria[[#This Row],[Movimiento]],Tabla9[Movimientos],0),2),0)</f>
        <v>0</v>
      </c>
      <c r="AJ121" s="984">
        <f>IFERROR(INDEX(Tabla9[],MATCH(Producción_Lecheria[[#This Row],[Movimiento]],Tabla9[Movimientos],0),3),0)</f>
        <v>0</v>
      </c>
      <c r="AK121" s="981">
        <f>IF(Producción_Lecheria[[#This Row],[Fecha Económico]]=0,0,MONTH(Producción_Lecheria[[#This Row],[Fecha Económico]]))</f>
        <v>0</v>
      </c>
      <c r="AL121" s="981">
        <f>IF(Producción_Lecheria[[#This Row],[Fecha Económico]]=0,0,YEAR(Producción_Lecheria[[#This Row],[Fecha Económico]]))</f>
        <v>0</v>
      </c>
      <c r="AM121" s="985">
        <f>SUMPRODUCT((Producción_Lecheria[[#This Row],[Mes Económico]]=Tipo_Cambio[Mes])*(Producción_Lecheria[[#This Row],[Año Económico]]=Tipo_Cambio[Año])*(Tipo_Cambio[$/U$S]))</f>
        <v>0</v>
      </c>
      <c r="AN121" s="985">
        <f>SUMPRODUCT((Producción_Lecheria[[#This Row],[Mes Económico]]=Tipo_Cambio[Mes])*(Producción_Lecheria[[#This Row],[Año Económico]]=Tipo_Cambio[Año])*(Tipo_Cambio[Actualización]))</f>
        <v>0</v>
      </c>
      <c r="AO121" s="981">
        <f>IF(ISNUMBER(Producción_Lecheria[[#This Row],[Fecha Financiero]])=TRUE,MONTH(Producción_Lecheria[[#This Row],[Fecha Financiero]]),0)</f>
        <v>0</v>
      </c>
      <c r="AP121" s="981">
        <f>IF(ISNUMBER(Producción_Lecheria[[#This Row],[Fecha Financiero]])=TRUE,YEAR(Producción_Lecheria[[#This Row],[Fecha Financiero]]),0)</f>
        <v>0</v>
      </c>
      <c r="AQ121" s="985">
        <f>SUMPRODUCT((Producción_Lecheria[[#This Row],[Mes Financiero]]=Tipo_Cambio[Mes])*(Producción_Lecheria[[#This Row],[Año Financiero]]=Tipo_Cambio[Año])*(Tipo_Cambio[$/U$S]))</f>
        <v>0</v>
      </c>
      <c r="AR121" s="985">
        <f>SUMPRODUCT((Producción_Lecheria[[#This Row],[Mes Financiero]]=Tipo_Cambio[Mes])*(Producción_Lecheria[[#This Row],[Año Financiero]]=Tipo_Cambio[Año])*(Tipo_Cambio[Actualización]))</f>
        <v>0</v>
      </c>
      <c r="AS121" s="1009">
        <f>SUMPRODUCT((Producción_Lecheria[[#This Row],[Centro de Costo]]=Tabla1924[Centro de Costo])*(Tabla19[Superficie]))</f>
        <v>0</v>
      </c>
      <c r="AT121" s="994">
        <f>IFERROR(Producción_Lecheria[[#This Row],[Económico $Corrientes]]/Producción_Lecheria[[#This Row],[Superficie]],0)</f>
        <v>0</v>
      </c>
      <c r="AU121" s="994">
        <f>IFERROR(Producción_Lecheria[[#This Row],[Económico $Constantes]]/Producción_Lecheria[[#This Row],[Superficie]],0)</f>
        <v>0</v>
      </c>
      <c r="AV121" s="994">
        <f>IFERROR(Producción_Lecheria[[#This Row],[Económico U$S Dólares]]/Producción_Lecheria[[#This Row],[Superficie]],0)</f>
        <v>0</v>
      </c>
      <c r="AW121" s="992">
        <f>IF(Económico!$F$4=0,0,Producción_Lecheria[Centro de Costo])</f>
        <v>0</v>
      </c>
    </row>
    <row r="122" spans="1:49" ht="15.75" thickBot="1" x14ac:dyDescent="0.3">
      <c r="A122" s="86"/>
      <c r="B122" s="373" t="s">
        <v>101</v>
      </c>
      <c r="C122" s="86"/>
      <c r="D122" s="478"/>
      <c r="E122" s="522"/>
      <c r="F122" s="479" t="str">
        <f t="shared" si="8"/>
        <v>2018-2019</v>
      </c>
      <c r="G122" s="491"/>
      <c r="H122" s="491"/>
      <c r="I122" s="491"/>
      <c r="J122" s="549"/>
      <c r="K122" s="484"/>
      <c r="L12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2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22" s="520"/>
      <c r="O12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22" s="563"/>
      <c r="Q122" s="491"/>
      <c r="R122" s="875">
        <f>IF(ISNUMBER(Producción_Lecheria[[#This Row],[Cabezas]])=TRUE,Producción_Lecheria[[#This Row],[Cabezas]]*Producción_Lecheria[[#This Row],[Cantidad]],Producción_Lecheria[[#This Row],[Cantidad]])</f>
        <v>0</v>
      </c>
      <c r="S122" s="491"/>
      <c r="T122" s="552"/>
      <c r="U122" s="553"/>
      <c r="V12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22" s="977">
        <f>IFERROR(Producción_Lecheria[[#This Row],[Económico $Corrientes]]/Producción_Lecheria[[#This Row],[Indexación Económico]],0)</f>
        <v>0</v>
      </c>
      <c r="X12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2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22" s="977">
        <f>IFERROR(Producción_Lecheria[[#This Row],[Financiero $Corrientes]]/Producción_Lecheria[[#This Row],[Indexación Financiero]],0)</f>
        <v>0</v>
      </c>
      <c r="AA12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2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22" s="981">
        <f>IFERROR(Producción_Lecheria[[#This Row],[Intereses $Corrientes]]/Producción_Lecheria[[#This Row],[Indexación Financiero]],0)</f>
        <v>0</v>
      </c>
      <c r="AD12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22" s="991">
        <f>IFERROR(INDEX(Produccion_Lecheria_Cuentas[],MATCH(Producción_Lecheria[[#This Row],[Cuenta Contable]],Produccion_Lecheria_Cuentas[Cuenta Contable],0),2),0)</f>
        <v>0</v>
      </c>
      <c r="AF122" s="992">
        <f>IF(Producción_Lecheria[[#This Row],[Mov. Stock]]="(+)",Producción_Lecheria[[#This Row],[Cabezas]],IF(Producción_Lecheria[[#This Row],[Mov. Stock]]="(-)",-Producción_Lecheria[[#This Row],[Cabezas]],0))</f>
        <v>0</v>
      </c>
      <c r="AG122" s="993">
        <f>IFERROR(INDEX(Produccion_Lecheria_Cuentas[],MATCH(Producción_Lecheria[[#This Row],[Cuenta Contable]],Produccion_Lecheria_Cuentas[Cuenta Contable],0),5),0)</f>
        <v>0</v>
      </c>
      <c r="AH122" s="985" t="str">
        <f>IF(Producción_Lecheria[[#This Row],[Cuenta Contable]]=Configuración!$AC$9,"Si","No")</f>
        <v>No</v>
      </c>
      <c r="AI122" s="983">
        <f>IFERROR(INDEX(Tabla9[],MATCH(Producción_Lecheria[[#This Row],[Movimiento]],Tabla9[Movimientos],0),2),0)</f>
        <v>0</v>
      </c>
      <c r="AJ122" s="984">
        <f>IFERROR(INDEX(Tabla9[],MATCH(Producción_Lecheria[[#This Row],[Movimiento]],Tabla9[Movimientos],0),3),0)</f>
        <v>0</v>
      </c>
      <c r="AK122" s="981">
        <f>IF(Producción_Lecheria[[#This Row],[Fecha Económico]]=0,0,MONTH(Producción_Lecheria[[#This Row],[Fecha Económico]]))</f>
        <v>0</v>
      </c>
      <c r="AL122" s="981">
        <f>IF(Producción_Lecheria[[#This Row],[Fecha Económico]]=0,0,YEAR(Producción_Lecheria[[#This Row],[Fecha Económico]]))</f>
        <v>0</v>
      </c>
      <c r="AM122" s="985">
        <f>SUMPRODUCT((Producción_Lecheria[[#This Row],[Mes Económico]]=Tipo_Cambio[Mes])*(Producción_Lecheria[[#This Row],[Año Económico]]=Tipo_Cambio[Año])*(Tipo_Cambio[$/U$S]))</f>
        <v>0</v>
      </c>
      <c r="AN122" s="985">
        <f>SUMPRODUCT((Producción_Lecheria[[#This Row],[Mes Económico]]=Tipo_Cambio[Mes])*(Producción_Lecheria[[#This Row],[Año Económico]]=Tipo_Cambio[Año])*(Tipo_Cambio[Actualización]))</f>
        <v>0</v>
      </c>
      <c r="AO122" s="981">
        <f>IF(ISNUMBER(Producción_Lecheria[[#This Row],[Fecha Financiero]])=TRUE,MONTH(Producción_Lecheria[[#This Row],[Fecha Financiero]]),0)</f>
        <v>0</v>
      </c>
      <c r="AP122" s="981">
        <f>IF(ISNUMBER(Producción_Lecheria[[#This Row],[Fecha Financiero]])=TRUE,YEAR(Producción_Lecheria[[#This Row],[Fecha Financiero]]),0)</f>
        <v>0</v>
      </c>
      <c r="AQ122" s="985">
        <f>SUMPRODUCT((Producción_Lecheria[[#This Row],[Mes Financiero]]=Tipo_Cambio[Mes])*(Producción_Lecheria[[#This Row],[Año Financiero]]=Tipo_Cambio[Año])*(Tipo_Cambio[$/U$S]))</f>
        <v>0</v>
      </c>
      <c r="AR122" s="985">
        <f>SUMPRODUCT((Producción_Lecheria[[#This Row],[Mes Financiero]]=Tipo_Cambio[Mes])*(Producción_Lecheria[[#This Row],[Año Financiero]]=Tipo_Cambio[Año])*(Tipo_Cambio[Actualización]))</f>
        <v>0</v>
      </c>
      <c r="AS122" s="1009">
        <f>SUMPRODUCT((Producción_Lecheria[[#This Row],[Centro de Costo]]=Tabla1924[Centro de Costo])*(Tabla19[Superficie]))</f>
        <v>0</v>
      </c>
      <c r="AT122" s="994">
        <f>IFERROR(Producción_Lecheria[[#This Row],[Económico $Corrientes]]/Producción_Lecheria[[#This Row],[Superficie]],0)</f>
        <v>0</v>
      </c>
      <c r="AU122" s="994">
        <f>IFERROR(Producción_Lecheria[[#This Row],[Económico $Constantes]]/Producción_Lecheria[[#This Row],[Superficie]],0)</f>
        <v>0</v>
      </c>
      <c r="AV122" s="994">
        <f>IFERROR(Producción_Lecheria[[#This Row],[Económico U$S Dólares]]/Producción_Lecheria[[#This Row],[Superficie]],0)</f>
        <v>0</v>
      </c>
      <c r="AW122" s="992">
        <f>IF(Económico!$F$4=0,0,Producción_Lecheria[Centro de Costo])</f>
        <v>0</v>
      </c>
    </row>
    <row r="123" spans="1:49" ht="15.75" thickTop="1" x14ac:dyDescent="0.25">
      <c r="A123" s="86"/>
      <c r="B123" s="1136" t="s">
        <v>147</v>
      </c>
      <c r="C123" s="86"/>
      <c r="D123" s="554"/>
      <c r="E123" s="555"/>
      <c r="F123" s="556" t="str">
        <f t="shared" si="8"/>
        <v>2018-2019</v>
      </c>
      <c r="G123" s="557" t="str">
        <f t="shared" ref="G123:G131" si="11">LCH_Muertes</f>
        <v>Salida Muertes</v>
      </c>
      <c r="H123" s="551"/>
      <c r="I123" s="551"/>
      <c r="J123" s="558"/>
      <c r="K123" s="577"/>
      <c r="L123" s="964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23" s="961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23" s="559"/>
      <c r="O123" s="972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23" s="578"/>
      <c r="Q123" s="551"/>
      <c r="R123" s="975">
        <f>IF(ISNUMBER(Producción_Lecheria[[#This Row],[Cabezas]])=TRUE,Producción_Lecheria[[#This Row],[Cabezas]]*Producción_Lecheria[[#This Row],[Cantidad]],Producción_Lecheria[[#This Row],[Cantidad]])</f>
        <v>0</v>
      </c>
      <c r="S123" s="551"/>
      <c r="T123" s="561"/>
      <c r="U123" s="562"/>
      <c r="V123" s="995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23" s="996">
        <f>IFERROR(Producción_Lecheria[[#This Row],[Económico $Corrientes]]/Producción_Lecheria[[#This Row],[Indexación Económico]],0)</f>
        <v>0</v>
      </c>
      <c r="X123" s="997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23" s="995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23" s="996">
        <f>IFERROR(Producción_Lecheria[[#This Row],[Financiero $Corrientes]]/Producción_Lecheria[[#This Row],[Indexación Financiero]],0)</f>
        <v>0</v>
      </c>
      <c r="AA123" s="998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23" s="999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23" s="1000">
        <f>IFERROR(Producción_Lecheria[[#This Row],[Intereses $Corrientes]]/Producción_Lecheria[[#This Row],[Indexación Financiero]],0)</f>
        <v>0</v>
      </c>
      <c r="AD123" s="1000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23" s="1001" t="str">
        <f>IFERROR(INDEX(Produccion_Lecheria_Cuentas[],MATCH(Producción_Lecheria[[#This Row],[Cuenta Contable]],Produccion_Lecheria_Cuentas[Cuenta Contable],0),2),0)</f>
        <v>Mov. Hacienda</v>
      </c>
      <c r="AF123" s="1002">
        <f>IF(Producción_Lecheria[[#This Row],[Mov. Stock]]="(+)",Producción_Lecheria[[#This Row],[Cabezas]],IF(Producción_Lecheria[[#This Row],[Mov. Stock]]="(-)",-Producción_Lecheria[[#This Row],[Cabezas]],0))</f>
        <v>0</v>
      </c>
      <c r="AG123" s="1003" t="str">
        <f>IFERROR(INDEX(Produccion_Lecheria_Cuentas[],MATCH(Producción_Lecheria[[#This Row],[Cuenta Contable]],Produccion_Lecheria_Cuentas[Cuenta Contable],0),5),0)</f>
        <v>(-)</v>
      </c>
      <c r="AH123" s="1007" t="str">
        <f>IF(Producción_Lecheria[[#This Row],[Cuenta Contable]]=Configuración!$AC$9,"Si","No")</f>
        <v>No</v>
      </c>
      <c r="AI123" s="1005" t="str">
        <f>IFERROR(INDEX(Tabla9[],MATCH(Producción_Lecheria[[#This Row],[Movimiento]],Tabla9[Movimientos],0),2),0)</f>
        <v>No</v>
      </c>
      <c r="AJ123" s="1006">
        <f>IFERROR(INDEX(Tabla9[],MATCH(Producción_Lecheria[[#This Row],[Movimiento]],Tabla9[Movimientos],0),3),0)</f>
        <v>0</v>
      </c>
      <c r="AK123" s="1000">
        <f>IF(Producción_Lecheria[[#This Row],[Fecha Económico]]=0,0,MONTH(Producción_Lecheria[[#This Row],[Fecha Económico]]))</f>
        <v>0</v>
      </c>
      <c r="AL123" s="1000">
        <f>IF(Producción_Lecheria[[#This Row],[Fecha Económico]]=0,0,YEAR(Producción_Lecheria[[#This Row],[Fecha Económico]]))</f>
        <v>0</v>
      </c>
      <c r="AM123" s="1007">
        <f>SUMPRODUCT((Producción_Lecheria[[#This Row],[Mes Económico]]=Tipo_Cambio[Mes])*(Producción_Lecheria[[#This Row],[Año Económico]]=Tipo_Cambio[Año])*(Tipo_Cambio[$/U$S]))</f>
        <v>0</v>
      </c>
      <c r="AN123" s="1007">
        <f>SUMPRODUCT((Producción_Lecheria[[#This Row],[Mes Económico]]=Tipo_Cambio[Mes])*(Producción_Lecheria[[#This Row],[Año Económico]]=Tipo_Cambio[Año])*(Tipo_Cambio[Actualización]))</f>
        <v>0</v>
      </c>
      <c r="AO123" s="1000">
        <f>IF(ISNUMBER(Producción_Lecheria[[#This Row],[Fecha Financiero]])=TRUE,MONTH(Producción_Lecheria[[#This Row],[Fecha Financiero]]),0)</f>
        <v>0</v>
      </c>
      <c r="AP123" s="1000">
        <f>IF(ISNUMBER(Producción_Lecheria[[#This Row],[Fecha Financiero]])=TRUE,YEAR(Producción_Lecheria[[#This Row],[Fecha Financiero]]),0)</f>
        <v>0</v>
      </c>
      <c r="AQ123" s="1007">
        <f>SUMPRODUCT((Producción_Lecheria[[#This Row],[Mes Financiero]]=Tipo_Cambio[Mes])*(Producción_Lecheria[[#This Row],[Año Financiero]]=Tipo_Cambio[Año])*(Tipo_Cambio[$/U$S]))</f>
        <v>0</v>
      </c>
      <c r="AR123" s="1007">
        <f>SUMPRODUCT((Producción_Lecheria[[#This Row],[Mes Financiero]]=Tipo_Cambio[Mes])*(Producción_Lecheria[[#This Row],[Año Financiero]]=Tipo_Cambio[Año])*(Tipo_Cambio[Actualización]))</f>
        <v>0</v>
      </c>
      <c r="AS123" s="1027">
        <f>SUMPRODUCT((Producción_Lecheria[[#This Row],[Centro de Costo]]=Tabla1924[Centro de Costo])*(Tabla19[Superficie]))</f>
        <v>0</v>
      </c>
      <c r="AT123" s="1004">
        <f>IFERROR(Producción_Lecheria[[#This Row],[Económico $Corrientes]]/Producción_Lecheria[[#This Row],[Superficie]],0)</f>
        <v>0</v>
      </c>
      <c r="AU123" s="1004">
        <f>IFERROR(Producción_Lecheria[[#This Row],[Económico $Constantes]]/Producción_Lecheria[[#This Row],[Superficie]],0)</f>
        <v>0</v>
      </c>
      <c r="AV123" s="1004">
        <f>IFERROR(Producción_Lecheria[[#This Row],[Económico U$S Dólares]]/Producción_Lecheria[[#This Row],[Superficie]],0)</f>
        <v>0</v>
      </c>
      <c r="AW123" s="1002">
        <f>IF(Económico!$F$4=0,0,Producción_Lecheria[Centro de Costo])</f>
        <v>0</v>
      </c>
    </row>
    <row r="124" spans="1:49" x14ac:dyDescent="0.25">
      <c r="A124" s="86"/>
      <c r="B124" s="1136"/>
      <c r="C124" s="86"/>
      <c r="D124" s="478"/>
      <c r="E124" s="522"/>
      <c r="F124" s="479" t="str">
        <f t="shared" si="8"/>
        <v>2018-2019</v>
      </c>
      <c r="G124" s="490" t="str">
        <f t="shared" si="11"/>
        <v>Salida Muertes</v>
      </c>
      <c r="H124" s="491"/>
      <c r="I124" s="491"/>
      <c r="J124" s="549"/>
      <c r="K124" s="484"/>
      <c r="L12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2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24" s="520"/>
      <c r="O12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24" s="563"/>
      <c r="Q124" s="491"/>
      <c r="R124" s="875">
        <f>IF(ISNUMBER(Producción_Lecheria[[#This Row],[Cabezas]])=TRUE,Producción_Lecheria[[#This Row],[Cabezas]]*Producción_Lecheria[[#This Row],[Cantidad]],Producción_Lecheria[[#This Row],[Cantidad]])</f>
        <v>0</v>
      </c>
      <c r="S124" s="491"/>
      <c r="T124" s="552"/>
      <c r="U124" s="553"/>
      <c r="V12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24" s="977">
        <f>IFERROR(Producción_Lecheria[[#This Row],[Económico $Corrientes]]/Producción_Lecheria[[#This Row],[Indexación Económico]],0)</f>
        <v>0</v>
      </c>
      <c r="X12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2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24" s="977">
        <f>IFERROR(Producción_Lecheria[[#This Row],[Financiero $Corrientes]]/Producción_Lecheria[[#This Row],[Indexación Financiero]],0)</f>
        <v>0</v>
      </c>
      <c r="AA12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2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24" s="981">
        <f>IFERROR(Producción_Lecheria[[#This Row],[Intereses $Corrientes]]/Producción_Lecheria[[#This Row],[Indexación Financiero]],0)</f>
        <v>0</v>
      </c>
      <c r="AD12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24" s="991" t="str">
        <f>IFERROR(INDEX(Produccion_Lecheria_Cuentas[],MATCH(Producción_Lecheria[[#This Row],[Cuenta Contable]],Produccion_Lecheria_Cuentas[Cuenta Contable],0),2),0)</f>
        <v>Mov. Hacienda</v>
      </c>
      <c r="AF124" s="992">
        <f>IF(Producción_Lecheria[[#This Row],[Mov. Stock]]="(+)",Producción_Lecheria[[#This Row],[Cabezas]],IF(Producción_Lecheria[[#This Row],[Mov. Stock]]="(-)",-Producción_Lecheria[[#This Row],[Cabezas]],0))</f>
        <v>0</v>
      </c>
      <c r="AG124" s="993" t="str">
        <f>IFERROR(INDEX(Produccion_Lecheria_Cuentas[],MATCH(Producción_Lecheria[[#This Row],[Cuenta Contable]],Produccion_Lecheria_Cuentas[Cuenta Contable],0),5),0)</f>
        <v>(-)</v>
      </c>
      <c r="AH124" s="985" t="str">
        <f>IF(Producción_Lecheria[[#This Row],[Cuenta Contable]]=Configuración!$AC$9,"Si","No")</f>
        <v>No</v>
      </c>
      <c r="AI124" s="983" t="str">
        <f>IFERROR(INDEX(Tabla9[],MATCH(Producción_Lecheria[[#This Row],[Movimiento]],Tabla9[Movimientos],0),2),0)</f>
        <v>No</v>
      </c>
      <c r="AJ124" s="984">
        <f>IFERROR(INDEX(Tabla9[],MATCH(Producción_Lecheria[[#This Row],[Movimiento]],Tabla9[Movimientos],0),3),0)</f>
        <v>0</v>
      </c>
      <c r="AK124" s="981">
        <f>IF(Producción_Lecheria[[#This Row],[Fecha Económico]]=0,0,MONTH(Producción_Lecheria[[#This Row],[Fecha Económico]]))</f>
        <v>0</v>
      </c>
      <c r="AL124" s="981">
        <f>IF(Producción_Lecheria[[#This Row],[Fecha Económico]]=0,0,YEAR(Producción_Lecheria[[#This Row],[Fecha Económico]]))</f>
        <v>0</v>
      </c>
      <c r="AM124" s="985">
        <f>SUMPRODUCT((Producción_Lecheria[[#This Row],[Mes Económico]]=Tipo_Cambio[Mes])*(Producción_Lecheria[[#This Row],[Año Económico]]=Tipo_Cambio[Año])*(Tipo_Cambio[$/U$S]))</f>
        <v>0</v>
      </c>
      <c r="AN124" s="985">
        <f>SUMPRODUCT((Producción_Lecheria[[#This Row],[Mes Económico]]=Tipo_Cambio[Mes])*(Producción_Lecheria[[#This Row],[Año Económico]]=Tipo_Cambio[Año])*(Tipo_Cambio[Actualización]))</f>
        <v>0</v>
      </c>
      <c r="AO124" s="981">
        <f>IF(ISNUMBER(Producción_Lecheria[[#This Row],[Fecha Financiero]])=TRUE,MONTH(Producción_Lecheria[[#This Row],[Fecha Financiero]]),0)</f>
        <v>0</v>
      </c>
      <c r="AP124" s="981">
        <f>IF(ISNUMBER(Producción_Lecheria[[#This Row],[Fecha Financiero]])=TRUE,YEAR(Producción_Lecheria[[#This Row],[Fecha Financiero]]),0)</f>
        <v>0</v>
      </c>
      <c r="AQ124" s="985">
        <f>SUMPRODUCT((Producción_Lecheria[[#This Row],[Mes Financiero]]=Tipo_Cambio[Mes])*(Producción_Lecheria[[#This Row],[Año Financiero]]=Tipo_Cambio[Año])*(Tipo_Cambio[$/U$S]))</f>
        <v>0</v>
      </c>
      <c r="AR124" s="985">
        <f>SUMPRODUCT((Producción_Lecheria[[#This Row],[Mes Financiero]]=Tipo_Cambio[Mes])*(Producción_Lecheria[[#This Row],[Año Financiero]]=Tipo_Cambio[Año])*(Tipo_Cambio[Actualización]))</f>
        <v>0</v>
      </c>
      <c r="AS124" s="1009">
        <f>SUMPRODUCT((Producción_Lecheria[[#This Row],[Centro de Costo]]=Tabla1924[Centro de Costo])*(Tabla19[Superficie]))</f>
        <v>0</v>
      </c>
      <c r="AT124" s="994">
        <f>IFERROR(Producción_Lecheria[[#This Row],[Económico $Corrientes]]/Producción_Lecheria[[#This Row],[Superficie]],0)</f>
        <v>0</v>
      </c>
      <c r="AU124" s="994">
        <f>IFERROR(Producción_Lecheria[[#This Row],[Económico $Constantes]]/Producción_Lecheria[[#This Row],[Superficie]],0)</f>
        <v>0</v>
      </c>
      <c r="AV124" s="994">
        <f>IFERROR(Producción_Lecheria[[#This Row],[Económico U$S Dólares]]/Producción_Lecheria[[#This Row],[Superficie]],0)</f>
        <v>0</v>
      </c>
      <c r="AW124" s="992">
        <f>IF(Económico!$F$4=0,0,Producción_Lecheria[Centro de Costo])</f>
        <v>0</v>
      </c>
    </row>
    <row r="125" spans="1:49" x14ac:dyDescent="0.25">
      <c r="A125" s="86"/>
      <c r="B125" s="1136"/>
      <c r="C125" s="86"/>
      <c r="D125" s="478"/>
      <c r="E125" s="522"/>
      <c r="F125" s="479" t="str">
        <f t="shared" si="8"/>
        <v>2018-2019</v>
      </c>
      <c r="G125" s="490" t="str">
        <f t="shared" si="11"/>
        <v>Salida Muertes</v>
      </c>
      <c r="H125" s="491"/>
      <c r="I125" s="491"/>
      <c r="J125" s="549"/>
      <c r="K125" s="484"/>
      <c r="L12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2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25" s="520"/>
      <c r="O12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25" s="563"/>
      <c r="Q125" s="491"/>
      <c r="R125" s="875">
        <f>IF(ISNUMBER(Producción_Lecheria[[#This Row],[Cabezas]])=TRUE,Producción_Lecheria[[#This Row],[Cabezas]]*Producción_Lecheria[[#This Row],[Cantidad]],Producción_Lecheria[[#This Row],[Cantidad]])</f>
        <v>0</v>
      </c>
      <c r="S125" s="491"/>
      <c r="T125" s="552"/>
      <c r="U125" s="553"/>
      <c r="V12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25" s="977">
        <f>IFERROR(Producción_Lecheria[[#This Row],[Económico $Corrientes]]/Producción_Lecheria[[#This Row],[Indexación Económico]],0)</f>
        <v>0</v>
      </c>
      <c r="X12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2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25" s="977">
        <f>IFERROR(Producción_Lecheria[[#This Row],[Financiero $Corrientes]]/Producción_Lecheria[[#This Row],[Indexación Financiero]],0)</f>
        <v>0</v>
      </c>
      <c r="AA12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2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25" s="981">
        <f>IFERROR(Producción_Lecheria[[#This Row],[Intereses $Corrientes]]/Producción_Lecheria[[#This Row],[Indexación Financiero]],0)</f>
        <v>0</v>
      </c>
      <c r="AD12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25" s="991" t="str">
        <f>IFERROR(INDEX(Produccion_Lecheria_Cuentas[],MATCH(Producción_Lecheria[[#This Row],[Cuenta Contable]],Produccion_Lecheria_Cuentas[Cuenta Contable],0),2),0)</f>
        <v>Mov. Hacienda</v>
      </c>
      <c r="AF125" s="992">
        <f>IF(Producción_Lecheria[[#This Row],[Mov. Stock]]="(+)",Producción_Lecheria[[#This Row],[Cabezas]],IF(Producción_Lecheria[[#This Row],[Mov. Stock]]="(-)",-Producción_Lecheria[[#This Row],[Cabezas]],0))</f>
        <v>0</v>
      </c>
      <c r="AG125" s="993" t="str">
        <f>IFERROR(INDEX(Produccion_Lecheria_Cuentas[],MATCH(Producción_Lecheria[[#This Row],[Cuenta Contable]],Produccion_Lecheria_Cuentas[Cuenta Contable],0),5),0)</f>
        <v>(-)</v>
      </c>
      <c r="AH125" s="985" t="str">
        <f>IF(Producción_Lecheria[[#This Row],[Cuenta Contable]]=Configuración!$AC$9,"Si","No")</f>
        <v>No</v>
      </c>
      <c r="AI125" s="983" t="str">
        <f>IFERROR(INDEX(Tabla9[],MATCH(Producción_Lecheria[[#This Row],[Movimiento]],Tabla9[Movimientos],0),2),0)</f>
        <v>No</v>
      </c>
      <c r="AJ125" s="984">
        <f>IFERROR(INDEX(Tabla9[],MATCH(Producción_Lecheria[[#This Row],[Movimiento]],Tabla9[Movimientos],0),3),0)</f>
        <v>0</v>
      </c>
      <c r="AK125" s="981">
        <f>IF(Producción_Lecheria[[#This Row],[Fecha Económico]]=0,0,MONTH(Producción_Lecheria[[#This Row],[Fecha Económico]]))</f>
        <v>0</v>
      </c>
      <c r="AL125" s="981">
        <f>IF(Producción_Lecheria[[#This Row],[Fecha Económico]]=0,0,YEAR(Producción_Lecheria[[#This Row],[Fecha Económico]]))</f>
        <v>0</v>
      </c>
      <c r="AM125" s="985">
        <f>SUMPRODUCT((Producción_Lecheria[[#This Row],[Mes Económico]]=Tipo_Cambio[Mes])*(Producción_Lecheria[[#This Row],[Año Económico]]=Tipo_Cambio[Año])*(Tipo_Cambio[$/U$S]))</f>
        <v>0</v>
      </c>
      <c r="AN125" s="985">
        <f>SUMPRODUCT((Producción_Lecheria[[#This Row],[Mes Económico]]=Tipo_Cambio[Mes])*(Producción_Lecheria[[#This Row],[Año Económico]]=Tipo_Cambio[Año])*(Tipo_Cambio[Actualización]))</f>
        <v>0</v>
      </c>
      <c r="AO125" s="981">
        <f>IF(ISNUMBER(Producción_Lecheria[[#This Row],[Fecha Financiero]])=TRUE,MONTH(Producción_Lecheria[[#This Row],[Fecha Financiero]]),0)</f>
        <v>0</v>
      </c>
      <c r="AP125" s="981">
        <f>IF(ISNUMBER(Producción_Lecheria[[#This Row],[Fecha Financiero]])=TRUE,YEAR(Producción_Lecheria[[#This Row],[Fecha Financiero]]),0)</f>
        <v>0</v>
      </c>
      <c r="AQ125" s="985">
        <f>SUMPRODUCT((Producción_Lecheria[[#This Row],[Mes Financiero]]=Tipo_Cambio[Mes])*(Producción_Lecheria[[#This Row],[Año Financiero]]=Tipo_Cambio[Año])*(Tipo_Cambio[$/U$S]))</f>
        <v>0</v>
      </c>
      <c r="AR125" s="985">
        <f>SUMPRODUCT((Producción_Lecheria[[#This Row],[Mes Financiero]]=Tipo_Cambio[Mes])*(Producción_Lecheria[[#This Row],[Año Financiero]]=Tipo_Cambio[Año])*(Tipo_Cambio[Actualización]))</f>
        <v>0</v>
      </c>
      <c r="AS125" s="1009">
        <f>SUMPRODUCT((Producción_Lecheria[[#This Row],[Centro de Costo]]=Tabla1924[Centro de Costo])*(Tabla19[Superficie]))</f>
        <v>0</v>
      </c>
      <c r="AT125" s="994">
        <f>IFERROR(Producción_Lecheria[[#This Row],[Económico $Corrientes]]/Producción_Lecheria[[#This Row],[Superficie]],0)</f>
        <v>0</v>
      </c>
      <c r="AU125" s="994">
        <f>IFERROR(Producción_Lecheria[[#This Row],[Económico $Constantes]]/Producción_Lecheria[[#This Row],[Superficie]],0)</f>
        <v>0</v>
      </c>
      <c r="AV125" s="994">
        <f>IFERROR(Producción_Lecheria[[#This Row],[Económico U$S Dólares]]/Producción_Lecheria[[#This Row],[Superficie]],0)</f>
        <v>0</v>
      </c>
      <c r="AW125" s="992">
        <f>IF(Económico!$F$4=0,0,Producción_Lecheria[Centro de Costo])</f>
        <v>0</v>
      </c>
    </row>
    <row r="126" spans="1:49" x14ac:dyDescent="0.25">
      <c r="A126" s="86"/>
      <c r="B126" s="373"/>
      <c r="C126" s="86"/>
      <c r="D126" s="478"/>
      <c r="E126" s="522"/>
      <c r="F126" s="479" t="str">
        <f t="shared" si="8"/>
        <v>2018-2019</v>
      </c>
      <c r="G126" s="490" t="str">
        <f t="shared" si="11"/>
        <v>Salida Muertes</v>
      </c>
      <c r="H126" s="491"/>
      <c r="I126" s="491"/>
      <c r="J126" s="549"/>
      <c r="K126" s="484"/>
      <c r="L12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2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26" s="520"/>
      <c r="O12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26" s="563"/>
      <c r="Q126" s="491"/>
      <c r="R126" s="875">
        <f>IF(ISNUMBER(Producción_Lecheria[[#This Row],[Cabezas]])=TRUE,Producción_Lecheria[[#This Row],[Cabezas]]*Producción_Lecheria[[#This Row],[Cantidad]],Producción_Lecheria[[#This Row],[Cantidad]])</f>
        <v>0</v>
      </c>
      <c r="S126" s="491"/>
      <c r="T126" s="552"/>
      <c r="U126" s="553"/>
      <c r="V12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26" s="977">
        <f>IFERROR(Producción_Lecheria[[#This Row],[Económico $Corrientes]]/Producción_Lecheria[[#This Row],[Indexación Económico]],0)</f>
        <v>0</v>
      </c>
      <c r="X12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2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26" s="977">
        <f>IFERROR(Producción_Lecheria[[#This Row],[Financiero $Corrientes]]/Producción_Lecheria[[#This Row],[Indexación Financiero]],0)</f>
        <v>0</v>
      </c>
      <c r="AA12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2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26" s="981">
        <f>IFERROR(Producción_Lecheria[[#This Row],[Intereses $Corrientes]]/Producción_Lecheria[[#This Row],[Indexación Financiero]],0)</f>
        <v>0</v>
      </c>
      <c r="AD12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26" s="991" t="str">
        <f>IFERROR(INDEX(Produccion_Lecheria_Cuentas[],MATCH(Producción_Lecheria[[#This Row],[Cuenta Contable]],Produccion_Lecheria_Cuentas[Cuenta Contable],0),2),0)</f>
        <v>Mov. Hacienda</v>
      </c>
      <c r="AF126" s="992">
        <f>IF(Producción_Lecheria[[#This Row],[Mov. Stock]]="(+)",Producción_Lecheria[[#This Row],[Cabezas]],IF(Producción_Lecheria[[#This Row],[Mov. Stock]]="(-)",-Producción_Lecheria[[#This Row],[Cabezas]],0))</f>
        <v>0</v>
      </c>
      <c r="AG126" s="993" t="str">
        <f>IFERROR(INDEX(Produccion_Lecheria_Cuentas[],MATCH(Producción_Lecheria[[#This Row],[Cuenta Contable]],Produccion_Lecheria_Cuentas[Cuenta Contable],0),5),0)</f>
        <v>(-)</v>
      </c>
      <c r="AH126" s="985" t="str">
        <f>IF(Producción_Lecheria[[#This Row],[Cuenta Contable]]=Configuración!$AC$9,"Si","No")</f>
        <v>No</v>
      </c>
      <c r="AI126" s="983" t="str">
        <f>IFERROR(INDEX(Tabla9[],MATCH(Producción_Lecheria[[#This Row],[Movimiento]],Tabla9[Movimientos],0),2),0)</f>
        <v>No</v>
      </c>
      <c r="AJ126" s="984">
        <f>IFERROR(INDEX(Tabla9[],MATCH(Producción_Lecheria[[#This Row],[Movimiento]],Tabla9[Movimientos],0),3),0)</f>
        <v>0</v>
      </c>
      <c r="AK126" s="981">
        <f>IF(Producción_Lecheria[[#This Row],[Fecha Económico]]=0,0,MONTH(Producción_Lecheria[[#This Row],[Fecha Económico]]))</f>
        <v>0</v>
      </c>
      <c r="AL126" s="981">
        <f>IF(Producción_Lecheria[[#This Row],[Fecha Económico]]=0,0,YEAR(Producción_Lecheria[[#This Row],[Fecha Económico]]))</f>
        <v>0</v>
      </c>
      <c r="AM126" s="985">
        <f>SUMPRODUCT((Producción_Lecheria[[#This Row],[Mes Económico]]=Tipo_Cambio[Mes])*(Producción_Lecheria[[#This Row],[Año Económico]]=Tipo_Cambio[Año])*(Tipo_Cambio[$/U$S]))</f>
        <v>0</v>
      </c>
      <c r="AN126" s="985">
        <f>SUMPRODUCT((Producción_Lecheria[[#This Row],[Mes Económico]]=Tipo_Cambio[Mes])*(Producción_Lecheria[[#This Row],[Año Económico]]=Tipo_Cambio[Año])*(Tipo_Cambio[Actualización]))</f>
        <v>0</v>
      </c>
      <c r="AO126" s="981">
        <f>IF(ISNUMBER(Producción_Lecheria[[#This Row],[Fecha Financiero]])=TRUE,MONTH(Producción_Lecheria[[#This Row],[Fecha Financiero]]),0)</f>
        <v>0</v>
      </c>
      <c r="AP126" s="981">
        <f>IF(ISNUMBER(Producción_Lecheria[[#This Row],[Fecha Financiero]])=TRUE,YEAR(Producción_Lecheria[[#This Row],[Fecha Financiero]]),0)</f>
        <v>0</v>
      </c>
      <c r="AQ126" s="985">
        <f>SUMPRODUCT((Producción_Lecheria[[#This Row],[Mes Financiero]]=Tipo_Cambio[Mes])*(Producción_Lecheria[[#This Row],[Año Financiero]]=Tipo_Cambio[Año])*(Tipo_Cambio[$/U$S]))</f>
        <v>0</v>
      </c>
      <c r="AR126" s="985">
        <f>SUMPRODUCT((Producción_Lecheria[[#This Row],[Mes Financiero]]=Tipo_Cambio[Mes])*(Producción_Lecheria[[#This Row],[Año Financiero]]=Tipo_Cambio[Año])*(Tipo_Cambio[Actualización]))</f>
        <v>0</v>
      </c>
      <c r="AS126" s="1009">
        <f>SUMPRODUCT((Producción_Lecheria[[#This Row],[Centro de Costo]]=Tabla1924[Centro de Costo])*(Tabla19[Superficie]))</f>
        <v>0</v>
      </c>
      <c r="AT126" s="994">
        <f>IFERROR(Producción_Lecheria[[#This Row],[Económico $Corrientes]]/Producción_Lecheria[[#This Row],[Superficie]],0)</f>
        <v>0</v>
      </c>
      <c r="AU126" s="994">
        <f>IFERROR(Producción_Lecheria[[#This Row],[Económico $Constantes]]/Producción_Lecheria[[#This Row],[Superficie]],0)</f>
        <v>0</v>
      </c>
      <c r="AV126" s="994">
        <f>IFERROR(Producción_Lecheria[[#This Row],[Económico U$S Dólares]]/Producción_Lecheria[[#This Row],[Superficie]],0)</f>
        <v>0</v>
      </c>
      <c r="AW126" s="992">
        <f>IF(Económico!$F$4=0,0,Producción_Lecheria[Centro de Costo])</f>
        <v>0</v>
      </c>
    </row>
    <row r="127" spans="1:49" x14ac:dyDescent="0.25">
      <c r="A127" s="86"/>
      <c r="B127" s="373"/>
      <c r="C127" s="86"/>
      <c r="D127" s="478"/>
      <c r="E127" s="522"/>
      <c r="F127" s="479" t="str">
        <f t="shared" si="8"/>
        <v>2018-2019</v>
      </c>
      <c r="G127" s="490" t="str">
        <f t="shared" si="11"/>
        <v>Salida Muertes</v>
      </c>
      <c r="H127" s="491"/>
      <c r="I127" s="491"/>
      <c r="J127" s="549"/>
      <c r="K127" s="484"/>
      <c r="L12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2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27" s="520"/>
      <c r="O12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27" s="563"/>
      <c r="Q127" s="491"/>
      <c r="R127" s="875">
        <f>IF(ISNUMBER(Producción_Lecheria[[#This Row],[Cabezas]])=TRUE,Producción_Lecheria[[#This Row],[Cabezas]]*Producción_Lecheria[[#This Row],[Cantidad]],Producción_Lecheria[[#This Row],[Cantidad]])</f>
        <v>0</v>
      </c>
      <c r="S127" s="491"/>
      <c r="T127" s="552"/>
      <c r="U127" s="553"/>
      <c r="V12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27" s="977">
        <f>IFERROR(Producción_Lecheria[[#This Row],[Económico $Corrientes]]/Producción_Lecheria[[#This Row],[Indexación Económico]],0)</f>
        <v>0</v>
      </c>
      <c r="X12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2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27" s="977">
        <f>IFERROR(Producción_Lecheria[[#This Row],[Financiero $Corrientes]]/Producción_Lecheria[[#This Row],[Indexación Financiero]],0)</f>
        <v>0</v>
      </c>
      <c r="AA12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2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27" s="981">
        <f>IFERROR(Producción_Lecheria[[#This Row],[Intereses $Corrientes]]/Producción_Lecheria[[#This Row],[Indexación Financiero]],0)</f>
        <v>0</v>
      </c>
      <c r="AD12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27" s="991" t="str">
        <f>IFERROR(INDEX(Produccion_Lecheria_Cuentas[],MATCH(Producción_Lecheria[[#This Row],[Cuenta Contable]],Produccion_Lecheria_Cuentas[Cuenta Contable],0),2),0)</f>
        <v>Mov. Hacienda</v>
      </c>
      <c r="AF127" s="992">
        <f>IF(Producción_Lecheria[[#This Row],[Mov. Stock]]="(+)",Producción_Lecheria[[#This Row],[Cabezas]],IF(Producción_Lecheria[[#This Row],[Mov. Stock]]="(-)",-Producción_Lecheria[[#This Row],[Cabezas]],0))</f>
        <v>0</v>
      </c>
      <c r="AG127" s="993" t="str">
        <f>IFERROR(INDEX(Produccion_Lecheria_Cuentas[],MATCH(Producción_Lecheria[[#This Row],[Cuenta Contable]],Produccion_Lecheria_Cuentas[Cuenta Contable],0),5),0)</f>
        <v>(-)</v>
      </c>
      <c r="AH127" s="985" t="str">
        <f>IF(Producción_Lecheria[[#This Row],[Cuenta Contable]]=Configuración!$AC$9,"Si","No")</f>
        <v>No</v>
      </c>
      <c r="AI127" s="983" t="str">
        <f>IFERROR(INDEX(Tabla9[],MATCH(Producción_Lecheria[[#This Row],[Movimiento]],Tabla9[Movimientos],0),2),0)</f>
        <v>No</v>
      </c>
      <c r="AJ127" s="984">
        <f>IFERROR(INDEX(Tabla9[],MATCH(Producción_Lecheria[[#This Row],[Movimiento]],Tabla9[Movimientos],0),3),0)</f>
        <v>0</v>
      </c>
      <c r="AK127" s="981">
        <f>IF(Producción_Lecheria[[#This Row],[Fecha Económico]]=0,0,MONTH(Producción_Lecheria[[#This Row],[Fecha Económico]]))</f>
        <v>0</v>
      </c>
      <c r="AL127" s="981">
        <f>IF(Producción_Lecheria[[#This Row],[Fecha Económico]]=0,0,YEAR(Producción_Lecheria[[#This Row],[Fecha Económico]]))</f>
        <v>0</v>
      </c>
      <c r="AM127" s="985">
        <f>SUMPRODUCT((Producción_Lecheria[[#This Row],[Mes Económico]]=Tipo_Cambio[Mes])*(Producción_Lecheria[[#This Row],[Año Económico]]=Tipo_Cambio[Año])*(Tipo_Cambio[$/U$S]))</f>
        <v>0</v>
      </c>
      <c r="AN127" s="985">
        <f>SUMPRODUCT((Producción_Lecheria[[#This Row],[Mes Económico]]=Tipo_Cambio[Mes])*(Producción_Lecheria[[#This Row],[Año Económico]]=Tipo_Cambio[Año])*(Tipo_Cambio[Actualización]))</f>
        <v>0</v>
      </c>
      <c r="AO127" s="981">
        <f>IF(ISNUMBER(Producción_Lecheria[[#This Row],[Fecha Financiero]])=TRUE,MONTH(Producción_Lecheria[[#This Row],[Fecha Financiero]]),0)</f>
        <v>0</v>
      </c>
      <c r="AP127" s="981">
        <f>IF(ISNUMBER(Producción_Lecheria[[#This Row],[Fecha Financiero]])=TRUE,YEAR(Producción_Lecheria[[#This Row],[Fecha Financiero]]),0)</f>
        <v>0</v>
      </c>
      <c r="AQ127" s="985">
        <f>SUMPRODUCT((Producción_Lecheria[[#This Row],[Mes Financiero]]=Tipo_Cambio[Mes])*(Producción_Lecheria[[#This Row],[Año Financiero]]=Tipo_Cambio[Año])*(Tipo_Cambio[$/U$S]))</f>
        <v>0</v>
      </c>
      <c r="AR127" s="985">
        <f>SUMPRODUCT((Producción_Lecheria[[#This Row],[Mes Financiero]]=Tipo_Cambio[Mes])*(Producción_Lecheria[[#This Row],[Año Financiero]]=Tipo_Cambio[Año])*(Tipo_Cambio[Actualización]))</f>
        <v>0</v>
      </c>
      <c r="AS127" s="1009">
        <f>SUMPRODUCT((Producción_Lecheria[[#This Row],[Centro de Costo]]=Tabla1924[Centro de Costo])*(Tabla19[Superficie]))</f>
        <v>0</v>
      </c>
      <c r="AT127" s="994">
        <f>IFERROR(Producción_Lecheria[[#This Row],[Económico $Corrientes]]/Producción_Lecheria[[#This Row],[Superficie]],0)</f>
        <v>0</v>
      </c>
      <c r="AU127" s="994">
        <f>IFERROR(Producción_Lecheria[[#This Row],[Económico $Constantes]]/Producción_Lecheria[[#This Row],[Superficie]],0)</f>
        <v>0</v>
      </c>
      <c r="AV127" s="994">
        <f>IFERROR(Producción_Lecheria[[#This Row],[Económico U$S Dólares]]/Producción_Lecheria[[#This Row],[Superficie]],0)</f>
        <v>0</v>
      </c>
      <c r="AW127" s="992">
        <f>IF(Económico!$F$4=0,0,Producción_Lecheria[Centro de Costo])</f>
        <v>0</v>
      </c>
    </row>
    <row r="128" spans="1:49" x14ac:dyDescent="0.25">
      <c r="A128" s="86"/>
      <c r="B128" s="373"/>
      <c r="C128" s="86"/>
      <c r="D128" s="478"/>
      <c r="E128" s="522"/>
      <c r="F128" s="479" t="str">
        <f t="shared" si="8"/>
        <v>2018-2019</v>
      </c>
      <c r="G128" s="490" t="str">
        <f t="shared" si="11"/>
        <v>Salida Muertes</v>
      </c>
      <c r="H128" s="491"/>
      <c r="I128" s="491"/>
      <c r="J128" s="549"/>
      <c r="K128" s="484"/>
      <c r="L12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2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28" s="520"/>
      <c r="O12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28" s="563"/>
      <c r="Q128" s="491"/>
      <c r="R128" s="875">
        <f>IF(ISNUMBER(Producción_Lecheria[[#This Row],[Cabezas]])=TRUE,Producción_Lecheria[[#This Row],[Cabezas]]*Producción_Lecheria[[#This Row],[Cantidad]],Producción_Lecheria[[#This Row],[Cantidad]])</f>
        <v>0</v>
      </c>
      <c r="S128" s="491"/>
      <c r="T128" s="552"/>
      <c r="U128" s="553"/>
      <c r="V12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28" s="977">
        <f>IFERROR(Producción_Lecheria[[#This Row],[Económico $Corrientes]]/Producción_Lecheria[[#This Row],[Indexación Económico]],0)</f>
        <v>0</v>
      </c>
      <c r="X12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2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28" s="977">
        <f>IFERROR(Producción_Lecheria[[#This Row],[Financiero $Corrientes]]/Producción_Lecheria[[#This Row],[Indexación Financiero]],0)</f>
        <v>0</v>
      </c>
      <c r="AA12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2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28" s="981">
        <f>IFERROR(Producción_Lecheria[[#This Row],[Intereses $Corrientes]]/Producción_Lecheria[[#This Row],[Indexación Financiero]],0)</f>
        <v>0</v>
      </c>
      <c r="AD12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28" s="991" t="str">
        <f>IFERROR(INDEX(Produccion_Lecheria_Cuentas[],MATCH(Producción_Lecheria[[#This Row],[Cuenta Contable]],Produccion_Lecheria_Cuentas[Cuenta Contable],0),2),0)</f>
        <v>Mov. Hacienda</v>
      </c>
      <c r="AF128" s="992">
        <f>IF(Producción_Lecheria[[#This Row],[Mov. Stock]]="(+)",Producción_Lecheria[[#This Row],[Cabezas]],IF(Producción_Lecheria[[#This Row],[Mov. Stock]]="(-)",-Producción_Lecheria[[#This Row],[Cabezas]],0))</f>
        <v>0</v>
      </c>
      <c r="AG128" s="993" t="str">
        <f>IFERROR(INDEX(Produccion_Lecheria_Cuentas[],MATCH(Producción_Lecheria[[#This Row],[Cuenta Contable]],Produccion_Lecheria_Cuentas[Cuenta Contable],0),5),0)</f>
        <v>(-)</v>
      </c>
      <c r="AH128" s="985" t="str">
        <f>IF(Producción_Lecheria[[#This Row],[Cuenta Contable]]=Configuración!$AC$9,"Si","No")</f>
        <v>No</v>
      </c>
      <c r="AI128" s="983" t="str">
        <f>IFERROR(INDEX(Tabla9[],MATCH(Producción_Lecheria[[#This Row],[Movimiento]],Tabla9[Movimientos],0),2),0)</f>
        <v>No</v>
      </c>
      <c r="AJ128" s="984">
        <f>IFERROR(INDEX(Tabla9[],MATCH(Producción_Lecheria[[#This Row],[Movimiento]],Tabla9[Movimientos],0),3),0)</f>
        <v>0</v>
      </c>
      <c r="AK128" s="981">
        <f>IF(Producción_Lecheria[[#This Row],[Fecha Económico]]=0,0,MONTH(Producción_Lecheria[[#This Row],[Fecha Económico]]))</f>
        <v>0</v>
      </c>
      <c r="AL128" s="981">
        <f>IF(Producción_Lecheria[[#This Row],[Fecha Económico]]=0,0,YEAR(Producción_Lecheria[[#This Row],[Fecha Económico]]))</f>
        <v>0</v>
      </c>
      <c r="AM128" s="985">
        <f>SUMPRODUCT((Producción_Lecheria[[#This Row],[Mes Económico]]=Tipo_Cambio[Mes])*(Producción_Lecheria[[#This Row],[Año Económico]]=Tipo_Cambio[Año])*(Tipo_Cambio[$/U$S]))</f>
        <v>0</v>
      </c>
      <c r="AN128" s="985">
        <f>SUMPRODUCT((Producción_Lecheria[[#This Row],[Mes Económico]]=Tipo_Cambio[Mes])*(Producción_Lecheria[[#This Row],[Año Económico]]=Tipo_Cambio[Año])*(Tipo_Cambio[Actualización]))</f>
        <v>0</v>
      </c>
      <c r="AO128" s="981">
        <f>IF(ISNUMBER(Producción_Lecheria[[#This Row],[Fecha Financiero]])=TRUE,MONTH(Producción_Lecheria[[#This Row],[Fecha Financiero]]),0)</f>
        <v>0</v>
      </c>
      <c r="AP128" s="981">
        <f>IF(ISNUMBER(Producción_Lecheria[[#This Row],[Fecha Financiero]])=TRUE,YEAR(Producción_Lecheria[[#This Row],[Fecha Financiero]]),0)</f>
        <v>0</v>
      </c>
      <c r="AQ128" s="985">
        <f>SUMPRODUCT((Producción_Lecheria[[#This Row],[Mes Financiero]]=Tipo_Cambio[Mes])*(Producción_Lecheria[[#This Row],[Año Financiero]]=Tipo_Cambio[Año])*(Tipo_Cambio[$/U$S]))</f>
        <v>0</v>
      </c>
      <c r="AR128" s="985">
        <f>SUMPRODUCT((Producción_Lecheria[[#This Row],[Mes Financiero]]=Tipo_Cambio[Mes])*(Producción_Lecheria[[#This Row],[Año Financiero]]=Tipo_Cambio[Año])*(Tipo_Cambio[Actualización]))</f>
        <v>0</v>
      </c>
      <c r="AS128" s="1009">
        <f>SUMPRODUCT((Producción_Lecheria[[#This Row],[Centro de Costo]]=Tabla1924[Centro de Costo])*(Tabla19[Superficie]))</f>
        <v>0</v>
      </c>
      <c r="AT128" s="994">
        <f>IFERROR(Producción_Lecheria[[#This Row],[Económico $Corrientes]]/Producción_Lecheria[[#This Row],[Superficie]],0)</f>
        <v>0</v>
      </c>
      <c r="AU128" s="994">
        <f>IFERROR(Producción_Lecheria[[#This Row],[Económico $Constantes]]/Producción_Lecheria[[#This Row],[Superficie]],0)</f>
        <v>0</v>
      </c>
      <c r="AV128" s="994">
        <f>IFERROR(Producción_Lecheria[[#This Row],[Económico U$S Dólares]]/Producción_Lecheria[[#This Row],[Superficie]],0)</f>
        <v>0</v>
      </c>
      <c r="AW128" s="992">
        <f>IF(Económico!$F$4=0,0,Producción_Lecheria[Centro de Costo])</f>
        <v>0</v>
      </c>
    </row>
    <row r="129" spans="1:49" x14ac:dyDescent="0.25">
      <c r="A129" s="86"/>
      <c r="B129" s="373"/>
      <c r="C129" s="86"/>
      <c r="D129" s="478"/>
      <c r="E129" s="522"/>
      <c r="F129" s="479" t="str">
        <f t="shared" si="8"/>
        <v>2018-2019</v>
      </c>
      <c r="G129" s="490" t="str">
        <f t="shared" si="11"/>
        <v>Salida Muertes</v>
      </c>
      <c r="H129" s="491"/>
      <c r="I129" s="491"/>
      <c r="J129" s="549"/>
      <c r="K129" s="484"/>
      <c r="L12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2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29" s="520"/>
      <c r="O12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29" s="563"/>
      <c r="Q129" s="491"/>
      <c r="R129" s="875">
        <f>IF(ISNUMBER(Producción_Lecheria[[#This Row],[Cabezas]])=TRUE,Producción_Lecheria[[#This Row],[Cabezas]]*Producción_Lecheria[[#This Row],[Cantidad]],Producción_Lecheria[[#This Row],[Cantidad]])</f>
        <v>0</v>
      </c>
      <c r="S129" s="491"/>
      <c r="T129" s="552"/>
      <c r="U129" s="553"/>
      <c r="V12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29" s="977">
        <f>IFERROR(Producción_Lecheria[[#This Row],[Económico $Corrientes]]/Producción_Lecheria[[#This Row],[Indexación Económico]],0)</f>
        <v>0</v>
      </c>
      <c r="X12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2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29" s="977">
        <f>IFERROR(Producción_Lecheria[[#This Row],[Financiero $Corrientes]]/Producción_Lecheria[[#This Row],[Indexación Financiero]],0)</f>
        <v>0</v>
      </c>
      <c r="AA12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2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29" s="981">
        <f>IFERROR(Producción_Lecheria[[#This Row],[Intereses $Corrientes]]/Producción_Lecheria[[#This Row],[Indexación Financiero]],0)</f>
        <v>0</v>
      </c>
      <c r="AD12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29" s="991" t="str">
        <f>IFERROR(INDEX(Produccion_Lecheria_Cuentas[],MATCH(Producción_Lecheria[[#This Row],[Cuenta Contable]],Produccion_Lecheria_Cuentas[Cuenta Contable],0),2),0)</f>
        <v>Mov. Hacienda</v>
      </c>
      <c r="AF129" s="992">
        <f>IF(Producción_Lecheria[[#This Row],[Mov. Stock]]="(+)",Producción_Lecheria[[#This Row],[Cabezas]],IF(Producción_Lecheria[[#This Row],[Mov. Stock]]="(-)",-Producción_Lecheria[[#This Row],[Cabezas]],0))</f>
        <v>0</v>
      </c>
      <c r="AG129" s="993" t="str">
        <f>IFERROR(INDEX(Produccion_Lecheria_Cuentas[],MATCH(Producción_Lecheria[[#This Row],[Cuenta Contable]],Produccion_Lecheria_Cuentas[Cuenta Contable],0),5),0)</f>
        <v>(-)</v>
      </c>
      <c r="AH129" s="985" t="str">
        <f>IF(Producción_Lecheria[[#This Row],[Cuenta Contable]]=Configuración!$AC$9,"Si","No")</f>
        <v>No</v>
      </c>
      <c r="AI129" s="983" t="str">
        <f>IFERROR(INDEX(Tabla9[],MATCH(Producción_Lecheria[[#This Row],[Movimiento]],Tabla9[Movimientos],0),2),0)</f>
        <v>No</v>
      </c>
      <c r="AJ129" s="984">
        <f>IFERROR(INDEX(Tabla9[],MATCH(Producción_Lecheria[[#This Row],[Movimiento]],Tabla9[Movimientos],0),3),0)</f>
        <v>0</v>
      </c>
      <c r="AK129" s="981">
        <f>IF(Producción_Lecheria[[#This Row],[Fecha Económico]]=0,0,MONTH(Producción_Lecheria[[#This Row],[Fecha Económico]]))</f>
        <v>0</v>
      </c>
      <c r="AL129" s="981">
        <f>IF(Producción_Lecheria[[#This Row],[Fecha Económico]]=0,0,YEAR(Producción_Lecheria[[#This Row],[Fecha Económico]]))</f>
        <v>0</v>
      </c>
      <c r="AM129" s="985">
        <f>SUMPRODUCT((Producción_Lecheria[[#This Row],[Mes Económico]]=Tipo_Cambio[Mes])*(Producción_Lecheria[[#This Row],[Año Económico]]=Tipo_Cambio[Año])*(Tipo_Cambio[$/U$S]))</f>
        <v>0</v>
      </c>
      <c r="AN129" s="985">
        <f>SUMPRODUCT((Producción_Lecheria[[#This Row],[Mes Económico]]=Tipo_Cambio[Mes])*(Producción_Lecheria[[#This Row],[Año Económico]]=Tipo_Cambio[Año])*(Tipo_Cambio[Actualización]))</f>
        <v>0</v>
      </c>
      <c r="AO129" s="981">
        <f>IF(ISNUMBER(Producción_Lecheria[[#This Row],[Fecha Financiero]])=TRUE,MONTH(Producción_Lecheria[[#This Row],[Fecha Financiero]]),0)</f>
        <v>0</v>
      </c>
      <c r="AP129" s="981">
        <f>IF(ISNUMBER(Producción_Lecheria[[#This Row],[Fecha Financiero]])=TRUE,YEAR(Producción_Lecheria[[#This Row],[Fecha Financiero]]),0)</f>
        <v>0</v>
      </c>
      <c r="AQ129" s="985">
        <f>SUMPRODUCT((Producción_Lecheria[[#This Row],[Mes Financiero]]=Tipo_Cambio[Mes])*(Producción_Lecheria[[#This Row],[Año Financiero]]=Tipo_Cambio[Año])*(Tipo_Cambio[$/U$S]))</f>
        <v>0</v>
      </c>
      <c r="AR129" s="985">
        <f>SUMPRODUCT((Producción_Lecheria[[#This Row],[Mes Financiero]]=Tipo_Cambio[Mes])*(Producción_Lecheria[[#This Row],[Año Financiero]]=Tipo_Cambio[Año])*(Tipo_Cambio[Actualización]))</f>
        <v>0</v>
      </c>
      <c r="AS129" s="1009">
        <f>SUMPRODUCT((Producción_Lecheria[[#This Row],[Centro de Costo]]=Tabla1924[Centro de Costo])*(Tabla19[Superficie]))</f>
        <v>0</v>
      </c>
      <c r="AT129" s="994">
        <f>IFERROR(Producción_Lecheria[[#This Row],[Económico $Corrientes]]/Producción_Lecheria[[#This Row],[Superficie]],0)</f>
        <v>0</v>
      </c>
      <c r="AU129" s="994">
        <f>IFERROR(Producción_Lecheria[[#This Row],[Económico $Constantes]]/Producción_Lecheria[[#This Row],[Superficie]],0)</f>
        <v>0</v>
      </c>
      <c r="AV129" s="994">
        <f>IFERROR(Producción_Lecheria[[#This Row],[Económico U$S Dólares]]/Producción_Lecheria[[#This Row],[Superficie]],0)</f>
        <v>0</v>
      </c>
      <c r="AW129" s="992">
        <f>IF(Económico!$F$4=0,0,Producción_Lecheria[Centro de Costo])</f>
        <v>0</v>
      </c>
    </row>
    <row r="130" spans="1:49" x14ac:dyDescent="0.25">
      <c r="A130" s="86"/>
      <c r="B130" s="373"/>
      <c r="C130" s="86"/>
      <c r="D130" s="478"/>
      <c r="E130" s="522"/>
      <c r="F130" s="479" t="str">
        <f t="shared" si="8"/>
        <v>2018-2019</v>
      </c>
      <c r="G130" s="490" t="str">
        <f t="shared" si="11"/>
        <v>Salida Muertes</v>
      </c>
      <c r="H130" s="491"/>
      <c r="I130" s="491"/>
      <c r="J130" s="549"/>
      <c r="K130" s="484"/>
      <c r="L13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3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30" s="520"/>
      <c r="O13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30" s="563"/>
      <c r="Q130" s="491"/>
      <c r="R130" s="875">
        <f>IF(ISNUMBER(Producción_Lecheria[[#This Row],[Cabezas]])=TRUE,Producción_Lecheria[[#This Row],[Cabezas]]*Producción_Lecheria[[#This Row],[Cantidad]],Producción_Lecheria[[#This Row],[Cantidad]])</f>
        <v>0</v>
      </c>
      <c r="S130" s="491"/>
      <c r="T130" s="552"/>
      <c r="U130" s="553"/>
      <c r="V13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30" s="977">
        <f>IFERROR(Producción_Lecheria[[#This Row],[Económico $Corrientes]]/Producción_Lecheria[[#This Row],[Indexación Económico]],0)</f>
        <v>0</v>
      </c>
      <c r="X13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3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30" s="977">
        <f>IFERROR(Producción_Lecheria[[#This Row],[Financiero $Corrientes]]/Producción_Lecheria[[#This Row],[Indexación Financiero]],0)</f>
        <v>0</v>
      </c>
      <c r="AA13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3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30" s="981">
        <f>IFERROR(Producción_Lecheria[[#This Row],[Intereses $Corrientes]]/Producción_Lecheria[[#This Row],[Indexación Financiero]],0)</f>
        <v>0</v>
      </c>
      <c r="AD13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30" s="991" t="str">
        <f>IFERROR(INDEX(Produccion_Lecheria_Cuentas[],MATCH(Producción_Lecheria[[#This Row],[Cuenta Contable]],Produccion_Lecheria_Cuentas[Cuenta Contable],0),2),0)</f>
        <v>Mov. Hacienda</v>
      </c>
      <c r="AF130" s="992">
        <f>IF(Producción_Lecheria[[#This Row],[Mov. Stock]]="(+)",Producción_Lecheria[[#This Row],[Cabezas]],IF(Producción_Lecheria[[#This Row],[Mov. Stock]]="(-)",-Producción_Lecheria[[#This Row],[Cabezas]],0))</f>
        <v>0</v>
      </c>
      <c r="AG130" s="993" t="str">
        <f>IFERROR(INDEX(Produccion_Lecheria_Cuentas[],MATCH(Producción_Lecheria[[#This Row],[Cuenta Contable]],Produccion_Lecheria_Cuentas[Cuenta Contable],0),5),0)</f>
        <v>(-)</v>
      </c>
      <c r="AH130" s="985" t="str">
        <f>IF(Producción_Lecheria[[#This Row],[Cuenta Contable]]=Configuración!$AC$9,"Si","No")</f>
        <v>No</v>
      </c>
      <c r="AI130" s="983" t="str">
        <f>IFERROR(INDEX(Tabla9[],MATCH(Producción_Lecheria[[#This Row],[Movimiento]],Tabla9[Movimientos],0),2),0)</f>
        <v>No</v>
      </c>
      <c r="AJ130" s="984">
        <f>IFERROR(INDEX(Tabla9[],MATCH(Producción_Lecheria[[#This Row],[Movimiento]],Tabla9[Movimientos],0),3),0)</f>
        <v>0</v>
      </c>
      <c r="AK130" s="981">
        <f>IF(Producción_Lecheria[[#This Row],[Fecha Económico]]=0,0,MONTH(Producción_Lecheria[[#This Row],[Fecha Económico]]))</f>
        <v>0</v>
      </c>
      <c r="AL130" s="981">
        <f>IF(Producción_Lecheria[[#This Row],[Fecha Económico]]=0,0,YEAR(Producción_Lecheria[[#This Row],[Fecha Económico]]))</f>
        <v>0</v>
      </c>
      <c r="AM130" s="985">
        <f>SUMPRODUCT((Producción_Lecheria[[#This Row],[Mes Económico]]=Tipo_Cambio[Mes])*(Producción_Lecheria[[#This Row],[Año Económico]]=Tipo_Cambio[Año])*(Tipo_Cambio[$/U$S]))</f>
        <v>0</v>
      </c>
      <c r="AN130" s="985">
        <f>SUMPRODUCT((Producción_Lecheria[[#This Row],[Mes Económico]]=Tipo_Cambio[Mes])*(Producción_Lecheria[[#This Row],[Año Económico]]=Tipo_Cambio[Año])*(Tipo_Cambio[Actualización]))</f>
        <v>0</v>
      </c>
      <c r="AO130" s="981">
        <f>IF(ISNUMBER(Producción_Lecheria[[#This Row],[Fecha Financiero]])=TRUE,MONTH(Producción_Lecheria[[#This Row],[Fecha Financiero]]),0)</f>
        <v>0</v>
      </c>
      <c r="AP130" s="981">
        <f>IF(ISNUMBER(Producción_Lecheria[[#This Row],[Fecha Financiero]])=TRUE,YEAR(Producción_Lecheria[[#This Row],[Fecha Financiero]]),0)</f>
        <v>0</v>
      </c>
      <c r="AQ130" s="985">
        <f>SUMPRODUCT((Producción_Lecheria[[#This Row],[Mes Financiero]]=Tipo_Cambio[Mes])*(Producción_Lecheria[[#This Row],[Año Financiero]]=Tipo_Cambio[Año])*(Tipo_Cambio[$/U$S]))</f>
        <v>0</v>
      </c>
      <c r="AR130" s="985">
        <f>SUMPRODUCT((Producción_Lecheria[[#This Row],[Mes Financiero]]=Tipo_Cambio[Mes])*(Producción_Lecheria[[#This Row],[Año Financiero]]=Tipo_Cambio[Año])*(Tipo_Cambio[Actualización]))</f>
        <v>0</v>
      </c>
      <c r="AS130" s="1009">
        <f>SUMPRODUCT((Producción_Lecheria[[#This Row],[Centro de Costo]]=Tabla1924[Centro de Costo])*(Tabla19[Superficie]))</f>
        <v>0</v>
      </c>
      <c r="AT130" s="994">
        <f>IFERROR(Producción_Lecheria[[#This Row],[Económico $Corrientes]]/Producción_Lecheria[[#This Row],[Superficie]],0)</f>
        <v>0</v>
      </c>
      <c r="AU130" s="994">
        <f>IFERROR(Producción_Lecheria[[#This Row],[Económico $Constantes]]/Producción_Lecheria[[#This Row],[Superficie]],0)</f>
        <v>0</v>
      </c>
      <c r="AV130" s="994">
        <f>IFERROR(Producción_Lecheria[[#This Row],[Económico U$S Dólares]]/Producción_Lecheria[[#This Row],[Superficie]],0)</f>
        <v>0</v>
      </c>
      <c r="AW130" s="992">
        <f>IF(Económico!$F$4=0,0,Producción_Lecheria[Centro de Costo])</f>
        <v>0</v>
      </c>
    </row>
    <row r="131" spans="1:49" ht="15.75" thickBot="1" x14ac:dyDescent="0.3">
      <c r="A131" s="86"/>
      <c r="B131" s="373" t="s">
        <v>101</v>
      </c>
      <c r="C131" s="86"/>
      <c r="D131" s="478"/>
      <c r="E131" s="493"/>
      <c r="F131" s="479" t="str">
        <f t="shared" ref="F131:F146" si="12">Campaña_Actual</f>
        <v>2018-2019</v>
      </c>
      <c r="G131" s="490" t="str">
        <f t="shared" si="11"/>
        <v>Salida Muertes</v>
      </c>
      <c r="H131" s="491"/>
      <c r="I131" s="491"/>
      <c r="J131" s="549"/>
      <c r="K131" s="484"/>
      <c r="L13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3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31" s="520"/>
      <c r="O13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31" s="563"/>
      <c r="Q131" s="491"/>
      <c r="R131" s="875">
        <f>IF(ISNUMBER(Producción_Lecheria[[#This Row],[Cabezas]])=TRUE,Producción_Lecheria[[#This Row],[Cabezas]]*Producción_Lecheria[[#This Row],[Cantidad]],Producción_Lecheria[[#This Row],[Cantidad]])</f>
        <v>0</v>
      </c>
      <c r="S131" s="491"/>
      <c r="T131" s="552"/>
      <c r="U131" s="553"/>
      <c r="V13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31" s="977">
        <f>IFERROR(Producción_Lecheria[[#This Row],[Económico $Corrientes]]/Producción_Lecheria[[#This Row],[Indexación Económico]],0)</f>
        <v>0</v>
      </c>
      <c r="X13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3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31" s="977">
        <f>IFERROR(Producción_Lecheria[[#This Row],[Financiero $Corrientes]]/Producción_Lecheria[[#This Row],[Indexación Financiero]],0)</f>
        <v>0</v>
      </c>
      <c r="AA13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3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31" s="981">
        <f>IFERROR(Producción_Lecheria[[#This Row],[Intereses $Corrientes]]/Producción_Lecheria[[#This Row],[Indexación Financiero]],0)</f>
        <v>0</v>
      </c>
      <c r="AD13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31" s="991" t="str">
        <f>IFERROR(INDEX(Produccion_Lecheria_Cuentas[],MATCH(Producción_Lecheria[[#This Row],[Cuenta Contable]],Produccion_Lecheria_Cuentas[Cuenta Contable],0),2),0)</f>
        <v>Mov. Hacienda</v>
      </c>
      <c r="AF131" s="992">
        <f>IF(Producción_Lecheria[[#This Row],[Mov. Stock]]="(+)",Producción_Lecheria[[#This Row],[Cabezas]],IF(Producción_Lecheria[[#This Row],[Mov. Stock]]="(-)",-Producción_Lecheria[[#This Row],[Cabezas]],0))</f>
        <v>0</v>
      </c>
      <c r="AG131" s="993" t="str">
        <f>IFERROR(INDEX(Produccion_Lecheria_Cuentas[],MATCH(Producción_Lecheria[[#This Row],[Cuenta Contable]],Produccion_Lecheria_Cuentas[Cuenta Contable],0),5),0)</f>
        <v>(-)</v>
      </c>
      <c r="AH131" s="985" t="str">
        <f>IF(Producción_Lecheria[[#This Row],[Cuenta Contable]]=Configuración!$AC$9,"Si","No")</f>
        <v>No</v>
      </c>
      <c r="AI131" s="983" t="str">
        <f>IFERROR(INDEX(Tabla9[],MATCH(Producción_Lecheria[[#This Row],[Movimiento]],Tabla9[Movimientos],0),2),0)</f>
        <v>No</v>
      </c>
      <c r="AJ131" s="984">
        <f>IFERROR(INDEX(Tabla9[],MATCH(Producción_Lecheria[[#This Row],[Movimiento]],Tabla9[Movimientos],0),3),0)</f>
        <v>0</v>
      </c>
      <c r="AK131" s="981">
        <f>IF(Producción_Lecheria[[#This Row],[Fecha Económico]]=0,0,MONTH(Producción_Lecheria[[#This Row],[Fecha Económico]]))</f>
        <v>0</v>
      </c>
      <c r="AL131" s="981">
        <f>IF(Producción_Lecheria[[#This Row],[Fecha Económico]]=0,0,YEAR(Producción_Lecheria[[#This Row],[Fecha Económico]]))</f>
        <v>0</v>
      </c>
      <c r="AM131" s="985">
        <f>SUMPRODUCT((Producción_Lecheria[[#This Row],[Mes Económico]]=Tipo_Cambio[Mes])*(Producción_Lecheria[[#This Row],[Año Económico]]=Tipo_Cambio[Año])*(Tipo_Cambio[$/U$S]))</f>
        <v>0</v>
      </c>
      <c r="AN131" s="985">
        <f>SUMPRODUCT((Producción_Lecheria[[#This Row],[Mes Económico]]=Tipo_Cambio[Mes])*(Producción_Lecheria[[#This Row],[Año Económico]]=Tipo_Cambio[Año])*(Tipo_Cambio[Actualización]))</f>
        <v>0</v>
      </c>
      <c r="AO131" s="981">
        <f>IF(ISNUMBER(Producción_Lecheria[[#This Row],[Fecha Financiero]])=TRUE,MONTH(Producción_Lecheria[[#This Row],[Fecha Financiero]]),0)</f>
        <v>0</v>
      </c>
      <c r="AP131" s="981">
        <f>IF(ISNUMBER(Producción_Lecheria[[#This Row],[Fecha Financiero]])=TRUE,YEAR(Producción_Lecheria[[#This Row],[Fecha Financiero]]),0)</f>
        <v>0</v>
      </c>
      <c r="AQ131" s="985">
        <f>SUMPRODUCT((Producción_Lecheria[[#This Row],[Mes Financiero]]=Tipo_Cambio[Mes])*(Producción_Lecheria[[#This Row],[Año Financiero]]=Tipo_Cambio[Año])*(Tipo_Cambio[$/U$S]))</f>
        <v>0</v>
      </c>
      <c r="AR131" s="985">
        <f>SUMPRODUCT((Producción_Lecheria[[#This Row],[Mes Financiero]]=Tipo_Cambio[Mes])*(Producción_Lecheria[[#This Row],[Año Financiero]]=Tipo_Cambio[Año])*(Tipo_Cambio[Actualización]))</f>
        <v>0</v>
      </c>
      <c r="AS131" s="1009">
        <f>SUMPRODUCT((Producción_Lecheria[[#This Row],[Centro de Costo]]=Tabla1924[Centro de Costo])*(Tabla19[Superficie]))</f>
        <v>0</v>
      </c>
      <c r="AT131" s="994">
        <f>IFERROR(Producción_Lecheria[[#This Row],[Económico $Corrientes]]/Producción_Lecheria[[#This Row],[Superficie]],0)</f>
        <v>0</v>
      </c>
      <c r="AU131" s="994">
        <f>IFERROR(Producción_Lecheria[[#This Row],[Económico $Constantes]]/Producción_Lecheria[[#This Row],[Superficie]],0)</f>
        <v>0</v>
      </c>
      <c r="AV131" s="994">
        <f>IFERROR(Producción_Lecheria[[#This Row],[Económico U$S Dólares]]/Producción_Lecheria[[#This Row],[Superficie]],0)</f>
        <v>0</v>
      </c>
      <c r="AW131" s="992">
        <f>IF(Económico!$F$4=0,0,Producción_Lecheria[Centro de Costo])</f>
        <v>0</v>
      </c>
    </row>
    <row r="132" spans="1:49" ht="15.75" customHeight="1" thickTop="1" x14ac:dyDescent="0.25">
      <c r="A132" s="86"/>
      <c r="B132" s="1136" t="s">
        <v>223</v>
      </c>
      <c r="C132" s="86"/>
      <c r="D132" s="579">
        <f>DATE(LEFT(Producción_Lecheria[[#This Row],[Campaña]],4)+1,6,30)</f>
        <v>43646</v>
      </c>
      <c r="E132" s="580"/>
      <c r="F132" s="556" t="str">
        <f t="shared" si="12"/>
        <v>2018-2019</v>
      </c>
      <c r="G132" s="581" t="str">
        <f>LCH_Salida_C.Categoria</f>
        <v>Salida C. Categoría</v>
      </c>
      <c r="H132" s="551" t="s">
        <v>2</v>
      </c>
      <c r="I132" s="551" t="s">
        <v>130</v>
      </c>
      <c r="J132" s="558"/>
      <c r="K132" s="577"/>
      <c r="L132" s="964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32" s="961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32" s="559"/>
      <c r="O132" s="972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32" s="578"/>
      <c r="Q132" s="551"/>
      <c r="R132" s="975">
        <f>IF(ISNUMBER(Producción_Lecheria[[#This Row],[Cabezas]])=TRUE,Producción_Lecheria[[#This Row],[Cabezas]]*Producción_Lecheria[[#This Row],[Cantidad]],Producción_Lecheria[[#This Row],[Cantidad]])</f>
        <v>0</v>
      </c>
      <c r="S132" s="551"/>
      <c r="T132" s="561"/>
      <c r="U132" s="562"/>
      <c r="V132" s="995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32" s="996">
        <f>IFERROR(Producción_Lecheria[[#This Row],[Económico $Corrientes]]/Producción_Lecheria[[#This Row],[Indexación Económico]],0)</f>
        <v>0</v>
      </c>
      <c r="X132" s="997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32" s="995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32" s="996">
        <f>IFERROR(Producción_Lecheria[[#This Row],[Financiero $Corrientes]]/Producción_Lecheria[[#This Row],[Indexación Financiero]],0)</f>
        <v>0</v>
      </c>
      <c r="AA132" s="998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32" s="999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32" s="1000">
        <f>IFERROR(Producción_Lecheria[[#This Row],[Intereses $Corrientes]]/Producción_Lecheria[[#This Row],[Indexación Financiero]],0)</f>
        <v>0</v>
      </c>
      <c r="AD132" s="1000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32" s="1001" t="str">
        <f>IFERROR(INDEX(Produccion_Lecheria_Cuentas[],MATCH(Producción_Lecheria[[#This Row],[Cuenta Contable]],Produccion_Lecheria_Cuentas[Cuenta Contable],0),2),0)</f>
        <v>Mov. Hacienda</v>
      </c>
      <c r="AF132" s="1002">
        <f>IF(Producción_Lecheria[[#This Row],[Mov. Stock]]="(+)",Producción_Lecheria[[#This Row],[Cabezas]],IF(Producción_Lecheria[[#This Row],[Mov. Stock]]="(-)",-Producción_Lecheria[[#This Row],[Cabezas]],0))</f>
        <v>0</v>
      </c>
      <c r="AG132" s="1003" t="str">
        <f>IFERROR(INDEX(Produccion_Lecheria_Cuentas[],MATCH(Producción_Lecheria[[#This Row],[Cuenta Contable]],Produccion_Lecheria_Cuentas[Cuenta Contable],0),5),0)</f>
        <v>(-)</v>
      </c>
      <c r="AH132" s="1007" t="str">
        <f>IF(Producción_Lecheria[[#This Row],[Cuenta Contable]]=Configuración!$AC$9,"Si","No")</f>
        <v>No</v>
      </c>
      <c r="AI132" s="1005" t="str">
        <f>IFERROR(INDEX(Tabla9[],MATCH(Producción_Lecheria[[#This Row],[Movimiento]],Tabla9[Movimientos],0),2),0)</f>
        <v>No</v>
      </c>
      <c r="AJ132" s="1006">
        <f>IFERROR(INDEX(Tabla9[],MATCH(Producción_Lecheria[[#This Row],[Movimiento]],Tabla9[Movimientos],0),3),0)</f>
        <v>0</v>
      </c>
      <c r="AK132" s="1000">
        <f>IF(Producción_Lecheria[[#This Row],[Fecha Económico]]=0,0,MONTH(Producción_Lecheria[[#This Row],[Fecha Económico]]))</f>
        <v>6</v>
      </c>
      <c r="AL132" s="1000">
        <f>IF(Producción_Lecheria[[#This Row],[Fecha Económico]]=0,0,YEAR(Producción_Lecheria[[#This Row],[Fecha Económico]]))</f>
        <v>2019</v>
      </c>
      <c r="AM132" s="1007">
        <f>SUMPRODUCT((Producción_Lecheria[[#This Row],[Mes Económico]]=Tipo_Cambio[Mes])*(Producción_Lecheria[[#This Row],[Año Económico]]=Tipo_Cambio[Año])*(Tipo_Cambio[$/U$S]))</f>
        <v>24.544703626636963</v>
      </c>
      <c r="AN132" s="1007">
        <f>SUMPRODUCT((Producción_Lecheria[[#This Row],[Mes Económico]]=Tipo_Cambio[Mes])*(Producción_Lecheria[[#This Row],[Año Económico]]=Tipo_Cambio[Año])*(Tipo_Cambio[Actualización]))</f>
        <v>1.2433743083946525</v>
      </c>
      <c r="AO132" s="1000">
        <f>IF(ISNUMBER(Producción_Lecheria[[#This Row],[Fecha Financiero]])=TRUE,MONTH(Producción_Lecheria[[#This Row],[Fecha Financiero]]),0)</f>
        <v>0</v>
      </c>
      <c r="AP132" s="1000">
        <f>IF(ISNUMBER(Producción_Lecheria[[#This Row],[Fecha Financiero]])=TRUE,YEAR(Producción_Lecheria[[#This Row],[Fecha Financiero]]),0)</f>
        <v>0</v>
      </c>
      <c r="AQ132" s="1007">
        <f>SUMPRODUCT((Producción_Lecheria[[#This Row],[Mes Financiero]]=Tipo_Cambio[Mes])*(Producción_Lecheria[[#This Row],[Año Financiero]]=Tipo_Cambio[Año])*(Tipo_Cambio[$/U$S]))</f>
        <v>0</v>
      </c>
      <c r="AR132" s="1007">
        <f>SUMPRODUCT((Producción_Lecheria[[#This Row],[Mes Financiero]]=Tipo_Cambio[Mes])*(Producción_Lecheria[[#This Row],[Año Financiero]]=Tipo_Cambio[Año])*(Tipo_Cambio[Actualización]))</f>
        <v>0</v>
      </c>
      <c r="AS132" s="1027">
        <f>SUMPRODUCT((Producción_Lecheria[[#This Row],[Centro de Costo]]=Tabla1924[Centro de Costo])*(Tabla19[Superficie]))</f>
        <v>2356</v>
      </c>
      <c r="AT132" s="1004">
        <f>IFERROR(Producción_Lecheria[[#This Row],[Económico $Corrientes]]/Producción_Lecheria[[#This Row],[Superficie]],0)</f>
        <v>0</v>
      </c>
      <c r="AU132" s="1004">
        <f>IFERROR(Producción_Lecheria[[#This Row],[Económico $Constantes]]/Producción_Lecheria[[#This Row],[Superficie]],0)</f>
        <v>0</v>
      </c>
      <c r="AV132" s="1004">
        <f>IFERROR(Producción_Lecheria[[#This Row],[Económico U$S Dólares]]/Producción_Lecheria[[#This Row],[Superficie]],0)</f>
        <v>0</v>
      </c>
      <c r="AW132" s="1002" t="str">
        <f>IF(Económico!$F$4=0,0,Producción_Lecheria[Centro de Costo])</f>
        <v>Campo 1</v>
      </c>
    </row>
    <row r="133" spans="1:49" x14ac:dyDescent="0.25">
      <c r="A133" s="86"/>
      <c r="B133" s="1136"/>
      <c r="C133" s="86"/>
      <c r="D133" s="582">
        <f>DATE(LEFT(Producción_Lecheria[[#This Row],[Campaña]],4)+1,6,30)</f>
        <v>43646</v>
      </c>
      <c r="E133" s="536"/>
      <c r="F133" s="537" t="str">
        <f t="shared" si="12"/>
        <v>2018-2019</v>
      </c>
      <c r="G133" s="583" t="str">
        <f>LCH_Entrada_C.Categoria</f>
        <v>Entrada C. Categoría</v>
      </c>
      <c r="H133" s="538" t="s">
        <v>2</v>
      </c>
      <c r="I133" s="538" t="s">
        <v>134</v>
      </c>
      <c r="J133" s="584"/>
      <c r="K133" s="540"/>
      <c r="L133" s="965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33" s="966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33" s="585">
        <f>N132</f>
        <v>0</v>
      </c>
      <c r="O133" s="973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33" s="586"/>
      <c r="Q133" s="538"/>
      <c r="R133" s="876">
        <f>IF(ISNUMBER(Producción_Lecheria[[#This Row],[Cabezas]])=TRUE,Producción_Lecheria[[#This Row],[Cabezas]]*Producción_Lecheria[[#This Row],[Cantidad]],Producción_Lecheria[[#This Row],[Cantidad]])</f>
        <v>0</v>
      </c>
      <c r="S133" s="538"/>
      <c r="T133" s="588"/>
      <c r="U133" s="589"/>
      <c r="V133" s="1028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33" s="1029">
        <f>IFERROR(Producción_Lecheria[[#This Row],[Económico $Corrientes]]/Producción_Lecheria[[#This Row],[Indexación Económico]],0)</f>
        <v>0</v>
      </c>
      <c r="X133" s="1030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33" s="1028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33" s="1029">
        <f>IFERROR(Producción_Lecheria[[#This Row],[Financiero $Corrientes]]/Producción_Lecheria[[#This Row],[Indexación Financiero]],0)</f>
        <v>0</v>
      </c>
      <c r="AA133" s="1031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33" s="1032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33" s="1033">
        <f>IFERROR(Producción_Lecheria[[#This Row],[Intereses $Corrientes]]/Producción_Lecheria[[#This Row],[Indexación Financiero]],0)</f>
        <v>0</v>
      </c>
      <c r="AD133" s="1033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33" s="1034" t="str">
        <f>IFERROR(INDEX(Produccion_Lecheria_Cuentas[],MATCH(Producción_Lecheria[[#This Row],[Cuenta Contable]],Produccion_Lecheria_Cuentas[Cuenta Contable],0),2),0)</f>
        <v>Mov. Hacienda</v>
      </c>
      <c r="AF133" s="1035">
        <f>IF(Producción_Lecheria[[#This Row],[Mov. Stock]]="(+)",Producción_Lecheria[[#This Row],[Cabezas]],IF(Producción_Lecheria[[#This Row],[Mov. Stock]]="(-)",-Producción_Lecheria[[#This Row],[Cabezas]],0))</f>
        <v>0</v>
      </c>
      <c r="AG133" s="1036" t="str">
        <f>IFERROR(INDEX(Produccion_Lecheria_Cuentas[],MATCH(Producción_Lecheria[[#This Row],[Cuenta Contable]],Produccion_Lecheria_Cuentas[Cuenta Contable],0),5),0)</f>
        <v>(+)</v>
      </c>
      <c r="AH133" s="1037" t="str">
        <f>IF(Producción_Lecheria[[#This Row],[Cuenta Contable]]=Configuración!$AC$9,"Si","No")</f>
        <v>No</v>
      </c>
      <c r="AI133" s="1038" t="str">
        <f>IFERROR(INDEX(Tabla9[],MATCH(Producción_Lecheria[[#This Row],[Movimiento]],Tabla9[Movimientos],0),2),0)</f>
        <v>No</v>
      </c>
      <c r="AJ133" s="1039">
        <f>IFERROR(INDEX(Tabla9[],MATCH(Producción_Lecheria[[#This Row],[Movimiento]],Tabla9[Movimientos],0),3),0)</f>
        <v>0</v>
      </c>
      <c r="AK133" s="1033">
        <f>IF(Producción_Lecheria[[#This Row],[Fecha Económico]]=0,0,MONTH(Producción_Lecheria[[#This Row],[Fecha Económico]]))</f>
        <v>6</v>
      </c>
      <c r="AL133" s="1033">
        <f>IF(Producción_Lecheria[[#This Row],[Fecha Económico]]=0,0,YEAR(Producción_Lecheria[[#This Row],[Fecha Económico]]))</f>
        <v>2019</v>
      </c>
      <c r="AM133" s="1037">
        <f>SUMPRODUCT((Producción_Lecheria[[#This Row],[Mes Económico]]=Tipo_Cambio[Mes])*(Producción_Lecheria[[#This Row],[Año Económico]]=Tipo_Cambio[Año])*(Tipo_Cambio[$/U$S]))</f>
        <v>24.544703626636963</v>
      </c>
      <c r="AN133" s="1037">
        <f>SUMPRODUCT((Producción_Lecheria[[#This Row],[Mes Económico]]=Tipo_Cambio[Mes])*(Producción_Lecheria[[#This Row],[Año Económico]]=Tipo_Cambio[Año])*(Tipo_Cambio[Actualización]))</f>
        <v>1.2433743083946525</v>
      </c>
      <c r="AO133" s="1033">
        <f>IF(ISNUMBER(Producción_Lecheria[[#This Row],[Fecha Financiero]])=TRUE,MONTH(Producción_Lecheria[[#This Row],[Fecha Financiero]]),0)</f>
        <v>0</v>
      </c>
      <c r="AP133" s="1033">
        <f>IF(ISNUMBER(Producción_Lecheria[[#This Row],[Fecha Financiero]])=TRUE,YEAR(Producción_Lecheria[[#This Row],[Fecha Financiero]]),0)</f>
        <v>0</v>
      </c>
      <c r="AQ133" s="1037">
        <f>SUMPRODUCT((Producción_Lecheria[[#This Row],[Mes Financiero]]=Tipo_Cambio[Mes])*(Producción_Lecheria[[#This Row],[Año Financiero]]=Tipo_Cambio[Año])*(Tipo_Cambio[$/U$S]))</f>
        <v>0</v>
      </c>
      <c r="AR133" s="1037">
        <f>SUMPRODUCT((Producción_Lecheria[[#This Row],[Mes Financiero]]=Tipo_Cambio[Mes])*(Producción_Lecheria[[#This Row],[Año Financiero]]=Tipo_Cambio[Año])*(Tipo_Cambio[Actualización]))</f>
        <v>0</v>
      </c>
      <c r="AS133" s="1040">
        <f>SUMPRODUCT((Producción_Lecheria[[#This Row],[Centro de Costo]]=Tabla1924[Centro de Costo])*(Tabla19[Superficie]))</f>
        <v>2356</v>
      </c>
      <c r="AT133" s="1041">
        <f>IFERROR(Producción_Lecheria[[#This Row],[Económico $Corrientes]]/Producción_Lecheria[[#This Row],[Superficie]],0)</f>
        <v>0</v>
      </c>
      <c r="AU133" s="1041">
        <f>IFERROR(Producción_Lecheria[[#This Row],[Económico $Constantes]]/Producción_Lecheria[[#This Row],[Superficie]],0)</f>
        <v>0</v>
      </c>
      <c r="AV133" s="1041">
        <f>IFERROR(Producción_Lecheria[[#This Row],[Económico U$S Dólares]]/Producción_Lecheria[[#This Row],[Superficie]],0)</f>
        <v>0</v>
      </c>
      <c r="AW133" s="1035" t="str">
        <f>IF(Económico!$F$4=0,0,Producción_Lecheria[Centro de Costo])</f>
        <v>Campo 1</v>
      </c>
    </row>
    <row r="134" spans="1:49" x14ac:dyDescent="0.25">
      <c r="A134" s="86"/>
      <c r="B134" s="1136" t="s">
        <v>224</v>
      </c>
      <c r="C134" s="86"/>
      <c r="D134" s="548">
        <f>DATE(LEFT(Producción_Lecheria[[#This Row],[Campaña]],4)+1,6,30)</f>
        <v>43646</v>
      </c>
      <c r="E134" s="493"/>
      <c r="F134" s="479" t="str">
        <f t="shared" si="12"/>
        <v>2018-2019</v>
      </c>
      <c r="G134" s="576" t="str">
        <f>LCH_Salida_C.Categoria</f>
        <v>Salida C. Categoría</v>
      </c>
      <c r="H134" s="491" t="s">
        <v>2</v>
      </c>
      <c r="I134" s="491" t="s">
        <v>134</v>
      </c>
      <c r="J134" s="549"/>
      <c r="K134" s="484"/>
      <c r="L13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3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34" s="520"/>
      <c r="O13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34" s="563"/>
      <c r="Q134" s="491"/>
      <c r="R134" s="875">
        <f>IF(ISNUMBER(Producción_Lecheria[[#This Row],[Cabezas]])=TRUE,Producción_Lecheria[[#This Row],[Cabezas]]*Producción_Lecheria[[#This Row],[Cantidad]],Producción_Lecheria[[#This Row],[Cantidad]])</f>
        <v>0</v>
      </c>
      <c r="S134" s="491"/>
      <c r="T134" s="552"/>
      <c r="U134" s="553"/>
      <c r="V13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34" s="977">
        <f>IFERROR(Producción_Lecheria[[#This Row],[Económico $Corrientes]]/Producción_Lecheria[[#This Row],[Indexación Económico]],0)</f>
        <v>0</v>
      </c>
      <c r="X13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3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34" s="977">
        <f>IFERROR(Producción_Lecheria[[#This Row],[Financiero $Corrientes]]/Producción_Lecheria[[#This Row],[Indexación Financiero]],0)</f>
        <v>0</v>
      </c>
      <c r="AA13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3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34" s="981">
        <f>IFERROR(Producción_Lecheria[[#This Row],[Intereses $Corrientes]]/Producción_Lecheria[[#This Row],[Indexación Financiero]],0)</f>
        <v>0</v>
      </c>
      <c r="AD13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34" s="991" t="str">
        <f>IFERROR(INDEX(Produccion_Lecheria_Cuentas[],MATCH(Producción_Lecheria[[#This Row],[Cuenta Contable]],Produccion_Lecheria_Cuentas[Cuenta Contable],0),2),0)</f>
        <v>Mov. Hacienda</v>
      </c>
      <c r="AF134" s="992">
        <f>IF(Producción_Lecheria[[#This Row],[Mov. Stock]]="(+)",Producción_Lecheria[[#This Row],[Cabezas]],IF(Producción_Lecheria[[#This Row],[Mov. Stock]]="(-)",-Producción_Lecheria[[#This Row],[Cabezas]],0))</f>
        <v>0</v>
      </c>
      <c r="AG134" s="993" t="str">
        <f>IFERROR(INDEX(Produccion_Lecheria_Cuentas[],MATCH(Producción_Lecheria[[#This Row],[Cuenta Contable]],Produccion_Lecheria_Cuentas[Cuenta Contable],0),5),0)</f>
        <v>(-)</v>
      </c>
      <c r="AH134" s="985" t="str">
        <f>IF(Producción_Lecheria[[#This Row],[Cuenta Contable]]=Configuración!$AC$9,"Si","No")</f>
        <v>No</v>
      </c>
      <c r="AI134" s="983" t="str">
        <f>IFERROR(INDEX(Tabla9[],MATCH(Producción_Lecheria[[#This Row],[Movimiento]],Tabla9[Movimientos],0),2),0)</f>
        <v>No</v>
      </c>
      <c r="AJ134" s="984">
        <f>IFERROR(INDEX(Tabla9[],MATCH(Producción_Lecheria[[#This Row],[Movimiento]],Tabla9[Movimientos],0),3),0)</f>
        <v>0</v>
      </c>
      <c r="AK134" s="981">
        <f>IF(Producción_Lecheria[[#This Row],[Fecha Económico]]=0,0,MONTH(Producción_Lecheria[[#This Row],[Fecha Económico]]))</f>
        <v>6</v>
      </c>
      <c r="AL134" s="981">
        <f>IF(Producción_Lecheria[[#This Row],[Fecha Económico]]=0,0,YEAR(Producción_Lecheria[[#This Row],[Fecha Económico]]))</f>
        <v>2019</v>
      </c>
      <c r="AM134" s="985">
        <f>SUMPRODUCT((Producción_Lecheria[[#This Row],[Mes Económico]]=Tipo_Cambio[Mes])*(Producción_Lecheria[[#This Row],[Año Económico]]=Tipo_Cambio[Año])*(Tipo_Cambio[$/U$S]))</f>
        <v>24.544703626636963</v>
      </c>
      <c r="AN134" s="985">
        <f>SUMPRODUCT((Producción_Lecheria[[#This Row],[Mes Económico]]=Tipo_Cambio[Mes])*(Producción_Lecheria[[#This Row],[Año Económico]]=Tipo_Cambio[Año])*(Tipo_Cambio[Actualización]))</f>
        <v>1.2433743083946525</v>
      </c>
      <c r="AO134" s="981">
        <f>IF(ISNUMBER(Producción_Lecheria[[#This Row],[Fecha Financiero]])=TRUE,MONTH(Producción_Lecheria[[#This Row],[Fecha Financiero]]),0)</f>
        <v>0</v>
      </c>
      <c r="AP134" s="981">
        <f>IF(ISNUMBER(Producción_Lecheria[[#This Row],[Fecha Financiero]])=TRUE,YEAR(Producción_Lecheria[[#This Row],[Fecha Financiero]]),0)</f>
        <v>0</v>
      </c>
      <c r="AQ134" s="985">
        <f>SUMPRODUCT((Producción_Lecheria[[#This Row],[Mes Financiero]]=Tipo_Cambio[Mes])*(Producción_Lecheria[[#This Row],[Año Financiero]]=Tipo_Cambio[Año])*(Tipo_Cambio[$/U$S]))</f>
        <v>0</v>
      </c>
      <c r="AR134" s="985">
        <f>SUMPRODUCT((Producción_Lecheria[[#This Row],[Mes Financiero]]=Tipo_Cambio[Mes])*(Producción_Lecheria[[#This Row],[Año Financiero]]=Tipo_Cambio[Año])*(Tipo_Cambio[Actualización]))</f>
        <v>0</v>
      </c>
      <c r="AS134" s="1009">
        <f>SUMPRODUCT((Producción_Lecheria[[#This Row],[Centro de Costo]]=Tabla1924[Centro de Costo])*(Tabla19[Superficie]))</f>
        <v>2356</v>
      </c>
      <c r="AT134" s="994">
        <f>IFERROR(Producción_Lecheria[[#This Row],[Económico $Corrientes]]/Producción_Lecheria[[#This Row],[Superficie]],0)</f>
        <v>0</v>
      </c>
      <c r="AU134" s="994">
        <f>IFERROR(Producción_Lecheria[[#This Row],[Económico $Constantes]]/Producción_Lecheria[[#This Row],[Superficie]],0)</f>
        <v>0</v>
      </c>
      <c r="AV134" s="994">
        <f>IFERROR(Producción_Lecheria[[#This Row],[Económico U$S Dólares]]/Producción_Lecheria[[#This Row],[Superficie]],0)</f>
        <v>0</v>
      </c>
      <c r="AW134" s="992" t="str">
        <f>IF(Económico!$F$4=0,0,Producción_Lecheria[Centro de Costo])</f>
        <v>Campo 1</v>
      </c>
    </row>
    <row r="135" spans="1:49" x14ac:dyDescent="0.25">
      <c r="A135" s="86"/>
      <c r="B135" s="1136"/>
      <c r="C135" s="86"/>
      <c r="D135" s="582">
        <f>DATE(LEFT(Producción_Lecheria[[#This Row],[Campaña]],4)+1,6,30)</f>
        <v>43646</v>
      </c>
      <c r="E135" s="536"/>
      <c r="F135" s="537" t="str">
        <f t="shared" si="12"/>
        <v>2018-2019</v>
      </c>
      <c r="G135" s="583" t="str">
        <f>LCH_Entrada_C.Categoria</f>
        <v>Entrada C. Categoría</v>
      </c>
      <c r="H135" s="538" t="s">
        <v>2</v>
      </c>
      <c r="I135" s="538" t="s">
        <v>135</v>
      </c>
      <c r="J135" s="584"/>
      <c r="K135" s="540"/>
      <c r="L135" s="965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35" s="966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35" s="585">
        <f>N134</f>
        <v>0</v>
      </c>
      <c r="O135" s="973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35" s="586"/>
      <c r="Q135" s="538"/>
      <c r="R135" s="876">
        <f>IF(ISNUMBER(Producción_Lecheria[[#This Row],[Cabezas]])=TRUE,Producción_Lecheria[[#This Row],[Cabezas]]*Producción_Lecheria[[#This Row],[Cantidad]],Producción_Lecheria[[#This Row],[Cantidad]])</f>
        <v>0</v>
      </c>
      <c r="S135" s="538"/>
      <c r="T135" s="588"/>
      <c r="U135" s="589"/>
      <c r="V135" s="1028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35" s="1029">
        <f>IFERROR(Producción_Lecheria[[#This Row],[Económico $Corrientes]]/Producción_Lecheria[[#This Row],[Indexación Económico]],0)</f>
        <v>0</v>
      </c>
      <c r="X135" s="1030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35" s="1028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35" s="1029">
        <f>IFERROR(Producción_Lecheria[[#This Row],[Financiero $Corrientes]]/Producción_Lecheria[[#This Row],[Indexación Financiero]],0)</f>
        <v>0</v>
      </c>
      <c r="AA135" s="1031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35" s="1032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35" s="1033">
        <f>IFERROR(Producción_Lecheria[[#This Row],[Intereses $Corrientes]]/Producción_Lecheria[[#This Row],[Indexación Financiero]],0)</f>
        <v>0</v>
      </c>
      <c r="AD135" s="1033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35" s="1034" t="str">
        <f>IFERROR(INDEX(Produccion_Lecheria_Cuentas[],MATCH(Producción_Lecheria[[#This Row],[Cuenta Contable]],Produccion_Lecheria_Cuentas[Cuenta Contable],0),2),0)</f>
        <v>Mov. Hacienda</v>
      </c>
      <c r="AF135" s="1035">
        <f>IF(Producción_Lecheria[[#This Row],[Mov. Stock]]="(+)",Producción_Lecheria[[#This Row],[Cabezas]],IF(Producción_Lecheria[[#This Row],[Mov. Stock]]="(-)",-Producción_Lecheria[[#This Row],[Cabezas]],0))</f>
        <v>0</v>
      </c>
      <c r="AG135" s="1036" t="str">
        <f>IFERROR(INDEX(Produccion_Lecheria_Cuentas[],MATCH(Producción_Lecheria[[#This Row],[Cuenta Contable]],Produccion_Lecheria_Cuentas[Cuenta Contable],0),5),0)</f>
        <v>(+)</v>
      </c>
      <c r="AH135" s="1037" t="str">
        <f>IF(Producción_Lecheria[[#This Row],[Cuenta Contable]]=Configuración!$AC$9,"Si","No")</f>
        <v>No</v>
      </c>
      <c r="AI135" s="1038" t="str">
        <f>IFERROR(INDEX(Tabla9[],MATCH(Producción_Lecheria[[#This Row],[Movimiento]],Tabla9[Movimientos],0),2),0)</f>
        <v>No</v>
      </c>
      <c r="AJ135" s="1039">
        <f>IFERROR(INDEX(Tabla9[],MATCH(Producción_Lecheria[[#This Row],[Movimiento]],Tabla9[Movimientos],0),3),0)</f>
        <v>0</v>
      </c>
      <c r="AK135" s="1033">
        <f>IF(Producción_Lecheria[[#This Row],[Fecha Económico]]=0,0,MONTH(Producción_Lecheria[[#This Row],[Fecha Económico]]))</f>
        <v>6</v>
      </c>
      <c r="AL135" s="1033">
        <f>IF(Producción_Lecheria[[#This Row],[Fecha Económico]]=0,0,YEAR(Producción_Lecheria[[#This Row],[Fecha Económico]]))</f>
        <v>2019</v>
      </c>
      <c r="AM135" s="1037">
        <f>SUMPRODUCT((Producción_Lecheria[[#This Row],[Mes Económico]]=Tipo_Cambio[Mes])*(Producción_Lecheria[[#This Row],[Año Económico]]=Tipo_Cambio[Año])*(Tipo_Cambio[$/U$S]))</f>
        <v>24.544703626636963</v>
      </c>
      <c r="AN135" s="1037">
        <f>SUMPRODUCT((Producción_Lecheria[[#This Row],[Mes Económico]]=Tipo_Cambio[Mes])*(Producción_Lecheria[[#This Row],[Año Económico]]=Tipo_Cambio[Año])*(Tipo_Cambio[Actualización]))</f>
        <v>1.2433743083946525</v>
      </c>
      <c r="AO135" s="1033">
        <f>IF(ISNUMBER(Producción_Lecheria[[#This Row],[Fecha Financiero]])=TRUE,MONTH(Producción_Lecheria[[#This Row],[Fecha Financiero]]),0)</f>
        <v>0</v>
      </c>
      <c r="AP135" s="1033">
        <f>IF(ISNUMBER(Producción_Lecheria[[#This Row],[Fecha Financiero]])=TRUE,YEAR(Producción_Lecheria[[#This Row],[Fecha Financiero]]),0)</f>
        <v>0</v>
      </c>
      <c r="AQ135" s="1037">
        <f>SUMPRODUCT((Producción_Lecheria[[#This Row],[Mes Financiero]]=Tipo_Cambio[Mes])*(Producción_Lecheria[[#This Row],[Año Financiero]]=Tipo_Cambio[Año])*(Tipo_Cambio[$/U$S]))</f>
        <v>0</v>
      </c>
      <c r="AR135" s="1037">
        <f>SUMPRODUCT((Producción_Lecheria[[#This Row],[Mes Financiero]]=Tipo_Cambio[Mes])*(Producción_Lecheria[[#This Row],[Año Financiero]]=Tipo_Cambio[Año])*(Tipo_Cambio[Actualización]))</f>
        <v>0</v>
      </c>
      <c r="AS135" s="1040">
        <f>SUMPRODUCT((Producción_Lecheria[[#This Row],[Centro de Costo]]=Tabla1924[Centro de Costo])*(Tabla19[Superficie]))</f>
        <v>2356</v>
      </c>
      <c r="AT135" s="1041">
        <f>IFERROR(Producción_Lecheria[[#This Row],[Económico $Corrientes]]/Producción_Lecheria[[#This Row],[Superficie]],0)</f>
        <v>0</v>
      </c>
      <c r="AU135" s="1041">
        <f>IFERROR(Producción_Lecheria[[#This Row],[Económico $Constantes]]/Producción_Lecheria[[#This Row],[Superficie]],0)</f>
        <v>0</v>
      </c>
      <c r="AV135" s="1041">
        <f>IFERROR(Producción_Lecheria[[#This Row],[Económico U$S Dólares]]/Producción_Lecheria[[#This Row],[Superficie]],0)</f>
        <v>0</v>
      </c>
      <c r="AW135" s="1035" t="str">
        <f>IF(Económico!$F$4=0,0,Producción_Lecheria[Centro de Costo])</f>
        <v>Campo 1</v>
      </c>
    </row>
    <row r="136" spans="1:49" x14ac:dyDescent="0.25">
      <c r="A136" s="86"/>
      <c r="B136" s="373"/>
      <c r="C136" s="86"/>
      <c r="D136" s="548">
        <f>DATE(LEFT(Producción_Lecheria[[#This Row],[Campaña]],4)+1,6,30)</f>
        <v>43646</v>
      </c>
      <c r="E136" s="493"/>
      <c r="F136" s="479" t="str">
        <f t="shared" si="12"/>
        <v>2018-2019</v>
      </c>
      <c r="G136" s="576" t="str">
        <f>LCH_Salida_C.Categoria</f>
        <v>Salida C. Categoría</v>
      </c>
      <c r="H136" s="491" t="s">
        <v>2</v>
      </c>
      <c r="I136" s="491" t="s">
        <v>135</v>
      </c>
      <c r="J136" s="549"/>
      <c r="K136" s="484"/>
      <c r="L13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3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36" s="520"/>
      <c r="O13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36" s="563"/>
      <c r="Q136" s="491"/>
      <c r="R136" s="875">
        <f>IF(ISNUMBER(Producción_Lecheria[[#This Row],[Cabezas]])=TRUE,Producción_Lecheria[[#This Row],[Cabezas]]*Producción_Lecheria[[#This Row],[Cantidad]],Producción_Lecheria[[#This Row],[Cantidad]])</f>
        <v>0</v>
      </c>
      <c r="S136" s="491"/>
      <c r="T136" s="552"/>
      <c r="U136" s="553"/>
      <c r="V13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36" s="977">
        <f>IFERROR(Producción_Lecheria[[#This Row],[Económico $Corrientes]]/Producción_Lecheria[[#This Row],[Indexación Económico]],0)</f>
        <v>0</v>
      </c>
      <c r="X13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3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36" s="977">
        <f>IFERROR(Producción_Lecheria[[#This Row],[Financiero $Corrientes]]/Producción_Lecheria[[#This Row],[Indexación Financiero]],0)</f>
        <v>0</v>
      </c>
      <c r="AA13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3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36" s="981">
        <f>IFERROR(Producción_Lecheria[[#This Row],[Intereses $Corrientes]]/Producción_Lecheria[[#This Row],[Indexación Financiero]],0)</f>
        <v>0</v>
      </c>
      <c r="AD13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36" s="991" t="str">
        <f>IFERROR(INDEX(Produccion_Lecheria_Cuentas[],MATCH(Producción_Lecheria[[#This Row],[Cuenta Contable]],Produccion_Lecheria_Cuentas[Cuenta Contable],0),2),0)</f>
        <v>Mov. Hacienda</v>
      </c>
      <c r="AF136" s="992">
        <f>IF(Producción_Lecheria[[#This Row],[Mov. Stock]]="(+)",Producción_Lecheria[[#This Row],[Cabezas]],IF(Producción_Lecheria[[#This Row],[Mov. Stock]]="(-)",-Producción_Lecheria[[#This Row],[Cabezas]],0))</f>
        <v>0</v>
      </c>
      <c r="AG136" s="993" t="str">
        <f>IFERROR(INDEX(Produccion_Lecheria_Cuentas[],MATCH(Producción_Lecheria[[#This Row],[Cuenta Contable]],Produccion_Lecheria_Cuentas[Cuenta Contable],0),5),0)</f>
        <v>(-)</v>
      </c>
      <c r="AH136" s="985" t="str">
        <f>IF(Producción_Lecheria[[#This Row],[Cuenta Contable]]=Configuración!$AC$9,"Si","No")</f>
        <v>No</v>
      </c>
      <c r="AI136" s="983" t="str">
        <f>IFERROR(INDEX(Tabla9[],MATCH(Producción_Lecheria[[#This Row],[Movimiento]],Tabla9[Movimientos],0),2),0)</f>
        <v>No</v>
      </c>
      <c r="AJ136" s="984">
        <f>IFERROR(INDEX(Tabla9[],MATCH(Producción_Lecheria[[#This Row],[Movimiento]],Tabla9[Movimientos],0),3),0)</f>
        <v>0</v>
      </c>
      <c r="AK136" s="981">
        <f>IF(Producción_Lecheria[[#This Row],[Fecha Económico]]=0,0,MONTH(Producción_Lecheria[[#This Row],[Fecha Económico]]))</f>
        <v>6</v>
      </c>
      <c r="AL136" s="981">
        <f>IF(Producción_Lecheria[[#This Row],[Fecha Económico]]=0,0,YEAR(Producción_Lecheria[[#This Row],[Fecha Económico]]))</f>
        <v>2019</v>
      </c>
      <c r="AM136" s="985">
        <f>SUMPRODUCT((Producción_Lecheria[[#This Row],[Mes Económico]]=Tipo_Cambio[Mes])*(Producción_Lecheria[[#This Row],[Año Económico]]=Tipo_Cambio[Año])*(Tipo_Cambio[$/U$S]))</f>
        <v>24.544703626636963</v>
      </c>
      <c r="AN136" s="985">
        <f>SUMPRODUCT((Producción_Lecheria[[#This Row],[Mes Económico]]=Tipo_Cambio[Mes])*(Producción_Lecheria[[#This Row],[Año Económico]]=Tipo_Cambio[Año])*(Tipo_Cambio[Actualización]))</f>
        <v>1.2433743083946525</v>
      </c>
      <c r="AO136" s="981">
        <f>IF(ISNUMBER(Producción_Lecheria[[#This Row],[Fecha Financiero]])=TRUE,MONTH(Producción_Lecheria[[#This Row],[Fecha Financiero]]),0)</f>
        <v>0</v>
      </c>
      <c r="AP136" s="981">
        <f>IF(ISNUMBER(Producción_Lecheria[[#This Row],[Fecha Financiero]])=TRUE,YEAR(Producción_Lecheria[[#This Row],[Fecha Financiero]]),0)</f>
        <v>0</v>
      </c>
      <c r="AQ136" s="985">
        <f>SUMPRODUCT((Producción_Lecheria[[#This Row],[Mes Financiero]]=Tipo_Cambio[Mes])*(Producción_Lecheria[[#This Row],[Año Financiero]]=Tipo_Cambio[Año])*(Tipo_Cambio[$/U$S]))</f>
        <v>0</v>
      </c>
      <c r="AR136" s="985">
        <f>SUMPRODUCT((Producción_Lecheria[[#This Row],[Mes Financiero]]=Tipo_Cambio[Mes])*(Producción_Lecheria[[#This Row],[Año Financiero]]=Tipo_Cambio[Año])*(Tipo_Cambio[Actualización]))</f>
        <v>0</v>
      </c>
      <c r="AS136" s="1009">
        <f>SUMPRODUCT((Producción_Lecheria[[#This Row],[Centro de Costo]]=Tabla1924[Centro de Costo])*(Tabla19[Superficie]))</f>
        <v>2356</v>
      </c>
      <c r="AT136" s="994">
        <f>IFERROR(Producción_Lecheria[[#This Row],[Económico $Corrientes]]/Producción_Lecheria[[#This Row],[Superficie]],0)</f>
        <v>0</v>
      </c>
      <c r="AU136" s="994">
        <f>IFERROR(Producción_Lecheria[[#This Row],[Económico $Constantes]]/Producción_Lecheria[[#This Row],[Superficie]],0)</f>
        <v>0</v>
      </c>
      <c r="AV136" s="994">
        <f>IFERROR(Producción_Lecheria[[#This Row],[Económico U$S Dólares]]/Producción_Lecheria[[#This Row],[Superficie]],0)</f>
        <v>0</v>
      </c>
      <c r="AW136" s="992" t="str">
        <f>IF(Económico!$F$4=0,0,Producción_Lecheria[Centro de Costo])</f>
        <v>Campo 1</v>
      </c>
    </row>
    <row r="137" spans="1:49" x14ac:dyDescent="0.25">
      <c r="A137" s="86"/>
      <c r="B137" s="373"/>
      <c r="C137" s="86"/>
      <c r="D137" s="582">
        <f>DATE(LEFT(Producción_Lecheria[[#This Row],[Campaña]],4)+1,6,30)</f>
        <v>43646</v>
      </c>
      <c r="E137" s="536"/>
      <c r="F137" s="537" t="str">
        <f t="shared" si="12"/>
        <v>2018-2019</v>
      </c>
      <c r="G137" s="583" t="str">
        <f>LCH_Entrada_C.Categoria</f>
        <v>Entrada C. Categoría</v>
      </c>
      <c r="H137" s="538" t="s">
        <v>2</v>
      </c>
      <c r="I137" s="538" t="s">
        <v>129</v>
      </c>
      <c r="J137" s="584"/>
      <c r="K137" s="540"/>
      <c r="L137" s="965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37" s="966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37" s="585">
        <f>N136</f>
        <v>0</v>
      </c>
      <c r="O137" s="973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37" s="586"/>
      <c r="Q137" s="538"/>
      <c r="R137" s="876">
        <f>IF(ISNUMBER(Producción_Lecheria[[#This Row],[Cabezas]])=TRUE,Producción_Lecheria[[#This Row],[Cabezas]]*Producción_Lecheria[[#This Row],[Cantidad]],Producción_Lecheria[[#This Row],[Cantidad]])</f>
        <v>0</v>
      </c>
      <c r="S137" s="538"/>
      <c r="T137" s="588"/>
      <c r="U137" s="589"/>
      <c r="V137" s="1028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37" s="1029">
        <f>IFERROR(Producción_Lecheria[[#This Row],[Económico $Corrientes]]/Producción_Lecheria[[#This Row],[Indexación Económico]],0)</f>
        <v>0</v>
      </c>
      <c r="X137" s="1030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37" s="1028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37" s="1029">
        <f>IFERROR(Producción_Lecheria[[#This Row],[Financiero $Corrientes]]/Producción_Lecheria[[#This Row],[Indexación Financiero]],0)</f>
        <v>0</v>
      </c>
      <c r="AA137" s="1031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37" s="1032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37" s="1033">
        <f>IFERROR(Producción_Lecheria[[#This Row],[Intereses $Corrientes]]/Producción_Lecheria[[#This Row],[Indexación Financiero]],0)</f>
        <v>0</v>
      </c>
      <c r="AD137" s="1033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37" s="1034" t="str">
        <f>IFERROR(INDEX(Produccion_Lecheria_Cuentas[],MATCH(Producción_Lecheria[[#This Row],[Cuenta Contable]],Produccion_Lecheria_Cuentas[Cuenta Contable],0),2),0)</f>
        <v>Mov. Hacienda</v>
      </c>
      <c r="AF137" s="1035">
        <f>IF(Producción_Lecheria[[#This Row],[Mov. Stock]]="(+)",Producción_Lecheria[[#This Row],[Cabezas]],IF(Producción_Lecheria[[#This Row],[Mov. Stock]]="(-)",-Producción_Lecheria[[#This Row],[Cabezas]],0))</f>
        <v>0</v>
      </c>
      <c r="AG137" s="1036" t="str">
        <f>IFERROR(INDEX(Produccion_Lecheria_Cuentas[],MATCH(Producción_Lecheria[[#This Row],[Cuenta Contable]],Produccion_Lecheria_Cuentas[Cuenta Contable],0),5),0)</f>
        <v>(+)</v>
      </c>
      <c r="AH137" s="1037" t="str">
        <f>IF(Producción_Lecheria[[#This Row],[Cuenta Contable]]=Configuración!$AC$9,"Si","No")</f>
        <v>No</v>
      </c>
      <c r="AI137" s="1038" t="str">
        <f>IFERROR(INDEX(Tabla9[],MATCH(Producción_Lecheria[[#This Row],[Movimiento]],Tabla9[Movimientos],0),2),0)</f>
        <v>No</v>
      </c>
      <c r="AJ137" s="1039">
        <f>IFERROR(INDEX(Tabla9[],MATCH(Producción_Lecheria[[#This Row],[Movimiento]],Tabla9[Movimientos],0),3),0)</f>
        <v>0</v>
      </c>
      <c r="AK137" s="1033">
        <f>IF(Producción_Lecheria[[#This Row],[Fecha Económico]]=0,0,MONTH(Producción_Lecheria[[#This Row],[Fecha Económico]]))</f>
        <v>6</v>
      </c>
      <c r="AL137" s="1033">
        <f>IF(Producción_Lecheria[[#This Row],[Fecha Económico]]=0,0,YEAR(Producción_Lecheria[[#This Row],[Fecha Económico]]))</f>
        <v>2019</v>
      </c>
      <c r="AM137" s="1037">
        <f>SUMPRODUCT((Producción_Lecheria[[#This Row],[Mes Económico]]=Tipo_Cambio[Mes])*(Producción_Lecheria[[#This Row],[Año Económico]]=Tipo_Cambio[Año])*(Tipo_Cambio[$/U$S]))</f>
        <v>24.544703626636963</v>
      </c>
      <c r="AN137" s="1037">
        <f>SUMPRODUCT((Producción_Lecheria[[#This Row],[Mes Económico]]=Tipo_Cambio[Mes])*(Producción_Lecheria[[#This Row],[Año Económico]]=Tipo_Cambio[Año])*(Tipo_Cambio[Actualización]))</f>
        <v>1.2433743083946525</v>
      </c>
      <c r="AO137" s="1033">
        <f>IF(ISNUMBER(Producción_Lecheria[[#This Row],[Fecha Financiero]])=TRUE,MONTH(Producción_Lecheria[[#This Row],[Fecha Financiero]]),0)</f>
        <v>0</v>
      </c>
      <c r="AP137" s="1033">
        <f>IF(ISNUMBER(Producción_Lecheria[[#This Row],[Fecha Financiero]])=TRUE,YEAR(Producción_Lecheria[[#This Row],[Fecha Financiero]]),0)</f>
        <v>0</v>
      </c>
      <c r="AQ137" s="1037">
        <f>SUMPRODUCT((Producción_Lecheria[[#This Row],[Mes Financiero]]=Tipo_Cambio[Mes])*(Producción_Lecheria[[#This Row],[Año Financiero]]=Tipo_Cambio[Año])*(Tipo_Cambio[$/U$S]))</f>
        <v>0</v>
      </c>
      <c r="AR137" s="1037">
        <f>SUMPRODUCT((Producción_Lecheria[[#This Row],[Mes Financiero]]=Tipo_Cambio[Mes])*(Producción_Lecheria[[#This Row],[Año Financiero]]=Tipo_Cambio[Año])*(Tipo_Cambio[Actualización]))</f>
        <v>0</v>
      </c>
      <c r="AS137" s="1040">
        <f>SUMPRODUCT((Producción_Lecheria[[#This Row],[Centro de Costo]]=Tabla1924[Centro de Costo])*(Tabla19[Superficie]))</f>
        <v>2356</v>
      </c>
      <c r="AT137" s="1041">
        <f>IFERROR(Producción_Lecheria[[#This Row],[Económico $Corrientes]]/Producción_Lecheria[[#This Row],[Superficie]],0)</f>
        <v>0</v>
      </c>
      <c r="AU137" s="1041">
        <f>IFERROR(Producción_Lecheria[[#This Row],[Económico $Constantes]]/Producción_Lecheria[[#This Row],[Superficie]],0)</f>
        <v>0</v>
      </c>
      <c r="AV137" s="1041">
        <f>IFERROR(Producción_Lecheria[[#This Row],[Económico U$S Dólares]]/Producción_Lecheria[[#This Row],[Superficie]],0)</f>
        <v>0</v>
      </c>
      <c r="AW137" s="1035" t="str">
        <f>IF(Económico!$F$4=0,0,Producción_Lecheria[Centro de Costo])</f>
        <v>Campo 1</v>
      </c>
    </row>
    <row r="138" spans="1:49" x14ac:dyDescent="0.25">
      <c r="A138" s="86"/>
      <c r="B138" s="373"/>
      <c r="C138" s="86"/>
      <c r="D138" s="548">
        <f>DATE(LEFT(Producción_Lecheria[[#This Row],[Campaña]],4)+1,6,30)</f>
        <v>43646</v>
      </c>
      <c r="E138" s="493"/>
      <c r="F138" s="479" t="str">
        <f t="shared" si="12"/>
        <v>2018-2019</v>
      </c>
      <c r="G138" s="576" t="str">
        <f>LCH_Salida_C.Categoria</f>
        <v>Salida C. Categoría</v>
      </c>
      <c r="H138" s="491" t="s">
        <v>2</v>
      </c>
      <c r="I138" s="491" t="s">
        <v>129</v>
      </c>
      <c r="J138" s="549"/>
      <c r="K138" s="484"/>
      <c r="L13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3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38" s="520"/>
      <c r="O13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38" s="563"/>
      <c r="Q138" s="491"/>
      <c r="R138" s="875">
        <f>IF(ISNUMBER(Producción_Lecheria[[#This Row],[Cabezas]])=TRUE,Producción_Lecheria[[#This Row],[Cabezas]]*Producción_Lecheria[[#This Row],[Cantidad]],Producción_Lecheria[[#This Row],[Cantidad]])</f>
        <v>0</v>
      </c>
      <c r="S138" s="491"/>
      <c r="T138" s="552"/>
      <c r="U138" s="553"/>
      <c r="V13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38" s="977">
        <f>IFERROR(Producción_Lecheria[[#This Row],[Económico $Corrientes]]/Producción_Lecheria[[#This Row],[Indexación Económico]],0)</f>
        <v>0</v>
      </c>
      <c r="X13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3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38" s="977">
        <f>IFERROR(Producción_Lecheria[[#This Row],[Financiero $Corrientes]]/Producción_Lecheria[[#This Row],[Indexación Financiero]],0)</f>
        <v>0</v>
      </c>
      <c r="AA13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3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38" s="981">
        <f>IFERROR(Producción_Lecheria[[#This Row],[Intereses $Corrientes]]/Producción_Lecheria[[#This Row],[Indexación Financiero]],0)</f>
        <v>0</v>
      </c>
      <c r="AD13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38" s="991" t="str">
        <f>IFERROR(INDEX(Produccion_Lecheria_Cuentas[],MATCH(Producción_Lecheria[[#This Row],[Cuenta Contable]],Produccion_Lecheria_Cuentas[Cuenta Contable],0),2),0)</f>
        <v>Mov. Hacienda</v>
      </c>
      <c r="AF138" s="992">
        <f>IF(Producción_Lecheria[[#This Row],[Mov. Stock]]="(+)",Producción_Lecheria[[#This Row],[Cabezas]],IF(Producción_Lecheria[[#This Row],[Mov. Stock]]="(-)",-Producción_Lecheria[[#This Row],[Cabezas]],0))</f>
        <v>0</v>
      </c>
      <c r="AG138" s="993" t="str">
        <f>IFERROR(INDEX(Produccion_Lecheria_Cuentas[],MATCH(Producción_Lecheria[[#This Row],[Cuenta Contable]],Produccion_Lecheria_Cuentas[Cuenta Contable],0),5),0)</f>
        <v>(-)</v>
      </c>
      <c r="AH138" s="985" t="str">
        <f>IF(Producción_Lecheria[[#This Row],[Cuenta Contable]]=Configuración!$AC$9,"Si","No")</f>
        <v>No</v>
      </c>
      <c r="AI138" s="983" t="str">
        <f>IFERROR(INDEX(Tabla9[],MATCH(Producción_Lecheria[[#This Row],[Movimiento]],Tabla9[Movimientos],0),2),0)</f>
        <v>No</v>
      </c>
      <c r="AJ138" s="984">
        <f>IFERROR(INDEX(Tabla9[],MATCH(Producción_Lecheria[[#This Row],[Movimiento]],Tabla9[Movimientos],0),3),0)</f>
        <v>0</v>
      </c>
      <c r="AK138" s="981">
        <f>IF(Producción_Lecheria[[#This Row],[Fecha Económico]]=0,0,MONTH(Producción_Lecheria[[#This Row],[Fecha Económico]]))</f>
        <v>6</v>
      </c>
      <c r="AL138" s="981">
        <f>IF(Producción_Lecheria[[#This Row],[Fecha Económico]]=0,0,YEAR(Producción_Lecheria[[#This Row],[Fecha Económico]]))</f>
        <v>2019</v>
      </c>
      <c r="AM138" s="985">
        <f>SUMPRODUCT((Producción_Lecheria[[#This Row],[Mes Económico]]=Tipo_Cambio[Mes])*(Producción_Lecheria[[#This Row],[Año Económico]]=Tipo_Cambio[Año])*(Tipo_Cambio[$/U$S]))</f>
        <v>24.544703626636963</v>
      </c>
      <c r="AN138" s="985">
        <f>SUMPRODUCT((Producción_Lecheria[[#This Row],[Mes Económico]]=Tipo_Cambio[Mes])*(Producción_Lecheria[[#This Row],[Año Económico]]=Tipo_Cambio[Año])*(Tipo_Cambio[Actualización]))</f>
        <v>1.2433743083946525</v>
      </c>
      <c r="AO138" s="981">
        <f>IF(ISNUMBER(Producción_Lecheria[[#This Row],[Fecha Financiero]])=TRUE,MONTH(Producción_Lecheria[[#This Row],[Fecha Financiero]]),0)</f>
        <v>0</v>
      </c>
      <c r="AP138" s="981">
        <f>IF(ISNUMBER(Producción_Lecheria[[#This Row],[Fecha Financiero]])=TRUE,YEAR(Producción_Lecheria[[#This Row],[Fecha Financiero]]),0)</f>
        <v>0</v>
      </c>
      <c r="AQ138" s="985">
        <f>SUMPRODUCT((Producción_Lecheria[[#This Row],[Mes Financiero]]=Tipo_Cambio[Mes])*(Producción_Lecheria[[#This Row],[Año Financiero]]=Tipo_Cambio[Año])*(Tipo_Cambio[$/U$S]))</f>
        <v>0</v>
      </c>
      <c r="AR138" s="985">
        <f>SUMPRODUCT((Producción_Lecheria[[#This Row],[Mes Financiero]]=Tipo_Cambio[Mes])*(Producción_Lecheria[[#This Row],[Año Financiero]]=Tipo_Cambio[Año])*(Tipo_Cambio[Actualización]))</f>
        <v>0</v>
      </c>
      <c r="AS138" s="1009">
        <f>SUMPRODUCT((Producción_Lecheria[[#This Row],[Centro de Costo]]=Tabla1924[Centro de Costo])*(Tabla19[Superficie]))</f>
        <v>2356</v>
      </c>
      <c r="AT138" s="994">
        <f>IFERROR(Producción_Lecheria[[#This Row],[Económico $Corrientes]]/Producción_Lecheria[[#This Row],[Superficie]],0)</f>
        <v>0</v>
      </c>
      <c r="AU138" s="994">
        <f>IFERROR(Producción_Lecheria[[#This Row],[Económico $Constantes]]/Producción_Lecheria[[#This Row],[Superficie]],0)</f>
        <v>0</v>
      </c>
      <c r="AV138" s="994">
        <f>IFERROR(Producción_Lecheria[[#This Row],[Económico U$S Dólares]]/Producción_Lecheria[[#This Row],[Superficie]],0)</f>
        <v>0</v>
      </c>
      <c r="AW138" s="992" t="str">
        <f>IF(Económico!$F$4=0,0,Producción_Lecheria[Centro de Costo])</f>
        <v>Campo 1</v>
      </c>
    </row>
    <row r="139" spans="1:49" x14ac:dyDescent="0.25">
      <c r="A139" s="86"/>
      <c r="B139" s="373"/>
      <c r="C139" s="86"/>
      <c r="D139" s="582">
        <f>DATE(LEFT(Producción_Lecheria[[#This Row],[Campaña]],4)+1,6,30)</f>
        <v>43646</v>
      </c>
      <c r="E139" s="536"/>
      <c r="F139" s="537" t="str">
        <f t="shared" si="12"/>
        <v>2018-2019</v>
      </c>
      <c r="G139" s="583" t="str">
        <f>LCH_Entrada_C.Categoria</f>
        <v>Entrada C. Categoría</v>
      </c>
      <c r="H139" s="538" t="s">
        <v>2</v>
      </c>
      <c r="I139" s="538" t="s">
        <v>483</v>
      </c>
      <c r="J139" s="584"/>
      <c r="K139" s="540"/>
      <c r="L139" s="965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39" s="966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39" s="585">
        <f>N138</f>
        <v>0</v>
      </c>
      <c r="O139" s="973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39" s="586"/>
      <c r="Q139" s="538"/>
      <c r="R139" s="876">
        <f>IF(ISNUMBER(Producción_Lecheria[[#This Row],[Cabezas]])=TRUE,Producción_Lecheria[[#This Row],[Cabezas]]*Producción_Lecheria[[#This Row],[Cantidad]],Producción_Lecheria[[#This Row],[Cantidad]])</f>
        <v>0</v>
      </c>
      <c r="S139" s="538"/>
      <c r="T139" s="588"/>
      <c r="U139" s="589"/>
      <c r="V139" s="1028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39" s="1029">
        <f>IFERROR(Producción_Lecheria[[#This Row],[Económico $Corrientes]]/Producción_Lecheria[[#This Row],[Indexación Económico]],0)</f>
        <v>0</v>
      </c>
      <c r="X139" s="1030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39" s="1028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39" s="1029">
        <f>IFERROR(Producción_Lecheria[[#This Row],[Financiero $Corrientes]]/Producción_Lecheria[[#This Row],[Indexación Financiero]],0)</f>
        <v>0</v>
      </c>
      <c r="AA139" s="1031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39" s="1032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39" s="1033">
        <f>IFERROR(Producción_Lecheria[[#This Row],[Intereses $Corrientes]]/Producción_Lecheria[[#This Row],[Indexación Financiero]],0)</f>
        <v>0</v>
      </c>
      <c r="AD139" s="1033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39" s="1034" t="str">
        <f>IFERROR(INDEX(Produccion_Lecheria_Cuentas[],MATCH(Producción_Lecheria[[#This Row],[Cuenta Contable]],Produccion_Lecheria_Cuentas[Cuenta Contable],0),2),0)</f>
        <v>Mov. Hacienda</v>
      </c>
      <c r="AF139" s="1035">
        <f>IF(Producción_Lecheria[[#This Row],[Mov. Stock]]="(+)",Producción_Lecheria[[#This Row],[Cabezas]],IF(Producción_Lecheria[[#This Row],[Mov. Stock]]="(-)",-Producción_Lecheria[[#This Row],[Cabezas]],0))</f>
        <v>0</v>
      </c>
      <c r="AG139" s="1036" t="str">
        <f>IFERROR(INDEX(Produccion_Lecheria_Cuentas[],MATCH(Producción_Lecheria[[#This Row],[Cuenta Contable]],Produccion_Lecheria_Cuentas[Cuenta Contable],0),5),0)</f>
        <v>(+)</v>
      </c>
      <c r="AH139" s="1037" t="str">
        <f>IF(Producción_Lecheria[[#This Row],[Cuenta Contable]]=Configuración!$AC$9,"Si","No")</f>
        <v>No</v>
      </c>
      <c r="AI139" s="1038" t="str">
        <f>IFERROR(INDEX(Tabla9[],MATCH(Producción_Lecheria[[#This Row],[Movimiento]],Tabla9[Movimientos],0),2),0)</f>
        <v>No</v>
      </c>
      <c r="AJ139" s="1039">
        <f>IFERROR(INDEX(Tabla9[],MATCH(Producción_Lecheria[[#This Row],[Movimiento]],Tabla9[Movimientos],0),3),0)</f>
        <v>0</v>
      </c>
      <c r="AK139" s="1033">
        <f>IF(Producción_Lecheria[[#This Row],[Fecha Económico]]=0,0,MONTH(Producción_Lecheria[[#This Row],[Fecha Económico]]))</f>
        <v>6</v>
      </c>
      <c r="AL139" s="1033">
        <f>IF(Producción_Lecheria[[#This Row],[Fecha Económico]]=0,0,YEAR(Producción_Lecheria[[#This Row],[Fecha Económico]]))</f>
        <v>2019</v>
      </c>
      <c r="AM139" s="1037">
        <f>SUMPRODUCT((Producción_Lecheria[[#This Row],[Mes Económico]]=Tipo_Cambio[Mes])*(Producción_Lecheria[[#This Row],[Año Económico]]=Tipo_Cambio[Año])*(Tipo_Cambio[$/U$S]))</f>
        <v>24.544703626636963</v>
      </c>
      <c r="AN139" s="1037">
        <f>SUMPRODUCT((Producción_Lecheria[[#This Row],[Mes Económico]]=Tipo_Cambio[Mes])*(Producción_Lecheria[[#This Row],[Año Económico]]=Tipo_Cambio[Año])*(Tipo_Cambio[Actualización]))</f>
        <v>1.2433743083946525</v>
      </c>
      <c r="AO139" s="1033">
        <f>IF(ISNUMBER(Producción_Lecheria[[#This Row],[Fecha Financiero]])=TRUE,MONTH(Producción_Lecheria[[#This Row],[Fecha Financiero]]),0)</f>
        <v>0</v>
      </c>
      <c r="AP139" s="1033">
        <f>IF(ISNUMBER(Producción_Lecheria[[#This Row],[Fecha Financiero]])=TRUE,YEAR(Producción_Lecheria[[#This Row],[Fecha Financiero]]),0)</f>
        <v>0</v>
      </c>
      <c r="AQ139" s="1037">
        <f>SUMPRODUCT((Producción_Lecheria[[#This Row],[Mes Financiero]]=Tipo_Cambio[Mes])*(Producción_Lecheria[[#This Row],[Año Financiero]]=Tipo_Cambio[Año])*(Tipo_Cambio[$/U$S]))</f>
        <v>0</v>
      </c>
      <c r="AR139" s="1037">
        <f>SUMPRODUCT((Producción_Lecheria[[#This Row],[Mes Financiero]]=Tipo_Cambio[Mes])*(Producción_Lecheria[[#This Row],[Año Financiero]]=Tipo_Cambio[Año])*(Tipo_Cambio[Actualización]))</f>
        <v>0</v>
      </c>
      <c r="AS139" s="1040">
        <f>SUMPRODUCT((Producción_Lecheria[[#This Row],[Centro de Costo]]=Tabla1924[Centro de Costo])*(Tabla19[Superficie]))</f>
        <v>2356</v>
      </c>
      <c r="AT139" s="1041">
        <f>IFERROR(Producción_Lecheria[[#This Row],[Económico $Corrientes]]/Producción_Lecheria[[#This Row],[Superficie]],0)</f>
        <v>0</v>
      </c>
      <c r="AU139" s="1041">
        <f>IFERROR(Producción_Lecheria[[#This Row],[Económico $Constantes]]/Producción_Lecheria[[#This Row],[Superficie]],0)</f>
        <v>0</v>
      </c>
      <c r="AV139" s="1041">
        <f>IFERROR(Producción_Lecheria[[#This Row],[Económico U$S Dólares]]/Producción_Lecheria[[#This Row],[Superficie]],0)</f>
        <v>0</v>
      </c>
      <c r="AW139" s="1035" t="str">
        <f>IF(Económico!$F$4=0,0,Producción_Lecheria[Centro de Costo])</f>
        <v>Campo 1</v>
      </c>
    </row>
    <row r="140" spans="1:49" x14ac:dyDescent="0.25">
      <c r="A140" s="86"/>
      <c r="B140" s="373"/>
      <c r="C140" s="86"/>
      <c r="D140" s="548">
        <f>DATE(LEFT(Producción_Lecheria[[#This Row],[Campaña]],4)+1,6,30)</f>
        <v>43646</v>
      </c>
      <c r="E140" s="493"/>
      <c r="F140" s="479" t="str">
        <f t="shared" si="12"/>
        <v>2018-2019</v>
      </c>
      <c r="G140" s="576" t="str">
        <f>LCH_Salida_C.Categoria</f>
        <v>Salida C. Categoría</v>
      </c>
      <c r="H140" s="491" t="s">
        <v>2</v>
      </c>
      <c r="I140" s="491" t="s">
        <v>483</v>
      </c>
      <c r="J140" s="549"/>
      <c r="K140" s="484"/>
      <c r="L14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4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40" s="520"/>
      <c r="O14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40" s="563"/>
      <c r="Q140" s="491"/>
      <c r="R140" s="875">
        <f>IF(ISNUMBER(Producción_Lecheria[[#This Row],[Cabezas]])=TRUE,Producción_Lecheria[[#This Row],[Cabezas]]*Producción_Lecheria[[#This Row],[Cantidad]],Producción_Lecheria[[#This Row],[Cantidad]])</f>
        <v>0</v>
      </c>
      <c r="S140" s="491"/>
      <c r="T140" s="552"/>
      <c r="U140" s="553"/>
      <c r="V14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40" s="977">
        <f>IFERROR(Producción_Lecheria[[#This Row],[Económico $Corrientes]]/Producción_Lecheria[[#This Row],[Indexación Económico]],0)</f>
        <v>0</v>
      </c>
      <c r="X14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4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40" s="977">
        <f>IFERROR(Producción_Lecheria[[#This Row],[Financiero $Corrientes]]/Producción_Lecheria[[#This Row],[Indexación Financiero]],0)</f>
        <v>0</v>
      </c>
      <c r="AA14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4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40" s="981">
        <f>IFERROR(Producción_Lecheria[[#This Row],[Intereses $Corrientes]]/Producción_Lecheria[[#This Row],[Indexación Financiero]],0)</f>
        <v>0</v>
      </c>
      <c r="AD14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40" s="991" t="str">
        <f>IFERROR(INDEX(Produccion_Lecheria_Cuentas[],MATCH(Producción_Lecheria[[#This Row],[Cuenta Contable]],Produccion_Lecheria_Cuentas[Cuenta Contable],0),2),0)</f>
        <v>Mov. Hacienda</v>
      </c>
      <c r="AF140" s="992">
        <f>IF(Producción_Lecheria[[#This Row],[Mov. Stock]]="(+)",Producción_Lecheria[[#This Row],[Cabezas]],IF(Producción_Lecheria[[#This Row],[Mov. Stock]]="(-)",-Producción_Lecheria[[#This Row],[Cabezas]],0))</f>
        <v>0</v>
      </c>
      <c r="AG140" s="993" t="str">
        <f>IFERROR(INDEX(Produccion_Lecheria_Cuentas[],MATCH(Producción_Lecheria[[#This Row],[Cuenta Contable]],Produccion_Lecheria_Cuentas[Cuenta Contable],0),5),0)</f>
        <v>(-)</v>
      </c>
      <c r="AH140" s="985" t="str">
        <f>IF(Producción_Lecheria[[#This Row],[Cuenta Contable]]=Configuración!$AC$9,"Si","No")</f>
        <v>No</v>
      </c>
      <c r="AI140" s="983" t="str">
        <f>IFERROR(INDEX(Tabla9[],MATCH(Producción_Lecheria[[#This Row],[Movimiento]],Tabla9[Movimientos],0),2),0)</f>
        <v>No</v>
      </c>
      <c r="AJ140" s="984">
        <f>IFERROR(INDEX(Tabla9[],MATCH(Producción_Lecheria[[#This Row],[Movimiento]],Tabla9[Movimientos],0),3),0)</f>
        <v>0</v>
      </c>
      <c r="AK140" s="981">
        <f>IF(Producción_Lecheria[[#This Row],[Fecha Económico]]=0,0,MONTH(Producción_Lecheria[[#This Row],[Fecha Económico]]))</f>
        <v>6</v>
      </c>
      <c r="AL140" s="981">
        <f>IF(Producción_Lecheria[[#This Row],[Fecha Económico]]=0,0,YEAR(Producción_Lecheria[[#This Row],[Fecha Económico]]))</f>
        <v>2019</v>
      </c>
      <c r="AM140" s="985">
        <f>SUMPRODUCT((Producción_Lecheria[[#This Row],[Mes Económico]]=Tipo_Cambio[Mes])*(Producción_Lecheria[[#This Row],[Año Económico]]=Tipo_Cambio[Año])*(Tipo_Cambio[$/U$S]))</f>
        <v>24.544703626636963</v>
      </c>
      <c r="AN140" s="985">
        <f>SUMPRODUCT((Producción_Lecheria[[#This Row],[Mes Económico]]=Tipo_Cambio[Mes])*(Producción_Lecheria[[#This Row],[Año Económico]]=Tipo_Cambio[Año])*(Tipo_Cambio[Actualización]))</f>
        <v>1.2433743083946525</v>
      </c>
      <c r="AO140" s="981">
        <f>IF(ISNUMBER(Producción_Lecheria[[#This Row],[Fecha Financiero]])=TRUE,MONTH(Producción_Lecheria[[#This Row],[Fecha Financiero]]),0)</f>
        <v>0</v>
      </c>
      <c r="AP140" s="981">
        <f>IF(ISNUMBER(Producción_Lecheria[[#This Row],[Fecha Financiero]])=TRUE,YEAR(Producción_Lecheria[[#This Row],[Fecha Financiero]]),0)</f>
        <v>0</v>
      </c>
      <c r="AQ140" s="985">
        <f>SUMPRODUCT((Producción_Lecheria[[#This Row],[Mes Financiero]]=Tipo_Cambio[Mes])*(Producción_Lecheria[[#This Row],[Año Financiero]]=Tipo_Cambio[Año])*(Tipo_Cambio[$/U$S]))</f>
        <v>0</v>
      </c>
      <c r="AR140" s="985">
        <f>SUMPRODUCT((Producción_Lecheria[[#This Row],[Mes Financiero]]=Tipo_Cambio[Mes])*(Producción_Lecheria[[#This Row],[Año Financiero]]=Tipo_Cambio[Año])*(Tipo_Cambio[Actualización]))</f>
        <v>0</v>
      </c>
      <c r="AS140" s="1009">
        <f>SUMPRODUCT((Producción_Lecheria[[#This Row],[Centro de Costo]]=Tabla1924[Centro de Costo])*(Tabla19[Superficie]))</f>
        <v>2356</v>
      </c>
      <c r="AT140" s="994">
        <f>IFERROR(Producción_Lecheria[[#This Row],[Económico $Corrientes]]/Producción_Lecheria[[#This Row],[Superficie]],0)</f>
        <v>0</v>
      </c>
      <c r="AU140" s="994">
        <f>IFERROR(Producción_Lecheria[[#This Row],[Económico $Constantes]]/Producción_Lecheria[[#This Row],[Superficie]],0)</f>
        <v>0</v>
      </c>
      <c r="AV140" s="994">
        <f>IFERROR(Producción_Lecheria[[#This Row],[Económico U$S Dólares]]/Producción_Lecheria[[#This Row],[Superficie]],0)</f>
        <v>0</v>
      </c>
      <c r="AW140" s="992" t="str">
        <f>IF(Económico!$F$4=0,0,Producción_Lecheria[Centro de Costo])</f>
        <v>Campo 1</v>
      </c>
    </row>
    <row r="141" spans="1:49" x14ac:dyDescent="0.25">
      <c r="A141" s="86"/>
      <c r="B141" s="373"/>
      <c r="C141" s="86"/>
      <c r="D141" s="582">
        <f>DATE(LEFT(Producción_Lecheria[[#This Row],[Campaña]],4)+1,6,30)</f>
        <v>43646</v>
      </c>
      <c r="E141" s="536"/>
      <c r="F141" s="537" t="str">
        <f t="shared" si="12"/>
        <v>2018-2019</v>
      </c>
      <c r="G141" s="583" t="str">
        <f>LCH_Entrada_C.Categoria</f>
        <v>Entrada C. Categoría</v>
      </c>
      <c r="H141" s="538" t="s">
        <v>2</v>
      </c>
      <c r="I141" s="538" t="s">
        <v>484</v>
      </c>
      <c r="J141" s="584"/>
      <c r="K141" s="540"/>
      <c r="L141" s="965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41" s="966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41" s="585">
        <f>N140</f>
        <v>0</v>
      </c>
      <c r="O141" s="973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41" s="586"/>
      <c r="Q141" s="538"/>
      <c r="R141" s="876">
        <f>IF(ISNUMBER(Producción_Lecheria[[#This Row],[Cabezas]])=TRUE,Producción_Lecheria[[#This Row],[Cabezas]]*Producción_Lecheria[[#This Row],[Cantidad]],Producción_Lecheria[[#This Row],[Cantidad]])</f>
        <v>0</v>
      </c>
      <c r="S141" s="538"/>
      <c r="T141" s="588"/>
      <c r="U141" s="589"/>
      <c r="V141" s="1028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41" s="1029">
        <f>IFERROR(Producción_Lecheria[[#This Row],[Económico $Corrientes]]/Producción_Lecheria[[#This Row],[Indexación Económico]],0)</f>
        <v>0</v>
      </c>
      <c r="X141" s="1030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41" s="1028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41" s="1029">
        <f>IFERROR(Producción_Lecheria[[#This Row],[Financiero $Corrientes]]/Producción_Lecheria[[#This Row],[Indexación Financiero]],0)</f>
        <v>0</v>
      </c>
      <c r="AA141" s="1031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41" s="1032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41" s="1033">
        <f>IFERROR(Producción_Lecheria[[#This Row],[Intereses $Corrientes]]/Producción_Lecheria[[#This Row],[Indexación Financiero]],0)</f>
        <v>0</v>
      </c>
      <c r="AD141" s="1033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41" s="1034" t="str">
        <f>IFERROR(INDEX(Produccion_Lecheria_Cuentas[],MATCH(Producción_Lecheria[[#This Row],[Cuenta Contable]],Produccion_Lecheria_Cuentas[Cuenta Contable],0),2),0)</f>
        <v>Mov. Hacienda</v>
      </c>
      <c r="AF141" s="1035">
        <f>IF(Producción_Lecheria[[#This Row],[Mov. Stock]]="(+)",Producción_Lecheria[[#This Row],[Cabezas]],IF(Producción_Lecheria[[#This Row],[Mov. Stock]]="(-)",-Producción_Lecheria[[#This Row],[Cabezas]],0))</f>
        <v>0</v>
      </c>
      <c r="AG141" s="1036" t="str">
        <f>IFERROR(INDEX(Produccion_Lecheria_Cuentas[],MATCH(Producción_Lecheria[[#This Row],[Cuenta Contable]],Produccion_Lecheria_Cuentas[Cuenta Contable],0),5),0)</f>
        <v>(+)</v>
      </c>
      <c r="AH141" s="1037" t="str">
        <f>IF(Producción_Lecheria[[#This Row],[Cuenta Contable]]=Configuración!$AC$9,"Si","No")</f>
        <v>No</v>
      </c>
      <c r="AI141" s="1038" t="str">
        <f>IFERROR(INDEX(Tabla9[],MATCH(Producción_Lecheria[[#This Row],[Movimiento]],Tabla9[Movimientos],0),2),0)</f>
        <v>No</v>
      </c>
      <c r="AJ141" s="1039">
        <f>IFERROR(INDEX(Tabla9[],MATCH(Producción_Lecheria[[#This Row],[Movimiento]],Tabla9[Movimientos],0),3),0)</f>
        <v>0</v>
      </c>
      <c r="AK141" s="1033">
        <f>IF(Producción_Lecheria[[#This Row],[Fecha Económico]]=0,0,MONTH(Producción_Lecheria[[#This Row],[Fecha Económico]]))</f>
        <v>6</v>
      </c>
      <c r="AL141" s="1033">
        <f>IF(Producción_Lecheria[[#This Row],[Fecha Económico]]=0,0,YEAR(Producción_Lecheria[[#This Row],[Fecha Económico]]))</f>
        <v>2019</v>
      </c>
      <c r="AM141" s="1037">
        <f>SUMPRODUCT((Producción_Lecheria[[#This Row],[Mes Económico]]=Tipo_Cambio[Mes])*(Producción_Lecheria[[#This Row],[Año Económico]]=Tipo_Cambio[Año])*(Tipo_Cambio[$/U$S]))</f>
        <v>24.544703626636963</v>
      </c>
      <c r="AN141" s="1037">
        <f>SUMPRODUCT((Producción_Lecheria[[#This Row],[Mes Económico]]=Tipo_Cambio[Mes])*(Producción_Lecheria[[#This Row],[Año Económico]]=Tipo_Cambio[Año])*(Tipo_Cambio[Actualización]))</f>
        <v>1.2433743083946525</v>
      </c>
      <c r="AO141" s="1033">
        <f>IF(ISNUMBER(Producción_Lecheria[[#This Row],[Fecha Financiero]])=TRUE,MONTH(Producción_Lecheria[[#This Row],[Fecha Financiero]]),0)</f>
        <v>0</v>
      </c>
      <c r="AP141" s="1033">
        <f>IF(ISNUMBER(Producción_Lecheria[[#This Row],[Fecha Financiero]])=TRUE,YEAR(Producción_Lecheria[[#This Row],[Fecha Financiero]]),0)</f>
        <v>0</v>
      </c>
      <c r="AQ141" s="1037">
        <f>SUMPRODUCT((Producción_Lecheria[[#This Row],[Mes Financiero]]=Tipo_Cambio[Mes])*(Producción_Lecheria[[#This Row],[Año Financiero]]=Tipo_Cambio[Año])*(Tipo_Cambio[$/U$S]))</f>
        <v>0</v>
      </c>
      <c r="AR141" s="1037">
        <f>SUMPRODUCT((Producción_Lecheria[[#This Row],[Mes Financiero]]=Tipo_Cambio[Mes])*(Producción_Lecheria[[#This Row],[Año Financiero]]=Tipo_Cambio[Año])*(Tipo_Cambio[Actualización]))</f>
        <v>0</v>
      </c>
      <c r="AS141" s="1040">
        <f>SUMPRODUCT((Producción_Lecheria[[#This Row],[Centro de Costo]]=Tabla1924[Centro de Costo])*(Tabla19[Superficie]))</f>
        <v>2356</v>
      </c>
      <c r="AT141" s="1041">
        <f>IFERROR(Producción_Lecheria[[#This Row],[Económico $Corrientes]]/Producción_Lecheria[[#This Row],[Superficie]],0)</f>
        <v>0</v>
      </c>
      <c r="AU141" s="1041">
        <f>IFERROR(Producción_Lecheria[[#This Row],[Económico $Constantes]]/Producción_Lecheria[[#This Row],[Superficie]],0)</f>
        <v>0</v>
      </c>
      <c r="AV141" s="1041">
        <f>IFERROR(Producción_Lecheria[[#This Row],[Económico U$S Dólares]]/Producción_Lecheria[[#This Row],[Superficie]],0)</f>
        <v>0</v>
      </c>
      <c r="AW141" s="1035" t="str">
        <f>IF(Económico!$F$4=0,0,Producción_Lecheria[Centro de Costo])</f>
        <v>Campo 1</v>
      </c>
    </row>
    <row r="142" spans="1:49" x14ac:dyDescent="0.25">
      <c r="A142" s="86"/>
      <c r="B142" s="373"/>
      <c r="C142" s="86"/>
      <c r="D142" s="548">
        <f>DATE(LEFT(Producción_Lecheria[[#This Row],[Campaña]],4)+1,6,30)</f>
        <v>43646</v>
      </c>
      <c r="E142" s="493"/>
      <c r="F142" s="479" t="str">
        <f t="shared" si="12"/>
        <v>2018-2019</v>
      </c>
      <c r="G142" s="576" t="str">
        <f>LCH_Salida_C.Categoria</f>
        <v>Salida C. Categoría</v>
      </c>
      <c r="H142" s="491" t="s">
        <v>2</v>
      </c>
      <c r="I142" s="491" t="s">
        <v>137</v>
      </c>
      <c r="J142" s="549"/>
      <c r="K142" s="484"/>
      <c r="L14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4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42" s="520"/>
      <c r="O14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42" s="563"/>
      <c r="Q142" s="491"/>
      <c r="R142" s="875">
        <f>IF(ISNUMBER(Producción_Lecheria[[#This Row],[Cabezas]])=TRUE,Producción_Lecheria[[#This Row],[Cabezas]]*Producción_Lecheria[[#This Row],[Cantidad]],Producción_Lecheria[[#This Row],[Cantidad]])</f>
        <v>0</v>
      </c>
      <c r="S142" s="491"/>
      <c r="T142" s="552"/>
      <c r="U142" s="553"/>
      <c r="V14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42" s="977">
        <f>IFERROR(Producción_Lecheria[[#This Row],[Económico $Corrientes]]/Producción_Lecheria[[#This Row],[Indexación Económico]],0)</f>
        <v>0</v>
      </c>
      <c r="X14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4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42" s="977">
        <f>IFERROR(Producción_Lecheria[[#This Row],[Financiero $Corrientes]]/Producción_Lecheria[[#This Row],[Indexación Financiero]],0)</f>
        <v>0</v>
      </c>
      <c r="AA14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4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42" s="981">
        <f>IFERROR(Producción_Lecheria[[#This Row],[Intereses $Corrientes]]/Producción_Lecheria[[#This Row],[Indexación Financiero]],0)</f>
        <v>0</v>
      </c>
      <c r="AD14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42" s="991" t="str">
        <f>IFERROR(INDEX(Produccion_Lecheria_Cuentas[],MATCH(Producción_Lecheria[[#This Row],[Cuenta Contable]],Produccion_Lecheria_Cuentas[Cuenta Contable],0),2),0)</f>
        <v>Mov. Hacienda</v>
      </c>
      <c r="AF142" s="992">
        <f>IF(Producción_Lecheria[[#This Row],[Mov. Stock]]="(+)",Producción_Lecheria[[#This Row],[Cabezas]],IF(Producción_Lecheria[[#This Row],[Mov. Stock]]="(-)",-Producción_Lecheria[[#This Row],[Cabezas]],0))</f>
        <v>0</v>
      </c>
      <c r="AG142" s="993" t="str">
        <f>IFERROR(INDEX(Produccion_Lecheria_Cuentas[],MATCH(Producción_Lecheria[[#This Row],[Cuenta Contable]],Produccion_Lecheria_Cuentas[Cuenta Contable],0),5),0)</f>
        <v>(-)</v>
      </c>
      <c r="AH142" s="985" t="str">
        <f>IF(Producción_Lecheria[[#This Row],[Cuenta Contable]]=Configuración!$AC$9,"Si","No")</f>
        <v>No</v>
      </c>
      <c r="AI142" s="983" t="str">
        <f>IFERROR(INDEX(Tabla9[],MATCH(Producción_Lecheria[[#This Row],[Movimiento]],Tabla9[Movimientos],0),2),0)</f>
        <v>No</v>
      </c>
      <c r="AJ142" s="984">
        <f>IFERROR(INDEX(Tabla9[],MATCH(Producción_Lecheria[[#This Row],[Movimiento]],Tabla9[Movimientos],0),3),0)</f>
        <v>0</v>
      </c>
      <c r="AK142" s="981">
        <f>IF(Producción_Lecheria[[#This Row],[Fecha Económico]]=0,0,MONTH(Producción_Lecheria[[#This Row],[Fecha Económico]]))</f>
        <v>6</v>
      </c>
      <c r="AL142" s="981">
        <f>IF(Producción_Lecheria[[#This Row],[Fecha Económico]]=0,0,YEAR(Producción_Lecheria[[#This Row],[Fecha Económico]]))</f>
        <v>2019</v>
      </c>
      <c r="AM142" s="985">
        <f>SUMPRODUCT((Producción_Lecheria[[#This Row],[Mes Económico]]=Tipo_Cambio[Mes])*(Producción_Lecheria[[#This Row],[Año Económico]]=Tipo_Cambio[Año])*(Tipo_Cambio[$/U$S]))</f>
        <v>24.544703626636963</v>
      </c>
      <c r="AN142" s="985">
        <f>SUMPRODUCT((Producción_Lecheria[[#This Row],[Mes Económico]]=Tipo_Cambio[Mes])*(Producción_Lecheria[[#This Row],[Año Económico]]=Tipo_Cambio[Año])*(Tipo_Cambio[Actualización]))</f>
        <v>1.2433743083946525</v>
      </c>
      <c r="AO142" s="981">
        <f>IF(ISNUMBER(Producción_Lecheria[[#This Row],[Fecha Financiero]])=TRUE,MONTH(Producción_Lecheria[[#This Row],[Fecha Financiero]]),0)</f>
        <v>0</v>
      </c>
      <c r="AP142" s="981">
        <f>IF(ISNUMBER(Producción_Lecheria[[#This Row],[Fecha Financiero]])=TRUE,YEAR(Producción_Lecheria[[#This Row],[Fecha Financiero]]),0)</f>
        <v>0</v>
      </c>
      <c r="AQ142" s="985">
        <f>SUMPRODUCT((Producción_Lecheria[[#This Row],[Mes Financiero]]=Tipo_Cambio[Mes])*(Producción_Lecheria[[#This Row],[Año Financiero]]=Tipo_Cambio[Año])*(Tipo_Cambio[$/U$S]))</f>
        <v>0</v>
      </c>
      <c r="AR142" s="985">
        <f>SUMPRODUCT((Producción_Lecheria[[#This Row],[Mes Financiero]]=Tipo_Cambio[Mes])*(Producción_Lecheria[[#This Row],[Año Financiero]]=Tipo_Cambio[Año])*(Tipo_Cambio[Actualización]))</f>
        <v>0</v>
      </c>
      <c r="AS142" s="1009">
        <f>SUMPRODUCT((Producción_Lecheria[[#This Row],[Centro de Costo]]=Tabla1924[Centro de Costo])*(Tabla19[Superficie]))</f>
        <v>2356</v>
      </c>
      <c r="AT142" s="994">
        <f>IFERROR(Producción_Lecheria[[#This Row],[Económico $Corrientes]]/Producción_Lecheria[[#This Row],[Superficie]],0)</f>
        <v>0</v>
      </c>
      <c r="AU142" s="994">
        <f>IFERROR(Producción_Lecheria[[#This Row],[Económico $Constantes]]/Producción_Lecheria[[#This Row],[Superficie]],0)</f>
        <v>0</v>
      </c>
      <c r="AV142" s="994">
        <f>IFERROR(Producción_Lecheria[[#This Row],[Económico U$S Dólares]]/Producción_Lecheria[[#This Row],[Superficie]],0)</f>
        <v>0</v>
      </c>
      <c r="AW142" s="992" t="str">
        <f>IF(Económico!$F$4=0,0,Producción_Lecheria[Centro de Costo])</f>
        <v>Campo 1</v>
      </c>
    </row>
    <row r="143" spans="1:49" x14ac:dyDescent="0.25">
      <c r="A143" s="86"/>
      <c r="B143" s="373"/>
      <c r="C143" s="86"/>
      <c r="D143" s="582">
        <f>DATE(LEFT(Producción_Lecheria[[#This Row],[Campaña]],4)+1,6,30)</f>
        <v>43646</v>
      </c>
      <c r="E143" s="536"/>
      <c r="F143" s="537" t="str">
        <f t="shared" si="12"/>
        <v>2018-2019</v>
      </c>
      <c r="G143" s="583" t="str">
        <f>LCH_Entrada_C.Categoria</f>
        <v>Entrada C. Categoría</v>
      </c>
      <c r="H143" s="538" t="s">
        <v>2</v>
      </c>
      <c r="I143" s="538" t="s">
        <v>138</v>
      </c>
      <c r="J143" s="584"/>
      <c r="K143" s="540"/>
      <c r="L143" s="965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43" s="966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43" s="585">
        <f>N142</f>
        <v>0</v>
      </c>
      <c r="O143" s="973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43" s="586"/>
      <c r="Q143" s="538"/>
      <c r="R143" s="876">
        <f>IF(ISNUMBER(Producción_Lecheria[[#This Row],[Cabezas]])=TRUE,Producción_Lecheria[[#This Row],[Cabezas]]*Producción_Lecheria[[#This Row],[Cantidad]],Producción_Lecheria[[#This Row],[Cantidad]])</f>
        <v>0</v>
      </c>
      <c r="S143" s="538"/>
      <c r="T143" s="588"/>
      <c r="U143" s="589"/>
      <c r="V143" s="1028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43" s="1029">
        <f>IFERROR(Producción_Lecheria[[#This Row],[Económico $Corrientes]]/Producción_Lecheria[[#This Row],[Indexación Económico]],0)</f>
        <v>0</v>
      </c>
      <c r="X143" s="1030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43" s="1028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43" s="1029">
        <f>IFERROR(Producción_Lecheria[[#This Row],[Financiero $Corrientes]]/Producción_Lecheria[[#This Row],[Indexación Financiero]],0)</f>
        <v>0</v>
      </c>
      <c r="AA143" s="1031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43" s="1032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43" s="1033">
        <f>IFERROR(Producción_Lecheria[[#This Row],[Intereses $Corrientes]]/Producción_Lecheria[[#This Row],[Indexación Financiero]],0)</f>
        <v>0</v>
      </c>
      <c r="AD143" s="1033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43" s="1034" t="str">
        <f>IFERROR(INDEX(Produccion_Lecheria_Cuentas[],MATCH(Producción_Lecheria[[#This Row],[Cuenta Contable]],Produccion_Lecheria_Cuentas[Cuenta Contable],0),2),0)</f>
        <v>Mov. Hacienda</v>
      </c>
      <c r="AF143" s="1035">
        <f>IF(Producción_Lecheria[[#This Row],[Mov. Stock]]="(+)",Producción_Lecheria[[#This Row],[Cabezas]],IF(Producción_Lecheria[[#This Row],[Mov. Stock]]="(-)",-Producción_Lecheria[[#This Row],[Cabezas]],0))</f>
        <v>0</v>
      </c>
      <c r="AG143" s="1036" t="str">
        <f>IFERROR(INDEX(Produccion_Lecheria_Cuentas[],MATCH(Producción_Lecheria[[#This Row],[Cuenta Contable]],Produccion_Lecheria_Cuentas[Cuenta Contable],0),5),0)</f>
        <v>(+)</v>
      </c>
      <c r="AH143" s="1037" t="str">
        <f>IF(Producción_Lecheria[[#This Row],[Cuenta Contable]]=Configuración!$AC$9,"Si","No")</f>
        <v>No</v>
      </c>
      <c r="AI143" s="1038" t="str">
        <f>IFERROR(INDEX(Tabla9[],MATCH(Producción_Lecheria[[#This Row],[Movimiento]],Tabla9[Movimientos],0),2),0)</f>
        <v>No</v>
      </c>
      <c r="AJ143" s="1039">
        <f>IFERROR(INDEX(Tabla9[],MATCH(Producción_Lecheria[[#This Row],[Movimiento]],Tabla9[Movimientos],0),3),0)</f>
        <v>0</v>
      </c>
      <c r="AK143" s="1033">
        <f>IF(Producción_Lecheria[[#This Row],[Fecha Económico]]=0,0,MONTH(Producción_Lecheria[[#This Row],[Fecha Económico]]))</f>
        <v>6</v>
      </c>
      <c r="AL143" s="1033">
        <f>IF(Producción_Lecheria[[#This Row],[Fecha Económico]]=0,0,YEAR(Producción_Lecheria[[#This Row],[Fecha Económico]]))</f>
        <v>2019</v>
      </c>
      <c r="AM143" s="1037">
        <f>SUMPRODUCT((Producción_Lecheria[[#This Row],[Mes Económico]]=Tipo_Cambio[Mes])*(Producción_Lecheria[[#This Row],[Año Económico]]=Tipo_Cambio[Año])*(Tipo_Cambio[$/U$S]))</f>
        <v>24.544703626636963</v>
      </c>
      <c r="AN143" s="1037">
        <f>SUMPRODUCT((Producción_Lecheria[[#This Row],[Mes Económico]]=Tipo_Cambio[Mes])*(Producción_Lecheria[[#This Row],[Año Económico]]=Tipo_Cambio[Año])*(Tipo_Cambio[Actualización]))</f>
        <v>1.2433743083946525</v>
      </c>
      <c r="AO143" s="1033">
        <f>IF(ISNUMBER(Producción_Lecheria[[#This Row],[Fecha Financiero]])=TRUE,MONTH(Producción_Lecheria[[#This Row],[Fecha Financiero]]),0)</f>
        <v>0</v>
      </c>
      <c r="AP143" s="1033">
        <f>IF(ISNUMBER(Producción_Lecheria[[#This Row],[Fecha Financiero]])=TRUE,YEAR(Producción_Lecheria[[#This Row],[Fecha Financiero]]),0)</f>
        <v>0</v>
      </c>
      <c r="AQ143" s="1037">
        <f>SUMPRODUCT((Producción_Lecheria[[#This Row],[Mes Financiero]]=Tipo_Cambio[Mes])*(Producción_Lecheria[[#This Row],[Año Financiero]]=Tipo_Cambio[Año])*(Tipo_Cambio[$/U$S]))</f>
        <v>0</v>
      </c>
      <c r="AR143" s="1037">
        <f>SUMPRODUCT((Producción_Lecheria[[#This Row],[Mes Financiero]]=Tipo_Cambio[Mes])*(Producción_Lecheria[[#This Row],[Año Financiero]]=Tipo_Cambio[Año])*(Tipo_Cambio[Actualización]))</f>
        <v>0</v>
      </c>
      <c r="AS143" s="1040">
        <f>SUMPRODUCT((Producción_Lecheria[[#This Row],[Centro de Costo]]=Tabla1924[Centro de Costo])*(Tabla19[Superficie]))</f>
        <v>2356</v>
      </c>
      <c r="AT143" s="1041">
        <f>IFERROR(Producción_Lecheria[[#This Row],[Económico $Corrientes]]/Producción_Lecheria[[#This Row],[Superficie]],0)</f>
        <v>0</v>
      </c>
      <c r="AU143" s="1041">
        <f>IFERROR(Producción_Lecheria[[#This Row],[Económico $Constantes]]/Producción_Lecheria[[#This Row],[Superficie]],0)</f>
        <v>0</v>
      </c>
      <c r="AV143" s="1041">
        <f>IFERROR(Producción_Lecheria[[#This Row],[Económico U$S Dólares]]/Producción_Lecheria[[#This Row],[Superficie]],0)</f>
        <v>0</v>
      </c>
      <c r="AW143" s="1035" t="str">
        <f>IF(Económico!$F$4=0,0,Producción_Lecheria[Centro de Costo])</f>
        <v>Campo 1</v>
      </c>
    </row>
    <row r="144" spans="1:49" x14ac:dyDescent="0.25">
      <c r="A144" s="86"/>
      <c r="B144" s="373"/>
      <c r="C144" s="86"/>
      <c r="D144" s="548">
        <f>DATE(LEFT(Producción_Lecheria[[#This Row],[Campaña]],4)+1,6,30)</f>
        <v>43646</v>
      </c>
      <c r="E144" s="493"/>
      <c r="F144" s="479" t="str">
        <f t="shared" si="12"/>
        <v>2018-2019</v>
      </c>
      <c r="G144" s="576" t="str">
        <f>LCH_Salida_C.Categoria</f>
        <v>Salida C. Categoría</v>
      </c>
      <c r="H144" s="491" t="s">
        <v>2</v>
      </c>
      <c r="I144" s="491"/>
      <c r="J144" s="549"/>
      <c r="K144" s="484"/>
      <c r="L14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4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44" s="520"/>
      <c r="O14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44" s="563"/>
      <c r="Q144" s="491"/>
      <c r="R144" s="875">
        <f>IF(ISNUMBER(Producción_Lecheria[[#This Row],[Cabezas]])=TRUE,Producción_Lecheria[[#This Row],[Cabezas]]*Producción_Lecheria[[#This Row],[Cantidad]],Producción_Lecheria[[#This Row],[Cantidad]])</f>
        <v>0</v>
      </c>
      <c r="S144" s="491"/>
      <c r="T144" s="552"/>
      <c r="U144" s="553"/>
      <c r="V14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44" s="977">
        <f>IFERROR(Producción_Lecheria[[#This Row],[Económico $Corrientes]]/Producción_Lecheria[[#This Row],[Indexación Económico]],0)</f>
        <v>0</v>
      </c>
      <c r="X14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4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44" s="977">
        <f>IFERROR(Producción_Lecheria[[#This Row],[Financiero $Corrientes]]/Producción_Lecheria[[#This Row],[Indexación Financiero]],0)</f>
        <v>0</v>
      </c>
      <c r="AA14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4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44" s="981">
        <f>IFERROR(Producción_Lecheria[[#This Row],[Intereses $Corrientes]]/Producción_Lecheria[[#This Row],[Indexación Financiero]],0)</f>
        <v>0</v>
      </c>
      <c r="AD14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44" s="991" t="str">
        <f>IFERROR(INDEX(Produccion_Lecheria_Cuentas[],MATCH(Producción_Lecheria[[#This Row],[Cuenta Contable]],Produccion_Lecheria_Cuentas[Cuenta Contable],0),2),0)</f>
        <v>Mov. Hacienda</v>
      </c>
      <c r="AF144" s="992">
        <f>IF(Producción_Lecheria[[#This Row],[Mov. Stock]]="(+)",Producción_Lecheria[[#This Row],[Cabezas]],IF(Producción_Lecheria[[#This Row],[Mov. Stock]]="(-)",-Producción_Lecheria[[#This Row],[Cabezas]],0))</f>
        <v>0</v>
      </c>
      <c r="AG144" s="993" t="str">
        <f>IFERROR(INDEX(Produccion_Lecheria_Cuentas[],MATCH(Producción_Lecheria[[#This Row],[Cuenta Contable]],Produccion_Lecheria_Cuentas[Cuenta Contable],0),5),0)</f>
        <v>(-)</v>
      </c>
      <c r="AH144" s="985" t="str">
        <f>IF(Producción_Lecheria[[#This Row],[Cuenta Contable]]=Configuración!$AC$9,"Si","No")</f>
        <v>No</v>
      </c>
      <c r="AI144" s="983" t="str">
        <f>IFERROR(INDEX(Tabla9[],MATCH(Producción_Lecheria[[#This Row],[Movimiento]],Tabla9[Movimientos],0),2),0)</f>
        <v>No</v>
      </c>
      <c r="AJ144" s="984">
        <f>IFERROR(INDEX(Tabla9[],MATCH(Producción_Lecheria[[#This Row],[Movimiento]],Tabla9[Movimientos],0),3),0)</f>
        <v>0</v>
      </c>
      <c r="AK144" s="981">
        <f>IF(Producción_Lecheria[[#This Row],[Fecha Económico]]=0,0,MONTH(Producción_Lecheria[[#This Row],[Fecha Económico]]))</f>
        <v>6</v>
      </c>
      <c r="AL144" s="981">
        <f>IF(Producción_Lecheria[[#This Row],[Fecha Económico]]=0,0,YEAR(Producción_Lecheria[[#This Row],[Fecha Económico]]))</f>
        <v>2019</v>
      </c>
      <c r="AM144" s="985">
        <f>SUMPRODUCT((Producción_Lecheria[[#This Row],[Mes Económico]]=Tipo_Cambio[Mes])*(Producción_Lecheria[[#This Row],[Año Económico]]=Tipo_Cambio[Año])*(Tipo_Cambio[$/U$S]))</f>
        <v>24.544703626636963</v>
      </c>
      <c r="AN144" s="985">
        <f>SUMPRODUCT((Producción_Lecheria[[#This Row],[Mes Económico]]=Tipo_Cambio[Mes])*(Producción_Lecheria[[#This Row],[Año Económico]]=Tipo_Cambio[Año])*(Tipo_Cambio[Actualización]))</f>
        <v>1.2433743083946525</v>
      </c>
      <c r="AO144" s="981">
        <f>IF(ISNUMBER(Producción_Lecheria[[#This Row],[Fecha Financiero]])=TRUE,MONTH(Producción_Lecheria[[#This Row],[Fecha Financiero]]),0)</f>
        <v>0</v>
      </c>
      <c r="AP144" s="981">
        <f>IF(ISNUMBER(Producción_Lecheria[[#This Row],[Fecha Financiero]])=TRUE,YEAR(Producción_Lecheria[[#This Row],[Fecha Financiero]]),0)</f>
        <v>0</v>
      </c>
      <c r="AQ144" s="985">
        <f>SUMPRODUCT((Producción_Lecheria[[#This Row],[Mes Financiero]]=Tipo_Cambio[Mes])*(Producción_Lecheria[[#This Row],[Año Financiero]]=Tipo_Cambio[Año])*(Tipo_Cambio[$/U$S]))</f>
        <v>0</v>
      </c>
      <c r="AR144" s="985">
        <f>SUMPRODUCT((Producción_Lecheria[[#This Row],[Mes Financiero]]=Tipo_Cambio[Mes])*(Producción_Lecheria[[#This Row],[Año Financiero]]=Tipo_Cambio[Año])*(Tipo_Cambio[Actualización]))</f>
        <v>0</v>
      </c>
      <c r="AS144" s="1009">
        <f>SUMPRODUCT((Producción_Lecheria[[#This Row],[Centro de Costo]]=Tabla1924[Centro de Costo])*(Tabla19[Superficie]))</f>
        <v>2356</v>
      </c>
      <c r="AT144" s="994">
        <f>IFERROR(Producción_Lecheria[[#This Row],[Económico $Corrientes]]/Producción_Lecheria[[#This Row],[Superficie]],0)</f>
        <v>0</v>
      </c>
      <c r="AU144" s="994">
        <f>IFERROR(Producción_Lecheria[[#This Row],[Económico $Constantes]]/Producción_Lecheria[[#This Row],[Superficie]],0)</f>
        <v>0</v>
      </c>
      <c r="AV144" s="994">
        <f>IFERROR(Producción_Lecheria[[#This Row],[Económico U$S Dólares]]/Producción_Lecheria[[#This Row],[Superficie]],0)</f>
        <v>0</v>
      </c>
      <c r="AW144" s="992" t="str">
        <f>IF(Económico!$F$4=0,0,Producción_Lecheria[Centro de Costo])</f>
        <v>Campo 1</v>
      </c>
    </row>
    <row r="145" spans="1:16384" x14ac:dyDescent="0.25">
      <c r="A145" s="86"/>
      <c r="B145" s="373"/>
      <c r="C145" s="86"/>
      <c r="D145" s="582">
        <f>DATE(LEFT(Producción_Lecheria[[#This Row],[Campaña]],4)+1,6,30)</f>
        <v>43646</v>
      </c>
      <c r="E145" s="536"/>
      <c r="F145" s="537" t="str">
        <f t="shared" si="12"/>
        <v>2018-2019</v>
      </c>
      <c r="G145" s="583" t="str">
        <f>LCH_Entrada_C.Categoria</f>
        <v>Entrada C. Categoría</v>
      </c>
      <c r="H145" s="538" t="s">
        <v>2</v>
      </c>
      <c r="I145" s="538"/>
      <c r="J145" s="584"/>
      <c r="K145" s="540"/>
      <c r="L145" s="965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45" s="966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45" s="585">
        <f>N144</f>
        <v>0</v>
      </c>
      <c r="O145" s="973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45" s="586"/>
      <c r="Q145" s="538"/>
      <c r="R145" s="876">
        <f>IF(ISNUMBER(Producción_Lecheria[[#This Row],[Cabezas]])=TRUE,Producción_Lecheria[[#This Row],[Cabezas]]*Producción_Lecheria[[#This Row],[Cantidad]],Producción_Lecheria[[#This Row],[Cantidad]])</f>
        <v>0</v>
      </c>
      <c r="S145" s="538"/>
      <c r="T145" s="588"/>
      <c r="U145" s="589"/>
      <c r="V145" s="1028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45" s="1029">
        <f>IFERROR(Producción_Lecheria[[#This Row],[Económico $Corrientes]]/Producción_Lecheria[[#This Row],[Indexación Económico]],0)</f>
        <v>0</v>
      </c>
      <c r="X145" s="1030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45" s="1028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45" s="1029">
        <f>IFERROR(Producción_Lecheria[[#This Row],[Financiero $Corrientes]]/Producción_Lecheria[[#This Row],[Indexación Financiero]],0)</f>
        <v>0</v>
      </c>
      <c r="AA145" s="1031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45" s="1032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45" s="1033">
        <f>IFERROR(Producción_Lecheria[[#This Row],[Intereses $Corrientes]]/Producción_Lecheria[[#This Row],[Indexación Financiero]],0)</f>
        <v>0</v>
      </c>
      <c r="AD145" s="1033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45" s="1034" t="str">
        <f>IFERROR(INDEX(Produccion_Lecheria_Cuentas[],MATCH(Producción_Lecheria[[#This Row],[Cuenta Contable]],Produccion_Lecheria_Cuentas[Cuenta Contable],0),2),0)</f>
        <v>Mov. Hacienda</v>
      </c>
      <c r="AF145" s="1035">
        <f>IF(Producción_Lecheria[[#This Row],[Mov. Stock]]="(+)",Producción_Lecheria[[#This Row],[Cabezas]],IF(Producción_Lecheria[[#This Row],[Mov. Stock]]="(-)",-Producción_Lecheria[[#This Row],[Cabezas]],0))</f>
        <v>0</v>
      </c>
      <c r="AG145" s="1036" t="str">
        <f>IFERROR(INDEX(Produccion_Lecheria_Cuentas[],MATCH(Producción_Lecheria[[#This Row],[Cuenta Contable]],Produccion_Lecheria_Cuentas[Cuenta Contable],0),5),0)</f>
        <v>(+)</v>
      </c>
      <c r="AH145" s="1037" t="str">
        <f>IF(Producción_Lecheria[[#This Row],[Cuenta Contable]]=Configuración!$AC$9,"Si","No")</f>
        <v>No</v>
      </c>
      <c r="AI145" s="1038" t="str">
        <f>IFERROR(INDEX(Tabla9[],MATCH(Producción_Lecheria[[#This Row],[Movimiento]],Tabla9[Movimientos],0),2),0)</f>
        <v>No</v>
      </c>
      <c r="AJ145" s="1039">
        <f>IFERROR(INDEX(Tabla9[],MATCH(Producción_Lecheria[[#This Row],[Movimiento]],Tabla9[Movimientos],0),3),0)</f>
        <v>0</v>
      </c>
      <c r="AK145" s="1033">
        <f>IF(Producción_Lecheria[[#This Row],[Fecha Económico]]=0,0,MONTH(Producción_Lecheria[[#This Row],[Fecha Económico]]))</f>
        <v>6</v>
      </c>
      <c r="AL145" s="1033">
        <f>IF(Producción_Lecheria[[#This Row],[Fecha Económico]]=0,0,YEAR(Producción_Lecheria[[#This Row],[Fecha Económico]]))</f>
        <v>2019</v>
      </c>
      <c r="AM145" s="1037">
        <f>SUMPRODUCT((Producción_Lecheria[[#This Row],[Mes Económico]]=Tipo_Cambio[Mes])*(Producción_Lecheria[[#This Row],[Año Económico]]=Tipo_Cambio[Año])*(Tipo_Cambio[$/U$S]))</f>
        <v>24.544703626636963</v>
      </c>
      <c r="AN145" s="1037">
        <f>SUMPRODUCT((Producción_Lecheria[[#This Row],[Mes Económico]]=Tipo_Cambio[Mes])*(Producción_Lecheria[[#This Row],[Año Económico]]=Tipo_Cambio[Año])*(Tipo_Cambio[Actualización]))</f>
        <v>1.2433743083946525</v>
      </c>
      <c r="AO145" s="1033">
        <f>IF(ISNUMBER(Producción_Lecheria[[#This Row],[Fecha Financiero]])=TRUE,MONTH(Producción_Lecheria[[#This Row],[Fecha Financiero]]),0)</f>
        <v>0</v>
      </c>
      <c r="AP145" s="1033">
        <f>IF(ISNUMBER(Producción_Lecheria[[#This Row],[Fecha Financiero]])=TRUE,YEAR(Producción_Lecheria[[#This Row],[Fecha Financiero]]),0)</f>
        <v>0</v>
      </c>
      <c r="AQ145" s="1037">
        <f>SUMPRODUCT((Producción_Lecheria[[#This Row],[Mes Financiero]]=Tipo_Cambio[Mes])*(Producción_Lecheria[[#This Row],[Año Financiero]]=Tipo_Cambio[Año])*(Tipo_Cambio[$/U$S]))</f>
        <v>0</v>
      </c>
      <c r="AR145" s="1037">
        <f>SUMPRODUCT((Producción_Lecheria[[#This Row],[Mes Financiero]]=Tipo_Cambio[Mes])*(Producción_Lecheria[[#This Row],[Año Financiero]]=Tipo_Cambio[Año])*(Tipo_Cambio[Actualización]))</f>
        <v>0</v>
      </c>
      <c r="AS145" s="1040">
        <f>SUMPRODUCT((Producción_Lecheria[[#This Row],[Centro de Costo]]=Tabla1924[Centro de Costo])*(Tabla19[Superficie]))</f>
        <v>2356</v>
      </c>
      <c r="AT145" s="1041">
        <f>IFERROR(Producción_Lecheria[[#This Row],[Económico $Corrientes]]/Producción_Lecheria[[#This Row],[Superficie]],0)</f>
        <v>0</v>
      </c>
      <c r="AU145" s="1041">
        <f>IFERROR(Producción_Lecheria[[#This Row],[Económico $Constantes]]/Producción_Lecheria[[#This Row],[Superficie]],0)</f>
        <v>0</v>
      </c>
      <c r="AV145" s="1041">
        <f>IFERROR(Producción_Lecheria[[#This Row],[Económico U$S Dólares]]/Producción_Lecheria[[#This Row],[Superficie]],0)</f>
        <v>0</v>
      </c>
      <c r="AW145" s="1035" t="str">
        <f>IF(Económico!$F$4=0,0,Producción_Lecheria[Centro de Costo])</f>
        <v>Campo 1</v>
      </c>
    </row>
    <row r="146" spans="1:16384" x14ac:dyDescent="0.25">
      <c r="A146" s="86"/>
      <c r="B146" s="373"/>
      <c r="C146" s="86"/>
      <c r="D146" s="478"/>
      <c r="E146" s="493"/>
      <c r="F146" s="479" t="str">
        <f t="shared" si="12"/>
        <v>2018-2019</v>
      </c>
      <c r="G146" s="576"/>
      <c r="H146" s="491"/>
      <c r="I146" s="491"/>
      <c r="J146" s="549"/>
      <c r="K146" s="484"/>
      <c r="L14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4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46" s="520"/>
      <c r="O14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46" s="563"/>
      <c r="Q146" s="491"/>
      <c r="R146" s="875">
        <f>IF(ISNUMBER(Producción_Lecheria[[#This Row],[Cabezas]])=TRUE,Producción_Lecheria[[#This Row],[Cabezas]]*Producción_Lecheria[[#This Row],[Cantidad]],Producción_Lecheria[[#This Row],[Cantidad]])</f>
        <v>0</v>
      </c>
      <c r="S146" s="491"/>
      <c r="T146" s="552"/>
      <c r="U146" s="553"/>
      <c r="V14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46" s="977">
        <f>IFERROR(Producción_Lecheria[[#This Row],[Económico $Corrientes]]/Producción_Lecheria[[#This Row],[Indexación Económico]],0)</f>
        <v>0</v>
      </c>
      <c r="X14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4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46" s="977">
        <f>IFERROR(Producción_Lecheria[[#This Row],[Financiero $Corrientes]]/Producción_Lecheria[[#This Row],[Indexación Financiero]],0)</f>
        <v>0</v>
      </c>
      <c r="AA14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4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46" s="981">
        <f>IFERROR(Producción_Lecheria[[#This Row],[Intereses $Corrientes]]/Producción_Lecheria[[#This Row],[Indexación Financiero]],0)</f>
        <v>0</v>
      </c>
      <c r="AD14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46" s="991">
        <f>IFERROR(INDEX(Produccion_Lecheria_Cuentas[],MATCH(Producción_Lecheria[[#This Row],[Cuenta Contable]],Produccion_Lecheria_Cuentas[Cuenta Contable],0),2),0)</f>
        <v>0</v>
      </c>
      <c r="AF146" s="992">
        <f>IF(Producción_Lecheria[[#This Row],[Mov. Stock]]="(+)",Producción_Lecheria[[#This Row],[Cabezas]],IF(Producción_Lecheria[[#This Row],[Mov. Stock]]="(-)",-Producción_Lecheria[[#This Row],[Cabezas]],0))</f>
        <v>0</v>
      </c>
      <c r="AG146" s="993">
        <f>IFERROR(INDEX(Produccion_Lecheria_Cuentas[],MATCH(Producción_Lecheria[[#This Row],[Cuenta Contable]],Produccion_Lecheria_Cuentas[Cuenta Contable],0),5),0)</f>
        <v>0</v>
      </c>
      <c r="AH146" s="985" t="str">
        <f>IF(Producción_Lecheria[[#This Row],[Cuenta Contable]]=Configuración!$AC$9,"Si","No")</f>
        <v>No</v>
      </c>
      <c r="AI146" s="983">
        <f>IFERROR(INDEX(Tabla9[],MATCH(Producción_Lecheria[[#This Row],[Movimiento]],Tabla9[Movimientos],0),2),0)</f>
        <v>0</v>
      </c>
      <c r="AJ146" s="984">
        <f>IFERROR(INDEX(Tabla9[],MATCH(Producción_Lecheria[[#This Row],[Movimiento]],Tabla9[Movimientos],0),3),0)</f>
        <v>0</v>
      </c>
      <c r="AK146" s="981">
        <f>IF(Producción_Lecheria[[#This Row],[Fecha Económico]]=0,0,MONTH(Producción_Lecheria[[#This Row],[Fecha Económico]]))</f>
        <v>0</v>
      </c>
      <c r="AL146" s="981">
        <f>IF(Producción_Lecheria[[#This Row],[Fecha Económico]]=0,0,YEAR(Producción_Lecheria[[#This Row],[Fecha Económico]]))</f>
        <v>0</v>
      </c>
      <c r="AM146" s="985">
        <f>SUMPRODUCT((Producción_Lecheria[[#This Row],[Mes Económico]]=Tipo_Cambio[Mes])*(Producción_Lecheria[[#This Row],[Año Económico]]=Tipo_Cambio[Año])*(Tipo_Cambio[$/U$S]))</f>
        <v>0</v>
      </c>
      <c r="AN146" s="985">
        <f>SUMPRODUCT((Producción_Lecheria[[#This Row],[Mes Económico]]=Tipo_Cambio[Mes])*(Producción_Lecheria[[#This Row],[Año Económico]]=Tipo_Cambio[Año])*(Tipo_Cambio[Actualización]))</f>
        <v>0</v>
      </c>
      <c r="AO146" s="981">
        <f>IF(ISNUMBER(Producción_Lecheria[[#This Row],[Fecha Financiero]])=TRUE,MONTH(Producción_Lecheria[[#This Row],[Fecha Financiero]]),0)</f>
        <v>0</v>
      </c>
      <c r="AP146" s="981">
        <f>IF(ISNUMBER(Producción_Lecheria[[#This Row],[Fecha Financiero]])=TRUE,YEAR(Producción_Lecheria[[#This Row],[Fecha Financiero]]),0)</f>
        <v>0</v>
      </c>
      <c r="AQ146" s="985">
        <f>SUMPRODUCT((Producción_Lecheria[[#This Row],[Mes Financiero]]=Tipo_Cambio[Mes])*(Producción_Lecheria[[#This Row],[Año Financiero]]=Tipo_Cambio[Año])*(Tipo_Cambio[$/U$S]))</f>
        <v>0</v>
      </c>
      <c r="AR146" s="985">
        <f>SUMPRODUCT((Producción_Lecheria[[#This Row],[Mes Financiero]]=Tipo_Cambio[Mes])*(Producción_Lecheria[[#This Row],[Año Financiero]]=Tipo_Cambio[Año])*(Tipo_Cambio[Actualización]))</f>
        <v>0</v>
      </c>
      <c r="AS146" s="1009">
        <f>SUMPRODUCT((Producción_Lecheria[[#This Row],[Centro de Costo]]=Tabla1924[Centro de Costo])*(Tabla19[Superficie]))</f>
        <v>0</v>
      </c>
      <c r="AT146" s="994">
        <f>IFERROR(Producción_Lecheria[[#This Row],[Económico $Corrientes]]/Producción_Lecheria[[#This Row],[Superficie]],0)</f>
        <v>0</v>
      </c>
      <c r="AU146" s="994">
        <f>IFERROR(Producción_Lecheria[[#This Row],[Económico $Constantes]]/Producción_Lecheria[[#This Row],[Superficie]],0)</f>
        <v>0</v>
      </c>
      <c r="AV146" s="994">
        <f>IFERROR(Producción_Lecheria[[#This Row],[Económico U$S Dólares]]/Producción_Lecheria[[#This Row],[Superficie]],0)</f>
        <v>0</v>
      </c>
      <c r="AW146" s="992">
        <f>IF(Económico!$F$4=0,0,Producción_Lecheria[Centro de Costo])</f>
        <v>0</v>
      </c>
    </row>
    <row r="147" spans="1:16384" ht="15.75" thickBot="1" x14ac:dyDescent="0.3">
      <c r="A147" s="86"/>
      <c r="B147" s="373" t="s">
        <v>101</v>
      </c>
      <c r="C147" s="86"/>
      <c r="D147" s="478"/>
      <c r="E147" s="522"/>
      <c r="F147" s="479" t="str">
        <f t="shared" si="8"/>
        <v>2018-2019</v>
      </c>
      <c r="G147" s="490"/>
      <c r="H147" s="491"/>
      <c r="I147" s="491"/>
      <c r="J147" s="549"/>
      <c r="K147" s="484"/>
      <c r="L14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4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47" s="520"/>
      <c r="O14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47" s="563"/>
      <c r="Q147" s="491"/>
      <c r="R147" s="875">
        <f>IF(ISNUMBER(Producción_Lecheria[[#This Row],[Cabezas]])=TRUE,Producción_Lecheria[[#This Row],[Cabezas]]*Producción_Lecheria[[#This Row],[Cantidad]],Producción_Lecheria[[#This Row],[Cantidad]])</f>
        <v>0</v>
      </c>
      <c r="S147" s="491"/>
      <c r="T147" s="552"/>
      <c r="U147" s="553"/>
      <c r="V14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47" s="977">
        <f>IFERROR(Producción_Lecheria[[#This Row],[Económico $Corrientes]]/Producción_Lecheria[[#This Row],[Indexación Económico]],0)</f>
        <v>0</v>
      </c>
      <c r="X14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4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47" s="977">
        <f>IFERROR(Producción_Lecheria[[#This Row],[Financiero $Corrientes]]/Producción_Lecheria[[#This Row],[Indexación Financiero]],0)</f>
        <v>0</v>
      </c>
      <c r="AA14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4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47" s="981">
        <f>IFERROR(Producción_Lecheria[[#This Row],[Intereses $Corrientes]]/Producción_Lecheria[[#This Row],[Indexación Financiero]],0)</f>
        <v>0</v>
      </c>
      <c r="AD14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47" s="991">
        <f>IFERROR(INDEX(Produccion_Lecheria_Cuentas[],MATCH(Producción_Lecheria[[#This Row],[Cuenta Contable]],Produccion_Lecheria_Cuentas[Cuenta Contable],0),2),0)</f>
        <v>0</v>
      </c>
      <c r="AF147" s="992">
        <f>IF(Producción_Lecheria[[#This Row],[Mov. Stock]]="(+)",Producción_Lecheria[[#This Row],[Cabezas]],IF(Producción_Lecheria[[#This Row],[Mov. Stock]]="(-)",-Producción_Lecheria[[#This Row],[Cabezas]],0))</f>
        <v>0</v>
      </c>
      <c r="AG147" s="993">
        <f>IFERROR(INDEX(Produccion_Lecheria_Cuentas[],MATCH(Producción_Lecheria[[#This Row],[Cuenta Contable]],Produccion_Lecheria_Cuentas[Cuenta Contable],0),5),0)</f>
        <v>0</v>
      </c>
      <c r="AH147" s="985" t="str">
        <f>IF(Producción_Lecheria[[#This Row],[Cuenta Contable]]=Configuración!$AC$9,"Si","No")</f>
        <v>No</v>
      </c>
      <c r="AI147" s="983">
        <f>IFERROR(INDEX(Tabla9[],MATCH(Producción_Lecheria[[#This Row],[Movimiento]],Tabla9[Movimientos],0),2),0)</f>
        <v>0</v>
      </c>
      <c r="AJ147" s="984">
        <f>IFERROR(INDEX(Tabla9[],MATCH(Producción_Lecheria[[#This Row],[Movimiento]],Tabla9[Movimientos],0),3),0)</f>
        <v>0</v>
      </c>
      <c r="AK147" s="981">
        <f>IF(Producción_Lecheria[[#This Row],[Fecha Económico]]=0,0,MONTH(Producción_Lecheria[[#This Row],[Fecha Económico]]))</f>
        <v>0</v>
      </c>
      <c r="AL147" s="981">
        <f>IF(Producción_Lecheria[[#This Row],[Fecha Económico]]=0,0,YEAR(Producción_Lecheria[[#This Row],[Fecha Económico]]))</f>
        <v>0</v>
      </c>
      <c r="AM147" s="985">
        <f>SUMPRODUCT((Producción_Lecheria[[#This Row],[Mes Económico]]=Tipo_Cambio[Mes])*(Producción_Lecheria[[#This Row],[Año Económico]]=Tipo_Cambio[Año])*(Tipo_Cambio[$/U$S]))</f>
        <v>0</v>
      </c>
      <c r="AN147" s="985">
        <f>SUMPRODUCT((Producción_Lecheria[[#This Row],[Mes Económico]]=Tipo_Cambio[Mes])*(Producción_Lecheria[[#This Row],[Año Económico]]=Tipo_Cambio[Año])*(Tipo_Cambio[Actualización]))</f>
        <v>0</v>
      </c>
      <c r="AO147" s="981">
        <f>IF(ISNUMBER(Producción_Lecheria[[#This Row],[Fecha Financiero]])=TRUE,MONTH(Producción_Lecheria[[#This Row],[Fecha Financiero]]),0)</f>
        <v>0</v>
      </c>
      <c r="AP147" s="981">
        <f>IF(ISNUMBER(Producción_Lecheria[[#This Row],[Fecha Financiero]])=TRUE,YEAR(Producción_Lecheria[[#This Row],[Fecha Financiero]]),0)</f>
        <v>0</v>
      </c>
      <c r="AQ147" s="985">
        <f>SUMPRODUCT((Producción_Lecheria[[#This Row],[Mes Financiero]]=Tipo_Cambio[Mes])*(Producción_Lecheria[[#This Row],[Año Financiero]]=Tipo_Cambio[Año])*(Tipo_Cambio[$/U$S]))</f>
        <v>0</v>
      </c>
      <c r="AR147" s="985">
        <f>SUMPRODUCT((Producción_Lecheria[[#This Row],[Mes Financiero]]=Tipo_Cambio[Mes])*(Producción_Lecheria[[#This Row],[Año Financiero]]=Tipo_Cambio[Año])*(Tipo_Cambio[Actualización]))</f>
        <v>0</v>
      </c>
      <c r="AS147" s="1009">
        <f>SUMPRODUCT((Producción_Lecheria[[#This Row],[Centro de Costo]]=Tabla1924[Centro de Costo])*(Tabla19[Superficie]))</f>
        <v>0</v>
      </c>
      <c r="AT147" s="994">
        <f>IFERROR(Producción_Lecheria[[#This Row],[Económico $Corrientes]]/Producción_Lecheria[[#This Row],[Superficie]],0)</f>
        <v>0</v>
      </c>
      <c r="AU147" s="994">
        <f>IFERROR(Producción_Lecheria[[#This Row],[Económico $Constantes]]/Producción_Lecheria[[#This Row],[Superficie]],0)</f>
        <v>0</v>
      </c>
      <c r="AV147" s="994">
        <f>IFERROR(Producción_Lecheria[[#This Row],[Económico U$S Dólares]]/Producción_Lecheria[[#This Row],[Superficie]],0)</f>
        <v>0</v>
      </c>
      <c r="AW147" s="992">
        <f>IF(Económico!$F$4=0,0,Producción_Lecheria[Centro de Costo])</f>
        <v>0</v>
      </c>
    </row>
    <row r="148" spans="1:16384" s="85" customFormat="1" ht="15.75" thickTop="1" x14ac:dyDescent="0.25">
      <c r="A148" s="86"/>
      <c r="B148" s="1136" t="s">
        <v>61</v>
      </c>
      <c r="C148" s="19"/>
      <c r="D148" s="579">
        <f>DATE(LEFT(Producción_Lecheria[[#This Row],[Campaña]],4)+1,6,30)</f>
        <v>43646</v>
      </c>
      <c r="E148" s="554"/>
      <c r="F148" s="556" t="str">
        <f t="shared" si="0"/>
        <v>2018-2019</v>
      </c>
      <c r="G148" s="557" t="str">
        <f t="shared" ref="G148:G159" si="13">LCH_Stock_Cierre</f>
        <v>Stock Cierre</v>
      </c>
      <c r="H148" s="551" t="s">
        <v>2</v>
      </c>
      <c r="I148" s="551" t="str">
        <f>Configuración!BM5</f>
        <v>Vaca Ordeñe</v>
      </c>
      <c r="J148" s="558"/>
      <c r="K148" s="551"/>
      <c r="L148" s="961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48" s="961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48" s="559">
        <f>SUMPRODUCT((Producción_Lecheria[[#This Row],[Centro de Costo]]=$H$5:$H$147)*(Producción_Lecheria[[#This Row],[Categoría Hacienda]]=$I$5:$I$147)*($AF$5:$AF$147))</f>
        <v>0</v>
      </c>
      <c r="O148" s="969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48" s="560">
        <f>Producción_Lecheria[[#This Row],[Cabezas]]</f>
        <v>0</v>
      </c>
      <c r="Q148" s="551"/>
      <c r="R148" s="975">
        <f>IF(ISNUMBER(Producción_Lecheria[[#This Row],[Cabezas]])=TRUE,Producción_Lecheria[[#This Row],[Cabezas]]*Producción_Lecheria[[#This Row],[Cantidad]],Producción_Lecheria[[#This Row],[Cantidad]])</f>
        <v>0</v>
      </c>
      <c r="S148" s="551"/>
      <c r="T148" s="560"/>
      <c r="U148" s="573"/>
      <c r="V148" s="996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48" s="996">
        <f>IFERROR(Producción_Lecheria[[#This Row],[Económico $Corrientes]]/Producción_Lecheria[[#This Row],[Indexación Económico]],0)</f>
        <v>0</v>
      </c>
      <c r="X148" s="997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48" s="995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48" s="996">
        <f>IFERROR(Producción_Lecheria[[#This Row],[Financiero $Corrientes]]/Producción_Lecheria[[#This Row],[Indexación Financiero]],0)</f>
        <v>0</v>
      </c>
      <c r="AA148" s="996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48" s="999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48" s="1000">
        <f>IFERROR(Producción_Lecheria[[#This Row],[Intereses $Corrientes]]/Producción_Lecheria[[#This Row],[Indexación Financiero]],0)</f>
        <v>0</v>
      </c>
      <c r="AD148" s="1000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48" s="1025" t="str">
        <f>IFERROR(INDEX(Produccion_Lecheria_Cuentas[],MATCH(Producción_Lecheria[[#This Row],[Cuenta Contable]],Produccion_Lecheria_Cuentas[Cuenta Contable],0),2),0)</f>
        <v>Stock Cierre</v>
      </c>
      <c r="AF148" s="1005">
        <f>IF(Producción_Lecheria[[#This Row],[Mov. Stock]]="(+)",Producción_Lecheria[[#This Row],[Cabezas]],IF(Producción_Lecheria[[#This Row],[Mov. Stock]]="(-)",-Producción_Lecheria[[#This Row],[Cabezas]],0))</f>
        <v>0</v>
      </c>
      <c r="AG148" s="1006" t="str">
        <f>IFERROR(INDEX(Produccion_Lecheria_Cuentas[],MATCH(Producción_Lecheria[[#This Row],[Cuenta Contable]],Produccion_Lecheria_Cuentas[Cuenta Contable],0),5),0)</f>
        <v>(-)</v>
      </c>
      <c r="AH148" s="1007" t="str">
        <f>IF(Producción_Lecheria[[#This Row],[Cuenta Contable]]=Configuración!$AC$9,"Si","No")</f>
        <v>No</v>
      </c>
      <c r="AI148" s="1005" t="str">
        <f>IFERROR(INDEX(Tabla9[],MATCH(Producción_Lecheria[[#This Row],[Movimiento]],Tabla9[Movimientos],0),2),0)</f>
        <v>No</v>
      </c>
      <c r="AJ148" s="1006" t="str">
        <f>IFERROR(INDEX(Tabla9[],MATCH(Producción_Lecheria[[#This Row],[Movimiento]],Tabla9[Movimientos],0),3),0)</f>
        <v>(+)</v>
      </c>
      <c r="AK148" s="1000">
        <f>IF(Producción_Lecheria[[#This Row],[Fecha Económico]]=0,0,MONTH(Producción_Lecheria[[#This Row],[Fecha Económico]]))</f>
        <v>6</v>
      </c>
      <c r="AL148" s="1000">
        <f>IF(Producción_Lecheria[[#This Row],[Fecha Económico]]=0,0,YEAR(Producción_Lecheria[[#This Row],[Fecha Económico]]))</f>
        <v>2019</v>
      </c>
      <c r="AM148" s="1007">
        <f>SUMPRODUCT((Producción_Lecheria[[#This Row],[Mes Económico]]=Tipo_Cambio[Mes])*(Producción_Lecheria[[#This Row],[Año Económico]]=Tipo_Cambio[Año])*(Tipo_Cambio[$/U$S]))</f>
        <v>24.544703626636963</v>
      </c>
      <c r="AN148" s="1007">
        <f>SUMPRODUCT((Producción_Lecheria[[#This Row],[Mes Económico]]=Tipo_Cambio[Mes])*(Producción_Lecheria[[#This Row],[Año Económico]]=Tipo_Cambio[Año])*(Tipo_Cambio[Actualización]))</f>
        <v>1.2433743083946525</v>
      </c>
      <c r="AO148" s="1000">
        <f>IF(ISNUMBER(Producción_Lecheria[[#This Row],[Fecha Financiero]])=TRUE,MONTH(Producción_Lecheria[[#This Row],[Fecha Financiero]]),0)</f>
        <v>0</v>
      </c>
      <c r="AP148" s="1000">
        <f>IF(ISNUMBER(Producción_Lecheria[[#This Row],[Fecha Financiero]])=TRUE,YEAR(Producción_Lecheria[[#This Row],[Fecha Financiero]]),0)</f>
        <v>0</v>
      </c>
      <c r="AQ148" s="1007">
        <f>SUMPRODUCT((Producción_Lecheria[[#This Row],[Mes Financiero]]=Tipo_Cambio[Mes])*(Producción_Lecheria[[#This Row],[Año Financiero]]=Tipo_Cambio[Año])*(Tipo_Cambio[$/U$S]))</f>
        <v>0</v>
      </c>
      <c r="AR148" s="1007">
        <f>SUMPRODUCT((Producción_Lecheria[[#This Row],[Mes Financiero]]=Tipo_Cambio[Mes])*(Producción_Lecheria[[#This Row],[Año Financiero]]=Tipo_Cambio[Año])*(Tipo_Cambio[Actualización]))</f>
        <v>0</v>
      </c>
      <c r="AS148" s="1008">
        <f>SUMPRODUCT((Producción_Lecheria[[#This Row],[Centro de Costo]]=Tabla1924[Centro de Costo])*(Tabla19[Superficie]))</f>
        <v>2356</v>
      </c>
      <c r="AT148" s="1007">
        <f>IFERROR(Producción_Lecheria[[#This Row],[Económico $Corrientes]]/Producción_Lecheria[[#This Row],[Superficie]],0)</f>
        <v>0</v>
      </c>
      <c r="AU148" s="1007">
        <f>IFERROR(Producción_Lecheria[[#This Row],[Económico $Constantes]]/Producción_Lecheria[[#This Row],[Superficie]],0)</f>
        <v>0</v>
      </c>
      <c r="AV148" s="1007">
        <f>IFERROR(Producción_Lecheria[[#This Row],[Económico U$S Dólares]]/Producción_Lecheria[[#This Row],[Superficie]],0)</f>
        <v>0</v>
      </c>
      <c r="AW148" s="1005" t="str">
        <f>IF(Económico!$F$4=0,0,Producción_Lecheria[Centro de Costo])</f>
        <v>Campo 1</v>
      </c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  <c r="BZT148"/>
      <c r="BZU148"/>
      <c r="BZV148"/>
      <c r="BZW148"/>
      <c r="BZX148"/>
      <c r="BZY148"/>
      <c r="BZZ148"/>
      <c r="CAA148"/>
      <c r="CAB148"/>
      <c r="CAC148"/>
      <c r="CAD148"/>
      <c r="CAE148"/>
      <c r="CAF148"/>
      <c r="CAG148"/>
      <c r="CAH148"/>
      <c r="CAI148"/>
      <c r="CAJ148"/>
      <c r="CAK148"/>
      <c r="CAL148"/>
      <c r="CAM148"/>
      <c r="CAN148"/>
      <c r="CAO148"/>
      <c r="CAP148"/>
      <c r="CAQ148"/>
      <c r="CAR148"/>
      <c r="CAS148"/>
      <c r="CAT148"/>
      <c r="CAU148"/>
      <c r="CAV148"/>
      <c r="CAW148"/>
      <c r="CAX148"/>
      <c r="CAY148"/>
      <c r="CAZ148"/>
      <c r="CBA148"/>
      <c r="CBB148"/>
      <c r="CBC148"/>
      <c r="CBD148"/>
      <c r="CBE148"/>
      <c r="CBF148"/>
      <c r="CBG148"/>
      <c r="CBH148"/>
      <c r="CBI148"/>
      <c r="CBJ148"/>
      <c r="CBK148"/>
      <c r="CBL148"/>
      <c r="CBM148"/>
      <c r="CBN148"/>
      <c r="CBO148"/>
      <c r="CBP148"/>
      <c r="CBQ148"/>
      <c r="CBR148"/>
      <c r="CBS148"/>
      <c r="CBT148"/>
      <c r="CBU148"/>
      <c r="CBV148"/>
      <c r="CBW148"/>
      <c r="CBX148"/>
      <c r="CBY148"/>
      <c r="CBZ148"/>
      <c r="CCA148"/>
      <c r="CCB148"/>
      <c r="CCC148"/>
      <c r="CCD148"/>
      <c r="CCE148"/>
      <c r="CCF148"/>
      <c r="CCG148"/>
      <c r="CCH148"/>
      <c r="CCI148"/>
      <c r="CCJ148"/>
      <c r="CCK148"/>
      <c r="CCL148"/>
      <c r="CCM148"/>
      <c r="CCN148"/>
      <c r="CCO148"/>
      <c r="CCP148"/>
      <c r="CCQ148"/>
      <c r="CCR148"/>
      <c r="CCS148"/>
      <c r="CCT148"/>
      <c r="CCU148"/>
      <c r="CCV148"/>
      <c r="CCW148"/>
      <c r="CCX148"/>
      <c r="CCY148"/>
      <c r="CCZ148"/>
      <c r="CDA148"/>
      <c r="CDB148"/>
      <c r="CDC148"/>
      <c r="CDD148"/>
      <c r="CDE148"/>
      <c r="CDF148"/>
      <c r="CDG148"/>
      <c r="CDH148"/>
      <c r="CDI148"/>
      <c r="CDJ148"/>
      <c r="CDK148"/>
      <c r="CDL148"/>
      <c r="CDM148"/>
      <c r="CDN148"/>
      <c r="CDO148"/>
      <c r="CDP148"/>
      <c r="CDQ148"/>
      <c r="CDR148"/>
      <c r="CDS148"/>
      <c r="CDT148"/>
      <c r="CDU148"/>
      <c r="CDV148"/>
      <c r="CDW148"/>
      <c r="CDX148"/>
      <c r="CDY148"/>
      <c r="CDZ148"/>
      <c r="CEA148"/>
      <c r="CEB148"/>
      <c r="CEC148"/>
      <c r="CED148"/>
      <c r="CEE148"/>
      <c r="CEF148"/>
      <c r="CEG148"/>
      <c r="CEH148"/>
      <c r="CEI148"/>
      <c r="CEJ148"/>
      <c r="CEK148"/>
      <c r="CEL148"/>
      <c r="CEM148"/>
      <c r="CEN148"/>
      <c r="CEO148"/>
      <c r="CEP148"/>
      <c r="CEQ148"/>
      <c r="CER148"/>
      <c r="CES148"/>
      <c r="CET148"/>
      <c r="CEU148"/>
      <c r="CEV148"/>
      <c r="CEW148"/>
      <c r="CEX148"/>
      <c r="CEY148"/>
      <c r="CEZ148"/>
      <c r="CFA148"/>
      <c r="CFB148"/>
      <c r="CFC148"/>
      <c r="CFD148"/>
      <c r="CFE148"/>
      <c r="CFF148"/>
      <c r="CFG148"/>
      <c r="CFH148"/>
      <c r="CFI148"/>
      <c r="CFJ148"/>
      <c r="CFK148"/>
      <c r="CFL148"/>
      <c r="CFM148"/>
      <c r="CFN148"/>
      <c r="CFO148"/>
      <c r="CFP148"/>
      <c r="CFQ148"/>
      <c r="CFR148"/>
      <c r="CFS148"/>
      <c r="CFT148"/>
      <c r="CFU148"/>
      <c r="CFV148"/>
      <c r="CFW148"/>
      <c r="CFX148"/>
      <c r="CFY148"/>
      <c r="CFZ148"/>
      <c r="CGA148"/>
      <c r="CGB148"/>
      <c r="CGC148"/>
      <c r="CGD148"/>
      <c r="CGE148"/>
      <c r="CGF148"/>
      <c r="CGG148"/>
      <c r="CGH148"/>
      <c r="CGI148"/>
      <c r="CGJ148"/>
      <c r="CGK148"/>
      <c r="CGL148"/>
      <c r="CGM148"/>
      <c r="CGN148"/>
      <c r="CGO148"/>
      <c r="CGP148"/>
      <c r="CGQ148"/>
      <c r="CGR148"/>
      <c r="CGS148"/>
      <c r="CGT148"/>
      <c r="CGU148"/>
      <c r="CGV148"/>
      <c r="CGW148"/>
      <c r="CGX148"/>
      <c r="CGY148"/>
      <c r="CGZ148"/>
      <c r="CHA148"/>
      <c r="CHB148"/>
      <c r="CHC148"/>
      <c r="CHD148"/>
      <c r="CHE148"/>
      <c r="CHF148"/>
      <c r="CHG148"/>
      <c r="CHH148"/>
      <c r="CHI148"/>
      <c r="CHJ148"/>
      <c r="CHK148"/>
      <c r="CHL148"/>
      <c r="CHM148"/>
      <c r="CHN148"/>
      <c r="CHO148"/>
      <c r="CHP148"/>
      <c r="CHQ148"/>
      <c r="CHR148"/>
      <c r="CHS148"/>
      <c r="CHT148"/>
      <c r="CHU148"/>
      <c r="CHV148"/>
      <c r="CHW148"/>
      <c r="CHX148"/>
      <c r="CHY148"/>
      <c r="CHZ148"/>
      <c r="CIA148"/>
      <c r="CIB148"/>
      <c r="CIC148"/>
      <c r="CID148"/>
      <c r="CIE148"/>
      <c r="CIF148"/>
      <c r="CIG148"/>
      <c r="CIH148"/>
      <c r="CII148"/>
      <c r="CIJ148"/>
      <c r="CIK148"/>
      <c r="CIL148"/>
      <c r="CIM148"/>
      <c r="CIN148"/>
      <c r="CIO148"/>
      <c r="CIP148"/>
      <c r="CIQ148"/>
      <c r="CIR148"/>
      <c r="CIS148"/>
      <c r="CIT148"/>
      <c r="CIU148"/>
      <c r="CIV148"/>
      <c r="CIW148"/>
      <c r="CIX148"/>
      <c r="CIY148"/>
      <c r="CIZ148"/>
      <c r="CJA148"/>
      <c r="CJB148"/>
      <c r="CJC148"/>
      <c r="CJD148"/>
      <c r="CJE148"/>
      <c r="CJF148"/>
      <c r="CJG148"/>
      <c r="CJH148"/>
      <c r="CJI148"/>
      <c r="CJJ148"/>
      <c r="CJK148"/>
      <c r="CJL148"/>
      <c r="CJM148"/>
      <c r="CJN148"/>
      <c r="CJO148"/>
      <c r="CJP148"/>
      <c r="CJQ148"/>
      <c r="CJR148"/>
      <c r="CJS148"/>
      <c r="CJT148"/>
      <c r="CJU148"/>
      <c r="CJV148"/>
      <c r="CJW148"/>
      <c r="CJX148"/>
      <c r="CJY148"/>
      <c r="CJZ148"/>
      <c r="CKA148"/>
      <c r="CKB148"/>
      <c r="CKC148"/>
      <c r="CKD148"/>
      <c r="CKE148"/>
      <c r="CKF148"/>
      <c r="CKG148"/>
      <c r="CKH148"/>
      <c r="CKI148"/>
      <c r="CKJ148"/>
      <c r="CKK148"/>
      <c r="CKL148"/>
      <c r="CKM148"/>
      <c r="CKN148"/>
      <c r="CKO148"/>
      <c r="CKP148"/>
      <c r="CKQ148"/>
      <c r="CKR148"/>
      <c r="CKS148"/>
      <c r="CKT148"/>
      <c r="CKU148"/>
      <c r="CKV148"/>
      <c r="CKW148"/>
      <c r="CKX148"/>
      <c r="CKY148"/>
      <c r="CKZ148"/>
      <c r="CLA148"/>
      <c r="CLB148"/>
      <c r="CLC148"/>
      <c r="CLD148"/>
      <c r="CLE148"/>
      <c r="CLF148"/>
      <c r="CLG148"/>
      <c r="CLH148"/>
      <c r="CLI148"/>
      <c r="CLJ148"/>
      <c r="CLK148"/>
      <c r="CLL148"/>
      <c r="CLM148"/>
      <c r="CLN148"/>
      <c r="CLO148"/>
      <c r="CLP148"/>
      <c r="CLQ148"/>
      <c r="CLR148"/>
      <c r="CLS148"/>
      <c r="CLT148"/>
      <c r="CLU148"/>
      <c r="CLV148"/>
      <c r="CLW148"/>
      <c r="CLX148"/>
      <c r="CLY148"/>
      <c r="CLZ148"/>
      <c r="CMA148"/>
      <c r="CMB148"/>
      <c r="CMC148"/>
      <c r="CMD148"/>
      <c r="CME148"/>
      <c r="CMF148"/>
      <c r="CMG148"/>
      <c r="CMH148"/>
      <c r="CMI148"/>
      <c r="CMJ148"/>
      <c r="CMK148"/>
      <c r="CML148"/>
      <c r="CMM148"/>
      <c r="CMN148"/>
      <c r="CMO148"/>
      <c r="CMP148"/>
      <c r="CMQ148"/>
      <c r="CMR148"/>
      <c r="CMS148"/>
      <c r="CMT148"/>
      <c r="CMU148"/>
      <c r="CMV148"/>
      <c r="CMW148"/>
      <c r="CMX148"/>
      <c r="CMY148"/>
      <c r="CMZ148"/>
      <c r="CNA148"/>
      <c r="CNB148"/>
      <c r="CNC148"/>
      <c r="CND148"/>
      <c r="CNE148"/>
      <c r="CNF148"/>
      <c r="CNG148"/>
      <c r="CNH148"/>
      <c r="CNI148"/>
      <c r="CNJ148"/>
      <c r="CNK148"/>
      <c r="CNL148"/>
      <c r="CNM148"/>
      <c r="CNN148"/>
      <c r="CNO148"/>
      <c r="CNP148"/>
      <c r="CNQ148"/>
      <c r="CNR148"/>
      <c r="CNS148"/>
      <c r="CNT148"/>
      <c r="CNU148"/>
      <c r="CNV148"/>
      <c r="CNW148"/>
      <c r="CNX148"/>
      <c r="CNY148"/>
      <c r="CNZ148"/>
      <c r="COA148"/>
      <c r="COB148"/>
      <c r="COC148"/>
      <c r="COD148"/>
      <c r="COE148"/>
      <c r="COF148"/>
      <c r="COG148"/>
      <c r="COH148"/>
      <c r="COI148"/>
      <c r="COJ148"/>
      <c r="COK148"/>
      <c r="COL148"/>
      <c r="COM148"/>
      <c r="CON148"/>
      <c r="COO148"/>
      <c r="COP148"/>
      <c r="COQ148"/>
      <c r="COR148"/>
      <c r="COS148"/>
      <c r="COT148"/>
      <c r="COU148"/>
      <c r="COV148"/>
      <c r="COW148"/>
      <c r="COX148"/>
      <c r="COY148"/>
      <c r="COZ148"/>
      <c r="CPA148"/>
      <c r="CPB148"/>
      <c r="CPC148"/>
      <c r="CPD148"/>
      <c r="CPE148"/>
      <c r="CPF148"/>
      <c r="CPG148"/>
      <c r="CPH148"/>
      <c r="CPI148"/>
      <c r="CPJ148"/>
      <c r="CPK148"/>
      <c r="CPL148"/>
      <c r="CPM148"/>
      <c r="CPN148"/>
      <c r="CPO148"/>
      <c r="CPP148"/>
      <c r="CPQ148"/>
      <c r="CPR148"/>
      <c r="CPS148"/>
      <c r="CPT148"/>
      <c r="CPU148"/>
      <c r="CPV148"/>
      <c r="CPW148"/>
      <c r="CPX148"/>
      <c r="CPY148"/>
      <c r="CPZ148"/>
      <c r="CQA148"/>
      <c r="CQB148"/>
      <c r="CQC148"/>
      <c r="CQD148"/>
      <c r="CQE148"/>
      <c r="CQF148"/>
      <c r="CQG148"/>
      <c r="CQH148"/>
      <c r="CQI148"/>
      <c r="CQJ148"/>
      <c r="CQK148"/>
      <c r="CQL148"/>
      <c r="CQM148"/>
      <c r="CQN148"/>
      <c r="CQO148"/>
      <c r="CQP148"/>
      <c r="CQQ148"/>
      <c r="CQR148"/>
      <c r="CQS148"/>
      <c r="CQT148"/>
      <c r="CQU148"/>
      <c r="CQV148"/>
      <c r="CQW148"/>
      <c r="CQX148"/>
      <c r="CQY148"/>
      <c r="CQZ148"/>
      <c r="CRA148"/>
      <c r="CRB148"/>
      <c r="CRC148"/>
      <c r="CRD148"/>
      <c r="CRE148"/>
      <c r="CRF148"/>
      <c r="CRG148"/>
      <c r="CRH148"/>
      <c r="CRI148"/>
      <c r="CRJ148"/>
      <c r="CRK148"/>
      <c r="CRL148"/>
      <c r="CRM148"/>
      <c r="CRN148"/>
      <c r="CRO148"/>
      <c r="CRP148"/>
      <c r="CRQ148"/>
      <c r="CRR148"/>
      <c r="CRS148"/>
      <c r="CRT148"/>
      <c r="CRU148"/>
      <c r="CRV148"/>
      <c r="CRW148"/>
      <c r="CRX148"/>
      <c r="CRY148"/>
      <c r="CRZ148"/>
      <c r="CSA148"/>
      <c r="CSB148"/>
      <c r="CSC148"/>
      <c r="CSD148"/>
      <c r="CSE148"/>
      <c r="CSF148"/>
      <c r="CSG148"/>
      <c r="CSH148"/>
      <c r="CSI148"/>
      <c r="CSJ148"/>
      <c r="CSK148"/>
      <c r="CSL148"/>
      <c r="CSM148"/>
      <c r="CSN148"/>
      <c r="CSO148"/>
      <c r="CSP148"/>
      <c r="CSQ148"/>
      <c r="CSR148"/>
      <c r="CSS148"/>
      <c r="CST148"/>
      <c r="CSU148"/>
      <c r="CSV148"/>
      <c r="CSW148"/>
      <c r="CSX148"/>
      <c r="CSY148"/>
      <c r="CSZ148"/>
      <c r="CTA148"/>
      <c r="CTB148"/>
      <c r="CTC148"/>
      <c r="CTD148"/>
      <c r="CTE148"/>
      <c r="CTF148"/>
      <c r="CTG148"/>
      <c r="CTH148"/>
      <c r="CTI148"/>
      <c r="CTJ148"/>
      <c r="CTK148"/>
      <c r="CTL148"/>
      <c r="CTM148"/>
      <c r="CTN148"/>
      <c r="CTO148"/>
      <c r="CTP148"/>
      <c r="CTQ148"/>
      <c r="CTR148"/>
      <c r="CTS148"/>
      <c r="CTT148"/>
      <c r="CTU148"/>
      <c r="CTV148"/>
      <c r="CTW148"/>
      <c r="CTX148"/>
      <c r="CTY148"/>
      <c r="CTZ148"/>
      <c r="CUA148"/>
      <c r="CUB148"/>
      <c r="CUC148"/>
      <c r="CUD148"/>
      <c r="CUE148"/>
      <c r="CUF148"/>
      <c r="CUG148"/>
      <c r="CUH148"/>
      <c r="CUI148"/>
      <c r="CUJ148"/>
      <c r="CUK148"/>
      <c r="CUL148"/>
      <c r="CUM148"/>
      <c r="CUN148"/>
      <c r="CUO148"/>
      <c r="CUP148"/>
      <c r="CUQ148"/>
      <c r="CUR148"/>
      <c r="CUS148"/>
      <c r="CUT148"/>
      <c r="CUU148"/>
      <c r="CUV148"/>
      <c r="CUW148"/>
      <c r="CUX148"/>
      <c r="CUY148"/>
      <c r="CUZ148"/>
      <c r="CVA148"/>
      <c r="CVB148"/>
      <c r="CVC148"/>
      <c r="CVD148"/>
      <c r="CVE148"/>
      <c r="CVF148"/>
      <c r="CVG148"/>
      <c r="CVH148"/>
      <c r="CVI148"/>
      <c r="CVJ148"/>
      <c r="CVK148"/>
      <c r="CVL148"/>
      <c r="CVM148"/>
      <c r="CVN148"/>
      <c r="CVO148"/>
      <c r="CVP148"/>
      <c r="CVQ148"/>
      <c r="CVR148"/>
      <c r="CVS148"/>
      <c r="CVT148"/>
      <c r="CVU148"/>
      <c r="CVV148"/>
      <c r="CVW148"/>
      <c r="CVX148"/>
      <c r="CVY148"/>
      <c r="CVZ148"/>
      <c r="CWA148"/>
      <c r="CWB148"/>
      <c r="CWC148"/>
      <c r="CWD148"/>
      <c r="CWE148"/>
      <c r="CWF148"/>
      <c r="CWG148"/>
      <c r="CWH148"/>
      <c r="CWI148"/>
      <c r="CWJ148"/>
      <c r="CWK148"/>
      <c r="CWL148"/>
      <c r="CWM148"/>
      <c r="CWN148"/>
      <c r="CWO148"/>
      <c r="CWP148"/>
      <c r="CWQ148"/>
      <c r="CWR148"/>
      <c r="CWS148"/>
      <c r="CWT148"/>
      <c r="CWU148"/>
      <c r="CWV148"/>
      <c r="CWW148"/>
      <c r="CWX148"/>
      <c r="CWY148"/>
      <c r="CWZ148"/>
      <c r="CXA148"/>
      <c r="CXB148"/>
      <c r="CXC148"/>
      <c r="CXD148"/>
      <c r="CXE148"/>
      <c r="CXF148"/>
      <c r="CXG148"/>
      <c r="CXH148"/>
      <c r="CXI148"/>
      <c r="CXJ148"/>
      <c r="CXK148"/>
      <c r="CXL148"/>
      <c r="CXM148"/>
      <c r="CXN148"/>
      <c r="CXO148"/>
      <c r="CXP148"/>
      <c r="CXQ148"/>
      <c r="CXR148"/>
      <c r="CXS148"/>
      <c r="CXT148"/>
      <c r="CXU148"/>
      <c r="CXV148"/>
      <c r="CXW148"/>
      <c r="CXX148"/>
      <c r="CXY148"/>
      <c r="CXZ148"/>
      <c r="CYA148"/>
      <c r="CYB148"/>
      <c r="CYC148"/>
      <c r="CYD148"/>
      <c r="CYE148"/>
      <c r="CYF148"/>
      <c r="CYG148"/>
      <c r="CYH148"/>
      <c r="CYI148"/>
      <c r="CYJ148"/>
      <c r="CYK148"/>
      <c r="CYL148"/>
      <c r="CYM148"/>
      <c r="CYN148"/>
      <c r="CYO148"/>
      <c r="CYP148"/>
      <c r="CYQ148"/>
      <c r="CYR148"/>
      <c r="CYS148"/>
      <c r="CYT148"/>
      <c r="CYU148"/>
      <c r="CYV148"/>
      <c r="CYW148"/>
      <c r="CYX148"/>
      <c r="CYY148"/>
      <c r="CYZ148"/>
      <c r="CZA148"/>
      <c r="CZB148"/>
      <c r="CZC148"/>
      <c r="CZD148"/>
      <c r="CZE148"/>
      <c r="CZF148"/>
      <c r="CZG148"/>
      <c r="CZH148"/>
      <c r="CZI148"/>
      <c r="CZJ148"/>
      <c r="CZK148"/>
      <c r="CZL148"/>
      <c r="CZM148"/>
      <c r="CZN148"/>
      <c r="CZO148"/>
      <c r="CZP148"/>
      <c r="CZQ148"/>
      <c r="CZR148"/>
      <c r="CZS148"/>
      <c r="CZT148"/>
      <c r="CZU148"/>
      <c r="CZV148"/>
      <c r="CZW148"/>
      <c r="CZX148"/>
      <c r="CZY148"/>
      <c r="CZZ148"/>
      <c r="DAA148"/>
      <c r="DAB148"/>
      <c r="DAC148"/>
      <c r="DAD148"/>
      <c r="DAE148"/>
      <c r="DAF148"/>
      <c r="DAG148"/>
      <c r="DAH148"/>
      <c r="DAI148"/>
      <c r="DAJ148"/>
      <c r="DAK148"/>
      <c r="DAL148"/>
      <c r="DAM148"/>
      <c r="DAN148"/>
      <c r="DAO148"/>
      <c r="DAP148"/>
      <c r="DAQ148"/>
      <c r="DAR148"/>
      <c r="DAS148"/>
      <c r="DAT148"/>
      <c r="DAU148"/>
      <c r="DAV148"/>
      <c r="DAW148"/>
      <c r="DAX148"/>
      <c r="DAY148"/>
      <c r="DAZ148"/>
      <c r="DBA148"/>
      <c r="DBB148"/>
      <c r="DBC148"/>
      <c r="DBD148"/>
      <c r="DBE148"/>
      <c r="DBF148"/>
      <c r="DBG148"/>
      <c r="DBH148"/>
      <c r="DBI148"/>
      <c r="DBJ148"/>
      <c r="DBK148"/>
      <c r="DBL148"/>
      <c r="DBM148"/>
      <c r="DBN148"/>
      <c r="DBO148"/>
      <c r="DBP148"/>
      <c r="DBQ148"/>
      <c r="DBR148"/>
      <c r="DBS148"/>
      <c r="DBT148"/>
      <c r="DBU148"/>
      <c r="DBV148"/>
      <c r="DBW148"/>
      <c r="DBX148"/>
      <c r="DBY148"/>
      <c r="DBZ148"/>
      <c r="DCA148"/>
      <c r="DCB148"/>
      <c r="DCC148"/>
      <c r="DCD148"/>
      <c r="DCE148"/>
      <c r="DCF148"/>
      <c r="DCG148"/>
      <c r="DCH148"/>
      <c r="DCI148"/>
      <c r="DCJ148"/>
      <c r="DCK148"/>
      <c r="DCL148"/>
      <c r="DCM148"/>
      <c r="DCN148"/>
      <c r="DCO148"/>
      <c r="DCP148"/>
      <c r="DCQ148"/>
      <c r="DCR148"/>
      <c r="DCS148"/>
      <c r="DCT148"/>
      <c r="DCU148"/>
      <c r="DCV148"/>
      <c r="DCW148"/>
      <c r="DCX148"/>
      <c r="DCY148"/>
      <c r="DCZ148"/>
      <c r="DDA148"/>
      <c r="DDB148"/>
      <c r="DDC148"/>
      <c r="DDD148"/>
      <c r="DDE148"/>
      <c r="DDF148"/>
      <c r="DDG148"/>
      <c r="DDH148"/>
      <c r="DDI148"/>
      <c r="DDJ148"/>
      <c r="DDK148"/>
      <c r="DDL148"/>
      <c r="DDM148"/>
      <c r="DDN148"/>
      <c r="DDO148"/>
      <c r="DDP148"/>
      <c r="DDQ148"/>
      <c r="DDR148"/>
      <c r="DDS148"/>
      <c r="DDT148"/>
      <c r="DDU148"/>
      <c r="DDV148"/>
      <c r="DDW148"/>
      <c r="DDX148"/>
      <c r="DDY148"/>
      <c r="DDZ148"/>
      <c r="DEA148"/>
      <c r="DEB148"/>
      <c r="DEC148"/>
      <c r="DED148"/>
      <c r="DEE148"/>
      <c r="DEF148"/>
      <c r="DEG148"/>
      <c r="DEH148"/>
      <c r="DEI148"/>
      <c r="DEJ148"/>
      <c r="DEK148"/>
      <c r="DEL148"/>
      <c r="DEM148"/>
      <c r="DEN148"/>
      <c r="DEO148"/>
      <c r="DEP148"/>
      <c r="DEQ148"/>
      <c r="DER148"/>
      <c r="DES148"/>
      <c r="DET148"/>
      <c r="DEU148"/>
      <c r="DEV148"/>
      <c r="DEW148"/>
      <c r="DEX148"/>
      <c r="DEY148"/>
      <c r="DEZ148"/>
      <c r="DFA148"/>
      <c r="DFB148"/>
      <c r="DFC148"/>
      <c r="DFD148"/>
      <c r="DFE148"/>
      <c r="DFF148"/>
      <c r="DFG148"/>
      <c r="DFH148"/>
      <c r="DFI148"/>
      <c r="DFJ148"/>
      <c r="DFK148"/>
      <c r="DFL148"/>
      <c r="DFM148"/>
      <c r="DFN148"/>
      <c r="DFO148"/>
      <c r="DFP148"/>
      <c r="DFQ148"/>
      <c r="DFR148"/>
      <c r="DFS148"/>
      <c r="DFT148"/>
      <c r="DFU148"/>
      <c r="DFV148"/>
      <c r="DFW148"/>
      <c r="DFX148"/>
      <c r="DFY148"/>
      <c r="DFZ148"/>
      <c r="DGA148"/>
      <c r="DGB148"/>
      <c r="DGC148"/>
      <c r="DGD148"/>
      <c r="DGE148"/>
      <c r="DGF148"/>
      <c r="DGG148"/>
      <c r="DGH148"/>
      <c r="DGI148"/>
      <c r="DGJ148"/>
      <c r="DGK148"/>
      <c r="DGL148"/>
      <c r="DGM148"/>
      <c r="DGN148"/>
      <c r="DGO148"/>
      <c r="DGP148"/>
      <c r="DGQ148"/>
      <c r="DGR148"/>
      <c r="DGS148"/>
      <c r="DGT148"/>
      <c r="DGU148"/>
      <c r="DGV148"/>
      <c r="DGW148"/>
      <c r="DGX148"/>
      <c r="DGY148"/>
      <c r="DGZ148"/>
      <c r="DHA148"/>
      <c r="DHB148"/>
      <c r="DHC148"/>
      <c r="DHD148"/>
      <c r="DHE148"/>
      <c r="DHF148"/>
      <c r="DHG148"/>
      <c r="DHH148"/>
      <c r="DHI148"/>
      <c r="DHJ148"/>
      <c r="DHK148"/>
      <c r="DHL148"/>
      <c r="DHM148"/>
      <c r="DHN148"/>
      <c r="DHO148"/>
      <c r="DHP148"/>
      <c r="DHQ148"/>
      <c r="DHR148"/>
      <c r="DHS148"/>
      <c r="DHT148"/>
      <c r="DHU148"/>
      <c r="DHV148"/>
      <c r="DHW148"/>
      <c r="DHX148"/>
      <c r="DHY148"/>
      <c r="DHZ148"/>
      <c r="DIA148"/>
      <c r="DIB148"/>
      <c r="DIC148"/>
      <c r="DID148"/>
      <c r="DIE148"/>
      <c r="DIF148"/>
      <c r="DIG148"/>
      <c r="DIH148"/>
      <c r="DII148"/>
      <c r="DIJ148"/>
      <c r="DIK148"/>
      <c r="DIL148"/>
      <c r="DIM148"/>
      <c r="DIN148"/>
      <c r="DIO148"/>
      <c r="DIP148"/>
      <c r="DIQ148"/>
      <c r="DIR148"/>
      <c r="DIS148"/>
      <c r="DIT148"/>
      <c r="DIU148"/>
      <c r="DIV148"/>
      <c r="DIW148"/>
      <c r="DIX148"/>
      <c r="DIY148"/>
      <c r="DIZ148"/>
      <c r="DJA148"/>
      <c r="DJB148"/>
      <c r="DJC148"/>
      <c r="DJD148"/>
      <c r="DJE148"/>
      <c r="DJF148"/>
      <c r="DJG148"/>
      <c r="DJH148"/>
      <c r="DJI148"/>
      <c r="DJJ148"/>
      <c r="DJK148"/>
      <c r="DJL148"/>
      <c r="DJM148"/>
      <c r="DJN148"/>
      <c r="DJO148"/>
      <c r="DJP148"/>
      <c r="DJQ148"/>
      <c r="DJR148"/>
      <c r="DJS148"/>
      <c r="DJT148"/>
      <c r="DJU148"/>
      <c r="DJV148"/>
      <c r="DJW148"/>
      <c r="DJX148"/>
      <c r="DJY148"/>
      <c r="DJZ148"/>
      <c r="DKA148"/>
      <c r="DKB148"/>
      <c r="DKC148"/>
      <c r="DKD148"/>
      <c r="DKE148"/>
      <c r="DKF148"/>
      <c r="DKG148"/>
      <c r="DKH148"/>
      <c r="DKI148"/>
      <c r="DKJ148"/>
      <c r="DKK148"/>
      <c r="DKL148"/>
      <c r="DKM148"/>
      <c r="DKN148"/>
      <c r="DKO148"/>
      <c r="DKP148"/>
      <c r="DKQ148"/>
      <c r="DKR148"/>
      <c r="DKS148"/>
      <c r="DKT148"/>
      <c r="DKU148"/>
      <c r="DKV148"/>
      <c r="DKW148"/>
      <c r="DKX148"/>
      <c r="DKY148"/>
      <c r="DKZ148"/>
      <c r="DLA148"/>
      <c r="DLB148"/>
      <c r="DLC148"/>
      <c r="DLD148"/>
      <c r="DLE148"/>
      <c r="DLF148"/>
      <c r="DLG148"/>
      <c r="DLH148"/>
      <c r="DLI148"/>
      <c r="DLJ148"/>
      <c r="DLK148"/>
      <c r="DLL148"/>
      <c r="DLM148"/>
      <c r="DLN148"/>
      <c r="DLO148"/>
      <c r="DLP148"/>
      <c r="DLQ148"/>
      <c r="DLR148"/>
      <c r="DLS148"/>
      <c r="DLT148"/>
      <c r="DLU148"/>
      <c r="DLV148"/>
      <c r="DLW148"/>
      <c r="DLX148"/>
      <c r="DLY148"/>
      <c r="DLZ148"/>
      <c r="DMA148"/>
      <c r="DMB148"/>
      <c r="DMC148"/>
      <c r="DMD148"/>
      <c r="DME148"/>
      <c r="DMF148"/>
      <c r="DMG148"/>
      <c r="DMH148"/>
      <c r="DMI148"/>
      <c r="DMJ148"/>
      <c r="DMK148"/>
      <c r="DML148"/>
      <c r="DMM148"/>
      <c r="DMN148"/>
      <c r="DMO148"/>
      <c r="DMP148"/>
      <c r="DMQ148"/>
      <c r="DMR148"/>
      <c r="DMS148"/>
      <c r="DMT148"/>
      <c r="DMU148"/>
      <c r="DMV148"/>
      <c r="DMW148"/>
      <c r="DMX148"/>
      <c r="DMY148"/>
      <c r="DMZ148"/>
      <c r="DNA148"/>
      <c r="DNB148"/>
      <c r="DNC148"/>
      <c r="DND148"/>
      <c r="DNE148"/>
      <c r="DNF148"/>
      <c r="DNG148"/>
      <c r="DNH148"/>
      <c r="DNI148"/>
      <c r="DNJ148"/>
      <c r="DNK148"/>
      <c r="DNL148"/>
      <c r="DNM148"/>
      <c r="DNN148"/>
      <c r="DNO148"/>
      <c r="DNP148"/>
      <c r="DNQ148"/>
      <c r="DNR148"/>
      <c r="DNS148"/>
      <c r="DNT148"/>
      <c r="DNU148"/>
      <c r="DNV148"/>
      <c r="DNW148"/>
      <c r="DNX148"/>
      <c r="DNY148"/>
      <c r="DNZ148"/>
      <c r="DOA148"/>
      <c r="DOB148"/>
      <c r="DOC148"/>
      <c r="DOD148"/>
      <c r="DOE148"/>
      <c r="DOF148"/>
      <c r="DOG148"/>
      <c r="DOH148"/>
      <c r="DOI148"/>
      <c r="DOJ148"/>
      <c r="DOK148"/>
      <c r="DOL148"/>
      <c r="DOM148"/>
      <c r="DON148"/>
      <c r="DOO148"/>
      <c r="DOP148"/>
      <c r="DOQ148"/>
      <c r="DOR148"/>
      <c r="DOS148"/>
      <c r="DOT148"/>
      <c r="DOU148"/>
      <c r="DOV148"/>
      <c r="DOW148"/>
      <c r="DOX148"/>
      <c r="DOY148"/>
      <c r="DOZ148"/>
      <c r="DPA148"/>
      <c r="DPB148"/>
      <c r="DPC148"/>
      <c r="DPD148"/>
      <c r="DPE148"/>
      <c r="DPF148"/>
      <c r="DPG148"/>
      <c r="DPH148"/>
      <c r="DPI148"/>
      <c r="DPJ148"/>
      <c r="DPK148"/>
      <c r="DPL148"/>
      <c r="DPM148"/>
      <c r="DPN148"/>
      <c r="DPO148"/>
      <c r="DPP148"/>
      <c r="DPQ148"/>
      <c r="DPR148"/>
      <c r="DPS148"/>
      <c r="DPT148"/>
      <c r="DPU148"/>
      <c r="DPV148"/>
      <c r="DPW148"/>
      <c r="DPX148"/>
      <c r="DPY148"/>
      <c r="DPZ148"/>
      <c r="DQA148"/>
      <c r="DQB148"/>
      <c r="DQC148"/>
      <c r="DQD148"/>
      <c r="DQE148"/>
      <c r="DQF148"/>
      <c r="DQG148"/>
      <c r="DQH148"/>
      <c r="DQI148"/>
      <c r="DQJ148"/>
      <c r="DQK148"/>
      <c r="DQL148"/>
      <c r="DQM148"/>
      <c r="DQN148"/>
      <c r="DQO148"/>
      <c r="DQP148"/>
      <c r="DQQ148"/>
      <c r="DQR148"/>
      <c r="DQS148"/>
      <c r="DQT148"/>
      <c r="DQU148"/>
      <c r="DQV148"/>
      <c r="DQW148"/>
      <c r="DQX148"/>
      <c r="DQY148"/>
      <c r="DQZ148"/>
      <c r="DRA148"/>
      <c r="DRB148"/>
      <c r="DRC148"/>
      <c r="DRD148"/>
      <c r="DRE148"/>
      <c r="DRF148"/>
      <c r="DRG148"/>
      <c r="DRH148"/>
      <c r="DRI148"/>
      <c r="DRJ148"/>
      <c r="DRK148"/>
      <c r="DRL148"/>
      <c r="DRM148"/>
      <c r="DRN148"/>
      <c r="DRO148"/>
      <c r="DRP148"/>
      <c r="DRQ148"/>
      <c r="DRR148"/>
      <c r="DRS148"/>
      <c r="DRT148"/>
      <c r="DRU148"/>
      <c r="DRV148"/>
      <c r="DRW148"/>
      <c r="DRX148"/>
      <c r="DRY148"/>
      <c r="DRZ148"/>
      <c r="DSA148"/>
      <c r="DSB148"/>
      <c r="DSC148"/>
      <c r="DSD148"/>
      <c r="DSE148"/>
      <c r="DSF148"/>
      <c r="DSG148"/>
      <c r="DSH148"/>
      <c r="DSI148"/>
      <c r="DSJ148"/>
      <c r="DSK148"/>
      <c r="DSL148"/>
      <c r="DSM148"/>
      <c r="DSN148"/>
      <c r="DSO148"/>
      <c r="DSP148"/>
      <c r="DSQ148"/>
      <c r="DSR148"/>
      <c r="DSS148"/>
      <c r="DST148"/>
      <c r="DSU148"/>
      <c r="DSV148"/>
      <c r="DSW148"/>
      <c r="DSX148"/>
      <c r="DSY148"/>
      <c r="DSZ148"/>
      <c r="DTA148"/>
      <c r="DTB148"/>
      <c r="DTC148"/>
      <c r="DTD148"/>
      <c r="DTE148"/>
      <c r="DTF148"/>
      <c r="DTG148"/>
      <c r="DTH148"/>
      <c r="DTI148"/>
      <c r="DTJ148"/>
      <c r="DTK148"/>
      <c r="DTL148"/>
      <c r="DTM148"/>
      <c r="DTN148"/>
      <c r="DTO148"/>
      <c r="DTP148"/>
      <c r="DTQ148"/>
      <c r="DTR148"/>
      <c r="DTS148"/>
      <c r="DTT148"/>
      <c r="DTU148"/>
      <c r="DTV148"/>
      <c r="DTW148"/>
      <c r="DTX148"/>
      <c r="DTY148"/>
      <c r="DTZ148"/>
      <c r="DUA148"/>
      <c r="DUB148"/>
      <c r="DUC148"/>
      <c r="DUD148"/>
      <c r="DUE148"/>
      <c r="DUF148"/>
      <c r="DUG148"/>
      <c r="DUH148"/>
      <c r="DUI148"/>
      <c r="DUJ148"/>
      <c r="DUK148"/>
      <c r="DUL148"/>
      <c r="DUM148"/>
      <c r="DUN148"/>
      <c r="DUO148"/>
      <c r="DUP148"/>
      <c r="DUQ148"/>
      <c r="DUR148"/>
      <c r="DUS148"/>
      <c r="DUT148"/>
      <c r="DUU148"/>
      <c r="DUV148"/>
      <c r="DUW148"/>
      <c r="DUX148"/>
      <c r="DUY148"/>
      <c r="DUZ148"/>
      <c r="DVA148"/>
      <c r="DVB148"/>
      <c r="DVC148"/>
      <c r="DVD148"/>
      <c r="DVE148"/>
      <c r="DVF148"/>
      <c r="DVG148"/>
      <c r="DVH148"/>
      <c r="DVI148"/>
      <c r="DVJ148"/>
      <c r="DVK148"/>
      <c r="DVL148"/>
      <c r="DVM148"/>
      <c r="DVN148"/>
      <c r="DVO148"/>
      <c r="DVP148"/>
      <c r="DVQ148"/>
      <c r="DVR148"/>
      <c r="DVS148"/>
      <c r="DVT148"/>
      <c r="DVU148"/>
      <c r="DVV148"/>
      <c r="DVW148"/>
      <c r="DVX148"/>
      <c r="DVY148"/>
      <c r="DVZ148"/>
      <c r="DWA148"/>
      <c r="DWB148"/>
      <c r="DWC148"/>
      <c r="DWD148"/>
      <c r="DWE148"/>
      <c r="DWF148"/>
      <c r="DWG148"/>
      <c r="DWH148"/>
      <c r="DWI148"/>
      <c r="DWJ148"/>
      <c r="DWK148"/>
      <c r="DWL148"/>
      <c r="DWM148"/>
      <c r="DWN148"/>
      <c r="DWO148"/>
      <c r="DWP148"/>
      <c r="DWQ148"/>
      <c r="DWR148"/>
      <c r="DWS148"/>
      <c r="DWT148"/>
      <c r="DWU148"/>
      <c r="DWV148"/>
      <c r="DWW148"/>
      <c r="DWX148"/>
      <c r="DWY148"/>
      <c r="DWZ148"/>
      <c r="DXA148"/>
      <c r="DXB148"/>
      <c r="DXC148"/>
      <c r="DXD148"/>
      <c r="DXE148"/>
      <c r="DXF148"/>
      <c r="DXG148"/>
      <c r="DXH148"/>
      <c r="DXI148"/>
      <c r="DXJ148"/>
      <c r="DXK148"/>
      <c r="DXL148"/>
      <c r="DXM148"/>
      <c r="DXN148"/>
      <c r="DXO148"/>
      <c r="DXP148"/>
      <c r="DXQ148"/>
      <c r="DXR148"/>
      <c r="DXS148"/>
      <c r="DXT148"/>
      <c r="DXU148"/>
      <c r="DXV148"/>
      <c r="DXW148"/>
      <c r="DXX148"/>
      <c r="DXY148"/>
      <c r="DXZ148"/>
      <c r="DYA148"/>
      <c r="DYB148"/>
      <c r="DYC148"/>
      <c r="DYD148"/>
      <c r="DYE148"/>
      <c r="DYF148"/>
      <c r="DYG148"/>
      <c r="DYH148"/>
      <c r="DYI148"/>
      <c r="DYJ148"/>
      <c r="DYK148"/>
      <c r="DYL148"/>
      <c r="DYM148"/>
      <c r="DYN148"/>
      <c r="DYO148"/>
      <c r="DYP148"/>
      <c r="DYQ148"/>
      <c r="DYR148"/>
      <c r="DYS148"/>
      <c r="DYT148"/>
      <c r="DYU148"/>
      <c r="DYV148"/>
      <c r="DYW148"/>
      <c r="DYX148"/>
      <c r="DYY148"/>
      <c r="DYZ148"/>
      <c r="DZA148"/>
      <c r="DZB148"/>
      <c r="DZC148"/>
      <c r="DZD148"/>
      <c r="DZE148"/>
      <c r="DZF148"/>
      <c r="DZG148"/>
      <c r="DZH148"/>
      <c r="DZI148"/>
      <c r="DZJ148"/>
      <c r="DZK148"/>
      <c r="DZL148"/>
      <c r="DZM148"/>
      <c r="DZN148"/>
      <c r="DZO148"/>
      <c r="DZP148"/>
      <c r="DZQ148"/>
      <c r="DZR148"/>
      <c r="DZS148"/>
      <c r="DZT148"/>
      <c r="DZU148"/>
      <c r="DZV148"/>
      <c r="DZW148"/>
      <c r="DZX148"/>
      <c r="DZY148"/>
      <c r="DZZ148"/>
      <c r="EAA148"/>
      <c r="EAB148"/>
      <c r="EAC148"/>
      <c r="EAD148"/>
      <c r="EAE148"/>
      <c r="EAF148"/>
      <c r="EAG148"/>
      <c r="EAH148"/>
      <c r="EAI148"/>
      <c r="EAJ148"/>
      <c r="EAK148"/>
      <c r="EAL148"/>
      <c r="EAM148"/>
      <c r="EAN148"/>
      <c r="EAO148"/>
      <c r="EAP148"/>
      <c r="EAQ148"/>
      <c r="EAR148"/>
      <c r="EAS148"/>
      <c r="EAT148"/>
      <c r="EAU148"/>
      <c r="EAV148"/>
      <c r="EAW148"/>
      <c r="EAX148"/>
      <c r="EAY148"/>
      <c r="EAZ148"/>
      <c r="EBA148"/>
      <c r="EBB148"/>
      <c r="EBC148"/>
      <c r="EBD148"/>
      <c r="EBE148"/>
      <c r="EBF148"/>
      <c r="EBG148"/>
      <c r="EBH148"/>
      <c r="EBI148"/>
      <c r="EBJ148"/>
      <c r="EBK148"/>
      <c r="EBL148"/>
      <c r="EBM148"/>
      <c r="EBN148"/>
      <c r="EBO148"/>
      <c r="EBP148"/>
      <c r="EBQ148"/>
      <c r="EBR148"/>
      <c r="EBS148"/>
      <c r="EBT148"/>
      <c r="EBU148"/>
      <c r="EBV148"/>
      <c r="EBW148"/>
      <c r="EBX148"/>
      <c r="EBY148"/>
      <c r="EBZ148"/>
      <c r="ECA148"/>
      <c r="ECB148"/>
      <c r="ECC148"/>
      <c r="ECD148"/>
      <c r="ECE148"/>
      <c r="ECF148"/>
      <c r="ECG148"/>
      <c r="ECH148"/>
      <c r="ECI148"/>
      <c r="ECJ148"/>
      <c r="ECK148"/>
      <c r="ECL148"/>
      <c r="ECM148"/>
      <c r="ECN148"/>
      <c r="ECO148"/>
      <c r="ECP148"/>
      <c r="ECQ148"/>
      <c r="ECR148"/>
      <c r="ECS148"/>
      <c r="ECT148"/>
      <c r="ECU148"/>
      <c r="ECV148"/>
      <c r="ECW148"/>
      <c r="ECX148"/>
      <c r="ECY148"/>
      <c r="ECZ148"/>
      <c r="EDA148"/>
      <c r="EDB148"/>
      <c r="EDC148"/>
      <c r="EDD148"/>
      <c r="EDE148"/>
      <c r="EDF148"/>
      <c r="EDG148"/>
      <c r="EDH148"/>
      <c r="EDI148"/>
      <c r="EDJ148"/>
      <c r="EDK148"/>
      <c r="EDL148"/>
      <c r="EDM148"/>
      <c r="EDN148"/>
      <c r="EDO148"/>
      <c r="EDP148"/>
      <c r="EDQ148"/>
      <c r="EDR148"/>
      <c r="EDS148"/>
      <c r="EDT148"/>
      <c r="EDU148"/>
      <c r="EDV148"/>
      <c r="EDW148"/>
      <c r="EDX148"/>
      <c r="EDY148"/>
      <c r="EDZ148"/>
      <c r="EEA148"/>
      <c r="EEB148"/>
      <c r="EEC148"/>
      <c r="EED148"/>
      <c r="EEE148"/>
      <c r="EEF148"/>
      <c r="EEG148"/>
      <c r="EEH148"/>
      <c r="EEI148"/>
      <c r="EEJ148"/>
      <c r="EEK148"/>
      <c r="EEL148"/>
      <c r="EEM148"/>
      <c r="EEN148"/>
      <c r="EEO148"/>
      <c r="EEP148"/>
      <c r="EEQ148"/>
      <c r="EER148"/>
      <c r="EES148"/>
      <c r="EET148"/>
      <c r="EEU148"/>
      <c r="EEV148"/>
      <c r="EEW148"/>
      <c r="EEX148"/>
      <c r="EEY148"/>
      <c r="EEZ148"/>
      <c r="EFA148"/>
      <c r="EFB148"/>
      <c r="EFC148"/>
      <c r="EFD148"/>
      <c r="EFE148"/>
      <c r="EFF148"/>
      <c r="EFG148"/>
      <c r="EFH148"/>
      <c r="EFI148"/>
      <c r="EFJ148"/>
      <c r="EFK148"/>
      <c r="EFL148"/>
      <c r="EFM148"/>
      <c r="EFN148"/>
      <c r="EFO148"/>
      <c r="EFP148"/>
      <c r="EFQ148"/>
      <c r="EFR148"/>
      <c r="EFS148"/>
      <c r="EFT148"/>
      <c r="EFU148"/>
      <c r="EFV148"/>
      <c r="EFW148"/>
      <c r="EFX148"/>
      <c r="EFY148"/>
      <c r="EFZ148"/>
      <c r="EGA148"/>
      <c r="EGB148"/>
      <c r="EGC148"/>
      <c r="EGD148"/>
      <c r="EGE148"/>
      <c r="EGF148"/>
      <c r="EGG148"/>
      <c r="EGH148"/>
      <c r="EGI148"/>
      <c r="EGJ148"/>
      <c r="EGK148"/>
      <c r="EGL148"/>
      <c r="EGM148"/>
      <c r="EGN148"/>
      <c r="EGO148"/>
      <c r="EGP148"/>
      <c r="EGQ148"/>
      <c r="EGR148"/>
      <c r="EGS148"/>
      <c r="EGT148"/>
      <c r="EGU148"/>
      <c r="EGV148"/>
      <c r="EGW148"/>
      <c r="EGX148"/>
      <c r="EGY148"/>
      <c r="EGZ148"/>
      <c r="EHA148"/>
      <c r="EHB148"/>
      <c r="EHC148"/>
      <c r="EHD148"/>
      <c r="EHE148"/>
      <c r="EHF148"/>
      <c r="EHG148"/>
      <c r="EHH148"/>
      <c r="EHI148"/>
      <c r="EHJ148"/>
      <c r="EHK148"/>
      <c r="EHL148"/>
      <c r="EHM148"/>
      <c r="EHN148"/>
      <c r="EHO148"/>
      <c r="EHP148"/>
      <c r="EHQ148"/>
      <c r="EHR148"/>
      <c r="EHS148"/>
      <c r="EHT148"/>
      <c r="EHU148"/>
      <c r="EHV148"/>
      <c r="EHW148"/>
      <c r="EHX148"/>
      <c r="EHY148"/>
      <c r="EHZ148"/>
      <c r="EIA148"/>
      <c r="EIB148"/>
      <c r="EIC148"/>
      <c r="EID148"/>
      <c r="EIE148"/>
      <c r="EIF148"/>
      <c r="EIG148"/>
      <c r="EIH148"/>
      <c r="EII148"/>
      <c r="EIJ148"/>
      <c r="EIK148"/>
      <c r="EIL148"/>
      <c r="EIM148"/>
      <c r="EIN148"/>
      <c r="EIO148"/>
      <c r="EIP148"/>
      <c r="EIQ148"/>
      <c r="EIR148"/>
      <c r="EIS148"/>
      <c r="EIT148"/>
      <c r="EIU148"/>
      <c r="EIV148"/>
      <c r="EIW148"/>
      <c r="EIX148"/>
      <c r="EIY148"/>
      <c r="EIZ148"/>
      <c r="EJA148"/>
      <c r="EJB148"/>
      <c r="EJC148"/>
      <c r="EJD148"/>
      <c r="EJE148"/>
      <c r="EJF148"/>
      <c r="EJG148"/>
      <c r="EJH148"/>
      <c r="EJI148"/>
      <c r="EJJ148"/>
      <c r="EJK148"/>
      <c r="EJL148"/>
      <c r="EJM148"/>
      <c r="EJN148"/>
      <c r="EJO148"/>
      <c r="EJP148"/>
      <c r="EJQ148"/>
      <c r="EJR148"/>
      <c r="EJS148"/>
      <c r="EJT148"/>
      <c r="EJU148"/>
      <c r="EJV148"/>
      <c r="EJW148"/>
      <c r="EJX148"/>
      <c r="EJY148"/>
      <c r="EJZ148"/>
      <c r="EKA148"/>
      <c r="EKB148"/>
      <c r="EKC148"/>
      <c r="EKD148"/>
      <c r="EKE148"/>
      <c r="EKF148"/>
      <c r="EKG148"/>
      <c r="EKH148"/>
      <c r="EKI148"/>
      <c r="EKJ148"/>
      <c r="EKK148"/>
      <c r="EKL148"/>
      <c r="EKM148"/>
      <c r="EKN148"/>
      <c r="EKO148"/>
      <c r="EKP148"/>
      <c r="EKQ148"/>
      <c r="EKR148"/>
      <c r="EKS148"/>
      <c r="EKT148"/>
      <c r="EKU148"/>
      <c r="EKV148"/>
      <c r="EKW148"/>
      <c r="EKX148"/>
      <c r="EKY148"/>
      <c r="EKZ148"/>
      <c r="ELA148"/>
      <c r="ELB148"/>
      <c r="ELC148"/>
      <c r="ELD148"/>
      <c r="ELE148"/>
      <c r="ELF148"/>
      <c r="ELG148"/>
      <c r="ELH148"/>
      <c r="ELI148"/>
      <c r="ELJ148"/>
      <c r="ELK148"/>
      <c r="ELL148"/>
      <c r="ELM148"/>
      <c r="ELN148"/>
      <c r="ELO148"/>
      <c r="ELP148"/>
      <c r="ELQ148"/>
      <c r="ELR148"/>
      <c r="ELS148"/>
      <c r="ELT148"/>
      <c r="ELU148"/>
      <c r="ELV148"/>
      <c r="ELW148"/>
      <c r="ELX148"/>
      <c r="ELY148"/>
      <c r="ELZ148"/>
      <c r="EMA148"/>
      <c r="EMB148"/>
      <c r="EMC148"/>
      <c r="EMD148"/>
      <c r="EME148"/>
      <c r="EMF148"/>
      <c r="EMG148"/>
      <c r="EMH148"/>
      <c r="EMI148"/>
      <c r="EMJ148"/>
      <c r="EMK148"/>
      <c r="EML148"/>
      <c r="EMM148"/>
      <c r="EMN148"/>
      <c r="EMO148"/>
      <c r="EMP148"/>
      <c r="EMQ148"/>
      <c r="EMR148"/>
      <c r="EMS148"/>
      <c r="EMT148"/>
      <c r="EMU148"/>
      <c r="EMV148"/>
      <c r="EMW148"/>
      <c r="EMX148"/>
      <c r="EMY148"/>
      <c r="EMZ148"/>
      <c r="ENA148"/>
      <c r="ENB148"/>
      <c r="ENC148"/>
      <c r="END148"/>
      <c r="ENE148"/>
      <c r="ENF148"/>
      <c r="ENG148"/>
      <c r="ENH148"/>
      <c r="ENI148"/>
      <c r="ENJ148"/>
      <c r="ENK148"/>
      <c r="ENL148"/>
      <c r="ENM148"/>
      <c r="ENN148"/>
      <c r="ENO148"/>
      <c r="ENP148"/>
      <c r="ENQ148"/>
      <c r="ENR148"/>
      <c r="ENS148"/>
      <c r="ENT148"/>
      <c r="ENU148"/>
      <c r="ENV148"/>
      <c r="ENW148"/>
      <c r="ENX148"/>
      <c r="ENY148"/>
      <c r="ENZ148"/>
      <c r="EOA148"/>
      <c r="EOB148"/>
      <c r="EOC148"/>
      <c r="EOD148"/>
      <c r="EOE148"/>
      <c r="EOF148"/>
      <c r="EOG148"/>
      <c r="EOH148"/>
      <c r="EOI148"/>
      <c r="EOJ148"/>
      <c r="EOK148"/>
      <c r="EOL148"/>
      <c r="EOM148"/>
      <c r="EON148"/>
      <c r="EOO148"/>
      <c r="EOP148"/>
      <c r="EOQ148"/>
      <c r="EOR148"/>
      <c r="EOS148"/>
      <c r="EOT148"/>
      <c r="EOU148"/>
      <c r="EOV148"/>
      <c r="EOW148"/>
      <c r="EOX148"/>
      <c r="EOY148"/>
      <c r="EOZ148"/>
      <c r="EPA148"/>
      <c r="EPB148"/>
      <c r="EPC148"/>
      <c r="EPD148"/>
      <c r="EPE148"/>
      <c r="EPF148"/>
      <c r="EPG148"/>
      <c r="EPH148"/>
      <c r="EPI148"/>
      <c r="EPJ148"/>
      <c r="EPK148"/>
      <c r="EPL148"/>
      <c r="EPM148"/>
      <c r="EPN148"/>
      <c r="EPO148"/>
      <c r="EPP148"/>
      <c r="EPQ148"/>
      <c r="EPR148"/>
      <c r="EPS148"/>
      <c r="EPT148"/>
      <c r="EPU148"/>
      <c r="EPV148"/>
      <c r="EPW148"/>
      <c r="EPX148"/>
      <c r="EPY148"/>
      <c r="EPZ148"/>
      <c r="EQA148"/>
      <c r="EQB148"/>
      <c r="EQC148"/>
      <c r="EQD148"/>
      <c r="EQE148"/>
      <c r="EQF148"/>
      <c r="EQG148"/>
      <c r="EQH148"/>
      <c r="EQI148"/>
      <c r="EQJ148"/>
      <c r="EQK148"/>
      <c r="EQL148"/>
      <c r="EQM148"/>
      <c r="EQN148"/>
      <c r="EQO148"/>
      <c r="EQP148"/>
      <c r="EQQ148"/>
      <c r="EQR148"/>
      <c r="EQS148"/>
      <c r="EQT148"/>
      <c r="EQU148"/>
      <c r="EQV148"/>
      <c r="EQW148"/>
      <c r="EQX148"/>
      <c r="EQY148"/>
      <c r="EQZ148"/>
      <c r="ERA148"/>
      <c r="ERB148"/>
      <c r="ERC148"/>
      <c r="ERD148"/>
      <c r="ERE148"/>
      <c r="ERF148"/>
      <c r="ERG148"/>
      <c r="ERH148"/>
      <c r="ERI148"/>
      <c r="ERJ148"/>
      <c r="ERK148"/>
      <c r="ERL148"/>
      <c r="ERM148"/>
      <c r="ERN148"/>
      <c r="ERO148"/>
      <c r="ERP148"/>
      <c r="ERQ148"/>
      <c r="ERR148"/>
      <c r="ERS148"/>
      <c r="ERT148"/>
      <c r="ERU148"/>
      <c r="ERV148"/>
      <c r="ERW148"/>
      <c r="ERX148"/>
      <c r="ERY148"/>
      <c r="ERZ148"/>
      <c r="ESA148"/>
      <c r="ESB148"/>
      <c r="ESC148"/>
      <c r="ESD148"/>
      <c r="ESE148"/>
      <c r="ESF148"/>
      <c r="ESG148"/>
      <c r="ESH148"/>
      <c r="ESI148"/>
      <c r="ESJ148"/>
      <c r="ESK148"/>
      <c r="ESL148"/>
      <c r="ESM148"/>
      <c r="ESN148"/>
      <c r="ESO148"/>
      <c r="ESP148"/>
      <c r="ESQ148"/>
      <c r="ESR148"/>
      <c r="ESS148"/>
      <c r="EST148"/>
      <c r="ESU148"/>
      <c r="ESV148"/>
      <c r="ESW148"/>
      <c r="ESX148"/>
      <c r="ESY148"/>
      <c r="ESZ148"/>
      <c r="ETA148"/>
      <c r="ETB148"/>
      <c r="ETC148"/>
      <c r="ETD148"/>
      <c r="ETE148"/>
      <c r="ETF148"/>
      <c r="ETG148"/>
      <c r="ETH148"/>
      <c r="ETI148"/>
      <c r="ETJ148"/>
      <c r="ETK148"/>
      <c r="ETL148"/>
      <c r="ETM148"/>
      <c r="ETN148"/>
      <c r="ETO148"/>
      <c r="ETP148"/>
      <c r="ETQ148"/>
      <c r="ETR148"/>
      <c r="ETS148"/>
      <c r="ETT148"/>
      <c r="ETU148"/>
      <c r="ETV148"/>
      <c r="ETW148"/>
      <c r="ETX148"/>
      <c r="ETY148"/>
      <c r="ETZ148"/>
      <c r="EUA148"/>
      <c r="EUB148"/>
      <c r="EUC148"/>
      <c r="EUD148"/>
      <c r="EUE148"/>
      <c r="EUF148"/>
      <c r="EUG148"/>
      <c r="EUH148"/>
      <c r="EUI148"/>
      <c r="EUJ148"/>
      <c r="EUK148"/>
      <c r="EUL148"/>
      <c r="EUM148"/>
      <c r="EUN148"/>
      <c r="EUO148"/>
      <c r="EUP148"/>
      <c r="EUQ148"/>
      <c r="EUR148"/>
      <c r="EUS148"/>
      <c r="EUT148"/>
      <c r="EUU148"/>
      <c r="EUV148"/>
      <c r="EUW148"/>
      <c r="EUX148"/>
      <c r="EUY148"/>
      <c r="EUZ148"/>
      <c r="EVA148"/>
      <c r="EVB148"/>
      <c r="EVC148"/>
      <c r="EVD148"/>
      <c r="EVE148"/>
      <c r="EVF148"/>
      <c r="EVG148"/>
      <c r="EVH148"/>
      <c r="EVI148"/>
      <c r="EVJ148"/>
      <c r="EVK148"/>
      <c r="EVL148"/>
      <c r="EVM148"/>
      <c r="EVN148"/>
      <c r="EVO148"/>
      <c r="EVP148"/>
      <c r="EVQ148"/>
      <c r="EVR148"/>
      <c r="EVS148"/>
      <c r="EVT148"/>
      <c r="EVU148"/>
      <c r="EVV148"/>
      <c r="EVW148"/>
      <c r="EVX148"/>
      <c r="EVY148"/>
      <c r="EVZ148"/>
      <c r="EWA148"/>
      <c r="EWB148"/>
      <c r="EWC148"/>
      <c r="EWD148"/>
      <c r="EWE148"/>
      <c r="EWF148"/>
      <c r="EWG148"/>
      <c r="EWH148"/>
      <c r="EWI148"/>
      <c r="EWJ148"/>
      <c r="EWK148"/>
      <c r="EWL148"/>
      <c r="EWM148"/>
      <c r="EWN148"/>
      <c r="EWO148"/>
      <c r="EWP148"/>
      <c r="EWQ148"/>
      <c r="EWR148"/>
      <c r="EWS148"/>
      <c r="EWT148"/>
      <c r="EWU148"/>
      <c r="EWV148"/>
      <c r="EWW148"/>
      <c r="EWX148"/>
      <c r="EWY148"/>
      <c r="EWZ148"/>
      <c r="EXA148"/>
      <c r="EXB148"/>
      <c r="EXC148"/>
      <c r="EXD148"/>
      <c r="EXE148"/>
      <c r="EXF148"/>
      <c r="EXG148"/>
      <c r="EXH148"/>
      <c r="EXI148"/>
      <c r="EXJ148"/>
      <c r="EXK148"/>
      <c r="EXL148"/>
      <c r="EXM148"/>
      <c r="EXN148"/>
      <c r="EXO148"/>
      <c r="EXP148"/>
      <c r="EXQ148"/>
      <c r="EXR148"/>
      <c r="EXS148"/>
      <c r="EXT148"/>
      <c r="EXU148"/>
      <c r="EXV148"/>
      <c r="EXW148"/>
      <c r="EXX148"/>
      <c r="EXY148"/>
      <c r="EXZ148"/>
      <c r="EYA148"/>
      <c r="EYB148"/>
      <c r="EYC148"/>
      <c r="EYD148"/>
      <c r="EYE148"/>
      <c r="EYF148"/>
      <c r="EYG148"/>
      <c r="EYH148"/>
      <c r="EYI148"/>
      <c r="EYJ148"/>
      <c r="EYK148"/>
      <c r="EYL148"/>
      <c r="EYM148"/>
      <c r="EYN148"/>
      <c r="EYO148"/>
      <c r="EYP148"/>
      <c r="EYQ148"/>
      <c r="EYR148"/>
      <c r="EYS148"/>
      <c r="EYT148"/>
      <c r="EYU148"/>
      <c r="EYV148"/>
      <c r="EYW148"/>
      <c r="EYX148"/>
      <c r="EYY148"/>
      <c r="EYZ148"/>
      <c r="EZA148"/>
      <c r="EZB148"/>
      <c r="EZC148"/>
      <c r="EZD148"/>
      <c r="EZE148"/>
      <c r="EZF148"/>
      <c r="EZG148"/>
      <c r="EZH148"/>
      <c r="EZI148"/>
      <c r="EZJ148"/>
      <c r="EZK148"/>
      <c r="EZL148"/>
      <c r="EZM148"/>
      <c r="EZN148"/>
      <c r="EZO148"/>
      <c r="EZP148"/>
      <c r="EZQ148"/>
      <c r="EZR148"/>
      <c r="EZS148"/>
      <c r="EZT148"/>
      <c r="EZU148"/>
      <c r="EZV148"/>
      <c r="EZW148"/>
      <c r="EZX148"/>
      <c r="EZY148"/>
      <c r="EZZ148"/>
      <c r="FAA148"/>
      <c r="FAB148"/>
      <c r="FAC148"/>
      <c r="FAD148"/>
      <c r="FAE148"/>
      <c r="FAF148"/>
      <c r="FAG148"/>
      <c r="FAH148"/>
      <c r="FAI148"/>
      <c r="FAJ148"/>
      <c r="FAK148"/>
      <c r="FAL148"/>
      <c r="FAM148"/>
      <c r="FAN148"/>
      <c r="FAO148"/>
      <c r="FAP148"/>
      <c r="FAQ148"/>
      <c r="FAR148"/>
      <c r="FAS148"/>
      <c r="FAT148"/>
      <c r="FAU148"/>
      <c r="FAV148"/>
      <c r="FAW148"/>
      <c r="FAX148"/>
      <c r="FAY148"/>
      <c r="FAZ148"/>
      <c r="FBA148"/>
      <c r="FBB148"/>
      <c r="FBC148"/>
      <c r="FBD148"/>
      <c r="FBE148"/>
      <c r="FBF148"/>
      <c r="FBG148"/>
      <c r="FBH148"/>
      <c r="FBI148"/>
      <c r="FBJ148"/>
      <c r="FBK148"/>
      <c r="FBL148"/>
      <c r="FBM148"/>
      <c r="FBN148"/>
      <c r="FBO148"/>
      <c r="FBP148"/>
      <c r="FBQ148"/>
      <c r="FBR148"/>
      <c r="FBS148"/>
      <c r="FBT148"/>
      <c r="FBU148"/>
      <c r="FBV148"/>
      <c r="FBW148"/>
      <c r="FBX148"/>
      <c r="FBY148"/>
      <c r="FBZ148"/>
      <c r="FCA148"/>
      <c r="FCB148"/>
      <c r="FCC148"/>
      <c r="FCD148"/>
      <c r="FCE148"/>
      <c r="FCF148"/>
      <c r="FCG148"/>
      <c r="FCH148"/>
      <c r="FCI148"/>
      <c r="FCJ148"/>
      <c r="FCK148"/>
      <c r="FCL148"/>
      <c r="FCM148"/>
      <c r="FCN148"/>
      <c r="FCO148"/>
      <c r="FCP148"/>
      <c r="FCQ148"/>
      <c r="FCR148"/>
      <c r="FCS148"/>
      <c r="FCT148"/>
      <c r="FCU148"/>
      <c r="FCV148"/>
      <c r="FCW148"/>
      <c r="FCX148"/>
      <c r="FCY148"/>
      <c r="FCZ148"/>
      <c r="FDA148"/>
      <c r="FDB148"/>
      <c r="FDC148"/>
      <c r="FDD148"/>
      <c r="FDE148"/>
      <c r="FDF148"/>
      <c r="FDG148"/>
      <c r="FDH148"/>
      <c r="FDI148"/>
      <c r="FDJ148"/>
      <c r="FDK148"/>
      <c r="FDL148"/>
      <c r="FDM148"/>
      <c r="FDN148"/>
      <c r="FDO148"/>
      <c r="FDP148"/>
      <c r="FDQ148"/>
      <c r="FDR148"/>
      <c r="FDS148"/>
      <c r="FDT148"/>
      <c r="FDU148"/>
      <c r="FDV148"/>
      <c r="FDW148"/>
      <c r="FDX148"/>
      <c r="FDY148"/>
      <c r="FDZ148"/>
      <c r="FEA148"/>
      <c r="FEB148"/>
      <c r="FEC148"/>
      <c r="FED148"/>
      <c r="FEE148"/>
      <c r="FEF148"/>
      <c r="FEG148"/>
      <c r="FEH148"/>
      <c r="FEI148"/>
      <c r="FEJ148"/>
      <c r="FEK148"/>
      <c r="FEL148"/>
      <c r="FEM148"/>
      <c r="FEN148"/>
      <c r="FEO148"/>
      <c r="FEP148"/>
      <c r="FEQ148"/>
      <c r="FER148"/>
      <c r="FES148"/>
      <c r="FET148"/>
      <c r="FEU148"/>
      <c r="FEV148"/>
      <c r="FEW148"/>
      <c r="FEX148"/>
      <c r="FEY148"/>
      <c r="FEZ148"/>
      <c r="FFA148"/>
      <c r="FFB148"/>
      <c r="FFC148"/>
      <c r="FFD148"/>
      <c r="FFE148"/>
      <c r="FFF148"/>
      <c r="FFG148"/>
      <c r="FFH148"/>
      <c r="FFI148"/>
      <c r="FFJ148"/>
      <c r="FFK148"/>
      <c r="FFL148"/>
      <c r="FFM148"/>
      <c r="FFN148"/>
      <c r="FFO148"/>
      <c r="FFP148"/>
      <c r="FFQ148"/>
      <c r="FFR148"/>
      <c r="FFS148"/>
      <c r="FFT148"/>
      <c r="FFU148"/>
      <c r="FFV148"/>
      <c r="FFW148"/>
      <c r="FFX148"/>
      <c r="FFY148"/>
      <c r="FFZ148"/>
      <c r="FGA148"/>
      <c r="FGB148"/>
      <c r="FGC148"/>
      <c r="FGD148"/>
      <c r="FGE148"/>
      <c r="FGF148"/>
      <c r="FGG148"/>
      <c r="FGH148"/>
      <c r="FGI148"/>
      <c r="FGJ148"/>
      <c r="FGK148"/>
      <c r="FGL148"/>
      <c r="FGM148"/>
      <c r="FGN148"/>
      <c r="FGO148"/>
      <c r="FGP148"/>
      <c r="FGQ148"/>
      <c r="FGR148"/>
      <c r="FGS148"/>
      <c r="FGT148"/>
      <c r="FGU148"/>
      <c r="FGV148"/>
      <c r="FGW148"/>
      <c r="FGX148"/>
      <c r="FGY148"/>
      <c r="FGZ148"/>
      <c r="FHA148"/>
      <c r="FHB148"/>
      <c r="FHC148"/>
      <c r="FHD148"/>
      <c r="FHE148"/>
      <c r="FHF148"/>
      <c r="FHG148"/>
      <c r="FHH148"/>
      <c r="FHI148"/>
      <c r="FHJ148"/>
      <c r="FHK148"/>
      <c r="FHL148"/>
      <c r="FHM148"/>
      <c r="FHN148"/>
      <c r="FHO148"/>
      <c r="FHP148"/>
      <c r="FHQ148"/>
      <c r="FHR148"/>
      <c r="FHS148"/>
      <c r="FHT148"/>
      <c r="FHU148"/>
      <c r="FHV148"/>
      <c r="FHW148"/>
      <c r="FHX148"/>
      <c r="FHY148"/>
      <c r="FHZ148"/>
      <c r="FIA148"/>
      <c r="FIB148"/>
      <c r="FIC148"/>
      <c r="FID148"/>
      <c r="FIE148"/>
      <c r="FIF148"/>
      <c r="FIG148"/>
      <c r="FIH148"/>
      <c r="FII148"/>
      <c r="FIJ148"/>
      <c r="FIK148"/>
      <c r="FIL148"/>
      <c r="FIM148"/>
      <c r="FIN148"/>
      <c r="FIO148"/>
      <c r="FIP148"/>
      <c r="FIQ148"/>
      <c r="FIR148"/>
      <c r="FIS148"/>
      <c r="FIT148"/>
      <c r="FIU148"/>
      <c r="FIV148"/>
      <c r="FIW148"/>
      <c r="FIX148"/>
      <c r="FIY148"/>
      <c r="FIZ148"/>
      <c r="FJA148"/>
      <c r="FJB148"/>
      <c r="FJC148"/>
      <c r="FJD148"/>
      <c r="FJE148"/>
      <c r="FJF148"/>
      <c r="FJG148"/>
      <c r="FJH148"/>
      <c r="FJI148"/>
      <c r="FJJ148"/>
      <c r="FJK148"/>
      <c r="FJL148"/>
      <c r="FJM148"/>
      <c r="FJN148"/>
      <c r="FJO148"/>
      <c r="FJP148"/>
      <c r="FJQ148"/>
      <c r="FJR148"/>
      <c r="FJS148"/>
      <c r="FJT148"/>
      <c r="FJU148"/>
      <c r="FJV148"/>
      <c r="FJW148"/>
      <c r="FJX148"/>
      <c r="FJY148"/>
      <c r="FJZ148"/>
      <c r="FKA148"/>
      <c r="FKB148"/>
      <c r="FKC148"/>
      <c r="FKD148"/>
      <c r="FKE148"/>
      <c r="FKF148"/>
      <c r="FKG148"/>
      <c r="FKH148"/>
      <c r="FKI148"/>
      <c r="FKJ148"/>
      <c r="FKK148"/>
      <c r="FKL148"/>
      <c r="FKM148"/>
      <c r="FKN148"/>
      <c r="FKO148"/>
      <c r="FKP148"/>
      <c r="FKQ148"/>
      <c r="FKR148"/>
      <c r="FKS148"/>
      <c r="FKT148"/>
      <c r="FKU148"/>
      <c r="FKV148"/>
      <c r="FKW148"/>
      <c r="FKX148"/>
      <c r="FKY148"/>
      <c r="FKZ148"/>
      <c r="FLA148"/>
      <c r="FLB148"/>
      <c r="FLC148"/>
      <c r="FLD148"/>
      <c r="FLE148"/>
      <c r="FLF148"/>
      <c r="FLG148"/>
      <c r="FLH148"/>
      <c r="FLI148"/>
      <c r="FLJ148"/>
      <c r="FLK148"/>
      <c r="FLL148"/>
      <c r="FLM148"/>
      <c r="FLN148"/>
      <c r="FLO148"/>
      <c r="FLP148"/>
      <c r="FLQ148"/>
      <c r="FLR148"/>
      <c r="FLS148"/>
      <c r="FLT148"/>
      <c r="FLU148"/>
      <c r="FLV148"/>
      <c r="FLW148"/>
      <c r="FLX148"/>
      <c r="FLY148"/>
      <c r="FLZ148"/>
      <c r="FMA148"/>
      <c r="FMB148"/>
      <c r="FMC148"/>
      <c r="FMD148"/>
      <c r="FME148"/>
      <c r="FMF148"/>
      <c r="FMG148"/>
      <c r="FMH148"/>
      <c r="FMI148"/>
      <c r="FMJ148"/>
      <c r="FMK148"/>
      <c r="FML148"/>
      <c r="FMM148"/>
      <c r="FMN148"/>
      <c r="FMO148"/>
      <c r="FMP148"/>
      <c r="FMQ148"/>
      <c r="FMR148"/>
      <c r="FMS148"/>
      <c r="FMT148"/>
      <c r="FMU148"/>
      <c r="FMV148"/>
      <c r="FMW148"/>
      <c r="FMX148"/>
      <c r="FMY148"/>
      <c r="FMZ148"/>
      <c r="FNA148"/>
      <c r="FNB148"/>
      <c r="FNC148"/>
      <c r="FND148"/>
      <c r="FNE148"/>
      <c r="FNF148"/>
      <c r="FNG148"/>
      <c r="FNH148"/>
      <c r="FNI148"/>
      <c r="FNJ148"/>
      <c r="FNK148"/>
      <c r="FNL148"/>
      <c r="FNM148"/>
      <c r="FNN148"/>
      <c r="FNO148"/>
      <c r="FNP148"/>
      <c r="FNQ148"/>
      <c r="FNR148"/>
      <c r="FNS148"/>
      <c r="FNT148"/>
      <c r="FNU148"/>
      <c r="FNV148"/>
      <c r="FNW148"/>
      <c r="FNX148"/>
      <c r="FNY148"/>
      <c r="FNZ148"/>
      <c r="FOA148"/>
      <c r="FOB148"/>
      <c r="FOC148"/>
      <c r="FOD148"/>
      <c r="FOE148"/>
      <c r="FOF148"/>
      <c r="FOG148"/>
      <c r="FOH148"/>
      <c r="FOI148"/>
      <c r="FOJ148"/>
      <c r="FOK148"/>
      <c r="FOL148"/>
      <c r="FOM148"/>
      <c r="FON148"/>
      <c r="FOO148"/>
      <c r="FOP148"/>
      <c r="FOQ148"/>
      <c r="FOR148"/>
      <c r="FOS148"/>
      <c r="FOT148"/>
      <c r="FOU148"/>
      <c r="FOV148"/>
      <c r="FOW148"/>
      <c r="FOX148"/>
      <c r="FOY148"/>
      <c r="FOZ148"/>
      <c r="FPA148"/>
      <c r="FPB148"/>
      <c r="FPC148"/>
      <c r="FPD148"/>
      <c r="FPE148"/>
      <c r="FPF148"/>
      <c r="FPG148"/>
      <c r="FPH148"/>
      <c r="FPI148"/>
      <c r="FPJ148"/>
      <c r="FPK148"/>
      <c r="FPL148"/>
      <c r="FPM148"/>
      <c r="FPN148"/>
      <c r="FPO148"/>
      <c r="FPP148"/>
      <c r="FPQ148"/>
      <c r="FPR148"/>
      <c r="FPS148"/>
      <c r="FPT148"/>
      <c r="FPU148"/>
      <c r="FPV148"/>
      <c r="FPW148"/>
      <c r="FPX148"/>
      <c r="FPY148"/>
      <c r="FPZ148"/>
      <c r="FQA148"/>
      <c r="FQB148"/>
      <c r="FQC148"/>
      <c r="FQD148"/>
      <c r="FQE148"/>
      <c r="FQF148"/>
      <c r="FQG148"/>
      <c r="FQH148"/>
      <c r="FQI148"/>
      <c r="FQJ148"/>
      <c r="FQK148"/>
      <c r="FQL148"/>
      <c r="FQM148"/>
      <c r="FQN148"/>
      <c r="FQO148"/>
      <c r="FQP148"/>
      <c r="FQQ148"/>
      <c r="FQR148"/>
      <c r="FQS148"/>
      <c r="FQT148"/>
      <c r="FQU148"/>
      <c r="FQV148"/>
      <c r="FQW148"/>
      <c r="FQX148"/>
      <c r="FQY148"/>
      <c r="FQZ148"/>
      <c r="FRA148"/>
      <c r="FRB148"/>
      <c r="FRC148"/>
      <c r="FRD148"/>
      <c r="FRE148"/>
      <c r="FRF148"/>
      <c r="FRG148"/>
      <c r="FRH148"/>
      <c r="FRI148"/>
      <c r="FRJ148"/>
      <c r="FRK148"/>
      <c r="FRL148"/>
      <c r="FRM148"/>
      <c r="FRN148"/>
      <c r="FRO148"/>
      <c r="FRP148"/>
      <c r="FRQ148"/>
      <c r="FRR148"/>
      <c r="FRS148"/>
      <c r="FRT148"/>
      <c r="FRU148"/>
      <c r="FRV148"/>
      <c r="FRW148"/>
      <c r="FRX148"/>
      <c r="FRY148"/>
      <c r="FRZ148"/>
      <c r="FSA148"/>
      <c r="FSB148"/>
      <c r="FSC148"/>
      <c r="FSD148"/>
      <c r="FSE148"/>
      <c r="FSF148"/>
      <c r="FSG148"/>
      <c r="FSH148"/>
      <c r="FSI148"/>
      <c r="FSJ148"/>
      <c r="FSK148"/>
      <c r="FSL148"/>
      <c r="FSM148"/>
      <c r="FSN148"/>
      <c r="FSO148"/>
      <c r="FSP148"/>
      <c r="FSQ148"/>
      <c r="FSR148"/>
      <c r="FSS148"/>
      <c r="FST148"/>
      <c r="FSU148"/>
      <c r="FSV148"/>
      <c r="FSW148"/>
      <c r="FSX148"/>
      <c r="FSY148"/>
      <c r="FSZ148"/>
      <c r="FTA148"/>
      <c r="FTB148"/>
      <c r="FTC148"/>
      <c r="FTD148"/>
      <c r="FTE148"/>
      <c r="FTF148"/>
      <c r="FTG148"/>
      <c r="FTH148"/>
      <c r="FTI148"/>
      <c r="FTJ148"/>
      <c r="FTK148"/>
      <c r="FTL148"/>
      <c r="FTM148"/>
      <c r="FTN148"/>
      <c r="FTO148"/>
      <c r="FTP148"/>
      <c r="FTQ148"/>
      <c r="FTR148"/>
      <c r="FTS148"/>
      <c r="FTT148"/>
      <c r="FTU148"/>
      <c r="FTV148"/>
      <c r="FTW148"/>
      <c r="FTX148"/>
      <c r="FTY148"/>
      <c r="FTZ148"/>
      <c r="FUA148"/>
      <c r="FUB148"/>
      <c r="FUC148"/>
      <c r="FUD148"/>
      <c r="FUE148"/>
      <c r="FUF148"/>
      <c r="FUG148"/>
      <c r="FUH148"/>
      <c r="FUI148"/>
      <c r="FUJ148"/>
      <c r="FUK148"/>
      <c r="FUL148"/>
      <c r="FUM148"/>
      <c r="FUN148"/>
      <c r="FUO148"/>
      <c r="FUP148"/>
      <c r="FUQ148"/>
      <c r="FUR148"/>
      <c r="FUS148"/>
      <c r="FUT148"/>
      <c r="FUU148"/>
      <c r="FUV148"/>
      <c r="FUW148"/>
      <c r="FUX148"/>
      <c r="FUY148"/>
      <c r="FUZ148"/>
      <c r="FVA148"/>
      <c r="FVB148"/>
      <c r="FVC148"/>
      <c r="FVD148"/>
      <c r="FVE148"/>
      <c r="FVF148"/>
      <c r="FVG148"/>
      <c r="FVH148"/>
      <c r="FVI148"/>
      <c r="FVJ148"/>
      <c r="FVK148"/>
      <c r="FVL148"/>
      <c r="FVM148"/>
      <c r="FVN148"/>
      <c r="FVO148"/>
      <c r="FVP148"/>
      <c r="FVQ148"/>
      <c r="FVR148"/>
      <c r="FVS148"/>
      <c r="FVT148"/>
      <c r="FVU148"/>
      <c r="FVV148"/>
      <c r="FVW148"/>
      <c r="FVX148"/>
      <c r="FVY148"/>
      <c r="FVZ148"/>
      <c r="FWA148"/>
      <c r="FWB148"/>
      <c r="FWC148"/>
      <c r="FWD148"/>
      <c r="FWE148"/>
      <c r="FWF148"/>
      <c r="FWG148"/>
      <c r="FWH148"/>
      <c r="FWI148"/>
      <c r="FWJ148"/>
      <c r="FWK148"/>
      <c r="FWL148"/>
      <c r="FWM148"/>
      <c r="FWN148"/>
      <c r="FWO148"/>
      <c r="FWP148"/>
      <c r="FWQ148"/>
      <c r="FWR148"/>
      <c r="FWS148"/>
      <c r="FWT148"/>
      <c r="FWU148"/>
      <c r="FWV148"/>
      <c r="FWW148"/>
      <c r="FWX148"/>
      <c r="FWY148"/>
      <c r="FWZ148"/>
      <c r="FXA148"/>
      <c r="FXB148"/>
      <c r="FXC148"/>
      <c r="FXD148"/>
      <c r="FXE148"/>
      <c r="FXF148"/>
      <c r="FXG148"/>
      <c r="FXH148"/>
      <c r="FXI148"/>
      <c r="FXJ148"/>
      <c r="FXK148"/>
      <c r="FXL148"/>
      <c r="FXM148"/>
      <c r="FXN148"/>
      <c r="FXO148"/>
      <c r="FXP148"/>
      <c r="FXQ148"/>
      <c r="FXR148"/>
      <c r="FXS148"/>
      <c r="FXT148"/>
      <c r="FXU148"/>
      <c r="FXV148"/>
      <c r="FXW148"/>
      <c r="FXX148"/>
      <c r="FXY148"/>
      <c r="FXZ148"/>
      <c r="FYA148"/>
      <c r="FYB148"/>
      <c r="FYC148"/>
      <c r="FYD148"/>
      <c r="FYE148"/>
      <c r="FYF148"/>
      <c r="FYG148"/>
      <c r="FYH148"/>
      <c r="FYI148"/>
      <c r="FYJ148"/>
      <c r="FYK148"/>
      <c r="FYL148"/>
      <c r="FYM148"/>
      <c r="FYN148"/>
      <c r="FYO148"/>
      <c r="FYP148"/>
      <c r="FYQ148"/>
      <c r="FYR148"/>
      <c r="FYS148"/>
      <c r="FYT148"/>
      <c r="FYU148"/>
      <c r="FYV148"/>
      <c r="FYW148"/>
      <c r="FYX148"/>
      <c r="FYY148"/>
      <c r="FYZ148"/>
      <c r="FZA148"/>
      <c r="FZB148"/>
      <c r="FZC148"/>
      <c r="FZD148"/>
      <c r="FZE148"/>
      <c r="FZF148"/>
      <c r="FZG148"/>
      <c r="FZH148"/>
      <c r="FZI148"/>
      <c r="FZJ148"/>
      <c r="FZK148"/>
      <c r="FZL148"/>
      <c r="FZM148"/>
      <c r="FZN148"/>
      <c r="FZO148"/>
      <c r="FZP148"/>
      <c r="FZQ148"/>
      <c r="FZR148"/>
      <c r="FZS148"/>
      <c r="FZT148"/>
      <c r="FZU148"/>
      <c r="FZV148"/>
      <c r="FZW148"/>
      <c r="FZX148"/>
      <c r="FZY148"/>
      <c r="FZZ148"/>
      <c r="GAA148"/>
      <c r="GAB148"/>
      <c r="GAC148"/>
      <c r="GAD148"/>
      <c r="GAE148"/>
      <c r="GAF148"/>
      <c r="GAG148"/>
      <c r="GAH148"/>
      <c r="GAI148"/>
      <c r="GAJ148"/>
      <c r="GAK148"/>
      <c r="GAL148"/>
      <c r="GAM148"/>
      <c r="GAN148"/>
      <c r="GAO148"/>
      <c r="GAP148"/>
      <c r="GAQ148"/>
      <c r="GAR148"/>
      <c r="GAS148"/>
      <c r="GAT148"/>
      <c r="GAU148"/>
      <c r="GAV148"/>
      <c r="GAW148"/>
      <c r="GAX148"/>
      <c r="GAY148"/>
      <c r="GAZ148"/>
      <c r="GBA148"/>
      <c r="GBB148"/>
      <c r="GBC148"/>
      <c r="GBD148"/>
      <c r="GBE148"/>
      <c r="GBF148"/>
      <c r="GBG148"/>
      <c r="GBH148"/>
      <c r="GBI148"/>
      <c r="GBJ148"/>
      <c r="GBK148"/>
      <c r="GBL148"/>
      <c r="GBM148"/>
      <c r="GBN148"/>
      <c r="GBO148"/>
      <c r="GBP148"/>
      <c r="GBQ148"/>
      <c r="GBR148"/>
      <c r="GBS148"/>
      <c r="GBT148"/>
      <c r="GBU148"/>
      <c r="GBV148"/>
      <c r="GBW148"/>
      <c r="GBX148"/>
      <c r="GBY148"/>
      <c r="GBZ148"/>
      <c r="GCA148"/>
      <c r="GCB148"/>
      <c r="GCC148"/>
      <c r="GCD148"/>
      <c r="GCE148"/>
      <c r="GCF148"/>
      <c r="GCG148"/>
      <c r="GCH148"/>
      <c r="GCI148"/>
      <c r="GCJ148"/>
      <c r="GCK148"/>
      <c r="GCL148"/>
      <c r="GCM148"/>
      <c r="GCN148"/>
      <c r="GCO148"/>
      <c r="GCP148"/>
      <c r="GCQ148"/>
      <c r="GCR148"/>
      <c r="GCS148"/>
      <c r="GCT148"/>
      <c r="GCU148"/>
      <c r="GCV148"/>
      <c r="GCW148"/>
      <c r="GCX148"/>
      <c r="GCY148"/>
      <c r="GCZ148"/>
      <c r="GDA148"/>
      <c r="GDB148"/>
      <c r="GDC148"/>
      <c r="GDD148"/>
      <c r="GDE148"/>
      <c r="GDF148"/>
      <c r="GDG148"/>
      <c r="GDH148"/>
      <c r="GDI148"/>
      <c r="GDJ148"/>
      <c r="GDK148"/>
      <c r="GDL148"/>
      <c r="GDM148"/>
      <c r="GDN148"/>
      <c r="GDO148"/>
      <c r="GDP148"/>
      <c r="GDQ148"/>
      <c r="GDR148"/>
      <c r="GDS148"/>
      <c r="GDT148"/>
      <c r="GDU148"/>
      <c r="GDV148"/>
      <c r="GDW148"/>
      <c r="GDX148"/>
      <c r="GDY148"/>
      <c r="GDZ148"/>
      <c r="GEA148"/>
      <c r="GEB148"/>
      <c r="GEC148"/>
      <c r="GED148"/>
      <c r="GEE148"/>
      <c r="GEF148"/>
      <c r="GEG148"/>
      <c r="GEH148"/>
      <c r="GEI148"/>
      <c r="GEJ148"/>
      <c r="GEK148"/>
      <c r="GEL148"/>
      <c r="GEM148"/>
      <c r="GEN148"/>
      <c r="GEO148"/>
      <c r="GEP148"/>
      <c r="GEQ148"/>
      <c r="GER148"/>
      <c r="GES148"/>
      <c r="GET148"/>
      <c r="GEU148"/>
      <c r="GEV148"/>
      <c r="GEW148"/>
      <c r="GEX148"/>
      <c r="GEY148"/>
      <c r="GEZ148"/>
      <c r="GFA148"/>
      <c r="GFB148"/>
      <c r="GFC148"/>
      <c r="GFD148"/>
      <c r="GFE148"/>
      <c r="GFF148"/>
      <c r="GFG148"/>
      <c r="GFH148"/>
      <c r="GFI148"/>
      <c r="GFJ148"/>
      <c r="GFK148"/>
      <c r="GFL148"/>
      <c r="GFM148"/>
      <c r="GFN148"/>
      <c r="GFO148"/>
      <c r="GFP148"/>
      <c r="GFQ148"/>
      <c r="GFR148"/>
      <c r="GFS148"/>
      <c r="GFT148"/>
      <c r="GFU148"/>
      <c r="GFV148"/>
      <c r="GFW148"/>
      <c r="GFX148"/>
      <c r="GFY148"/>
      <c r="GFZ148"/>
      <c r="GGA148"/>
      <c r="GGB148"/>
      <c r="GGC148"/>
      <c r="GGD148"/>
      <c r="GGE148"/>
      <c r="GGF148"/>
      <c r="GGG148"/>
      <c r="GGH148"/>
      <c r="GGI148"/>
      <c r="GGJ148"/>
      <c r="GGK148"/>
      <c r="GGL148"/>
      <c r="GGM148"/>
      <c r="GGN148"/>
      <c r="GGO148"/>
      <c r="GGP148"/>
      <c r="GGQ148"/>
      <c r="GGR148"/>
      <c r="GGS148"/>
      <c r="GGT148"/>
      <c r="GGU148"/>
      <c r="GGV148"/>
      <c r="GGW148"/>
      <c r="GGX148"/>
      <c r="GGY148"/>
      <c r="GGZ148"/>
      <c r="GHA148"/>
      <c r="GHB148"/>
      <c r="GHC148"/>
      <c r="GHD148"/>
      <c r="GHE148"/>
      <c r="GHF148"/>
      <c r="GHG148"/>
      <c r="GHH148"/>
      <c r="GHI148"/>
      <c r="GHJ148"/>
      <c r="GHK148"/>
      <c r="GHL148"/>
      <c r="GHM148"/>
      <c r="GHN148"/>
      <c r="GHO148"/>
      <c r="GHP148"/>
      <c r="GHQ148"/>
      <c r="GHR148"/>
      <c r="GHS148"/>
      <c r="GHT148"/>
      <c r="GHU148"/>
      <c r="GHV148"/>
      <c r="GHW148"/>
      <c r="GHX148"/>
      <c r="GHY148"/>
      <c r="GHZ148"/>
      <c r="GIA148"/>
      <c r="GIB148"/>
      <c r="GIC148"/>
      <c r="GID148"/>
      <c r="GIE148"/>
      <c r="GIF148"/>
      <c r="GIG148"/>
      <c r="GIH148"/>
      <c r="GII148"/>
      <c r="GIJ148"/>
      <c r="GIK148"/>
      <c r="GIL148"/>
      <c r="GIM148"/>
      <c r="GIN148"/>
      <c r="GIO148"/>
      <c r="GIP148"/>
      <c r="GIQ148"/>
      <c r="GIR148"/>
      <c r="GIS148"/>
      <c r="GIT148"/>
      <c r="GIU148"/>
      <c r="GIV148"/>
      <c r="GIW148"/>
      <c r="GIX148"/>
      <c r="GIY148"/>
      <c r="GIZ148"/>
      <c r="GJA148"/>
      <c r="GJB148"/>
      <c r="GJC148"/>
      <c r="GJD148"/>
      <c r="GJE148"/>
      <c r="GJF148"/>
      <c r="GJG148"/>
      <c r="GJH148"/>
      <c r="GJI148"/>
      <c r="GJJ148"/>
      <c r="GJK148"/>
      <c r="GJL148"/>
      <c r="GJM148"/>
      <c r="GJN148"/>
      <c r="GJO148"/>
      <c r="GJP148"/>
      <c r="GJQ148"/>
      <c r="GJR148"/>
      <c r="GJS148"/>
      <c r="GJT148"/>
      <c r="GJU148"/>
      <c r="GJV148"/>
      <c r="GJW148"/>
      <c r="GJX148"/>
      <c r="GJY148"/>
      <c r="GJZ148"/>
      <c r="GKA148"/>
      <c r="GKB148"/>
      <c r="GKC148"/>
      <c r="GKD148"/>
      <c r="GKE148"/>
      <c r="GKF148"/>
      <c r="GKG148"/>
      <c r="GKH148"/>
      <c r="GKI148"/>
      <c r="GKJ148"/>
      <c r="GKK148"/>
      <c r="GKL148"/>
      <c r="GKM148"/>
      <c r="GKN148"/>
      <c r="GKO148"/>
      <c r="GKP148"/>
      <c r="GKQ148"/>
      <c r="GKR148"/>
      <c r="GKS148"/>
      <c r="GKT148"/>
      <c r="GKU148"/>
      <c r="GKV148"/>
      <c r="GKW148"/>
      <c r="GKX148"/>
      <c r="GKY148"/>
      <c r="GKZ148"/>
      <c r="GLA148"/>
      <c r="GLB148"/>
      <c r="GLC148"/>
      <c r="GLD148"/>
      <c r="GLE148"/>
      <c r="GLF148"/>
      <c r="GLG148"/>
      <c r="GLH148"/>
      <c r="GLI148"/>
      <c r="GLJ148"/>
      <c r="GLK148"/>
      <c r="GLL148"/>
      <c r="GLM148"/>
      <c r="GLN148"/>
      <c r="GLO148"/>
      <c r="GLP148"/>
      <c r="GLQ148"/>
      <c r="GLR148"/>
      <c r="GLS148"/>
      <c r="GLT148"/>
      <c r="GLU148"/>
      <c r="GLV148"/>
      <c r="GLW148"/>
      <c r="GLX148"/>
      <c r="GLY148"/>
      <c r="GLZ148"/>
      <c r="GMA148"/>
      <c r="GMB148"/>
      <c r="GMC148"/>
      <c r="GMD148"/>
      <c r="GME148"/>
      <c r="GMF148"/>
      <c r="GMG148"/>
      <c r="GMH148"/>
      <c r="GMI148"/>
      <c r="GMJ148"/>
      <c r="GMK148"/>
      <c r="GML148"/>
      <c r="GMM148"/>
      <c r="GMN148"/>
      <c r="GMO148"/>
      <c r="GMP148"/>
      <c r="GMQ148"/>
      <c r="GMR148"/>
      <c r="GMS148"/>
      <c r="GMT148"/>
      <c r="GMU148"/>
      <c r="GMV148"/>
      <c r="GMW148"/>
      <c r="GMX148"/>
      <c r="GMY148"/>
      <c r="GMZ148"/>
      <c r="GNA148"/>
      <c r="GNB148"/>
      <c r="GNC148"/>
      <c r="GND148"/>
      <c r="GNE148"/>
      <c r="GNF148"/>
      <c r="GNG148"/>
      <c r="GNH148"/>
      <c r="GNI148"/>
      <c r="GNJ148"/>
      <c r="GNK148"/>
      <c r="GNL148"/>
      <c r="GNM148"/>
      <c r="GNN148"/>
      <c r="GNO148"/>
      <c r="GNP148"/>
      <c r="GNQ148"/>
      <c r="GNR148"/>
      <c r="GNS148"/>
      <c r="GNT148"/>
      <c r="GNU148"/>
      <c r="GNV148"/>
      <c r="GNW148"/>
      <c r="GNX148"/>
      <c r="GNY148"/>
      <c r="GNZ148"/>
      <c r="GOA148"/>
      <c r="GOB148"/>
      <c r="GOC148"/>
      <c r="GOD148"/>
      <c r="GOE148"/>
      <c r="GOF148"/>
      <c r="GOG148"/>
      <c r="GOH148"/>
      <c r="GOI148"/>
      <c r="GOJ148"/>
      <c r="GOK148"/>
      <c r="GOL148"/>
      <c r="GOM148"/>
      <c r="GON148"/>
      <c r="GOO148"/>
      <c r="GOP148"/>
      <c r="GOQ148"/>
      <c r="GOR148"/>
      <c r="GOS148"/>
      <c r="GOT148"/>
      <c r="GOU148"/>
      <c r="GOV148"/>
      <c r="GOW148"/>
      <c r="GOX148"/>
      <c r="GOY148"/>
      <c r="GOZ148"/>
      <c r="GPA148"/>
      <c r="GPB148"/>
      <c r="GPC148"/>
      <c r="GPD148"/>
      <c r="GPE148"/>
      <c r="GPF148"/>
      <c r="GPG148"/>
      <c r="GPH148"/>
      <c r="GPI148"/>
      <c r="GPJ148"/>
      <c r="GPK148"/>
      <c r="GPL148"/>
      <c r="GPM148"/>
      <c r="GPN148"/>
      <c r="GPO148"/>
      <c r="GPP148"/>
      <c r="GPQ148"/>
      <c r="GPR148"/>
      <c r="GPS148"/>
      <c r="GPT148"/>
      <c r="GPU148"/>
      <c r="GPV148"/>
      <c r="GPW148"/>
      <c r="GPX148"/>
      <c r="GPY148"/>
      <c r="GPZ148"/>
      <c r="GQA148"/>
      <c r="GQB148"/>
      <c r="GQC148"/>
      <c r="GQD148"/>
      <c r="GQE148"/>
      <c r="GQF148"/>
      <c r="GQG148"/>
      <c r="GQH148"/>
      <c r="GQI148"/>
      <c r="GQJ148"/>
      <c r="GQK148"/>
      <c r="GQL148"/>
      <c r="GQM148"/>
      <c r="GQN148"/>
      <c r="GQO148"/>
      <c r="GQP148"/>
      <c r="GQQ148"/>
      <c r="GQR148"/>
      <c r="GQS148"/>
      <c r="GQT148"/>
      <c r="GQU148"/>
      <c r="GQV148"/>
      <c r="GQW148"/>
      <c r="GQX148"/>
      <c r="GQY148"/>
      <c r="GQZ148"/>
      <c r="GRA148"/>
      <c r="GRB148"/>
      <c r="GRC148"/>
      <c r="GRD148"/>
      <c r="GRE148"/>
      <c r="GRF148"/>
      <c r="GRG148"/>
      <c r="GRH148"/>
      <c r="GRI148"/>
      <c r="GRJ148"/>
      <c r="GRK148"/>
      <c r="GRL148"/>
      <c r="GRM148"/>
      <c r="GRN148"/>
      <c r="GRO148"/>
      <c r="GRP148"/>
      <c r="GRQ148"/>
      <c r="GRR148"/>
      <c r="GRS148"/>
      <c r="GRT148"/>
      <c r="GRU148"/>
      <c r="GRV148"/>
      <c r="GRW148"/>
      <c r="GRX148"/>
      <c r="GRY148"/>
      <c r="GRZ148"/>
      <c r="GSA148"/>
      <c r="GSB148"/>
      <c r="GSC148"/>
      <c r="GSD148"/>
      <c r="GSE148"/>
      <c r="GSF148"/>
      <c r="GSG148"/>
      <c r="GSH148"/>
      <c r="GSI148"/>
      <c r="GSJ148"/>
      <c r="GSK148"/>
      <c r="GSL148"/>
      <c r="GSM148"/>
      <c r="GSN148"/>
      <c r="GSO148"/>
      <c r="GSP148"/>
      <c r="GSQ148"/>
      <c r="GSR148"/>
      <c r="GSS148"/>
      <c r="GST148"/>
      <c r="GSU148"/>
      <c r="GSV148"/>
      <c r="GSW148"/>
      <c r="GSX148"/>
      <c r="GSY148"/>
      <c r="GSZ148"/>
      <c r="GTA148"/>
      <c r="GTB148"/>
      <c r="GTC148"/>
      <c r="GTD148"/>
      <c r="GTE148"/>
      <c r="GTF148"/>
      <c r="GTG148"/>
      <c r="GTH148"/>
      <c r="GTI148"/>
      <c r="GTJ148"/>
      <c r="GTK148"/>
      <c r="GTL148"/>
      <c r="GTM148"/>
      <c r="GTN148"/>
      <c r="GTO148"/>
      <c r="GTP148"/>
      <c r="GTQ148"/>
      <c r="GTR148"/>
      <c r="GTS148"/>
      <c r="GTT148"/>
      <c r="GTU148"/>
      <c r="GTV148"/>
      <c r="GTW148"/>
      <c r="GTX148"/>
      <c r="GTY148"/>
      <c r="GTZ148"/>
      <c r="GUA148"/>
      <c r="GUB148"/>
      <c r="GUC148"/>
      <c r="GUD148"/>
      <c r="GUE148"/>
      <c r="GUF148"/>
      <c r="GUG148"/>
      <c r="GUH148"/>
      <c r="GUI148"/>
      <c r="GUJ148"/>
      <c r="GUK148"/>
      <c r="GUL148"/>
      <c r="GUM148"/>
      <c r="GUN148"/>
      <c r="GUO148"/>
      <c r="GUP148"/>
      <c r="GUQ148"/>
      <c r="GUR148"/>
      <c r="GUS148"/>
      <c r="GUT148"/>
      <c r="GUU148"/>
      <c r="GUV148"/>
      <c r="GUW148"/>
      <c r="GUX148"/>
      <c r="GUY148"/>
      <c r="GUZ148"/>
      <c r="GVA148"/>
      <c r="GVB148"/>
      <c r="GVC148"/>
      <c r="GVD148"/>
      <c r="GVE148"/>
      <c r="GVF148"/>
      <c r="GVG148"/>
      <c r="GVH148"/>
      <c r="GVI148"/>
      <c r="GVJ148"/>
      <c r="GVK148"/>
      <c r="GVL148"/>
      <c r="GVM148"/>
      <c r="GVN148"/>
      <c r="GVO148"/>
      <c r="GVP148"/>
      <c r="GVQ148"/>
      <c r="GVR148"/>
      <c r="GVS148"/>
      <c r="GVT148"/>
      <c r="GVU148"/>
      <c r="GVV148"/>
      <c r="GVW148"/>
      <c r="GVX148"/>
      <c r="GVY148"/>
      <c r="GVZ148"/>
      <c r="GWA148"/>
      <c r="GWB148"/>
      <c r="GWC148"/>
      <c r="GWD148"/>
      <c r="GWE148"/>
      <c r="GWF148"/>
      <c r="GWG148"/>
      <c r="GWH148"/>
      <c r="GWI148"/>
      <c r="GWJ148"/>
      <c r="GWK148"/>
      <c r="GWL148"/>
      <c r="GWM148"/>
      <c r="GWN148"/>
      <c r="GWO148"/>
      <c r="GWP148"/>
      <c r="GWQ148"/>
      <c r="GWR148"/>
      <c r="GWS148"/>
      <c r="GWT148"/>
      <c r="GWU148"/>
      <c r="GWV148"/>
      <c r="GWW148"/>
      <c r="GWX148"/>
      <c r="GWY148"/>
      <c r="GWZ148"/>
      <c r="GXA148"/>
      <c r="GXB148"/>
      <c r="GXC148"/>
      <c r="GXD148"/>
      <c r="GXE148"/>
      <c r="GXF148"/>
      <c r="GXG148"/>
      <c r="GXH148"/>
      <c r="GXI148"/>
      <c r="GXJ148"/>
      <c r="GXK148"/>
      <c r="GXL148"/>
      <c r="GXM148"/>
      <c r="GXN148"/>
      <c r="GXO148"/>
      <c r="GXP148"/>
      <c r="GXQ148"/>
      <c r="GXR148"/>
      <c r="GXS148"/>
      <c r="GXT148"/>
      <c r="GXU148"/>
      <c r="GXV148"/>
      <c r="GXW148"/>
      <c r="GXX148"/>
      <c r="GXY148"/>
      <c r="GXZ148"/>
      <c r="GYA148"/>
      <c r="GYB148"/>
      <c r="GYC148"/>
      <c r="GYD148"/>
      <c r="GYE148"/>
      <c r="GYF148"/>
      <c r="GYG148"/>
      <c r="GYH148"/>
      <c r="GYI148"/>
      <c r="GYJ148"/>
      <c r="GYK148"/>
      <c r="GYL148"/>
      <c r="GYM148"/>
      <c r="GYN148"/>
      <c r="GYO148"/>
      <c r="GYP148"/>
      <c r="GYQ148"/>
      <c r="GYR148"/>
      <c r="GYS148"/>
      <c r="GYT148"/>
      <c r="GYU148"/>
      <c r="GYV148"/>
      <c r="GYW148"/>
      <c r="GYX148"/>
      <c r="GYY148"/>
      <c r="GYZ148"/>
      <c r="GZA148"/>
      <c r="GZB148"/>
      <c r="GZC148"/>
      <c r="GZD148"/>
      <c r="GZE148"/>
      <c r="GZF148"/>
      <c r="GZG148"/>
      <c r="GZH148"/>
      <c r="GZI148"/>
      <c r="GZJ148"/>
      <c r="GZK148"/>
      <c r="GZL148"/>
      <c r="GZM148"/>
      <c r="GZN148"/>
      <c r="GZO148"/>
      <c r="GZP148"/>
      <c r="GZQ148"/>
      <c r="GZR148"/>
      <c r="GZS148"/>
      <c r="GZT148"/>
      <c r="GZU148"/>
      <c r="GZV148"/>
      <c r="GZW148"/>
      <c r="GZX148"/>
      <c r="GZY148"/>
      <c r="GZZ148"/>
      <c r="HAA148"/>
      <c r="HAB148"/>
      <c r="HAC148"/>
      <c r="HAD148"/>
      <c r="HAE148"/>
      <c r="HAF148"/>
      <c r="HAG148"/>
      <c r="HAH148"/>
      <c r="HAI148"/>
      <c r="HAJ148"/>
      <c r="HAK148"/>
      <c r="HAL148"/>
      <c r="HAM148"/>
      <c r="HAN148"/>
      <c r="HAO148"/>
      <c r="HAP148"/>
      <c r="HAQ148"/>
      <c r="HAR148"/>
      <c r="HAS148"/>
      <c r="HAT148"/>
      <c r="HAU148"/>
      <c r="HAV148"/>
      <c r="HAW148"/>
      <c r="HAX148"/>
      <c r="HAY148"/>
      <c r="HAZ148"/>
      <c r="HBA148"/>
      <c r="HBB148"/>
      <c r="HBC148"/>
      <c r="HBD148"/>
      <c r="HBE148"/>
      <c r="HBF148"/>
      <c r="HBG148"/>
      <c r="HBH148"/>
      <c r="HBI148"/>
      <c r="HBJ148"/>
      <c r="HBK148"/>
      <c r="HBL148"/>
      <c r="HBM148"/>
      <c r="HBN148"/>
      <c r="HBO148"/>
      <c r="HBP148"/>
      <c r="HBQ148"/>
      <c r="HBR148"/>
      <c r="HBS148"/>
      <c r="HBT148"/>
      <c r="HBU148"/>
      <c r="HBV148"/>
      <c r="HBW148"/>
      <c r="HBX148"/>
      <c r="HBY148"/>
      <c r="HBZ148"/>
      <c r="HCA148"/>
      <c r="HCB148"/>
      <c r="HCC148"/>
      <c r="HCD148"/>
      <c r="HCE148"/>
      <c r="HCF148"/>
      <c r="HCG148"/>
      <c r="HCH148"/>
      <c r="HCI148"/>
      <c r="HCJ148"/>
      <c r="HCK148"/>
      <c r="HCL148"/>
      <c r="HCM148"/>
      <c r="HCN148"/>
      <c r="HCO148"/>
      <c r="HCP148"/>
      <c r="HCQ148"/>
      <c r="HCR148"/>
      <c r="HCS148"/>
      <c r="HCT148"/>
      <c r="HCU148"/>
      <c r="HCV148"/>
      <c r="HCW148"/>
      <c r="HCX148"/>
      <c r="HCY148"/>
      <c r="HCZ148"/>
      <c r="HDA148"/>
      <c r="HDB148"/>
      <c r="HDC148"/>
      <c r="HDD148"/>
      <c r="HDE148"/>
      <c r="HDF148"/>
      <c r="HDG148"/>
      <c r="HDH148"/>
      <c r="HDI148"/>
      <c r="HDJ148"/>
      <c r="HDK148"/>
      <c r="HDL148"/>
      <c r="HDM148"/>
      <c r="HDN148"/>
      <c r="HDO148"/>
      <c r="HDP148"/>
      <c r="HDQ148"/>
      <c r="HDR148"/>
      <c r="HDS148"/>
      <c r="HDT148"/>
      <c r="HDU148"/>
      <c r="HDV148"/>
      <c r="HDW148"/>
      <c r="HDX148"/>
      <c r="HDY148"/>
      <c r="HDZ148"/>
      <c r="HEA148"/>
      <c r="HEB148"/>
      <c r="HEC148"/>
      <c r="HED148"/>
      <c r="HEE148"/>
      <c r="HEF148"/>
      <c r="HEG148"/>
      <c r="HEH148"/>
      <c r="HEI148"/>
      <c r="HEJ148"/>
      <c r="HEK148"/>
      <c r="HEL148"/>
      <c r="HEM148"/>
      <c r="HEN148"/>
      <c r="HEO148"/>
      <c r="HEP148"/>
      <c r="HEQ148"/>
      <c r="HER148"/>
      <c r="HES148"/>
      <c r="HET148"/>
      <c r="HEU148"/>
      <c r="HEV148"/>
      <c r="HEW148"/>
      <c r="HEX148"/>
      <c r="HEY148"/>
      <c r="HEZ148"/>
      <c r="HFA148"/>
      <c r="HFB148"/>
      <c r="HFC148"/>
      <c r="HFD148"/>
      <c r="HFE148"/>
      <c r="HFF148"/>
      <c r="HFG148"/>
      <c r="HFH148"/>
      <c r="HFI148"/>
      <c r="HFJ148"/>
      <c r="HFK148"/>
      <c r="HFL148"/>
      <c r="HFM148"/>
      <c r="HFN148"/>
      <c r="HFO148"/>
      <c r="HFP148"/>
      <c r="HFQ148"/>
      <c r="HFR148"/>
      <c r="HFS148"/>
      <c r="HFT148"/>
      <c r="HFU148"/>
      <c r="HFV148"/>
      <c r="HFW148"/>
      <c r="HFX148"/>
      <c r="HFY148"/>
      <c r="HFZ148"/>
      <c r="HGA148"/>
      <c r="HGB148"/>
      <c r="HGC148"/>
      <c r="HGD148"/>
      <c r="HGE148"/>
      <c r="HGF148"/>
      <c r="HGG148"/>
      <c r="HGH148"/>
      <c r="HGI148"/>
      <c r="HGJ148"/>
      <c r="HGK148"/>
      <c r="HGL148"/>
      <c r="HGM148"/>
      <c r="HGN148"/>
      <c r="HGO148"/>
      <c r="HGP148"/>
      <c r="HGQ148"/>
      <c r="HGR148"/>
      <c r="HGS148"/>
      <c r="HGT148"/>
      <c r="HGU148"/>
      <c r="HGV148"/>
      <c r="HGW148"/>
      <c r="HGX148"/>
      <c r="HGY148"/>
      <c r="HGZ148"/>
      <c r="HHA148"/>
      <c r="HHB148"/>
      <c r="HHC148"/>
      <c r="HHD148"/>
      <c r="HHE148"/>
      <c r="HHF148"/>
      <c r="HHG148"/>
      <c r="HHH148"/>
      <c r="HHI148"/>
      <c r="HHJ148"/>
      <c r="HHK148"/>
      <c r="HHL148"/>
      <c r="HHM148"/>
      <c r="HHN148"/>
      <c r="HHO148"/>
      <c r="HHP148"/>
      <c r="HHQ148"/>
      <c r="HHR148"/>
      <c r="HHS148"/>
      <c r="HHT148"/>
      <c r="HHU148"/>
      <c r="HHV148"/>
      <c r="HHW148"/>
      <c r="HHX148"/>
      <c r="HHY148"/>
      <c r="HHZ148"/>
      <c r="HIA148"/>
      <c r="HIB148"/>
      <c r="HIC148"/>
      <c r="HID148"/>
      <c r="HIE148"/>
      <c r="HIF148"/>
      <c r="HIG148"/>
      <c r="HIH148"/>
      <c r="HII148"/>
      <c r="HIJ148"/>
      <c r="HIK148"/>
      <c r="HIL148"/>
      <c r="HIM148"/>
      <c r="HIN148"/>
      <c r="HIO148"/>
      <c r="HIP148"/>
      <c r="HIQ148"/>
      <c r="HIR148"/>
      <c r="HIS148"/>
      <c r="HIT148"/>
      <c r="HIU148"/>
      <c r="HIV148"/>
      <c r="HIW148"/>
      <c r="HIX148"/>
      <c r="HIY148"/>
      <c r="HIZ148"/>
      <c r="HJA148"/>
      <c r="HJB148"/>
      <c r="HJC148"/>
      <c r="HJD148"/>
      <c r="HJE148"/>
      <c r="HJF148"/>
      <c r="HJG148"/>
      <c r="HJH148"/>
      <c r="HJI148"/>
      <c r="HJJ148"/>
      <c r="HJK148"/>
      <c r="HJL148"/>
      <c r="HJM148"/>
      <c r="HJN148"/>
      <c r="HJO148"/>
      <c r="HJP148"/>
      <c r="HJQ148"/>
      <c r="HJR148"/>
      <c r="HJS148"/>
      <c r="HJT148"/>
      <c r="HJU148"/>
      <c r="HJV148"/>
      <c r="HJW148"/>
      <c r="HJX148"/>
      <c r="HJY148"/>
      <c r="HJZ148"/>
      <c r="HKA148"/>
      <c r="HKB148"/>
      <c r="HKC148"/>
      <c r="HKD148"/>
      <c r="HKE148"/>
      <c r="HKF148"/>
      <c r="HKG148"/>
      <c r="HKH148"/>
      <c r="HKI148"/>
      <c r="HKJ148"/>
      <c r="HKK148"/>
      <c r="HKL148"/>
      <c r="HKM148"/>
      <c r="HKN148"/>
      <c r="HKO148"/>
      <c r="HKP148"/>
      <c r="HKQ148"/>
      <c r="HKR148"/>
      <c r="HKS148"/>
      <c r="HKT148"/>
      <c r="HKU148"/>
      <c r="HKV148"/>
      <c r="HKW148"/>
      <c r="HKX148"/>
      <c r="HKY148"/>
      <c r="HKZ148"/>
      <c r="HLA148"/>
      <c r="HLB148"/>
      <c r="HLC148"/>
      <c r="HLD148"/>
      <c r="HLE148"/>
      <c r="HLF148"/>
      <c r="HLG148"/>
      <c r="HLH148"/>
      <c r="HLI148"/>
      <c r="HLJ148"/>
      <c r="HLK148"/>
      <c r="HLL148"/>
      <c r="HLM148"/>
      <c r="HLN148"/>
      <c r="HLO148"/>
      <c r="HLP148"/>
      <c r="HLQ148"/>
      <c r="HLR148"/>
      <c r="HLS148"/>
      <c r="HLT148"/>
      <c r="HLU148"/>
      <c r="HLV148"/>
      <c r="HLW148"/>
      <c r="HLX148"/>
      <c r="HLY148"/>
      <c r="HLZ148"/>
      <c r="HMA148"/>
      <c r="HMB148"/>
      <c r="HMC148"/>
      <c r="HMD148"/>
      <c r="HME148"/>
      <c r="HMF148"/>
      <c r="HMG148"/>
      <c r="HMH148"/>
      <c r="HMI148"/>
      <c r="HMJ148"/>
      <c r="HMK148"/>
      <c r="HML148"/>
      <c r="HMM148"/>
      <c r="HMN148"/>
      <c r="HMO148"/>
      <c r="HMP148"/>
      <c r="HMQ148"/>
      <c r="HMR148"/>
      <c r="HMS148"/>
      <c r="HMT148"/>
      <c r="HMU148"/>
      <c r="HMV148"/>
      <c r="HMW148"/>
      <c r="HMX148"/>
      <c r="HMY148"/>
      <c r="HMZ148"/>
      <c r="HNA148"/>
      <c r="HNB148"/>
      <c r="HNC148"/>
      <c r="HND148"/>
      <c r="HNE148"/>
      <c r="HNF148"/>
      <c r="HNG148"/>
      <c r="HNH148"/>
      <c r="HNI148"/>
      <c r="HNJ148"/>
      <c r="HNK148"/>
      <c r="HNL148"/>
      <c r="HNM148"/>
      <c r="HNN148"/>
      <c r="HNO148"/>
      <c r="HNP148"/>
      <c r="HNQ148"/>
      <c r="HNR148"/>
      <c r="HNS148"/>
      <c r="HNT148"/>
      <c r="HNU148"/>
      <c r="HNV148"/>
      <c r="HNW148"/>
      <c r="HNX148"/>
      <c r="HNY148"/>
      <c r="HNZ148"/>
      <c r="HOA148"/>
      <c r="HOB148"/>
      <c r="HOC148"/>
      <c r="HOD148"/>
      <c r="HOE148"/>
      <c r="HOF148"/>
      <c r="HOG148"/>
      <c r="HOH148"/>
      <c r="HOI148"/>
      <c r="HOJ148"/>
      <c r="HOK148"/>
      <c r="HOL148"/>
      <c r="HOM148"/>
      <c r="HON148"/>
      <c r="HOO148"/>
      <c r="HOP148"/>
      <c r="HOQ148"/>
      <c r="HOR148"/>
      <c r="HOS148"/>
      <c r="HOT148"/>
      <c r="HOU148"/>
      <c r="HOV148"/>
      <c r="HOW148"/>
      <c r="HOX148"/>
      <c r="HOY148"/>
      <c r="HOZ148"/>
      <c r="HPA148"/>
      <c r="HPB148"/>
      <c r="HPC148"/>
      <c r="HPD148"/>
      <c r="HPE148"/>
      <c r="HPF148"/>
      <c r="HPG148"/>
      <c r="HPH148"/>
      <c r="HPI148"/>
      <c r="HPJ148"/>
      <c r="HPK148"/>
      <c r="HPL148"/>
      <c r="HPM148"/>
      <c r="HPN148"/>
      <c r="HPO148"/>
      <c r="HPP148"/>
      <c r="HPQ148"/>
      <c r="HPR148"/>
      <c r="HPS148"/>
      <c r="HPT148"/>
      <c r="HPU148"/>
      <c r="HPV148"/>
      <c r="HPW148"/>
      <c r="HPX148"/>
      <c r="HPY148"/>
      <c r="HPZ148"/>
      <c r="HQA148"/>
      <c r="HQB148"/>
      <c r="HQC148"/>
      <c r="HQD148"/>
      <c r="HQE148"/>
      <c r="HQF148"/>
      <c r="HQG148"/>
      <c r="HQH148"/>
      <c r="HQI148"/>
      <c r="HQJ148"/>
      <c r="HQK148"/>
      <c r="HQL148"/>
      <c r="HQM148"/>
      <c r="HQN148"/>
      <c r="HQO148"/>
      <c r="HQP148"/>
      <c r="HQQ148"/>
      <c r="HQR148"/>
      <c r="HQS148"/>
      <c r="HQT148"/>
      <c r="HQU148"/>
      <c r="HQV148"/>
      <c r="HQW148"/>
      <c r="HQX148"/>
      <c r="HQY148"/>
      <c r="HQZ148"/>
      <c r="HRA148"/>
      <c r="HRB148"/>
      <c r="HRC148"/>
      <c r="HRD148"/>
      <c r="HRE148"/>
      <c r="HRF148"/>
      <c r="HRG148"/>
      <c r="HRH148"/>
      <c r="HRI148"/>
      <c r="HRJ148"/>
      <c r="HRK148"/>
      <c r="HRL148"/>
      <c r="HRM148"/>
      <c r="HRN148"/>
      <c r="HRO148"/>
      <c r="HRP148"/>
      <c r="HRQ148"/>
      <c r="HRR148"/>
      <c r="HRS148"/>
      <c r="HRT148"/>
      <c r="HRU148"/>
      <c r="HRV148"/>
      <c r="HRW148"/>
      <c r="HRX148"/>
      <c r="HRY148"/>
      <c r="HRZ148"/>
      <c r="HSA148"/>
      <c r="HSB148"/>
      <c r="HSC148"/>
      <c r="HSD148"/>
      <c r="HSE148"/>
      <c r="HSF148"/>
      <c r="HSG148"/>
      <c r="HSH148"/>
      <c r="HSI148"/>
      <c r="HSJ148"/>
      <c r="HSK148"/>
      <c r="HSL148"/>
      <c r="HSM148"/>
      <c r="HSN148"/>
      <c r="HSO148"/>
      <c r="HSP148"/>
      <c r="HSQ148"/>
      <c r="HSR148"/>
      <c r="HSS148"/>
      <c r="HST148"/>
      <c r="HSU148"/>
      <c r="HSV148"/>
      <c r="HSW148"/>
      <c r="HSX148"/>
      <c r="HSY148"/>
      <c r="HSZ148"/>
      <c r="HTA148"/>
      <c r="HTB148"/>
      <c r="HTC148"/>
      <c r="HTD148"/>
      <c r="HTE148"/>
      <c r="HTF148"/>
      <c r="HTG148"/>
      <c r="HTH148"/>
      <c r="HTI148"/>
      <c r="HTJ148"/>
      <c r="HTK148"/>
      <c r="HTL148"/>
      <c r="HTM148"/>
      <c r="HTN148"/>
      <c r="HTO148"/>
      <c r="HTP148"/>
      <c r="HTQ148"/>
      <c r="HTR148"/>
      <c r="HTS148"/>
      <c r="HTT148"/>
      <c r="HTU148"/>
      <c r="HTV148"/>
      <c r="HTW148"/>
      <c r="HTX148"/>
      <c r="HTY148"/>
      <c r="HTZ148"/>
      <c r="HUA148"/>
      <c r="HUB148"/>
      <c r="HUC148"/>
      <c r="HUD148"/>
      <c r="HUE148"/>
      <c r="HUF148"/>
      <c r="HUG148"/>
      <c r="HUH148"/>
      <c r="HUI148"/>
      <c r="HUJ148"/>
      <c r="HUK148"/>
      <c r="HUL148"/>
      <c r="HUM148"/>
      <c r="HUN148"/>
      <c r="HUO148"/>
      <c r="HUP148"/>
      <c r="HUQ148"/>
      <c r="HUR148"/>
      <c r="HUS148"/>
      <c r="HUT148"/>
      <c r="HUU148"/>
      <c r="HUV148"/>
      <c r="HUW148"/>
      <c r="HUX148"/>
      <c r="HUY148"/>
      <c r="HUZ148"/>
      <c r="HVA148"/>
      <c r="HVB148"/>
      <c r="HVC148"/>
      <c r="HVD148"/>
      <c r="HVE148"/>
      <c r="HVF148"/>
      <c r="HVG148"/>
      <c r="HVH148"/>
      <c r="HVI148"/>
      <c r="HVJ148"/>
      <c r="HVK148"/>
      <c r="HVL148"/>
      <c r="HVM148"/>
      <c r="HVN148"/>
      <c r="HVO148"/>
      <c r="HVP148"/>
      <c r="HVQ148"/>
      <c r="HVR148"/>
      <c r="HVS148"/>
      <c r="HVT148"/>
      <c r="HVU148"/>
      <c r="HVV148"/>
      <c r="HVW148"/>
      <c r="HVX148"/>
      <c r="HVY148"/>
      <c r="HVZ148"/>
      <c r="HWA148"/>
      <c r="HWB148"/>
      <c r="HWC148"/>
      <c r="HWD148"/>
      <c r="HWE148"/>
      <c r="HWF148"/>
      <c r="HWG148"/>
      <c r="HWH148"/>
      <c r="HWI148"/>
      <c r="HWJ148"/>
      <c r="HWK148"/>
      <c r="HWL148"/>
      <c r="HWM148"/>
      <c r="HWN148"/>
      <c r="HWO148"/>
      <c r="HWP148"/>
      <c r="HWQ148"/>
      <c r="HWR148"/>
      <c r="HWS148"/>
      <c r="HWT148"/>
      <c r="HWU148"/>
      <c r="HWV148"/>
      <c r="HWW148"/>
      <c r="HWX148"/>
      <c r="HWY148"/>
      <c r="HWZ148"/>
      <c r="HXA148"/>
      <c r="HXB148"/>
      <c r="HXC148"/>
      <c r="HXD148"/>
      <c r="HXE148"/>
      <c r="HXF148"/>
      <c r="HXG148"/>
      <c r="HXH148"/>
      <c r="HXI148"/>
      <c r="HXJ148"/>
      <c r="HXK148"/>
      <c r="HXL148"/>
      <c r="HXM148"/>
      <c r="HXN148"/>
      <c r="HXO148"/>
      <c r="HXP148"/>
      <c r="HXQ148"/>
      <c r="HXR148"/>
      <c r="HXS148"/>
      <c r="HXT148"/>
      <c r="HXU148"/>
      <c r="HXV148"/>
      <c r="HXW148"/>
      <c r="HXX148"/>
      <c r="HXY148"/>
      <c r="HXZ148"/>
      <c r="HYA148"/>
      <c r="HYB148"/>
      <c r="HYC148"/>
      <c r="HYD148"/>
      <c r="HYE148"/>
      <c r="HYF148"/>
      <c r="HYG148"/>
      <c r="HYH148"/>
      <c r="HYI148"/>
      <c r="HYJ148"/>
      <c r="HYK148"/>
      <c r="HYL148"/>
      <c r="HYM148"/>
      <c r="HYN148"/>
      <c r="HYO148"/>
      <c r="HYP148"/>
      <c r="HYQ148"/>
      <c r="HYR148"/>
      <c r="HYS148"/>
      <c r="HYT148"/>
      <c r="HYU148"/>
      <c r="HYV148"/>
      <c r="HYW148"/>
      <c r="HYX148"/>
      <c r="HYY148"/>
      <c r="HYZ148"/>
      <c r="HZA148"/>
      <c r="HZB148"/>
      <c r="HZC148"/>
      <c r="HZD148"/>
      <c r="HZE148"/>
      <c r="HZF148"/>
      <c r="HZG148"/>
      <c r="HZH148"/>
      <c r="HZI148"/>
      <c r="HZJ148"/>
      <c r="HZK148"/>
      <c r="HZL148"/>
      <c r="HZM148"/>
      <c r="HZN148"/>
      <c r="HZO148"/>
      <c r="HZP148"/>
      <c r="HZQ148"/>
      <c r="HZR148"/>
      <c r="HZS148"/>
      <c r="HZT148"/>
      <c r="HZU148"/>
      <c r="HZV148"/>
      <c r="HZW148"/>
      <c r="HZX148"/>
      <c r="HZY148"/>
      <c r="HZZ148"/>
      <c r="IAA148"/>
      <c r="IAB148"/>
      <c r="IAC148"/>
      <c r="IAD148"/>
      <c r="IAE148"/>
      <c r="IAF148"/>
      <c r="IAG148"/>
      <c r="IAH148"/>
      <c r="IAI148"/>
      <c r="IAJ148"/>
      <c r="IAK148"/>
      <c r="IAL148"/>
      <c r="IAM148"/>
      <c r="IAN148"/>
      <c r="IAO148"/>
      <c r="IAP148"/>
      <c r="IAQ148"/>
      <c r="IAR148"/>
      <c r="IAS148"/>
      <c r="IAT148"/>
      <c r="IAU148"/>
      <c r="IAV148"/>
      <c r="IAW148"/>
      <c r="IAX148"/>
      <c r="IAY148"/>
      <c r="IAZ148"/>
      <c r="IBA148"/>
      <c r="IBB148"/>
      <c r="IBC148"/>
      <c r="IBD148"/>
      <c r="IBE148"/>
      <c r="IBF148"/>
      <c r="IBG148"/>
      <c r="IBH148"/>
      <c r="IBI148"/>
      <c r="IBJ148"/>
      <c r="IBK148"/>
      <c r="IBL148"/>
      <c r="IBM148"/>
      <c r="IBN148"/>
      <c r="IBO148"/>
      <c r="IBP148"/>
      <c r="IBQ148"/>
      <c r="IBR148"/>
      <c r="IBS148"/>
      <c r="IBT148"/>
      <c r="IBU148"/>
      <c r="IBV148"/>
      <c r="IBW148"/>
      <c r="IBX148"/>
      <c r="IBY148"/>
      <c r="IBZ148"/>
      <c r="ICA148"/>
      <c r="ICB148"/>
      <c r="ICC148"/>
      <c r="ICD148"/>
      <c r="ICE148"/>
      <c r="ICF148"/>
      <c r="ICG148"/>
      <c r="ICH148"/>
      <c r="ICI148"/>
      <c r="ICJ148"/>
      <c r="ICK148"/>
      <c r="ICL148"/>
      <c r="ICM148"/>
      <c r="ICN148"/>
      <c r="ICO148"/>
      <c r="ICP148"/>
      <c r="ICQ148"/>
      <c r="ICR148"/>
      <c r="ICS148"/>
      <c r="ICT148"/>
      <c r="ICU148"/>
      <c r="ICV148"/>
      <c r="ICW148"/>
      <c r="ICX148"/>
      <c r="ICY148"/>
      <c r="ICZ148"/>
      <c r="IDA148"/>
      <c r="IDB148"/>
      <c r="IDC148"/>
      <c r="IDD148"/>
      <c r="IDE148"/>
      <c r="IDF148"/>
      <c r="IDG148"/>
      <c r="IDH148"/>
      <c r="IDI148"/>
      <c r="IDJ148"/>
      <c r="IDK148"/>
      <c r="IDL148"/>
      <c r="IDM148"/>
      <c r="IDN148"/>
      <c r="IDO148"/>
      <c r="IDP148"/>
      <c r="IDQ148"/>
      <c r="IDR148"/>
      <c r="IDS148"/>
      <c r="IDT148"/>
      <c r="IDU148"/>
      <c r="IDV148"/>
      <c r="IDW148"/>
      <c r="IDX148"/>
      <c r="IDY148"/>
      <c r="IDZ148"/>
      <c r="IEA148"/>
      <c r="IEB148"/>
      <c r="IEC148"/>
      <c r="IED148"/>
      <c r="IEE148"/>
      <c r="IEF148"/>
      <c r="IEG148"/>
      <c r="IEH148"/>
      <c r="IEI148"/>
      <c r="IEJ148"/>
      <c r="IEK148"/>
      <c r="IEL148"/>
      <c r="IEM148"/>
      <c r="IEN148"/>
      <c r="IEO148"/>
      <c r="IEP148"/>
      <c r="IEQ148"/>
      <c r="IER148"/>
      <c r="IES148"/>
      <c r="IET148"/>
      <c r="IEU148"/>
      <c r="IEV148"/>
      <c r="IEW148"/>
      <c r="IEX148"/>
      <c r="IEY148"/>
      <c r="IEZ148"/>
      <c r="IFA148"/>
      <c r="IFB148"/>
      <c r="IFC148"/>
      <c r="IFD148"/>
      <c r="IFE148"/>
      <c r="IFF148"/>
      <c r="IFG148"/>
      <c r="IFH148"/>
      <c r="IFI148"/>
      <c r="IFJ148"/>
      <c r="IFK148"/>
      <c r="IFL148"/>
      <c r="IFM148"/>
      <c r="IFN148"/>
      <c r="IFO148"/>
      <c r="IFP148"/>
      <c r="IFQ148"/>
      <c r="IFR148"/>
      <c r="IFS148"/>
      <c r="IFT148"/>
      <c r="IFU148"/>
      <c r="IFV148"/>
      <c r="IFW148"/>
      <c r="IFX148"/>
      <c r="IFY148"/>
      <c r="IFZ148"/>
      <c r="IGA148"/>
      <c r="IGB148"/>
      <c r="IGC148"/>
      <c r="IGD148"/>
      <c r="IGE148"/>
      <c r="IGF148"/>
      <c r="IGG148"/>
      <c r="IGH148"/>
      <c r="IGI148"/>
      <c r="IGJ148"/>
      <c r="IGK148"/>
      <c r="IGL148"/>
      <c r="IGM148"/>
      <c r="IGN148"/>
      <c r="IGO148"/>
      <c r="IGP148"/>
      <c r="IGQ148"/>
      <c r="IGR148"/>
      <c r="IGS148"/>
      <c r="IGT148"/>
      <c r="IGU148"/>
      <c r="IGV148"/>
      <c r="IGW148"/>
      <c r="IGX148"/>
      <c r="IGY148"/>
      <c r="IGZ148"/>
      <c r="IHA148"/>
      <c r="IHB148"/>
      <c r="IHC148"/>
      <c r="IHD148"/>
      <c r="IHE148"/>
      <c r="IHF148"/>
      <c r="IHG148"/>
      <c r="IHH148"/>
      <c r="IHI148"/>
      <c r="IHJ148"/>
      <c r="IHK148"/>
      <c r="IHL148"/>
      <c r="IHM148"/>
      <c r="IHN148"/>
      <c r="IHO148"/>
      <c r="IHP148"/>
      <c r="IHQ148"/>
      <c r="IHR148"/>
      <c r="IHS148"/>
      <c r="IHT148"/>
      <c r="IHU148"/>
      <c r="IHV148"/>
      <c r="IHW148"/>
      <c r="IHX148"/>
      <c r="IHY148"/>
      <c r="IHZ148"/>
      <c r="IIA148"/>
      <c r="IIB148"/>
      <c r="IIC148"/>
      <c r="IID148"/>
      <c r="IIE148"/>
      <c r="IIF148"/>
      <c r="IIG148"/>
      <c r="IIH148"/>
      <c r="III148"/>
      <c r="IIJ148"/>
      <c r="IIK148"/>
      <c r="IIL148"/>
      <c r="IIM148"/>
      <c r="IIN148"/>
      <c r="IIO148"/>
      <c r="IIP148"/>
      <c r="IIQ148"/>
      <c r="IIR148"/>
      <c r="IIS148"/>
      <c r="IIT148"/>
      <c r="IIU148"/>
      <c r="IIV148"/>
      <c r="IIW148"/>
      <c r="IIX148"/>
      <c r="IIY148"/>
      <c r="IIZ148"/>
      <c r="IJA148"/>
      <c r="IJB148"/>
      <c r="IJC148"/>
      <c r="IJD148"/>
      <c r="IJE148"/>
      <c r="IJF148"/>
      <c r="IJG148"/>
      <c r="IJH148"/>
      <c r="IJI148"/>
      <c r="IJJ148"/>
      <c r="IJK148"/>
      <c r="IJL148"/>
      <c r="IJM148"/>
      <c r="IJN148"/>
      <c r="IJO148"/>
      <c r="IJP148"/>
      <c r="IJQ148"/>
      <c r="IJR148"/>
      <c r="IJS148"/>
      <c r="IJT148"/>
      <c r="IJU148"/>
      <c r="IJV148"/>
      <c r="IJW148"/>
      <c r="IJX148"/>
      <c r="IJY148"/>
      <c r="IJZ148"/>
      <c r="IKA148"/>
      <c r="IKB148"/>
      <c r="IKC148"/>
      <c r="IKD148"/>
      <c r="IKE148"/>
      <c r="IKF148"/>
      <c r="IKG148"/>
      <c r="IKH148"/>
      <c r="IKI148"/>
      <c r="IKJ148"/>
      <c r="IKK148"/>
      <c r="IKL148"/>
      <c r="IKM148"/>
      <c r="IKN148"/>
      <c r="IKO148"/>
      <c r="IKP148"/>
      <c r="IKQ148"/>
      <c r="IKR148"/>
      <c r="IKS148"/>
      <c r="IKT148"/>
      <c r="IKU148"/>
      <c r="IKV148"/>
      <c r="IKW148"/>
      <c r="IKX148"/>
      <c r="IKY148"/>
      <c r="IKZ148"/>
      <c r="ILA148"/>
      <c r="ILB148"/>
      <c r="ILC148"/>
      <c r="ILD148"/>
      <c r="ILE148"/>
      <c r="ILF148"/>
      <c r="ILG148"/>
      <c r="ILH148"/>
      <c r="ILI148"/>
      <c r="ILJ148"/>
      <c r="ILK148"/>
      <c r="ILL148"/>
      <c r="ILM148"/>
      <c r="ILN148"/>
      <c r="ILO148"/>
      <c r="ILP148"/>
      <c r="ILQ148"/>
      <c r="ILR148"/>
      <c r="ILS148"/>
      <c r="ILT148"/>
      <c r="ILU148"/>
      <c r="ILV148"/>
      <c r="ILW148"/>
      <c r="ILX148"/>
      <c r="ILY148"/>
      <c r="ILZ148"/>
      <c r="IMA148"/>
      <c r="IMB148"/>
      <c r="IMC148"/>
      <c r="IMD148"/>
      <c r="IME148"/>
      <c r="IMF148"/>
      <c r="IMG148"/>
      <c r="IMH148"/>
      <c r="IMI148"/>
      <c r="IMJ148"/>
      <c r="IMK148"/>
      <c r="IML148"/>
      <c r="IMM148"/>
      <c r="IMN148"/>
      <c r="IMO148"/>
      <c r="IMP148"/>
      <c r="IMQ148"/>
      <c r="IMR148"/>
      <c r="IMS148"/>
      <c r="IMT148"/>
      <c r="IMU148"/>
      <c r="IMV148"/>
      <c r="IMW148"/>
      <c r="IMX148"/>
      <c r="IMY148"/>
      <c r="IMZ148"/>
      <c r="INA148"/>
      <c r="INB148"/>
      <c r="INC148"/>
      <c r="IND148"/>
      <c r="INE148"/>
      <c r="INF148"/>
      <c r="ING148"/>
      <c r="INH148"/>
      <c r="INI148"/>
      <c r="INJ148"/>
      <c r="INK148"/>
      <c r="INL148"/>
      <c r="INM148"/>
      <c r="INN148"/>
      <c r="INO148"/>
      <c r="INP148"/>
      <c r="INQ148"/>
      <c r="INR148"/>
      <c r="INS148"/>
      <c r="INT148"/>
      <c r="INU148"/>
      <c r="INV148"/>
      <c r="INW148"/>
      <c r="INX148"/>
      <c r="INY148"/>
      <c r="INZ148"/>
      <c r="IOA148"/>
      <c r="IOB148"/>
      <c r="IOC148"/>
      <c r="IOD148"/>
      <c r="IOE148"/>
      <c r="IOF148"/>
      <c r="IOG148"/>
      <c r="IOH148"/>
      <c r="IOI148"/>
      <c r="IOJ148"/>
      <c r="IOK148"/>
      <c r="IOL148"/>
      <c r="IOM148"/>
      <c r="ION148"/>
      <c r="IOO148"/>
      <c r="IOP148"/>
      <c r="IOQ148"/>
      <c r="IOR148"/>
      <c r="IOS148"/>
      <c r="IOT148"/>
      <c r="IOU148"/>
      <c r="IOV148"/>
      <c r="IOW148"/>
      <c r="IOX148"/>
      <c r="IOY148"/>
      <c r="IOZ148"/>
      <c r="IPA148"/>
      <c r="IPB148"/>
      <c r="IPC148"/>
      <c r="IPD148"/>
      <c r="IPE148"/>
      <c r="IPF148"/>
      <c r="IPG148"/>
      <c r="IPH148"/>
      <c r="IPI148"/>
      <c r="IPJ148"/>
      <c r="IPK148"/>
      <c r="IPL148"/>
      <c r="IPM148"/>
      <c r="IPN148"/>
      <c r="IPO148"/>
      <c r="IPP148"/>
      <c r="IPQ148"/>
      <c r="IPR148"/>
      <c r="IPS148"/>
      <c r="IPT148"/>
      <c r="IPU148"/>
      <c r="IPV148"/>
      <c r="IPW148"/>
      <c r="IPX148"/>
      <c r="IPY148"/>
      <c r="IPZ148"/>
      <c r="IQA148"/>
      <c r="IQB148"/>
      <c r="IQC148"/>
      <c r="IQD148"/>
      <c r="IQE148"/>
      <c r="IQF148"/>
      <c r="IQG148"/>
      <c r="IQH148"/>
      <c r="IQI148"/>
      <c r="IQJ148"/>
      <c r="IQK148"/>
      <c r="IQL148"/>
      <c r="IQM148"/>
      <c r="IQN148"/>
      <c r="IQO148"/>
      <c r="IQP148"/>
      <c r="IQQ148"/>
      <c r="IQR148"/>
      <c r="IQS148"/>
      <c r="IQT148"/>
      <c r="IQU148"/>
      <c r="IQV148"/>
      <c r="IQW148"/>
      <c r="IQX148"/>
      <c r="IQY148"/>
      <c r="IQZ148"/>
      <c r="IRA148"/>
      <c r="IRB148"/>
      <c r="IRC148"/>
      <c r="IRD148"/>
      <c r="IRE148"/>
      <c r="IRF148"/>
      <c r="IRG148"/>
      <c r="IRH148"/>
      <c r="IRI148"/>
      <c r="IRJ148"/>
      <c r="IRK148"/>
      <c r="IRL148"/>
      <c r="IRM148"/>
      <c r="IRN148"/>
      <c r="IRO148"/>
      <c r="IRP148"/>
      <c r="IRQ148"/>
      <c r="IRR148"/>
      <c r="IRS148"/>
      <c r="IRT148"/>
      <c r="IRU148"/>
      <c r="IRV148"/>
      <c r="IRW148"/>
      <c r="IRX148"/>
      <c r="IRY148"/>
      <c r="IRZ148"/>
      <c r="ISA148"/>
      <c r="ISB148"/>
      <c r="ISC148"/>
      <c r="ISD148"/>
      <c r="ISE148"/>
      <c r="ISF148"/>
      <c r="ISG148"/>
      <c r="ISH148"/>
      <c r="ISI148"/>
      <c r="ISJ148"/>
      <c r="ISK148"/>
      <c r="ISL148"/>
      <c r="ISM148"/>
      <c r="ISN148"/>
      <c r="ISO148"/>
      <c r="ISP148"/>
      <c r="ISQ148"/>
      <c r="ISR148"/>
      <c r="ISS148"/>
      <c r="IST148"/>
      <c r="ISU148"/>
      <c r="ISV148"/>
      <c r="ISW148"/>
      <c r="ISX148"/>
      <c r="ISY148"/>
      <c r="ISZ148"/>
      <c r="ITA148"/>
      <c r="ITB148"/>
      <c r="ITC148"/>
      <c r="ITD148"/>
      <c r="ITE148"/>
      <c r="ITF148"/>
      <c r="ITG148"/>
      <c r="ITH148"/>
      <c r="ITI148"/>
      <c r="ITJ148"/>
      <c r="ITK148"/>
      <c r="ITL148"/>
      <c r="ITM148"/>
      <c r="ITN148"/>
      <c r="ITO148"/>
      <c r="ITP148"/>
      <c r="ITQ148"/>
      <c r="ITR148"/>
      <c r="ITS148"/>
      <c r="ITT148"/>
      <c r="ITU148"/>
      <c r="ITV148"/>
      <c r="ITW148"/>
      <c r="ITX148"/>
      <c r="ITY148"/>
      <c r="ITZ148"/>
      <c r="IUA148"/>
      <c r="IUB148"/>
      <c r="IUC148"/>
      <c r="IUD148"/>
      <c r="IUE148"/>
      <c r="IUF148"/>
      <c r="IUG148"/>
      <c r="IUH148"/>
      <c r="IUI148"/>
      <c r="IUJ148"/>
      <c r="IUK148"/>
      <c r="IUL148"/>
      <c r="IUM148"/>
      <c r="IUN148"/>
      <c r="IUO148"/>
      <c r="IUP148"/>
      <c r="IUQ148"/>
      <c r="IUR148"/>
      <c r="IUS148"/>
      <c r="IUT148"/>
      <c r="IUU148"/>
      <c r="IUV148"/>
      <c r="IUW148"/>
      <c r="IUX148"/>
      <c r="IUY148"/>
      <c r="IUZ148"/>
      <c r="IVA148"/>
      <c r="IVB148"/>
      <c r="IVC148"/>
      <c r="IVD148"/>
      <c r="IVE148"/>
      <c r="IVF148"/>
      <c r="IVG148"/>
      <c r="IVH148"/>
      <c r="IVI148"/>
      <c r="IVJ148"/>
      <c r="IVK148"/>
      <c r="IVL148"/>
      <c r="IVM148"/>
      <c r="IVN148"/>
      <c r="IVO148"/>
      <c r="IVP148"/>
      <c r="IVQ148"/>
      <c r="IVR148"/>
      <c r="IVS148"/>
      <c r="IVT148"/>
      <c r="IVU148"/>
      <c r="IVV148"/>
      <c r="IVW148"/>
      <c r="IVX148"/>
      <c r="IVY148"/>
      <c r="IVZ148"/>
      <c r="IWA148"/>
      <c r="IWB148"/>
      <c r="IWC148"/>
      <c r="IWD148"/>
      <c r="IWE148"/>
      <c r="IWF148"/>
      <c r="IWG148"/>
      <c r="IWH148"/>
      <c r="IWI148"/>
      <c r="IWJ148"/>
      <c r="IWK148"/>
      <c r="IWL148"/>
      <c r="IWM148"/>
      <c r="IWN148"/>
      <c r="IWO148"/>
      <c r="IWP148"/>
      <c r="IWQ148"/>
      <c r="IWR148"/>
      <c r="IWS148"/>
      <c r="IWT148"/>
      <c r="IWU148"/>
      <c r="IWV148"/>
      <c r="IWW148"/>
      <c r="IWX148"/>
      <c r="IWY148"/>
      <c r="IWZ148"/>
      <c r="IXA148"/>
      <c r="IXB148"/>
      <c r="IXC148"/>
      <c r="IXD148"/>
      <c r="IXE148"/>
      <c r="IXF148"/>
      <c r="IXG148"/>
      <c r="IXH148"/>
      <c r="IXI148"/>
      <c r="IXJ148"/>
      <c r="IXK148"/>
      <c r="IXL148"/>
      <c r="IXM148"/>
      <c r="IXN148"/>
      <c r="IXO148"/>
      <c r="IXP148"/>
      <c r="IXQ148"/>
      <c r="IXR148"/>
      <c r="IXS148"/>
      <c r="IXT148"/>
      <c r="IXU148"/>
      <c r="IXV148"/>
      <c r="IXW148"/>
      <c r="IXX148"/>
      <c r="IXY148"/>
      <c r="IXZ148"/>
      <c r="IYA148"/>
      <c r="IYB148"/>
      <c r="IYC148"/>
      <c r="IYD148"/>
      <c r="IYE148"/>
      <c r="IYF148"/>
      <c r="IYG148"/>
      <c r="IYH148"/>
      <c r="IYI148"/>
      <c r="IYJ148"/>
      <c r="IYK148"/>
      <c r="IYL148"/>
      <c r="IYM148"/>
      <c r="IYN148"/>
      <c r="IYO148"/>
      <c r="IYP148"/>
      <c r="IYQ148"/>
      <c r="IYR148"/>
      <c r="IYS148"/>
      <c r="IYT148"/>
      <c r="IYU148"/>
      <c r="IYV148"/>
      <c r="IYW148"/>
      <c r="IYX148"/>
      <c r="IYY148"/>
      <c r="IYZ148"/>
      <c r="IZA148"/>
      <c r="IZB148"/>
      <c r="IZC148"/>
      <c r="IZD148"/>
      <c r="IZE148"/>
      <c r="IZF148"/>
      <c r="IZG148"/>
      <c r="IZH148"/>
      <c r="IZI148"/>
      <c r="IZJ148"/>
      <c r="IZK148"/>
      <c r="IZL148"/>
      <c r="IZM148"/>
      <c r="IZN148"/>
      <c r="IZO148"/>
      <c r="IZP148"/>
      <c r="IZQ148"/>
      <c r="IZR148"/>
      <c r="IZS148"/>
      <c r="IZT148"/>
      <c r="IZU148"/>
      <c r="IZV148"/>
      <c r="IZW148"/>
      <c r="IZX148"/>
      <c r="IZY148"/>
      <c r="IZZ148"/>
      <c r="JAA148"/>
      <c r="JAB148"/>
      <c r="JAC148"/>
      <c r="JAD148"/>
      <c r="JAE148"/>
      <c r="JAF148"/>
      <c r="JAG148"/>
      <c r="JAH148"/>
      <c r="JAI148"/>
      <c r="JAJ148"/>
      <c r="JAK148"/>
      <c r="JAL148"/>
      <c r="JAM148"/>
      <c r="JAN148"/>
      <c r="JAO148"/>
      <c r="JAP148"/>
      <c r="JAQ148"/>
      <c r="JAR148"/>
      <c r="JAS148"/>
      <c r="JAT148"/>
      <c r="JAU148"/>
      <c r="JAV148"/>
      <c r="JAW148"/>
      <c r="JAX148"/>
      <c r="JAY148"/>
      <c r="JAZ148"/>
      <c r="JBA148"/>
      <c r="JBB148"/>
      <c r="JBC148"/>
      <c r="JBD148"/>
      <c r="JBE148"/>
      <c r="JBF148"/>
      <c r="JBG148"/>
      <c r="JBH148"/>
      <c r="JBI148"/>
      <c r="JBJ148"/>
      <c r="JBK148"/>
      <c r="JBL148"/>
      <c r="JBM148"/>
      <c r="JBN148"/>
      <c r="JBO148"/>
      <c r="JBP148"/>
      <c r="JBQ148"/>
      <c r="JBR148"/>
      <c r="JBS148"/>
      <c r="JBT148"/>
      <c r="JBU148"/>
      <c r="JBV148"/>
      <c r="JBW148"/>
      <c r="JBX148"/>
      <c r="JBY148"/>
      <c r="JBZ148"/>
      <c r="JCA148"/>
      <c r="JCB148"/>
      <c r="JCC148"/>
      <c r="JCD148"/>
      <c r="JCE148"/>
      <c r="JCF148"/>
      <c r="JCG148"/>
      <c r="JCH148"/>
      <c r="JCI148"/>
      <c r="JCJ148"/>
      <c r="JCK148"/>
      <c r="JCL148"/>
      <c r="JCM148"/>
      <c r="JCN148"/>
      <c r="JCO148"/>
      <c r="JCP148"/>
      <c r="JCQ148"/>
      <c r="JCR148"/>
      <c r="JCS148"/>
      <c r="JCT148"/>
      <c r="JCU148"/>
      <c r="JCV148"/>
      <c r="JCW148"/>
      <c r="JCX148"/>
      <c r="JCY148"/>
      <c r="JCZ148"/>
      <c r="JDA148"/>
      <c r="JDB148"/>
      <c r="JDC148"/>
      <c r="JDD148"/>
      <c r="JDE148"/>
      <c r="JDF148"/>
      <c r="JDG148"/>
      <c r="JDH148"/>
      <c r="JDI148"/>
      <c r="JDJ148"/>
      <c r="JDK148"/>
      <c r="JDL148"/>
      <c r="JDM148"/>
      <c r="JDN148"/>
      <c r="JDO148"/>
      <c r="JDP148"/>
      <c r="JDQ148"/>
      <c r="JDR148"/>
      <c r="JDS148"/>
      <c r="JDT148"/>
      <c r="JDU148"/>
      <c r="JDV148"/>
      <c r="JDW148"/>
      <c r="JDX148"/>
      <c r="JDY148"/>
      <c r="JDZ148"/>
      <c r="JEA148"/>
      <c r="JEB148"/>
      <c r="JEC148"/>
      <c r="JED148"/>
      <c r="JEE148"/>
      <c r="JEF148"/>
      <c r="JEG148"/>
      <c r="JEH148"/>
      <c r="JEI148"/>
      <c r="JEJ148"/>
      <c r="JEK148"/>
      <c r="JEL148"/>
      <c r="JEM148"/>
      <c r="JEN148"/>
      <c r="JEO148"/>
      <c r="JEP148"/>
      <c r="JEQ148"/>
      <c r="JER148"/>
      <c r="JES148"/>
      <c r="JET148"/>
      <c r="JEU148"/>
      <c r="JEV148"/>
      <c r="JEW148"/>
      <c r="JEX148"/>
      <c r="JEY148"/>
      <c r="JEZ148"/>
      <c r="JFA148"/>
      <c r="JFB148"/>
      <c r="JFC148"/>
      <c r="JFD148"/>
      <c r="JFE148"/>
      <c r="JFF148"/>
      <c r="JFG148"/>
      <c r="JFH148"/>
      <c r="JFI148"/>
      <c r="JFJ148"/>
      <c r="JFK148"/>
      <c r="JFL148"/>
      <c r="JFM148"/>
      <c r="JFN148"/>
      <c r="JFO148"/>
      <c r="JFP148"/>
      <c r="JFQ148"/>
      <c r="JFR148"/>
      <c r="JFS148"/>
      <c r="JFT148"/>
      <c r="JFU148"/>
      <c r="JFV148"/>
      <c r="JFW148"/>
      <c r="JFX148"/>
      <c r="JFY148"/>
      <c r="JFZ148"/>
      <c r="JGA148"/>
      <c r="JGB148"/>
      <c r="JGC148"/>
      <c r="JGD148"/>
      <c r="JGE148"/>
      <c r="JGF148"/>
      <c r="JGG148"/>
      <c r="JGH148"/>
      <c r="JGI148"/>
      <c r="JGJ148"/>
      <c r="JGK148"/>
      <c r="JGL148"/>
      <c r="JGM148"/>
      <c r="JGN148"/>
      <c r="JGO148"/>
      <c r="JGP148"/>
      <c r="JGQ148"/>
      <c r="JGR148"/>
      <c r="JGS148"/>
      <c r="JGT148"/>
      <c r="JGU148"/>
      <c r="JGV148"/>
      <c r="JGW148"/>
      <c r="JGX148"/>
      <c r="JGY148"/>
      <c r="JGZ148"/>
      <c r="JHA148"/>
      <c r="JHB148"/>
      <c r="JHC148"/>
      <c r="JHD148"/>
      <c r="JHE148"/>
      <c r="JHF148"/>
      <c r="JHG148"/>
      <c r="JHH148"/>
      <c r="JHI148"/>
      <c r="JHJ148"/>
      <c r="JHK148"/>
      <c r="JHL148"/>
      <c r="JHM148"/>
      <c r="JHN148"/>
      <c r="JHO148"/>
      <c r="JHP148"/>
      <c r="JHQ148"/>
      <c r="JHR148"/>
      <c r="JHS148"/>
      <c r="JHT148"/>
      <c r="JHU148"/>
      <c r="JHV148"/>
      <c r="JHW148"/>
      <c r="JHX148"/>
      <c r="JHY148"/>
      <c r="JHZ148"/>
      <c r="JIA148"/>
      <c r="JIB148"/>
      <c r="JIC148"/>
      <c r="JID148"/>
      <c r="JIE148"/>
      <c r="JIF148"/>
      <c r="JIG148"/>
      <c r="JIH148"/>
      <c r="JII148"/>
      <c r="JIJ148"/>
      <c r="JIK148"/>
      <c r="JIL148"/>
      <c r="JIM148"/>
      <c r="JIN148"/>
      <c r="JIO148"/>
      <c r="JIP148"/>
      <c r="JIQ148"/>
      <c r="JIR148"/>
      <c r="JIS148"/>
      <c r="JIT148"/>
      <c r="JIU148"/>
      <c r="JIV148"/>
      <c r="JIW148"/>
      <c r="JIX148"/>
      <c r="JIY148"/>
      <c r="JIZ148"/>
      <c r="JJA148"/>
      <c r="JJB148"/>
      <c r="JJC148"/>
      <c r="JJD148"/>
      <c r="JJE148"/>
      <c r="JJF148"/>
      <c r="JJG148"/>
      <c r="JJH148"/>
      <c r="JJI148"/>
      <c r="JJJ148"/>
      <c r="JJK148"/>
      <c r="JJL148"/>
      <c r="JJM148"/>
      <c r="JJN148"/>
      <c r="JJO148"/>
      <c r="JJP148"/>
      <c r="JJQ148"/>
      <c r="JJR148"/>
      <c r="JJS148"/>
      <c r="JJT148"/>
      <c r="JJU148"/>
      <c r="JJV148"/>
      <c r="JJW148"/>
      <c r="JJX148"/>
      <c r="JJY148"/>
      <c r="JJZ148"/>
      <c r="JKA148"/>
      <c r="JKB148"/>
      <c r="JKC148"/>
      <c r="JKD148"/>
      <c r="JKE148"/>
      <c r="JKF148"/>
      <c r="JKG148"/>
      <c r="JKH148"/>
      <c r="JKI148"/>
      <c r="JKJ148"/>
      <c r="JKK148"/>
      <c r="JKL148"/>
      <c r="JKM148"/>
      <c r="JKN148"/>
      <c r="JKO148"/>
      <c r="JKP148"/>
      <c r="JKQ148"/>
      <c r="JKR148"/>
      <c r="JKS148"/>
      <c r="JKT148"/>
      <c r="JKU148"/>
      <c r="JKV148"/>
      <c r="JKW148"/>
      <c r="JKX148"/>
      <c r="JKY148"/>
      <c r="JKZ148"/>
      <c r="JLA148"/>
      <c r="JLB148"/>
      <c r="JLC148"/>
      <c r="JLD148"/>
      <c r="JLE148"/>
      <c r="JLF148"/>
      <c r="JLG148"/>
      <c r="JLH148"/>
      <c r="JLI148"/>
      <c r="JLJ148"/>
      <c r="JLK148"/>
      <c r="JLL148"/>
      <c r="JLM148"/>
      <c r="JLN148"/>
      <c r="JLO148"/>
      <c r="JLP148"/>
      <c r="JLQ148"/>
      <c r="JLR148"/>
      <c r="JLS148"/>
      <c r="JLT148"/>
      <c r="JLU148"/>
      <c r="JLV148"/>
      <c r="JLW148"/>
      <c r="JLX148"/>
      <c r="JLY148"/>
      <c r="JLZ148"/>
      <c r="JMA148"/>
      <c r="JMB148"/>
      <c r="JMC148"/>
      <c r="JMD148"/>
      <c r="JME148"/>
      <c r="JMF148"/>
      <c r="JMG148"/>
      <c r="JMH148"/>
      <c r="JMI148"/>
      <c r="JMJ148"/>
      <c r="JMK148"/>
      <c r="JML148"/>
      <c r="JMM148"/>
      <c r="JMN148"/>
      <c r="JMO148"/>
      <c r="JMP148"/>
      <c r="JMQ148"/>
      <c r="JMR148"/>
      <c r="JMS148"/>
      <c r="JMT148"/>
      <c r="JMU148"/>
      <c r="JMV148"/>
      <c r="JMW148"/>
      <c r="JMX148"/>
      <c r="JMY148"/>
      <c r="JMZ148"/>
      <c r="JNA148"/>
      <c r="JNB148"/>
      <c r="JNC148"/>
      <c r="JND148"/>
      <c r="JNE148"/>
      <c r="JNF148"/>
      <c r="JNG148"/>
      <c r="JNH148"/>
      <c r="JNI148"/>
      <c r="JNJ148"/>
      <c r="JNK148"/>
      <c r="JNL148"/>
      <c r="JNM148"/>
      <c r="JNN148"/>
      <c r="JNO148"/>
      <c r="JNP148"/>
      <c r="JNQ148"/>
      <c r="JNR148"/>
      <c r="JNS148"/>
      <c r="JNT148"/>
      <c r="JNU148"/>
      <c r="JNV148"/>
      <c r="JNW148"/>
      <c r="JNX148"/>
      <c r="JNY148"/>
      <c r="JNZ148"/>
      <c r="JOA148"/>
      <c r="JOB148"/>
      <c r="JOC148"/>
      <c r="JOD148"/>
      <c r="JOE148"/>
      <c r="JOF148"/>
      <c r="JOG148"/>
      <c r="JOH148"/>
      <c r="JOI148"/>
      <c r="JOJ148"/>
      <c r="JOK148"/>
      <c r="JOL148"/>
      <c r="JOM148"/>
      <c r="JON148"/>
      <c r="JOO148"/>
      <c r="JOP148"/>
      <c r="JOQ148"/>
      <c r="JOR148"/>
      <c r="JOS148"/>
      <c r="JOT148"/>
      <c r="JOU148"/>
      <c r="JOV148"/>
      <c r="JOW148"/>
      <c r="JOX148"/>
      <c r="JOY148"/>
      <c r="JOZ148"/>
      <c r="JPA148"/>
      <c r="JPB148"/>
      <c r="JPC148"/>
      <c r="JPD148"/>
      <c r="JPE148"/>
      <c r="JPF148"/>
      <c r="JPG148"/>
      <c r="JPH148"/>
      <c r="JPI148"/>
      <c r="JPJ148"/>
      <c r="JPK148"/>
      <c r="JPL148"/>
      <c r="JPM148"/>
      <c r="JPN148"/>
      <c r="JPO148"/>
      <c r="JPP148"/>
      <c r="JPQ148"/>
      <c r="JPR148"/>
      <c r="JPS148"/>
      <c r="JPT148"/>
      <c r="JPU148"/>
      <c r="JPV148"/>
      <c r="JPW148"/>
      <c r="JPX148"/>
      <c r="JPY148"/>
      <c r="JPZ148"/>
      <c r="JQA148"/>
      <c r="JQB148"/>
      <c r="JQC148"/>
      <c r="JQD148"/>
      <c r="JQE148"/>
      <c r="JQF148"/>
      <c r="JQG148"/>
      <c r="JQH148"/>
      <c r="JQI148"/>
      <c r="JQJ148"/>
      <c r="JQK148"/>
      <c r="JQL148"/>
      <c r="JQM148"/>
      <c r="JQN148"/>
      <c r="JQO148"/>
      <c r="JQP148"/>
      <c r="JQQ148"/>
      <c r="JQR148"/>
      <c r="JQS148"/>
      <c r="JQT148"/>
      <c r="JQU148"/>
      <c r="JQV148"/>
      <c r="JQW148"/>
      <c r="JQX148"/>
      <c r="JQY148"/>
      <c r="JQZ148"/>
      <c r="JRA148"/>
      <c r="JRB148"/>
      <c r="JRC148"/>
      <c r="JRD148"/>
      <c r="JRE148"/>
      <c r="JRF148"/>
      <c r="JRG148"/>
      <c r="JRH148"/>
      <c r="JRI148"/>
      <c r="JRJ148"/>
      <c r="JRK148"/>
      <c r="JRL148"/>
      <c r="JRM148"/>
      <c r="JRN148"/>
      <c r="JRO148"/>
      <c r="JRP148"/>
      <c r="JRQ148"/>
      <c r="JRR148"/>
      <c r="JRS148"/>
      <c r="JRT148"/>
      <c r="JRU148"/>
      <c r="JRV148"/>
      <c r="JRW148"/>
      <c r="JRX148"/>
      <c r="JRY148"/>
      <c r="JRZ148"/>
      <c r="JSA148"/>
      <c r="JSB148"/>
      <c r="JSC148"/>
      <c r="JSD148"/>
      <c r="JSE148"/>
      <c r="JSF148"/>
      <c r="JSG148"/>
      <c r="JSH148"/>
      <c r="JSI148"/>
      <c r="JSJ148"/>
      <c r="JSK148"/>
      <c r="JSL148"/>
      <c r="JSM148"/>
      <c r="JSN148"/>
      <c r="JSO148"/>
      <c r="JSP148"/>
      <c r="JSQ148"/>
      <c r="JSR148"/>
      <c r="JSS148"/>
      <c r="JST148"/>
      <c r="JSU148"/>
      <c r="JSV148"/>
      <c r="JSW148"/>
      <c r="JSX148"/>
      <c r="JSY148"/>
      <c r="JSZ148"/>
      <c r="JTA148"/>
      <c r="JTB148"/>
      <c r="JTC148"/>
      <c r="JTD148"/>
      <c r="JTE148"/>
      <c r="JTF148"/>
      <c r="JTG148"/>
      <c r="JTH148"/>
      <c r="JTI148"/>
      <c r="JTJ148"/>
      <c r="JTK148"/>
      <c r="JTL148"/>
      <c r="JTM148"/>
      <c r="JTN148"/>
      <c r="JTO148"/>
      <c r="JTP148"/>
      <c r="JTQ148"/>
      <c r="JTR148"/>
      <c r="JTS148"/>
      <c r="JTT148"/>
      <c r="JTU148"/>
      <c r="JTV148"/>
      <c r="JTW148"/>
      <c r="JTX148"/>
      <c r="JTY148"/>
      <c r="JTZ148"/>
      <c r="JUA148"/>
      <c r="JUB148"/>
      <c r="JUC148"/>
      <c r="JUD148"/>
      <c r="JUE148"/>
      <c r="JUF148"/>
      <c r="JUG148"/>
      <c r="JUH148"/>
      <c r="JUI148"/>
      <c r="JUJ148"/>
      <c r="JUK148"/>
      <c r="JUL148"/>
      <c r="JUM148"/>
      <c r="JUN148"/>
      <c r="JUO148"/>
      <c r="JUP148"/>
      <c r="JUQ148"/>
      <c r="JUR148"/>
      <c r="JUS148"/>
      <c r="JUT148"/>
      <c r="JUU148"/>
      <c r="JUV148"/>
      <c r="JUW148"/>
      <c r="JUX148"/>
      <c r="JUY148"/>
      <c r="JUZ148"/>
      <c r="JVA148"/>
      <c r="JVB148"/>
      <c r="JVC148"/>
      <c r="JVD148"/>
      <c r="JVE148"/>
      <c r="JVF148"/>
      <c r="JVG148"/>
      <c r="JVH148"/>
      <c r="JVI148"/>
      <c r="JVJ148"/>
      <c r="JVK148"/>
      <c r="JVL148"/>
      <c r="JVM148"/>
      <c r="JVN148"/>
      <c r="JVO148"/>
      <c r="JVP148"/>
      <c r="JVQ148"/>
      <c r="JVR148"/>
      <c r="JVS148"/>
      <c r="JVT148"/>
      <c r="JVU148"/>
      <c r="JVV148"/>
      <c r="JVW148"/>
      <c r="JVX148"/>
      <c r="JVY148"/>
      <c r="JVZ148"/>
      <c r="JWA148"/>
      <c r="JWB148"/>
      <c r="JWC148"/>
      <c r="JWD148"/>
      <c r="JWE148"/>
      <c r="JWF148"/>
      <c r="JWG148"/>
      <c r="JWH148"/>
      <c r="JWI148"/>
      <c r="JWJ148"/>
      <c r="JWK148"/>
      <c r="JWL148"/>
      <c r="JWM148"/>
      <c r="JWN148"/>
      <c r="JWO148"/>
      <c r="JWP148"/>
      <c r="JWQ148"/>
      <c r="JWR148"/>
      <c r="JWS148"/>
      <c r="JWT148"/>
      <c r="JWU148"/>
      <c r="JWV148"/>
      <c r="JWW148"/>
      <c r="JWX148"/>
      <c r="JWY148"/>
      <c r="JWZ148"/>
      <c r="JXA148"/>
      <c r="JXB148"/>
      <c r="JXC148"/>
      <c r="JXD148"/>
      <c r="JXE148"/>
      <c r="JXF148"/>
      <c r="JXG148"/>
      <c r="JXH148"/>
      <c r="JXI148"/>
      <c r="JXJ148"/>
      <c r="JXK148"/>
      <c r="JXL148"/>
      <c r="JXM148"/>
      <c r="JXN148"/>
      <c r="JXO148"/>
      <c r="JXP148"/>
      <c r="JXQ148"/>
      <c r="JXR148"/>
      <c r="JXS148"/>
      <c r="JXT148"/>
      <c r="JXU148"/>
      <c r="JXV148"/>
      <c r="JXW148"/>
      <c r="JXX148"/>
      <c r="JXY148"/>
      <c r="JXZ148"/>
      <c r="JYA148"/>
      <c r="JYB148"/>
      <c r="JYC148"/>
      <c r="JYD148"/>
      <c r="JYE148"/>
      <c r="JYF148"/>
      <c r="JYG148"/>
      <c r="JYH148"/>
      <c r="JYI148"/>
      <c r="JYJ148"/>
      <c r="JYK148"/>
      <c r="JYL148"/>
      <c r="JYM148"/>
      <c r="JYN148"/>
      <c r="JYO148"/>
      <c r="JYP148"/>
      <c r="JYQ148"/>
      <c r="JYR148"/>
      <c r="JYS148"/>
      <c r="JYT148"/>
      <c r="JYU148"/>
      <c r="JYV148"/>
      <c r="JYW148"/>
      <c r="JYX148"/>
      <c r="JYY148"/>
      <c r="JYZ148"/>
      <c r="JZA148"/>
      <c r="JZB148"/>
      <c r="JZC148"/>
      <c r="JZD148"/>
      <c r="JZE148"/>
      <c r="JZF148"/>
      <c r="JZG148"/>
      <c r="JZH148"/>
      <c r="JZI148"/>
      <c r="JZJ148"/>
      <c r="JZK148"/>
      <c r="JZL148"/>
      <c r="JZM148"/>
      <c r="JZN148"/>
      <c r="JZO148"/>
      <c r="JZP148"/>
      <c r="JZQ148"/>
      <c r="JZR148"/>
      <c r="JZS148"/>
      <c r="JZT148"/>
      <c r="JZU148"/>
      <c r="JZV148"/>
      <c r="JZW148"/>
      <c r="JZX148"/>
      <c r="JZY148"/>
      <c r="JZZ148"/>
      <c r="KAA148"/>
      <c r="KAB148"/>
      <c r="KAC148"/>
      <c r="KAD148"/>
      <c r="KAE148"/>
      <c r="KAF148"/>
      <c r="KAG148"/>
      <c r="KAH148"/>
      <c r="KAI148"/>
      <c r="KAJ148"/>
      <c r="KAK148"/>
      <c r="KAL148"/>
      <c r="KAM148"/>
      <c r="KAN148"/>
      <c r="KAO148"/>
      <c r="KAP148"/>
      <c r="KAQ148"/>
      <c r="KAR148"/>
      <c r="KAS148"/>
      <c r="KAT148"/>
      <c r="KAU148"/>
      <c r="KAV148"/>
      <c r="KAW148"/>
      <c r="KAX148"/>
      <c r="KAY148"/>
      <c r="KAZ148"/>
      <c r="KBA148"/>
      <c r="KBB148"/>
      <c r="KBC148"/>
      <c r="KBD148"/>
      <c r="KBE148"/>
      <c r="KBF148"/>
      <c r="KBG148"/>
      <c r="KBH148"/>
      <c r="KBI148"/>
      <c r="KBJ148"/>
      <c r="KBK148"/>
      <c r="KBL148"/>
      <c r="KBM148"/>
      <c r="KBN148"/>
      <c r="KBO148"/>
      <c r="KBP148"/>
      <c r="KBQ148"/>
      <c r="KBR148"/>
      <c r="KBS148"/>
      <c r="KBT148"/>
      <c r="KBU148"/>
      <c r="KBV148"/>
      <c r="KBW148"/>
      <c r="KBX148"/>
      <c r="KBY148"/>
      <c r="KBZ148"/>
      <c r="KCA148"/>
      <c r="KCB148"/>
      <c r="KCC148"/>
      <c r="KCD148"/>
      <c r="KCE148"/>
      <c r="KCF148"/>
      <c r="KCG148"/>
      <c r="KCH148"/>
      <c r="KCI148"/>
      <c r="KCJ148"/>
      <c r="KCK148"/>
      <c r="KCL148"/>
      <c r="KCM148"/>
      <c r="KCN148"/>
      <c r="KCO148"/>
      <c r="KCP148"/>
      <c r="KCQ148"/>
      <c r="KCR148"/>
      <c r="KCS148"/>
      <c r="KCT148"/>
      <c r="KCU148"/>
      <c r="KCV148"/>
      <c r="KCW148"/>
      <c r="KCX148"/>
      <c r="KCY148"/>
      <c r="KCZ148"/>
      <c r="KDA148"/>
      <c r="KDB148"/>
      <c r="KDC148"/>
      <c r="KDD148"/>
      <c r="KDE148"/>
      <c r="KDF148"/>
      <c r="KDG148"/>
      <c r="KDH148"/>
      <c r="KDI148"/>
      <c r="KDJ148"/>
      <c r="KDK148"/>
      <c r="KDL148"/>
      <c r="KDM148"/>
      <c r="KDN148"/>
      <c r="KDO148"/>
      <c r="KDP148"/>
      <c r="KDQ148"/>
      <c r="KDR148"/>
      <c r="KDS148"/>
      <c r="KDT148"/>
      <c r="KDU148"/>
      <c r="KDV148"/>
      <c r="KDW148"/>
      <c r="KDX148"/>
      <c r="KDY148"/>
      <c r="KDZ148"/>
      <c r="KEA148"/>
      <c r="KEB148"/>
      <c r="KEC148"/>
      <c r="KED148"/>
      <c r="KEE148"/>
      <c r="KEF148"/>
      <c r="KEG148"/>
      <c r="KEH148"/>
      <c r="KEI148"/>
      <c r="KEJ148"/>
      <c r="KEK148"/>
      <c r="KEL148"/>
      <c r="KEM148"/>
      <c r="KEN148"/>
      <c r="KEO148"/>
      <c r="KEP148"/>
      <c r="KEQ148"/>
      <c r="KER148"/>
      <c r="KES148"/>
      <c r="KET148"/>
      <c r="KEU148"/>
      <c r="KEV148"/>
      <c r="KEW148"/>
      <c r="KEX148"/>
      <c r="KEY148"/>
      <c r="KEZ148"/>
      <c r="KFA148"/>
      <c r="KFB148"/>
      <c r="KFC148"/>
      <c r="KFD148"/>
      <c r="KFE148"/>
      <c r="KFF148"/>
      <c r="KFG148"/>
      <c r="KFH148"/>
      <c r="KFI148"/>
      <c r="KFJ148"/>
      <c r="KFK148"/>
      <c r="KFL148"/>
      <c r="KFM148"/>
      <c r="KFN148"/>
      <c r="KFO148"/>
      <c r="KFP148"/>
      <c r="KFQ148"/>
      <c r="KFR148"/>
      <c r="KFS148"/>
      <c r="KFT148"/>
      <c r="KFU148"/>
      <c r="KFV148"/>
      <c r="KFW148"/>
      <c r="KFX148"/>
      <c r="KFY148"/>
      <c r="KFZ148"/>
      <c r="KGA148"/>
      <c r="KGB148"/>
      <c r="KGC148"/>
      <c r="KGD148"/>
      <c r="KGE148"/>
      <c r="KGF148"/>
      <c r="KGG148"/>
      <c r="KGH148"/>
      <c r="KGI148"/>
      <c r="KGJ148"/>
      <c r="KGK148"/>
      <c r="KGL148"/>
      <c r="KGM148"/>
      <c r="KGN148"/>
      <c r="KGO148"/>
      <c r="KGP148"/>
      <c r="KGQ148"/>
      <c r="KGR148"/>
      <c r="KGS148"/>
      <c r="KGT148"/>
      <c r="KGU148"/>
      <c r="KGV148"/>
      <c r="KGW148"/>
      <c r="KGX148"/>
      <c r="KGY148"/>
      <c r="KGZ148"/>
      <c r="KHA148"/>
      <c r="KHB148"/>
      <c r="KHC148"/>
      <c r="KHD148"/>
      <c r="KHE148"/>
      <c r="KHF148"/>
      <c r="KHG148"/>
      <c r="KHH148"/>
      <c r="KHI148"/>
      <c r="KHJ148"/>
      <c r="KHK148"/>
      <c r="KHL148"/>
      <c r="KHM148"/>
      <c r="KHN148"/>
      <c r="KHO148"/>
      <c r="KHP148"/>
      <c r="KHQ148"/>
      <c r="KHR148"/>
      <c r="KHS148"/>
      <c r="KHT148"/>
      <c r="KHU148"/>
      <c r="KHV148"/>
      <c r="KHW148"/>
      <c r="KHX148"/>
      <c r="KHY148"/>
      <c r="KHZ148"/>
      <c r="KIA148"/>
      <c r="KIB148"/>
      <c r="KIC148"/>
      <c r="KID148"/>
      <c r="KIE148"/>
      <c r="KIF148"/>
      <c r="KIG148"/>
      <c r="KIH148"/>
      <c r="KII148"/>
      <c r="KIJ148"/>
      <c r="KIK148"/>
      <c r="KIL148"/>
      <c r="KIM148"/>
      <c r="KIN148"/>
      <c r="KIO148"/>
      <c r="KIP148"/>
      <c r="KIQ148"/>
      <c r="KIR148"/>
      <c r="KIS148"/>
      <c r="KIT148"/>
      <c r="KIU148"/>
      <c r="KIV148"/>
      <c r="KIW148"/>
      <c r="KIX148"/>
      <c r="KIY148"/>
      <c r="KIZ148"/>
      <c r="KJA148"/>
      <c r="KJB148"/>
      <c r="KJC148"/>
      <c r="KJD148"/>
      <c r="KJE148"/>
      <c r="KJF148"/>
      <c r="KJG148"/>
      <c r="KJH148"/>
      <c r="KJI148"/>
      <c r="KJJ148"/>
      <c r="KJK148"/>
      <c r="KJL148"/>
      <c r="KJM148"/>
      <c r="KJN148"/>
      <c r="KJO148"/>
      <c r="KJP148"/>
      <c r="KJQ148"/>
      <c r="KJR148"/>
      <c r="KJS148"/>
      <c r="KJT148"/>
      <c r="KJU148"/>
      <c r="KJV148"/>
      <c r="KJW148"/>
      <c r="KJX148"/>
      <c r="KJY148"/>
      <c r="KJZ148"/>
      <c r="KKA148"/>
      <c r="KKB148"/>
      <c r="KKC148"/>
      <c r="KKD148"/>
      <c r="KKE148"/>
      <c r="KKF148"/>
      <c r="KKG148"/>
      <c r="KKH148"/>
      <c r="KKI148"/>
      <c r="KKJ148"/>
      <c r="KKK148"/>
      <c r="KKL148"/>
      <c r="KKM148"/>
      <c r="KKN148"/>
      <c r="KKO148"/>
      <c r="KKP148"/>
      <c r="KKQ148"/>
      <c r="KKR148"/>
      <c r="KKS148"/>
      <c r="KKT148"/>
      <c r="KKU148"/>
      <c r="KKV148"/>
      <c r="KKW148"/>
      <c r="KKX148"/>
      <c r="KKY148"/>
      <c r="KKZ148"/>
      <c r="KLA148"/>
      <c r="KLB148"/>
      <c r="KLC148"/>
      <c r="KLD148"/>
      <c r="KLE148"/>
      <c r="KLF148"/>
      <c r="KLG148"/>
      <c r="KLH148"/>
      <c r="KLI148"/>
      <c r="KLJ148"/>
      <c r="KLK148"/>
      <c r="KLL148"/>
      <c r="KLM148"/>
      <c r="KLN148"/>
      <c r="KLO148"/>
      <c r="KLP148"/>
      <c r="KLQ148"/>
      <c r="KLR148"/>
      <c r="KLS148"/>
      <c r="KLT148"/>
      <c r="KLU148"/>
      <c r="KLV148"/>
      <c r="KLW148"/>
      <c r="KLX148"/>
      <c r="KLY148"/>
      <c r="KLZ148"/>
      <c r="KMA148"/>
      <c r="KMB148"/>
      <c r="KMC148"/>
      <c r="KMD148"/>
      <c r="KME148"/>
      <c r="KMF148"/>
      <c r="KMG148"/>
      <c r="KMH148"/>
      <c r="KMI148"/>
      <c r="KMJ148"/>
      <c r="KMK148"/>
      <c r="KML148"/>
      <c r="KMM148"/>
      <c r="KMN148"/>
      <c r="KMO148"/>
      <c r="KMP148"/>
      <c r="KMQ148"/>
      <c r="KMR148"/>
      <c r="KMS148"/>
      <c r="KMT148"/>
      <c r="KMU148"/>
      <c r="KMV148"/>
      <c r="KMW148"/>
      <c r="KMX148"/>
      <c r="KMY148"/>
      <c r="KMZ148"/>
      <c r="KNA148"/>
      <c r="KNB148"/>
      <c r="KNC148"/>
      <c r="KND148"/>
      <c r="KNE148"/>
      <c r="KNF148"/>
      <c r="KNG148"/>
      <c r="KNH148"/>
      <c r="KNI148"/>
      <c r="KNJ148"/>
      <c r="KNK148"/>
      <c r="KNL148"/>
      <c r="KNM148"/>
      <c r="KNN148"/>
      <c r="KNO148"/>
      <c r="KNP148"/>
      <c r="KNQ148"/>
      <c r="KNR148"/>
      <c r="KNS148"/>
      <c r="KNT148"/>
      <c r="KNU148"/>
      <c r="KNV148"/>
      <c r="KNW148"/>
      <c r="KNX148"/>
      <c r="KNY148"/>
      <c r="KNZ148"/>
      <c r="KOA148"/>
      <c r="KOB148"/>
      <c r="KOC148"/>
      <c r="KOD148"/>
      <c r="KOE148"/>
      <c r="KOF148"/>
      <c r="KOG148"/>
      <c r="KOH148"/>
      <c r="KOI148"/>
      <c r="KOJ148"/>
      <c r="KOK148"/>
      <c r="KOL148"/>
      <c r="KOM148"/>
      <c r="KON148"/>
      <c r="KOO148"/>
      <c r="KOP148"/>
      <c r="KOQ148"/>
      <c r="KOR148"/>
      <c r="KOS148"/>
      <c r="KOT148"/>
      <c r="KOU148"/>
      <c r="KOV148"/>
      <c r="KOW148"/>
      <c r="KOX148"/>
      <c r="KOY148"/>
      <c r="KOZ148"/>
      <c r="KPA148"/>
      <c r="KPB148"/>
      <c r="KPC148"/>
      <c r="KPD148"/>
      <c r="KPE148"/>
      <c r="KPF148"/>
      <c r="KPG148"/>
      <c r="KPH148"/>
      <c r="KPI148"/>
      <c r="KPJ148"/>
      <c r="KPK148"/>
      <c r="KPL148"/>
      <c r="KPM148"/>
      <c r="KPN148"/>
      <c r="KPO148"/>
      <c r="KPP148"/>
      <c r="KPQ148"/>
      <c r="KPR148"/>
      <c r="KPS148"/>
      <c r="KPT148"/>
      <c r="KPU148"/>
      <c r="KPV148"/>
      <c r="KPW148"/>
      <c r="KPX148"/>
      <c r="KPY148"/>
      <c r="KPZ148"/>
      <c r="KQA148"/>
      <c r="KQB148"/>
      <c r="KQC148"/>
      <c r="KQD148"/>
      <c r="KQE148"/>
      <c r="KQF148"/>
      <c r="KQG148"/>
      <c r="KQH148"/>
      <c r="KQI148"/>
      <c r="KQJ148"/>
      <c r="KQK148"/>
      <c r="KQL148"/>
      <c r="KQM148"/>
      <c r="KQN148"/>
      <c r="KQO148"/>
      <c r="KQP148"/>
      <c r="KQQ148"/>
      <c r="KQR148"/>
      <c r="KQS148"/>
      <c r="KQT148"/>
      <c r="KQU148"/>
      <c r="KQV148"/>
      <c r="KQW148"/>
      <c r="KQX148"/>
      <c r="KQY148"/>
      <c r="KQZ148"/>
      <c r="KRA148"/>
      <c r="KRB148"/>
      <c r="KRC148"/>
      <c r="KRD148"/>
      <c r="KRE148"/>
      <c r="KRF148"/>
      <c r="KRG148"/>
      <c r="KRH148"/>
      <c r="KRI148"/>
      <c r="KRJ148"/>
      <c r="KRK148"/>
      <c r="KRL148"/>
      <c r="KRM148"/>
      <c r="KRN148"/>
      <c r="KRO148"/>
      <c r="KRP148"/>
      <c r="KRQ148"/>
      <c r="KRR148"/>
      <c r="KRS148"/>
      <c r="KRT148"/>
      <c r="KRU148"/>
      <c r="KRV148"/>
      <c r="KRW148"/>
      <c r="KRX148"/>
      <c r="KRY148"/>
      <c r="KRZ148"/>
      <c r="KSA148"/>
      <c r="KSB148"/>
      <c r="KSC148"/>
      <c r="KSD148"/>
      <c r="KSE148"/>
      <c r="KSF148"/>
      <c r="KSG148"/>
      <c r="KSH148"/>
      <c r="KSI148"/>
      <c r="KSJ148"/>
      <c r="KSK148"/>
      <c r="KSL148"/>
      <c r="KSM148"/>
      <c r="KSN148"/>
      <c r="KSO148"/>
      <c r="KSP148"/>
      <c r="KSQ148"/>
      <c r="KSR148"/>
      <c r="KSS148"/>
      <c r="KST148"/>
      <c r="KSU148"/>
      <c r="KSV148"/>
      <c r="KSW148"/>
      <c r="KSX148"/>
      <c r="KSY148"/>
      <c r="KSZ148"/>
      <c r="KTA148"/>
      <c r="KTB148"/>
      <c r="KTC148"/>
      <c r="KTD148"/>
      <c r="KTE148"/>
      <c r="KTF148"/>
      <c r="KTG148"/>
      <c r="KTH148"/>
      <c r="KTI148"/>
      <c r="KTJ148"/>
      <c r="KTK148"/>
      <c r="KTL148"/>
      <c r="KTM148"/>
      <c r="KTN148"/>
      <c r="KTO148"/>
      <c r="KTP148"/>
      <c r="KTQ148"/>
      <c r="KTR148"/>
      <c r="KTS148"/>
      <c r="KTT148"/>
      <c r="KTU148"/>
      <c r="KTV148"/>
      <c r="KTW148"/>
      <c r="KTX148"/>
      <c r="KTY148"/>
      <c r="KTZ148"/>
      <c r="KUA148"/>
      <c r="KUB148"/>
      <c r="KUC148"/>
      <c r="KUD148"/>
      <c r="KUE148"/>
      <c r="KUF148"/>
      <c r="KUG148"/>
      <c r="KUH148"/>
      <c r="KUI148"/>
      <c r="KUJ148"/>
      <c r="KUK148"/>
      <c r="KUL148"/>
      <c r="KUM148"/>
      <c r="KUN148"/>
      <c r="KUO148"/>
      <c r="KUP148"/>
      <c r="KUQ148"/>
      <c r="KUR148"/>
      <c r="KUS148"/>
      <c r="KUT148"/>
      <c r="KUU148"/>
      <c r="KUV148"/>
      <c r="KUW148"/>
      <c r="KUX148"/>
      <c r="KUY148"/>
      <c r="KUZ148"/>
      <c r="KVA148"/>
      <c r="KVB148"/>
      <c r="KVC148"/>
      <c r="KVD148"/>
      <c r="KVE148"/>
      <c r="KVF148"/>
      <c r="KVG148"/>
      <c r="KVH148"/>
      <c r="KVI148"/>
      <c r="KVJ148"/>
      <c r="KVK148"/>
      <c r="KVL148"/>
      <c r="KVM148"/>
      <c r="KVN148"/>
      <c r="KVO148"/>
      <c r="KVP148"/>
      <c r="KVQ148"/>
      <c r="KVR148"/>
      <c r="KVS148"/>
      <c r="KVT148"/>
      <c r="KVU148"/>
      <c r="KVV148"/>
      <c r="KVW148"/>
      <c r="KVX148"/>
      <c r="KVY148"/>
      <c r="KVZ148"/>
      <c r="KWA148"/>
      <c r="KWB148"/>
      <c r="KWC148"/>
      <c r="KWD148"/>
      <c r="KWE148"/>
      <c r="KWF148"/>
      <c r="KWG148"/>
      <c r="KWH148"/>
      <c r="KWI148"/>
      <c r="KWJ148"/>
      <c r="KWK148"/>
      <c r="KWL148"/>
      <c r="KWM148"/>
      <c r="KWN148"/>
      <c r="KWO148"/>
      <c r="KWP148"/>
      <c r="KWQ148"/>
      <c r="KWR148"/>
      <c r="KWS148"/>
      <c r="KWT148"/>
      <c r="KWU148"/>
      <c r="KWV148"/>
      <c r="KWW148"/>
      <c r="KWX148"/>
      <c r="KWY148"/>
      <c r="KWZ148"/>
      <c r="KXA148"/>
      <c r="KXB148"/>
      <c r="KXC148"/>
      <c r="KXD148"/>
      <c r="KXE148"/>
      <c r="KXF148"/>
      <c r="KXG148"/>
      <c r="KXH148"/>
      <c r="KXI148"/>
      <c r="KXJ148"/>
      <c r="KXK148"/>
      <c r="KXL148"/>
      <c r="KXM148"/>
      <c r="KXN148"/>
      <c r="KXO148"/>
      <c r="KXP148"/>
      <c r="KXQ148"/>
      <c r="KXR148"/>
      <c r="KXS148"/>
      <c r="KXT148"/>
      <c r="KXU148"/>
      <c r="KXV148"/>
      <c r="KXW148"/>
      <c r="KXX148"/>
      <c r="KXY148"/>
      <c r="KXZ148"/>
      <c r="KYA148"/>
      <c r="KYB148"/>
      <c r="KYC148"/>
      <c r="KYD148"/>
      <c r="KYE148"/>
      <c r="KYF148"/>
      <c r="KYG148"/>
      <c r="KYH148"/>
      <c r="KYI148"/>
      <c r="KYJ148"/>
      <c r="KYK148"/>
      <c r="KYL148"/>
      <c r="KYM148"/>
      <c r="KYN148"/>
      <c r="KYO148"/>
      <c r="KYP148"/>
      <c r="KYQ148"/>
      <c r="KYR148"/>
      <c r="KYS148"/>
      <c r="KYT148"/>
      <c r="KYU148"/>
      <c r="KYV148"/>
      <c r="KYW148"/>
      <c r="KYX148"/>
      <c r="KYY148"/>
      <c r="KYZ148"/>
      <c r="KZA148"/>
      <c r="KZB148"/>
      <c r="KZC148"/>
      <c r="KZD148"/>
      <c r="KZE148"/>
      <c r="KZF148"/>
      <c r="KZG148"/>
      <c r="KZH148"/>
      <c r="KZI148"/>
      <c r="KZJ148"/>
      <c r="KZK148"/>
      <c r="KZL148"/>
      <c r="KZM148"/>
      <c r="KZN148"/>
      <c r="KZO148"/>
      <c r="KZP148"/>
      <c r="KZQ148"/>
      <c r="KZR148"/>
      <c r="KZS148"/>
      <c r="KZT148"/>
      <c r="KZU148"/>
      <c r="KZV148"/>
      <c r="KZW148"/>
      <c r="KZX148"/>
      <c r="KZY148"/>
      <c r="KZZ148"/>
      <c r="LAA148"/>
      <c r="LAB148"/>
      <c r="LAC148"/>
      <c r="LAD148"/>
      <c r="LAE148"/>
      <c r="LAF148"/>
      <c r="LAG148"/>
      <c r="LAH148"/>
      <c r="LAI148"/>
      <c r="LAJ148"/>
      <c r="LAK148"/>
      <c r="LAL148"/>
      <c r="LAM148"/>
      <c r="LAN148"/>
      <c r="LAO148"/>
      <c r="LAP148"/>
      <c r="LAQ148"/>
      <c r="LAR148"/>
      <c r="LAS148"/>
      <c r="LAT148"/>
      <c r="LAU148"/>
      <c r="LAV148"/>
      <c r="LAW148"/>
      <c r="LAX148"/>
      <c r="LAY148"/>
      <c r="LAZ148"/>
      <c r="LBA148"/>
      <c r="LBB148"/>
      <c r="LBC148"/>
      <c r="LBD148"/>
      <c r="LBE148"/>
      <c r="LBF148"/>
      <c r="LBG148"/>
      <c r="LBH148"/>
      <c r="LBI148"/>
      <c r="LBJ148"/>
      <c r="LBK148"/>
      <c r="LBL148"/>
      <c r="LBM148"/>
      <c r="LBN148"/>
      <c r="LBO148"/>
      <c r="LBP148"/>
      <c r="LBQ148"/>
      <c r="LBR148"/>
      <c r="LBS148"/>
      <c r="LBT148"/>
      <c r="LBU148"/>
      <c r="LBV148"/>
      <c r="LBW148"/>
      <c r="LBX148"/>
      <c r="LBY148"/>
      <c r="LBZ148"/>
      <c r="LCA148"/>
      <c r="LCB148"/>
      <c r="LCC148"/>
      <c r="LCD148"/>
      <c r="LCE148"/>
      <c r="LCF148"/>
      <c r="LCG148"/>
      <c r="LCH148"/>
      <c r="LCI148"/>
      <c r="LCJ148"/>
      <c r="LCK148"/>
      <c r="LCL148"/>
      <c r="LCM148"/>
      <c r="LCN148"/>
      <c r="LCO148"/>
      <c r="LCP148"/>
      <c r="LCQ148"/>
      <c r="LCR148"/>
      <c r="LCS148"/>
      <c r="LCT148"/>
      <c r="LCU148"/>
      <c r="LCV148"/>
      <c r="LCW148"/>
      <c r="LCX148"/>
      <c r="LCY148"/>
      <c r="LCZ148"/>
      <c r="LDA148"/>
      <c r="LDB148"/>
      <c r="LDC148"/>
      <c r="LDD148"/>
      <c r="LDE148"/>
      <c r="LDF148"/>
      <c r="LDG148"/>
      <c r="LDH148"/>
      <c r="LDI148"/>
      <c r="LDJ148"/>
      <c r="LDK148"/>
      <c r="LDL148"/>
      <c r="LDM148"/>
      <c r="LDN148"/>
      <c r="LDO148"/>
      <c r="LDP148"/>
      <c r="LDQ148"/>
      <c r="LDR148"/>
      <c r="LDS148"/>
      <c r="LDT148"/>
      <c r="LDU148"/>
      <c r="LDV148"/>
      <c r="LDW148"/>
      <c r="LDX148"/>
      <c r="LDY148"/>
      <c r="LDZ148"/>
      <c r="LEA148"/>
      <c r="LEB148"/>
      <c r="LEC148"/>
      <c r="LED148"/>
      <c r="LEE148"/>
      <c r="LEF148"/>
      <c r="LEG148"/>
      <c r="LEH148"/>
      <c r="LEI148"/>
      <c r="LEJ148"/>
      <c r="LEK148"/>
      <c r="LEL148"/>
      <c r="LEM148"/>
      <c r="LEN148"/>
      <c r="LEO148"/>
      <c r="LEP148"/>
      <c r="LEQ148"/>
      <c r="LER148"/>
      <c r="LES148"/>
      <c r="LET148"/>
      <c r="LEU148"/>
      <c r="LEV148"/>
      <c r="LEW148"/>
      <c r="LEX148"/>
      <c r="LEY148"/>
      <c r="LEZ148"/>
      <c r="LFA148"/>
      <c r="LFB148"/>
      <c r="LFC148"/>
      <c r="LFD148"/>
      <c r="LFE148"/>
      <c r="LFF148"/>
      <c r="LFG148"/>
      <c r="LFH148"/>
      <c r="LFI148"/>
      <c r="LFJ148"/>
      <c r="LFK148"/>
      <c r="LFL148"/>
      <c r="LFM148"/>
      <c r="LFN148"/>
      <c r="LFO148"/>
      <c r="LFP148"/>
      <c r="LFQ148"/>
      <c r="LFR148"/>
      <c r="LFS148"/>
      <c r="LFT148"/>
      <c r="LFU148"/>
      <c r="LFV148"/>
      <c r="LFW148"/>
      <c r="LFX148"/>
      <c r="LFY148"/>
      <c r="LFZ148"/>
      <c r="LGA148"/>
      <c r="LGB148"/>
      <c r="LGC148"/>
      <c r="LGD148"/>
      <c r="LGE148"/>
      <c r="LGF148"/>
      <c r="LGG148"/>
      <c r="LGH148"/>
      <c r="LGI148"/>
      <c r="LGJ148"/>
      <c r="LGK148"/>
      <c r="LGL148"/>
      <c r="LGM148"/>
      <c r="LGN148"/>
      <c r="LGO148"/>
      <c r="LGP148"/>
      <c r="LGQ148"/>
      <c r="LGR148"/>
      <c r="LGS148"/>
      <c r="LGT148"/>
      <c r="LGU148"/>
      <c r="LGV148"/>
      <c r="LGW148"/>
      <c r="LGX148"/>
      <c r="LGY148"/>
      <c r="LGZ148"/>
      <c r="LHA148"/>
      <c r="LHB148"/>
      <c r="LHC148"/>
      <c r="LHD148"/>
      <c r="LHE148"/>
      <c r="LHF148"/>
      <c r="LHG148"/>
      <c r="LHH148"/>
      <c r="LHI148"/>
      <c r="LHJ148"/>
      <c r="LHK148"/>
      <c r="LHL148"/>
      <c r="LHM148"/>
      <c r="LHN148"/>
      <c r="LHO148"/>
      <c r="LHP148"/>
      <c r="LHQ148"/>
      <c r="LHR148"/>
      <c r="LHS148"/>
      <c r="LHT148"/>
      <c r="LHU148"/>
      <c r="LHV148"/>
      <c r="LHW148"/>
      <c r="LHX148"/>
      <c r="LHY148"/>
      <c r="LHZ148"/>
      <c r="LIA148"/>
      <c r="LIB148"/>
      <c r="LIC148"/>
      <c r="LID148"/>
      <c r="LIE148"/>
      <c r="LIF148"/>
      <c r="LIG148"/>
      <c r="LIH148"/>
      <c r="LII148"/>
      <c r="LIJ148"/>
      <c r="LIK148"/>
      <c r="LIL148"/>
      <c r="LIM148"/>
      <c r="LIN148"/>
      <c r="LIO148"/>
      <c r="LIP148"/>
      <c r="LIQ148"/>
      <c r="LIR148"/>
      <c r="LIS148"/>
      <c r="LIT148"/>
      <c r="LIU148"/>
      <c r="LIV148"/>
      <c r="LIW148"/>
      <c r="LIX148"/>
      <c r="LIY148"/>
      <c r="LIZ148"/>
      <c r="LJA148"/>
      <c r="LJB148"/>
      <c r="LJC148"/>
      <c r="LJD148"/>
      <c r="LJE148"/>
      <c r="LJF148"/>
      <c r="LJG148"/>
      <c r="LJH148"/>
      <c r="LJI148"/>
      <c r="LJJ148"/>
      <c r="LJK148"/>
      <c r="LJL148"/>
      <c r="LJM148"/>
      <c r="LJN148"/>
      <c r="LJO148"/>
      <c r="LJP148"/>
      <c r="LJQ148"/>
      <c r="LJR148"/>
      <c r="LJS148"/>
      <c r="LJT148"/>
      <c r="LJU148"/>
      <c r="LJV148"/>
      <c r="LJW148"/>
      <c r="LJX148"/>
      <c r="LJY148"/>
      <c r="LJZ148"/>
      <c r="LKA148"/>
      <c r="LKB148"/>
      <c r="LKC148"/>
      <c r="LKD148"/>
      <c r="LKE148"/>
      <c r="LKF148"/>
      <c r="LKG148"/>
      <c r="LKH148"/>
      <c r="LKI148"/>
      <c r="LKJ148"/>
      <c r="LKK148"/>
      <c r="LKL148"/>
      <c r="LKM148"/>
      <c r="LKN148"/>
      <c r="LKO148"/>
      <c r="LKP148"/>
      <c r="LKQ148"/>
      <c r="LKR148"/>
      <c r="LKS148"/>
      <c r="LKT148"/>
      <c r="LKU148"/>
      <c r="LKV148"/>
      <c r="LKW148"/>
      <c r="LKX148"/>
      <c r="LKY148"/>
      <c r="LKZ148"/>
      <c r="LLA148"/>
      <c r="LLB148"/>
      <c r="LLC148"/>
      <c r="LLD148"/>
      <c r="LLE148"/>
      <c r="LLF148"/>
      <c r="LLG148"/>
      <c r="LLH148"/>
      <c r="LLI148"/>
      <c r="LLJ148"/>
      <c r="LLK148"/>
      <c r="LLL148"/>
      <c r="LLM148"/>
      <c r="LLN148"/>
      <c r="LLO148"/>
      <c r="LLP148"/>
      <c r="LLQ148"/>
      <c r="LLR148"/>
      <c r="LLS148"/>
      <c r="LLT148"/>
      <c r="LLU148"/>
      <c r="LLV148"/>
      <c r="LLW148"/>
      <c r="LLX148"/>
      <c r="LLY148"/>
      <c r="LLZ148"/>
      <c r="LMA148"/>
      <c r="LMB148"/>
      <c r="LMC148"/>
      <c r="LMD148"/>
      <c r="LME148"/>
      <c r="LMF148"/>
      <c r="LMG148"/>
      <c r="LMH148"/>
      <c r="LMI148"/>
      <c r="LMJ148"/>
      <c r="LMK148"/>
      <c r="LML148"/>
      <c r="LMM148"/>
      <c r="LMN148"/>
      <c r="LMO148"/>
      <c r="LMP148"/>
      <c r="LMQ148"/>
      <c r="LMR148"/>
      <c r="LMS148"/>
      <c r="LMT148"/>
      <c r="LMU148"/>
      <c r="LMV148"/>
      <c r="LMW148"/>
      <c r="LMX148"/>
      <c r="LMY148"/>
      <c r="LMZ148"/>
      <c r="LNA148"/>
      <c r="LNB148"/>
      <c r="LNC148"/>
      <c r="LND148"/>
      <c r="LNE148"/>
      <c r="LNF148"/>
      <c r="LNG148"/>
      <c r="LNH148"/>
      <c r="LNI148"/>
      <c r="LNJ148"/>
      <c r="LNK148"/>
      <c r="LNL148"/>
      <c r="LNM148"/>
      <c r="LNN148"/>
      <c r="LNO148"/>
      <c r="LNP148"/>
      <c r="LNQ148"/>
      <c r="LNR148"/>
      <c r="LNS148"/>
      <c r="LNT148"/>
      <c r="LNU148"/>
      <c r="LNV148"/>
      <c r="LNW148"/>
      <c r="LNX148"/>
      <c r="LNY148"/>
      <c r="LNZ148"/>
      <c r="LOA148"/>
      <c r="LOB148"/>
      <c r="LOC148"/>
      <c r="LOD148"/>
      <c r="LOE148"/>
      <c r="LOF148"/>
      <c r="LOG148"/>
      <c r="LOH148"/>
      <c r="LOI148"/>
      <c r="LOJ148"/>
      <c r="LOK148"/>
      <c r="LOL148"/>
      <c r="LOM148"/>
      <c r="LON148"/>
      <c r="LOO148"/>
      <c r="LOP148"/>
      <c r="LOQ148"/>
      <c r="LOR148"/>
      <c r="LOS148"/>
      <c r="LOT148"/>
      <c r="LOU148"/>
      <c r="LOV148"/>
      <c r="LOW148"/>
      <c r="LOX148"/>
      <c r="LOY148"/>
      <c r="LOZ148"/>
      <c r="LPA148"/>
      <c r="LPB148"/>
      <c r="LPC148"/>
      <c r="LPD148"/>
      <c r="LPE148"/>
      <c r="LPF148"/>
      <c r="LPG148"/>
      <c r="LPH148"/>
      <c r="LPI148"/>
      <c r="LPJ148"/>
      <c r="LPK148"/>
      <c r="LPL148"/>
      <c r="LPM148"/>
      <c r="LPN148"/>
      <c r="LPO148"/>
      <c r="LPP148"/>
      <c r="LPQ148"/>
      <c r="LPR148"/>
      <c r="LPS148"/>
      <c r="LPT148"/>
      <c r="LPU148"/>
      <c r="LPV148"/>
      <c r="LPW148"/>
      <c r="LPX148"/>
      <c r="LPY148"/>
      <c r="LPZ148"/>
      <c r="LQA148"/>
      <c r="LQB148"/>
      <c r="LQC148"/>
      <c r="LQD148"/>
      <c r="LQE148"/>
      <c r="LQF148"/>
      <c r="LQG148"/>
      <c r="LQH148"/>
      <c r="LQI148"/>
      <c r="LQJ148"/>
      <c r="LQK148"/>
      <c r="LQL148"/>
      <c r="LQM148"/>
      <c r="LQN148"/>
      <c r="LQO148"/>
      <c r="LQP148"/>
      <c r="LQQ148"/>
      <c r="LQR148"/>
      <c r="LQS148"/>
      <c r="LQT148"/>
      <c r="LQU148"/>
      <c r="LQV148"/>
      <c r="LQW148"/>
      <c r="LQX148"/>
      <c r="LQY148"/>
      <c r="LQZ148"/>
      <c r="LRA148"/>
      <c r="LRB148"/>
      <c r="LRC148"/>
      <c r="LRD148"/>
      <c r="LRE148"/>
      <c r="LRF148"/>
      <c r="LRG148"/>
      <c r="LRH148"/>
      <c r="LRI148"/>
      <c r="LRJ148"/>
      <c r="LRK148"/>
      <c r="LRL148"/>
      <c r="LRM148"/>
      <c r="LRN148"/>
      <c r="LRO148"/>
      <c r="LRP148"/>
      <c r="LRQ148"/>
      <c r="LRR148"/>
      <c r="LRS148"/>
      <c r="LRT148"/>
      <c r="LRU148"/>
      <c r="LRV148"/>
      <c r="LRW148"/>
      <c r="LRX148"/>
      <c r="LRY148"/>
      <c r="LRZ148"/>
      <c r="LSA148"/>
      <c r="LSB148"/>
      <c r="LSC148"/>
      <c r="LSD148"/>
      <c r="LSE148"/>
      <c r="LSF148"/>
      <c r="LSG148"/>
      <c r="LSH148"/>
      <c r="LSI148"/>
      <c r="LSJ148"/>
      <c r="LSK148"/>
      <c r="LSL148"/>
      <c r="LSM148"/>
      <c r="LSN148"/>
      <c r="LSO148"/>
      <c r="LSP148"/>
      <c r="LSQ148"/>
      <c r="LSR148"/>
      <c r="LSS148"/>
      <c r="LST148"/>
      <c r="LSU148"/>
      <c r="LSV148"/>
      <c r="LSW148"/>
      <c r="LSX148"/>
      <c r="LSY148"/>
      <c r="LSZ148"/>
      <c r="LTA148"/>
      <c r="LTB148"/>
      <c r="LTC148"/>
      <c r="LTD148"/>
      <c r="LTE148"/>
      <c r="LTF148"/>
      <c r="LTG148"/>
      <c r="LTH148"/>
      <c r="LTI148"/>
      <c r="LTJ148"/>
      <c r="LTK148"/>
      <c r="LTL148"/>
      <c r="LTM148"/>
      <c r="LTN148"/>
      <c r="LTO148"/>
      <c r="LTP148"/>
      <c r="LTQ148"/>
      <c r="LTR148"/>
      <c r="LTS148"/>
      <c r="LTT148"/>
      <c r="LTU148"/>
      <c r="LTV148"/>
      <c r="LTW148"/>
      <c r="LTX148"/>
      <c r="LTY148"/>
      <c r="LTZ148"/>
      <c r="LUA148"/>
      <c r="LUB148"/>
      <c r="LUC148"/>
      <c r="LUD148"/>
      <c r="LUE148"/>
      <c r="LUF148"/>
      <c r="LUG148"/>
      <c r="LUH148"/>
      <c r="LUI148"/>
      <c r="LUJ148"/>
      <c r="LUK148"/>
      <c r="LUL148"/>
      <c r="LUM148"/>
      <c r="LUN148"/>
      <c r="LUO148"/>
      <c r="LUP148"/>
      <c r="LUQ148"/>
      <c r="LUR148"/>
      <c r="LUS148"/>
      <c r="LUT148"/>
      <c r="LUU148"/>
      <c r="LUV148"/>
      <c r="LUW148"/>
      <c r="LUX148"/>
      <c r="LUY148"/>
      <c r="LUZ148"/>
      <c r="LVA148"/>
      <c r="LVB148"/>
      <c r="LVC148"/>
      <c r="LVD148"/>
      <c r="LVE148"/>
      <c r="LVF148"/>
      <c r="LVG148"/>
      <c r="LVH148"/>
      <c r="LVI148"/>
      <c r="LVJ148"/>
      <c r="LVK148"/>
      <c r="LVL148"/>
      <c r="LVM148"/>
      <c r="LVN148"/>
      <c r="LVO148"/>
      <c r="LVP148"/>
      <c r="LVQ148"/>
      <c r="LVR148"/>
      <c r="LVS148"/>
      <c r="LVT148"/>
      <c r="LVU148"/>
      <c r="LVV148"/>
      <c r="LVW148"/>
      <c r="LVX148"/>
      <c r="LVY148"/>
      <c r="LVZ148"/>
      <c r="LWA148"/>
      <c r="LWB148"/>
      <c r="LWC148"/>
      <c r="LWD148"/>
      <c r="LWE148"/>
      <c r="LWF148"/>
      <c r="LWG148"/>
      <c r="LWH148"/>
      <c r="LWI148"/>
      <c r="LWJ148"/>
      <c r="LWK148"/>
      <c r="LWL148"/>
      <c r="LWM148"/>
      <c r="LWN148"/>
      <c r="LWO148"/>
      <c r="LWP148"/>
      <c r="LWQ148"/>
      <c r="LWR148"/>
      <c r="LWS148"/>
      <c r="LWT148"/>
      <c r="LWU148"/>
      <c r="LWV148"/>
      <c r="LWW148"/>
      <c r="LWX148"/>
      <c r="LWY148"/>
      <c r="LWZ148"/>
      <c r="LXA148"/>
      <c r="LXB148"/>
      <c r="LXC148"/>
      <c r="LXD148"/>
      <c r="LXE148"/>
      <c r="LXF148"/>
      <c r="LXG148"/>
      <c r="LXH148"/>
      <c r="LXI148"/>
      <c r="LXJ148"/>
      <c r="LXK148"/>
      <c r="LXL148"/>
      <c r="LXM148"/>
      <c r="LXN148"/>
      <c r="LXO148"/>
      <c r="LXP148"/>
      <c r="LXQ148"/>
      <c r="LXR148"/>
      <c r="LXS148"/>
      <c r="LXT148"/>
      <c r="LXU148"/>
      <c r="LXV148"/>
      <c r="LXW148"/>
      <c r="LXX148"/>
      <c r="LXY148"/>
      <c r="LXZ148"/>
      <c r="LYA148"/>
      <c r="LYB148"/>
      <c r="LYC148"/>
      <c r="LYD148"/>
      <c r="LYE148"/>
      <c r="LYF148"/>
      <c r="LYG148"/>
      <c r="LYH148"/>
      <c r="LYI148"/>
      <c r="LYJ148"/>
      <c r="LYK148"/>
      <c r="LYL148"/>
      <c r="LYM148"/>
      <c r="LYN148"/>
      <c r="LYO148"/>
      <c r="LYP148"/>
      <c r="LYQ148"/>
      <c r="LYR148"/>
      <c r="LYS148"/>
      <c r="LYT148"/>
      <c r="LYU148"/>
      <c r="LYV148"/>
      <c r="LYW148"/>
      <c r="LYX148"/>
      <c r="LYY148"/>
      <c r="LYZ148"/>
      <c r="LZA148"/>
      <c r="LZB148"/>
      <c r="LZC148"/>
      <c r="LZD148"/>
      <c r="LZE148"/>
      <c r="LZF148"/>
      <c r="LZG148"/>
      <c r="LZH148"/>
      <c r="LZI148"/>
      <c r="LZJ148"/>
      <c r="LZK148"/>
      <c r="LZL148"/>
      <c r="LZM148"/>
      <c r="LZN148"/>
      <c r="LZO148"/>
      <c r="LZP148"/>
      <c r="LZQ148"/>
      <c r="LZR148"/>
      <c r="LZS148"/>
      <c r="LZT148"/>
      <c r="LZU148"/>
      <c r="LZV148"/>
      <c r="LZW148"/>
      <c r="LZX148"/>
      <c r="LZY148"/>
      <c r="LZZ148"/>
      <c r="MAA148"/>
      <c r="MAB148"/>
      <c r="MAC148"/>
      <c r="MAD148"/>
      <c r="MAE148"/>
      <c r="MAF148"/>
      <c r="MAG148"/>
      <c r="MAH148"/>
      <c r="MAI148"/>
      <c r="MAJ148"/>
      <c r="MAK148"/>
      <c r="MAL148"/>
      <c r="MAM148"/>
      <c r="MAN148"/>
      <c r="MAO148"/>
      <c r="MAP148"/>
      <c r="MAQ148"/>
      <c r="MAR148"/>
      <c r="MAS148"/>
      <c r="MAT148"/>
      <c r="MAU148"/>
      <c r="MAV148"/>
      <c r="MAW148"/>
      <c r="MAX148"/>
      <c r="MAY148"/>
      <c r="MAZ148"/>
      <c r="MBA148"/>
      <c r="MBB148"/>
      <c r="MBC148"/>
      <c r="MBD148"/>
      <c r="MBE148"/>
      <c r="MBF148"/>
      <c r="MBG148"/>
      <c r="MBH148"/>
      <c r="MBI148"/>
      <c r="MBJ148"/>
      <c r="MBK148"/>
      <c r="MBL148"/>
      <c r="MBM148"/>
      <c r="MBN148"/>
      <c r="MBO148"/>
      <c r="MBP148"/>
      <c r="MBQ148"/>
      <c r="MBR148"/>
      <c r="MBS148"/>
      <c r="MBT148"/>
      <c r="MBU148"/>
      <c r="MBV148"/>
      <c r="MBW148"/>
      <c r="MBX148"/>
      <c r="MBY148"/>
      <c r="MBZ148"/>
      <c r="MCA148"/>
      <c r="MCB148"/>
      <c r="MCC148"/>
      <c r="MCD148"/>
      <c r="MCE148"/>
      <c r="MCF148"/>
      <c r="MCG148"/>
      <c r="MCH148"/>
      <c r="MCI148"/>
      <c r="MCJ148"/>
      <c r="MCK148"/>
      <c r="MCL148"/>
      <c r="MCM148"/>
      <c r="MCN148"/>
      <c r="MCO148"/>
      <c r="MCP148"/>
      <c r="MCQ148"/>
      <c r="MCR148"/>
      <c r="MCS148"/>
      <c r="MCT148"/>
      <c r="MCU148"/>
      <c r="MCV148"/>
      <c r="MCW148"/>
      <c r="MCX148"/>
      <c r="MCY148"/>
      <c r="MCZ148"/>
      <c r="MDA148"/>
      <c r="MDB148"/>
      <c r="MDC148"/>
      <c r="MDD148"/>
      <c r="MDE148"/>
      <c r="MDF148"/>
      <c r="MDG148"/>
      <c r="MDH148"/>
      <c r="MDI148"/>
      <c r="MDJ148"/>
      <c r="MDK148"/>
      <c r="MDL148"/>
      <c r="MDM148"/>
      <c r="MDN148"/>
      <c r="MDO148"/>
      <c r="MDP148"/>
      <c r="MDQ148"/>
      <c r="MDR148"/>
      <c r="MDS148"/>
      <c r="MDT148"/>
      <c r="MDU148"/>
      <c r="MDV148"/>
      <c r="MDW148"/>
      <c r="MDX148"/>
      <c r="MDY148"/>
      <c r="MDZ148"/>
      <c r="MEA148"/>
      <c r="MEB148"/>
      <c r="MEC148"/>
      <c r="MED148"/>
      <c r="MEE148"/>
      <c r="MEF148"/>
      <c r="MEG148"/>
      <c r="MEH148"/>
      <c r="MEI148"/>
      <c r="MEJ148"/>
      <c r="MEK148"/>
      <c r="MEL148"/>
      <c r="MEM148"/>
      <c r="MEN148"/>
      <c r="MEO148"/>
      <c r="MEP148"/>
      <c r="MEQ148"/>
      <c r="MER148"/>
      <c r="MES148"/>
      <c r="MET148"/>
      <c r="MEU148"/>
      <c r="MEV148"/>
      <c r="MEW148"/>
      <c r="MEX148"/>
      <c r="MEY148"/>
      <c r="MEZ148"/>
      <c r="MFA148"/>
      <c r="MFB148"/>
      <c r="MFC148"/>
      <c r="MFD148"/>
      <c r="MFE148"/>
      <c r="MFF148"/>
      <c r="MFG148"/>
      <c r="MFH148"/>
      <c r="MFI148"/>
      <c r="MFJ148"/>
      <c r="MFK148"/>
      <c r="MFL148"/>
      <c r="MFM148"/>
      <c r="MFN148"/>
      <c r="MFO148"/>
      <c r="MFP148"/>
      <c r="MFQ148"/>
      <c r="MFR148"/>
      <c r="MFS148"/>
      <c r="MFT148"/>
      <c r="MFU148"/>
      <c r="MFV148"/>
      <c r="MFW148"/>
      <c r="MFX148"/>
      <c r="MFY148"/>
      <c r="MFZ148"/>
      <c r="MGA148"/>
      <c r="MGB148"/>
      <c r="MGC148"/>
      <c r="MGD148"/>
      <c r="MGE148"/>
      <c r="MGF148"/>
      <c r="MGG148"/>
      <c r="MGH148"/>
      <c r="MGI148"/>
      <c r="MGJ148"/>
      <c r="MGK148"/>
      <c r="MGL148"/>
      <c r="MGM148"/>
      <c r="MGN148"/>
      <c r="MGO148"/>
      <c r="MGP148"/>
      <c r="MGQ148"/>
      <c r="MGR148"/>
      <c r="MGS148"/>
      <c r="MGT148"/>
      <c r="MGU148"/>
      <c r="MGV148"/>
      <c r="MGW148"/>
      <c r="MGX148"/>
      <c r="MGY148"/>
      <c r="MGZ148"/>
      <c r="MHA148"/>
      <c r="MHB148"/>
      <c r="MHC148"/>
      <c r="MHD148"/>
      <c r="MHE148"/>
      <c r="MHF148"/>
      <c r="MHG148"/>
      <c r="MHH148"/>
      <c r="MHI148"/>
      <c r="MHJ148"/>
      <c r="MHK148"/>
      <c r="MHL148"/>
      <c r="MHM148"/>
      <c r="MHN148"/>
      <c r="MHO148"/>
      <c r="MHP148"/>
      <c r="MHQ148"/>
      <c r="MHR148"/>
      <c r="MHS148"/>
      <c r="MHT148"/>
      <c r="MHU148"/>
      <c r="MHV148"/>
      <c r="MHW148"/>
      <c r="MHX148"/>
      <c r="MHY148"/>
      <c r="MHZ148"/>
      <c r="MIA148"/>
      <c r="MIB148"/>
      <c r="MIC148"/>
      <c r="MID148"/>
      <c r="MIE148"/>
      <c r="MIF148"/>
      <c r="MIG148"/>
      <c r="MIH148"/>
      <c r="MII148"/>
      <c r="MIJ148"/>
      <c r="MIK148"/>
      <c r="MIL148"/>
      <c r="MIM148"/>
      <c r="MIN148"/>
      <c r="MIO148"/>
      <c r="MIP148"/>
      <c r="MIQ148"/>
      <c r="MIR148"/>
      <c r="MIS148"/>
      <c r="MIT148"/>
      <c r="MIU148"/>
      <c r="MIV148"/>
      <c r="MIW148"/>
      <c r="MIX148"/>
      <c r="MIY148"/>
      <c r="MIZ148"/>
      <c r="MJA148"/>
      <c r="MJB148"/>
      <c r="MJC148"/>
      <c r="MJD148"/>
      <c r="MJE148"/>
      <c r="MJF148"/>
      <c r="MJG148"/>
      <c r="MJH148"/>
      <c r="MJI148"/>
      <c r="MJJ148"/>
      <c r="MJK148"/>
      <c r="MJL148"/>
      <c r="MJM148"/>
      <c r="MJN148"/>
      <c r="MJO148"/>
      <c r="MJP148"/>
      <c r="MJQ148"/>
      <c r="MJR148"/>
      <c r="MJS148"/>
      <c r="MJT148"/>
      <c r="MJU148"/>
      <c r="MJV148"/>
      <c r="MJW148"/>
      <c r="MJX148"/>
      <c r="MJY148"/>
      <c r="MJZ148"/>
      <c r="MKA148"/>
      <c r="MKB148"/>
      <c r="MKC148"/>
      <c r="MKD148"/>
      <c r="MKE148"/>
      <c r="MKF148"/>
      <c r="MKG148"/>
      <c r="MKH148"/>
      <c r="MKI148"/>
      <c r="MKJ148"/>
      <c r="MKK148"/>
      <c r="MKL148"/>
      <c r="MKM148"/>
      <c r="MKN148"/>
      <c r="MKO148"/>
      <c r="MKP148"/>
      <c r="MKQ148"/>
      <c r="MKR148"/>
      <c r="MKS148"/>
      <c r="MKT148"/>
      <c r="MKU148"/>
      <c r="MKV148"/>
      <c r="MKW148"/>
      <c r="MKX148"/>
      <c r="MKY148"/>
      <c r="MKZ148"/>
      <c r="MLA148"/>
      <c r="MLB148"/>
      <c r="MLC148"/>
      <c r="MLD148"/>
      <c r="MLE148"/>
      <c r="MLF148"/>
      <c r="MLG148"/>
      <c r="MLH148"/>
      <c r="MLI148"/>
      <c r="MLJ148"/>
      <c r="MLK148"/>
      <c r="MLL148"/>
      <c r="MLM148"/>
      <c r="MLN148"/>
      <c r="MLO148"/>
      <c r="MLP148"/>
      <c r="MLQ148"/>
      <c r="MLR148"/>
      <c r="MLS148"/>
      <c r="MLT148"/>
      <c r="MLU148"/>
      <c r="MLV148"/>
      <c r="MLW148"/>
      <c r="MLX148"/>
      <c r="MLY148"/>
      <c r="MLZ148"/>
      <c r="MMA148"/>
      <c r="MMB148"/>
      <c r="MMC148"/>
      <c r="MMD148"/>
      <c r="MME148"/>
      <c r="MMF148"/>
      <c r="MMG148"/>
      <c r="MMH148"/>
      <c r="MMI148"/>
      <c r="MMJ148"/>
      <c r="MMK148"/>
      <c r="MML148"/>
      <c r="MMM148"/>
      <c r="MMN148"/>
      <c r="MMO148"/>
      <c r="MMP148"/>
      <c r="MMQ148"/>
      <c r="MMR148"/>
      <c r="MMS148"/>
      <c r="MMT148"/>
      <c r="MMU148"/>
      <c r="MMV148"/>
      <c r="MMW148"/>
      <c r="MMX148"/>
      <c r="MMY148"/>
      <c r="MMZ148"/>
      <c r="MNA148"/>
      <c r="MNB148"/>
      <c r="MNC148"/>
      <c r="MND148"/>
      <c r="MNE148"/>
      <c r="MNF148"/>
      <c r="MNG148"/>
      <c r="MNH148"/>
      <c r="MNI148"/>
      <c r="MNJ148"/>
      <c r="MNK148"/>
      <c r="MNL148"/>
      <c r="MNM148"/>
      <c r="MNN148"/>
      <c r="MNO148"/>
      <c r="MNP148"/>
      <c r="MNQ148"/>
      <c r="MNR148"/>
      <c r="MNS148"/>
      <c r="MNT148"/>
      <c r="MNU148"/>
      <c r="MNV148"/>
      <c r="MNW148"/>
      <c r="MNX148"/>
      <c r="MNY148"/>
      <c r="MNZ148"/>
      <c r="MOA148"/>
      <c r="MOB148"/>
      <c r="MOC148"/>
      <c r="MOD148"/>
      <c r="MOE148"/>
      <c r="MOF148"/>
      <c r="MOG148"/>
      <c r="MOH148"/>
      <c r="MOI148"/>
      <c r="MOJ148"/>
      <c r="MOK148"/>
      <c r="MOL148"/>
      <c r="MOM148"/>
      <c r="MON148"/>
      <c r="MOO148"/>
      <c r="MOP148"/>
      <c r="MOQ148"/>
      <c r="MOR148"/>
      <c r="MOS148"/>
      <c r="MOT148"/>
      <c r="MOU148"/>
      <c r="MOV148"/>
      <c r="MOW148"/>
      <c r="MOX148"/>
      <c r="MOY148"/>
      <c r="MOZ148"/>
      <c r="MPA148"/>
      <c r="MPB148"/>
      <c r="MPC148"/>
      <c r="MPD148"/>
      <c r="MPE148"/>
      <c r="MPF148"/>
      <c r="MPG148"/>
      <c r="MPH148"/>
      <c r="MPI148"/>
      <c r="MPJ148"/>
      <c r="MPK148"/>
      <c r="MPL148"/>
      <c r="MPM148"/>
      <c r="MPN148"/>
      <c r="MPO148"/>
      <c r="MPP148"/>
      <c r="MPQ148"/>
      <c r="MPR148"/>
      <c r="MPS148"/>
      <c r="MPT148"/>
      <c r="MPU148"/>
      <c r="MPV148"/>
      <c r="MPW148"/>
      <c r="MPX148"/>
      <c r="MPY148"/>
      <c r="MPZ148"/>
      <c r="MQA148"/>
      <c r="MQB148"/>
      <c r="MQC148"/>
      <c r="MQD148"/>
      <c r="MQE148"/>
      <c r="MQF148"/>
      <c r="MQG148"/>
      <c r="MQH148"/>
      <c r="MQI148"/>
      <c r="MQJ148"/>
      <c r="MQK148"/>
      <c r="MQL148"/>
      <c r="MQM148"/>
      <c r="MQN148"/>
      <c r="MQO148"/>
      <c r="MQP148"/>
      <c r="MQQ148"/>
      <c r="MQR148"/>
      <c r="MQS148"/>
      <c r="MQT148"/>
      <c r="MQU148"/>
      <c r="MQV148"/>
      <c r="MQW148"/>
      <c r="MQX148"/>
      <c r="MQY148"/>
      <c r="MQZ148"/>
      <c r="MRA148"/>
      <c r="MRB148"/>
      <c r="MRC148"/>
      <c r="MRD148"/>
      <c r="MRE148"/>
      <c r="MRF148"/>
      <c r="MRG148"/>
      <c r="MRH148"/>
      <c r="MRI148"/>
      <c r="MRJ148"/>
      <c r="MRK148"/>
      <c r="MRL148"/>
      <c r="MRM148"/>
      <c r="MRN148"/>
      <c r="MRO148"/>
      <c r="MRP148"/>
      <c r="MRQ148"/>
      <c r="MRR148"/>
      <c r="MRS148"/>
      <c r="MRT148"/>
      <c r="MRU148"/>
      <c r="MRV148"/>
      <c r="MRW148"/>
      <c r="MRX148"/>
      <c r="MRY148"/>
      <c r="MRZ148"/>
      <c r="MSA148"/>
      <c r="MSB148"/>
      <c r="MSC148"/>
      <c r="MSD148"/>
      <c r="MSE148"/>
      <c r="MSF148"/>
      <c r="MSG148"/>
      <c r="MSH148"/>
      <c r="MSI148"/>
      <c r="MSJ148"/>
      <c r="MSK148"/>
      <c r="MSL148"/>
      <c r="MSM148"/>
      <c r="MSN148"/>
      <c r="MSO148"/>
      <c r="MSP148"/>
      <c r="MSQ148"/>
      <c r="MSR148"/>
      <c r="MSS148"/>
      <c r="MST148"/>
      <c r="MSU148"/>
      <c r="MSV148"/>
      <c r="MSW148"/>
      <c r="MSX148"/>
      <c r="MSY148"/>
      <c r="MSZ148"/>
      <c r="MTA148"/>
      <c r="MTB148"/>
      <c r="MTC148"/>
      <c r="MTD148"/>
      <c r="MTE148"/>
      <c r="MTF148"/>
      <c r="MTG148"/>
      <c r="MTH148"/>
      <c r="MTI148"/>
      <c r="MTJ148"/>
      <c r="MTK148"/>
      <c r="MTL148"/>
      <c r="MTM148"/>
      <c r="MTN148"/>
      <c r="MTO148"/>
      <c r="MTP148"/>
      <c r="MTQ148"/>
      <c r="MTR148"/>
      <c r="MTS148"/>
      <c r="MTT148"/>
      <c r="MTU148"/>
      <c r="MTV148"/>
      <c r="MTW148"/>
      <c r="MTX148"/>
      <c r="MTY148"/>
      <c r="MTZ148"/>
      <c r="MUA148"/>
      <c r="MUB148"/>
      <c r="MUC148"/>
      <c r="MUD148"/>
      <c r="MUE148"/>
      <c r="MUF148"/>
      <c r="MUG148"/>
      <c r="MUH148"/>
      <c r="MUI148"/>
      <c r="MUJ148"/>
      <c r="MUK148"/>
      <c r="MUL148"/>
      <c r="MUM148"/>
      <c r="MUN148"/>
      <c r="MUO148"/>
      <c r="MUP148"/>
      <c r="MUQ148"/>
      <c r="MUR148"/>
      <c r="MUS148"/>
      <c r="MUT148"/>
      <c r="MUU148"/>
      <c r="MUV148"/>
      <c r="MUW148"/>
      <c r="MUX148"/>
      <c r="MUY148"/>
      <c r="MUZ148"/>
      <c r="MVA148"/>
      <c r="MVB148"/>
      <c r="MVC148"/>
      <c r="MVD148"/>
      <c r="MVE148"/>
      <c r="MVF148"/>
      <c r="MVG148"/>
      <c r="MVH148"/>
      <c r="MVI148"/>
      <c r="MVJ148"/>
      <c r="MVK148"/>
      <c r="MVL148"/>
      <c r="MVM148"/>
      <c r="MVN148"/>
      <c r="MVO148"/>
      <c r="MVP148"/>
      <c r="MVQ148"/>
      <c r="MVR148"/>
      <c r="MVS148"/>
      <c r="MVT148"/>
      <c r="MVU148"/>
      <c r="MVV148"/>
      <c r="MVW148"/>
      <c r="MVX148"/>
      <c r="MVY148"/>
      <c r="MVZ148"/>
      <c r="MWA148"/>
      <c r="MWB148"/>
      <c r="MWC148"/>
      <c r="MWD148"/>
      <c r="MWE148"/>
      <c r="MWF148"/>
      <c r="MWG148"/>
      <c r="MWH148"/>
      <c r="MWI148"/>
      <c r="MWJ148"/>
      <c r="MWK148"/>
      <c r="MWL148"/>
      <c r="MWM148"/>
      <c r="MWN148"/>
      <c r="MWO148"/>
      <c r="MWP148"/>
      <c r="MWQ148"/>
      <c r="MWR148"/>
      <c r="MWS148"/>
      <c r="MWT148"/>
      <c r="MWU148"/>
      <c r="MWV148"/>
      <c r="MWW148"/>
      <c r="MWX148"/>
      <c r="MWY148"/>
      <c r="MWZ148"/>
      <c r="MXA148"/>
      <c r="MXB148"/>
      <c r="MXC148"/>
      <c r="MXD148"/>
      <c r="MXE148"/>
      <c r="MXF148"/>
      <c r="MXG148"/>
      <c r="MXH148"/>
      <c r="MXI148"/>
      <c r="MXJ148"/>
      <c r="MXK148"/>
      <c r="MXL148"/>
      <c r="MXM148"/>
      <c r="MXN148"/>
      <c r="MXO148"/>
      <c r="MXP148"/>
      <c r="MXQ148"/>
      <c r="MXR148"/>
      <c r="MXS148"/>
      <c r="MXT148"/>
      <c r="MXU148"/>
      <c r="MXV148"/>
      <c r="MXW148"/>
      <c r="MXX148"/>
      <c r="MXY148"/>
      <c r="MXZ148"/>
      <c r="MYA148"/>
      <c r="MYB148"/>
      <c r="MYC148"/>
      <c r="MYD148"/>
      <c r="MYE148"/>
      <c r="MYF148"/>
      <c r="MYG148"/>
      <c r="MYH148"/>
      <c r="MYI148"/>
      <c r="MYJ148"/>
      <c r="MYK148"/>
      <c r="MYL148"/>
      <c r="MYM148"/>
      <c r="MYN148"/>
      <c r="MYO148"/>
      <c r="MYP148"/>
      <c r="MYQ148"/>
      <c r="MYR148"/>
      <c r="MYS148"/>
      <c r="MYT148"/>
      <c r="MYU148"/>
      <c r="MYV148"/>
      <c r="MYW148"/>
      <c r="MYX148"/>
      <c r="MYY148"/>
      <c r="MYZ148"/>
      <c r="MZA148"/>
      <c r="MZB148"/>
      <c r="MZC148"/>
      <c r="MZD148"/>
      <c r="MZE148"/>
      <c r="MZF148"/>
      <c r="MZG148"/>
      <c r="MZH148"/>
      <c r="MZI148"/>
      <c r="MZJ148"/>
      <c r="MZK148"/>
      <c r="MZL148"/>
      <c r="MZM148"/>
      <c r="MZN148"/>
      <c r="MZO148"/>
      <c r="MZP148"/>
      <c r="MZQ148"/>
      <c r="MZR148"/>
      <c r="MZS148"/>
      <c r="MZT148"/>
      <c r="MZU148"/>
      <c r="MZV148"/>
      <c r="MZW148"/>
      <c r="MZX148"/>
      <c r="MZY148"/>
      <c r="MZZ148"/>
      <c r="NAA148"/>
      <c r="NAB148"/>
      <c r="NAC148"/>
      <c r="NAD148"/>
      <c r="NAE148"/>
      <c r="NAF148"/>
      <c r="NAG148"/>
      <c r="NAH148"/>
      <c r="NAI148"/>
      <c r="NAJ148"/>
      <c r="NAK148"/>
      <c r="NAL148"/>
      <c r="NAM148"/>
      <c r="NAN148"/>
      <c r="NAO148"/>
      <c r="NAP148"/>
      <c r="NAQ148"/>
      <c r="NAR148"/>
      <c r="NAS148"/>
      <c r="NAT148"/>
      <c r="NAU148"/>
      <c r="NAV148"/>
      <c r="NAW148"/>
      <c r="NAX148"/>
      <c r="NAY148"/>
      <c r="NAZ148"/>
      <c r="NBA148"/>
      <c r="NBB148"/>
      <c r="NBC148"/>
      <c r="NBD148"/>
      <c r="NBE148"/>
      <c r="NBF148"/>
      <c r="NBG148"/>
      <c r="NBH148"/>
      <c r="NBI148"/>
      <c r="NBJ148"/>
      <c r="NBK148"/>
      <c r="NBL148"/>
      <c r="NBM148"/>
      <c r="NBN148"/>
      <c r="NBO148"/>
      <c r="NBP148"/>
      <c r="NBQ148"/>
      <c r="NBR148"/>
      <c r="NBS148"/>
      <c r="NBT148"/>
      <c r="NBU148"/>
      <c r="NBV148"/>
      <c r="NBW148"/>
      <c r="NBX148"/>
      <c r="NBY148"/>
      <c r="NBZ148"/>
      <c r="NCA148"/>
      <c r="NCB148"/>
      <c r="NCC148"/>
      <c r="NCD148"/>
      <c r="NCE148"/>
      <c r="NCF148"/>
      <c r="NCG148"/>
      <c r="NCH148"/>
      <c r="NCI148"/>
      <c r="NCJ148"/>
      <c r="NCK148"/>
      <c r="NCL148"/>
      <c r="NCM148"/>
      <c r="NCN148"/>
      <c r="NCO148"/>
      <c r="NCP148"/>
      <c r="NCQ148"/>
      <c r="NCR148"/>
      <c r="NCS148"/>
      <c r="NCT148"/>
      <c r="NCU148"/>
      <c r="NCV148"/>
      <c r="NCW148"/>
      <c r="NCX148"/>
      <c r="NCY148"/>
      <c r="NCZ148"/>
      <c r="NDA148"/>
      <c r="NDB148"/>
      <c r="NDC148"/>
      <c r="NDD148"/>
      <c r="NDE148"/>
      <c r="NDF148"/>
      <c r="NDG148"/>
      <c r="NDH148"/>
      <c r="NDI148"/>
      <c r="NDJ148"/>
      <c r="NDK148"/>
      <c r="NDL148"/>
      <c r="NDM148"/>
      <c r="NDN148"/>
      <c r="NDO148"/>
      <c r="NDP148"/>
      <c r="NDQ148"/>
      <c r="NDR148"/>
      <c r="NDS148"/>
      <c r="NDT148"/>
      <c r="NDU148"/>
      <c r="NDV148"/>
      <c r="NDW148"/>
      <c r="NDX148"/>
      <c r="NDY148"/>
      <c r="NDZ148"/>
      <c r="NEA148"/>
      <c r="NEB148"/>
      <c r="NEC148"/>
      <c r="NED148"/>
      <c r="NEE148"/>
      <c r="NEF148"/>
      <c r="NEG148"/>
      <c r="NEH148"/>
      <c r="NEI148"/>
      <c r="NEJ148"/>
      <c r="NEK148"/>
      <c r="NEL148"/>
      <c r="NEM148"/>
      <c r="NEN148"/>
      <c r="NEO148"/>
      <c r="NEP148"/>
      <c r="NEQ148"/>
      <c r="NER148"/>
      <c r="NES148"/>
      <c r="NET148"/>
      <c r="NEU148"/>
      <c r="NEV148"/>
      <c r="NEW148"/>
      <c r="NEX148"/>
      <c r="NEY148"/>
      <c r="NEZ148"/>
      <c r="NFA148"/>
      <c r="NFB148"/>
      <c r="NFC148"/>
      <c r="NFD148"/>
      <c r="NFE148"/>
      <c r="NFF148"/>
      <c r="NFG148"/>
      <c r="NFH148"/>
      <c r="NFI148"/>
      <c r="NFJ148"/>
      <c r="NFK148"/>
      <c r="NFL148"/>
      <c r="NFM148"/>
      <c r="NFN148"/>
      <c r="NFO148"/>
      <c r="NFP148"/>
      <c r="NFQ148"/>
      <c r="NFR148"/>
      <c r="NFS148"/>
      <c r="NFT148"/>
      <c r="NFU148"/>
      <c r="NFV148"/>
      <c r="NFW148"/>
      <c r="NFX148"/>
      <c r="NFY148"/>
      <c r="NFZ148"/>
      <c r="NGA148"/>
      <c r="NGB148"/>
      <c r="NGC148"/>
      <c r="NGD148"/>
      <c r="NGE148"/>
      <c r="NGF148"/>
      <c r="NGG148"/>
      <c r="NGH148"/>
      <c r="NGI148"/>
      <c r="NGJ148"/>
      <c r="NGK148"/>
      <c r="NGL148"/>
      <c r="NGM148"/>
      <c r="NGN148"/>
      <c r="NGO148"/>
      <c r="NGP148"/>
      <c r="NGQ148"/>
      <c r="NGR148"/>
      <c r="NGS148"/>
      <c r="NGT148"/>
      <c r="NGU148"/>
      <c r="NGV148"/>
      <c r="NGW148"/>
      <c r="NGX148"/>
      <c r="NGY148"/>
      <c r="NGZ148"/>
      <c r="NHA148"/>
      <c r="NHB148"/>
      <c r="NHC148"/>
      <c r="NHD148"/>
      <c r="NHE148"/>
      <c r="NHF148"/>
      <c r="NHG148"/>
      <c r="NHH148"/>
      <c r="NHI148"/>
      <c r="NHJ148"/>
      <c r="NHK148"/>
      <c r="NHL148"/>
      <c r="NHM148"/>
      <c r="NHN148"/>
      <c r="NHO148"/>
      <c r="NHP148"/>
      <c r="NHQ148"/>
      <c r="NHR148"/>
      <c r="NHS148"/>
      <c r="NHT148"/>
      <c r="NHU148"/>
      <c r="NHV148"/>
      <c r="NHW148"/>
      <c r="NHX148"/>
      <c r="NHY148"/>
      <c r="NHZ148"/>
      <c r="NIA148"/>
      <c r="NIB148"/>
      <c r="NIC148"/>
      <c r="NID148"/>
      <c r="NIE148"/>
      <c r="NIF148"/>
      <c r="NIG148"/>
      <c r="NIH148"/>
      <c r="NII148"/>
      <c r="NIJ148"/>
      <c r="NIK148"/>
      <c r="NIL148"/>
      <c r="NIM148"/>
      <c r="NIN148"/>
      <c r="NIO148"/>
      <c r="NIP148"/>
      <c r="NIQ148"/>
      <c r="NIR148"/>
      <c r="NIS148"/>
      <c r="NIT148"/>
      <c r="NIU148"/>
      <c r="NIV148"/>
      <c r="NIW148"/>
      <c r="NIX148"/>
      <c r="NIY148"/>
      <c r="NIZ148"/>
      <c r="NJA148"/>
      <c r="NJB148"/>
      <c r="NJC148"/>
      <c r="NJD148"/>
      <c r="NJE148"/>
      <c r="NJF148"/>
      <c r="NJG148"/>
      <c r="NJH148"/>
      <c r="NJI148"/>
      <c r="NJJ148"/>
      <c r="NJK148"/>
      <c r="NJL148"/>
      <c r="NJM148"/>
      <c r="NJN148"/>
      <c r="NJO148"/>
      <c r="NJP148"/>
      <c r="NJQ148"/>
      <c r="NJR148"/>
      <c r="NJS148"/>
      <c r="NJT148"/>
      <c r="NJU148"/>
      <c r="NJV148"/>
      <c r="NJW148"/>
      <c r="NJX148"/>
      <c r="NJY148"/>
      <c r="NJZ148"/>
      <c r="NKA148"/>
      <c r="NKB148"/>
      <c r="NKC148"/>
      <c r="NKD148"/>
      <c r="NKE148"/>
      <c r="NKF148"/>
      <c r="NKG148"/>
      <c r="NKH148"/>
      <c r="NKI148"/>
      <c r="NKJ148"/>
      <c r="NKK148"/>
      <c r="NKL148"/>
      <c r="NKM148"/>
      <c r="NKN148"/>
      <c r="NKO148"/>
      <c r="NKP148"/>
      <c r="NKQ148"/>
      <c r="NKR148"/>
      <c r="NKS148"/>
      <c r="NKT148"/>
      <c r="NKU148"/>
      <c r="NKV148"/>
      <c r="NKW148"/>
      <c r="NKX148"/>
      <c r="NKY148"/>
      <c r="NKZ148"/>
      <c r="NLA148"/>
      <c r="NLB148"/>
      <c r="NLC148"/>
      <c r="NLD148"/>
      <c r="NLE148"/>
      <c r="NLF148"/>
      <c r="NLG148"/>
      <c r="NLH148"/>
      <c r="NLI148"/>
      <c r="NLJ148"/>
      <c r="NLK148"/>
      <c r="NLL148"/>
      <c r="NLM148"/>
      <c r="NLN148"/>
      <c r="NLO148"/>
      <c r="NLP148"/>
      <c r="NLQ148"/>
      <c r="NLR148"/>
      <c r="NLS148"/>
      <c r="NLT148"/>
      <c r="NLU148"/>
      <c r="NLV148"/>
      <c r="NLW148"/>
      <c r="NLX148"/>
      <c r="NLY148"/>
      <c r="NLZ148"/>
      <c r="NMA148"/>
      <c r="NMB148"/>
      <c r="NMC148"/>
      <c r="NMD148"/>
      <c r="NME148"/>
      <c r="NMF148"/>
      <c r="NMG148"/>
      <c r="NMH148"/>
      <c r="NMI148"/>
      <c r="NMJ148"/>
      <c r="NMK148"/>
      <c r="NML148"/>
      <c r="NMM148"/>
      <c r="NMN148"/>
      <c r="NMO148"/>
      <c r="NMP148"/>
      <c r="NMQ148"/>
      <c r="NMR148"/>
      <c r="NMS148"/>
      <c r="NMT148"/>
      <c r="NMU148"/>
      <c r="NMV148"/>
      <c r="NMW148"/>
      <c r="NMX148"/>
      <c r="NMY148"/>
      <c r="NMZ148"/>
      <c r="NNA148"/>
      <c r="NNB148"/>
      <c r="NNC148"/>
      <c r="NND148"/>
      <c r="NNE148"/>
      <c r="NNF148"/>
      <c r="NNG148"/>
      <c r="NNH148"/>
      <c r="NNI148"/>
      <c r="NNJ148"/>
      <c r="NNK148"/>
      <c r="NNL148"/>
      <c r="NNM148"/>
      <c r="NNN148"/>
      <c r="NNO148"/>
      <c r="NNP148"/>
      <c r="NNQ148"/>
      <c r="NNR148"/>
      <c r="NNS148"/>
      <c r="NNT148"/>
      <c r="NNU148"/>
      <c r="NNV148"/>
      <c r="NNW148"/>
      <c r="NNX148"/>
      <c r="NNY148"/>
      <c r="NNZ148"/>
      <c r="NOA148"/>
      <c r="NOB148"/>
      <c r="NOC148"/>
      <c r="NOD148"/>
      <c r="NOE148"/>
      <c r="NOF148"/>
      <c r="NOG148"/>
      <c r="NOH148"/>
      <c r="NOI148"/>
      <c r="NOJ148"/>
      <c r="NOK148"/>
      <c r="NOL148"/>
      <c r="NOM148"/>
      <c r="NON148"/>
      <c r="NOO148"/>
      <c r="NOP148"/>
      <c r="NOQ148"/>
      <c r="NOR148"/>
      <c r="NOS148"/>
      <c r="NOT148"/>
      <c r="NOU148"/>
      <c r="NOV148"/>
      <c r="NOW148"/>
      <c r="NOX148"/>
      <c r="NOY148"/>
      <c r="NOZ148"/>
      <c r="NPA148"/>
      <c r="NPB148"/>
      <c r="NPC148"/>
      <c r="NPD148"/>
      <c r="NPE148"/>
      <c r="NPF148"/>
      <c r="NPG148"/>
      <c r="NPH148"/>
      <c r="NPI148"/>
      <c r="NPJ148"/>
      <c r="NPK148"/>
      <c r="NPL148"/>
      <c r="NPM148"/>
      <c r="NPN148"/>
      <c r="NPO148"/>
      <c r="NPP148"/>
      <c r="NPQ148"/>
      <c r="NPR148"/>
      <c r="NPS148"/>
      <c r="NPT148"/>
      <c r="NPU148"/>
      <c r="NPV148"/>
      <c r="NPW148"/>
      <c r="NPX148"/>
      <c r="NPY148"/>
      <c r="NPZ148"/>
      <c r="NQA148"/>
      <c r="NQB148"/>
      <c r="NQC148"/>
      <c r="NQD148"/>
      <c r="NQE148"/>
      <c r="NQF148"/>
      <c r="NQG148"/>
      <c r="NQH148"/>
      <c r="NQI148"/>
      <c r="NQJ148"/>
      <c r="NQK148"/>
      <c r="NQL148"/>
      <c r="NQM148"/>
      <c r="NQN148"/>
      <c r="NQO148"/>
      <c r="NQP148"/>
      <c r="NQQ148"/>
      <c r="NQR148"/>
      <c r="NQS148"/>
      <c r="NQT148"/>
      <c r="NQU148"/>
      <c r="NQV148"/>
      <c r="NQW148"/>
      <c r="NQX148"/>
      <c r="NQY148"/>
      <c r="NQZ148"/>
      <c r="NRA148"/>
      <c r="NRB148"/>
      <c r="NRC148"/>
      <c r="NRD148"/>
      <c r="NRE148"/>
      <c r="NRF148"/>
      <c r="NRG148"/>
      <c r="NRH148"/>
      <c r="NRI148"/>
      <c r="NRJ148"/>
      <c r="NRK148"/>
      <c r="NRL148"/>
      <c r="NRM148"/>
      <c r="NRN148"/>
      <c r="NRO148"/>
      <c r="NRP148"/>
      <c r="NRQ148"/>
      <c r="NRR148"/>
      <c r="NRS148"/>
      <c r="NRT148"/>
      <c r="NRU148"/>
      <c r="NRV148"/>
      <c r="NRW148"/>
      <c r="NRX148"/>
      <c r="NRY148"/>
      <c r="NRZ148"/>
      <c r="NSA148"/>
      <c r="NSB148"/>
      <c r="NSC148"/>
      <c r="NSD148"/>
      <c r="NSE148"/>
      <c r="NSF148"/>
      <c r="NSG148"/>
      <c r="NSH148"/>
      <c r="NSI148"/>
      <c r="NSJ148"/>
      <c r="NSK148"/>
      <c r="NSL148"/>
      <c r="NSM148"/>
      <c r="NSN148"/>
      <c r="NSO148"/>
      <c r="NSP148"/>
      <c r="NSQ148"/>
      <c r="NSR148"/>
      <c r="NSS148"/>
      <c r="NST148"/>
      <c r="NSU148"/>
      <c r="NSV148"/>
      <c r="NSW148"/>
      <c r="NSX148"/>
      <c r="NSY148"/>
      <c r="NSZ148"/>
      <c r="NTA148"/>
      <c r="NTB148"/>
      <c r="NTC148"/>
      <c r="NTD148"/>
      <c r="NTE148"/>
      <c r="NTF148"/>
      <c r="NTG148"/>
      <c r="NTH148"/>
      <c r="NTI148"/>
      <c r="NTJ148"/>
      <c r="NTK148"/>
      <c r="NTL148"/>
      <c r="NTM148"/>
      <c r="NTN148"/>
      <c r="NTO148"/>
      <c r="NTP148"/>
      <c r="NTQ148"/>
      <c r="NTR148"/>
      <c r="NTS148"/>
      <c r="NTT148"/>
      <c r="NTU148"/>
      <c r="NTV148"/>
      <c r="NTW148"/>
      <c r="NTX148"/>
      <c r="NTY148"/>
      <c r="NTZ148"/>
      <c r="NUA148"/>
      <c r="NUB148"/>
      <c r="NUC148"/>
      <c r="NUD148"/>
      <c r="NUE148"/>
      <c r="NUF148"/>
      <c r="NUG148"/>
      <c r="NUH148"/>
      <c r="NUI148"/>
      <c r="NUJ148"/>
      <c r="NUK148"/>
      <c r="NUL148"/>
      <c r="NUM148"/>
      <c r="NUN148"/>
      <c r="NUO148"/>
      <c r="NUP148"/>
      <c r="NUQ148"/>
      <c r="NUR148"/>
      <c r="NUS148"/>
      <c r="NUT148"/>
      <c r="NUU148"/>
      <c r="NUV148"/>
      <c r="NUW148"/>
      <c r="NUX148"/>
      <c r="NUY148"/>
      <c r="NUZ148"/>
      <c r="NVA148"/>
      <c r="NVB148"/>
      <c r="NVC148"/>
      <c r="NVD148"/>
      <c r="NVE148"/>
      <c r="NVF148"/>
      <c r="NVG148"/>
      <c r="NVH148"/>
      <c r="NVI148"/>
      <c r="NVJ148"/>
      <c r="NVK148"/>
      <c r="NVL148"/>
      <c r="NVM148"/>
      <c r="NVN148"/>
      <c r="NVO148"/>
      <c r="NVP148"/>
      <c r="NVQ148"/>
      <c r="NVR148"/>
      <c r="NVS148"/>
      <c r="NVT148"/>
      <c r="NVU148"/>
      <c r="NVV148"/>
      <c r="NVW148"/>
      <c r="NVX148"/>
      <c r="NVY148"/>
      <c r="NVZ148"/>
      <c r="NWA148"/>
      <c r="NWB148"/>
      <c r="NWC148"/>
      <c r="NWD148"/>
      <c r="NWE148"/>
      <c r="NWF148"/>
      <c r="NWG148"/>
      <c r="NWH148"/>
      <c r="NWI148"/>
      <c r="NWJ148"/>
      <c r="NWK148"/>
      <c r="NWL148"/>
      <c r="NWM148"/>
      <c r="NWN148"/>
      <c r="NWO148"/>
      <c r="NWP148"/>
      <c r="NWQ148"/>
      <c r="NWR148"/>
      <c r="NWS148"/>
      <c r="NWT148"/>
      <c r="NWU148"/>
      <c r="NWV148"/>
      <c r="NWW148"/>
      <c r="NWX148"/>
      <c r="NWY148"/>
      <c r="NWZ148"/>
      <c r="NXA148"/>
      <c r="NXB148"/>
      <c r="NXC148"/>
      <c r="NXD148"/>
      <c r="NXE148"/>
      <c r="NXF148"/>
      <c r="NXG148"/>
      <c r="NXH148"/>
      <c r="NXI148"/>
      <c r="NXJ148"/>
      <c r="NXK148"/>
      <c r="NXL148"/>
      <c r="NXM148"/>
      <c r="NXN148"/>
      <c r="NXO148"/>
      <c r="NXP148"/>
      <c r="NXQ148"/>
      <c r="NXR148"/>
      <c r="NXS148"/>
      <c r="NXT148"/>
      <c r="NXU148"/>
      <c r="NXV148"/>
      <c r="NXW148"/>
      <c r="NXX148"/>
      <c r="NXY148"/>
      <c r="NXZ148"/>
      <c r="NYA148"/>
      <c r="NYB148"/>
      <c r="NYC148"/>
      <c r="NYD148"/>
      <c r="NYE148"/>
      <c r="NYF148"/>
      <c r="NYG148"/>
      <c r="NYH148"/>
      <c r="NYI148"/>
      <c r="NYJ148"/>
      <c r="NYK148"/>
      <c r="NYL148"/>
      <c r="NYM148"/>
      <c r="NYN148"/>
      <c r="NYO148"/>
      <c r="NYP148"/>
      <c r="NYQ148"/>
      <c r="NYR148"/>
      <c r="NYS148"/>
      <c r="NYT148"/>
      <c r="NYU148"/>
      <c r="NYV148"/>
      <c r="NYW148"/>
      <c r="NYX148"/>
      <c r="NYY148"/>
      <c r="NYZ148"/>
      <c r="NZA148"/>
      <c r="NZB148"/>
      <c r="NZC148"/>
      <c r="NZD148"/>
      <c r="NZE148"/>
      <c r="NZF148"/>
      <c r="NZG148"/>
      <c r="NZH148"/>
      <c r="NZI148"/>
      <c r="NZJ148"/>
      <c r="NZK148"/>
      <c r="NZL148"/>
      <c r="NZM148"/>
      <c r="NZN148"/>
      <c r="NZO148"/>
      <c r="NZP148"/>
      <c r="NZQ148"/>
      <c r="NZR148"/>
      <c r="NZS148"/>
      <c r="NZT148"/>
      <c r="NZU148"/>
      <c r="NZV148"/>
      <c r="NZW148"/>
      <c r="NZX148"/>
      <c r="NZY148"/>
      <c r="NZZ148"/>
      <c r="OAA148"/>
      <c r="OAB148"/>
      <c r="OAC148"/>
      <c r="OAD148"/>
      <c r="OAE148"/>
      <c r="OAF148"/>
      <c r="OAG148"/>
      <c r="OAH148"/>
      <c r="OAI148"/>
      <c r="OAJ148"/>
      <c r="OAK148"/>
      <c r="OAL148"/>
      <c r="OAM148"/>
      <c r="OAN148"/>
      <c r="OAO148"/>
      <c r="OAP148"/>
      <c r="OAQ148"/>
      <c r="OAR148"/>
      <c r="OAS148"/>
      <c r="OAT148"/>
      <c r="OAU148"/>
      <c r="OAV148"/>
      <c r="OAW148"/>
      <c r="OAX148"/>
      <c r="OAY148"/>
      <c r="OAZ148"/>
      <c r="OBA148"/>
      <c r="OBB148"/>
      <c r="OBC148"/>
      <c r="OBD148"/>
      <c r="OBE148"/>
      <c r="OBF148"/>
      <c r="OBG148"/>
      <c r="OBH148"/>
      <c r="OBI148"/>
      <c r="OBJ148"/>
      <c r="OBK148"/>
      <c r="OBL148"/>
      <c r="OBM148"/>
      <c r="OBN148"/>
      <c r="OBO148"/>
      <c r="OBP148"/>
      <c r="OBQ148"/>
      <c r="OBR148"/>
      <c r="OBS148"/>
      <c r="OBT148"/>
      <c r="OBU148"/>
      <c r="OBV148"/>
      <c r="OBW148"/>
      <c r="OBX148"/>
      <c r="OBY148"/>
      <c r="OBZ148"/>
      <c r="OCA148"/>
      <c r="OCB148"/>
      <c r="OCC148"/>
      <c r="OCD148"/>
      <c r="OCE148"/>
      <c r="OCF148"/>
      <c r="OCG148"/>
      <c r="OCH148"/>
      <c r="OCI148"/>
      <c r="OCJ148"/>
      <c r="OCK148"/>
      <c r="OCL148"/>
      <c r="OCM148"/>
      <c r="OCN148"/>
      <c r="OCO148"/>
      <c r="OCP148"/>
      <c r="OCQ148"/>
      <c r="OCR148"/>
      <c r="OCS148"/>
      <c r="OCT148"/>
      <c r="OCU148"/>
      <c r="OCV148"/>
      <c r="OCW148"/>
      <c r="OCX148"/>
      <c r="OCY148"/>
      <c r="OCZ148"/>
      <c r="ODA148"/>
      <c r="ODB148"/>
      <c r="ODC148"/>
      <c r="ODD148"/>
      <c r="ODE148"/>
      <c r="ODF148"/>
      <c r="ODG148"/>
      <c r="ODH148"/>
      <c r="ODI148"/>
      <c r="ODJ148"/>
      <c r="ODK148"/>
      <c r="ODL148"/>
      <c r="ODM148"/>
      <c r="ODN148"/>
      <c r="ODO148"/>
      <c r="ODP148"/>
      <c r="ODQ148"/>
      <c r="ODR148"/>
      <c r="ODS148"/>
      <c r="ODT148"/>
      <c r="ODU148"/>
      <c r="ODV148"/>
      <c r="ODW148"/>
      <c r="ODX148"/>
      <c r="ODY148"/>
      <c r="ODZ148"/>
      <c r="OEA148"/>
      <c r="OEB148"/>
      <c r="OEC148"/>
      <c r="OED148"/>
      <c r="OEE148"/>
      <c r="OEF148"/>
      <c r="OEG148"/>
      <c r="OEH148"/>
      <c r="OEI148"/>
      <c r="OEJ148"/>
      <c r="OEK148"/>
      <c r="OEL148"/>
      <c r="OEM148"/>
      <c r="OEN148"/>
      <c r="OEO148"/>
      <c r="OEP148"/>
      <c r="OEQ148"/>
      <c r="OER148"/>
      <c r="OES148"/>
      <c r="OET148"/>
      <c r="OEU148"/>
      <c r="OEV148"/>
      <c r="OEW148"/>
      <c r="OEX148"/>
      <c r="OEY148"/>
      <c r="OEZ148"/>
      <c r="OFA148"/>
      <c r="OFB148"/>
      <c r="OFC148"/>
      <c r="OFD148"/>
      <c r="OFE148"/>
      <c r="OFF148"/>
      <c r="OFG148"/>
      <c r="OFH148"/>
      <c r="OFI148"/>
      <c r="OFJ148"/>
      <c r="OFK148"/>
      <c r="OFL148"/>
      <c r="OFM148"/>
      <c r="OFN148"/>
      <c r="OFO148"/>
      <c r="OFP148"/>
      <c r="OFQ148"/>
      <c r="OFR148"/>
      <c r="OFS148"/>
      <c r="OFT148"/>
      <c r="OFU148"/>
      <c r="OFV148"/>
      <c r="OFW148"/>
      <c r="OFX148"/>
      <c r="OFY148"/>
      <c r="OFZ148"/>
      <c r="OGA148"/>
      <c r="OGB148"/>
      <c r="OGC148"/>
      <c r="OGD148"/>
      <c r="OGE148"/>
      <c r="OGF148"/>
      <c r="OGG148"/>
      <c r="OGH148"/>
      <c r="OGI148"/>
      <c r="OGJ148"/>
      <c r="OGK148"/>
      <c r="OGL148"/>
      <c r="OGM148"/>
      <c r="OGN148"/>
      <c r="OGO148"/>
      <c r="OGP148"/>
      <c r="OGQ148"/>
      <c r="OGR148"/>
      <c r="OGS148"/>
      <c r="OGT148"/>
      <c r="OGU148"/>
      <c r="OGV148"/>
      <c r="OGW148"/>
      <c r="OGX148"/>
      <c r="OGY148"/>
      <c r="OGZ148"/>
      <c r="OHA148"/>
      <c r="OHB148"/>
      <c r="OHC148"/>
      <c r="OHD148"/>
      <c r="OHE148"/>
      <c r="OHF148"/>
      <c r="OHG148"/>
      <c r="OHH148"/>
      <c r="OHI148"/>
      <c r="OHJ148"/>
      <c r="OHK148"/>
      <c r="OHL148"/>
      <c r="OHM148"/>
      <c r="OHN148"/>
      <c r="OHO148"/>
      <c r="OHP148"/>
      <c r="OHQ148"/>
      <c r="OHR148"/>
      <c r="OHS148"/>
      <c r="OHT148"/>
      <c r="OHU148"/>
      <c r="OHV148"/>
      <c r="OHW148"/>
      <c r="OHX148"/>
      <c r="OHY148"/>
      <c r="OHZ148"/>
      <c r="OIA148"/>
      <c r="OIB148"/>
      <c r="OIC148"/>
      <c r="OID148"/>
      <c r="OIE148"/>
      <c r="OIF148"/>
      <c r="OIG148"/>
      <c r="OIH148"/>
      <c r="OII148"/>
      <c r="OIJ148"/>
      <c r="OIK148"/>
      <c r="OIL148"/>
      <c r="OIM148"/>
      <c r="OIN148"/>
      <c r="OIO148"/>
      <c r="OIP148"/>
      <c r="OIQ148"/>
      <c r="OIR148"/>
      <c r="OIS148"/>
      <c r="OIT148"/>
      <c r="OIU148"/>
      <c r="OIV148"/>
      <c r="OIW148"/>
      <c r="OIX148"/>
      <c r="OIY148"/>
      <c r="OIZ148"/>
      <c r="OJA148"/>
      <c r="OJB148"/>
      <c r="OJC148"/>
      <c r="OJD148"/>
      <c r="OJE148"/>
      <c r="OJF148"/>
      <c r="OJG148"/>
      <c r="OJH148"/>
      <c r="OJI148"/>
      <c r="OJJ148"/>
      <c r="OJK148"/>
      <c r="OJL148"/>
      <c r="OJM148"/>
      <c r="OJN148"/>
      <c r="OJO148"/>
      <c r="OJP148"/>
      <c r="OJQ148"/>
      <c r="OJR148"/>
      <c r="OJS148"/>
      <c r="OJT148"/>
      <c r="OJU148"/>
      <c r="OJV148"/>
      <c r="OJW148"/>
      <c r="OJX148"/>
      <c r="OJY148"/>
      <c r="OJZ148"/>
      <c r="OKA148"/>
      <c r="OKB148"/>
      <c r="OKC148"/>
      <c r="OKD148"/>
      <c r="OKE148"/>
      <c r="OKF148"/>
      <c r="OKG148"/>
      <c r="OKH148"/>
      <c r="OKI148"/>
      <c r="OKJ148"/>
      <c r="OKK148"/>
      <c r="OKL148"/>
      <c r="OKM148"/>
      <c r="OKN148"/>
      <c r="OKO148"/>
      <c r="OKP148"/>
      <c r="OKQ148"/>
      <c r="OKR148"/>
      <c r="OKS148"/>
      <c r="OKT148"/>
      <c r="OKU148"/>
      <c r="OKV148"/>
      <c r="OKW148"/>
      <c r="OKX148"/>
      <c r="OKY148"/>
      <c r="OKZ148"/>
      <c r="OLA148"/>
      <c r="OLB148"/>
      <c r="OLC148"/>
      <c r="OLD148"/>
      <c r="OLE148"/>
      <c r="OLF148"/>
      <c r="OLG148"/>
      <c r="OLH148"/>
      <c r="OLI148"/>
      <c r="OLJ148"/>
      <c r="OLK148"/>
      <c r="OLL148"/>
      <c r="OLM148"/>
      <c r="OLN148"/>
      <c r="OLO148"/>
      <c r="OLP148"/>
      <c r="OLQ148"/>
      <c r="OLR148"/>
      <c r="OLS148"/>
      <c r="OLT148"/>
      <c r="OLU148"/>
      <c r="OLV148"/>
      <c r="OLW148"/>
      <c r="OLX148"/>
      <c r="OLY148"/>
      <c r="OLZ148"/>
      <c r="OMA148"/>
      <c r="OMB148"/>
      <c r="OMC148"/>
      <c r="OMD148"/>
      <c r="OME148"/>
      <c r="OMF148"/>
      <c r="OMG148"/>
      <c r="OMH148"/>
      <c r="OMI148"/>
      <c r="OMJ148"/>
      <c r="OMK148"/>
      <c r="OML148"/>
      <c r="OMM148"/>
      <c r="OMN148"/>
      <c r="OMO148"/>
      <c r="OMP148"/>
      <c r="OMQ148"/>
      <c r="OMR148"/>
      <c r="OMS148"/>
      <c r="OMT148"/>
      <c r="OMU148"/>
      <c r="OMV148"/>
      <c r="OMW148"/>
      <c r="OMX148"/>
      <c r="OMY148"/>
      <c r="OMZ148"/>
      <c r="ONA148"/>
      <c r="ONB148"/>
      <c r="ONC148"/>
      <c r="OND148"/>
      <c r="ONE148"/>
      <c r="ONF148"/>
      <c r="ONG148"/>
      <c r="ONH148"/>
      <c r="ONI148"/>
      <c r="ONJ148"/>
      <c r="ONK148"/>
      <c r="ONL148"/>
      <c r="ONM148"/>
      <c r="ONN148"/>
      <c r="ONO148"/>
      <c r="ONP148"/>
      <c r="ONQ148"/>
      <c r="ONR148"/>
      <c r="ONS148"/>
      <c r="ONT148"/>
      <c r="ONU148"/>
      <c r="ONV148"/>
      <c r="ONW148"/>
      <c r="ONX148"/>
      <c r="ONY148"/>
      <c r="ONZ148"/>
      <c r="OOA148"/>
      <c r="OOB148"/>
      <c r="OOC148"/>
      <c r="OOD148"/>
      <c r="OOE148"/>
      <c r="OOF148"/>
      <c r="OOG148"/>
      <c r="OOH148"/>
      <c r="OOI148"/>
      <c r="OOJ148"/>
      <c r="OOK148"/>
      <c r="OOL148"/>
      <c r="OOM148"/>
      <c r="OON148"/>
      <c r="OOO148"/>
      <c r="OOP148"/>
      <c r="OOQ148"/>
      <c r="OOR148"/>
      <c r="OOS148"/>
      <c r="OOT148"/>
      <c r="OOU148"/>
      <c r="OOV148"/>
      <c r="OOW148"/>
      <c r="OOX148"/>
      <c r="OOY148"/>
      <c r="OOZ148"/>
      <c r="OPA148"/>
      <c r="OPB148"/>
      <c r="OPC148"/>
      <c r="OPD148"/>
      <c r="OPE148"/>
      <c r="OPF148"/>
      <c r="OPG148"/>
      <c r="OPH148"/>
      <c r="OPI148"/>
      <c r="OPJ148"/>
      <c r="OPK148"/>
      <c r="OPL148"/>
      <c r="OPM148"/>
      <c r="OPN148"/>
      <c r="OPO148"/>
      <c r="OPP148"/>
      <c r="OPQ148"/>
      <c r="OPR148"/>
      <c r="OPS148"/>
      <c r="OPT148"/>
      <c r="OPU148"/>
      <c r="OPV148"/>
      <c r="OPW148"/>
      <c r="OPX148"/>
      <c r="OPY148"/>
      <c r="OPZ148"/>
      <c r="OQA148"/>
      <c r="OQB148"/>
      <c r="OQC148"/>
      <c r="OQD148"/>
      <c r="OQE148"/>
      <c r="OQF148"/>
      <c r="OQG148"/>
      <c r="OQH148"/>
      <c r="OQI148"/>
      <c r="OQJ148"/>
      <c r="OQK148"/>
      <c r="OQL148"/>
      <c r="OQM148"/>
      <c r="OQN148"/>
      <c r="OQO148"/>
      <c r="OQP148"/>
      <c r="OQQ148"/>
      <c r="OQR148"/>
      <c r="OQS148"/>
      <c r="OQT148"/>
      <c r="OQU148"/>
      <c r="OQV148"/>
      <c r="OQW148"/>
      <c r="OQX148"/>
      <c r="OQY148"/>
      <c r="OQZ148"/>
      <c r="ORA148"/>
      <c r="ORB148"/>
      <c r="ORC148"/>
      <c r="ORD148"/>
      <c r="ORE148"/>
      <c r="ORF148"/>
      <c r="ORG148"/>
      <c r="ORH148"/>
      <c r="ORI148"/>
      <c r="ORJ148"/>
      <c r="ORK148"/>
      <c r="ORL148"/>
      <c r="ORM148"/>
      <c r="ORN148"/>
      <c r="ORO148"/>
      <c r="ORP148"/>
      <c r="ORQ148"/>
      <c r="ORR148"/>
      <c r="ORS148"/>
      <c r="ORT148"/>
      <c r="ORU148"/>
      <c r="ORV148"/>
      <c r="ORW148"/>
      <c r="ORX148"/>
      <c r="ORY148"/>
      <c r="ORZ148"/>
      <c r="OSA148"/>
      <c r="OSB148"/>
      <c r="OSC148"/>
      <c r="OSD148"/>
      <c r="OSE148"/>
      <c r="OSF148"/>
      <c r="OSG148"/>
      <c r="OSH148"/>
      <c r="OSI148"/>
      <c r="OSJ148"/>
      <c r="OSK148"/>
      <c r="OSL148"/>
      <c r="OSM148"/>
      <c r="OSN148"/>
      <c r="OSO148"/>
      <c r="OSP148"/>
      <c r="OSQ148"/>
      <c r="OSR148"/>
      <c r="OSS148"/>
      <c r="OST148"/>
      <c r="OSU148"/>
      <c r="OSV148"/>
      <c r="OSW148"/>
      <c r="OSX148"/>
      <c r="OSY148"/>
      <c r="OSZ148"/>
      <c r="OTA148"/>
      <c r="OTB148"/>
      <c r="OTC148"/>
      <c r="OTD148"/>
      <c r="OTE148"/>
      <c r="OTF148"/>
      <c r="OTG148"/>
      <c r="OTH148"/>
      <c r="OTI148"/>
      <c r="OTJ148"/>
      <c r="OTK148"/>
      <c r="OTL148"/>
      <c r="OTM148"/>
      <c r="OTN148"/>
      <c r="OTO148"/>
      <c r="OTP148"/>
      <c r="OTQ148"/>
      <c r="OTR148"/>
      <c r="OTS148"/>
      <c r="OTT148"/>
      <c r="OTU148"/>
      <c r="OTV148"/>
      <c r="OTW148"/>
      <c r="OTX148"/>
      <c r="OTY148"/>
      <c r="OTZ148"/>
      <c r="OUA148"/>
      <c r="OUB148"/>
      <c r="OUC148"/>
      <c r="OUD148"/>
      <c r="OUE148"/>
      <c r="OUF148"/>
      <c r="OUG148"/>
      <c r="OUH148"/>
      <c r="OUI148"/>
      <c r="OUJ148"/>
      <c r="OUK148"/>
      <c r="OUL148"/>
      <c r="OUM148"/>
      <c r="OUN148"/>
      <c r="OUO148"/>
      <c r="OUP148"/>
      <c r="OUQ148"/>
      <c r="OUR148"/>
      <c r="OUS148"/>
      <c r="OUT148"/>
      <c r="OUU148"/>
      <c r="OUV148"/>
      <c r="OUW148"/>
      <c r="OUX148"/>
      <c r="OUY148"/>
      <c r="OUZ148"/>
      <c r="OVA148"/>
      <c r="OVB148"/>
      <c r="OVC148"/>
      <c r="OVD148"/>
      <c r="OVE148"/>
      <c r="OVF148"/>
      <c r="OVG148"/>
      <c r="OVH148"/>
      <c r="OVI148"/>
      <c r="OVJ148"/>
      <c r="OVK148"/>
      <c r="OVL148"/>
      <c r="OVM148"/>
      <c r="OVN148"/>
      <c r="OVO148"/>
      <c r="OVP148"/>
      <c r="OVQ148"/>
      <c r="OVR148"/>
      <c r="OVS148"/>
      <c r="OVT148"/>
      <c r="OVU148"/>
      <c r="OVV148"/>
      <c r="OVW148"/>
      <c r="OVX148"/>
      <c r="OVY148"/>
      <c r="OVZ148"/>
      <c r="OWA148"/>
      <c r="OWB148"/>
      <c r="OWC148"/>
      <c r="OWD148"/>
      <c r="OWE148"/>
      <c r="OWF148"/>
      <c r="OWG148"/>
      <c r="OWH148"/>
      <c r="OWI148"/>
      <c r="OWJ148"/>
      <c r="OWK148"/>
      <c r="OWL148"/>
      <c r="OWM148"/>
      <c r="OWN148"/>
      <c r="OWO148"/>
      <c r="OWP148"/>
      <c r="OWQ148"/>
      <c r="OWR148"/>
      <c r="OWS148"/>
      <c r="OWT148"/>
      <c r="OWU148"/>
      <c r="OWV148"/>
      <c r="OWW148"/>
      <c r="OWX148"/>
      <c r="OWY148"/>
      <c r="OWZ148"/>
      <c r="OXA148"/>
      <c r="OXB148"/>
      <c r="OXC148"/>
      <c r="OXD148"/>
      <c r="OXE148"/>
      <c r="OXF148"/>
      <c r="OXG148"/>
      <c r="OXH148"/>
      <c r="OXI148"/>
      <c r="OXJ148"/>
      <c r="OXK148"/>
      <c r="OXL148"/>
      <c r="OXM148"/>
      <c r="OXN148"/>
      <c r="OXO148"/>
      <c r="OXP148"/>
      <c r="OXQ148"/>
      <c r="OXR148"/>
      <c r="OXS148"/>
      <c r="OXT148"/>
      <c r="OXU148"/>
      <c r="OXV148"/>
      <c r="OXW148"/>
      <c r="OXX148"/>
      <c r="OXY148"/>
      <c r="OXZ148"/>
      <c r="OYA148"/>
      <c r="OYB148"/>
      <c r="OYC148"/>
      <c r="OYD148"/>
      <c r="OYE148"/>
      <c r="OYF148"/>
      <c r="OYG148"/>
      <c r="OYH148"/>
      <c r="OYI148"/>
      <c r="OYJ148"/>
      <c r="OYK148"/>
      <c r="OYL148"/>
      <c r="OYM148"/>
      <c r="OYN148"/>
      <c r="OYO148"/>
      <c r="OYP148"/>
      <c r="OYQ148"/>
      <c r="OYR148"/>
      <c r="OYS148"/>
      <c r="OYT148"/>
      <c r="OYU148"/>
      <c r="OYV148"/>
      <c r="OYW148"/>
      <c r="OYX148"/>
      <c r="OYY148"/>
      <c r="OYZ148"/>
      <c r="OZA148"/>
      <c r="OZB148"/>
      <c r="OZC148"/>
      <c r="OZD148"/>
      <c r="OZE148"/>
      <c r="OZF148"/>
      <c r="OZG148"/>
      <c r="OZH148"/>
      <c r="OZI148"/>
      <c r="OZJ148"/>
      <c r="OZK148"/>
      <c r="OZL148"/>
      <c r="OZM148"/>
      <c r="OZN148"/>
      <c r="OZO148"/>
      <c r="OZP148"/>
      <c r="OZQ148"/>
      <c r="OZR148"/>
      <c r="OZS148"/>
      <c r="OZT148"/>
      <c r="OZU148"/>
      <c r="OZV148"/>
      <c r="OZW148"/>
      <c r="OZX148"/>
      <c r="OZY148"/>
      <c r="OZZ148"/>
      <c r="PAA148"/>
      <c r="PAB148"/>
      <c r="PAC148"/>
      <c r="PAD148"/>
      <c r="PAE148"/>
      <c r="PAF148"/>
      <c r="PAG148"/>
      <c r="PAH148"/>
      <c r="PAI148"/>
      <c r="PAJ148"/>
      <c r="PAK148"/>
      <c r="PAL148"/>
      <c r="PAM148"/>
      <c r="PAN148"/>
      <c r="PAO148"/>
      <c r="PAP148"/>
      <c r="PAQ148"/>
      <c r="PAR148"/>
      <c r="PAS148"/>
      <c r="PAT148"/>
      <c r="PAU148"/>
      <c r="PAV148"/>
      <c r="PAW148"/>
      <c r="PAX148"/>
      <c r="PAY148"/>
      <c r="PAZ148"/>
      <c r="PBA148"/>
      <c r="PBB148"/>
      <c r="PBC148"/>
      <c r="PBD148"/>
      <c r="PBE148"/>
      <c r="PBF148"/>
      <c r="PBG148"/>
      <c r="PBH148"/>
      <c r="PBI148"/>
      <c r="PBJ148"/>
      <c r="PBK148"/>
      <c r="PBL148"/>
      <c r="PBM148"/>
      <c r="PBN148"/>
      <c r="PBO148"/>
      <c r="PBP148"/>
      <c r="PBQ148"/>
      <c r="PBR148"/>
      <c r="PBS148"/>
      <c r="PBT148"/>
      <c r="PBU148"/>
      <c r="PBV148"/>
      <c r="PBW148"/>
      <c r="PBX148"/>
      <c r="PBY148"/>
      <c r="PBZ148"/>
      <c r="PCA148"/>
      <c r="PCB148"/>
      <c r="PCC148"/>
      <c r="PCD148"/>
      <c r="PCE148"/>
      <c r="PCF148"/>
      <c r="PCG148"/>
      <c r="PCH148"/>
      <c r="PCI148"/>
      <c r="PCJ148"/>
      <c r="PCK148"/>
      <c r="PCL148"/>
      <c r="PCM148"/>
      <c r="PCN148"/>
      <c r="PCO148"/>
      <c r="PCP148"/>
      <c r="PCQ148"/>
      <c r="PCR148"/>
      <c r="PCS148"/>
      <c r="PCT148"/>
      <c r="PCU148"/>
      <c r="PCV148"/>
      <c r="PCW148"/>
      <c r="PCX148"/>
      <c r="PCY148"/>
      <c r="PCZ148"/>
      <c r="PDA148"/>
      <c r="PDB148"/>
      <c r="PDC148"/>
      <c r="PDD148"/>
      <c r="PDE148"/>
      <c r="PDF148"/>
      <c r="PDG148"/>
      <c r="PDH148"/>
      <c r="PDI148"/>
      <c r="PDJ148"/>
      <c r="PDK148"/>
      <c r="PDL148"/>
      <c r="PDM148"/>
      <c r="PDN148"/>
      <c r="PDO148"/>
      <c r="PDP148"/>
      <c r="PDQ148"/>
      <c r="PDR148"/>
      <c r="PDS148"/>
      <c r="PDT148"/>
      <c r="PDU148"/>
      <c r="PDV148"/>
      <c r="PDW148"/>
      <c r="PDX148"/>
      <c r="PDY148"/>
      <c r="PDZ148"/>
      <c r="PEA148"/>
      <c r="PEB148"/>
      <c r="PEC148"/>
      <c r="PED148"/>
      <c r="PEE148"/>
      <c r="PEF148"/>
      <c r="PEG148"/>
      <c r="PEH148"/>
      <c r="PEI148"/>
      <c r="PEJ148"/>
      <c r="PEK148"/>
      <c r="PEL148"/>
      <c r="PEM148"/>
      <c r="PEN148"/>
      <c r="PEO148"/>
      <c r="PEP148"/>
      <c r="PEQ148"/>
      <c r="PER148"/>
      <c r="PES148"/>
      <c r="PET148"/>
      <c r="PEU148"/>
      <c r="PEV148"/>
      <c r="PEW148"/>
      <c r="PEX148"/>
      <c r="PEY148"/>
      <c r="PEZ148"/>
      <c r="PFA148"/>
      <c r="PFB148"/>
      <c r="PFC148"/>
      <c r="PFD148"/>
      <c r="PFE148"/>
      <c r="PFF148"/>
      <c r="PFG148"/>
      <c r="PFH148"/>
      <c r="PFI148"/>
      <c r="PFJ148"/>
      <c r="PFK148"/>
      <c r="PFL148"/>
      <c r="PFM148"/>
      <c r="PFN148"/>
      <c r="PFO148"/>
      <c r="PFP148"/>
      <c r="PFQ148"/>
      <c r="PFR148"/>
      <c r="PFS148"/>
      <c r="PFT148"/>
      <c r="PFU148"/>
      <c r="PFV148"/>
      <c r="PFW148"/>
      <c r="PFX148"/>
      <c r="PFY148"/>
      <c r="PFZ148"/>
      <c r="PGA148"/>
      <c r="PGB148"/>
      <c r="PGC148"/>
      <c r="PGD148"/>
      <c r="PGE148"/>
      <c r="PGF148"/>
      <c r="PGG148"/>
      <c r="PGH148"/>
      <c r="PGI148"/>
      <c r="PGJ148"/>
      <c r="PGK148"/>
      <c r="PGL148"/>
      <c r="PGM148"/>
      <c r="PGN148"/>
      <c r="PGO148"/>
      <c r="PGP148"/>
      <c r="PGQ148"/>
      <c r="PGR148"/>
      <c r="PGS148"/>
      <c r="PGT148"/>
      <c r="PGU148"/>
      <c r="PGV148"/>
      <c r="PGW148"/>
      <c r="PGX148"/>
      <c r="PGY148"/>
      <c r="PGZ148"/>
      <c r="PHA148"/>
      <c r="PHB148"/>
      <c r="PHC148"/>
      <c r="PHD148"/>
      <c r="PHE148"/>
      <c r="PHF148"/>
      <c r="PHG148"/>
      <c r="PHH148"/>
      <c r="PHI148"/>
      <c r="PHJ148"/>
      <c r="PHK148"/>
      <c r="PHL148"/>
      <c r="PHM148"/>
      <c r="PHN148"/>
      <c r="PHO148"/>
      <c r="PHP148"/>
      <c r="PHQ148"/>
      <c r="PHR148"/>
      <c r="PHS148"/>
      <c r="PHT148"/>
      <c r="PHU148"/>
      <c r="PHV148"/>
      <c r="PHW148"/>
      <c r="PHX148"/>
      <c r="PHY148"/>
      <c r="PHZ148"/>
      <c r="PIA148"/>
      <c r="PIB148"/>
      <c r="PIC148"/>
      <c r="PID148"/>
      <c r="PIE148"/>
      <c r="PIF148"/>
      <c r="PIG148"/>
      <c r="PIH148"/>
      <c r="PII148"/>
      <c r="PIJ148"/>
      <c r="PIK148"/>
      <c r="PIL148"/>
      <c r="PIM148"/>
      <c r="PIN148"/>
      <c r="PIO148"/>
      <c r="PIP148"/>
      <c r="PIQ148"/>
      <c r="PIR148"/>
      <c r="PIS148"/>
      <c r="PIT148"/>
      <c r="PIU148"/>
      <c r="PIV148"/>
      <c r="PIW148"/>
      <c r="PIX148"/>
      <c r="PIY148"/>
      <c r="PIZ148"/>
      <c r="PJA148"/>
      <c r="PJB148"/>
      <c r="PJC148"/>
      <c r="PJD148"/>
      <c r="PJE148"/>
      <c r="PJF148"/>
      <c r="PJG148"/>
      <c r="PJH148"/>
      <c r="PJI148"/>
      <c r="PJJ148"/>
      <c r="PJK148"/>
      <c r="PJL148"/>
      <c r="PJM148"/>
      <c r="PJN148"/>
      <c r="PJO148"/>
      <c r="PJP148"/>
      <c r="PJQ148"/>
      <c r="PJR148"/>
      <c r="PJS148"/>
      <c r="PJT148"/>
      <c r="PJU148"/>
      <c r="PJV148"/>
      <c r="PJW148"/>
      <c r="PJX148"/>
      <c r="PJY148"/>
      <c r="PJZ148"/>
      <c r="PKA148"/>
      <c r="PKB148"/>
      <c r="PKC148"/>
      <c r="PKD148"/>
      <c r="PKE148"/>
      <c r="PKF148"/>
      <c r="PKG148"/>
      <c r="PKH148"/>
      <c r="PKI148"/>
      <c r="PKJ148"/>
      <c r="PKK148"/>
      <c r="PKL148"/>
      <c r="PKM148"/>
      <c r="PKN148"/>
      <c r="PKO148"/>
      <c r="PKP148"/>
      <c r="PKQ148"/>
      <c r="PKR148"/>
      <c r="PKS148"/>
      <c r="PKT148"/>
      <c r="PKU148"/>
      <c r="PKV148"/>
      <c r="PKW148"/>
      <c r="PKX148"/>
      <c r="PKY148"/>
      <c r="PKZ148"/>
      <c r="PLA148"/>
      <c r="PLB148"/>
      <c r="PLC148"/>
      <c r="PLD148"/>
      <c r="PLE148"/>
      <c r="PLF148"/>
      <c r="PLG148"/>
      <c r="PLH148"/>
      <c r="PLI148"/>
      <c r="PLJ148"/>
      <c r="PLK148"/>
      <c r="PLL148"/>
      <c r="PLM148"/>
      <c r="PLN148"/>
      <c r="PLO148"/>
      <c r="PLP148"/>
      <c r="PLQ148"/>
      <c r="PLR148"/>
      <c r="PLS148"/>
      <c r="PLT148"/>
      <c r="PLU148"/>
      <c r="PLV148"/>
      <c r="PLW148"/>
      <c r="PLX148"/>
      <c r="PLY148"/>
      <c r="PLZ148"/>
      <c r="PMA148"/>
      <c r="PMB148"/>
      <c r="PMC148"/>
      <c r="PMD148"/>
      <c r="PME148"/>
      <c r="PMF148"/>
      <c r="PMG148"/>
      <c r="PMH148"/>
      <c r="PMI148"/>
      <c r="PMJ148"/>
      <c r="PMK148"/>
      <c r="PML148"/>
      <c r="PMM148"/>
      <c r="PMN148"/>
      <c r="PMO148"/>
      <c r="PMP148"/>
      <c r="PMQ148"/>
      <c r="PMR148"/>
      <c r="PMS148"/>
      <c r="PMT148"/>
      <c r="PMU148"/>
      <c r="PMV148"/>
      <c r="PMW148"/>
      <c r="PMX148"/>
      <c r="PMY148"/>
      <c r="PMZ148"/>
      <c r="PNA148"/>
      <c r="PNB148"/>
      <c r="PNC148"/>
      <c r="PND148"/>
      <c r="PNE148"/>
      <c r="PNF148"/>
      <c r="PNG148"/>
      <c r="PNH148"/>
      <c r="PNI148"/>
      <c r="PNJ148"/>
      <c r="PNK148"/>
      <c r="PNL148"/>
      <c r="PNM148"/>
      <c r="PNN148"/>
      <c r="PNO148"/>
      <c r="PNP148"/>
      <c r="PNQ148"/>
      <c r="PNR148"/>
      <c r="PNS148"/>
      <c r="PNT148"/>
      <c r="PNU148"/>
      <c r="PNV148"/>
      <c r="PNW148"/>
      <c r="PNX148"/>
      <c r="PNY148"/>
      <c r="PNZ148"/>
      <c r="POA148"/>
      <c r="POB148"/>
      <c r="POC148"/>
      <c r="POD148"/>
      <c r="POE148"/>
      <c r="POF148"/>
      <c r="POG148"/>
      <c r="POH148"/>
      <c r="POI148"/>
      <c r="POJ148"/>
      <c r="POK148"/>
      <c r="POL148"/>
      <c r="POM148"/>
      <c r="PON148"/>
      <c r="POO148"/>
      <c r="POP148"/>
      <c r="POQ148"/>
      <c r="POR148"/>
      <c r="POS148"/>
      <c r="POT148"/>
      <c r="POU148"/>
      <c r="POV148"/>
      <c r="POW148"/>
      <c r="POX148"/>
      <c r="POY148"/>
      <c r="POZ148"/>
      <c r="PPA148"/>
      <c r="PPB148"/>
      <c r="PPC148"/>
      <c r="PPD148"/>
      <c r="PPE148"/>
      <c r="PPF148"/>
      <c r="PPG148"/>
      <c r="PPH148"/>
      <c r="PPI148"/>
      <c r="PPJ148"/>
      <c r="PPK148"/>
      <c r="PPL148"/>
      <c r="PPM148"/>
      <c r="PPN148"/>
      <c r="PPO148"/>
      <c r="PPP148"/>
      <c r="PPQ148"/>
      <c r="PPR148"/>
      <c r="PPS148"/>
      <c r="PPT148"/>
      <c r="PPU148"/>
      <c r="PPV148"/>
      <c r="PPW148"/>
      <c r="PPX148"/>
      <c r="PPY148"/>
      <c r="PPZ148"/>
      <c r="PQA148"/>
      <c r="PQB148"/>
      <c r="PQC148"/>
      <c r="PQD148"/>
      <c r="PQE148"/>
      <c r="PQF148"/>
      <c r="PQG148"/>
      <c r="PQH148"/>
      <c r="PQI148"/>
      <c r="PQJ148"/>
      <c r="PQK148"/>
      <c r="PQL148"/>
      <c r="PQM148"/>
      <c r="PQN148"/>
      <c r="PQO148"/>
      <c r="PQP148"/>
      <c r="PQQ148"/>
      <c r="PQR148"/>
      <c r="PQS148"/>
      <c r="PQT148"/>
      <c r="PQU148"/>
      <c r="PQV148"/>
      <c r="PQW148"/>
      <c r="PQX148"/>
      <c r="PQY148"/>
      <c r="PQZ148"/>
      <c r="PRA148"/>
      <c r="PRB148"/>
      <c r="PRC148"/>
      <c r="PRD148"/>
      <c r="PRE148"/>
      <c r="PRF148"/>
      <c r="PRG148"/>
      <c r="PRH148"/>
      <c r="PRI148"/>
      <c r="PRJ148"/>
      <c r="PRK148"/>
      <c r="PRL148"/>
      <c r="PRM148"/>
      <c r="PRN148"/>
      <c r="PRO148"/>
      <c r="PRP148"/>
      <c r="PRQ148"/>
      <c r="PRR148"/>
      <c r="PRS148"/>
      <c r="PRT148"/>
      <c r="PRU148"/>
      <c r="PRV148"/>
      <c r="PRW148"/>
      <c r="PRX148"/>
      <c r="PRY148"/>
      <c r="PRZ148"/>
      <c r="PSA148"/>
      <c r="PSB148"/>
      <c r="PSC148"/>
      <c r="PSD148"/>
      <c r="PSE148"/>
      <c r="PSF148"/>
      <c r="PSG148"/>
      <c r="PSH148"/>
      <c r="PSI148"/>
      <c r="PSJ148"/>
      <c r="PSK148"/>
      <c r="PSL148"/>
      <c r="PSM148"/>
      <c r="PSN148"/>
      <c r="PSO148"/>
      <c r="PSP148"/>
      <c r="PSQ148"/>
      <c r="PSR148"/>
      <c r="PSS148"/>
      <c r="PST148"/>
      <c r="PSU148"/>
      <c r="PSV148"/>
      <c r="PSW148"/>
      <c r="PSX148"/>
      <c r="PSY148"/>
      <c r="PSZ148"/>
      <c r="PTA148"/>
      <c r="PTB148"/>
      <c r="PTC148"/>
      <c r="PTD148"/>
      <c r="PTE148"/>
      <c r="PTF148"/>
      <c r="PTG148"/>
      <c r="PTH148"/>
      <c r="PTI148"/>
      <c r="PTJ148"/>
      <c r="PTK148"/>
      <c r="PTL148"/>
      <c r="PTM148"/>
      <c r="PTN148"/>
      <c r="PTO148"/>
      <c r="PTP148"/>
      <c r="PTQ148"/>
      <c r="PTR148"/>
      <c r="PTS148"/>
      <c r="PTT148"/>
      <c r="PTU148"/>
      <c r="PTV148"/>
      <c r="PTW148"/>
      <c r="PTX148"/>
      <c r="PTY148"/>
      <c r="PTZ148"/>
      <c r="PUA148"/>
      <c r="PUB148"/>
      <c r="PUC148"/>
      <c r="PUD148"/>
      <c r="PUE148"/>
      <c r="PUF148"/>
      <c r="PUG148"/>
      <c r="PUH148"/>
      <c r="PUI148"/>
      <c r="PUJ148"/>
      <c r="PUK148"/>
      <c r="PUL148"/>
      <c r="PUM148"/>
      <c r="PUN148"/>
      <c r="PUO148"/>
      <c r="PUP148"/>
      <c r="PUQ148"/>
      <c r="PUR148"/>
      <c r="PUS148"/>
      <c r="PUT148"/>
      <c r="PUU148"/>
      <c r="PUV148"/>
      <c r="PUW148"/>
      <c r="PUX148"/>
      <c r="PUY148"/>
      <c r="PUZ148"/>
      <c r="PVA148"/>
      <c r="PVB148"/>
      <c r="PVC148"/>
      <c r="PVD148"/>
      <c r="PVE148"/>
      <c r="PVF148"/>
      <c r="PVG148"/>
      <c r="PVH148"/>
      <c r="PVI148"/>
      <c r="PVJ148"/>
      <c r="PVK148"/>
      <c r="PVL148"/>
      <c r="PVM148"/>
      <c r="PVN148"/>
      <c r="PVO148"/>
      <c r="PVP148"/>
      <c r="PVQ148"/>
      <c r="PVR148"/>
      <c r="PVS148"/>
      <c r="PVT148"/>
      <c r="PVU148"/>
      <c r="PVV148"/>
      <c r="PVW148"/>
      <c r="PVX148"/>
      <c r="PVY148"/>
      <c r="PVZ148"/>
      <c r="PWA148"/>
      <c r="PWB148"/>
      <c r="PWC148"/>
      <c r="PWD148"/>
      <c r="PWE148"/>
      <c r="PWF148"/>
      <c r="PWG148"/>
      <c r="PWH148"/>
      <c r="PWI148"/>
      <c r="PWJ148"/>
      <c r="PWK148"/>
      <c r="PWL148"/>
      <c r="PWM148"/>
      <c r="PWN148"/>
      <c r="PWO148"/>
      <c r="PWP148"/>
      <c r="PWQ148"/>
      <c r="PWR148"/>
      <c r="PWS148"/>
      <c r="PWT148"/>
      <c r="PWU148"/>
      <c r="PWV148"/>
      <c r="PWW148"/>
      <c r="PWX148"/>
      <c r="PWY148"/>
      <c r="PWZ148"/>
      <c r="PXA148"/>
      <c r="PXB148"/>
      <c r="PXC148"/>
      <c r="PXD148"/>
      <c r="PXE148"/>
      <c r="PXF148"/>
      <c r="PXG148"/>
      <c r="PXH148"/>
      <c r="PXI148"/>
      <c r="PXJ148"/>
      <c r="PXK148"/>
      <c r="PXL148"/>
      <c r="PXM148"/>
      <c r="PXN148"/>
      <c r="PXO148"/>
      <c r="PXP148"/>
      <c r="PXQ148"/>
      <c r="PXR148"/>
      <c r="PXS148"/>
      <c r="PXT148"/>
      <c r="PXU148"/>
      <c r="PXV148"/>
      <c r="PXW148"/>
      <c r="PXX148"/>
      <c r="PXY148"/>
      <c r="PXZ148"/>
      <c r="PYA148"/>
      <c r="PYB148"/>
      <c r="PYC148"/>
      <c r="PYD148"/>
      <c r="PYE148"/>
      <c r="PYF148"/>
      <c r="PYG148"/>
      <c r="PYH148"/>
      <c r="PYI148"/>
      <c r="PYJ148"/>
      <c r="PYK148"/>
      <c r="PYL148"/>
      <c r="PYM148"/>
      <c r="PYN148"/>
      <c r="PYO148"/>
      <c r="PYP148"/>
      <c r="PYQ148"/>
      <c r="PYR148"/>
      <c r="PYS148"/>
      <c r="PYT148"/>
      <c r="PYU148"/>
      <c r="PYV148"/>
      <c r="PYW148"/>
      <c r="PYX148"/>
      <c r="PYY148"/>
      <c r="PYZ148"/>
      <c r="PZA148"/>
      <c r="PZB148"/>
      <c r="PZC148"/>
      <c r="PZD148"/>
      <c r="PZE148"/>
      <c r="PZF148"/>
      <c r="PZG148"/>
      <c r="PZH148"/>
      <c r="PZI148"/>
      <c r="PZJ148"/>
      <c r="PZK148"/>
      <c r="PZL148"/>
      <c r="PZM148"/>
      <c r="PZN148"/>
      <c r="PZO148"/>
      <c r="PZP148"/>
      <c r="PZQ148"/>
      <c r="PZR148"/>
      <c r="PZS148"/>
      <c r="PZT148"/>
      <c r="PZU148"/>
      <c r="PZV148"/>
      <c r="PZW148"/>
      <c r="PZX148"/>
      <c r="PZY148"/>
      <c r="PZZ148"/>
      <c r="QAA148"/>
      <c r="QAB148"/>
      <c r="QAC148"/>
      <c r="QAD148"/>
      <c r="QAE148"/>
      <c r="QAF148"/>
      <c r="QAG148"/>
      <c r="QAH148"/>
      <c r="QAI148"/>
      <c r="QAJ148"/>
      <c r="QAK148"/>
      <c r="QAL148"/>
      <c r="QAM148"/>
      <c r="QAN148"/>
      <c r="QAO148"/>
      <c r="QAP148"/>
      <c r="QAQ148"/>
      <c r="QAR148"/>
      <c r="QAS148"/>
      <c r="QAT148"/>
      <c r="QAU148"/>
      <c r="QAV148"/>
      <c r="QAW148"/>
      <c r="QAX148"/>
      <c r="QAY148"/>
      <c r="QAZ148"/>
      <c r="QBA148"/>
      <c r="QBB148"/>
      <c r="QBC148"/>
      <c r="QBD148"/>
      <c r="QBE148"/>
      <c r="QBF148"/>
      <c r="QBG148"/>
      <c r="QBH148"/>
      <c r="QBI148"/>
      <c r="QBJ148"/>
      <c r="QBK148"/>
      <c r="QBL148"/>
      <c r="QBM148"/>
      <c r="QBN148"/>
      <c r="QBO148"/>
      <c r="QBP148"/>
      <c r="QBQ148"/>
      <c r="QBR148"/>
      <c r="QBS148"/>
      <c r="QBT148"/>
      <c r="QBU148"/>
      <c r="QBV148"/>
      <c r="QBW148"/>
      <c r="QBX148"/>
      <c r="QBY148"/>
      <c r="QBZ148"/>
      <c r="QCA148"/>
      <c r="QCB148"/>
      <c r="QCC148"/>
      <c r="QCD148"/>
      <c r="QCE148"/>
      <c r="QCF148"/>
      <c r="QCG148"/>
      <c r="QCH148"/>
      <c r="QCI148"/>
      <c r="QCJ148"/>
      <c r="QCK148"/>
      <c r="QCL148"/>
      <c r="QCM148"/>
      <c r="QCN148"/>
      <c r="QCO148"/>
      <c r="QCP148"/>
      <c r="QCQ148"/>
      <c r="QCR148"/>
      <c r="QCS148"/>
      <c r="QCT148"/>
      <c r="QCU148"/>
      <c r="QCV148"/>
      <c r="QCW148"/>
      <c r="QCX148"/>
      <c r="QCY148"/>
      <c r="QCZ148"/>
      <c r="QDA148"/>
      <c r="QDB148"/>
      <c r="QDC148"/>
      <c r="QDD148"/>
      <c r="QDE148"/>
      <c r="QDF148"/>
      <c r="QDG148"/>
      <c r="QDH148"/>
      <c r="QDI148"/>
      <c r="QDJ148"/>
      <c r="QDK148"/>
      <c r="QDL148"/>
      <c r="QDM148"/>
      <c r="QDN148"/>
      <c r="QDO148"/>
      <c r="QDP148"/>
      <c r="QDQ148"/>
      <c r="QDR148"/>
      <c r="QDS148"/>
      <c r="QDT148"/>
      <c r="QDU148"/>
      <c r="QDV148"/>
      <c r="QDW148"/>
      <c r="QDX148"/>
      <c r="QDY148"/>
      <c r="QDZ148"/>
      <c r="QEA148"/>
      <c r="QEB148"/>
      <c r="QEC148"/>
      <c r="QED148"/>
      <c r="QEE148"/>
      <c r="QEF148"/>
      <c r="QEG148"/>
      <c r="QEH148"/>
      <c r="QEI148"/>
      <c r="QEJ148"/>
      <c r="QEK148"/>
      <c r="QEL148"/>
      <c r="QEM148"/>
      <c r="QEN148"/>
      <c r="QEO148"/>
      <c r="QEP148"/>
      <c r="QEQ148"/>
      <c r="QER148"/>
      <c r="QES148"/>
      <c r="QET148"/>
      <c r="QEU148"/>
      <c r="QEV148"/>
      <c r="QEW148"/>
      <c r="QEX148"/>
      <c r="QEY148"/>
      <c r="QEZ148"/>
      <c r="QFA148"/>
      <c r="QFB148"/>
      <c r="QFC148"/>
      <c r="QFD148"/>
      <c r="QFE148"/>
      <c r="QFF148"/>
      <c r="QFG148"/>
      <c r="QFH148"/>
      <c r="QFI148"/>
      <c r="QFJ148"/>
      <c r="QFK148"/>
      <c r="QFL148"/>
      <c r="QFM148"/>
      <c r="QFN148"/>
      <c r="QFO148"/>
      <c r="QFP148"/>
      <c r="QFQ148"/>
      <c r="QFR148"/>
      <c r="QFS148"/>
      <c r="QFT148"/>
      <c r="QFU148"/>
      <c r="QFV148"/>
      <c r="QFW148"/>
      <c r="QFX148"/>
      <c r="QFY148"/>
      <c r="QFZ148"/>
      <c r="QGA148"/>
      <c r="QGB148"/>
      <c r="QGC148"/>
      <c r="QGD148"/>
      <c r="QGE148"/>
      <c r="QGF148"/>
      <c r="QGG148"/>
      <c r="QGH148"/>
      <c r="QGI148"/>
      <c r="QGJ148"/>
      <c r="QGK148"/>
      <c r="QGL148"/>
      <c r="QGM148"/>
      <c r="QGN148"/>
      <c r="QGO148"/>
      <c r="QGP148"/>
      <c r="QGQ148"/>
      <c r="QGR148"/>
      <c r="QGS148"/>
      <c r="QGT148"/>
      <c r="QGU148"/>
      <c r="QGV148"/>
      <c r="QGW148"/>
      <c r="QGX148"/>
      <c r="QGY148"/>
      <c r="QGZ148"/>
      <c r="QHA148"/>
      <c r="QHB148"/>
      <c r="QHC148"/>
      <c r="QHD148"/>
      <c r="QHE148"/>
      <c r="QHF148"/>
      <c r="QHG148"/>
      <c r="QHH148"/>
      <c r="QHI148"/>
      <c r="QHJ148"/>
      <c r="QHK148"/>
      <c r="QHL148"/>
      <c r="QHM148"/>
      <c r="QHN148"/>
      <c r="QHO148"/>
      <c r="QHP148"/>
      <c r="QHQ148"/>
      <c r="QHR148"/>
      <c r="QHS148"/>
      <c r="QHT148"/>
      <c r="QHU148"/>
      <c r="QHV148"/>
      <c r="QHW148"/>
      <c r="QHX148"/>
      <c r="QHY148"/>
      <c r="QHZ148"/>
      <c r="QIA148"/>
      <c r="QIB148"/>
      <c r="QIC148"/>
      <c r="QID148"/>
      <c r="QIE148"/>
      <c r="QIF148"/>
      <c r="QIG148"/>
      <c r="QIH148"/>
      <c r="QII148"/>
      <c r="QIJ148"/>
      <c r="QIK148"/>
      <c r="QIL148"/>
      <c r="QIM148"/>
      <c r="QIN148"/>
      <c r="QIO148"/>
      <c r="QIP148"/>
      <c r="QIQ148"/>
      <c r="QIR148"/>
      <c r="QIS148"/>
      <c r="QIT148"/>
      <c r="QIU148"/>
      <c r="QIV148"/>
      <c r="QIW148"/>
      <c r="QIX148"/>
      <c r="QIY148"/>
      <c r="QIZ148"/>
      <c r="QJA148"/>
      <c r="QJB148"/>
      <c r="QJC148"/>
      <c r="QJD148"/>
      <c r="QJE148"/>
      <c r="QJF148"/>
      <c r="QJG148"/>
      <c r="QJH148"/>
      <c r="QJI148"/>
      <c r="QJJ148"/>
      <c r="QJK148"/>
      <c r="QJL148"/>
      <c r="QJM148"/>
      <c r="QJN148"/>
      <c r="QJO148"/>
      <c r="QJP148"/>
      <c r="QJQ148"/>
      <c r="QJR148"/>
      <c r="QJS148"/>
      <c r="QJT148"/>
      <c r="QJU148"/>
      <c r="QJV148"/>
      <c r="QJW148"/>
      <c r="QJX148"/>
      <c r="QJY148"/>
      <c r="QJZ148"/>
      <c r="QKA148"/>
      <c r="QKB148"/>
      <c r="QKC148"/>
      <c r="QKD148"/>
      <c r="QKE148"/>
      <c r="QKF148"/>
      <c r="QKG148"/>
      <c r="QKH148"/>
      <c r="QKI148"/>
      <c r="QKJ148"/>
      <c r="QKK148"/>
      <c r="QKL148"/>
      <c r="QKM148"/>
      <c r="QKN148"/>
      <c r="QKO148"/>
      <c r="QKP148"/>
      <c r="QKQ148"/>
      <c r="QKR148"/>
      <c r="QKS148"/>
      <c r="QKT148"/>
      <c r="QKU148"/>
      <c r="QKV148"/>
      <c r="QKW148"/>
      <c r="QKX148"/>
      <c r="QKY148"/>
      <c r="QKZ148"/>
      <c r="QLA148"/>
      <c r="QLB148"/>
      <c r="QLC148"/>
      <c r="QLD148"/>
      <c r="QLE148"/>
      <c r="QLF148"/>
      <c r="QLG148"/>
      <c r="QLH148"/>
      <c r="QLI148"/>
      <c r="QLJ148"/>
      <c r="QLK148"/>
      <c r="QLL148"/>
      <c r="QLM148"/>
      <c r="QLN148"/>
      <c r="QLO148"/>
      <c r="QLP148"/>
      <c r="QLQ148"/>
      <c r="QLR148"/>
      <c r="QLS148"/>
      <c r="QLT148"/>
      <c r="QLU148"/>
      <c r="QLV148"/>
      <c r="QLW148"/>
      <c r="QLX148"/>
      <c r="QLY148"/>
      <c r="QLZ148"/>
      <c r="QMA148"/>
      <c r="QMB148"/>
      <c r="QMC148"/>
      <c r="QMD148"/>
      <c r="QME148"/>
      <c r="QMF148"/>
      <c r="QMG148"/>
      <c r="QMH148"/>
      <c r="QMI148"/>
      <c r="QMJ148"/>
      <c r="QMK148"/>
      <c r="QML148"/>
      <c r="QMM148"/>
      <c r="QMN148"/>
      <c r="QMO148"/>
      <c r="QMP148"/>
      <c r="QMQ148"/>
      <c r="QMR148"/>
      <c r="QMS148"/>
      <c r="QMT148"/>
      <c r="QMU148"/>
      <c r="QMV148"/>
      <c r="QMW148"/>
      <c r="QMX148"/>
      <c r="QMY148"/>
      <c r="QMZ148"/>
      <c r="QNA148"/>
      <c r="QNB148"/>
      <c r="QNC148"/>
      <c r="QND148"/>
      <c r="QNE148"/>
      <c r="QNF148"/>
      <c r="QNG148"/>
      <c r="QNH148"/>
      <c r="QNI148"/>
      <c r="QNJ148"/>
      <c r="QNK148"/>
      <c r="QNL148"/>
      <c r="QNM148"/>
      <c r="QNN148"/>
      <c r="QNO148"/>
      <c r="QNP148"/>
      <c r="QNQ148"/>
      <c r="QNR148"/>
      <c r="QNS148"/>
      <c r="QNT148"/>
      <c r="QNU148"/>
      <c r="QNV148"/>
      <c r="QNW148"/>
      <c r="QNX148"/>
      <c r="QNY148"/>
      <c r="QNZ148"/>
      <c r="QOA148"/>
      <c r="QOB148"/>
      <c r="QOC148"/>
      <c r="QOD148"/>
      <c r="QOE148"/>
      <c r="QOF148"/>
      <c r="QOG148"/>
      <c r="QOH148"/>
      <c r="QOI148"/>
      <c r="QOJ148"/>
      <c r="QOK148"/>
      <c r="QOL148"/>
      <c r="QOM148"/>
      <c r="QON148"/>
      <c r="QOO148"/>
      <c r="QOP148"/>
      <c r="QOQ148"/>
      <c r="QOR148"/>
      <c r="QOS148"/>
      <c r="QOT148"/>
      <c r="QOU148"/>
      <c r="QOV148"/>
      <c r="QOW148"/>
      <c r="QOX148"/>
      <c r="QOY148"/>
      <c r="QOZ148"/>
      <c r="QPA148"/>
      <c r="QPB148"/>
      <c r="QPC148"/>
      <c r="QPD148"/>
      <c r="QPE148"/>
      <c r="QPF148"/>
      <c r="QPG148"/>
      <c r="QPH148"/>
      <c r="QPI148"/>
      <c r="QPJ148"/>
      <c r="QPK148"/>
      <c r="QPL148"/>
      <c r="QPM148"/>
      <c r="QPN148"/>
      <c r="QPO148"/>
      <c r="QPP148"/>
      <c r="QPQ148"/>
      <c r="QPR148"/>
      <c r="QPS148"/>
      <c r="QPT148"/>
      <c r="QPU148"/>
      <c r="QPV148"/>
      <c r="QPW148"/>
      <c r="QPX148"/>
      <c r="QPY148"/>
      <c r="QPZ148"/>
      <c r="QQA148"/>
      <c r="QQB148"/>
      <c r="QQC148"/>
      <c r="QQD148"/>
      <c r="QQE148"/>
      <c r="QQF148"/>
      <c r="QQG148"/>
      <c r="QQH148"/>
      <c r="QQI148"/>
      <c r="QQJ148"/>
      <c r="QQK148"/>
      <c r="QQL148"/>
      <c r="QQM148"/>
      <c r="QQN148"/>
      <c r="QQO148"/>
      <c r="QQP148"/>
      <c r="QQQ148"/>
      <c r="QQR148"/>
      <c r="QQS148"/>
      <c r="QQT148"/>
      <c r="QQU148"/>
      <c r="QQV148"/>
      <c r="QQW148"/>
      <c r="QQX148"/>
      <c r="QQY148"/>
      <c r="QQZ148"/>
      <c r="QRA148"/>
      <c r="QRB148"/>
      <c r="QRC148"/>
      <c r="QRD148"/>
      <c r="QRE148"/>
      <c r="QRF148"/>
      <c r="QRG148"/>
      <c r="QRH148"/>
      <c r="QRI148"/>
      <c r="QRJ148"/>
      <c r="QRK148"/>
      <c r="QRL148"/>
      <c r="QRM148"/>
      <c r="QRN148"/>
      <c r="QRO148"/>
      <c r="QRP148"/>
      <c r="QRQ148"/>
      <c r="QRR148"/>
      <c r="QRS148"/>
      <c r="QRT148"/>
      <c r="QRU148"/>
      <c r="QRV148"/>
      <c r="QRW148"/>
      <c r="QRX148"/>
      <c r="QRY148"/>
      <c r="QRZ148"/>
      <c r="QSA148"/>
      <c r="QSB148"/>
      <c r="QSC148"/>
      <c r="QSD148"/>
      <c r="QSE148"/>
      <c r="QSF148"/>
      <c r="QSG148"/>
      <c r="QSH148"/>
      <c r="QSI148"/>
      <c r="QSJ148"/>
      <c r="QSK148"/>
      <c r="QSL148"/>
      <c r="QSM148"/>
      <c r="QSN148"/>
      <c r="QSO148"/>
      <c r="QSP148"/>
      <c r="QSQ148"/>
      <c r="QSR148"/>
      <c r="QSS148"/>
      <c r="QST148"/>
      <c r="QSU148"/>
      <c r="QSV148"/>
      <c r="QSW148"/>
      <c r="QSX148"/>
      <c r="QSY148"/>
      <c r="QSZ148"/>
      <c r="QTA148"/>
      <c r="QTB148"/>
      <c r="QTC148"/>
      <c r="QTD148"/>
      <c r="QTE148"/>
      <c r="QTF148"/>
      <c r="QTG148"/>
      <c r="QTH148"/>
      <c r="QTI148"/>
      <c r="QTJ148"/>
      <c r="QTK148"/>
      <c r="QTL148"/>
      <c r="QTM148"/>
      <c r="QTN148"/>
      <c r="QTO148"/>
      <c r="QTP148"/>
      <c r="QTQ148"/>
      <c r="QTR148"/>
      <c r="QTS148"/>
      <c r="QTT148"/>
      <c r="QTU148"/>
      <c r="QTV148"/>
      <c r="QTW148"/>
      <c r="QTX148"/>
      <c r="QTY148"/>
      <c r="QTZ148"/>
      <c r="QUA148"/>
      <c r="QUB148"/>
      <c r="QUC148"/>
      <c r="QUD148"/>
      <c r="QUE148"/>
      <c r="QUF148"/>
      <c r="QUG148"/>
      <c r="QUH148"/>
      <c r="QUI148"/>
      <c r="QUJ148"/>
      <c r="QUK148"/>
      <c r="QUL148"/>
      <c r="QUM148"/>
      <c r="QUN148"/>
      <c r="QUO148"/>
      <c r="QUP148"/>
      <c r="QUQ148"/>
      <c r="QUR148"/>
      <c r="QUS148"/>
      <c r="QUT148"/>
      <c r="QUU148"/>
      <c r="QUV148"/>
      <c r="QUW148"/>
      <c r="QUX148"/>
      <c r="QUY148"/>
      <c r="QUZ148"/>
      <c r="QVA148"/>
      <c r="QVB148"/>
      <c r="QVC148"/>
      <c r="QVD148"/>
      <c r="QVE148"/>
      <c r="QVF148"/>
      <c r="QVG148"/>
      <c r="QVH148"/>
      <c r="QVI148"/>
      <c r="QVJ148"/>
      <c r="QVK148"/>
      <c r="QVL148"/>
      <c r="QVM148"/>
      <c r="QVN148"/>
      <c r="QVO148"/>
      <c r="QVP148"/>
      <c r="QVQ148"/>
      <c r="QVR148"/>
      <c r="QVS148"/>
      <c r="QVT148"/>
      <c r="QVU148"/>
      <c r="QVV148"/>
      <c r="QVW148"/>
      <c r="QVX148"/>
      <c r="QVY148"/>
      <c r="QVZ148"/>
      <c r="QWA148"/>
      <c r="QWB148"/>
      <c r="QWC148"/>
      <c r="QWD148"/>
      <c r="QWE148"/>
      <c r="QWF148"/>
      <c r="QWG148"/>
      <c r="QWH148"/>
      <c r="QWI148"/>
      <c r="QWJ148"/>
      <c r="QWK148"/>
      <c r="QWL148"/>
      <c r="QWM148"/>
      <c r="QWN148"/>
      <c r="QWO148"/>
      <c r="QWP148"/>
      <c r="QWQ148"/>
      <c r="QWR148"/>
      <c r="QWS148"/>
      <c r="QWT148"/>
      <c r="QWU148"/>
      <c r="QWV148"/>
      <c r="QWW148"/>
      <c r="QWX148"/>
      <c r="QWY148"/>
      <c r="QWZ148"/>
      <c r="QXA148"/>
      <c r="QXB148"/>
      <c r="QXC148"/>
      <c r="QXD148"/>
      <c r="QXE148"/>
      <c r="QXF148"/>
      <c r="QXG148"/>
      <c r="QXH148"/>
      <c r="QXI148"/>
      <c r="QXJ148"/>
      <c r="QXK148"/>
      <c r="QXL148"/>
      <c r="QXM148"/>
      <c r="QXN148"/>
      <c r="QXO148"/>
      <c r="QXP148"/>
      <c r="QXQ148"/>
      <c r="QXR148"/>
      <c r="QXS148"/>
      <c r="QXT148"/>
      <c r="QXU148"/>
      <c r="QXV148"/>
      <c r="QXW148"/>
      <c r="QXX148"/>
      <c r="QXY148"/>
      <c r="QXZ148"/>
      <c r="QYA148"/>
      <c r="QYB148"/>
      <c r="QYC148"/>
      <c r="QYD148"/>
      <c r="QYE148"/>
      <c r="QYF148"/>
      <c r="QYG148"/>
      <c r="QYH148"/>
      <c r="QYI148"/>
      <c r="QYJ148"/>
      <c r="QYK148"/>
      <c r="QYL148"/>
      <c r="QYM148"/>
      <c r="QYN148"/>
      <c r="QYO148"/>
      <c r="QYP148"/>
      <c r="QYQ148"/>
      <c r="QYR148"/>
      <c r="QYS148"/>
      <c r="QYT148"/>
      <c r="QYU148"/>
      <c r="QYV148"/>
      <c r="QYW148"/>
      <c r="QYX148"/>
      <c r="QYY148"/>
      <c r="QYZ148"/>
      <c r="QZA148"/>
      <c r="QZB148"/>
      <c r="QZC148"/>
      <c r="QZD148"/>
      <c r="QZE148"/>
      <c r="QZF148"/>
      <c r="QZG148"/>
      <c r="QZH148"/>
      <c r="QZI148"/>
      <c r="QZJ148"/>
      <c r="QZK148"/>
      <c r="QZL148"/>
      <c r="QZM148"/>
      <c r="QZN148"/>
      <c r="QZO148"/>
      <c r="QZP148"/>
      <c r="QZQ148"/>
      <c r="QZR148"/>
      <c r="QZS148"/>
      <c r="QZT148"/>
      <c r="QZU148"/>
      <c r="QZV148"/>
      <c r="QZW148"/>
      <c r="QZX148"/>
      <c r="QZY148"/>
      <c r="QZZ148"/>
      <c r="RAA148"/>
      <c r="RAB148"/>
      <c r="RAC148"/>
      <c r="RAD148"/>
      <c r="RAE148"/>
      <c r="RAF148"/>
      <c r="RAG148"/>
      <c r="RAH148"/>
      <c r="RAI148"/>
      <c r="RAJ148"/>
      <c r="RAK148"/>
      <c r="RAL148"/>
      <c r="RAM148"/>
      <c r="RAN148"/>
      <c r="RAO148"/>
      <c r="RAP148"/>
      <c r="RAQ148"/>
      <c r="RAR148"/>
      <c r="RAS148"/>
      <c r="RAT148"/>
      <c r="RAU148"/>
      <c r="RAV148"/>
      <c r="RAW148"/>
      <c r="RAX148"/>
      <c r="RAY148"/>
      <c r="RAZ148"/>
      <c r="RBA148"/>
      <c r="RBB148"/>
      <c r="RBC148"/>
      <c r="RBD148"/>
      <c r="RBE148"/>
      <c r="RBF148"/>
      <c r="RBG148"/>
      <c r="RBH148"/>
      <c r="RBI148"/>
      <c r="RBJ148"/>
      <c r="RBK148"/>
      <c r="RBL148"/>
      <c r="RBM148"/>
      <c r="RBN148"/>
      <c r="RBO148"/>
      <c r="RBP148"/>
      <c r="RBQ148"/>
      <c r="RBR148"/>
      <c r="RBS148"/>
      <c r="RBT148"/>
      <c r="RBU148"/>
      <c r="RBV148"/>
      <c r="RBW148"/>
      <c r="RBX148"/>
      <c r="RBY148"/>
      <c r="RBZ148"/>
      <c r="RCA148"/>
      <c r="RCB148"/>
      <c r="RCC148"/>
      <c r="RCD148"/>
      <c r="RCE148"/>
      <c r="RCF148"/>
      <c r="RCG148"/>
      <c r="RCH148"/>
      <c r="RCI148"/>
      <c r="RCJ148"/>
      <c r="RCK148"/>
      <c r="RCL148"/>
      <c r="RCM148"/>
      <c r="RCN148"/>
      <c r="RCO148"/>
      <c r="RCP148"/>
      <c r="RCQ148"/>
      <c r="RCR148"/>
      <c r="RCS148"/>
      <c r="RCT148"/>
      <c r="RCU148"/>
      <c r="RCV148"/>
      <c r="RCW148"/>
      <c r="RCX148"/>
      <c r="RCY148"/>
      <c r="RCZ148"/>
      <c r="RDA148"/>
      <c r="RDB148"/>
      <c r="RDC148"/>
      <c r="RDD148"/>
      <c r="RDE148"/>
      <c r="RDF148"/>
      <c r="RDG148"/>
      <c r="RDH148"/>
      <c r="RDI148"/>
      <c r="RDJ148"/>
      <c r="RDK148"/>
      <c r="RDL148"/>
      <c r="RDM148"/>
      <c r="RDN148"/>
      <c r="RDO148"/>
      <c r="RDP148"/>
      <c r="RDQ148"/>
      <c r="RDR148"/>
      <c r="RDS148"/>
      <c r="RDT148"/>
      <c r="RDU148"/>
      <c r="RDV148"/>
      <c r="RDW148"/>
      <c r="RDX148"/>
      <c r="RDY148"/>
      <c r="RDZ148"/>
      <c r="REA148"/>
      <c r="REB148"/>
      <c r="REC148"/>
      <c r="RED148"/>
      <c r="REE148"/>
      <c r="REF148"/>
      <c r="REG148"/>
      <c r="REH148"/>
      <c r="REI148"/>
      <c r="REJ148"/>
      <c r="REK148"/>
      <c r="REL148"/>
      <c r="REM148"/>
      <c r="REN148"/>
      <c r="REO148"/>
      <c r="REP148"/>
      <c r="REQ148"/>
      <c r="RER148"/>
      <c r="RES148"/>
      <c r="RET148"/>
      <c r="REU148"/>
      <c r="REV148"/>
      <c r="REW148"/>
      <c r="REX148"/>
      <c r="REY148"/>
      <c r="REZ148"/>
      <c r="RFA148"/>
      <c r="RFB148"/>
      <c r="RFC148"/>
      <c r="RFD148"/>
      <c r="RFE148"/>
      <c r="RFF148"/>
      <c r="RFG148"/>
      <c r="RFH148"/>
      <c r="RFI148"/>
      <c r="RFJ148"/>
      <c r="RFK148"/>
      <c r="RFL148"/>
      <c r="RFM148"/>
      <c r="RFN148"/>
      <c r="RFO148"/>
      <c r="RFP148"/>
      <c r="RFQ148"/>
      <c r="RFR148"/>
      <c r="RFS148"/>
      <c r="RFT148"/>
      <c r="RFU148"/>
      <c r="RFV148"/>
      <c r="RFW148"/>
      <c r="RFX148"/>
      <c r="RFY148"/>
      <c r="RFZ148"/>
      <c r="RGA148"/>
      <c r="RGB148"/>
      <c r="RGC148"/>
      <c r="RGD148"/>
      <c r="RGE148"/>
      <c r="RGF148"/>
      <c r="RGG148"/>
      <c r="RGH148"/>
      <c r="RGI148"/>
      <c r="RGJ148"/>
      <c r="RGK148"/>
      <c r="RGL148"/>
      <c r="RGM148"/>
      <c r="RGN148"/>
      <c r="RGO148"/>
      <c r="RGP148"/>
      <c r="RGQ148"/>
      <c r="RGR148"/>
      <c r="RGS148"/>
      <c r="RGT148"/>
      <c r="RGU148"/>
      <c r="RGV148"/>
      <c r="RGW148"/>
      <c r="RGX148"/>
      <c r="RGY148"/>
      <c r="RGZ148"/>
      <c r="RHA148"/>
      <c r="RHB148"/>
      <c r="RHC148"/>
      <c r="RHD148"/>
      <c r="RHE148"/>
      <c r="RHF148"/>
      <c r="RHG148"/>
      <c r="RHH148"/>
      <c r="RHI148"/>
      <c r="RHJ148"/>
      <c r="RHK148"/>
      <c r="RHL148"/>
      <c r="RHM148"/>
      <c r="RHN148"/>
      <c r="RHO148"/>
      <c r="RHP148"/>
      <c r="RHQ148"/>
      <c r="RHR148"/>
      <c r="RHS148"/>
      <c r="RHT148"/>
      <c r="RHU148"/>
      <c r="RHV148"/>
      <c r="RHW148"/>
      <c r="RHX148"/>
      <c r="RHY148"/>
      <c r="RHZ148"/>
      <c r="RIA148"/>
      <c r="RIB148"/>
      <c r="RIC148"/>
      <c r="RID148"/>
      <c r="RIE148"/>
      <c r="RIF148"/>
      <c r="RIG148"/>
      <c r="RIH148"/>
      <c r="RII148"/>
      <c r="RIJ148"/>
      <c r="RIK148"/>
      <c r="RIL148"/>
      <c r="RIM148"/>
      <c r="RIN148"/>
      <c r="RIO148"/>
      <c r="RIP148"/>
      <c r="RIQ148"/>
      <c r="RIR148"/>
      <c r="RIS148"/>
      <c r="RIT148"/>
      <c r="RIU148"/>
      <c r="RIV148"/>
      <c r="RIW148"/>
      <c r="RIX148"/>
      <c r="RIY148"/>
      <c r="RIZ148"/>
      <c r="RJA148"/>
      <c r="RJB148"/>
      <c r="RJC148"/>
      <c r="RJD148"/>
      <c r="RJE148"/>
      <c r="RJF148"/>
      <c r="RJG148"/>
      <c r="RJH148"/>
      <c r="RJI148"/>
      <c r="RJJ148"/>
      <c r="RJK148"/>
      <c r="RJL148"/>
      <c r="RJM148"/>
      <c r="RJN148"/>
      <c r="RJO148"/>
      <c r="RJP148"/>
      <c r="RJQ148"/>
      <c r="RJR148"/>
      <c r="RJS148"/>
      <c r="RJT148"/>
      <c r="RJU148"/>
      <c r="RJV148"/>
      <c r="RJW148"/>
      <c r="RJX148"/>
      <c r="RJY148"/>
      <c r="RJZ148"/>
      <c r="RKA148"/>
      <c r="RKB148"/>
      <c r="RKC148"/>
      <c r="RKD148"/>
      <c r="RKE148"/>
      <c r="RKF148"/>
      <c r="RKG148"/>
      <c r="RKH148"/>
      <c r="RKI148"/>
      <c r="RKJ148"/>
      <c r="RKK148"/>
      <c r="RKL148"/>
      <c r="RKM148"/>
      <c r="RKN148"/>
      <c r="RKO148"/>
      <c r="RKP148"/>
      <c r="RKQ148"/>
      <c r="RKR148"/>
      <c r="RKS148"/>
      <c r="RKT148"/>
      <c r="RKU148"/>
      <c r="RKV148"/>
      <c r="RKW148"/>
      <c r="RKX148"/>
      <c r="RKY148"/>
      <c r="RKZ148"/>
      <c r="RLA148"/>
      <c r="RLB148"/>
      <c r="RLC148"/>
      <c r="RLD148"/>
      <c r="RLE148"/>
      <c r="RLF148"/>
      <c r="RLG148"/>
      <c r="RLH148"/>
      <c r="RLI148"/>
      <c r="RLJ148"/>
      <c r="RLK148"/>
      <c r="RLL148"/>
      <c r="RLM148"/>
      <c r="RLN148"/>
      <c r="RLO148"/>
      <c r="RLP148"/>
      <c r="RLQ148"/>
      <c r="RLR148"/>
      <c r="RLS148"/>
      <c r="RLT148"/>
      <c r="RLU148"/>
      <c r="RLV148"/>
      <c r="RLW148"/>
      <c r="RLX148"/>
      <c r="RLY148"/>
      <c r="RLZ148"/>
      <c r="RMA148"/>
      <c r="RMB148"/>
      <c r="RMC148"/>
      <c r="RMD148"/>
      <c r="RME148"/>
      <c r="RMF148"/>
      <c r="RMG148"/>
      <c r="RMH148"/>
      <c r="RMI148"/>
      <c r="RMJ148"/>
      <c r="RMK148"/>
      <c r="RML148"/>
      <c r="RMM148"/>
      <c r="RMN148"/>
      <c r="RMO148"/>
      <c r="RMP148"/>
      <c r="RMQ148"/>
      <c r="RMR148"/>
      <c r="RMS148"/>
      <c r="RMT148"/>
      <c r="RMU148"/>
      <c r="RMV148"/>
      <c r="RMW148"/>
      <c r="RMX148"/>
      <c r="RMY148"/>
      <c r="RMZ148"/>
      <c r="RNA148"/>
      <c r="RNB148"/>
      <c r="RNC148"/>
      <c r="RND148"/>
      <c r="RNE148"/>
      <c r="RNF148"/>
      <c r="RNG148"/>
      <c r="RNH148"/>
      <c r="RNI148"/>
      <c r="RNJ148"/>
      <c r="RNK148"/>
      <c r="RNL148"/>
      <c r="RNM148"/>
      <c r="RNN148"/>
      <c r="RNO148"/>
      <c r="RNP148"/>
      <c r="RNQ148"/>
      <c r="RNR148"/>
      <c r="RNS148"/>
      <c r="RNT148"/>
      <c r="RNU148"/>
      <c r="RNV148"/>
      <c r="RNW148"/>
      <c r="RNX148"/>
      <c r="RNY148"/>
      <c r="RNZ148"/>
      <c r="ROA148"/>
      <c r="ROB148"/>
      <c r="ROC148"/>
      <c r="ROD148"/>
      <c r="ROE148"/>
      <c r="ROF148"/>
      <c r="ROG148"/>
      <c r="ROH148"/>
      <c r="ROI148"/>
      <c r="ROJ148"/>
      <c r="ROK148"/>
      <c r="ROL148"/>
      <c r="ROM148"/>
      <c r="RON148"/>
      <c r="ROO148"/>
      <c r="ROP148"/>
      <c r="ROQ148"/>
      <c r="ROR148"/>
      <c r="ROS148"/>
      <c r="ROT148"/>
      <c r="ROU148"/>
      <c r="ROV148"/>
      <c r="ROW148"/>
      <c r="ROX148"/>
      <c r="ROY148"/>
      <c r="ROZ148"/>
      <c r="RPA148"/>
      <c r="RPB148"/>
      <c r="RPC148"/>
      <c r="RPD148"/>
      <c r="RPE148"/>
      <c r="RPF148"/>
      <c r="RPG148"/>
      <c r="RPH148"/>
      <c r="RPI148"/>
      <c r="RPJ148"/>
      <c r="RPK148"/>
      <c r="RPL148"/>
      <c r="RPM148"/>
      <c r="RPN148"/>
      <c r="RPO148"/>
      <c r="RPP148"/>
      <c r="RPQ148"/>
      <c r="RPR148"/>
      <c r="RPS148"/>
      <c r="RPT148"/>
      <c r="RPU148"/>
      <c r="RPV148"/>
      <c r="RPW148"/>
      <c r="RPX148"/>
      <c r="RPY148"/>
      <c r="RPZ148"/>
      <c r="RQA148"/>
      <c r="RQB148"/>
      <c r="RQC148"/>
      <c r="RQD148"/>
      <c r="RQE148"/>
      <c r="RQF148"/>
      <c r="RQG148"/>
      <c r="RQH148"/>
      <c r="RQI148"/>
      <c r="RQJ148"/>
      <c r="RQK148"/>
      <c r="RQL148"/>
      <c r="RQM148"/>
      <c r="RQN148"/>
      <c r="RQO148"/>
      <c r="RQP148"/>
      <c r="RQQ148"/>
      <c r="RQR148"/>
      <c r="RQS148"/>
      <c r="RQT148"/>
      <c r="RQU148"/>
      <c r="RQV148"/>
      <c r="RQW148"/>
      <c r="RQX148"/>
      <c r="RQY148"/>
      <c r="RQZ148"/>
      <c r="RRA148"/>
      <c r="RRB148"/>
      <c r="RRC148"/>
      <c r="RRD148"/>
      <c r="RRE148"/>
      <c r="RRF148"/>
      <c r="RRG148"/>
      <c r="RRH148"/>
      <c r="RRI148"/>
      <c r="RRJ148"/>
      <c r="RRK148"/>
      <c r="RRL148"/>
      <c r="RRM148"/>
      <c r="RRN148"/>
      <c r="RRO148"/>
      <c r="RRP148"/>
      <c r="RRQ148"/>
      <c r="RRR148"/>
      <c r="RRS148"/>
      <c r="RRT148"/>
      <c r="RRU148"/>
      <c r="RRV148"/>
      <c r="RRW148"/>
      <c r="RRX148"/>
      <c r="RRY148"/>
      <c r="RRZ148"/>
      <c r="RSA148"/>
      <c r="RSB148"/>
      <c r="RSC148"/>
      <c r="RSD148"/>
      <c r="RSE148"/>
      <c r="RSF148"/>
      <c r="RSG148"/>
      <c r="RSH148"/>
      <c r="RSI148"/>
      <c r="RSJ148"/>
      <c r="RSK148"/>
      <c r="RSL148"/>
      <c r="RSM148"/>
      <c r="RSN148"/>
      <c r="RSO148"/>
      <c r="RSP148"/>
      <c r="RSQ148"/>
      <c r="RSR148"/>
      <c r="RSS148"/>
      <c r="RST148"/>
      <c r="RSU148"/>
      <c r="RSV148"/>
      <c r="RSW148"/>
      <c r="RSX148"/>
      <c r="RSY148"/>
      <c r="RSZ148"/>
      <c r="RTA148"/>
      <c r="RTB148"/>
      <c r="RTC148"/>
      <c r="RTD148"/>
      <c r="RTE148"/>
      <c r="RTF148"/>
      <c r="RTG148"/>
      <c r="RTH148"/>
      <c r="RTI148"/>
      <c r="RTJ148"/>
      <c r="RTK148"/>
      <c r="RTL148"/>
      <c r="RTM148"/>
      <c r="RTN148"/>
      <c r="RTO148"/>
      <c r="RTP148"/>
      <c r="RTQ148"/>
      <c r="RTR148"/>
      <c r="RTS148"/>
      <c r="RTT148"/>
      <c r="RTU148"/>
      <c r="RTV148"/>
      <c r="RTW148"/>
      <c r="RTX148"/>
      <c r="RTY148"/>
      <c r="RTZ148"/>
      <c r="RUA148"/>
      <c r="RUB148"/>
      <c r="RUC148"/>
      <c r="RUD148"/>
      <c r="RUE148"/>
      <c r="RUF148"/>
      <c r="RUG148"/>
      <c r="RUH148"/>
      <c r="RUI148"/>
      <c r="RUJ148"/>
      <c r="RUK148"/>
      <c r="RUL148"/>
      <c r="RUM148"/>
      <c r="RUN148"/>
      <c r="RUO148"/>
      <c r="RUP148"/>
      <c r="RUQ148"/>
      <c r="RUR148"/>
      <c r="RUS148"/>
      <c r="RUT148"/>
      <c r="RUU148"/>
      <c r="RUV148"/>
      <c r="RUW148"/>
      <c r="RUX148"/>
      <c r="RUY148"/>
      <c r="RUZ148"/>
      <c r="RVA148"/>
      <c r="RVB148"/>
      <c r="RVC148"/>
      <c r="RVD148"/>
      <c r="RVE148"/>
      <c r="RVF148"/>
      <c r="RVG148"/>
      <c r="RVH148"/>
      <c r="RVI148"/>
      <c r="RVJ148"/>
      <c r="RVK148"/>
      <c r="RVL148"/>
      <c r="RVM148"/>
      <c r="RVN148"/>
      <c r="RVO148"/>
      <c r="RVP148"/>
      <c r="RVQ148"/>
      <c r="RVR148"/>
      <c r="RVS148"/>
      <c r="RVT148"/>
      <c r="RVU148"/>
      <c r="RVV148"/>
      <c r="RVW148"/>
      <c r="RVX148"/>
      <c r="RVY148"/>
      <c r="RVZ148"/>
      <c r="RWA148"/>
      <c r="RWB148"/>
      <c r="RWC148"/>
      <c r="RWD148"/>
      <c r="RWE148"/>
      <c r="RWF148"/>
      <c r="RWG148"/>
      <c r="RWH148"/>
      <c r="RWI148"/>
      <c r="RWJ148"/>
      <c r="RWK148"/>
      <c r="RWL148"/>
      <c r="RWM148"/>
      <c r="RWN148"/>
      <c r="RWO148"/>
      <c r="RWP148"/>
      <c r="RWQ148"/>
      <c r="RWR148"/>
      <c r="RWS148"/>
      <c r="RWT148"/>
      <c r="RWU148"/>
      <c r="RWV148"/>
      <c r="RWW148"/>
      <c r="RWX148"/>
      <c r="RWY148"/>
      <c r="RWZ148"/>
      <c r="RXA148"/>
      <c r="RXB148"/>
      <c r="RXC148"/>
      <c r="RXD148"/>
      <c r="RXE148"/>
      <c r="RXF148"/>
      <c r="RXG148"/>
      <c r="RXH148"/>
      <c r="RXI148"/>
      <c r="RXJ148"/>
      <c r="RXK148"/>
      <c r="RXL148"/>
      <c r="RXM148"/>
      <c r="RXN148"/>
      <c r="RXO148"/>
      <c r="RXP148"/>
      <c r="RXQ148"/>
      <c r="RXR148"/>
      <c r="RXS148"/>
      <c r="RXT148"/>
      <c r="RXU148"/>
      <c r="RXV148"/>
      <c r="RXW148"/>
      <c r="RXX148"/>
      <c r="RXY148"/>
      <c r="RXZ148"/>
      <c r="RYA148"/>
      <c r="RYB148"/>
      <c r="RYC148"/>
      <c r="RYD148"/>
      <c r="RYE148"/>
      <c r="RYF148"/>
      <c r="RYG148"/>
      <c r="RYH148"/>
      <c r="RYI148"/>
      <c r="RYJ148"/>
      <c r="RYK148"/>
      <c r="RYL148"/>
      <c r="RYM148"/>
      <c r="RYN148"/>
      <c r="RYO148"/>
      <c r="RYP148"/>
      <c r="RYQ148"/>
      <c r="RYR148"/>
      <c r="RYS148"/>
      <c r="RYT148"/>
      <c r="RYU148"/>
      <c r="RYV148"/>
      <c r="RYW148"/>
      <c r="RYX148"/>
      <c r="RYY148"/>
      <c r="RYZ148"/>
      <c r="RZA148"/>
      <c r="RZB148"/>
      <c r="RZC148"/>
      <c r="RZD148"/>
      <c r="RZE148"/>
      <c r="RZF148"/>
      <c r="RZG148"/>
      <c r="RZH148"/>
      <c r="RZI148"/>
      <c r="RZJ148"/>
      <c r="RZK148"/>
      <c r="RZL148"/>
      <c r="RZM148"/>
      <c r="RZN148"/>
      <c r="RZO148"/>
      <c r="RZP148"/>
      <c r="RZQ148"/>
      <c r="RZR148"/>
      <c r="RZS148"/>
      <c r="RZT148"/>
      <c r="RZU148"/>
      <c r="RZV148"/>
      <c r="RZW148"/>
      <c r="RZX148"/>
      <c r="RZY148"/>
      <c r="RZZ148"/>
      <c r="SAA148"/>
      <c r="SAB148"/>
      <c r="SAC148"/>
      <c r="SAD148"/>
      <c r="SAE148"/>
      <c r="SAF148"/>
      <c r="SAG148"/>
      <c r="SAH148"/>
      <c r="SAI148"/>
      <c r="SAJ148"/>
      <c r="SAK148"/>
      <c r="SAL148"/>
      <c r="SAM148"/>
      <c r="SAN148"/>
      <c r="SAO148"/>
      <c r="SAP148"/>
      <c r="SAQ148"/>
      <c r="SAR148"/>
      <c r="SAS148"/>
      <c r="SAT148"/>
      <c r="SAU148"/>
      <c r="SAV148"/>
      <c r="SAW148"/>
      <c r="SAX148"/>
      <c r="SAY148"/>
      <c r="SAZ148"/>
      <c r="SBA148"/>
      <c r="SBB148"/>
      <c r="SBC148"/>
      <c r="SBD148"/>
      <c r="SBE148"/>
      <c r="SBF148"/>
      <c r="SBG148"/>
      <c r="SBH148"/>
      <c r="SBI148"/>
      <c r="SBJ148"/>
      <c r="SBK148"/>
      <c r="SBL148"/>
      <c r="SBM148"/>
      <c r="SBN148"/>
      <c r="SBO148"/>
      <c r="SBP148"/>
      <c r="SBQ148"/>
      <c r="SBR148"/>
      <c r="SBS148"/>
      <c r="SBT148"/>
      <c r="SBU148"/>
      <c r="SBV148"/>
      <c r="SBW148"/>
      <c r="SBX148"/>
      <c r="SBY148"/>
      <c r="SBZ148"/>
      <c r="SCA148"/>
      <c r="SCB148"/>
      <c r="SCC148"/>
      <c r="SCD148"/>
      <c r="SCE148"/>
      <c r="SCF148"/>
      <c r="SCG148"/>
      <c r="SCH148"/>
      <c r="SCI148"/>
      <c r="SCJ148"/>
      <c r="SCK148"/>
      <c r="SCL148"/>
      <c r="SCM148"/>
      <c r="SCN148"/>
      <c r="SCO148"/>
      <c r="SCP148"/>
      <c r="SCQ148"/>
      <c r="SCR148"/>
      <c r="SCS148"/>
      <c r="SCT148"/>
      <c r="SCU148"/>
      <c r="SCV148"/>
      <c r="SCW148"/>
      <c r="SCX148"/>
      <c r="SCY148"/>
      <c r="SCZ148"/>
      <c r="SDA148"/>
      <c r="SDB148"/>
      <c r="SDC148"/>
      <c r="SDD148"/>
      <c r="SDE148"/>
      <c r="SDF148"/>
      <c r="SDG148"/>
      <c r="SDH148"/>
      <c r="SDI148"/>
      <c r="SDJ148"/>
      <c r="SDK148"/>
      <c r="SDL148"/>
      <c r="SDM148"/>
      <c r="SDN148"/>
      <c r="SDO148"/>
      <c r="SDP148"/>
      <c r="SDQ148"/>
      <c r="SDR148"/>
      <c r="SDS148"/>
      <c r="SDT148"/>
      <c r="SDU148"/>
      <c r="SDV148"/>
      <c r="SDW148"/>
      <c r="SDX148"/>
      <c r="SDY148"/>
      <c r="SDZ148"/>
      <c r="SEA148"/>
      <c r="SEB148"/>
      <c r="SEC148"/>
      <c r="SED148"/>
      <c r="SEE148"/>
      <c r="SEF148"/>
      <c r="SEG148"/>
      <c r="SEH148"/>
      <c r="SEI148"/>
      <c r="SEJ148"/>
      <c r="SEK148"/>
      <c r="SEL148"/>
      <c r="SEM148"/>
      <c r="SEN148"/>
      <c r="SEO148"/>
      <c r="SEP148"/>
      <c r="SEQ148"/>
      <c r="SER148"/>
      <c r="SES148"/>
      <c r="SET148"/>
      <c r="SEU148"/>
      <c r="SEV148"/>
      <c r="SEW148"/>
      <c r="SEX148"/>
      <c r="SEY148"/>
      <c r="SEZ148"/>
      <c r="SFA148"/>
      <c r="SFB148"/>
      <c r="SFC148"/>
      <c r="SFD148"/>
      <c r="SFE148"/>
      <c r="SFF148"/>
      <c r="SFG148"/>
      <c r="SFH148"/>
      <c r="SFI148"/>
      <c r="SFJ148"/>
      <c r="SFK148"/>
      <c r="SFL148"/>
      <c r="SFM148"/>
      <c r="SFN148"/>
      <c r="SFO148"/>
      <c r="SFP148"/>
      <c r="SFQ148"/>
      <c r="SFR148"/>
      <c r="SFS148"/>
      <c r="SFT148"/>
      <c r="SFU148"/>
      <c r="SFV148"/>
      <c r="SFW148"/>
      <c r="SFX148"/>
      <c r="SFY148"/>
      <c r="SFZ148"/>
      <c r="SGA148"/>
      <c r="SGB148"/>
      <c r="SGC148"/>
      <c r="SGD148"/>
      <c r="SGE148"/>
      <c r="SGF148"/>
      <c r="SGG148"/>
      <c r="SGH148"/>
      <c r="SGI148"/>
      <c r="SGJ148"/>
      <c r="SGK148"/>
      <c r="SGL148"/>
      <c r="SGM148"/>
      <c r="SGN148"/>
      <c r="SGO148"/>
      <c r="SGP148"/>
      <c r="SGQ148"/>
      <c r="SGR148"/>
      <c r="SGS148"/>
      <c r="SGT148"/>
      <c r="SGU148"/>
      <c r="SGV148"/>
      <c r="SGW148"/>
      <c r="SGX148"/>
      <c r="SGY148"/>
      <c r="SGZ148"/>
      <c r="SHA148"/>
      <c r="SHB148"/>
      <c r="SHC148"/>
      <c r="SHD148"/>
      <c r="SHE148"/>
      <c r="SHF148"/>
      <c r="SHG148"/>
      <c r="SHH148"/>
      <c r="SHI148"/>
      <c r="SHJ148"/>
      <c r="SHK148"/>
      <c r="SHL148"/>
      <c r="SHM148"/>
      <c r="SHN148"/>
      <c r="SHO148"/>
      <c r="SHP148"/>
      <c r="SHQ148"/>
      <c r="SHR148"/>
      <c r="SHS148"/>
      <c r="SHT148"/>
      <c r="SHU148"/>
      <c r="SHV148"/>
      <c r="SHW148"/>
      <c r="SHX148"/>
      <c r="SHY148"/>
      <c r="SHZ148"/>
      <c r="SIA148"/>
      <c r="SIB148"/>
      <c r="SIC148"/>
      <c r="SID148"/>
      <c r="SIE148"/>
      <c r="SIF148"/>
      <c r="SIG148"/>
      <c r="SIH148"/>
      <c r="SII148"/>
      <c r="SIJ148"/>
      <c r="SIK148"/>
      <c r="SIL148"/>
      <c r="SIM148"/>
      <c r="SIN148"/>
      <c r="SIO148"/>
      <c r="SIP148"/>
      <c r="SIQ148"/>
      <c r="SIR148"/>
      <c r="SIS148"/>
      <c r="SIT148"/>
      <c r="SIU148"/>
      <c r="SIV148"/>
      <c r="SIW148"/>
      <c r="SIX148"/>
      <c r="SIY148"/>
      <c r="SIZ148"/>
      <c r="SJA148"/>
      <c r="SJB148"/>
      <c r="SJC148"/>
      <c r="SJD148"/>
      <c r="SJE148"/>
      <c r="SJF148"/>
      <c r="SJG148"/>
      <c r="SJH148"/>
      <c r="SJI148"/>
      <c r="SJJ148"/>
      <c r="SJK148"/>
      <c r="SJL148"/>
      <c r="SJM148"/>
      <c r="SJN148"/>
      <c r="SJO148"/>
      <c r="SJP148"/>
      <c r="SJQ148"/>
      <c r="SJR148"/>
      <c r="SJS148"/>
      <c r="SJT148"/>
      <c r="SJU148"/>
      <c r="SJV148"/>
      <c r="SJW148"/>
      <c r="SJX148"/>
      <c r="SJY148"/>
      <c r="SJZ148"/>
      <c r="SKA148"/>
      <c r="SKB148"/>
      <c r="SKC148"/>
      <c r="SKD148"/>
      <c r="SKE148"/>
      <c r="SKF148"/>
      <c r="SKG148"/>
      <c r="SKH148"/>
      <c r="SKI148"/>
      <c r="SKJ148"/>
      <c r="SKK148"/>
      <c r="SKL148"/>
      <c r="SKM148"/>
      <c r="SKN148"/>
      <c r="SKO148"/>
      <c r="SKP148"/>
      <c r="SKQ148"/>
      <c r="SKR148"/>
      <c r="SKS148"/>
      <c r="SKT148"/>
      <c r="SKU148"/>
      <c r="SKV148"/>
      <c r="SKW148"/>
      <c r="SKX148"/>
      <c r="SKY148"/>
      <c r="SKZ148"/>
      <c r="SLA148"/>
      <c r="SLB148"/>
      <c r="SLC148"/>
      <c r="SLD148"/>
      <c r="SLE148"/>
      <c r="SLF148"/>
      <c r="SLG148"/>
      <c r="SLH148"/>
      <c r="SLI148"/>
      <c r="SLJ148"/>
      <c r="SLK148"/>
      <c r="SLL148"/>
      <c r="SLM148"/>
      <c r="SLN148"/>
      <c r="SLO148"/>
      <c r="SLP148"/>
      <c r="SLQ148"/>
      <c r="SLR148"/>
      <c r="SLS148"/>
      <c r="SLT148"/>
      <c r="SLU148"/>
      <c r="SLV148"/>
      <c r="SLW148"/>
      <c r="SLX148"/>
      <c r="SLY148"/>
      <c r="SLZ148"/>
      <c r="SMA148"/>
      <c r="SMB148"/>
      <c r="SMC148"/>
      <c r="SMD148"/>
      <c r="SME148"/>
      <c r="SMF148"/>
      <c r="SMG148"/>
      <c r="SMH148"/>
      <c r="SMI148"/>
      <c r="SMJ148"/>
      <c r="SMK148"/>
      <c r="SML148"/>
      <c r="SMM148"/>
      <c r="SMN148"/>
      <c r="SMO148"/>
      <c r="SMP148"/>
      <c r="SMQ148"/>
      <c r="SMR148"/>
      <c r="SMS148"/>
      <c r="SMT148"/>
      <c r="SMU148"/>
      <c r="SMV148"/>
      <c r="SMW148"/>
      <c r="SMX148"/>
      <c r="SMY148"/>
      <c r="SMZ148"/>
      <c r="SNA148"/>
      <c r="SNB148"/>
      <c r="SNC148"/>
      <c r="SND148"/>
      <c r="SNE148"/>
      <c r="SNF148"/>
      <c r="SNG148"/>
      <c r="SNH148"/>
      <c r="SNI148"/>
      <c r="SNJ148"/>
      <c r="SNK148"/>
      <c r="SNL148"/>
      <c r="SNM148"/>
      <c r="SNN148"/>
      <c r="SNO148"/>
      <c r="SNP148"/>
      <c r="SNQ148"/>
      <c r="SNR148"/>
      <c r="SNS148"/>
      <c r="SNT148"/>
      <c r="SNU148"/>
      <c r="SNV148"/>
      <c r="SNW148"/>
      <c r="SNX148"/>
      <c r="SNY148"/>
      <c r="SNZ148"/>
      <c r="SOA148"/>
      <c r="SOB148"/>
      <c r="SOC148"/>
      <c r="SOD148"/>
      <c r="SOE148"/>
      <c r="SOF148"/>
      <c r="SOG148"/>
      <c r="SOH148"/>
      <c r="SOI148"/>
      <c r="SOJ148"/>
      <c r="SOK148"/>
      <c r="SOL148"/>
      <c r="SOM148"/>
      <c r="SON148"/>
      <c r="SOO148"/>
      <c r="SOP148"/>
      <c r="SOQ148"/>
      <c r="SOR148"/>
      <c r="SOS148"/>
      <c r="SOT148"/>
      <c r="SOU148"/>
      <c r="SOV148"/>
      <c r="SOW148"/>
      <c r="SOX148"/>
      <c r="SOY148"/>
      <c r="SOZ148"/>
      <c r="SPA148"/>
      <c r="SPB148"/>
      <c r="SPC148"/>
      <c r="SPD148"/>
      <c r="SPE148"/>
      <c r="SPF148"/>
      <c r="SPG148"/>
      <c r="SPH148"/>
      <c r="SPI148"/>
      <c r="SPJ148"/>
      <c r="SPK148"/>
      <c r="SPL148"/>
      <c r="SPM148"/>
      <c r="SPN148"/>
      <c r="SPO148"/>
      <c r="SPP148"/>
      <c r="SPQ148"/>
      <c r="SPR148"/>
      <c r="SPS148"/>
      <c r="SPT148"/>
      <c r="SPU148"/>
      <c r="SPV148"/>
      <c r="SPW148"/>
      <c r="SPX148"/>
      <c r="SPY148"/>
      <c r="SPZ148"/>
      <c r="SQA148"/>
      <c r="SQB148"/>
      <c r="SQC148"/>
      <c r="SQD148"/>
      <c r="SQE148"/>
      <c r="SQF148"/>
      <c r="SQG148"/>
      <c r="SQH148"/>
      <c r="SQI148"/>
      <c r="SQJ148"/>
      <c r="SQK148"/>
      <c r="SQL148"/>
      <c r="SQM148"/>
      <c r="SQN148"/>
      <c r="SQO148"/>
      <c r="SQP148"/>
      <c r="SQQ148"/>
      <c r="SQR148"/>
      <c r="SQS148"/>
      <c r="SQT148"/>
      <c r="SQU148"/>
      <c r="SQV148"/>
      <c r="SQW148"/>
      <c r="SQX148"/>
      <c r="SQY148"/>
      <c r="SQZ148"/>
      <c r="SRA148"/>
      <c r="SRB148"/>
      <c r="SRC148"/>
      <c r="SRD148"/>
      <c r="SRE148"/>
      <c r="SRF148"/>
      <c r="SRG148"/>
      <c r="SRH148"/>
      <c r="SRI148"/>
      <c r="SRJ148"/>
      <c r="SRK148"/>
      <c r="SRL148"/>
      <c r="SRM148"/>
      <c r="SRN148"/>
      <c r="SRO148"/>
      <c r="SRP148"/>
      <c r="SRQ148"/>
      <c r="SRR148"/>
      <c r="SRS148"/>
      <c r="SRT148"/>
      <c r="SRU148"/>
      <c r="SRV148"/>
      <c r="SRW148"/>
      <c r="SRX148"/>
      <c r="SRY148"/>
      <c r="SRZ148"/>
      <c r="SSA148"/>
      <c r="SSB148"/>
      <c r="SSC148"/>
      <c r="SSD148"/>
      <c r="SSE148"/>
      <c r="SSF148"/>
      <c r="SSG148"/>
      <c r="SSH148"/>
      <c r="SSI148"/>
      <c r="SSJ148"/>
      <c r="SSK148"/>
      <c r="SSL148"/>
      <c r="SSM148"/>
      <c r="SSN148"/>
      <c r="SSO148"/>
      <c r="SSP148"/>
      <c r="SSQ148"/>
      <c r="SSR148"/>
      <c r="SSS148"/>
      <c r="SST148"/>
      <c r="SSU148"/>
      <c r="SSV148"/>
      <c r="SSW148"/>
      <c r="SSX148"/>
      <c r="SSY148"/>
      <c r="SSZ148"/>
      <c r="STA148"/>
      <c r="STB148"/>
      <c r="STC148"/>
      <c r="STD148"/>
      <c r="STE148"/>
      <c r="STF148"/>
      <c r="STG148"/>
      <c r="STH148"/>
      <c r="STI148"/>
      <c r="STJ148"/>
      <c r="STK148"/>
      <c r="STL148"/>
      <c r="STM148"/>
      <c r="STN148"/>
      <c r="STO148"/>
      <c r="STP148"/>
      <c r="STQ148"/>
      <c r="STR148"/>
      <c r="STS148"/>
      <c r="STT148"/>
      <c r="STU148"/>
      <c r="STV148"/>
      <c r="STW148"/>
      <c r="STX148"/>
      <c r="STY148"/>
      <c r="STZ148"/>
      <c r="SUA148"/>
      <c r="SUB148"/>
      <c r="SUC148"/>
      <c r="SUD148"/>
      <c r="SUE148"/>
      <c r="SUF148"/>
      <c r="SUG148"/>
      <c r="SUH148"/>
      <c r="SUI148"/>
      <c r="SUJ148"/>
      <c r="SUK148"/>
      <c r="SUL148"/>
      <c r="SUM148"/>
      <c r="SUN148"/>
      <c r="SUO148"/>
      <c r="SUP148"/>
      <c r="SUQ148"/>
      <c r="SUR148"/>
      <c r="SUS148"/>
      <c r="SUT148"/>
      <c r="SUU148"/>
      <c r="SUV148"/>
      <c r="SUW148"/>
      <c r="SUX148"/>
      <c r="SUY148"/>
      <c r="SUZ148"/>
      <c r="SVA148"/>
      <c r="SVB148"/>
      <c r="SVC148"/>
      <c r="SVD148"/>
      <c r="SVE148"/>
      <c r="SVF148"/>
      <c r="SVG148"/>
      <c r="SVH148"/>
      <c r="SVI148"/>
      <c r="SVJ148"/>
      <c r="SVK148"/>
      <c r="SVL148"/>
      <c r="SVM148"/>
      <c r="SVN148"/>
      <c r="SVO148"/>
      <c r="SVP148"/>
      <c r="SVQ148"/>
      <c r="SVR148"/>
      <c r="SVS148"/>
      <c r="SVT148"/>
      <c r="SVU148"/>
      <c r="SVV148"/>
      <c r="SVW148"/>
      <c r="SVX148"/>
      <c r="SVY148"/>
      <c r="SVZ148"/>
      <c r="SWA148"/>
      <c r="SWB148"/>
      <c r="SWC148"/>
      <c r="SWD148"/>
      <c r="SWE148"/>
      <c r="SWF148"/>
      <c r="SWG148"/>
      <c r="SWH148"/>
      <c r="SWI148"/>
      <c r="SWJ148"/>
      <c r="SWK148"/>
      <c r="SWL148"/>
      <c r="SWM148"/>
      <c r="SWN148"/>
      <c r="SWO148"/>
      <c r="SWP148"/>
      <c r="SWQ148"/>
      <c r="SWR148"/>
      <c r="SWS148"/>
      <c r="SWT148"/>
      <c r="SWU148"/>
      <c r="SWV148"/>
      <c r="SWW148"/>
      <c r="SWX148"/>
      <c r="SWY148"/>
      <c r="SWZ148"/>
      <c r="SXA148"/>
      <c r="SXB148"/>
      <c r="SXC148"/>
      <c r="SXD148"/>
      <c r="SXE148"/>
      <c r="SXF148"/>
      <c r="SXG148"/>
      <c r="SXH148"/>
      <c r="SXI148"/>
      <c r="SXJ148"/>
      <c r="SXK148"/>
      <c r="SXL148"/>
      <c r="SXM148"/>
      <c r="SXN148"/>
      <c r="SXO148"/>
      <c r="SXP148"/>
      <c r="SXQ148"/>
      <c r="SXR148"/>
      <c r="SXS148"/>
      <c r="SXT148"/>
      <c r="SXU148"/>
      <c r="SXV148"/>
      <c r="SXW148"/>
      <c r="SXX148"/>
      <c r="SXY148"/>
      <c r="SXZ148"/>
      <c r="SYA148"/>
      <c r="SYB148"/>
      <c r="SYC148"/>
      <c r="SYD148"/>
      <c r="SYE148"/>
      <c r="SYF148"/>
      <c r="SYG148"/>
      <c r="SYH148"/>
      <c r="SYI148"/>
      <c r="SYJ148"/>
      <c r="SYK148"/>
      <c r="SYL148"/>
      <c r="SYM148"/>
      <c r="SYN148"/>
      <c r="SYO148"/>
      <c r="SYP148"/>
      <c r="SYQ148"/>
      <c r="SYR148"/>
      <c r="SYS148"/>
      <c r="SYT148"/>
      <c r="SYU148"/>
      <c r="SYV148"/>
      <c r="SYW148"/>
      <c r="SYX148"/>
      <c r="SYY148"/>
      <c r="SYZ148"/>
      <c r="SZA148"/>
      <c r="SZB148"/>
      <c r="SZC148"/>
      <c r="SZD148"/>
      <c r="SZE148"/>
      <c r="SZF148"/>
      <c r="SZG148"/>
      <c r="SZH148"/>
      <c r="SZI148"/>
      <c r="SZJ148"/>
      <c r="SZK148"/>
      <c r="SZL148"/>
      <c r="SZM148"/>
      <c r="SZN148"/>
      <c r="SZO148"/>
      <c r="SZP148"/>
      <c r="SZQ148"/>
      <c r="SZR148"/>
      <c r="SZS148"/>
      <c r="SZT148"/>
      <c r="SZU148"/>
      <c r="SZV148"/>
      <c r="SZW148"/>
      <c r="SZX148"/>
      <c r="SZY148"/>
      <c r="SZZ148"/>
      <c r="TAA148"/>
      <c r="TAB148"/>
      <c r="TAC148"/>
      <c r="TAD148"/>
      <c r="TAE148"/>
      <c r="TAF148"/>
      <c r="TAG148"/>
      <c r="TAH148"/>
      <c r="TAI148"/>
      <c r="TAJ148"/>
      <c r="TAK148"/>
      <c r="TAL148"/>
      <c r="TAM148"/>
      <c r="TAN148"/>
      <c r="TAO148"/>
      <c r="TAP148"/>
      <c r="TAQ148"/>
      <c r="TAR148"/>
      <c r="TAS148"/>
      <c r="TAT148"/>
      <c r="TAU148"/>
      <c r="TAV148"/>
      <c r="TAW148"/>
      <c r="TAX148"/>
      <c r="TAY148"/>
      <c r="TAZ148"/>
      <c r="TBA148"/>
      <c r="TBB148"/>
      <c r="TBC148"/>
      <c r="TBD148"/>
      <c r="TBE148"/>
      <c r="TBF148"/>
      <c r="TBG148"/>
      <c r="TBH148"/>
      <c r="TBI148"/>
      <c r="TBJ148"/>
      <c r="TBK148"/>
      <c r="TBL148"/>
      <c r="TBM148"/>
      <c r="TBN148"/>
      <c r="TBO148"/>
      <c r="TBP148"/>
      <c r="TBQ148"/>
      <c r="TBR148"/>
      <c r="TBS148"/>
      <c r="TBT148"/>
      <c r="TBU148"/>
      <c r="TBV148"/>
      <c r="TBW148"/>
      <c r="TBX148"/>
      <c r="TBY148"/>
      <c r="TBZ148"/>
      <c r="TCA148"/>
      <c r="TCB148"/>
      <c r="TCC148"/>
      <c r="TCD148"/>
      <c r="TCE148"/>
      <c r="TCF148"/>
      <c r="TCG148"/>
      <c r="TCH148"/>
      <c r="TCI148"/>
      <c r="TCJ148"/>
      <c r="TCK148"/>
      <c r="TCL148"/>
      <c r="TCM148"/>
      <c r="TCN148"/>
      <c r="TCO148"/>
      <c r="TCP148"/>
      <c r="TCQ148"/>
      <c r="TCR148"/>
      <c r="TCS148"/>
      <c r="TCT148"/>
      <c r="TCU148"/>
      <c r="TCV148"/>
      <c r="TCW148"/>
      <c r="TCX148"/>
      <c r="TCY148"/>
      <c r="TCZ148"/>
      <c r="TDA148"/>
      <c r="TDB148"/>
      <c r="TDC148"/>
      <c r="TDD148"/>
      <c r="TDE148"/>
      <c r="TDF148"/>
      <c r="TDG148"/>
      <c r="TDH148"/>
      <c r="TDI148"/>
      <c r="TDJ148"/>
      <c r="TDK148"/>
      <c r="TDL148"/>
      <c r="TDM148"/>
      <c r="TDN148"/>
      <c r="TDO148"/>
      <c r="TDP148"/>
      <c r="TDQ148"/>
      <c r="TDR148"/>
      <c r="TDS148"/>
      <c r="TDT148"/>
      <c r="TDU148"/>
      <c r="TDV148"/>
      <c r="TDW148"/>
      <c r="TDX148"/>
      <c r="TDY148"/>
      <c r="TDZ148"/>
      <c r="TEA148"/>
      <c r="TEB148"/>
      <c r="TEC148"/>
      <c r="TED148"/>
      <c r="TEE148"/>
      <c r="TEF148"/>
      <c r="TEG148"/>
      <c r="TEH148"/>
      <c r="TEI148"/>
      <c r="TEJ148"/>
      <c r="TEK148"/>
      <c r="TEL148"/>
      <c r="TEM148"/>
      <c r="TEN148"/>
      <c r="TEO148"/>
      <c r="TEP148"/>
      <c r="TEQ148"/>
      <c r="TER148"/>
      <c r="TES148"/>
      <c r="TET148"/>
      <c r="TEU148"/>
      <c r="TEV148"/>
      <c r="TEW148"/>
      <c r="TEX148"/>
      <c r="TEY148"/>
      <c r="TEZ148"/>
      <c r="TFA148"/>
      <c r="TFB148"/>
      <c r="TFC148"/>
      <c r="TFD148"/>
      <c r="TFE148"/>
      <c r="TFF148"/>
      <c r="TFG148"/>
      <c r="TFH148"/>
      <c r="TFI148"/>
      <c r="TFJ148"/>
      <c r="TFK148"/>
      <c r="TFL148"/>
      <c r="TFM148"/>
      <c r="TFN148"/>
      <c r="TFO148"/>
      <c r="TFP148"/>
      <c r="TFQ148"/>
      <c r="TFR148"/>
      <c r="TFS148"/>
      <c r="TFT148"/>
      <c r="TFU148"/>
      <c r="TFV148"/>
      <c r="TFW148"/>
      <c r="TFX148"/>
      <c r="TFY148"/>
      <c r="TFZ148"/>
      <c r="TGA148"/>
      <c r="TGB148"/>
      <c r="TGC148"/>
      <c r="TGD148"/>
      <c r="TGE148"/>
      <c r="TGF148"/>
      <c r="TGG148"/>
      <c r="TGH148"/>
      <c r="TGI148"/>
      <c r="TGJ148"/>
      <c r="TGK148"/>
      <c r="TGL148"/>
      <c r="TGM148"/>
      <c r="TGN148"/>
      <c r="TGO148"/>
      <c r="TGP148"/>
      <c r="TGQ148"/>
      <c r="TGR148"/>
      <c r="TGS148"/>
      <c r="TGT148"/>
      <c r="TGU148"/>
      <c r="TGV148"/>
      <c r="TGW148"/>
      <c r="TGX148"/>
      <c r="TGY148"/>
      <c r="TGZ148"/>
      <c r="THA148"/>
      <c r="THB148"/>
      <c r="THC148"/>
      <c r="THD148"/>
      <c r="THE148"/>
      <c r="THF148"/>
      <c r="THG148"/>
      <c r="THH148"/>
      <c r="THI148"/>
      <c r="THJ148"/>
      <c r="THK148"/>
      <c r="THL148"/>
      <c r="THM148"/>
      <c r="THN148"/>
      <c r="THO148"/>
      <c r="THP148"/>
      <c r="THQ148"/>
      <c r="THR148"/>
      <c r="THS148"/>
      <c r="THT148"/>
      <c r="THU148"/>
      <c r="THV148"/>
      <c r="THW148"/>
      <c r="THX148"/>
      <c r="THY148"/>
      <c r="THZ148"/>
      <c r="TIA148"/>
      <c r="TIB148"/>
      <c r="TIC148"/>
      <c r="TID148"/>
      <c r="TIE148"/>
      <c r="TIF148"/>
      <c r="TIG148"/>
      <c r="TIH148"/>
      <c r="TII148"/>
      <c r="TIJ148"/>
      <c r="TIK148"/>
      <c r="TIL148"/>
      <c r="TIM148"/>
      <c r="TIN148"/>
      <c r="TIO148"/>
      <c r="TIP148"/>
      <c r="TIQ148"/>
      <c r="TIR148"/>
      <c r="TIS148"/>
      <c r="TIT148"/>
      <c r="TIU148"/>
      <c r="TIV148"/>
      <c r="TIW148"/>
      <c r="TIX148"/>
      <c r="TIY148"/>
      <c r="TIZ148"/>
      <c r="TJA148"/>
      <c r="TJB148"/>
      <c r="TJC148"/>
      <c r="TJD148"/>
      <c r="TJE148"/>
      <c r="TJF148"/>
      <c r="TJG148"/>
      <c r="TJH148"/>
      <c r="TJI148"/>
      <c r="TJJ148"/>
      <c r="TJK148"/>
      <c r="TJL148"/>
      <c r="TJM148"/>
      <c r="TJN148"/>
      <c r="TJO148"/>
      <c r="TJP148"/>
      <c r="TJQ148"/>
      <c r="TJR148"/>
      <c r="TJS148"/>
      <c r="TJT148"/>
      <c r="TJU148"/>
      <c r="TJV148"/>
      <c r="TJW148"/>
      <c r="TJX148"/>
      <c r="TJY148"/>
      <c r="TJZ148"/>
      <c r="TKA148"/>
      <c r="TKB148"/>
      <c r="TKC148"/>
      <c r="TKD148"/>
      <c r="TKE148"/>
      <c r="TKF148"/>
      <c r="TKG148"/>
      <c r="TKH148"/>
      <c r="TKI148"/>
      <c r="TKJ148"/>
      <c r="TKK148"/>
      <c r="TKL148"/>
      <c r="TKM148"/>
      <c r="TKN148"/>
      <c r="TKO148"/>
      <c r="TKP148"/>
      <c r="TKQ148"/>
      <c r="TKR148"/>
      <c r="TKS148"/>
      <c r="TKT148"/>
      <c r="TKU148"/>
      <c r="TKV148"/>
      <c r="TKW148"/>
      <c r="TKX148"/>
      <c r="TKY148"/>
      <c r="TKZ148"/>
      <c r="TLA148"/>
      <c r="TLB148"/>
      <c r="TLC148"/>
      <c r="TLD148"/>
      <c r="TLE148"/>
      <c r="TLF148"/>
      <c r="TLG148"/>
      <c r="TLH148"/>
      <c r="TLI148"/>
      <c r="TLJ148"/>
      <c r="TLK148"/>
      <c r="TLL148"/>
      <c r="TLM148"/>
      <c r="TLN148"/>
      <c r="TLO148"/>
      <c r="TLP148"/>
      <c r="TLQ148"/>
      <c r="TLR148"/>
      <c r="TLS148"/>
      <c r="TLT148"/>
      <c r="TLU148"/>
      <c r="TLV148"/>
      <c r="TLW148"/>
      <c r="TLX148"/>
      <c r="TLY148"/>
      <c r="TLZ148"/>
      <c r="TMA148"/>
      <c r="TMB148"/>
      <c r="TMC148"/>
      <c r="TMD148"/>
      <c r="TME148"/>
      <c r="TMF148"/>
      <c r="TMG148"/>
      <c r="TMH148"/>
      <c r="TMI148"/>
      <c r="TMJ148"/>
      <c r="TMK148"/>
      <c r="TML148"/>
      <c r="TMM148"/>
      <c r="TMN148"/>
      <c r="TMO148"/>
      <c r="TMP148"/>
      <c r="TMQ148"/>
      <c r="TMR148"/>
      <c r="TMS148"/>
      <c r="TMT148"/>
      <c r="TMU148"/>
      <c r="TMV148"/>
      <c r="TMW148"/>
      <c r="TMX148"/>
      <c r="TMY148"/>
      <c r="TMZ148"/>
      <c r="TNA148"/>
      <c r="TNB148"/>
      <c r="TNC148"/>
      <c r="TND148"/>
      <c r="TNE148"/>
      <c r="TNF148"/>
      <c r="TNG148"/>
      <c r="TNH148"/>
      <c r="TNI148"/>
      <c r="TNJ148"/>
      <c r="TNK148"/>
      <c r="TNL148"/>
      <c r="TNM148"/>
      <c r="TNN148"/>
      <c r="TNO148"/>
      <c r="TNP148"/>
      <c r="TNQ148"/>
      <c r="TNR148"/>
      <c r="TNS148"/>
      <c r="TNT148"/>
      <c r="TNU148"/>
      <c r="TNV148"/>
      <c r="TNW148"/>
      <c r="TNX148"/>
      <c r="TNY148"/>
      <c r="TNZ148"/>
      <c r="TOA148"/>
      <c r="TOB148"/>
      <c r="TOC148"/>
      <c r="TOD148"/>
      <c r="TOE148"/>
      <c r="TOF148"/>
      <c r="TOG148"/>
      <c r="TOH148"/>
      <c r="TOI148"/>
      <c r="TOJ148"/>
      <c r="TOK148"/>
      <c r="TOL148"/>
      <c r="TOM148"/>
      <c r="TON148"/>
      <c r="TOO148"/>
      <c r="TOP148"/>
      <c r="TOQ148"/>
      <c r="TOR148"/>
      <c r="TOS148"/>
      <c r="TOT148"/>
      <c r="TOU148"/>
      <c r="TOV148"/>
      <c r="TOW148"/>
      <c r="TOX148"/>
      <c r="TOY148"/>
      <c r="TOZ148"/>
      <c r="TPA148"/>
      <c r="TPB148"/>
      <c r="TPC148"/>
      <c r="TPD148"/>
      <c r="TPE148"/>
      <c r="TPF148"/>
      <c r="TPG148"/>
      <c r="TPH148"/>
      <c r="TPI148"/>
      <c r="TPJ148"/>
      <c r="TPK148"/>
      <c r="TPL148"/>
      <c r="TPM148"/>
      <c r="TPN148"/>
      <c r="TPO148"/>
      <c r="TPP148"/>
      <c r="TPQ148"/>
      <c r="TPR148"/>
      <c r="TPS148"/>
      <c r="TPT148"/>
      <c r="TPU148"/>
      <c r="TPV148"/>
      <c r="TPW148"/>
      <c r="TPX148"/>
      <c r="TPY148"/>
      <c r="TPZ148"/>
      <c r="TQA148"/>
      <c r="TQB148"/>
      <c r="TQC148"/>
      <c r="TQD148"/>
      <c r="TQE148"/>
      <c r="TQF148"/>
      <c r="TQG148"/>
      <c r="TQH148"/>
      <c r="TQI148"/>
      <c r="TQJ148"/>
      <c r="TQK148"/>
      <c r="TQL148"/>
      <c r="TQM148"/>
      <c r="TQN148"/>
      <c r="TQO148"/>
      <c r="TQP148"/>
      <c r="TQQ148"/>
      <c r="TQR148"/>
      <c r="TQS148"/>
      <c r="TQT148"/>
      <c r="TQU148"/>
      <c r="TQV148"/>
      <c r="TQW148"/>
      <c r="TQX148"/>
      <c r="TQY148"/>
      <c r="TQZ148"/>
      <c r="TRA148"/>
      <c r="TRB148"/>
      <c r="TRC148"/>
      <c r="TRD148"/>
      <c r="TRE148"/>
      <c r="TRF148"/>
      <c r="TRG148"/>
      <c r="TRH148"/>
      <c r="TRI148"/>
      <c r="TRJ148"/>
      <c r="TRK148"/>
      <c r="TRL148"/>
      <c r="TRM148"/>
      <c r="TRN148"/>
      <c r="TRO148"/>
      <c r="TRP148"/>
      <c r="TRQ148"/>
      <c r="TRR148"/>
      <c r="TRS148"/>
      <c r="TRT148"/>
      <c r="TRU148"/>
      <c r="TRV148"/>
      <c r="TRW148"/>
      <c r="TRX148"/>
      <c r="TRY148"/>
      <c r="TRZ148"/>
      <c r="TSA148"/>
      <c r="TSB148"/>
      <c r="TSC148"/>
      <c r="TSD148"/>
      <c r="TSE148"/>
      <c r="TSF148"/>
      <c r="TSG148"/>
      <c r="TSH148"/>
      <c r="TSI148"/>
      <c r="TSJ148"/>
      <c r="TSK148"/>
      <c r="TSL148"/>
      <c r="TSM148"/>
      <c r="TSN148"/>
      <c r="TSO148"/>
      <c r="TSP148"/>
      <c r="TSQ148"/>
      <c r="TSR148"/>
      <c r="TSS148"/>
      <c r="TST148"/>
      <c r="TSU148"/>
      <c r="TSV148"/>
      <c r="TSW148"/>
      <c r="TSX148"/>
      <c r="TSY148"/>
      <c r="TSZ148"/>
      <c r="TTA148"/>
      <c r="TTB148"/>
      <c r="TTC148"/>
      <c r="TTD148"/>
      <c r="TTE148"/>
      <c r="TTF148"/>
      <c r="TTG148"/>
      <c r="TTH148"/>
      <c r="TTI148"/>
      <c r="TTJ148"/>
      <c r="TTK148"/>
      <c r="TTL148"/>
      <c r="TTM148"/>
      <c r="TTN148"/>
      <c r="TTO148"/>
      <c r="TTP148"/>
      <c r="TTQ148"/>
      <c r="TTR148"/>
      <c r="TTS148"/>
      <c r="TTT148"/>
      <c r="TTU148"/>
      <c r="TTV148"/>
      <c r="TTW148"/>
      <c r="TTX148"/>
      <c r="TTY148"/>
      <c r="TTZ148"/>
      <c r="TUA148"/>
      <c r="TUB148"/>
      <c r="TUC148"/>
      <c r="TUD148"/>
      <c r="TUE148"/>
      <c r="TUF148"/>
      <c r="TUG148"/>
      <c r="TUH148"/>
      <c r="TUI148"/>
      <c r="TUJ148"/>
      <c r="TUK148"/>
      <c r="TUL148"/>
      <c r="TUM148"/>
      <c r="TUN148"/>
      <c r="TUO148"/>
      <c r="TUP148"/>
      <c r="TUQ148"/>
      <c r="TUR148"/>
      <c r="TUS148"/>
      <c r="TUT148"/>
      <c r="TUU148"/>
      <c r="TUV148"/>
      <c r="TUW148"/>
      <c r="TUX148"/>
      <c r="TUY148"/>
      <c r="TUZ148"/>
      <c r="TVA148"/>
      <c r="TVB148"/>
      <c r="TVC148"/>
      <c r="TVD148"/>
      <c r="TVE148"/>
      <c r="TVF148"/>
      <c r="TVG148"/>
      <c r="TVH148"/>
      <c r="TVI148"/>
      <c r="TVJ148"/>
      <c r="TVK148"/>
      <c r="TVL148"/>
      <c r="TVM148"/>
      <c r="TVN148"/>
      <c r="TVO148"/>
      <c r="TVP148"/>
      <c r="TVQ148"/>
      <c r="TVR148"/>
      <c r="TVS148"/>
      <c r="TVT148"/>
      <c r="TVU148"/>
      <c r="TVV148"/>
      <c r="TVW148"/>
      <c r="TVX148"/>
      <c r="TVY148"/>
      <c r="TVZ148"/>
      <c r="TWA148"/>
      <c r="TWB148"/>
      <c r="TWC148"/>
      <c r="TWD148"/>
      <c r="TWE148"/>
      <c r="TWF148"/>
      <c r="TWG148"/>
      <c r="TWH148"/>
      <c r="TWI148"/>
      <c r="TWJ148"/>
      <c r="TWK148"/>
      <c r="TWL148"/>
      <c r="TWM148"/>
      <c r="TWN148"/>
      <c r="TWO148"/>
      <c r="TWP148"/>
      <c r="TWQ148"/>
      <c r="TWR148"/>
      <c r="TWS148"/>
      <c r="TWT148"/>
      <c r="TWU148"/>
      <c r="TWV148"/>
      <c r="TWW148"/>
      <c r="TWX148"/>
      <c r="TWY148"/>
      <c r="TWZ148"/>
      <c r="TXA148"/>
      <c r="TXB148"/>
      <c r="TXC148"/>
      <c r="TXD148"/>
      <c r="TXE148"/>
      <c r="TXF148"/>
      <c r="TXG148"/>
      <c r="TXH148"/>
      <c r="TXI148"/>
      <c r="TXJ148"/>
      <c r="TXK148"/>
      <c r="TXL148"/>
      <c r="TXM148"/>
      <c r="TXN148"/>
      <c r="TXO148"/>
      <c r="TXP148"/>
      <c r="TXQ148"/>
      <c r="TXR148"/>
      <c r="TXS148"/>
      <c r="TXT148"/>
      <c r="TXU148"/>
      <c r="TXV148"/>
      <c r="TXW148"/>
      <c r="TXX148"/>
      <c r="TXY148"/>
      <c r="TXZ148"/>
      <c r="TYA148"/>
      <c r="TYB148"/>
      <c r="TYC148"/>
      <c r="TYD148"/>
      <c r="TYE148"/>
      <c r="TYF148"/>
      <c r="TYG148"/>
      <c r="TYH148"/>
      <c r="TYI148"/>
      <c r="TYJ148"/>
      <c r="TYK148"/>
      <c r="TYL148"/>
      <c r="TYM148"/>
      <c r="TYN148"/>
      <c r="TYO148"/>
      <c r="TYP148"/>
      <c r="TYQ148"/>
      <c r="TYR148"/>
      <c r="TYS148"/>
      <c r="TYT148"/>
      <c r="TYU148"/>
      <c r="TYV148"/>
      <c r="TYW148"/>
      <c r="TYX148"/>
      <c r="TYY148"/>
      <c r="TYZ148"/>
      <c r="TZA148"/>
      <c r="TZB148"/>
      <c r="TZC148"/>
      <c r="TZD148"/>
      <c r="TZE148"/>
      <c r="TZF148"/>
      <c r="TZG148"/>
      <c r="TZH148"/>
      <c r="TZI148"/>
      <c r="TZJ148"/>
      <c r="TZK148"/>
      <c r="TZL148"/>
      <c r="TZM148"/>
      <c r="TZN148"/>
      <c r="TZO148"/>
      <c r="TZP148"/>
      <c r="TZQ148"/>
      <c r="TZR148"/>
      <c r="TZS148"/>
      <c r="TZT148"/>
      <c r="TZU148"/>
      <c r="TZV148"/>
      <c r="TZW148"/>
      <c r="TZX148"/>
      <c r="TZY148"/>
      <c r="TZZ148"/>
      <c r="UAA148"/>
      <c r="UAB148"/>
      <c r="UAC148"/>
      <c r="UAD148"/>
      <c r="UAE148"/>
      <c r="UAF148"/>
      <c r="UAG148"/>
      <c r="UAH148"/>
      <c r="UAI148"/>
      <c r="UAJ148"/>
      <c r="UAK148"/>
      <c r="UAL148"/>
      <c r="UAM148"/>
      <c r="UAN148"/>
      <c r="UAO148"/>
      <c r="UAP148"/>
      <c r="UAQ148"/>
      <c r="UAR148"/>
      <c r="UAS148"/>
      <c r="UAT148"/>
      <c r="UAU148"/>
      <c r="UAV148"/>
      <c r="UAW148"/>
      <c r="UAX148"/>
      <c r="UAY148"/>
      <c r="UAZ148"/>
      <c r="UBA148"/>
      <c r="UBB148"/>
      <c r="UBC148"/>
      <c r="UBD148"/>
      <c r="UBE148"/>
      <c r="UBF148"/>
      <c r="UBG148"/>
      <c r="UBH148"/>
      <c r="UBI148"/>
      <c r="UBJ148"/>
      <c r="UBK148"/>
      <c r="UBL148"/>
      <c r="UBM148"/>
      <c r="UBN148"/>
      <c r="UBO148"/>
      <c r="UBP148"/>
      <c r="UBQ148"/>
      <c r="UBR148"/>
      <c r="UBS148"/>
      <c r="UBT148"/>
      <c r="UBU148"/>
      <c r="UBV148"/>
      <c r="UBW148"/>
      <c r="UBX148"/>
      <c r="UBY148"/>
      <c r="UBZ148"/>
      <c r="UCA148"/>
      <c r="UCB148"/>
      <c r="UCC148"/>
      <c r="UCD148"/>
      <c r="UCE148"/>
      <c r="UCF148"/>
      <c r="UCG148"/>
      <c r="UCH148"/>
      <c r="UCI148"/>
      <c r="UCJ148"/>
      <c r="UCK148"/>
      <c r="UCL148"/>
      <c r="UCM148"/>
      <c r="UCN148"/>
      <c r="UCO148"/>
      <c r="UCP148"/>
      <c r="UCQ148"/>
      <c r="UCR148"/>
      <c r="UCS148"/>
      <c r="UCT148"/>
      <c r="UCU148"/>
      <c r="UCV148"/>
      <c r="UCW148"/>
      <c r="UCX148"/>
      <c r="UCY148"/>
      <c r="UCZ148"/>
      <c r="UDA148"/>
      <c r="UDB148"/>
      <c r="UDC148"/>
      <c r="UDD148"/>
      <c r="UDE148"/>
      <c r="UDF148"/>
      <c r="UDG148"/>
      <c r="UDH148"/>
      <c r="UDI148"/>
      <c r="UDJ148"/>
      <c r="UDK148"/>
      <c r="UDL148"/>
      <c r="UDM148"/>
      <c r="UDN148"/>
      <c r="UDO148"/>
      <c r="UDP148"/>
      <c r="UDQ148"/>
      <c r="UDR148"/>
      <c r="UDS148"/>
      <c r="UDT148"/>
      <c r="UDU148"/>
      <c r="UDV148"/>
      <c r="UDW148"/>
      <c r="UDX148"/>
      <c r="UDY148"/>
      <c r="UDZ148"/>
      <c r="UEA148"/>
      <c r="UEB148"/>
      <c r="UEC148"/>
      <c r="UED148"/>
      <c r="UEE148"/>
      <c r="UEF148"/>
      <c r="UEG148"/>
      <c r="UEH148"/>
      <c r="UEI148"/>
      <c r="UEJ148"/>
      <c r="UEK148"/>
      <c r="UEL148"/>
      <c r="UEM148"/>
      <c r="UEN148"/>
      <c r="UEO148"/>
      <c r="UEP148"/>
      <c r="UEQ148"/>
      <c r="UER148"/>
      <c r="UES148"/>
      <c r="UET148"/>
      <c r="UEU148"/>
      <c r="UEV148"/>
      <c r="UEW148"/>
      <c r="UEX148"/>
      <c r="UEY148"/>
      <c r="UEZ148"/>
      <c r="UFA148"/>
      <c r="UFB148"/>
      <c r="UFC148"/>
      <c r="UFD148"/>
      <c r="UFE148"/>
      <c r="UFF148"/>
      <c r="UFG148"/>
      <c r="UFH148"/>
      <c r="UFI148"/>
      <c r="UFJ148"/>
      <c r="UFK148"/>
      <c r="UFL148"/>
      <c r="UFM148"/>
      <c r="UFN148"/>
      <c r="UFO148"/>
      <c r="UFP148"/>
      <c r="UFQ148"/>
      <c r="UFR148"/>
      <c r="UFS148"/>
      <c r="UFT148"/>
      <c r="UFU148"/>
      <c r="UFV148"/>
      <c r="UFW148"/>
      <c r="UFX148"/>
      <c r="UFY148"/>
      <c r="UFZ148"/>
      <c r="UGA148"/>
      <c r="UGB148"/>
      <c r="UGC148"/>
      <c r="UGD148"/>
      <c r="UGE148"/>
      <c r="UGF148"/>
      <c r="UGG148"/>
      <c r="UGH148"/>
      <c r="UGI148"/>
      <c r="UGJ148"/>
      <c r="UGK148"/>
      <c r="UGL148"/>
      <c r="UGM148"/>
      <c r="UGN148"/>
      <c r="UGO148"/>
      <c r="UGP148"/>
      <c r="UGQ148"/>
      <c r="UGR148"/>
      <c r="UGS148"/>
      <c r="UGT148"/>
      <c r="UGU148"/>
      <c r="UGV148"/>
      <c r="UGW148"/>
      <c r="UGX148"/>
      <c r="UGY148"/>
      <c r="UGZ148"/>
      <c r="UHA148"/>
      <c r="UHB148"/>
      <c r="UHC148"/>
      <c r="UHD148"/>
      <c r="UHE148"/>
      <c r="UHF148"/>
      <c r="UHG148"/>
      <c r="UHH148"/>
      <c r="UHI148"/>
      <c r="UHJ148"/>
      <c r="UHK148"/>
      <c r="UHL148"/>
      <c r="UHM148"/>
      <c r="UHN148"/>
      <c r="UHO148"/>
      <c r="UHP148"/>
      <c r="UHQ148"/>
      <c r="UHR148"/>
      <c r="UHS148"/>
      <c r="UHT148"/>
      <c r="UHU148"/>
      <c r="UHV148"/>
      <c r="UHW148"/>
      <c r="UHX148"/>
      <c r="UHY148"/>
      <c r="UHZ148"/>
      <c r="UIA148"/>
      <c r="UIB148"/>
      <c r="UIC148"/>
      <c r="UID148"/>
      <c r="UIE148"/>
      <c r="UIF148"/>
      <c r="UIG148"/>
      <c r="UIH148"/>
      <c r="UII148"/>
      <c r="UIJ148"/>
      <c r="UIK148"/>
      <c r="UIL148"/>
      <c r="UIM148"/>
      <c r="UIN148"/>
      <c r="UIO148"/>
      <c r="UIP148"/>
      <c r="UIQ148"/>
      <c r="UIR148"/>
      <c r="UIS148"/>
      <c r="UIT148"/>
      <c r="UIU148"/>
      <c r="UIV148"/>
      <c r="UIW148"/>
      <c r="UIX148"/>
      <c r="UIY148"/>
      <c r="UIZ148"/>
      <c r="UJA148"/>
      <c r="UJB148"/>
      <c r="UJC148"/>
      <c r="UJD148"/>
      <c r="UJE148"/>
      <c r="UJF148"/>
      <c r="UJG148"/>
      <c r="UJH148"/>
      <c r="UJI148"/>
      <c r="UJJ148"/>
      <c r="UJK148"/>
      <c r="UJL148"/>
      <c r="UJM148"/>
      <c r="UJN148"/>
      <c r="UJO148"/>
      <c r="UJP148"/>
      <c r="UJQ148"/>
      <c r="UJR148"/>
      <c r="UJS148"/>
      <c r="UJT148"/>
      <c r="UJU148"/>
      <c r="UJV148"/>
      <c r="UJW148"/>
      <c r="UJX148"/>
      <c r="UJY148"/>
      <c r="UJZ148"/>
      <c r="UKA148"/>
      <c r="UKB148"/>
      <c r="UKC148"/>
      <c r="UKD148"/>
      <c r="UKE148"/>
      <c r="UKF148"/>
      <c r="UKG148"/>
      <c r="UKH148"/>
      <c r="UKI148"/>
      <c r="UKJ148"/>
      <c r="UKK148"/>
      <c r="UKL148"/>
      <c r="UKM148"/>
      <c r="UKN148"/>
      <c r="UKO148"/>
      <c r="UKP148"/>
      <c r="UKQ148"/>
      <c r="UKR148"/>
      <c r="UKS148"/>
      <c r="UKT148"/>
      <c r="UKU148"/>
      <c r="UKV148"/>
      <c r="UKW148"/>
      <c r="UKX148"/>
      <c r="UKY148"/>
      <c r="UKZ148"/>
      <c r="ULA148"/>
      <c r="ULB148"/>
      <c r="ULC148"/>
      <c r="ULD148"/>
      <c r="ULE148"/>
      <c r="ULF148"/>
      <c r="ULG148"/>
      <c r="ULH148"/>
      <c r="ULI148"/>
      <c r="ULJ148"/>
      <c r="ULK148"/>
      <c r="ULL148"/>
      <c r="ULM148"/>
      <c r="ULN148"/>
      <c r="ULO148"/>
      <c r="ULP148"/>
      <c r="ULQ148"/>
      <c r="ULR148"/>
      <c r="ULS148"/>
      <c r="ULT148"/>
      <c r="ULU148"/>
      <c r="ULV148"/>
      <c r="ULW148"/>
      <c r="ULX148"/>
      <c r="ULY148"/>
      <c r="ULZ148"/>
      <c r="UMA148"/>
      <c r="UMB148"/>
      <c r="UMC148"/>
      <c r="UMD148"/>
      <c r="UME148"/>
      <c r="UMF148"/>
      <c r="UMG148"/>
      <c r="UMH148"/>
      <c r="UMI148"/>
      <c r="UMJ148"/>
      <c r="UMK148"/>
      <c r="UML148"/>
      <c r="UMM148"/>
      <c r="UMN148"/>
      <c r="UMO148"/>
      <c r="UMP148"/>
      <c r="UMQ148"/>
      <c r="UMR148"/>
      <c r="UMS148"/>
      <c r="UMT148"/>
      <c r="UMU148"/>
      <c r="UMV148"/>
      <c r="UMW148"/>
      <c r="UMX148"/>
      <c r="UMY148"/>
      <c r="UMZ148"/>
      <c r="UNA148"/>
      <c r="UNB148"/>
      <c r="UNC148"/>
      <c r="UND148"/>
      <c r="UNE148"/>
      <c r="UNF148"/>
      <c r="UNG148"/>
      <c r="UNH148"/>
      <c r="UNI148"/>
      <c r="UNJ148"/>
      <c r="UNK148"/>
      <c r="UNL148"/>
      <c r="UNM148"/>
      <c r="UNN148"/>
      <c r="UNO148"/>
      <c r="UNP148"/>
      <c r="UNQ148"/>
      <c r="UNR148"/>
      <c r="UNS148"/>
      <c r="UNT148"/>
      <c r="UNU148"/>
      <c r="UNV148"/>
      <c r="UNW148"/>
      <c r="UNX148"/>
      <c r="UNY148"/>
      <c r="UNZ148"/>
      <c r="UOA148"/>
      <c r="UOB148"/>
      <c r="UOC148"/>
      <c r="UOD148"/>
      <c r="UOE148"/>
      <c r="UOF148"/>
      <c r="UOG148"/>
      <c r="UOH148"/>
      <c r="UOI148"/>
      <c r="UOJ148"/>
      <c r="UOK148"/>
      <c r="UOL148"/>
      <c r="UOM148"/>
      <c r="UON148"/>
      <c r="UOO148"/>
      <c r="UOP148"/>
      <c r="UOQ148"/>
      <c r="UOR148"/>
      <c r="UOS148"/>
      <c r="UOT148"/>
      <c r="UOU148"/>
      <c r="UOV148"/>
      <c r="UOW148"/>
      <c r="UOX148"/>
      <c r="UOY148"/>
      <c r="UOZ148"/>
      <c r="UPA148"/>
      <c r="UPB148"/>
      <c r="UPC148"/>
      <c r="UPD148"/>
      <c r="UPE148"/>
      <c r="UPF148"/>
      <c r="UPG148"/>
      <c r="UPH148"/>
      <c r="UPI148"/>
      <c r="UPJ148"/>
      <c r="UPK148"/>
      <c r="UPL148"/>
      <c r="UPM148"/>
      <c r="UPN148"/>
      <c r="UPO148"/>
      <c r="UPP148"/>
      <c r="UPQ148"/>
      <c r="UPR148"/>
      <c r="UPS148"/>
      <c r="UPT148"/>
      <c r="UPU148"/>
      <c r="UPV148"/>
      <c r="UPW148"/>
      <c r="UPX148"/>
      <c r="UPY148"/>
      <c r="UPZ148"/>
      <c r="UQA148"/>
      <c r="UQB148"/>
      <c r="UQC148"/>
      <c r="UQD148"/>
      <c r="UQE148"/>
      <c r="UQF148"/>
      <c r="UQG148"/>
      <c r="UQH148"/>
      <c r="UQI148"/>
      <c r="UQJ148"/>
      <c r="UQK148"/>
      <c r="UQL148"/>
      <c r="UQM148"/>
      <c r="UQN148"/>
      <c r="UQO148"/>
      <c r="UQP148"/>
      <c r="UQQ148"/>
      <c r="UQR148"/>
      <c r="UQS148"/>
      <c r="UQT148"/>
      <c r="UQU148"/>
      <c r="UQV148"/>
      <c r="UQW148"/>
      <c r="UQX148"/>
      <c r="UQY148"/>
      <c r="UQZ148"/>
      <c r="URA148"/>
      <c r="URB148"/>
      <c r="URC148"/>
      <c r="URD148"/>
      <c r="URE148"/>
      <c r="URF148"/>
      <c r="URG148"/>
      <c r="URH148"/>
      <c r="URI148"/>
      <c r="URJ148"/>
      <c r="URK148"/>
      <c r="URL148"/>
      <c r="URM148"/>
      <c r="URN148"/>
      <c r="URO148"/>
      <c r="URP148"/>
      <c r="URQ148"/>
      <c r="URR148"/>
      <c r="URS148"/>
      <c r="URT148"/>
      <c r="URU148"/>
      <c r="URV148"/>
      <c r="URW148"/>
      <c r="URX148"/>
      <c r="URY148"/>
      <c r="URZ148"/>
      <c r="USA148"/>
      <c r="USB148"/>
      <c r="USC148"/>
      <c r="USD148"/>
      <c r="USE148"/>
      <c r="USF148"/>
      <c r="USG148"/>
      <c r="USH148"/>
      <c r="USI148"/>
      <c r="USJ148"/>
      <c r="USK148"/>
      <c r="USL148"/>
      <c r="USM148"/>
      <c r="USN148"/>
      <c r="USO148"/>
      <c r="USP148"/>
      <c r="USQ148"/>
      <c r="USR148"/>
      <c r="USS148"/>
      <c r="UST148"/>
      <c r="USU148"/>
      <c r="USV148"/>
      <c r="USW148"/>
      <c r="USX148"/>
      <c r="USY148"/>
      <c r="USZ148"/>
      <c r="UTA148"/>
      <c r="UTB148"/>
      <c r="UTC148"/>
      <c r="UTD148"/>
      <c r="UTE148"/>
      <c r="UTF148"/>
      <c r="UTG148"/>
      <c r="UTH148"/>
      <c r="UTI148"/>
      <c r="UTJ148"/>
      <c r="UTK148"/>
      <c r="UTL148"/>
      <c r="UTM148"/>
      <c r="UTN148"/>
      <c r="UTO148"/>
      <c r="UTP148"/>
      <c r="UTQ148"/>
      <c r="UTR148"/>
      <c r="UTS148"/>
      <c r="UTT148"/>
      <c r="UTU148"/>
      <c r="UTV148"/>
      <c r="UTW148"/>
      <c r="UTX148"/>
      <c r="UTY148"/>
      <c r="UTZ148"/>
      <c r="UUA148"/>
      <c r="UUB148"/>
      <c r="UUC148"/>
      <c r="UUD148"/>
      <c r="UUE148"/>
      <c r="UUF148"/>
      <c r="UUG148"/>
      <c r="UUH148"/>
      <c r="UUI148"/>
      <c r="UUJ148"/>
      <c r="UUK148"/>
      <c r="UUL148"/>
      <c r="UUM148"/>
      <c r="UUN148"/>
      <c r="UUO148"/>
      <c r="UUP148"/>
      <c r="UUQ148"/>
      <c r="UUR148"/>
      <c r="UUS148"/>
      <c r="UUT148"/>
      <c r="UUU148"/>
      <c r="UUV148"/>
      <c r="UUW148"/>
      <c r="UUX148"/>
      <c r="UUY148"/>
      <c r="UUZ148"/>
      <c r="UVA148"/>
      <c r="UVB148"/>
      <c r="UVC148"/>
      <c r="UVD148"/>
      <c r="UVE148"/>
      <c r="UVF148"/>
      <c r="UVG148"/>
      <c r="UVH148"/>
      <c r="UVI148"/>
      <c r="UVJ148"/>
      <c r="UVK148"/>
      <c r="UVL148"/>
      <c r="UVM148"/>
      <c r="UVN148"/>
      <c r="UVO148"/>
      <c r="UVP148"/>
      <c r="UVQ148"/>
      <c r="UVR148"/>
      <c r="UVS148"/>
      <c r="UVT148"/>
      <c r="UVU148"/>
      <c r="UVV148"/>
      <c r="UVW148"/>
      <c r="UVX148"/>
      <c r="UVY148"/>
      <c r="UVZ148"/>
      <c r="UWA148"/>
      <c r="UWB148"/>
      <c r="UWC148"/>
      <c r="UWD148"/>
      <c r="UWE148"/>
      <c r="UWF148"/>
      <c r="UWG148"/>
      <c r="UWH148"/>
      <c r="UWI148"/>
      <c r="UWJ148"/>
      <c r="UWK148"/>
      <c r="UWL148"/>
      <c r="UWM148"/>
      <c r="UWN148"/>
      <c r="UWO148"/>
      <c r="UWP148"/>
      <c r="UWQ148"/>
      <c r="UWR148"/>
      <c r="UWS148"/>
      <c r="UWT148"/>
      <c r="UWU148"/>
      <c r="UWV148"/>
      <c r="UWW148"/>
      <c r="UWX148"/>
      <c r="UWY148"/>
      <c r="UWZ148"/>
      <c r="UXA148"/>
      <c r="UXB148"/>
      <c r="UXC148"/>
      <c r="UXD148"/>
      <c r="UXE148"/>
      <c r="UXF148"/>
      <c r="UXG148"/>
      <c r="UXH148"/>
      <c r="UXI148"/>
      <c r="UXJ148"/>
      <c r="UXK148"/>
      <c r="UXL148"/>
      <c r="UXM148"/>
      <c r="UXN148"/>
      <c r="UXO148"/>
      <c r="UXP148"/>
      <c r="UXQ148"/>
      <c r="UXR148"/>
      <c r="UXS148"/>
      <c r="UXT148"/>
      <c r="UXU148"/>
      <c r="UXV148"/>
      <c r="UXW148"/>
      <c r="UXX148"/>
      <c r="UXY148"/>
      <c r="UXZ148"/>
      <c r="UYA148"/>
      <c r="UYB148"/>
      <c r="UYC148"/>
      <c r="UYD148"/>
      <c r="UYE148"/>
      <c r="UYF148"/>
      <c r="UYG148"/>
      <c r="UYH148"/>
      <c r="UYI148"/>
      <c r="UYJ148"/>
      <c r="UYK148"/>
      <c r="UYL148"/>
      <c r="UYM148"/>
      <c r="UYN148"/>
      <c r="UYO148"/>
      <c r="UYP148"/>
      <c r="UYQ148"/>
      <c r="UYR148"/>
      <c r="UYS148"/>
      <c r="UYT148"/>
      <c r="UYU148"/>
      <c r="UYV148"/>
      <c r="UYW148"/>
      <c r="UYX148"/>
      <c r="UYY148"/>
      <c r="UYZ148"/>
      <c r="UZA148"/>
      <c r="UZB148"/>
      <c r="UZC148"/>
      <c r="UZD148"/>
      <c r="UZE148"/>
      <c r="UZF148"/>
      <c r="UZG148"/>
      <c r="UZH148"/>
      <c r="UZI148"/>
      <c r="UZJ148"/>
      <c r="UZK148"/>
      <c r="UZL148"/>
      <c r="UZM148"/>
      <c r="UZN148"/>
      <c r="UZO148"/>
      <c r="UZP148"/>
      <c r="UZQ148"/>
      <c r="UZR148"/>
      <c r="UZS148"/>
      <c r="UZT148"/>
      <c r="UZU148"/>
      <c r="UZV148"/>
      <c r="UZW148"/>
      <c r="UZX148"/>
      <c r="UZY148"/>
      <c r="UZZ148"/>
      <c r="VAA148"/>
      <c r="VAB148"/>
      <c r="VAC148"/>
      <c r="VAD148"/>
      <c r="VAE148"/>
      <c r="VAF148"/>
      <c r="VAG148"/>
      <c r="VAH148"/>
      <c r="VAI148"/>
      <c r="VAJ148"/>
      <c r="VAK148"/>
      <c r="VAL148"/>
      <c r="VAM148"/>
      <c r="VAN148"/>
      <c r="VAO148"/>
      <c r="VAP148"/>
      <c r="VAQ148"/>
      <c r="VAR148"/>
      <c r="VAS148"/>
      <c r="VAT148"/>
      <c r="VAU148"/>
      <c r="VAV148"/>
      <c r="VAW148"/>
      <c r="VAX148"/>
      <c r="VAY148"/>
      <c r="VAZ148"/>
      <c r="VBA148"/>
      <c r="VBB148"/>
      <c r="VBC148"/>
      <c r="VBD148"/>
      <c r="VBE148"/>
      <c r="VBF148"/>
      <c r="VBG148"/>
      <c r="VBH148"/>
      <c r="VBI148"/>
      <c r="VBJ148"/>
      <c r="VBK148"/>
      <c r="VBL148"/>
      <c r="VBM148"/>
      <c r="VBN148"/>
      <c r="VBO148"/>
      <c r="VBP148"/>
      <c r="VBQ148"/>
      <c r="VBR148"/>
      <c r="VBS148"/>
      <c r="VBT148"/>
      <c r="VBU148"/>
      <c r="VBV148"/>
      <c r="VBW148"/>
      <c r="VBX148"/>
      <c r="VBY148"/>
      <c r="VBZ148"/>
      <c r="VCA148"/>
      <c r="VCB148"/>
      <c r="VCC148"/>
      <c r="VCD148"/>
      <c r="VCE148"/>
      <c r="VCF148"/>
      <c r="VCG148"/>
      <c r="VCH148"/>
      <c r="VCI148"/>
      <c r="VCJ148"/>
      <c r="VCK148"/>
      <c r="VCL148"/>
      <c r="VCM148"/>
      <c r="VCN148"/>
      <c r="VCO148"/>
      <c r="VCP148"/>
      <c r="VCQ148"/>
      <c r="VCR148"/>
      <c r="VCS148"/>
      <c r="VCT148"/>
      <c r="VCU148"/>
      <c r="VCV148"/>
      <c r="VCW148"/>
      <c r="VCX148"/>
      <c r="VCY148"/>
      <c r="VCZ148"/>
      <c r="VDA148"/>
      <c r="VDB148"/>
      <c r="VDC148"/>
      <c r="VDD148"/>
      <c r="VDE148"/>
      <c r="VDF148"/>
      <c r="VDG148"/>
      <c r="VDH148"/>
      <c r="VDI148"/>
      <c r="VDJ148"/>
      <c r="VDK148"/>
      <c r="VDL148"/>
      <c r="VDM148"/>
      <c r="VDN148"/>
      <c r="VDO148"/>
      <c r="VDP148"/>
      <c r="VDQ148"/>
      <c r="VDR148"/>
      <c r="VDS148"/>
      <c r="VDT148"/>
      <c r="VDU148"/>
      <c r="VDV148"/>
      <c r="VDW148"/>
      <c r="VDX148"/>
      <c r="VDY148"/>
      <c r="VDZ148"/>
      <c r="VEA148"/>
      <c r="VEB148"/>
      <c r="VEC148"/>
      <c r="VED148"/>
      <c r="VEE148"/>
      <c r="VEF148"/>
      <c r="VEG148"/>
      <c r="VEH148"/>
      <c r="VEI148"/>
      <c r="VEJ148"/>
      <c r="VEK148"/>
      <c r="VEL148"/>
      <c r="VEM148"/>
      <c r="VEN148"/>
      <c r="VEO148"/>
      <c r="VEP148"/>
      <c r="VEQ148"/>
      <c r="VER148"/>
      <c r="VES148"/>
      <c r="VET148"/>
      <c r="VEU148"/>
      <c r="VEV148"/>
      <c r="VEW148"/>
      <c r="VEX148"/>
      <c r="VEY148"/>
      <c r="VEZ148"/>
      <c r="VFA148"/>
      <c r="VFB148"/>
      <c r="VFC148"/>
      <c r="VFD148"/>
      <c r="VFE148"/>
      <c r="VFF148"/>
      <c r="VFG148"/>
      <c r="VFH148"/>
      <c r="VFI148"/>
      <c r="VFJ148"/>
      <c r="VFK148"/>
      <c r="VFL148"/>
      <c r="VFM148"/>
      <c r="VFN148"/>
      <c r="VFO148"/>
      <c r="VFP148"/>
      <c r="VFQ148"/>
      <c r="VFR148"/>
      <c r="VFS148"/>
      <c r="VFT148"/>
      <c r="VFU148"/>
      <c r="VFV148"/>
      <c r="VFW148"/>
      <c r="VFX148"/>
      <c r="VFY148"/>
      <c r="VFZ148"/>
      <c r="VGA148"/>
      <c r="VGB148"/>
      <c r="VGC148"/>
      <c r="VGD148"/>
      <c r="VGE148"/>
      <c r="VGF148"/>
      <c r="VGG148"/>
      <c r="VGH148"/>
      <c r="VGI148"/>
      <c r="VGJ148"/>
      <c r="VGK148"/>
      <c r="VGL148"/>
      <c r="VGM148"/>
      <c r="VGN148"/>
      <c r="VGO148"/>
      <c r="VGP148"/>
      <c r="VGQ148"/>
      <c r="VGR148"/>
      <c r="VGS148"/>
      <c r="VGT148"/>
      <c r="VGU148"/>
      <c r="VGV148"/>
      <c r="VGW148"/>
      <c r="VGX148"/>
      <c r="VGY148"/>
      <c r="VGZ148"/>
      <c r="VHA148"/>
      <c r="VHB148"/>
      <c r="VHC148"/>
      <c r="VHD148"/>
      <c r="VHE148"/>
      <c r="VHF148"/>
      <c r="VHG148"/>
      <c r="VHH148"/>
      <c r="VHI148"/>
      <c r="VHJ148"/>
      <c r="VHK148"/>
      <c r="VHL148"/>
      <c r="VHM148"/>
      <c r="VHN148"/>
      <c r="VHO148"/>
      <c r="VHP148"/>
      <c r="VHQ148"/>
      <c r="VHR148"/>
      <c r="VHS148"/>
      <c r="VHT148"/>
      <c r="VHU148"/>
      <c r="VHV148"/>
      <c r="VHW148"/>
      <c r="VHX148"/>
      <c r="VHY148"/>
      <c r="VHZ148"/>
      <c r="VIA148"/>
      <c r="VIB148"/>
      <c r="VIC148"/>
      <c r="VID148"/>
      <c r="VIE148"/>
      <c r="VIF148"/>
      <c r="VIG148"/>
      <c r="VIH148"/>
      <c r="VII148"/>
      <c r="VIJ148"/>
      <c r="VIK148"/>
      <c r="VIL148"/>
      <c r="VIM148"/>
      <c r="VIN148"/>
      <c r="VIO148"/>
      <c r="VIP148"/>
      <c r="VIQ148"/>
      <c r="VIR148"/>
      <c r="VIS148"/>
      <c r="VIT148"/>
      <c r="VIU148"/>
      <c r="VIV148"/>
      <c r="VIW148"/>
      <c r="VIX148"/>
      <c r="VIY148"/>
      <c r="VIZ148"/>
      <c r="VJA148"/>
      <c r="VJB148"/>
      <c r="VJC148"/>
      <c r="VJD148"/>
      <c r="VJE148"/>
      <c r="VJF148"/>
      <c r="VJG148"/>
      <c r="VJH148"/>
      <c r="VJI148"/>
      <c r="VJJ148"/>
      <c r="VJK148"/>
      <c r="VJL148"/>
      <c r="VJM148"/>
      <c r="VJN148"/>
      <c r="VJO148"/>
      <c r="VJP148"/>
      <c r="VJQ148"/>
      <c r="VJR148"/>
      <c r="VJS148"/>
      <c r="VJT148"/>
      <c r="VJU148"/>
      <c r="VJV148"/>
      <c r="VJW148"/>
      <c r="VJX148"/>
      <c r="VJY148"/>
      <c r="VJZ148"/>
      <c r="VKA148"/>
      <c r="VKB148"/>
      <c r="VKC148"/>
      <c r="VKD148"/>
      <c r="VKE148"/>
      <c r="VKF148"/>
      <c r="VKG148"/>
      <c r="VKH148"/>
      <c r="VKI148"/>
      <c r="VKJ148"/>
      <c r="VKK148"/>
      <c r="VKL148"/>
      <c r="VKM148"/>
      <c r="VKN148"/>
      <c r="VKO148"/>
      <c r="VKP148"/>
      <c r="VKQ148"/>
      <c r="VKR148"/>
      <c r="VKS148"/>
      <c r="VKT148"/>
      <c r="VKU148"/>
      <c r="VKV148"/>
      <c r="VKW148"/>
      <c r="VKX148"/>
      <c r="VKY148"/>
      <c r="VKZ148"/>
      <c r="VLA148"/>
      <c r="VLB148"/>
      <c r="VLC148"/>
      <c r="VLD148"/>
      <c r="VLE148"/>
      <c r="VLF148"/>
      <c r="VLG148"/>
      <c r="VLH148"/>
      <c r="VLI148"/>
      <c r="VLJ148"/>
      <c r="VLK148"/>
      <c r="VLL148"/>
      <c r="VLM148"/>
      <c r="VLN148"/>
      <c r="VLO148"/>
      <c r="VLP148"/>
      <c r="VLQ148"/>
      <c r="VLR148"/>
      <c r="VLS148"/>
      <c r="VLT148"/>
      <c r="VLU148"/>
      <c r="VLV148"/>
      <c r="VLW148"/>
      <c r="VLX148"/>
      <c r="VLY148"/>
      <c r="VLZ148"/>
      <c r="VMA148"/>
      <c r="VMB148"/>
      <c r="VMC148"/>
      <c r="VMD148"/>
      <c r="VME148"/>
      <c r="VMF148"/>
      <c r="VMG148"/>
      <c r="VMH148"/>
      <c r="VMI148"/>
      <c r="VMJ148"/>
      <c r="VMK148"/>
      <c r="VML148"/>
      <c r="VMM148"/>
      <c r="VMN148"/>
      <c r="VMO148"/>
      <c r="VMP148"/>
      <c r="VMQ148"/>
      <c r="VMR148"/>
      <c r="VMS148"/>
      <c r="VMT148"/>
      <c r="VMU148"/>
      <c r="VMV148"/>
      <c r="VMW148"/>
      <c r="VMX148"/>
      <c r="VMY148"/>
      <c r="VMZ148"/>
      <c r="VNA148"/>
      <c r="VNB148"/>
      <c r="VNC148"/>
      <c r="VND148"/>
      <c r="VNE148"/>
      <c r="VNF148"/>
      <c r="VNG148"/>
      <c r="VNH148"/>
      <c r="VNI148"/>
      <c r="VNJ148"/>
      <c r="VNK148"/>
      <c r="VNL148"/>
      <c r="VNM148"/>
      <c r="VNN148"/>
      <c r="VNO148"/>
      <c r="VNP148"/>
      <c r="VNQ148"/>
      <c r="VNR148"/>
      <c r="VNS148"/>
      <c r="VNT148"/>
      <c r="VNU148"/>
      <c r="VNV148"/>
      <c r="VNW148"/>
      <c r="VNX148"/>
      <c r="VNY148"/>
      <c r="VNZ148"/>
      <c r="VOA148"/>
      <c r="VOB148"/>
      <c r="VOC148"/>
      <c r="VOD148"/>
      <c r="VOE148"/>
      <c r="VOF148"/>
      <c r="VOG148"/>
      <c r="VOH148"/>
      <c r="VOI148"/>
      <c r="VOJ148"/>
      <c r="VOK148"/>
      <c r="VOL148"/>
      <c r="VOM148"/>
      <c r="VON148"/>
      <c r="VOO148"/>
      <c r="VOP148"/>
      <c r="VOQ148"/>
      <c r="VOR148"/>
      <c r="VOS148"/>
      <c r="VOT148"/>
      <c r="VOU148"/>
      <c r="VOV148"/>
      <c r="VOW148"/>
      <c r="VOX148"/>
      <c r="VOY148"/>
      <c r="VOZ148"/>
      <c r="VPA148"/>
      <c r="VPB148"/>
      <c r="VPC148"/>
      <c r="VPD148"/>
      <c r="VPE148"/>
      <c r="VPF148"/>
      <c r="VPG148"/>
      <c r="VPH148"/>
      <c r="VPI148"/>
      <c r="VPJ148"/>
      <c r="VPK148"/>
      <c r="VPL148"/>
      <c r="VPM148"/>
      <c r="VPN148"/>
      <c r="VPO148"/>
      <c r="VPP148"/>
      <c r="VPQ148"/>
      <c r="VPR148"/>
      <c r="VPS148"/>
      <c r="VPT148"/>
      <c r="VPU148"/>
      <c r="VPV148"/>
      <c r="VPW148"/>
      <c r="VPX148"/>
      <c r="VPY148"/>
      <c r="VPZ148"/>
      <c r="VQA148"/>
      <c r="VQB148"/>
      <c r="VQC148"/>
      <c r="VQD148"/>
      <c r="VQE148"/>
      <c r="VQF148"/>
      <c r="VQG148"/>
      <c r="VQH148"/>
      <c r="VQI148"/>
      <c r="VQJ148"/>
      <c r="VQK148"/>
      <c r="VQL148"/>
      <c r="VQM148"/>
      <c r="VQN148"/>
      <c r="VQO148"/>
      <c r="VQP148"/>
      <c r="VQQ148"/>
      <c r="VQR148"/>
      <c r="VQS148"/>
      <c r="VQT148"/>
      <c r="VQU148"/>
      <c r="VQV148"/>
      <c r="VQW148"/>
      <c r="VQX148"/>
      <c r="VQY148"/>
      <c r="VQZ148"/>
      <c r="VRA148"/>
      <c r="VRB148"/>
      <c r="VRC148"/>
      <c r="VRD148"/>
      <c r="VRE148"/>
      <c r="VRF148"/>
      <c r="VRG148"/>
      <c r="VRH148"/>
      <c r="VRI148"/>
      <c r="VRJ148"/>
      <c r="VRK148"/>
      <c r="VRL148"/>
      <c r="VRM148"/>
      <c r="VRN148"/>
      <c r="VRO148"/>
      <c r="VRP148"/>
      <c r="VRQ148"/>
      <c r="VRR148"/>
      <c r="VRS148"/>
      <c r="VRT148"/>
      <c r="VRU148"/>
      <c r="VRV148"/>
      <c r="VRW148"/>
      <c r="VRX148"/>
      <c r="VRY148"/>
      <c r="VRZ148"/>
      <c r="VSA148"/>
      <c r="VSB148"/>
      <c r="VSC148"/>
      <c r="VSD148"/>
      <c r="VSE148"/>
      <c r="VSF148"/>
      <c r="VSG148"/>
      <c r="VSH148"/>
      <c r="VSI148"/>
      <c r="VSJ148"/>
      <c r="VSK148"/>
      <c r="VSL148"/>
      <c r="VSM148"/>
      <c r="VSN148"/>
      <c r="VSO148"/>
      <c r="VSP148"/>
      <c r="VSQ148"/>
      <c r="VSR148"/>
      <c r="VSS148"/>
      <c r="VST148"/>
      <c r="VSU148"/>
      <c r="VSV148"/>
      <c r="VSW148"/>
      <c r="VSX148"/>
      <c r="VSY148"/>
      <c r="VSZ148"/>
      <c r="VTA148"/>
      <c r="VTB148"/>
      <c r="VTC148"/>
      <c r="VTD148"/>
      <c r="VTE148"/>
      <c r="VTF148"/>
      <c r="VTG148"/>
      <c r="VTH148"/>
      <c r="VTI148"/>
      <c r="VTJ148"/>
      <c r="VTK148"/>
      <c r="VTL148"/>
      <c r="VTM148"/>
      <c r="VTN148"/>
      <c r="VTO148"/>
      <c r="VTP148"/>
      <c r="VTQ148"/>
      <c r="VTR148"/>
      <c r="VTS148"/>
      <c r="VTT148"/>
      <c r="VTU148"/>
      <c r="VTV148"/>
      <c r="VTW148"/>
      <c r="VTX148"/>
      <c r="VTY148"/>
      <c r="VTZ148"/>
      <c r="VUA148"/>
      <c r="VUB148"/>
      <c r="VUC148"/>
      <c r="VUD148"/>
      <c r="VUE148"/>
      <c r="VUF148"/>
      <c r="VUG148"/>
      <c r="VUH148"/>
      <c r="VUI148"/>
      <c r="VUJ148"/>
      <c r="VUK148"/>
      <c r="VUL148"/>
      <c r="VUM148"/>
      <c r="VUN148"/>
      <c r="VUO148"/>
      <c r="VUP148"/>
      <c r="VUQ148"/>
      <c r="VUR148"/>
      <c r="VUS148"/>
      <c r="VUT148"/>
      <c r="VUU148"/>
      <c r="VUV148"/>
      <c r="VUW148"/>
      <c r="VUX148"/>
      <c r="VUY148"/>
      <c r="VUZ148"/>
      <c r="VVA148"/>
      <c r="VVB148"/>
      <c r="VVC148"/>
      <c r="VVD148"/>
      <c r="VVE148"/>
      <c r="VVF148"/>
      <c r="VVG148"/>
      <c r="VVH148"/>
      <c r="VVI148"/>
      <c r="VVJ148"/>
      <c r="VVK148"/>
      <c r="VVL148"/>
      <c r="VVM148"/>
      <c r="VVN148"/>
      <c r="VVO148"/>
      <c r="VVP148"/>
      <c r="VVQ148"/>
      <c r="VVR148"/>
      <c r="VVS148"/>
      <c r="VVT148"/>
      <c r="VVU148"/>
      <c r="VVV148"/>
      <c r="VVW148"/>
      <c r="VVX148"/>
      <c r="VVY148"/>
      <c r="VVZ148"/>
      <c r="VWA148"/>
      <c r="VWB148"/>
      <c r="VWC148"/>
      <c r="VWD148"/>
      <c r="VWE148"/>
      <c r="VWF148"/>
      <c r="VWG148"/>
      <c r="VWH148"/>
      <c r="VWI148"/>
      <c r="VWJ148"/>
      <c r="VWK148"/>
      <c r="VWL148"/>
      <c r="VWM148"/>
      <c r="VWN148"/>
      <c r="VWO148"/>
      <c r="VWP148"/>
      <c r="VWQ148"/>
      <c r="VWR148"/>
      <c r="VWS148"/>
      <c r="VWT148"/>
      <c r="VWU148"/>
      <c r="VWV148"/>
      <c r="VWW148"/>
      <c r="VWX148"/>
      <c r="VWY148"/>
      <c r="VWZ148"/>
      <c r="VXA148"/>
      <c r="VXB148"/>
      <c r="VXC148"/>
      <c r="VXD148"/>
      <c r="VXE148"/>
      <c r="VXF148"/>
      <c r="VXG148"/>
      <c r="VXH148"/>
      <c r="VXI148"/>
      <c r="VXJ148"/>
      <c r="VXK148"/>
      <c r="VXL148"/>
      <c r="VXM148"/>
      <c r="VXN148"/>
      <c r="VXO148"/>
      <c r="VXP148"/>
      <c r="VXQ148"/>
      <c r="VXR148"/>
      <c r="VXS148"/>
      <c r="VXT148"/>
      <c r="VXU148"/>
      <c r="VXV148"/>
      <c r="VXW148"/>
      <c r="VXX148"/>
      <c r="VXY148"/>
      <c r="VXZ148"/>
      <c r="VYA148"/>
      <c r="VYB148"/>
      <c r="VYC148"/>
      <c r="VYD148"/>
      <c r="VYE148"/>
      <c r="VYF148"/>
      <c r="VYG148"/>
      <c r="VYH148"/>
      <c r="VYI148"/>
      <c r="VYJ148"/>
      <c r="VYK148"/>
      <c r="VYL148"/>
      <c r="VYM148"/>
      <c r="VYN148"/>
      <c r="VYO148"/>
      <c r="VYP148"/>
      <c r="VYQ148"/>
      <c r="VYR148"/>
      <c r="VYS148"/>
      <c r="VYT148"/>
      <c r="VYU148"/>
      <c r="VYV148"/>
      <c r="VYW148"/>
      <c r="VYX148"/>
      <c r="VYY148"/>
      <c r="VYZ148"/>
      <c r="VZA148"/>
      <c r="VZB148"/>
      <c r="VZC148"/>
      <c r="VZD148"/>
      <c r="VZE148"/>
      <c r="VZF148"/>
      <c r="VZG148"/>
      <c r="VZH148"/>
      <c r="VZI148"/>
      <c r="VZJ148"/>
      <c r="VZK148"/>
      <c r="VZL148"/>
      <c r="VZM148"/>
      <c r="VZN148"/>
      <c r="VZO148"/>
      <c r="VZP148"/>
      <c r="VZQ148"/>
      <c r="VZR148"/>
      <c r="VZS148"/>
      <c r="VZT148"/>
      <c r="VZU148"/>
      <c r="VZV148"/>
      <c r="VZW148"/>
      <c r="VZX148"/>
      <c r="VZY148"/>
      <c r="VZZ148"/>
      <c r="WAA148"/>
      <c r="WAB148"/>
      <c r="WAC148"/>
      <c r="WAD148"/>
      <c r="WAE148"/>
      <c r="WAF148"/>
      <c r="WAG148"/>
      <c r="WAH148"/>
      <c r="WAI148"/>
      <c r="WAJ148"/>
      <c r="WAK148"/>
      <c r="WAL148"/>
      <c r="WAM148"/>
      <c r="WAN148"/>
      <c r="WAO148"/>
      <c r="WAP148"/>
      <c r="WAQ148"/>
      <c r="WAR148"/>
      <c r="WAS148"/>
      <c r="WAT148"/>
      <c r="WAU148"/>
      <c r="WAV148"/>
      <c r="WAW148"/>
      <c r="WAX148"/>
      <c r="WAY148"/>
      <c r="WAZ148"/>
      <c r="WBA148"/>
      <c r="WBB148"/>
      <c r="WBC148"/>
      <c r="WBD148"/>
      <c r="WBE148"/>
      <c r="WBF148"/>
      <c r="WBG148"/>
      <c r="WBH148"/>
      <c r="WBI148"/>
      <c r="WBJ148"/>
      <c r="WBK148"/>
      <c r="WBL148"/>
      <c r="WBM148"/>
      <c r="WBN148"/>
      <c r="WBO148"/>
      <c r="WBP148"/>
      <c r="WBQ148"/>
      <c r="WBR148"/>
      <c r="WBS148"/>
      <c r="WBT148"/>
      <c r="WBU148"/>
      <c r="WBV148"/>
      <c r="WBW148"/>
      <c r="WBX148"/>
      <c r="WBY148"/>
      <c r="WBZ148"/>
      <c r="WCA148"/>
      <c r="WCB148"/>
      <c r="WCC148"/>
      <c r="WCD148"/>
      <c r="WCE148"/>
      <c r="WCF148"/>
      <c r="WCG148"/>
      <c r="WCH148"/>
      <c r="WCI148"/>
      <c r="WCJ148"/>
      <c r="WCK148"/>
      <c r="WCL148"/>
      <c r="WCM148"/>
      <c r="WCN148"/>
      <c r="WCO148"/>
      <c r="WCP148"/>
      <c r="WCQ148"/>
      <c r="WCR148"/>
      <c r="WCS148"/>
      <c r="WCT148"/>
      <c r="WCU148"/>
      <c r="WCV148"/>
      <c r="WCW148"/>
      <c r="WCX148"/>
      <c r="WCY148"/>
      <c r="WCZ148"/>
      <c r="WDA148"/>
      <c r="WDB148"/>
      <c r="WDC148"/>
      <c r="WDD148"/>
      <c r="WDE148"/>
      <c r="WDF148"/>
      <c r="WDG148"/>
      <c r="WDH148"/>
      <c r="WDI148"/>
      <c r="WDJ148"/>
      <c r="WDK148"/>
      <c r="WDL148"/>
      <c r="WDM148"/>
      <c r="WDN148"/>
      <c r="WDO148"/>
      <c r="WDP148"/>
      <c r="WDQ148"/>
      <c r="WDR148"/>
      <c r="WDS148"/>
      <c r="WDT148"/>
      <c r="WDU148"/>
      <c r="WDV148"/>
      <c r="WDW148"/>
      <c r="WDX148"/>
      <c r="WDY148"/>
      <c r="WDZ148"/>
      <c r="WEA148"/>
      <c r="WEB148"/>
      <c r="WEC148"/>
      <c r="WED148"/>
      <c r="WEE148"/>
      <c r="WEF148"/>
      <c r="WEG148"/>
      <c r="WEH148"/>
      <c r="WEI148"/>
      <c r="WEJ148"/>
      <c r="WEK148"/>
      <c r="WEL148"/>
      <c r="WEM148"/>
      <c r="WEN148"/>
      <c r="WEO148"/>
      <c r="WEP148"/>
      <c r="WEQ148"/>
      <c r="WER148"/>
      <c r="WES148"/>
      <c r="WET148"/>
      <c r="WEU148"/>
      <c r="WEV148"/>
      <c r="WEW148"/>
      <c r="WEX148"/>
      <c r="WEY148"/>
      <c r="WEZ148"/>
      <c r="WFA148"/>
      <c r="WFB148"/>
      <c r="WFC148"/>
      <c r="WFD148"/>
      <c r="WFE148"/>
      <c r="WFF148"/>
      <c r="WFG148"/>
      <c r="WFH148"/>
      <c r="WFI148"/>
      <c r="WFJ148"/>
      <c r="WFK148"/>
      <c r="WFL148"/>
      <c r="WFM148"/>
      <c r="WFN148"/>
      <c r="WFO148"/>
      <c r="WFP148"/>
      <c r="WFQ148"/>
      <c r="WFR148"/>
      <c r="WFS148"/>
      <c r="WFT148"/>
      <c r="WFU148"/>
      <c r="WFV148"/>
      <c r="WFW148"/>
      <c r="WFX148"/>
      <c r="WFY148"/>
      <c r="WFZ148"/>
      <c r="WGA148"/>
      <c r="WGB148"/>
      <c r="WGC148"/>
      <c r="WGD148"/>
      <c r="WGE148"/>
      <c r="WGF148"/>
      <c r="WGG148"/>
      <c r="WGH148"/>
      <c r="WGI148"/>
      <c r="WGJ148"/>
      <c r="WGK148"/>
      <c r="WGL148"/>
      <c r="WGM148"/>
      <c r="WGN148"/>
      <c r="WGO148"/>
      <c r="WGP148"/>
      <c r="WGQ148"/>
      <c r="WGR148"/>
      <c r="WGS148"/>
      <c r="WGT148"/>
      <c r="WGU148"/>
      <c r="WGV148"/>
      <c r="WGW148"/>
      <c r="WGX148"/>
      <c r="WGY148"/>
      <c r="WGZ148"/>
      <c r="WHA148"/>
      <c r="WHB148"/>
      <c r="WHC148"/>
      <c r="WHD148"/>
      <c r="WHE148"/>
      <c r="WHF148"/>
      <c r="WHG148"/>
      <c r="WHH148"/>
      <c r="WHI148"/>
      <c r="WHJ148"/>
      <c r="WHK148"/>
      <c r="WHL148"/>
      <c r="WHM148"/>
      <c r="WHN148"/>
      <c r="WHO148"/>
      <c r="WHP148"/>
      <c r="WHQ148"/>
      <c r="WHR148"/>
      <c r="WHS148"/>
      <c r="WHT148"/>
      <c r="WHU148"/>
      <c r="WHV148"/>
      <c r="WHW148"/>
      <c r="WHX148"/>
      <c r="WHY148"/>
      <c r="WHZ148"/>
      <c r="WIA148"/>
      <c r="WIB148"/>
      <c r="WIC148"/>
      <c r="WID148"/>
      <c r="WIE148"/>
      <c r="WIF148"/>
      <c r="WIG148"/>
      <c r="WIH148"/>
      <c r="WII148"/>
      <c r="WIJ148"/>
      <c r="WIK148"/>
      <c r="WIL148"/>
      <c r="WIM148"/>
      <c r="WIN148"/>
      <c r="WIO148"/>
      <c r="WIP148"/>
      <c r="WIQ148"/>
      <c r="WIR148"/>
      <c r="WIS148"/>
      <c r="WIT148"/>
      <c r="WIU148"/>
      <c r="WIV148"/>
      <c r="WIW148"/>
      <c r="WIX148"/>
      <c r="WIY148"/>
      <c r="WIZ148"/>
      <c r="WJA148"/>
      <c r="WJB148"/>
      <c r="WJC148"/>
      <c r="WJD148"/>
      <c r="WJE148"/>
      <c r="WJF148"/>
      <c r="WJG148"/>
      <c r="WJH148"/>
      <c r="WJI148"/>
      <c r="WJJ148"/>
      <c r="WJK148"/>
      <c r="WJL148"/>
      <c r="WJM148"/>
      <c r="WJN148"/>
      <c r="WJO148"/>
      <c r="WJP148"/>
      <c r="WJQ148"/>
      <c r="WJR148"/>
      <c r="WJS148"/>
      <c r="WJT148"/>
      <c r="WJU148"/>
      <c r="WJV148"/>
      <c r="WJW148"/>
      <c r="WJX148"/>
      <c r="WJY148"/>
      <c r="WJZ148"/>
      <c r="WKA148"/>
      <c r="WKB148"/>
      <c r="WKC148"/>
      <c r="WKD148"/>
      <c r="WKE148"/>
      <c r="WKF148"/>
      <c r="WKG148"/>
      <c r="WKH148"/>
      <c r="WKI148"/>
      <c r="WKJ148"/>
      <c r="WKK148"/>
      <c r="WKL148"/>
      <c r="WKM148"/>
      <c r="WKN148"/>
      <c r="WKO148"/>
      <c r="WKP148"/>
      <c r="WKQ148"/>
      <c r="WKR148"/>
      <c r="WKS148"/>
      <c r="WKT148"/>
      <c r="WKU148"/>
      <c r="WKV148"/>
      <c r="WKW148"/>
      <c r="WKX148"/>
      <c r="WKY148"/>
      <c r="WKZ148"/>
      <c r="WLA148"/>
      <c r="WLB148"/>
      <c r="WLC148"/>
      <c r="WLD148"/>
      <c r="WLE148"/>
      <c r="WLF148"/>
      <c r="WLG148"/>
      <c r="WLH148"/>
      <c r="WLI148"/>
      <c r="WLJ148"/>
      <c r="WLK148"/>
      <c r="WLL148"/>
      <c r="WLM148"/>
      <c r="WLN148"/>
      <c r="WLO148"/>
      <c r="WLP148"/>
      <c r="WLQ148"/>
      <c r="WLR148"/>
      <c r="WLS148"/>
      <c r="WLT148"/>
      <c r="WLU148"/>
      <c r="WLV148"/>
      <c r="WLW148"/>
      <c r="WLX148"/>
      <c r="WLY148"/>
      <c r="WLZ148"/>
      <c r="WMA148"/>
      <c r="WMB148"/>
      <c r="WMC148"/>
      <c r="WMD148"/>
      <c r="WME148"/>
      <c r="WMF148"/>
      <c r="WMG148"/>
      <c r="WMH148"/>
      <c r="WMI148"/>
      <c r="WMJ148"/>
      <c r="WMK148"/>
      <c r="WML148"/>
      <c r="WMM148"/>
      <c r="WMN148"/>
      <c r="WMO148"/>
      <c r="WMP148"/>
      <c r="WMQ148"/>
      <c r="WMR148"/>
      <c r="WMS148"/>
      <c r="WMT148"/>
      <c r="WMU148"/>
      <c r="WMV148"/>
      <c r="WMW148"/>
      <c r="WMX148"/>
      <c r="WMY148"/>
      <c r="WMZ148"/>
      <c r="WNA148"/>
      <c r="WNB148"/>
      <c r="WNC148"/>
      <c r="WND148"/>
      <c r="WNE148"/>
      <c r="WNF148"/>
      <c r="WNG148"/>
      <c r="WNH148"/>
      <c r="WNI148"/>
      <c r="WNJ148"/>
      <c r="WNK148"/>
      <c r="WNL148"/>
      <c r="WNM148"/>
      <c r="WNN148"/>
      <c r="WNO148"/>
      <c r="WNP148"/>
      <c r="WNQ148"/>
      <c r="WNR148"/>
      <c r="WNS148"/>
      <c r="WNT148"/>
      <c r="WNU148"/>
      <c r="WNV148"/>
      <c r="WNW148"/>
      <c r="WNX148"/>
      <c r="WNY148"/>
      <c r="WNZ148"/>
      <c r="WOA148"/>
      <c r="WOB148"/>
      <c r="WOC148"/>
      <c r="WOD148"/>
      <c r="WOE148"/>
      <c r="WOF148"/>
      <c r="WOG148"/>
      <c r="WOH148"/>
      <c r="WOI148"/>
      <c r="WOJ148"/>
      <c r="WOK148"/>
      <c r="WOL148"/>
      <c r="WOM148"/>
      <c r="WON148"/>
      <c r="WOO148"/>
      <c r="WOP148"/>
      <c r="WOQ148"/>
      <c r="WOR148"/>
      <c r="WOS148"/>
      <c r="WOT148"/>
      <c r="WOU148"/>
      <c r="WOV148"/>
      <c r="WOW148"/>
      <c r="WOX148"/>
      <c r="WOY148"/>
      <c r="WOZ148"/>
      <c r="WPA148"/>
      <c r="WPB148"/>
      <c r="WPC148"/>
      <c r="WPD148"/>
      <c r="WPE148"/>
      <c r="WPF148"/>
      <c r="WPG148"/>
      <c r="WPH148"/>
      <c r="WPI148"/>
      <c r="WPJ148"/>
      <c r="WPK148"/>
      <c r="WPL148"/>
      <c r="WPM148"/>
      <c r="WPN148"/>
      <c r="WPO148"/>
      <c r="WPP148"/>
      <c r="WPQ148"/>
      <c r="WPR148"/>
      <c r="WPS148"/>
      <c r="WPT148"/>
      <c r="WPU148"/>
      <c r="WPV148"/>
      <c r="WPW148"/>
      <c r="WPX148"/>
      <c r="WPY148"/>
      <c r="WPZ148"/>
      <c r="WQA148"/>
      <c r="WQB148"/>
      <c r="WQC148"/>
      <c r="WQD148"/>
      <c r="WQE148"/>
      <c r="WQF148"/>
      <c r="WQG148"/>
      <c r="WQH148"/>
      <c r="WQI148"/>
      <c r="WQJ148"/>
      <c r="WQK148"/>
      <c r="WQL148"/>
      <c r="WQM148"/>
      <c r="WQN148"/>
      <c r="WQO148"/>
      <c r="WQP148"/>
      <c r="WQQ148"/>
      <c r="WQR148"/>
      <c r="WQS148"/>
      <c r="WQT148"/>
      <c r="WQU148"/>
      <c r="WQV148"/>
      <c r="WQW148"/>
      <c r="WQX148"/>
      <c r="WQY148"/>
      <c r="WQZ148"/>
      <c r="WRA148"/>
      <c r="WRB148"/>
      <c r="WRC148"/>
      <c r="WRD148"/>
      <c r="WRE148"/>
      <c r="WRF148"/>
      <c r="WRG148"/>
      <c r="WRH148"/>
      <c r="WRI148"/>
      <c r="WRJ148"/>
      <c r="WRK148"/>
      <c r="WRL148"/>
      <c r="WRM148"/>
      <c r="WRN148"/>
      <c r="WRO148"/>
      <c r="WRP148"/>
      <c r="WRQ148"/>
      <c r="WRR148"/>
      <c r="WRS148"/>
      <c r="WRT148"/>
      <c r="WRU148"/>
      <c r="WRV148"/>
      <c r="WRW148"/>
      <c r="WRX148"/>
      <c r="WRY148"/>
      <c r="WRZ148"/>
      <c r="WSA148"/>
      <c r="WSB148"/>
      <c r="WSC148"/>
      <c r="WSD148"/>
      <c r="WSE148"/>
      <c r="WSF148"/>
      <c r="WSG148"/>
      <c r="WSH148"/>
      <c r="WSI148"/>
      <c r="WSJ148"/>
      <c r="WSK148"/>
      <c r="WSL148"/>
      <c r="WSM148"/>
      <c r="WSN148"/>
      <c r="WSO148"/>
      <c r="WSP148"/>
      <c r="WSQ148"/>
      <c r="WSR148"/>
      <c r="WSS148"/>
      <c r="WST148"/>
      <c r="WSU148"/>
      <c r="WSV148"/>
      <c r="WSW148"/>
      <c r="WSX148"/>
      <c r="WSY148"/>
      <c r="WSZ148"/>
      <c r="WTA148"/>
      <c r="WTB148"/>
      <c r="WTC148"/>
      <c r="WTD148"/>
      <c r="WTE148"/>
      <c r="WTF148"/>
      <c r="WTG148"/>
      <c r="WTH148"/>
      <c r="WTI148"/>
      <c r="WTJ148"/>
      <c r="WTK148"/>
      <c r="WTL148"/>
      <c r="WTM148"/>
      <c r="WTN148"/>
      <c r="WTO148"/>
      <c r="WTP148"/>
      <c r="WTQ148"/>
      <c r="WTR148"/>
      <c r="WTS148"/>
      <c r="WTT148"/>
      <c r="WTU148"/>
      <c r="WTV148"/>
      <c r="WTW148"/>
      <c r="WTX148"/>
      <c r="WTY148"/>
      <c r="WTZ148"/>
      <c r="WUA148"/>
      <c r="WUB148"/>
      <c r="WUC148"/>
      <c r="WUD148"/>
      <c r="WUE148"/>
      <c r="WUF148"/>
      <c r="WUG148"/>
      <c r="WUH148"/>
      <c r="WUI148"/>
      <c r="WUJ148"/>
      <c r="WUK148"/>
      <c r="WUL148"/>
      <c r="WUM148"/>
      <c r="WUN148"/>
      <c r="WUO148"/>
      <c r="WUP148"/>
      <c r="WUQ148"/>
      <c r="WUR148"/>
      <c r="WUS148"/>
      <c r="WUT148"/>
      <c r="WUU148"/>
      <c r="WUV148"/>
      <c r="WUW148"/>
      <c r="WUX148"/>
      <c r="WUY148"/>
      <c r="WUZ148"/>
      <c r="WVA148"/>
      <c r="WVB148"/>
      <c r="WVC148"/>
      <c r="WVD148"/>
      <c r="WVE148"/>
      <c r="WVF148"/>
      <c r="WVG148"/>
      <c r="WVH148"/>
      <c r="WVI148"/>
      <c r="WVJ148"/>
      <c r="WVK148"/>
      <c r="WVL148"/>
      <c r="WVM148"/>
      <c r="WVN148"/>
      <c r="WVO148"/>
      <c r="WVP148"/>
      <c r="WVQ148"/>
      <c r="WVR148"/>
      <c r="WVS148"/>
      <c r="WVT148"/>
      <c r="WVU148"/>
      <c r="WVV148"/>
      <c r="WVW148"/>
      <c r="WVX148"/>
      <c r="WVY148"/>
      <c r="WVZ148"/>
      <c r="WWA148"/>
      <c r="WWB148"/>
      <c r="WWC148"/>
      <c r="WWD148"/>
      <c r="WWE148"/>
      <c r="WWF148"/>
      <c r="WWG148"/>
      <c r="WWH148"/>
      <c r="WWI148"/>
      <c r="WWJ148"/>
      <c r="WWK148"/>
      <c r="WWL148"/>
      <c r="WWM148"/>
      <c r="WWN148"/>
      <c r="WWO148"/>
      <c r="WWP148"/>
      <c r="WWQ148"/>
      <c r="WWR148"/>
      <c r="WWS148"/>
      <c r="WWT148"/>
      <c r="WWU148"/>
      <c r="WWV148"/>
      <c r="WWW148"/>
      <c r="WWX148"/>
      <c r="WWY148"/>
      <c r="WWZ148"/>
      <c r="WXA148"/>
      <c r="WXB148"/>
      <c r="WXC148"/>
      <c r="WXD148"/>
      <c r="WXE148"/>
      <c r="WXF148"/>
      <c r="WXG148"/>
      <c r="WXH148"/>
      <c r="WXI148"/>
      <c r="WXJ148"/>
      <c r="WXK148"/>
      <c r="WXL148"/>
      <c r="WXM148"/>
      <c r="WXN148"/>
      <c r="WXO148"/>
      <c r="WXP148"/>
      <c r="WXQ148"/>
      <c r="WXR148"/>
      <c r="WXS148"/>
      <c r="WXT148"/>
      <c r="WXU148"/>
      <c r="WXV148"/>
      <c r="WXW148"/>
      <c r="WXX148"/>
      <c r="WXY148"/>
      <c r="WXZ148"/>
      <c r="WYA148"/>
      <c r="WYB148"/>
      <c r="WYC148"/>
      <c r="WYD148"/>
      <c r="WYE148"/>
      <c r="WYF148"/>
      <c r="WYG148"/>
      <c r="WYH148"/>
      <c r="WYI148"/>
      <c r="WYJ148"/>
      <c r="WYK148"/>
      <c r="WYL148"/>
      <c r="WYM148"/>
      <c r="WYN148"/>
      <c r="WYO148"/>
      <c r="WYP148"/>
      <c r="WYQ148"/>
      <c r="WYR148"/>
      <c r="WYS148"/>
      <c r="WYT148"/>
      <c r="WYU148"/>
      <c r="WYV148"/>
      <c r="WYW148"/>
      <c r="WYX148"/>
      <c r="WYY148"/>
      <c r="WYZ148"/>
      <c r="WZA148"/>
      <c r="WZB148"/>
      <c r="WZC148"/>
      <c r="WZD148"/>
      <c r="WZE148"/>
      <c r="WZF148"/>
      <c r="WZG148"/>
      <c r="WZH148"/>
      <c r="WZI148"/>
      <c r="WZJ148"/>
      <c r="WZK148"/>
      <c r="WZL148"/>
      <c r="WZM148"/>
      <c r="WZN148"/>
      <c r="WZO148"/>
      <c r="WZP148"/>
      <c r="WZQ148"/>
      <c r="WZR148"/>
      <c r="WZS148"/>
      <c r="WZT148"/>
      <c r="WZU148"/>
      <c r="WZV148"/>
      <c r="WZW148"/>
      <c r="WZX148"/>
      <c r="WZY148"/>
      <c r="WZZ148"/>
      <c r="XAA148"/>
      <c r="XAB148"/>
      <c r="XAC148"/>
      <c r="XAD148"/>
      <c r="XAE148"/>
      <c r="XAF148"/>
      <c r="XAG148"/>
      <c r="XAH148"/>
      <c r="XAI148"/>
      <c r="XAJ148"/>
      <c r="XAK148"/>
      <c r="XAL148"/>
      <c r="XAM148"/>
      <c r="XAN148"/>
      <c r="XAO148"/>
      <c r="XAP148"/>
      <c r="XAQ148"/>
      <c r="XAR148"/>
      <c r="XAS148"/>
      <c r="XAT148"/>
      <c r="XAU148"/>
      <c r="XAV148"/>
      <c r="XAW148"/>
      <c r="XAX148"/>
      <c r="XAY148"/>
      <c r="XAZ148"/>
      <c r="XBA148"/>
      <c r="XBB148"/>
      <c r="XBC148"/>
      <c r="XBD148"/>
      <c r="XBE148"/>
      <c r="XBF148"/>
      <c r="XBG148"/>
      <c r="XBH148"/>
      <c r="XBI148"/>
      <c r="XBJ148"/>
      <c r="XBK148"/>
      <c r="XBL148"/>
      <c r="XBM148"/>
      <c r="XBN148"/>
      <c r="XBO148"/>
      <c r="XBP148"/>
      <c r="XBQ148"/>
      <c r="XBR148"/>
      <c r="XBS148"/>
      <c r="XBT148"/>
      <c r="XBU148"/>
      <c r="XBV148"/>
      <c r="XBW148"/>
      <c r="XBX148"/>
      <c r="XBY148"/>
      <c r="XBZ148"/>
      <c r="XCA148"/>
      <c r="XCB148"/>
      <c r="XCC148"/>
      <c r="XCD148"/>
      <c r="XCE148"/>
      <c r="XCF148"/>
      <c r="XCG148"/>
      <c r="XCH148"/>
      <c r="XCI148"/>
      <c r="XCJ148"/>
      <c r="XCK148"/>
      <c r="XCL148"/>
      <c r="XCM148"/>
      <c r="XCN148"/>
      <c r="XCO148"/>
      <c r="XCP148"/>
      <c r="XCQ148"/>
      <c r="XCR148"/>
      <c r="XCS148"/>
      <c r="XCT148"/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  <c r="XEM148"/>
      <c r="XEN148"/>
      <c r="XEO148"/>
      <c r="XEP148"/>
      <c r="XEQ148"/>
      <c r="XER148"/>
      <c r="XES148"/>
      <c r="XET148"/>
      <c r="XEU148"/>
      <c r="XEV148"/>
      <c r="XEW148"/>
      <c r="XEX148"/>
      <c r="XEY148"/>
      <c r="XEZ148"/>
      <c r="XFA148"/>
      <c r="XFB148"/>
      <c r="XFC148"/>
      <c r="XFD148"/>
    </row>
    <row r="149" spans="1:16384" x14ac:dyDescent="0.25">
      <c r="A149" s="86"/>
      <c r="B149" s="1136"/>
      <c r="D149" s="548">
        <f>DATE(LEFT(Producción_Lecheria[[#This Row],[Campaña]],4)+1,6,30)</f>
        <v>43646</v>
      </c>
      <c r="E149" s="478"/>
      <c r="F149" s="479" t="str">
        <f t="shared" si="0"/>
        <v>2018-2019</v>
      </c>
      <c r="G149" s="480" t="str">
        <f t="shared" si="13"/>
        <v>Stock Cierre</v>
      </c>
      <c r="H149" s="481" t="s">
        <v>2</v>
      </c>
      <c r="I149" s="491" t="str">
        <f>Configuración!BM6</f>
        <v>Vaca Seca</v>
      </c>
      <c r="J149" s="549"/>
      <c r="K149" s="481"/>
      <c r="L149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4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49" s="520">
        <f>SUMPRODUCT((Producción_Lecheria[[#This Row],[Centro de Costo]]=$H$5:$H$147)*(Producción_Lecheria[[#This Row],[Categoría Hacienda]]=$I$5:$I$147)*($AF$5:$AF$147))</f>
        <v>0</v>
      </c>
      <c r="O149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49" s="483">
        <f>Producción_Lecheria[[#This Row],[Cabezas]]</f>
        <v>0</v>
      </c>
      <c r="Q149" s="491"/>
      <c r="R149" s="875">
        <f>IF(ISNUMBER(Producción_Lecheria[[#This Row],[Cabezas]])=TRUE,Producción_Lecheria[[#This Row],[Cabezas]]*Producción_Lecheria[[#This Row],[Cantidad]],Producción_Lecheria[[#This Row],[Cantidad]])</f>
        <v>0</v>
      </c>
      <c r="S149" s="491"/>
      <c r="T149" s="483"/>
      <c r="U149" s="485"/>
      <c r="V149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49" s="977">
        <f>IFERROR(Producción_Lecheria[[#This Row],[Económico $Corrientes]]/Producción_Lecheria[[#This Row],[Indexación Económico]],0)</f>
        <v>0</v>
      </c>
      <c r="X14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4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49" s="977">
        <f>IFERROR(Producción_Lecheria[[#This Row],[Financiero $Corrientes]]/Producción_Lecheria[[#This Row],[Indexación Financiero]],0)</f>
        <v>0</v>
      </c>
      <c r="AA149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4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49" s="981">
        <f>IFERROR(Producción_Lecheria[[#This Row],[Intereses $Corrientes]]/Producción_Lecheria[[#This Row],[Indexación Financiero]],0)</f>
        <v>0</v>
      </c>
      <c r="AD14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49" s="982" t="str">
        <f>IFERROR(INDEX(Produccion_Lecheria_Cuentas[],MATCH(Producción_Lecheria[[#This Row],[Cuenta Contable]],Produccion_Lecheria_Cuentas[Cuenta Contable],0),2),0)</f>
        <v>Stock Cierre</v>
      </c>
      <c r="AF149" s="983">
        <f>IF(Producción_Lecheria[[#This Row],[Mov. Stock]]="(+)",Producción_Lecheria[[#This Row],[Cabezas]],IF(Producción_Lecheria[[#This Row],[Mov. Stock]]="(-)",-Producción_Lecheria[[#This Row],[Cabezas]],0))</f>
        <v>0</v>
      </c>
      <c r="AG149" s="984" t="str">
        <f>IFERROR(INDEX(Produccion_Lecheria_Cuentas[],MATCH(Producción_Lecheria[[#This Row],[Cuenta Contable]],Produccion_Lecheria_Cuentas[Cuenta Contable],0),5),0)</f>
        <v>(-)</v>
      </c>
      <c r="AH149" s="985" t="str">
        <f>IF(Producción_Lecheria[[#This Row],[Cuenta Contable]]=Configuración!$AC$9,"Si","No")</f>
        <v>No</v>
      </c>
      <c r="AI149" s="983" t="str">
        <f>IFERROR(INDEX(Tabla9[],MATCH(Producción_Lecheria[[#This Row],[Movimiento]],Tabla9[Movimientos],0),2),0)</f>
        <v>No</v>
      </c>
      <c r="AJ149" s="984" t="str">
        <f>IFERROR(INDEX(Tabla9[],MATCH(Producción_Lecheria[[#This Row],[Movimiento]],Tabla9[Movimientos],0),3),0)</f>
        <v>(+)</v>
      </c>
      <c r="AK149" s="986">
        <f>IF(Producción_Lecheria[[#This Row],[Fecha Económico]]=0,0,MONTH(Producción_Lecheria[[#This Row],[Fecha Económico]]))</f>
        <v>6</v>
      </c>
      <c r="AL149" s="986">
        <f>IF(Producción_Lecheria[[#This Row],[Fecha Económico]]=0,0,YEAR(Producción_Lecheria[[#This Row],[Fecha Económico]]))</f>
        <v>2019</v>
      </c>
      <c r="AM149" s="987">
        <f>SUMPRODUCT((Producción_Lecheria[[#This Row],[Mes Económico]]=Tipo_Cambio[Mes])*(Producción_Lecheria[[#This Row],[Año Económico]]=Tipo_Cambio[Año])*(Tipo_Cambio[$/U$S]))</f>
        <v>24.544703626636963</v>
      </c>
      <c r="AN149" s="987">
        <f>SUMPRODUCT((Producción_Lecheria[[#This Row],[Mes Económico]]=Tipo_Cambio[Mes])*(Producción_Lecheria[[#This Row],[Año Económico]]=Tipo_Cambio[Año])*(Tipo_Cambio[Actualización]))</f>
        <v>1.2433743083946525</v>
      </c>
      <c r="AO149" s="986">
        <f>IF(ISNUMBER(Producción_Lecheria[[#This Row],[Fecha Financiero]])=TRUE,MONTH(Producción_Lecheria[[#This Row],[Fecha Financiero]]),0)</f>
        <v>0</v>
      </c>
      <c r="AP149" s="986">
        <f>IF(ISNUMBER(Producción_Lecheria[[#This Row],[Fecha Financiero]])=TRUE,YEAR(Producción_Lecheria[[#This Row],[Fecha Financiero]]),0)</f>
        <v>0</v>
      </c>
      <c r="AQ149" s="987">
        <f>SUMPRODUCT((Producción_Lecheria[[#This Row],[Mes Financiero]]=Tipo_Cambio[Mes])*(Producción_Lecheria[[#This Row],[Año Financiero]]=Tipo_Cambio[Año])*(Tipo_Cambio[$/U$S]))</f>
        <v>0</v>
      </c>
      <c r="AR149" s="987">
        <f>SUMPRODUCT((Producción_Lecheria[[#This Row],[Mes Financiero]]=Tipo_Cambio[Mes])*(Producción_Lecheria[[#This Row],[Año Financiero]]=Tipo_Cambio[Año])*(Tipo_Cambio[Actualización]))</f>
        <v>0</v>
      </c>
      <c r="AS149" s="988">
        <f>SUMPRODUCT((Producción_Lecheria[[#This Row],[Centro de Costo]]=Tabla1924[Centro de Costo])*(Tabla19[Superficie]))</f>
        <v>2356</v>
      </c>
      <c r="AT149" s="987">
        <f>IFERROR(Producción_Lecheria[[#This Row],[Económico $Corrientes]]/Producción_Lecheria[[#This Row],[Superficie]],0)</f>
        <v>0</v>
      </c>
      <c r="AU149" s="987">
        <f>IFERROR(Producción_Lecheria[[#This Row],[Económico $Constantes]]/Producción_Lecheria[[#This Row],[Superficie]],0)</f>
        <v>0</v>
      </c>
      <c r="AV149" s="987">
        <f>IFERROR(Producción_Lecheria[[#This Row],[Económico U$S Dólares]]/Producción_Lecheria[[#This Row],[Superficie]],0)</f>
        <v>0</v>
      </c>
      <c r="AW149" s="983" t="str">
        <f>IF(Económico!$F$4=0,0,Producción_Lecheria[Centro de Costo])</f>
        <v>Campo 1</v>
      </c>
    </row>
    <row r="150" spans="1:16384" x14ac:dyDescent="0.25">
      <c r="A150" s="86"/>
      <c r="B150" s="1136"/>
      <c r="D150" s="548">
        <f>DATE(LEFT(Producción_Lecheria[[#This Row],[Campaña]],4)+1,6,30)</f>
        <v>43646</v>
      </c>
      <c r="E150" s="478"/>
      <c r="F150" s="479" t="str">
        <f t="shared" si="0"/>
        <v>2018-2019</v>
      </c>
      <c r="G150" s="480" t="str">
        <f t="shared" si="13"/>
        <v>Stock Cierre</v>
      </c>
      <c r="H150" s="481" t="s">
        <v>2</v>
      </c>
      <c r="I150" s="491" t="str">
        <f>Configuración!BM7</f>
        <v>Toro</v>
      </c>
      <c r="J150" s="549"/>
      <c r="K150" s="481"/>
      <c r="L150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5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50" s="520">
        <f>SUMPRODUCT((Producción_Lecheria[[#This Row],[Centro de Costo]]=$H$5:$H$147)*(Producción_Lecheria[[#This Row],[Categoría Hacienda]]=$I$5:$I$147)*($AF$5:$AF$147))</f>
        <v>0</v>
      </c>
      <c r="O150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50" s="483">
        <f>Producción_Lecheria[[#This Row],[Cabezas]]</f>
        <v>0</v>
      </c>
      <c r="Q150" s="491"/>
      <c r="R150" s="875">
        <f>IF(ISNUMBER(Producción_Lecheria[[#This Row],[Cabezas]])=TRUE,Producción_Lecheria[[#This Row],[Cabezas]]*Producción_Lecheria[[#This Row],[Cantidad]],Producción_Lecheria[[#This Row],[Cantidad]])</f>
        <v>0</v>
      </c>
      <c r="S150" s="491"/>
      <c r="T150" s="483"/>
      <c r="U150" s="485"/>
      <c r="V150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50" s="977">
        <f>IFERROR(Producción_Lecheria[[#This Row],[Económico $Corrientes]]/Producción_Lecheria[[#This Row],[Indexación Económico]],0)</f>
        <v>0</v>
      </c>
      <c r="X15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5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50" s="977">
        <f>IFERROR(Producción_Lecheria[[#This Row],[Financiero $Corrientes]]/Producción_Lecheria[[#This Row],[Indexación Financiero]],0)</f>
        <v>0</v>
      </c>
      <c r="AA150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5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50" s="981">
        <f>IFERROR(Producción_Lecheria[[#This Row],[Intereses $Corrientes]]/Producción_Lecheria[[#This Row],[Indexación Financiero]],0)</f>
        <v>0</v>
      </c>
      <c r="AD15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50" s="982" t="str">
        <f>IFERROR(INDEX(Produccion_Lecheria_Cuentas[],MATCH(Producción_Lecheria[[#This Row],[Cuenta Contable]],Produccion_Lecheria_Cuentas[Cuenta Contable],0),2),0)</f>
        <v>Stock Cierre</v>
      </c>
      <c r="AF150" s="983">
        <f>IF(Producción_Lecheria[[#This Row],[Mov. Stock]]="(+)",Producción_Lecheria[[#This Row],[Cabezas]],IF(Producción_Lecheria[[#This Row],[Mov. Stock]]="(-)",-Producción_Lecheria[[#This Row],[Cabezas]],0))</f>
        <v>0</v>
      </c>
      <c r="AG150" s="984" t="str">
        <f>IFERROR(INDEX(Produccion_Lecheria_Cuentas[],MATCH(Producción_Lecheria[[#This Row],[Cuenta Contable]],Produccion_Lecheria_Cuentas[Cuenta Contable],0),5),0)</f>
        <v>(-)</v>
      </c>
      <c r="AH150" s="985" t="str">
        <f>IF(Producción_Lecheria[[#This Row],[Cuenta Contable]]=Configuración!$AC$9,"Si","No")</f>
        <v>No</v>
      </c>
      <c r="AI150" s="983" t="str">
        <f>IFERROR(INDEX(Tabla9[],MATCH(Producción_Lecheria[[#This Row],[Movimiento]],Tabla9[Movimientos],0),2),0)</f>
        <v>No</v>
      </c>
      <c r="AJ150" s="984" t="str">
        <f>IFERROR(INDEX(Tabla9[],MATCH(Producción_Lecheria[[#This Row],[Movimiento]],Tabla9[Movimientos],0),3),0)</f>
        <v>(+)</v>
      </c>
      <c r="AK150" s="986">
        <f>IF(Producción_Lecheria[[#This Row],[Fecha Económico]]=0,0,MONTH(Producción_Lecheria[[#This Row],[Fecha Económico]]))</f>
        <v>6</v>
      </c>
      <c r="AL150" s="986">
        <f>IF(Producción_Lecheria[[#This Row],[Fecha Económico]]=0,0,YEAR(Producción_Lecheria[[#This Row],[Fecha Económico]]))</f>
        <v>2019</v>
      </c>
      <c r="AM150" s="987">
        <f>SUMPRODUCT((Producción_Lecheria[[#This Row],[Mes Económico]]=Tipo_Cambio[Mes])*(Producción_Lecheria[[#This Row],[Año Económico]]=Tipo_Cambio[Año])*(Tipo_Cambio[$/U$S]))</f>
        <v>24.544703626636963</v>
      </c>
      <c r="AN150" s="987">
        <f>SUMPRODUCT((Producción_Lecheria[[#This Row],[Mes Económico]]=Tipo_Cambio[Mes])*(Producción_Lecheria[[#This Row],[Año Económico]]=Tipo_Cambio[Año])*(Tipo_Cambio[Actualización]))</f>
        <v>1.2433743083946525</v>
      </c>
      <c r="AO150" s="986">
        <f>IF(ISNUMBER(Producción_Lecheria[[#This Row],[Fecha Financiero]])=TRUE,MONTH(Producción_Lecheria[[#This Row],[Fecha Financiero]]),0)</f>
        <v>0</v>
      </c>
      <c r="AP150" s="986">
        <f>IF(ISNUMBER(Producción_Lecheria[[#This Row],[Fecha Financiero]])=TRUE,YEAR(Producción_Lecheria[[#This Row],[Fecha Financiero]]),0)</f>
        <v>0</v>
      </c>
      <c r="AQ150" s="987">
        <f>SUMPRODUCT((Producción_Lecheria[[#This Row],[Mes Financiero]]=Tipo_Cambio[Mes])*(Producción_Lecheria[[#This Row],[Año Financiero]]=Tipo_Cambio[Año])*(Tipo_Cambio[$/U$S]))</f>
        <v>0</v>
      </c>
      <c r="AR150" s="987">
        <f>SUMPRODUCT((Producción_Lecheria[[#This Row],[Mes Financiero]]=Tipo_Cambio[Mes])*(Producción_Lecheria[[#This Row],[Año Financiero]]=Tipo_Cambio[Año])*(Tipo_Cambio[Actualización]))</f>
        <v>0</v>
      </c>
      <c r="AS150" s="988">
        <f>SUMPRODUCT((Producción_Lecheria[[#This Row],[Centro de Costo]]=Tabla1924[Centro de Costo])*(Tabla19[Superficie]))</f>
        <v>2356</v>
      </c>
      <c r="AT150" s="987">
        <f>IFERROR(Producción_Lecheria[[#This Row],[Económico $Corrientes]]/Producción_Lecheria[[#This Row],[Superficie]],0)</f>
        <v>0</v>
      </c>
      <c r="AU150" s="987">
        <f>IFERROR(Producción_Lecheria[[#This Row],[Económico $Constantes]]/Producción_Lecheria[[#This Row],[Superficie]],0)</f>
        <v>0</v>
      </c>
      <c r="AV150" s="987">
        <f>IFERROR(Producción_Lecheria[[#This Row],[Económico U$S Dólares]]/Producción_Lecheria[[#This Row],[Superficie]],0)</f>
        <v>0</v>
      </c>
      <c r="AW150" s="983" t="str">
        <f>IF(Económico!$F$4=0,0,Producción_Lecheria[Centro de Costo])</f>
        <v>Campo 1</v>
      </c>
    </row>
    <row r="151" spans="1:16384" x14ac:dyDescent="0.25">
      <c r="A151" s="86"/>
      <c r="D151" s="548">
        <f>DATE(LEFT(Producción_Lecheria[[#This Row],[Campaña]],4)+1,6,30)</f>
        <v>43646</v>
      </c>
      <c r="E151" s="478"/>
      <c r="F151" s="479" t="str">
        <f t="shared" si="0"/>
        <v>2018-2019</v>
      </c>
      <c r="G151" s="480" t="str">
        <f t="shared" si="13"/>
        <v>Stock Cierre</v>
      </c>
      <c r="H151" s="481" t="s">
        <v>2</v>
      </c>
      <c r="I151" s="491" t="str">
        <f>Configuración!BM8</f>
        <v>Vaquillona Preñada</v>
      </c>
      <c r="J151" s="549"/>
      <c r="K151" s="481"/>
      <c r="L151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5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51" s="520">
        <f>SUMPRODUCT((Producción_Lecheria[[#This Row],[Centro de Costo]]=$H$5:$H$147)*(Producción_Lecheria[[#This Row],[Categoría Hacienda]]=$I$5:$I$147)*($AF$5:$AF$147))</f>
        <v>0</v>
      </c>
      <c r="O151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51" s="483">
        <f>Producción_Lecheria[[#This Row],[Cabezas]]</f>
        <v>0</v>
      </c>
      <c r="Q151" s="491"/>
      <c r="R151" s="875">
        <f>IF(ISNUMBER(Producción_Lecheria[[#This Row],[Cabezas]])=TRUE,Producción_Lecheria[[#This Row],[Cabezas]]*Producción_Lecheria[[#This Row],[Cantidad]],Producción_Lecheria[[#This Row],[Cantidad]])</f>
        <v>0</v>
      </c>
      <c r="S151" s="491"/>
      <c r="T151" s="483"/>
      <c r="U151" s="485"/>
      <c r="V151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51" s="977">
        <f>IFERROR(Producción_Lecheria[[#This Row],[Económico $Corrientes]]/Producción_Lecheria[[#This Row],[Indexación Económico]],0)</f>
        <v>0</v>
      </c>
      <c r="X15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5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51" s="977">
        <f>IFERROR(Producción_Lecheria[[#This Row],[Financiero $Corrientes]]/Producción_Lecheria[[#This Row],[Indexación Financiero]],0)</f>
        <v>0</v>
      </c>
      <c r="AA151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5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51" s="981">
        <f>IFERROR(Producción_Lecheria[[#This Row],[Intereses $Corrientes]]/Producción_Lecheria[[#This Row],[Indexación Financiero]],0)</f>
        <v>0</v>
      </c>
      <c r="AD15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51" s="982" t="str">
        <f>IFERROR(INDEX(Produccion_Lecheria_Cuentas[],MATCH(Producción_Lecheria[[#This Row],[Cuenta Contable]],Produccion_Lecheria_Cuentas[Cuenta Contable],0),2),0)</f>
        <v>Stock Cierre</v>
      </c>
      <c r="AF151" s="983">
        <f>IF(Producción_Lecheria[[#This Row],[Mov. Stock]]="(+)",Producción_Lecheria[[#This Row],[Cabezas]],IF(Producción_Lecheria[[#This Row],[Mov. Stock]]="(-)",-Producción_Lecheria[[#This Row],[Cabezas]],0))</f>
        <v>0</v>
      </c>
      <c r="AG151" s="984" t="str">
        <f>IFERROR(INDEX(Produccion_Lecheria_Cuentas[],MATCH(Producción_Lecheria[[#This Row],[Cuenta Contable]],Produccion_Lecheria_Cuentas[Cuenta Contable],0),5),0)</f>
        <v>(-)</v>
      </c>
      <c r="AH151" s="985" t="str">
        <f>IF(Producción_Lecheria[[#This Row],[Cuenta Contable]]=Configuración!$AC$9,"Si","No")</f>
        <v>No</v>
      </c>
      <c r="AI151" s="983" t="str">
        <f>IFERROR(INDEX(Tabla9[],MATCH(Producción_Lecheria[[#This Row],[Movimiento]],Tabla9[Movimientos],0),2),0)</f>
        <v>No</v>
      </c>
      <c r="AJ151" s="984" t="str">
        <f>IFERROR(INDEX(Tabla9[],MATCH(Producción_Lecheria[[#This Row],[Movimiento]],Tabla9[Movimientos],0),3),0)</f>
        <v>(+)</v>
      </c>
      <c r="AK151" s="986">
        <f>IF(Producción_Lecheria[[#This Row],[Fecha Económico]]=0,0,MONTH(Producción_Lecheria[[#This Row],[Fecha Económico]]))</f>
        <v>6</v>
      </c>
      <c r="AL151" s="986">
        <f>IF(Producción_Lecheria[[#This Row],[Fecha Económico]]=0,0,YEAR(Producción_Lecheria[[#This Row],[Fecha Económico]]))</f>
        <v>2019</v>
      </c>
      <c r="AM151" s="987">
        <f>SUMPRODUCT((Producción_Lecheria[[#This Row],[Mes Económico]]=Tipo_Cambio[Mes])*(Producción_Lecheria[[#This Row],[Año Económico]]=Tipo_Cambio[Año])*(Tipo_Cambio[$/U$S]))</f>
        <v>24.544703626636963</v>
      </c>
      <c r="AN151" s="987">
        <f>SUMPRODUCT((Producción_Lecheria[[#This Row],[Mes Económico]]=Tipo_Cambio[Mes])*(Producción_Lecheria[[#This Row],[Año Económico]]=Tipo_Cambio[Año])*(Tipo_Cambio[Actualización]))</f>
        <v>1.2433743083946525</v>
      </c>
      <c r="AO151" s="986">
        <f>IF(ISNUMBER(Producción_Lecheria[[#This Row],[Fecha Financiero]])=TRUE,MONTH(Producción_Lecheria[[#This Row],[Fecha Financiero]]),0)</f>
        <v>0</v>
      </c>
      <c r="AP151" s="986">
        <f>IF(ISNUMBER(Producción_Lecheria[[#This Row],[Fecha Financiero]])=TRUE,YEAR(Producción_Lecheria[[#This Row],[Fecha Financiero]]),0)</f>
        <v>0</v>
      </c>
      <c r="AQ151" s="987">
        <f>SUMPRODUCT((Producción_Lecheria[[#This Row],[Mes Financiero]]=Tipo_Cambio[Mes])*(Producción_Lecheria[[#This Row],[Año Financiero]]=Tipo_Cambio[Año])*(Tipo_Cambio[$/U$S]))</f>
        <v>0</v>
      </c>
      <c r="AR151" s="987">
        <f>SUMPRODUCT((Producción_Lecheria[[#This Row],[Mes Financiero]]=Tipo_Cambio[Mes])*(Producción_Lecheria[[#This Row],[Año Financiero]]=Tipo_Cambio[Año])*(Tipo_Cambio[Actualización]))</f>
        <v>0</v>
      </c>
      <c r="AS151" s="988">
        <f>SUMPRODUCT((Producción_Lecheria[[#This Row],[Centro de Costo]]=Tabla1924[Centro de Costo])*(Tabla19[Superficie]))</f>
        <v>2356</v>
      </c>
      <c r="AT151" s="987">
        <f>IFERROR(Producción_Lecheria[[#This Row],[Económico $Corrientes]]/Producción_Lecheria[[#This Row],[Superficie]],0)</f>
        <v>0</v>
      </c>
      <c r="AU151" s="987">
        <f>IFERROR(Producción_Lecheria[[#This Row],[Económico $Constantes]]/Producción_Lecheria[[#This Row],[Superficie]],0)</f>
        <v>0</v>
      </c>
      <c r="AV151" s="987">
        <f>IFERROR(Producción_Lecheria[[#This Row],[Económico U$S Dólares]]/Producción_Lecheria[[#This Row],[Superficie]],0)</f>
        <v>0</v>
      </c>
      <c r="AW151" s="983" t="str">
        <f>IF(Económico!$F$4=0,0,Producción_Lecheria[Centro de Costo])</f>
        <v>Campo 1</v>
      </c>
    </row>
    <row r="152" spans="1:16384" x14ac:dyDescent="0.25">
      <c r="A152" s="86"/>
      <c r="D152" s="548">
        <f>DATE(LEFT(Producción_Lecheria[[#This Row],[Campaña]],4)+1,6,30)</f>
        <v>43646</v>
      </c>
      <c r="E152" s="478"/>
      <c r="F152" s="479" t="str">
        <f t="shared" si="0"/>
        <v>2018-2019</v>
      </c>
      <c r="G152" s="480" t="str">
        <f t="shared" si="13"/>
        <v>Stock Cierre</v>
      </c>
      <c r="H152" s="481" t="s">
        <v>2</v>
      </c>
      <c r="I152" s="491" t="str">
        <f>Configuración!BM9</f>
        <v>Vaquillona 06-15</v>
      </c>
      <c r="J152" s="549"/>
      <c r="K152" s="481"/>
      <c r="L152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5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52" s="520">
        <f>SUMPRODUCT((Producción_Lecheria[[#This Row],[Centro de Costo]]=$H$5:$H$147)*(Producción_Lecheria[[#This Row],[Categoría Hacienda]]=$I$5:$I$147)*($AF$5:$AF$147))</f>
        <v>0</v>
      </c>
      <c r="O152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52" s="483">
        <f>Producción_Lecheria[[#This Row],[Cabezas]]</f>
        <v>0</v>
      </c>
      <c r="Q152" s="491"/>
      <c r="R152" s="875">
        <f>IF(ISNUMBER(Producción_Lecheria[[#This Row],[Cabezas]])=TRUE,Producción_Lecheria[[#This Row],[Cabezas]]*Producción_Lecheria[[#This Row],[Cantidad]],Producción_Lecheria[[#This Row],[Cantidad]])</f>
        <v>0</v>
      </c>
      <c r="S152" s="491"/>
      <c r="T152" s="483"/>
      <c r="U152" s="485"/>
      <c r="V152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52" s="977">
        <f>IFERROR(Producción_Lecheria[[#This Row],[Económico $Corrientes]]/Producción_Lecheria[[#This Row],[Indexación Económico]],0)</f>
        <v>0</v>
      </c>
      <c r="X15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5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52" s="977">
        <f>IFERROR(Producción_Lecheria[[#This Row],[Financiero $Corrientes]]/Producción_Lecheria[[#This Row],[Indexación Financiero]],0)</f>
        <v>0</v>
      </c>
      <c r="AA152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5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52" s="981">
        <f>IFERROR(Producción_Lecheria[[#This Row],[Intereses $Corrientes]]/Producción_Lecheria[[#This Row],[Indexación Financiero]],0)</f>
        <v>0</v>
      </c>
      <c r="AD15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52" s="982" t="str">
        <f>IFERROR(INDEX(Produccion_Lecheria_Cuentas[],MATCH(Producción_Lecheria[[#This Row],[Cuenta Contable]],Produccion_Lecheria_Cuentas[Cuenta Contable],0),2),0)</f>
        <v>Stock Cierre</v>
      </c>
      <c r="AF152" s="983">
        <f>IF(Producción_Lecheria[[#This Row],[Mov. Stock]]="(+)",Producción_Lecheria[[#This Row],[Cabezas]],IF(Producción_Lecheria[[#This Row],[Mov. Stock]]="(-)",-Producción_Lecheria[[#This Row],[Cabezas]],0))</f>
        <v>0</v>
      </c>
      <c r="AG152" s="984" t="str">
        <f>IFERROR(INDEX(Produccion_Lecheria_Cuentas[],MATCH(Producción_Lecheria[[#This Row],[Cuenta Contable]],Produccion_Lecheria_Cuentas[Cuenta Contable],0),5),0)</f>
        <v>(-)</v>
      </c>
      <c r="AH152" s="985" t="str">
        <f>IF(Producción_Lecheria[[#This Row],[Cuenta Contable]]=Configuración!$AC$9,"Si","No")</f>
        <v>No</v>
      </c>
      <c r="AI152" s="983" t="str">
        <f>IFERROR(INDEX(Tabla9[],MATCH(Producción_Lecheria[[#This Row],[Movimiento]],Tabla9[Movimientos],0),2),0)</f>
        <v>No</v>
      </c>
      <c r="AJ152" s="984" t="str">
        <f>IFERROR(INDEX(Tabla9[],MATCH(Producción_Lecheria[[#This Row],[Movimiento]],Tabla9[Movimientos],0),3),0)</f>
        <v>(+)</v>
      </c>
      <c r="AK152" s="986">
        <f>IF(Producción_Lecheria[[#This Row],[Fecha Económico]]=0,0,MONTH(Producción_Lecheria[[#This Row],[Fecha Económico]]))</f>
        <v>6</v>
      </c>
      <c r="AL152" s="986">
        <f>IF(Producción_Lecheria[[#This Row],[Fecha Económico]]=0,0,YEAR(Producción_Lecheria[[#This Row],[Fecha Económico]]))</f>
        <v>2019</v>
      </c>
      <c r="AM152" s="987">
        <f>SUMPRODUCT((Producción_Lecheria[[#This Row],[Mes Económico]]=Tipo_Cambio[Mes])*(Producción_Lecheria[[#This Row],[Año Económico]]=Tipo_Cambio[Año])*(Tipo_Cambio[$/U$S]))</f>
        <v>24.544703626636963</v>
      </c>
      <c r="AN152" s="987">
        <f>SUMPRODUCT((Producción_Lecheria[[#This Row],[Mes Económico]]=Tipo_Cambio[Mes])*(Producción_Lecheria[[#This Row],[Año Económico]]=Tipo_Cambio[Año])*(Tipo_Cambio[Actualización]))</f>
        <v>1.2433743083946525</v>
      </c>
      <c r="AO152" s="986">
        <f>IF(ISNUMBER(Producción_Lecheria[[#This Row],[Fecha Financiero]])=TRUE,MONTH(Producción_Lecheria[[#This Row],[Fecha Financiero]]),0)</f>
        <v>0</v>
      </c>
      <c r="AP152" s="986">
        <f>IF(ISNUMBER(Producción_Lecheria[[#This Row],[Fecha Financiero]])=TRUE,YEAR(Producción_Lecheria[[#This Row],[Fecha Financiero]]),0)</f>
        <v>0</v>
      </c>
      <c r="AQ152" s="987">
        <f>SUMPRODUCT((Producción_Lecheria[[#This Row],[Mes Financiero]]=Tipo_Cambio[Mes])*(Producción_Lecheria[[#This Row],[Año Financiero]]=Tipo_Cambio[Año])*(Tipo_Cambio[$/U$S]))</f>
        <v>0</v>
      </c>
      <c r="AR152" s="987">
        <f>SUMPRODUCT((Producción_Lecheria[[#This Row],[Mes Financiero]]=Tipo_Cambio[Mes])*(Producción_Lecheria[[#This Row],[Año Financiero]]=Tipo_Cambio[Año])*(Tipo_Cambio[Actualización]))</f>
        <v>0</v>
      </c>
      <c r="AS152" s="988">
        <f>SUMPRODUCT((Producción_Lecheria[[#This Row],[Centro de Costo]]=Tabla1924[Centro de Costo])*(Tabla19[Superficie]))</f>
        <v>2356</v>
      </c>
      <c r="AT152" s="987">
        <f>IFERROR(Producción_Lecheria[[#This Row],[Económico $Corrientes]]/Producción_Lecheria[[#This Row],[Superficie]],0)</f>
        <v>0</v>
      </c>
      <c r="AU152" s="987">
        <f>IFERROR(Producción_Lecheria[[#This Row],[Económico $Constantes]]/Producción_Lecheria[[#This Row],[Superficie]],0)</f>
        <v>0</v>
      </c>
      <c r="AV152" s="987">
        <f>IFERROR(Producción_Lecheria[[#This Row],[Económico U$S Dólares]]/Producción_Lecheria[[#This Row],[Superficie]],0)</f>
        <v>0</v>
      </c>
      <c r="AW152" s="983" t="str">
        <f>IF(Económico!$F$4=0,0,Producción_Lecheria[Centro de Costo])</f>
        <v>Campo 1</v>
      </c>
    </row>
    <row r="153" spans="1:16384" x14ac:dyDescent="0.25">
      <c r="A153" s="86"/>
      <c r="D153" s="548">
        <f>DATE(LEFT(Producción_Lecheria[[#This Row],[Campaña]],4)+1,6,30)</f>
        <v>43646</v>
      </c>
      <c r="E153" s="478"/>
      <c r="F153" s="479" t="str">
        <f t="shared" si="0"/>
        <v>2018-2019</v>
      </c>
      <c r="G153" s="480" t="str">
        <f t="shared" si="13"/>
        <v>Stock Cierre</v>
      </c>
      <c r="H153" s="481" t="s">
        <v>2</v>
      </c>
      <c r="I153" s="491" t="str">
        <f>Configuración!BM10</f>
        <v>Vaquillona 15-27</v>
      </c>
      <c r="J153" s="549"/>
      <c r="K153" s="481"/>
      <c r="L153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5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53" s="520">
        <f>SUMPRODUCT((Producción_Lecheria[[#This Row],[Centro de Costo]]=$H$5:$H$147)*(Producción_Lecheria[[#This Row],[Categoría Hacienda]]=$I$5:$I$147)*($AF$5:$AF$147))</f>
        <v>0</v>
      </c>
      <c r="O153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53" s="483">
        <f>Producción_Lecheria[[#This Row],[Cabezas]]</f>
        <v>0</v>
      </c>
      <c r="Q153" s="491"/>
      <c r="R153" s="875">
        <f>IF(ISNUMBER(Producción_Lecheria[[#This Row],[Cabezas]])=TRUE,Producción_Lecheria[[#This Row],[Cabezas]]*Producción_Lecheria[[#This Row],[Cantidad]],Producción_Lecheria[[#This Row],[Cantidad]])</f>
        <v>0</v>
      </c>
      <c r="S153" s="491"/>
      <c r="T153" s="483"/>
      <c r="U153" s="485"/>
      <c r="V153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53" s="977">
        <f>IFERROR(Producción_Lecheria[[#This Row],[Económico $Corrientes]]/Producción_Lecheria[[#This Row],[Indexación Económico]],0)</f>
        <v>0</v>
      </c>
      <c r="X15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5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53" s="977">
        <f>IFERROR(Producción_Lecheria[[#This Row],[Financiero $Corrientes]]/Producción_Lecheria[[#This Row],[Indexación Financiero]],0)</f>
        <v>0</v>
      </c>
      <c r="AA153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5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53" s="981">
        <f>IFERROR(Producción_Lecheria[[#This Row],[Intereses $Corrientes]]/Producción_Lecheria[[#This Row],[Indexación Financiero]],0)</f>
        <v>0</v>
      </c>
      <c r="AD15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53" s="982" t="str">
        <f>IFERROR(INDEX(Produccion_Lecheria_Cuentas[],MATCH(Producción_Lecheria[[#This Row],[Cuenta Contable]],Produccion_Lecheria_Cuentas[Cuenta Contable],0),2),0)</f>
        <v>Stock Cierre</v>
      </c>
      <c r="AF153" s="983">
        <f>IF(Producción_Lecheria[[#This Row],[Mov. Stock]]="(+)",Producción_Lecheria[[#This Row],[Cabezas]],IF(Producción_Lecheria[[#This Row],[Mov. Stock]]="(-)",-Producción_Lecheria[[#This Row],[Cabezas]],0))</f>
        <v>0</v>
      </c>
      <c r="AG153" s="984" t="str">
        <f>IFERROR(INDEX(Produccion_Lecheria_Cuentas[],MATCH(Producción_Lecheria[[#This Row],[Cuenta Contable]],Produccion_Lecheria_Cuentas[Cuenta Contable],0),5),0)</f>
        <v>(-)</v>
      </c>
      <c r="AH153" s="985" t="str">
        <f>IF(Producción_Lecheria[[#This Row],[Cuenta Contable]]=Configuración!$AC$9,"Si","No")</f>
        <v>No</v>
      </c>
      <c r="AI153" s="983" t="str">
        <f>IFERROR(INDEX(Tabla9[],MATCH(Producción_Lecheria[[#This Row],[Movimiento]],Tabla9[Movimientos],0),2),0)</f>
        <v>No</v>
      </c>
      <c r="AJ153" s="984" t="str">
        <f>IFERROR(INDEX(Tabla9[],MATCH(Producción_Lecheria[[#This Row],[Movimiento]],Tabla9[Movimientos],0),3),0)</f>
        <v>(+)</v>
      </c>
      <c r="AK153" s="986">
        <f>IF(Producción_Lecheria[[#This Row],[Fecha Económico]]=0,0,MONTH(Producción_Lecheria[[#This Row],[Fecha Económico]]))</f>
        <v>6</v>
      </c>
      <c r="AL153" s="986">
        <f>IF(Producción_Lecheria[[#This Row],[Fecha Económico]]=0,0,YEAR(Producción_Lecheria[[#This Row],[Fecha Económico]]))</f>
        <v>2019</v>
      </c>
      <c r="AM153" s="987">
        <f>SUMPRODUCT((Producción_Lecheria[[#This Row],[Mes Económico]]=Tipo_Cambio[Mes])*(Producción_Lecheria[[#This Row],[Año Económico]]=Tipo_Cambio[Año])*(Tipo_Cambio[$/U$S]))</f>
        <v>24.544703626636963</v>
      </c>
      <c r="AN153" s="987">
        <f>SUMPRODUCT((Producción_Lecheria[[#This Row],[Mes Económico]]=Tipo_Cambio[Mes])*(Producción_Lecheria[[#This Row],[Año Económico]]=Tipo_Cambio[Año])*(Tipo_Cambio[Actualización]))</f>
        <v>1.2433743083946525</v>
      </c>
      <c r="AO153" s="986">
        <f>IF(ISNUMBER(Producción_Lecheria[[#This Row],[Fecha Financiero]])=TRUE,MONTH(Producción_Lecheria[[#This Row],[Fecha Financiero]]),0)</f>
        <v>0</v>
      </c>
      <c r="AP153" s="986">
        <f>IF(ISNUMBER(Producción_Lecheria[[#This Row],[Fecha Financiero]])=TRUE,YEAR(Producción_Lecheria[[#This Row],[Fecha Financiero]]),0)</f>
        <v>0</v>
      </c>
      <c r="AQ153" s="987">
        <f>SUMPRODUCT((Producción_Lecheria[[#This Row],[Mes Financiero]]=Tipo_Cambio[Mes])*(Producción_Lecheria[[#This Row],[Año Financiero]]=Tipo_Cambio[Año])*(Tipo_Cambio[$/U$S]))</f>
        <v>0</v>
      </c>
      <c r="AR153" s="987">
        <f>SUMPRODUCT((Producción_Lecheria[[#This Row],[Mes Financiero]]=Tipo_Cambio[Mes])*(Producción_Lecheria[[#This Row],[Año Financiero]]=Tipo_Cambio[Año])*(Tipo_Cambio[Actualización]))</f>
        <v>0</v>
      </c>
      <c r="AS153" s="988">
        <f>SUMPRODUCT((Producción_Lecheria[[#This Row],[Centro de Costo]]=Tabla1924[Centro de Costo])*(Tabla19[Superficie]))</f>
        <v>2356</v>
      </c>
      <c r="AT153" s="987">
        <f>IFERROR(Producción_Lecheria[[#This Row],[Económico $Corrientes]]/Producción_Lecheria[[#This Row],[Superficie]],0)</f>
        <v>0</v>
      </c>
      <c r="AU153" s="987">
        <f>IFERROR(Producción_Lecheria[[#This Row],[Económico $Constantes]]/Producción_Lecheria[[#This Row],[Superficie]],0)</f>
        <v>0</v>
      </c>
      <c r="AV153" s="987">
        <f>IFERROR(Producción_Lecheria[[#This Row],[Económico U$S Dólares]]/Producción_Lecheria[[#This Row],[Superficie]],0)</f>
        <v>0</v>
      </c>
      <c r="AW153" s="983" t="str">
        <f>IF(Económico!$F$4=0,0,Producción_Lecheria[Centro de Costo])</f>
        <v>Campo 1</v>
      </c>
    </row>
    <row r="154" spans="1:16384" x14ac:dyDescent="0.25">
      <c r="A154" s="86"/>
      <c r="D154" s="548">
        <f>DATE(LEFT(Producción_Lecheria[[#This Row],[Campaña]],4)+1,6,30)</f>
        <v>43646</v>
      </c>
      <c r="E154" s="478"/>
      <c r="F154" s="479" t="str">
        <f t="shared" si="0"/>
        <v>2018-2019</v>
      </c>
      <c r="G154" s="480" t="str">
        <f t="shared" si="13"/>
        <v>Stock Cierre</v>
      </c>
      <c r="H154" s="481" t="s">
        <v>2</v>
      </c>
      <c r="I154" s="491" t="str">
        <f>Configuración!BM11</f>
        <v>Ternera</v>
      </c>
      <c r="J154" s="549"/>
      <c r="K154" s="481"/>
      <c r="L154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5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54" s="520">
        <f>SUMPRODUCT((Producción_Lecheria[[#This Row],[Centro de Costo]]=$H$5:$H$147)*(Producción_Lecheria[[#This Row],[Categoría Hacienda]]=$I$5:$I$147)*($AF$5:$AF$147))</f>
        <v>0</v>
      </c>
      <c r="O154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54" s="483">
        <f>Producción_Lecheria[[#This Row],[Cabezas]]</f>
        <v>0</v>
      </c>
      <c r="Q154" s="491"/>
      <c r="R154" s="875">
        <f>IF(ISNUMBER(Producción_Lecheria[[#This Row],[Cabezas]])=TRUE,Producción_Lecheria[[#This Row],[Cabezas]]*Producción_Lecheria[[#This Row],[Cantidad]],Producción_Lecheria[[#This Row],[Cantidad]])</f>
        <v>0</v>
      </c>
      <c r="S154" s="491"/>
      <c r="T154" s="483"/>
      <c r="U154" s="485"/>
      <c r="V154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54" s="977">
        <f>IFERROR(Producción_Lecheria[[#This Row],[Económico $Corrientes]]/Producción_Lecheria[[#This Row],[Indexación Económico]],0)</f>
        <v>0</v>
      </c>
      <c r="X15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5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54" s="977">
        <f>IFERROR(Producción_Lecheria[[#This Row],[Financiero $Corrientes]]/Producción_Lecheria[[#This Row],[Indexación Financiero]],0)</f>
        <v>0</v>
      </c>
      <c r="AA154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5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54" s="981">
        <f>IFERROR(Producción_Lecheria[[#This Row],[Intereses $Corrientes]]/Producción_Lecheria[[#This Row],[Indexación Financiero]],0)</f>
        <v>0</v>
      </c>
      <c r="AD15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54" s="982" t="str">
        <f>IFERROR(INDEX(Produccion_Lecheria_Cuentas[],MATCH(Producción_Lecheria[[#This Row],[Cuenta Contable]],Produccion_Lecheria_Cuentas[Cuenta Contable],0),2),0)</f>
        <v>Stock Cierre</v>
      </c>
      <c r="AF154" s="983">
        <f>IF(Producción_Lecheria[[#This Row],[Mov. Stock]]="(+)",Producción_Lecheria[[#This Row],[Cabezas]],IF(Producción_Lecheria[[#This Row],[Mov. Stock]]="(-)",-Producción_Lecheria[[#This Row],[Cabezas]],0))</f>
        <v>0</v>
      </c>
      <c r="AG154" s="984" t="str">
        <f>IFERROR(INDEX(Produccion_Lecheria_Cuentas[],MATCH(Producción_Lecheria[[#This Row],[Cuenta Contable]],Produccion_Lecheria_Cuentas[Cuenta Contable],0),5),0)</f>
        <v>(-)</v>
      </c>
      <c r="AH154" s="985" t="str">
        <f>IF(Producción_Lecheria[[#This Row],[Cuenta Contable]]=Configuración!$AC$9,"Si","No")</f>
        <v>No</v>
      </c>
      <c r="AI154" s="983" t="str">
        <f>IFERROR(INDEX(Tabla9[],MATCH(Producción_Lecheria[[#This Row],[Movimiento]],Tabla9[Movimientos],0),2),0)</f>
        <v>No</v>
      </c>
      <c r="AJ154" s="984" t="str">
        <f>IFERROR(INDEX(Tabla9[],MATCH(Producción_Lecheria[[#This Row],[Movimiento]],Tabla9[Movimientos],0),3),0)</f>
        <v>(+)</v>
      </c>
      <c r="AK154" s="986">
        <f>IF(Producción_Lecheria[[#This Row],[Fecha Económico]]=0,0,MONTH(Producción_Lecheria[[#This Row],[Fecha Económico]]))</f>
        <v>6</v>
      </c>
      <c r="AL154" s="986">
        <f>IF(Producción_Lecheria[[#This Row],[Fecha Económico]]=0,0,YEAR(Producción_Lecheria[[#This Row],[Fecha Económico]]))</f>
        <v>2019</v>
      </c>
      <c r="AM154" s="987">
        <f>SUMPRODUCT((Producción_Lecheria[[#This Row],[Mes Económico]]=Tipo_Cambio[Mes])*(Producción_Lecheria[[#This Row],[Año Económico]]=Tipo_Cambio[Año])*(Tipo_Cambio[$/U$S]))</f>
        <v>24.544703626636963</v>
      </c>
      <c r="AN154" s="987">
        <f>SUMPRODUCT((Producción_Lecheria[[#This Row],[Mes Económico]]=Tipo_Cambio[Mes])*(Producción_Lecheria[[#This Row],[Año Económico]]=Tipo_Cambio[Año])*(Tipo_Cambio[Actualización]))</f>
        <v>1.2433743083946525</v>
      </c>
      <c r="AO154" s="986">
        <f>IF(ISNUMBER(Producción_Lecheria[[#This Row],[Fecha Financiero]])=TRUE,MONTH(Producción_Lecheria[[#This Row],[Fecha Financiero]]),0)</f>
        <v>0</v>
      </c>
      <c r="AP154" s="986">
        <f>IF(ISNUMBER(Producción_Lecheria[[#This Row],[Fecha Financiero]])=TRUE,YEAR(Producción_Lecheria[[#This Row],[Fecha Financiero]]),0)</f>
        <v>0</v>
      </c>
      <c r="AQ154" s="987">
        <f>SUMPRODUCT((Producción_Lecheria[[#This Row],[Mes Financiero]]=Tipo_Cambio[Mes])*(Producción_Lecheria[[#This Row],[Año Financiero]]=Tipo_Cambio[Año])*(Tipo_Cambio[$/U$S]))</f>
        <v>0</v>
      </c>
      <c r="AR154" s="987">
        <f>SUMPRODUCT((Producción_Lecheria[[#This Row],[Mes Financiero]]=Tipo_Cambio[Mes])*(Producción_Lecheria[[#This Row],[Año Financiero]]=Tipo_Cambio[Año])*(Tipo_Cambio[Actualización]))</f>
        <v>0</v>
      </c>
      <c r="AS154" s="988">
        <f>SUMPRODUCT((Producción_Lecheria[[#This Row],[Centro de Costo]]=Tabla1924[Centro de Costo])*(Tabla19[Superficie]))</f>
        <v>2356</v>
      </c>
      <c r="AT154" s="987">
        <f>IFERROR(Producción_Lecheria[[#This Row],[Económico $Corrientes]]/Producción_Lecheria[[#This Row],[Superficie]],0)</f>
        <v>0</v>
      </c>
      <c r="AU154" s="987">
        <f>IFERROR(Producción_Lecheria[[#This Row],[Económico $Constantes]]/Producción_Lecheria[[#This Row],[Superficie]],0)</f>
        <v>0</v>
      </c>
      <c r="AV154" s="987">
        <f>IFERROR(Producción_Lecheria[[#This Row],[Económico U$S Dólares]]/Producción_Lecheria[[#This Row],[Superficie]],0)</f>
        <v>0</v>
      </c>
      <c r="AW154" s="983" t="str">
        <f>IF(Económico!$F$4=0,0,Producción_Lecheria[Centro de Costo])</f>
        <v>Campo 1</v>
      </c>
    </row>
    <row r="155" spans="1:16384" x14ac:dyDescent="0.25">
      <c r="A155" s="86"/>
      <c r="D155" s="548">
        <f>DATE(LEFT(Producción_Lecheria[[#This Row],[Campaña]],4)+1,6,30)</f>
        <v>43646</v>
      </c>
      <c r="E155" s="478"/>
      <c r="F155" s="479" t="str">
        <f t="shared" si="0"/>
        <v>2018-2019</v>
      </c>
      <c r="G155" s="480" t="str">
        <f t="shared" si="13"/>
        <v>Stock Cierre</v>
      </c>
      <c r="H155" s="481" t="s">
        <v>2</v>
      </c>
      <c r="I155" s="491" t="str">
        <f>Configuración!BM12</f>
        <v>Ternero</v>
      </c>
      <c r="J155" s="549"/>
      <c r="K155" s="481"/>
      <c r="L155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5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55" s="520">
        <f>SUMPRODUCT((Producción_Lecheria[[#This Row],[Centro de Costo]]=$H$5:$H$147)*(Producción_Lecheria[[#This Row],[Categoría Hacienda]]=$I$5:$I$147)*($AF$5:$AF$147))</f>
        <v>0</v>
      </c>
      <c r="O155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55" s="483">
        <f>Producción_Lecheria[[#This Row],[Cabezas]]</f>
        <v>0</v>
      </c>
      <c r="Q155" s="491"/>
      <c r="R155" s="875">
        <f>IF(ISNUMBER(Producción_Lecheria[[#This Row],[Cabezas]])=TRUE,Producción_Lecheria[[#This Row],[Cabezas]]*Producción_Lecheria[[#This Row],[Cantidad]],Producción_Lecheria[[#This Row],[Cantidad]])</f>
        <v>0</v>
      </c>
      <c r="S155" s="491"/>
      <c r="T155" s="483"/>
      <c r="U155" s="485"/>
      <c r="V155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55" s="977">
        <f>IFERROR(Producción_Lecheria[[#This Row],[Económico $Corrientes]]/Producción_Lecheria[[#This Row],[Indexación Económico]],0)</f>
        <v>0</v>
      </c>
      <c r="X15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5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55" s="977">
        <f>IFERROR(Producción_Lecheria[[#This Row],[Financiero $Corrientes]]/Producción_Lecheria[[#This Row],[Indexación Financiero]],0)</f>
        <v>0</v>
      </c>
      <c r="AA155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5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55" s="981">
        <f>IFERROR(Producción_Lecheria[[#This Row],[Intereses $Corrientes]]/Producción_Lecheria[[#This Row],[Indexación Financiero]],0)</f>
        <v>0</v>
      </c>
      <c r="AD15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55" s="982" t="str">
        <f>IFERROR(INDEX(Produccion_Lecheria_Cuentas[],MATCH(Producción_Lecheria[[#This Row],[Cuenta Contable]],Produccion_Lecheria_Cuentas[Cuenta Contable],0),2),0)</f>
        <v>Stock Cierre</v>
      </c>
      <c r="AF155" s="983">
        <f>IF(Producción_Lecheria[[#This Row],[Mov. Stock]]="(+)",Producción_Lecheria[[#This Row],[Cabezas]],IF(Producción_Lecheria[[#This Row],[Mov. Stock]]="(-)",-Producción_Lecheria[[#This Row],[Cabezas]],0))</f>
        <v>0</v>
      </c>
      <c r="AG155" s="984" t="str">
        <f>IFERROR(INDEX(Produccion_Lecheria_Cuentas[],MATCH(Producción_Lecheria[[#This Row],[Cuenta Contable]],Produccion_Lecheria_Cuentas[Cuenta Contable],0),5),0)</f>
        <v>(-)</v>
      </c>
      <c r="AH155" s="985" t="str">
        <f>IF(Producción_Lecheria[[#This Row],[Cuenta Contable]]=Configuración!$AC$9,"Si","No")</f>
        <v>No</v>
      </c>
      <c r="AI155" s="983" t="str">
        <f>IFERROR(INDEX(Tabla9[],MATCH(Producción_Lecheria[[#This Row],[Movimiento]],Tabla9[Movimientos],0),2),0)</f>
        <v>No</v>
      </c>
      <c r="AJ155" s="984" t="str">
        <f>IFERROR(INDEX(Tabla9[],MATCH(Producción_Lecheria[[#This Row],[Movimiento]],Tabla9[Movimientos],0),3),0)</f>
        <v>(+)</v>
      </c>
      <c r="AK155" s="986">
        <f>IF(Producción_Lecheria[[#This Row],[Fecha Económico]]=0,0,MONTH(Producción_Lecheria[[#This Row],[Fecha Económico]]))</f>
        <v>6</v>
      </c>
      <c r="AL155" s="986">
        <f>IF(Producción_Lecheria[[#This Row],[Fecha Económico]]=0,0,YEAR(Producción_Lecheria[[#This Row],[Fecha Económico]]))</f>
        <v>2019</v>
      </c>
      <c r="AM155" s="987">
        <f>SUMPRODUCT((Producción_Lecheria[[#This Row],[Mes Económico]]=Tipo_Cambio[Mes])*(Producción_Lecheria[[#This Row],[Año Económico]]=Tipo_Cambio[Año])*(Tipo_Cambio[$/U$S]))</f>
        <v>24.544703626636963</v>
      </c>
      <c r="AN155" s="987">
        <f>SUMPRODUCT((Producción_Lecheria[[#This Row],[Mes Económico]]=Tipo_Cambio[Mes])*(Producción_Lecheria[[#This Row],[Año Económico]]=Tipo_Cambio[Año])*(Tipo_Cambio[Actualización]))</f>
        <v>1.2433743083946525</v>
      </c>
      <c r="AO155" s="986">
        <f>IF(ISNUMBER(Producción_Lecheria[[#This Row],[Fecha Financiero]])=TRUE,MONTH(Producción_Lecheria[[#This Row],[Fecha Financiero]]),0)</f>
        <v>0</v>
      </c>
      <c r="AP155" s="986">
        <f>IF(ISNUMBER(Producción_Lecheria[[#This Row],[Fecha Financiero]])=TRUE,YEAR(Producción_Lecheria[[#This Row],[Fecha Financiero]]),0)</f>
        <v>0</v>
      </c>
      <c r="AQ155" s="987">
        <f>SUMPRODUCT((Producción_Lecheria[[#This Row],[Mes Financiero]]=Tipo_Cambio[Mes])*(Producción_Lecheria[[#This Row],[Año Financiero]]=Tipo_Cambio[Año])*(Tipo_Cambio[$/U$S]))</f>
        <v>0</v>
      </c>
      <c r="AR155" s="987">
        <f>SUMPRODUCT((Producción_Lecheria[[#This Row],[Mes Financiero]]=Tipo_Cambio[Mes])*(Producción_Lecheria[[#This Row],[Año Financiero]]=Tipo_Cambio[Año])*(Tipo_Cambio[Actualización]))</f>
        <v>0</v>
      </c>
      <c r="AS155" s="988">
        <f>SUMPRODUCT((Producción_Lecheria[[#This Row],[Centro de Costo]]=Tabla1924[Centro de Costo])*(Tabla19[Superficie]))</f>
        <v>2356</v>
      </c>
      <c r="AT155" s="987">
        <f>IFERROR(Producción_Lecheria[[#This Row],[Económico $Corrientes]]/Producción_Lecheria[[#This Row],[Superficie]],0)</f>
        <v>0</v>
      </c>
      <c r="AU155" s="987">
        <f>IFERROR(Producción_Lecheria[[#This Row],[Económico $Constantes]]/Producción_Lecheria[[#This Row],[Superficie]],0)</f>
        <v>0</v>
      </c>
      <c r="AV155" s="987">
        <f>IFERROR(Producción_Lecheria[[#This Row],[Económico U$S Dólares]]/Producción_Lecheria[[#This Row],[Superficie]],0)</f>
        <v>0</v>
      </c>
      <c r="AW155" s="983" t="str">
        <f>IF(Económico!$F$4=0,0,Producción_Lecheria[Centro de Costo])</f>
        <v>Campo 1</v>
      </c>
    </row>
    <row r="156" spans="1:16384" x14ac:dyDescent="0.25">
      <c r="A156" s="86"/>
      <c r="D156" s="548">
        <f>DATE(LEFT(Producción_Lecheria[[#This Row],[Campaña]],4)+1,6,30)</f>
        <v>43646</v>
      </c>
      <c r="E156" s="478"/>
      <c r="F156" s="479" t="str">
        <f t="shared" si="0"/>
        <v>2018-2019</v>
      </c>
      <c r="G156" s="480" t="str">
        <f t="shared" si="13"/>
        <v>Stock Cierre</v>
      </c>
      <c r="H156" s="481" t="s">
        <v>2</v>
      </c>
      <c r="I156" s="491" t="str">
        <f>Configuración!BM13</f>
        <v>Vaca descarte</v>
      </c>
      <c r="J156" s="549"/>
      <c r="K156" s="481"/>
      <c r="L156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5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56" s="520">
        <f>SUMPRODUCT((Producción_Lecheria[[#This Row],[Centro de Costo]]=$H$5:$H$147)*(Producción_Lecheria[[#This Row],[Categoría Hacienda]]=$I$5:$I$147)*($AF$5:$AF$147))</f>
        <v>0</v>
      </c>
      <c r="O156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56" s="483">
        <f>Producción_Lecheria[[#This Row],[Cabezas]]</f>
        <v>0</v>
      </c>
      <c r="Q156" s="491"/>
      <c r="R156" s="875">
        <f>IF(ISNUMBER(Producción_Lecheria[[#This Row],[Cabezas]])=TRUE,Producción_Lecheria[[#This Row],[Cabezas]]*Producción_Lecheria[[#This Row],[Cantidad]],Producción_Lecheria[[#This Row],[Cantidad]])</f>
        <v>0</v>
      </c>
      <c r="S156" s="491"/>
      <c r="T156" s="483"/>
      <c r="U156" s="485"/>
      <c r="V156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56" s="977">
        <f>IFERROR(Producción_Lecheria[[#This Row],[Económico $Corrientes]]/Producción_Lecheria[[#This Row],[Indexación Económico]],0)</f>
        <v>0</v>
      </c>
      <c r="X15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5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56" s="977">
        <f>IFERROR(Producción_Lecheria[[#This Row],[Financiero $Corrientes]]/Producción_Lecheria[[#This Row],[Indexación Financiero]],0)</f>
        <v>0</v>
      </c>
      <c r="AA156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5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56" s="981">
        <f>IFERROR(Producción_Lecheria[[#This Row],[Intereses $Corrientes]]/Producción_Lecheria[[#This Row],[Indexación Financiero]],0)</f>
        <v>0</v>
      </c>
      <c r="AD15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56" s="982" t="str">
        <f>IFERROR(INDEX(Produccion_Lecheria_Cuentas[],MATCH(Producción_Lecheria[[#This Row],[Cuenta Contable]],Produccion_Lecheria_Cuentas[Cuenta Contable],0),2),0)</f>
        <v>Stock Cierre</v>
      </c>
      <c r="AF156" s="983">
        <f>IF(Producción_Lecheria[[#This Row],[Mov. Stock]]="(+)",Producción_Lecheria[[#This Row],[Cabezas]],IF(Producción_Lecheria[[#This Row],[Mov. Stock]]="(-)",-Producción_Lecheria[[#This Row],[Cabezas]],0))</f>
        <v>0</v>
      </c>
      <c r="AG156" s="984" t="str">
        <f>IFERROR(INDEX(Produccion_Lecheria_Cuentas[],MATCH(Producción_Lecheria[[#This Row],[Cuenta Contable]],Produccion_Lecheria_Cuentas[Cuenta Contable],0),5),0)</f>
        <v>(-)</v>
      </c>
      <c r="AH156" s="985" t="str">
        <f>IF(Producción_Lecheria[[#This Row],[Cuenta Contable]]=Configuración!$AC$9,"Si","No")</f>
        <v>No</v>
      </c>
      <c r="AI156" s="983" t="str">
        <f>IFERROR(INDEX(Tabla9[],MATCH(Producción_Lecheria[[#This Row],[Movimiento]],Tabla9[Movimientos],0),2),0)</f>
        <v>No</v>
      </c>
      <c r="AJ156" s="984" t="str">
        <f>IFERROR(INDEX(Tabla9[],MATCH(Producción_Lecheria[[#This Row],[Movimiento]],Tabla9[Movimientos],0),3),0)</f>
        <v>(+)</v>
      </c>
      <c r="AK156" s="986">
        <f>IF(Producción_Lecheria[[#This Row],[Fecha Económico]]=0,0,MONTH(Producción_Lecheria[[#This Row],[Fecha Económico]]))</f>
        <v>6</v>
      </c>
      <c r="AL156" s="986">
        <f>IF(Producción_Lecheria[[#This Row],[Fecha Económico]]=0,0,YEAR(Producción_Lecheria[[#This Row],[Fecha Económico]]))</f>
        <v>2019</v>
      </c>
      <c r="AM156" s="987">
        <f>SUMPRODUCT((Producción_Lecheria[[#This Row],[Mes Económico]]=Tipo_Cambio[Mes])*(Producción_Lecheria[[#This Row],[Año Económico]]=Tipo_Cambio[Año])*(Tipo_Cambio[$/U$S]))</f>
        <v>24.544703626636963</v>
      </c>
      <c r="AN156" s="987">
        <f>SUMPRODUCT((Producción_Lecheria[[#This Row],[Mes Económico]]=Tipo_Cambio[Mes])*(Producción_Lecheria[[#This Row],[Año Económico]]=Tipo_Cambio[Año])*(Tipo_Cambio[Actualización]))</f>
        <v>1.2433743083946525</v>
      </c>
      <c r="AO156" s="986">
        <f>IF(ISNUMBER(Producción_Lecheria[[#This Row],[Fecha Financiero]])=TRUE,MONTH(Producción_Lecheria[[#This Row],[Fecha Financiero]]),0)</f>
        <v>0</v>
      </c>
      <c r="AP156" s="986">
        <f>IF(ISNUMBER(Producción_Lecheria[[#This Row],[Fecha Financiero]])=TRUE,YEAR(Producción_Lecheria[[#This Row],[Fecha Financiero]]),0)</f>
        <v>0</v>
      </c>
      <c r="AQ156" s="987">
        <f>SUMPRODUCT((Producción_Lecheria[[#This Row],[Mes Financiero]]=Tipo_Cambio[Mes])*(Producción_Lecheria[[#This Row],[Año Financiero]]=Tipo_Cambio[Año])*(Tipo_Cambio[$/U$S]))</f>
        <v>0</v>
      </c>
      <c r="AR156" s="987">
        <f>SUMPRODUCT((Producción_Lecheria[[#This Row],[Mes Financiero]]=Tipo_Cambio[Mes])*(Producción_Lecheria[[#This Row],[Año Financiero]]=Tipo_Cambio[Año])*(Tipo_Cambio[Actualización]))</f>
        <v>0</v>
      </c>
      <c r="AS156" s="988">
        <f>SUMPRODUCT((Producción_Lecheria[[#This Row],[Centro de Costo]]=Tabla1924[Centro de Costo])*(Tabla19[Superficie]))</f>
        <v>2356</v>
      </c>
      <c r="AT156" s="987">
        <f>IFERROR(Producción_Lecheria[[#This Row],[Económico $Corrientes]]/Producción_Lecheria[[#This Row],[Superficie]],0)</f>
        <v>0</v>
      </c>
      <c r="AU156" s="987">
        <f>IFERROR(Producción_Lecheria[[#This Row],[Económico $Constantes]]/Producción_Lecheria[[#This Row],[Superficie]],0)</f>
        <v>0</v>
      </c>
      <c r="AV156" s="987">
        <f>IFERROR(Producción_Lecheria[[#This Row],[Económico U$S Dólares]]/Producción_Lecheria[[#This Row],[Superficie]],0)</f>
        <v>0</v>
      </c>
      <c r="AW156" s="983" t="str">
        <f>IF(Económico!$F$4=0,0,Producción_Lecheria[Centro de Costo])</f>
        <v>Campo 1</v>
      </c>
    </row>
    <row r="157" spans="1:16384" x14ac:dyDescent="0.25">
      <c r="A157" s="86"/>
      <c r="D157" s="548">
        <f>DATE(LEFT(Producción_Lecheria[[#This Row],[Campaña]],4)+1,6,30)</f>
        <v>43646</v>
      </c>
      <c r="E157" s="478"/>
      <c r="F157" s="479" t="str">
        <f t="shared" si="0"/>
        <v>2018-2019</v>
      </c>
      <c r="G157" s="480" t="str">
        <f t="shared" si="13"/>
        <v>Stock Cierre</v>
      </c>
      <c r="H157" s="481" t="s">
        <v>2</v>
      </c>
      <c r="I157" s="491" t="str">
        <f>Configuración!BM14</f>
        <v>Toro Descarte</v>
      </c>
      <c r="J157" s="549"/>
      <c r="K157" s="481"/>
      <c r="L157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5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57" s="520">
        <f>SUMPRODUCT((Producción_Lecheria[[#This Row],[Centro de Costo]]=$H$5:$H$147)*(Producción_Lecheria[[#This Row],[Categoría Hacienda]]=$I$5:$I$147)*($AF$5:$AF$147))</f>
        <v>0</v>
      </c>
      <c r="O157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57" s="483">
        <f>Producción_Lecheria[[#This Row],[Cabezas]]</f>
        <v>0</v>
      </c>
      <c r="Q157" s="491"/>
      <c r="R157" s="875">
        <f>IF(ISNUMBER(Producción_Lecheria[[#This Row],[Cabezas]])=TRUE,Producción_Lecheria[[#This Row],[Cabezas]]*Producción_Lecheria[[#This Row],[Cantidad]],Producción_Lecheria[[#This Row],[Cantidad]])</f>
        <v>0</v>
      </c>
      <c r="S157" s="491"/>
      <c r="T157" s="483"/>
      <c r="U157" s="485"/>
      <c r="V157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57" s="977">
        <f>IFERROR(Producción_Lecheria[[#This Row],[Económico $Corrientes]]/Producción_Lecheria[[#This Row],[Indexación Económico]],0)</f>
        <v>0</v>
      </c>
      <c r="X15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5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57" s="977">
        <f>IFERROR(Producción_Lecheria[[#This Row],[Financiero $Corrientes]]/Producción_Lecheria[[#This Row],[Indexación Financiero]],0)</f>
        <v>0</v>
      </c>
      <c r="AA157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5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57" s="981">
        <f>IFERROR(Producción_Lecheria[[#This Row],[Intereses $Corrientes]]/Producción_Lecheria[[#This Row],[Indexación Financiero]],0)</f>
        <v>0</v>
      </c>
      <c r="AD15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57" s="982" t="str">
        <f>IFERROR(INDEX(Produccion_Lecheria_Cuentas[],MATCH(Producción_Lecheria[[#This Row],[Cuenta Contable]],Produccion_Lecheria_Cuentas[Cuenta Contable],0),2),0)</f>
        <v>Stock Cierre</v>
      </c>
      <c r="AF157" s="983">
        <f>IF(Producción_Lecheria[[#This Row],[Mov. Stock]]="(+)",Producción_Lecheria[[#This Row],[Cabezas]],IF(Producción_Lecheria[[#This Row],[Mov. Stock]]="(-)",-Producción_Lecheria[[#This Row],[Cabezas]],0))</f>
        <v>0</v>
      </c>
      <c r="AG157" s="984" t="str">
        <f>IFERROR(INDEX(Produccion_Lecheria_Cuentas[],MATCH(Producción_Lecheria[[#This Row],[Cuenta Contable]],Produccion_Lecheria_Cuentas[Cuenta Contable],0),5),0)</f>
        <v>(-)</v>
      </c>
      <c r="AH157" s="985" t="str">
        <f>IF(Producción_Lecheria[[#This Row],[Cuenta Contable]]=Configuración!$AC$9,"Si","No")</f>
        <v>No</v>
      </c>
      <c r="AI157" s="983" t="str">
        <f>IFERROR(INDEX(Tabla9[],MATCH(Producción_Lecheria[[#This Row],[Movimiento]],Tabla9[Movimientos],0),2),0)</f>
        <v>No</v>
      </c>
      <c r="AJ157" s="984" t="str">
        <f>IFERROR(INDEX(Tabla9[],MATCH(Producción_Lecheria[[#This Row],[Movimiento]],Tabla9[Movimientos],0),3),0)</f>
        <v>(+)</v>
      </c>
      <c r="AK157" s="986">
        <f>IF(Producción_Lecheria[[#This Row],[Fecha Económico]]=0,0,MONTH(Producción_Lecheria[[#This Row],[Fecha Económico]]))</f>
        <v>6</v>
      </c>
      <c r="AL157" s="986">
        <f>IF(Producción_Lecheria[[#This Row],[Fecha Económico]]=0,0,YEAR(Producción_Lecheria[[#This Row],[Fecha Económico]]))</f>
        <v>2019</v>
      </c>
      <c r="AM157" s="987">
        <f>SUMPRODUCT((Producción_Lecheria[[#This Row],[Mes Económico]]=Tipo_Cambio[Mes])*(Producción_Lecheria[[#This Row],[Año Económico]]=Tipo_Cambio[Año])*(Tipo_Cambio[$/U$S]))</f>
        <v>24.544703626636963</v>
      </c>
      <c r="AN157" s="987">
        <f>SUMPRODUCT((Producción_Lecheria[[#This Row],[Mes Económico]]=Tipo_Cambio[Mes])*(Producción_Lecheria[[#This Row],[Año Económico]]=Tipo_Cambio[Año])*(Tipo_Cambio[Actualización]))</f>
        <v>1.2433743083946525</v>
      </c>
      <c r="AO157" s="986">
        <f>IF(ISNUMBER(Producción_Lecheria[[#This Row],[Fecha Financiero]])=TRUE,MONTH(Producción_Lecheria[[#This Row],[Fecha Financiero]]),0)</f>
        <v>0</v>
      </c>
      <c r="AP157" s="986">
        <f>IF(ISNUMBER(Producción_Lecheria[[#This Row],[Fecha Financiero]])=TRUE,YEAR(Producción_Lecheria[[#This Row],[Fecha Financiero]]),0)</f>
        <v>0</v>
      </c>
      <c r="AQ157" s="987">
        <f>SUMPRODUCT((Producción_Lecheria[[#This Row],[Mes Financiero]]=Tipo_Cambio[Mes])*(Producción_Lecheria[[#This Row],[Año Financiero]]=Tipo_Cambio[Año])*(Tipo_Cambio[$/U$S]))</f>
        <v>0</v>
      </c>
      <c r="AR157" s="987">
        <f>SUMPRODUCT((Producción_Lecheria[[#This Row],[Mes Financiero]]=Tipo_Cambio[Mes])*(Producción_Lecheria[[#This Row],[Año Financiero]]=Tipo_Cambio[Año])*(Tipo_Cambio[Actualización]))</f>
        <v>0</v>
      </c>
      <c r="AS157" s="988">
        <f>SUMPRODUCT((Producción_Lecheria[[#This Row],[Centro de Costo]]=Tabla1924[Centro de Costo])*(Tabla19[Superficie]))</f>
        <v>2356</v>
      </c>
      <c r="AT157" s="987">
        <f>IFERROR(Producción_Lecheria[[#This Row],[Económico $Corrientes]]/Producción_Lecheria[[#This Row],[Superficie]],0)</f>
        <v>0</v>
      </c>
      <c r="AU157" s="987">
        <f>IFERROR(Producción_Lecheria[[#This Row],[Económico $Constantes]]/Producción_Lecheria[[#This Row],[Superficie]],0)</f>
        <v>0</v>
      </c>
      <c r="AV157" s="987">
        <f>IFERROR(Producción_Lecheria[[#This Row],[Económico U$S Dólares]]/Producción_Lecheria[[#This Row],[Superficie]],0)</f>
        <v>0</v>
      </c>
      <c r="AW157" s="983" t="str">
        <f>IF(Económico!$F$4=0,0,Producción_Lecheria[Centro de Costo])</f>
        <v>Campo 1</v>
      </c>
    </row>
    <row r="158" spans="1:16384" x14ac:dyDescent="0.25">
      <c r="A158" s="86"/>
      <c r="D158" s="548">
        <f>DATE(LEFT(Producción_Lecheria[[#This Row],[Campaña]],4)+1,6,30)</f>
        <v>43646</v>
      </c>
      <c r="E158" s="478"/>
      <c r="F158" s="479" t="str">
        <f t="shared" si="0"/>
        <v>2018-2019</v>
      </c>
      <c r="G158" s="480" t="str">
        <f t="shared" si="13"/>
        <v>Stock Cierre</v>
      </c>
      <c r="H158" s="481" t="s">
        <v>2</v>
      </c>
      <c r="I158" s="491">
        <f>Configuración!BM15</f>
        <v>0</v>
      </c>
      <c r="J158" s="549"/>
      <c r="K158" s="481"/>
      <c r="L158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5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58" s="520">
        <f>SUMPRODUCT((Producción_Lecheria[[#This Row],[Centro de Costo]]=$H$5:$H$147)*(Producción_Lecheria[[#This Row],[Categoría Hacienda]]=$I$5:$I$147)*($AF$5:$AF$147))</f>
        <v>0</v>
      </c>
      <c r="O158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58" s="483">
        <f>Producción_Lecheria[[#This Row],[Cabezas]]</f>
        <v>0</v>
      </c>
      <c r="Q158" s="491"/>
      <c r="R158" s="875">
        <f>IF(ISNUMBER(Producción_Lecheria[[#This Row],[Cabezas]])=TRUE,Producción_Lecheria[[#This Row],[Cabezas]]*Producción_Lecheria[[#This Row],[Cantidad]],Producción_Lecheria[[#This Row],[Cantidad]])</f>
        <v>0</v>
      </c>
      <c r="S158" s="491"/>
      <c r="T158" s="483"/>
      <c r="U158" s="485"/>
      <c r="V158" s="977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58" s="977">
        <f>IFERROR(Producción_Lecheria[[#This Row],[Económico $Corrientes]]/Producción_Lecheria[[#This Row],[Indexación Económico]],0)</f>
        <v>0</v>
      </c>
      <c r="X15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5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58" s="977">
        <f>IFERROR(Producción_Lecheria[[#This Row],[Financiero $Corrientes]]/Producción_Lecheria[[#This Row],[Indexación Financiero]],0)</f>
        <v>0</v>
      </c>
      <c r="AA158" s="977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5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58" s="981">
        <f>IFERROR(Producción_Lecheria[[#This Row],[Intereses $Corrientes]]/Producción_Lecheria[[#This Row],[Indexación Financiero]],0)</f>
        <v>0</v>
      </c>
      <c r="AD15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58" s="982" t="str">
        <f>IFERROR(INDEX(Produccion_Lecheria_Cuentas[],MATCH(Producción_Lecheria[[#This Row],[Cuenta Contable]],Produccion_Lecheria_Cuentas[Cuenta Contable],0),2),0)</f>
        <v>Stock Cierre</v>
      </c>
      <c r="AF158" s="983">
        <f>IF(Producción_Lecheria[[#This Row],[Mov. Stock]]="(+)",Producción_Lecheria[[#This Row],[Cabezas]],IF(Producción_Lecheria[[#This Row],[Mov. Stock]]="(-)",-Producción_Lecheria[[#This Row],[Cabezas]],0))</f>
        <v>0</v>
      </c>
      <c r="AG158" s="984" t="str">
        <f>IFERROR(INDEX(Produccion_Lecheria_Cuentas[],MATCH(Producción_Lecheria[[#This Row],[Cuenta Contable]],Produccion_Lecheria_Cuentas[Cuenta Contable],0),5),0)</f>
        <v>(-)</v>
      </c>
      <c r="AH158" s="985" t="str">
        <f>IF(Producción_Lecheria[[#This Row],[Cuenta Contable]]=Configuración!$AC$9,"Si","No")</f>
        <v>No</v>
      </c>
      <c r="AI158" s="983" t="str">
        <f>IFERROR(INDEX(Tabla9[],MATCH(Producción_Lecheria[[#This Row],[Movimiento]],Tabla9[Movimientos],0),2),0)</f>
        <v>No</v>
      </c>
      <c r="AJ158" s="984" t="str">
        <f>IFERROR(INDEX(Tabla9[],MATCH(Producción_Lecheria[[#This Row],[Movimiento]],Tabla9[Movimientos],0),3),0)</f>
        <v>(+)</v>
      </c>
      <c r="AK158" s="986">
        <f>IF(Producción_Lecheria[[#This Row],[Fecha Económico]]=0,0,MONTH(Producción_Lecheria[[#This Row],[Fecha Económico]]))</f>
        <v>6</v>
      </c>
      <c r="AL158" s="986">
        <f>IF(Producción_Lecheria[[#This Row],[Fecha Económico]]=0,0,YEAR(Producción_Lecheria[[#This Row],[Fecha Económico]]))</f>
        <v>2019</v>
      </c>
      <c r="AM158" s="987">
        <f>SUMPRODUCT((Producción_Lecheria[[#This Row],[Mes Económico]]=Tipo_Cambio[Mes])*(Producción_Lecheria[[#This Row],[Año Económico]]=Tipo_Cambio[Año])*(Tipo_Cambio[$/U$S]))</f>
        <v>24.544703626636963</v>
      </c>
      <c r="AN158" s="987">
        <f>SUMPRODUCT((Producción_Lecheria[[#This Row],[Mes Económico]]=Tipo_Cambio[Mes])*(Producción_Lecheria[[#This Row],[Año Económico]]=Tipo_Cambio[Año])*(Tipo_Cambio[Actualización]))</f>
        <v>1.2433743083946525</v>
      </c>
      <c r="AO158" s="986">
        <f>IF(ISNUMBER(Producción_Lecheria[[#This Row],[Fecha Financiero]])=TRUE,MONTH(Producción_Lecheria[[#This Row],[Fecha Financiero]]),0)</f>
        <v>0</v>
      </c>
      <c r="AP158" s="986">
        <f>IF(ISNUMBER(Producción_Lecheria[[#This Row],[Fecha Financiero]])=TRUE,YEAR(Producción_Lecheria[[#This Row],[Fecha Financiero]]),0)</f>
        <v>0</v>
      </c>
      <c r="AQ158" s="987">
        <f>SUMPRODUCT((Producción_Lecheria[[#This Row],[Mes Financiero]]=Tipo_Cambio[Mes])*(Producción_Lecheria[[#This Row],[Año Financiero]]=Tipo_Cambio[Año])*(Tipo_Cambio[$/U$S]))</f>
        <v>0</v>
      </c>
      <c r="AR158" s="987">
        <f>SUMPRODUCT((Producción_Lecheria[[#This Row],[Mes Financiero]]=Tipo_Cambio[Mes])*(Producción_Lecheria[[#This Row],[Año Financiero]]=Tipo_Cambio[Año])*(Tipo_Cambio[Actualización]))</f>
        <v>0</v>
      </c>
      <c r="AS158" s="988">
        <f>SUMPRODUCT((Producción_Lecheria[[#This Row],[Centro de Costo]]=Tabla1924[Centro de Costo])*(Tabla19[Superficie]))</f>
        <v>2356</v>
      </c>
      <c r="AT158" s="987">
        <f>IFERROR(Producción_Lecheria[[#This Row],[Económico $Corrientes]]/Producción_Lecheria[[#This Row],[Superficie]],0)</f>
        <v>0</v>
      </c>
      <c r="AU158" s="987">
        <f>IFERROR(Producción_Lecheria[[#This Row],[Económico $Constantes]]/Producción_Lecheria[[#This Row],[Superficie]],0)</f>
        <v>0</v>
      </c>
      <c r="AV158" s="987">
        <f>IFERROR(Producción_Lecheria[[#This Row],[Económico U$S Dólares]]/Producción_Lecheria[[#This Row],[Superficie]],0)</f>
        <v>0</v>
      </c>
      <c r="AW158" s="983" t="str">
        <f>IF(Económico!$F$4=0,0,Producción_Lecheria[Centro de Costo])</f>
        <v>Campo 1</v>
      </c>
    </row>
    <row r="159" spans="1:16384" x14ac:dyDescent="0.25">
      <c r="A159" s="86"/>
      <c r="D159" s="548">
        <f>DATE(LEFT(Producción_Lecheria[[#This Row],[Campaña]],4)+1,6,30)</f>
        <v>43646</v>
      </c>
      <c r="E159" s="478"/>
      <c r="F159" s="479" t="str">
        <f t="shared" si="0"/>
        <v>2018-2019</v>
      </c>
      <c r="G159" s="480" t="str">
        <f t="shared" si="13"/>
        <v>Stock Cierre</v>
      </c>
      <c r="H159" s="481" t="s">
        <v>2</v>
      </c>
      <c r="I159" s="491">
        <f>Configuración!BM16</f>
        <v>0</v>
      </c>
      <c r="J159" s="549"/>
      <c r="K159" s="481"/>
      <c r="L159" s="960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5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59" s="520">
        <f>SUMPRODUCT((Producción_Lecheria[[#This Row],[Centro de Costo]]=$H$5:$H$147)*(Producción_Lecheria[[#This Row],[Categoría Hacienda]]=$I$5:$I$147)*($AF$5:$AF$147))</f>
        <v>0</v>
      </c>
      <c r="O159" s="968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59" s="483">
        <f>Producción_Lecheria[[#This Row],[Cabezas]]</f>
        <v>0</v>
      </c>
      <c r="Q159" s="491"/>
      <c r="R159" s="875">
        <f>IF(ISNUMBER(Producción_Lecheria[[#This Row],[Cabezas]])=TRUE,Producción_Lecheria[[#This Row],[Cabezas]]*Producción_Lecheria[[#This Row],[Cantidad]],Producción_Lecheria[[#This Row],[Cantidad]])</f>
        <v>0</v>
      </c>
      <c r="S159" s="491"/>
      <c r="T159" s="483"/>
      <c r="U159" s="553"/>
      <c r="V15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59" s="977">
        <f>IFERROR(Producción_Lecheria[[#This Row],[Económico $Corrientes]]/Producción_Lecheria[[#This Row],[Indexación Económico]],0)</f>
        <v>0</v>
      </c>
      <c r="X15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5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59" s="977">
        <f>IFERROR(Producción_Lecheria[[#This Row],[Financiero $Corrientes]]/Producción_Lecheria[[#This Row],[Indexación Financiero]],0)</f>
        <v>0</v>
      </c>
      <c r="AA15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5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59" s="981">
        <f>IFERROR(Producción_Lecheria[[#This Row],[Intereses $Corrientes]]/Producción_Lecheria[[#This Row],[Indexación Financiero]],0)</f>
        <v>0</v>
      </c>
      <c r="AD15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59" s="991" t="str">
        <f>IFERROR(INDEX(Produccion_Lecheria_Cuentas[],MATCH(Producción_Lecheria[[#This Row],[Cuenta Contable]],Produccion_Lecheria_Cuentas[Cuenta Contable],0),2),0)</f>
        <v>Stock Cierre</v>
      </c>
      <c r="AF159" s="992">
        <f>IF(Producción_Lecheria[[#This Row],[Mov. Stock]]="(+)",Producción_Lecheria[[#This Row],[Cabezas]],IF(Producción_Lecheria[[#This Row],[Mov. Stock]]="(-)",-Producción_Lecheria[[#This Row],[Cabezas]],0))</f>
        <v>0</v>
      </c>
      <c r="AG159" s="993" t="str">
        <f>IFERROR(INDEX(Produccion_Lecheria_Cuentas[],MATCH(Producción_Lecheria[[#This Row],[Cuenta Contable]],Produccion_Lecheria_Cuentas[Cuenta Contable],0),5),0)</f>
        <v>(-)</v>
      </c>
      <c r="AH159" s="994" t="str">
        <f>IF(Producción_Lecheria[[#This Row],[Cuenta Contable]]=Configuración!$AC$9,"Si","No")</f>
        <v>No</v>
      </c>
      <c r="AI159" s="983" t="str">
        <f>IFERROR(INDEX(Tabla9[],MATCH(Producción_Lecheria[[#This Row],[Movimiento]],Tabla9[Movimientos],0),2),0)</f>
        <v>No</v>
      </c>
      <c r="AJ159" s="984" t="str">
        <f>IFERROR(INDEX(Tabla9[],MATCH(Producción_Lecheria[[#This Row],[Movimiento]],Tabla9[Movimientos],0),3),0)</f>
        <v>(+)</v>
      </c>
      <c r="AK159" s="986">
        <f>IF(Producción_Lecheria[[#This Row],[Fecha Económico]]=0,0,MONTH(Producción_Lecheria[[#This Row],[Fecha Económico]]))</f>
        <v>6</v>
      </c>
      <c r="AL159" s="986">
        <f>IF(Producción_Lecheria[[#This Row],[Fecha Económico]]=0,0,YEAR(Producción_Lecheria[[#This Row],[Fecha Económico]]))</f>
        <v>2019</v>
      </c>
      <c r="AM159" s="987">
        <f>SUMPRODUCT((Producción_Lecheria[[#This Row],[Mes Económico]]=Tipo_Cambio[Mes])*(Producción_Lecheria[[#This Row],[Año Económico]]=Tipo_Cambio[Año])*(Tipo_Cambio[$/U$S]))</f>
        <v>24.544703626636963</v>
      </c>
      <c r="AN159" s="987">
        <f>SUMPRODUCT((Producción_Lecheria[[#This Row],[Mes Económico]]=Tipo_Cambio[Mes])*(Producción_Lecheria[[#This Row],[Año Económico]]=Tipo_Cambio[Año])*(Tipo_Cambio[Actualización]))</f>
        <v>1.2433743083946525</v>
      </c>
      <c r="AO159" s="986">
        <f>IF(ISNUMBER(Producción_Lecheria[[#This Row],[Fecha Financiero]])=TRUE,MONTH(Producción_Lecheria[[#This Row],[Fecha Financiero]]),0)</f>
        <v>0</v>
      </c>
      <c r="AP159" s="986">
        <f>IF(ISNUMBER(Producción_Lecheria[[#This Row],[Fecha Financiero]])=TRUE,YEAR(Producción_Lecheria[[#This Row],[Fecha Financiero]]),0)</f>
        <v>0</v>
      </c>
      <c r="AQ159" s="987">
        <f>SUMPRODUCT((Producción_Lecheria[[#This Row],[Mes Financiero]]=Tipo_Cambio[Mes])*(Producción_Lecheria[[#This Row],[Año Financiero]]=Tipo_Cambio[Año])*(Tipo_Cambio[$/U$S]))</f>
        <v>0</v>
      </c>
      <c r="AR159" s="987">
        <f>SUMPRODUCT((Producción_Lecheria[[#This Row],[Mes Financiero]]=Tipo_Cambio[Mes])*(Producción_Lecheria[[#This Row],[Año Financiero]]=Tipo_Cambio[Año])*(Tipo_Cambio[Actualización]))</f>
        <v>0</v>
      </c>
      <c r="AS159" s="988">
        <f>SUMPRODUCT((Producción_Lecheria[[#This Row],[Centro de Costo]]=Tabla1924[Centro de Costo])*(Tabla19[Superficie]))</f>
        <v>2356</v>
      </c>
      <c r="AT159" s="987">
        <f>IFERROR(Producción_Lecheria[[#This Row],[Económico $Corrientes]]/Producción_Lecheria[[#This Row],[Superficie]],0)</f>
        <v>0</v>
      </c>
      <c r="AU159" s="987">
        <f>IFERROR(Producción_Lecheria[[#This Row],[Económico $Constantes]]/Producción_Lecheria[[#This Row],[Superficie]],0)</f>
        <v>0</v>
      </c>
      <c r="AV159" s="987">
        <f>IFERROR(Producción_Lecheria[[#This Row],[Económico U$S Dólares]]/Producción_Lecheria[[#This Row],[Superficie]],0)</f>
        <v>0</v>
      </c>
      <c r="AW159" s="983" t="str">
        <f>IF(Económico!$F$4=0,0,Producción_Lecheria[Centro de Costo])</f>
        <v>Campo 1</v>
      </c>
    </row>
    <row r="160" spans="1:16384" x14ac:dyDescent="0.25">
      <c r="A160" s="86"/>
      <c r="D160" s="548"/>
      <c r="E160" s="493"/>
      <c r="F160" s="479" t="str">
        <f t="shared" ref="F160:F191" si="14">Campaña_Actual</f>
        <v>2018-2019</v>
      </c>
      <c r="G160" s="576"/>
      <c r="H160" s="481"/>
      <c r="I160" s="491"/>
      <c r="J160" s="549"/>
      <c r="K160" s="484"/>
      <c r="L16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6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60" s="520">
        <f>SUMPRODUCT((Producción_Lecheria[[#This Row],[Centro de Costo]]=$H$5:$H$147)*(Producción_Lecheria[[#This Row],[Categoría Hacienda]]=$I$5:$I$147)*($AF$5:$AF$147))</f>
        <v>0</v>
      </c>
      <c r="O16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60" s="563">
        <f>Producción_Lecheria[[#This Row],[Cabezas]]</f>
        <v>0</v>
      </c>
      <c r="Q160" s="491"/>
      <c r="R160" s="875">
        <f>IF(ISNUMBER(Producción_Lecheria[[#This Row],[Cabezas]])=TRUE,Producción_Lecheria[[#This Row],[Cabezas]]*Producción_Lecheria[[#This Row],[Cantidad]],Producción_Lecheria[[#This Row],[Cantidad]])</f>
        <v>0</v>
      </c>
      <c r="S160" s="491"/>
      <c r="T160" s="552"/>
      <c r="U160" s="553"/>
      <c r="V16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60" s="977">
        <f>IFERROR(Producción_Lecheria[[#This Row],[Económico $Corrientes]]/Producción_Lecheria[[#This Row],[Indexación Económico]],0)</f>
        <v>0</v>
      </c>
      <c r="X16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6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60" s="977">
        <f>IFERROR(Producción_Lecheria[[#This Row],[Financiero $Corrientes]]/Producción_Lecheria[[#This Row],[Indexación Financiero]],0)</f>
        <v>0</v>
      </c>
      <c r="AA16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6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60" s="981">
        <f>IFERROR(Producción_Lecheria[[#This Row],[Intereses $Corrientes]]/Producción_Lecheria[[#This Row],[Indexación Financiero]],0)</f>
        <v>0</v>
      </c>
      <c r="AD16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60" s="991">
        <f>IFERROR(INDEX(Produccion_Lecheria_Cuentas[],MATCH(Producción_Lecheria[[#This Row],[Cuenta Contable]],Produccion_Lecheria_Cuentas[Cuenta Contable],0),2),0)</f>
        <v>0</v>
      </c>
      <c r="AF160" s="992">
        <f>IF(Producción_Lecheria[[#This Row],[Mov. Stock]]="(+)",Producción_Lecheria[[#This Row],[Cabezas]],IF(Producción_Lecheria[[#This Row],[Mov. Stock]]="(-)",-Producción_Lecheria[[#This Row],[Cabezas]],0))</f>
        <v>0</v>
      </c>
      <c r="AG160" s="993">
        <f>IFERROR(INDEX(Produccion_Lecheria_Cuentas[],MATCH(Producción_Lecheria[[#This Row],[Cuenta Contable]],Produccion_Lecheria_Cuentas[Cuenta Contable],0),5),0)</f>
        <v>0</v>
      </c>
      <c r="AH160" s="985" t="str">
        <f>IF(Producción_Lecheria[[#This Row],[Cuenta Contable]]=Configuración!$AC$9,"Si","No")</f>
        <v>No</v>
      </c>
      <c r="AI160" s="983">
        <f>IFERROR(INDEX(Tabla9[],MATCH(Producción_Lecheria[[#This Row],[Movimiento]],Tabla9[Movimientos],0),2),0)</f>
        <v>0</v>
      </c>
      <c r="AJ160" s="984">
        <f>IFERROR(INDEX(Tabla9[],MATCH(Producción_Lecheria[[#This Row],[Movimiento]],Tabla9[Movimientos],0),3),0)</f>
        <v>0</v>
      </c>
      <c r="AK160" s="986">
        <f>IF(Producción_Lecheria[[#This Row],[Fecha Económico]]=0,0,MONTH(Producción_Lecheria[[#This Row],[Fecha Económico]]))</f>
        <v>0</v>
      </c>
      <c r="AL160" s="986">
        <f>IF(Producción_Lecheria[[#This Row],[Fecha Económico]]=0,0,YEAR(Producción_Lecheria[[#This Row],[Fecha Económico]]))</f>
        <v>0</v>
      </c>
      <c r="AM160" s="987">
        <f>SUMPRODUCT((Producción_Lecheria[[#This Row],[Mes Económico]]=Tipo_Cambio[Mes])*(Producción_Lecheria[[#This Row],[Año Económico]]=Tipo_Cambio[Año])*(Tipo_Cambio[$/U$S]))</f>
        <v>0</v>
      </c>
      <c r="AN160" s="987">
        <f>SUMPRODUCT((Producción_Lecheria[[#This Row],[Mes Económico]]=Tipo_Cambio[Mes])*(Producción_Lecheria[[#This Row],[Año Económico]]=Tipo_Cambio[Año])*(Tipo_Cambio[Actualización]))</f>
        <v>0</v>
      </c>
      <c r="AO160" s="986">
        <f>IF(ISNUMBER(Producción_Lecheria[[#This Row],[Fecha Financiero]])=TRUE,MONTH(Producción_Lecheria[[#This Row],[Fecha Financiero]]),0)</f>
        <v>0</v>
      </c>
      <c r="AP160" s="986">
        <f>IF(ISNUMBER(Producción_Lecheria[[#This Row],[Fecha Financiero]])=TRUE,YEAR(Producción_Lecheria[[#This Row],[Fecha Financiero]]),0)</f>
        <v>0</v>
      </c>
      <c r="AQ160" s="987">
        <f>SUMPRODUCT((Producción_Lecheria[[#This Row],[Mes Financiero]]=Tipo_Cambio[Mes])*(Producción_Lecheria[[#This Row],[Año Financiero]]=Tipo_Cambio[Año])*(Tipo_Cambio[$/U$S]))</f>
        <v>0</v>
      </c>
      <c r="AR160" s="987">
        <f>SUMPRODUCT((Producción_Lecheria[[#This Row],[Mes Financiero]]=Tipo_Cambio[Mes])*(Producción_Lecheria[[#This Row],[Año Financiero]]=Tipo_Cambio[Año])*(Tipo_Cambio[Actualización]))</f>
        <v>0</v>
      </c>
      <c r="AS160" s="1009">
        <f>SUMPRODUCT((Producción_Lecheria[[#This Row],[Centro de Costo]]=Tabla1924[Centro de Costo])*(Tabla19[Superficie]))</f>
        <v>0</v>
      </c>
      <c r="AT160" s="1010">
        <f>IFERROR(Producción_Lecheria[[#This Row],[Económico $Corrientes]]/Producción_Lecheria[[#This Row],[Superficie]],0)</f>
        <v>0</v>
      </c>
      <c r="AU160" s="1010">
        <f>IFERROR(Producción_Lecheria[[#This Row],[Económico $Constantes]]/Producción_Lecheria[[#This Row],[Superficie]],0)</f>
        <v>0</v>
      </c>
      <c r="AV160" s="1010">
        <f>IFERROR(Producción_Lecheria[[#This Row],[Económico U$S Dólares]]/Producción_Lecheria[[#This Row],[Superficie]],0)</f>
        <v>0</v>
      </c>
      <c r="AW160" s="992">
        <f>IF(Económico!$F$4=0,0,Producción_Lecheria[Centro de Costo])</f>
        <v>0</v>
      </c>
    </row>
    <row r="161" spans="1:49" x14ac:dyDescent="0.25">
      <c r="A161" s="86"/>
      <c r="D161" s="548"/>
      <c r="E161" s="493"/>
      <c r="F161" s="479" t="str">
        <f t="shared" si="14"/>
        <v>2018-2019</v>
      </c>
      <c r="G161" s="576"/>
      <c r="H161" s="481"/>
      <c r="I161" s="491"/>
      <c r="J161" s="549"/>
      <c r="K161" s="484"/>
      <c r="L16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6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61" s="520">
        <f>SUMPRODUCT((Producción_Lecheria[[#This Row],[Centro de Costo]]=$H$5:$H$147)*(Producción_Lecheria[[#This Row],[Categoría Hacienda]]=$I$5:$I$147)*($AF$5:$AF$147))</f>
        <v>0</v>
      </c>
      <c r="O16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61" s="563">
        <f>Producción_Lecheria[[#This Row],[Cabezas]]</f>
        <v>0</v>
      </c>
      <c r="Q161" s="491"/>
      <c r="R161" s="875">
        <f>IF(ISNUMBER(Producción_Lecheria[[#This Row],[Cabezas]])=TRUE,Producción_Lecheria[[#This Row],[Cabezas]]*Producción_Lecheria[[#This Row],[Cantidad]],Producción_Lecheria[[#This Row],[Cantidad]])</f>
        <v>0</v>
      </c>
      <c r="S161" s="491"/>
      <c r="T161" s="552"/>
      <c r="U161" s="553"/>
      <c r="V16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61" s="977">
        <f>IFERROR(Producción_Lecheria[[#This Row],[Económico $Corrientes]]/Producción_Lecheria[[#This Row],[Indexación Económico]],0)</f>
        <v>0</v>
      </c>
      <c r="X16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6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61" s="977">
        <f>IFERROR(Producción_Lecheria[[#This Row],[Financiero $Corrientes]]/Producción_Lecheria[[#This Row],[Indexación Financiero]],0)</f>
        <v>0</v>
      </c>
      <c r="AA16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6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61" s="981">
        <f>IFERROR(Producción_Lecheria[[#This Row],[Intereses $Corrientes]]/Producción_Lecheria[[#This Row],[Indexación Financiero]],0)</f>
        <v>0</v>
      </c>
      <c r="AD16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61" s="991">
        <f>IFERROR(INDEX(Produccion_Lecheria_Cuentas[],MATCH(Producción_Lecheria[[#This Row],[Cuenta Contable]],Produccion_Lecheria_Cuentas[Cuenta Contable],0),2),0)</f>
        <v>0</v>
      </c>
      <c r="AF161" s="992">
        <f>IF(Producción_Lecheria[[#This Row],[Mov. Stock]]="(+)",Producción_Lecheria[[#This Row],[Cabezas]],IF(Producción_Lecheria[[#This Row],[Mov. Stock]]="(-)",-Producción_Lecheria[[#This Row],[Cabezas]],0))</f>
        <v>0</v>
      </c>
      <c r="AG161" s="993">
        <f>IFERROR(INDEX(Produccion_Lecheria_Cuentas[],MATCH(Producción_Lecheria[[#This Row],[Cuenta Contable]],Produccion_Lecheria_Cuentas[Cuenta Contable],0),5),0)</f>
        <v>0</v>
      </c>
      <c r="AH161" s="985" t="str">
        <f>IF(Producción_Lecheria[[#This Row],[Cuenta Contable]]=Configuración!$AC$9,"Si","No")</f>
        <v>No</v>
      </c>
      <c r="AI161" s="983">
        <f>IFERROR(INDEX(Tabla9[],MATCH(Producción_Lecheria[[#This Row],[Movimiento]],Tabla9[Movimientos],0),2),0)</f>
        <v>0</v>
      </c>
      <c r="AJ161" s="984">
        <f>IFERROR(INDEX(Tabla9[],MATCH(Producción_Lecheria[[#This Row],[Movimiento]],Tabla9[Movimientos],0),3),0)</f>
        <v>0</v>
      </c>
      <c r="AK161" s="986">
        <f>IF(Producción_Lecheria[[#This Row],[Fecha Económico]]=0,0,MONTH(Producción_Lecheria[[#This Row],[Fecha Económico]]))</f>
        <v>0</v>
      </c>
      <c r="AL161" s="986">
        <f>IF(Producción_Lecheria[[#This Row],[Fecha Económico]]=0,0,YEAR(Producción_Lecheria[[#This Row],[Fecha Económico]]))</f>
        <v>0</v>
      </c>
      <c r="AM161" s="987">
        <f>SUMPRODUCT((Producción_Lecheria[[#This Row],[Mes Económico]]=Tipo_Cambio[Mes])*(Producción_Lecheria[[#This Row],[Año Económico]]=Tipo_Cambio[Año])*(Tipo_Cambio[$/U$S]))</f>
        <v>0</v>
      </c>
      <c r="AN161" s="987">
        <f>SUMPRODUCT((Producción_Lecheria[[#This Row],[Mes Económico]]=Tipo_Cambio[Mes])*(Producción_Lecheria[[#This Row],[Año Económico]]=Tipo_Cambio[Año])*(Tipo_Cambio[Actualización]))</f>
        <v>0</v>
      </c>
      <c r="AO161" s="986">
        <f>IF(ISNUMBER(Producción_Lecheria[[#This Row],[Fecha Financiero]])=TRUE,MONTH(Producción_Lecheria[[#This Row],[Fecha Financiero]]),0)</f>
        <v>0</v>
      </c>
      <c r="AP161" s="986">
        <f>IF(ISNUMBER(Producción_Lecheria[[#This Row],[Fecha Financiero]])=TRUE,YEAR(Producción_Lecheria[[#This Row],[Fecha Financiero]]),0)</f>
        <v>0</v>
      </c>
      <c r="AQ161" s="987">
        <f>SUMPRODUCT((Producción_Lecheria[[#This Row],[Mes Financiero]]=Tipo_Cambio[Mes])*(Producción_Lecheria[[#This Row],[Año Financiero]]=Tipo_Cambio[Año])*(Tipo_Cambio[$/U$S]))</f>
        <v>0</v>
      </c>
      <c r="AR161" s="987">
        <f>SUMPRODUCT((Producción_Lecheria[[#This Row],[Mes Financiero]]=Tipo_Cambio[Mes])*(Producción_Lecheria[[#This Row],[Año Financiero]]=Tipo_Cambio[Año])*(Tipo_Cambio[Actualización]))</f>
        <v>0</v>
      </c>
      <c r="AS161" s="1009">
        <f>SUMPRODUCT((Producción_Lecheria[[#This Row],[Centro de Costo]]=Tabla1924[Centro de Costo])*(Tabla19[Superficie]))</f>
        <v>0</v>
      </c>
      <c r="AT161" s="1010">
        <f>IFERROR(Producción_Lecheria[[#This Row],[Económico $Corrientes]]/Producción_Lecheria[[#This Row],[Superficie]],0)</f>
        <v>0</v>
      </c>
      <c r="AU161" s="1010">
        <f>IFERROR(Producción_Lecheria[[#This Row],[Económico $Constantes]]/Producción_Lecheria[[#This Row],[Superficie]],0)</f>
        <v>0</v>
      </c>
      <c r="AV161" s="1010">
        <f>IFERROR(Producción_Lecheria[[#This Row],[Económico U$S Dólares]]/Producción_Lecheria[[#This Row],[Superficie]],0)</f>
        <v>0</v>
      </c>
      <c r="AW161" s="992">
        <f>IF(Económico!$F$4=0,0,Producción_Lecheria[Centro de Costo])</f>
        <v>0</v>
      </c>
    </row>
    <row r="162" spans="1:49" ht="15.75" thickBot="1" x14ac:dyDescent="0.3">
      <c r="A162" s="86"/>
      <c r="B162" s="373" t="s">
        <v>101</v>
      </c>
      <c r="D162" s="548"/>
      <c r="E162" s="493"/>
      <c r="F162" s="479" t="str">
        <f t="shared" si="14"/>
        <v>2018-2019</v>
      </c>
      <c r="G162" s="576"/>
      <c r="H162" s="481"/>
      <c r="I162" s="491"/>
      <c r="J162" s="549"/>
      <c r="K162" s="484"/>
      <c r="L16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6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62" s="520">
        <f>SUMPRODUCT((Producción_Lecheria[[#This Row],[Centro de Costo]]=$H$5:$H$147)*(Producción_Lecheria[[#This Row],[Categoría Hacienda]]=$I$5:$I$147)*($AF$5:$AF$147))</f>
        <v>0</v>
      </c>
      <c r="O16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62" s="563">
        <f>Producción_Lecheria[[#This Row],[Cabezas]]</f>
        <v>0</v>
      </c>
      <c r="Q162" s="491"/>
      <c r="R162" s="875">
        <f>IF(ISNUMBER(Producción_Lecheria[[#This Row],[Cabezas]])=TRUE,Producción_Lecheria[[#This Row],[Cabezas]]*Producción_Lecheria[[#This Row],[Cantidad]],Producción_Lecheria[[#This Row],[Cantidad]])</f>
        <v>0</v>
      </c>
      <c r="S162" s="491"/>
      <c r="T162" s="552"/>
      <c r="U162" s="553"/>
      <c r="V16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62" s="977">
        <f>IFERROR(Producción_Lecheria[[#This Row],[Económico $Corrientes]]/Producción_Lecheria[[#This Row],[Indexación Económico]],0)</f>
        <v>0</v>
      </c>
      <c r="X16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6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62" s="977">
        <f>IFERROR(Producción_Lecheria[[#This Row],[Financiero $Corrientes]]/Producción_Lecheria[[#This Row],[Indexación Financiero]],0)</f>
        <v>0</v>
      </c>
      <c r="AA16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6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62" s="981">
        <f>IFERROR(Producción_Lecheria[[#This Row],[Intereses $Corrientes]]/Producción_Lecheria[[#This Row],[Indexación Financiero]],0)</f>
        <v>0</v>
      </c>
      <c r="AD16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62" s="991">
        <f>IFERROR(INDEX(Produccion_Lecheria_Cuentas[],MATCH(Producción_Lecheria[[#This Row],[Cuenta Contable]],Produccion_Lecheria_Cuentas[Cuenta Contable],0),2),0)</f>
        <v>0</v>
      </c>
      <c r="AF162" s="992">
        <f>IF(Producción_Lecheria[[#This Row],[Mov. Stock]]="(+)",Producción_Lecheria[[#This Row],[Cabezas]],IF(Producción_Lecheria[[#This Row],[Mov. Stock]]="(-)",-Producción_Lecheria[[#This Row],[Cabezas]],0))</f>
        <v>0</v>
      </c>
      <c r="AG162" s="993">
        <f>IFERROR(INDEX(Produccion_Lecheria_Cuentas[],MATCH(Producción_Lecheria[[#This Row],[Cuenta Contable]],Produccion_Lecheria_Cuentas[Cuenta Contable],0),5),0)</f>
        <v>0</v>
      </c>
      <c r="AH162" s="985" t="str">
        <f>IF(Producción_Lecheria[[#This Row],[Cuenta Contable]]=Configuración!$AC$9,"Si","No")</f>
        <v>No</v>
      </c>
      <c r="AI162" s="983">
        <f>IFERROR(INDEX(Tabla9[],MATCH(Producción_Lecheria[[#This Row],[Movimiento]],Tabla9[Movimientos],0),2),0)</f>
        <v>0</v>
      </c>
      <c r="AJ162" s="984">
        <f>IFERROR(INDEX(Tabla9[],MATCH(Producción_Lecheria[[#This Row],[Movimiento]],Tabla9[Movimientos],0),3),0)</f>
        <v>0</v>
      </c>
      <c r="AK162" s="986">
        <f>IF(Producción_Lecheria[[#This Row],[Fecha Económico]]=0,0,MONTH(Producción_Lecheria[[#This Row],[Fecha Económico]]))</f>
        <v>0</v>
      </c>
      <c r="AL162" s="986">
        <f>IF(Producción_Lecheria[[#This Row],[Fecha Económico]]=0,0,YEAR(Producción_Lecheria[[#This Row],[Fecha Económico]]))</f>
        <v>0</v>
      </c>
      <c r="AM162" s="987">
        <f>SUMPRODUCT((Producción_Lecheria[[#This Row],[Mes Económico]]=Tipo_Cambio[Mes])*(Producción_Lecheria[[#This Row],[Año Económico]]=Tipo_Cambio[Año])*(Tipo_Cambio[$/U$S]))</f>
        <v>0</v>
      </c>
      <c r="AN162" s="987">
        <f>SUMPRODUCT((Producción_Lecheria[[#This Row],[Mes Económico]]=Tipo_Cambio[Mes])*(Producción_Lecheria[[#This Row],[Año Económico]]=Tipo_Cambio[Año])*(Tipo_Cambio[Actualización]))</f>
        <v>0</v>
      </c>
      <c r="AO162" s="986">
        <f>IF(ISNUMBER(Producción_Lecheria[[#This Row],[Fecha Financiero]])=TRUE,MONTH(Producción_Lecheria[[#This Row],[Fecha Financiero]]),0)</f>
        <v>0</v>
      </c>
      <c r="AP162" s="986">
        <f>IF(ISNUMBER(Producción_Lecheria[[#This Row],[Fecha Financiero]])=TRUE,YEAR(Producción_Lecheria[[#This Row],[Fecha Financiero]]),0)</f>
        <v>0</v>
      </c>
      <c r="AQ162" s="987">
        <f>SUMPRODUCT((Producción_Lecheria[[#This Row],[Mes Financiero]]=Tipo_Cambio[Mes])*(Producción_Lecheria[[#This Row],[Año Financiero]]=Tipo_Cambio[Año])*(Tipo_Cambio[$/U$S]))</f>
        <v>0</v>
      </c>
      <c r="AR162" s="987">
        <f>SUMPRODUCT((Producción_Lecheria[[#This Row],[Mes Financiero]]=Tipo_Cambio[Mes])*(Producción_Lecheria[[#This Row],[Año Financiero]]=Tipo_Cambio[Año])*(Tipo_Cambio[Actualización]))</f>
        <v>0</v>
      </c>
      <c r="AS162" s="1009">
        <f>SUMPRODUCT((Producción_Lecheria[[#This Row],[Centro de Costo]]=Tabla1924[Centro de Costo])*(Tabla19[Superficie]))</f>
        <v>0</v>
      </c>
      <c r="AT162" s="1010">
        <f>IFERROR(Producción_Lecheria[[#This Row],[Económico $Corrientes]]/Producción_Lecheria[[#This Row],[Superficie]],0)</f>
        <v>0</v>
      </c>
      <c r="AU162" s="1010">
        <f>IFERROR(Producción_Lecheria[[#This Row],[Económico $Constantes]]/Producción_Lecheria[[#This Row],[Superficie]],0)</f>
        <v>0</v>
      </c>
      <c r="AV162" s="1010">
        <f>IFERROR(Producción_Lecheria[[#This Row],[Económico U$S Dólares]]/Producción_Lecheria[[#This Row],[Superficie]],0)</f>
        <v>0</v>
      </c>
      <c r="AW162" s="992">
        <f>IF(Económico!$F$4=0,0,Producción_Lecheria[Centro de Costo])</f>
        <v>0</v>
      </c>
    </row>
    <row r="163" spans="1:49" ht="15.75" thickTop="1" x14ac:dyDescent="0.25">
      <c r="A163" s="86"/>
      <c r="B163" s="1136" t="s">
        <v>175</v>
      </c>
      <c r="D163" s="579">
        <f>DATE(LEFT(Producción_Lecheria[[#This Row],[Campaña]],4),7,1)</f>
        <v>43282</v>
      </c>
      <c r="E163" s="580"/>
      <c r="F163" s="556" t="str">
        <f t="shared" si="14"/>
        <v>2018-2019</v>
      </c>
      <c r="G163" s="581" t="str">
        <f t="shared" ref="G163:G178" si="15">LCH_Venta_Lecha</f>
        <v>Venta de Leche</v>
      </c>
      <c r="H163" s="551" t="s">
        <v>2</v>
      </c>
      <c r="I163" s="551"/>
      <c r="J163" s="558"/>
      <c r="K163" s="577"/>
      <c r="L163" s="964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63" s="961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63" s="559"/>
      <c r="O163" s="972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63" s="590">
        <f>Producción_Lecheria[[#This Row],[Vc. Ordeñe]]*Producción_Lecheria[[#This Row],[L/V. Ordeñe]]*(D164-Producción_Lecheria[[#This Row],[Fecha Económico]])</f>
        <v>0</v>
      </c>
      <c r="Q163" s="551"/>
      <c r="R163" s="975">
        <f>IF(ISNUMBER(Producción_Lecheria[[#This Row],[Cabezas]])=TRUE,Producción_Lecheria[[#This Row],[Cabezas]]*Producción_Lecheria[[#This Row],[Cantidad]],Producción_Lecheria[[#This Row],[Cantidad]])</f>
        <v>0</v>
      </c>
      <c r="S163" s="551"/>
      <c r="T163" s="561"/>
      <c r="U163" s="562"/>
      <c r="V163" s="995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63" s="996">
        <f>IFERROR(Producción_Lecheria[[#This Row],[Económico $Corrientes]]/Producción_Lecheria[[#This Row],[Indexación Económico]],0)</f>
        <v>0</v>
      </c>
      <c r="X163" s="997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63" s="995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63" s="996">
        <f>IFERROR(Producción_Lecheria[[#This Row],[Financiero $Corrientes]]/Producción_Lecheria[[#This Row],[Indexación Financiero]],0)</f>
        <v>0</v>
      </c>
      <c r="AA163" s="998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63" s="999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63" s="1000">
        <f>IFERROR(Producción_Lecheria[[#This Row],[Intereses $Corrientes]]/Producción_Lecheria[[#This Row],[Indexación Financiero]],0)</f>
        <v>0</v>
      </c>
      <c r="AD163" s="1000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63" s="1001" t="str">
        <f>IFERROR(INDEX(Produccion_Lecheria_Cuentas[],MATCH(Producción_Lecheria[[#This Row],[Cuenta Contable]],Produccion_Lecheria_Cuentas[Cuenta Contable],0),2),0)</f>
        <v>Ingreso</v>
      </c>
      <c r="AF163" s="1002">
        <f>IF(Producción_Lecheria[[#This Row],[Mov. Stock]]="(+)",Producción_Lecheria[[#This Row],[Cabezas]],IF(Producción_Lecheria[[#This Row],[Mov. Stock]]="(-)",-Producción_Lecheria[[#This Row],[Cabezas]],0))</f>
        <v>0</v>
      </c>
      <c r="AG163" s="1003">
        <f>IFERROR(INDEX(Produccion_Lecheria_Cuentas[],MATCH(Producción_Lecheria[[#This Row],[Cuenta Contable]],Produccion_Lecheria_Cuentas[Cuenta Contable],0),5),0)</f>
        <v>0</v>
      </c>
      <c r="AH163" s="1007" t="str">
        <f>IF(Producción_Lecheria[[#This Row],[Cuenta Contable]]=Configuración!$AC$9,"Si","No")</f>
        <v>No</v>
      </c>
      <c r="AI163" s="1005" t="str">
        <f>IFERROR(INDEX(Tabla9[],MATCH(Producción_Lecheria[[#This Row],[Movimiento]],Tabla9[Movimientos],0),2),0)</f>
        <v>Si</v>
      </c>
      <c r="AJ163" s="1006" t="str">
        <f>IFERROR(INDEX(Tabla9[],MATCH(Producción_Lecheria[[#This Row],[Movimiento]],Tabla9[Movimientos],0),3),0)</f>
        <v>(+)</v>
      </c>
      <c r="AK163" s="1000">
        <f>IF(Producción_Lecheria[[#This Row],[Fecha Económico]]=0,0,MONTH(Producción_Lecheria[[#This Row],[Fecha Económico]]))</f>
        <v>7</v>
      </c>
      <c r="AL163" s="1000">
        <f>IF(Producción_Lecheria[[#This Row],[Fecha Económico]]=0,0,YEAR(Producción_Lecheria[[#This Row],[Fecha Económico]]))</f>
        <v>2018</v>
      </c>
      <c r="AM163" s="1007">
        <f>SUMPRODUCT((Producción_Lecheria[[#This Row],[Mes Económico]]=Tipo_Cambio[Mes])*(Producción_Lecheria[[#This Row],[Año Económico]]=Tipo_Cambio[Año])*(Tipo_Cambio[$/U$S]))</f>
        <v>22</v>
      </c>
      <c r="AN163" s="1007">
        <f>SUMPRODUCT((Producción_Lecheria[[#This Row],[Mes Económico]]=Tipo_Cambio[Mes])*(Producción_Lecheria[[#This Row],[Año Económico]]=Tipo_Cambio[Año])*(Tipo_Cambio[Actualización]))</f>
        <v>1</v>
      </c>
      <c r="AO163" s="1000">
        <f>IF(ISNUMBER(Producción_Lecheria[[#This Row],[Fecha Financiero]])=TRUE,MONTH(Producción_Lecheria[[#This Row],[Fecha Financiero]]),0)</f>
        <v>0</v>
      </c>
      <c r="AP163" s="1000">
        <f>IF(ISNUMBER(Producción_Lecheria[[#This Row],[Fecha Financiero]])=TRUE,YEAR(Producción_Lecheria[[#This Row],[Fecha Financiero]]),0)</f>
        <v>0</v>
      </c>
      <c r="AQ163" s="1007">
        <f>SUMPRODUCT((Producción_Lecheria[[#This Row],[Mes Financiero]]=Tipo_Cambio[Mes])*(Producción_Lecheria[[#This Row],[Año Financiero]]=Tipo_Cambio[Año])*(Tipo_Cambio[$/U$S]))</f>
        <v>0</v>
      </c>
      <c r="AR163" s="1007">
        <f>SUMPRODUCT((Producción_Lecheria[[#This Row],[Mes Financiero]]=Tipo_Cambio[Mes])*(Producción_Lecheria[[#This Row],[Año Financiero]]=Tipo_Cambio[Año])*(Tipo_Cambio[Actualización]))</f>
        <v>0</v>
      </c>
      <c r="AS163" s="1027">
        <f>SUMPRODUCT((Producción_Lecheria[[#This Row],[Centro de Costo]]=Tabla1924[Centro de Costo])*(Tabla19[Superficie]))</f>
        <v>2356</v>
      </c>
      <c r="AT163" s="1004">
        <f>IFERROR(Producción_Lecheria[[#This Row],[Económico $Corrientes]]/Producción_Lecheria[[#This Row],[Superficie]],0)</f>
        <v>0</v>
      </c>
      <c r="AU163" s="1004">
        <f>IFERROR(Producción_Lecheria[[#This Row],[Económico $Constantes]]/Producción_Lecheria[[#This Row],[Superficie]],0)</f>
        <v>0</v>
      </c>
      <c r="AV163" s="1004">
        <f>IFERROR(Producción_Lecheria[[#This Row],[Económico U$S Dólares]]/Producción_Lecheria[[#This Row],[Superficie]],0)</f>
        <v>0</v>
      </c>
      <c r="AW163" s="1002" t="str">
        <f>IF(Económico!$F$4=0,0,Producción_Lecheria[Centro de Costo])</f>
        <v>Campo 1</v>
      </c>
    </row>
    <row r="164" spans="1:49" x14ac:dyDescent="0.25">
      <c r="A164" s="86"/>
      <c r="B164" s="1136"/>
      <c r="D164" s="548">
        <f>DATE(IF(MONTH(D163)=1,YEAR(D163+1),YEAR(D163)),MONTH(D163)+1,1)</f>
        <v>43313</v>
      </c>
      <c r="E164" s="493"/>
      <c r="F164" s="479" t="str">
        <f t="shared" si="14"/>
        <v>2018-2019</v>
      </c>
      <c r="G164" s="576" t="str">
        <f t="shared" si="15"/>
        <v>Venta de Leche</v>
      </c>
      <c r="H164" s="481" t="s">
        <v>2</v>
      </c>
      <c r="I164" s="491"/>
      <c r="J164" s="549"/>
      <c r="K164" s="484"/>
      <c r="L16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6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64" s="520"/>
      <c r="O16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64" s="591">
        <f>Producción_Lecheria[[#This Row],[Vc. Ordeñe]]*Producción_Lecheria[[#This Row],[L/V. Ordeñe]]*(D165-Producción_Lecheria[[#This Row],[Fecha Económico]])</f>
        <v>0</v>
      </c>
      <c r="Q164" s="491"/>
      <c r="R164" s="875">
        <f>IF(ISNUMBER(Producción_Lecheria[[#This Row],[Cabezas]])=TRUE,Producción_Lecheria[[#This Row],[Cabezas]]*Producción_Lecheria[[#This Row],[Cantidad]],Producción_Lecheria[[#This Row],[Cantidad]])</f>
        <v>0</v>
      </c>
      <c r="S164" s="491"/>
      <c r="T164" s="552"/>
      <c r="U164" s="553"/>
      <c r="V16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64" s="977">
        <f>IFERROR(Producción_Lecheria[[#This Row],[Económico $Corrientes]]/Producción_Lecheria[[#This Row],[Indexación Económico]],0)</f>
        <v>0</v>
      </c>
      <c r="X16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6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64" s="977">
        <f>IFERROR(Producción_Lecheria[[#This Row],[Financiero $Corrientes]]/Producción_Lecheria[[#This Row],[Indexación Financiero]],0)</f>
        <v>0</v>
      </c>
      <c r="AA16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6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64" s="981">
        <f>IFERROR(Producción_Lecheria[[#This Row],[Intereses $Corrientes]]/Producción_Lecheria[[#This Row],[Indexación Financiero]],0)</f>
        <v>0</v>
      </c>
      <c r="AD16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64" s="991" t="str">
        <f>IFERROR(INDEX(Produccion_Lecheria_Cuentas[],MATCH(Producción_Lecheria[[#This Row],[Cuenta Contable]],Produccion_Lecheria_Cuentas[Cuenta Contable],0),2),0)</f>
        <v>Ingreso</v>
      </c>
      <c r="AF164" s="992">
        <f>IF(Producción_Lecheria[[#This Row],[Mov. Stock]]="(+)",Producción_Lecheria[[#This Row],[Cabezas]],IF(Producción_Lecheria[[#This Row],[Mov. Stock]]="(-)",-Producción_Lecheria[[#This Row],[Cabezas]],0))</f>
        <v>0</v>
      </c>
      <c r="AG164" s="993">
        <f>IFERROR(INDEX(Produccion_Lecheria_Cuentas[],MATCH(Producción_Lecheria[[#This Row],[Cuenta Contable]],Produccion_Lecheria_Cuentas[Cuenta Contable],0),5),0)</f>
        <v>0</v>
      </c>
      <c r="AH164" s="985" t="str">
        <f>IF(Producción_Lecheria[[#This Row],[Cuenta Contable]]=Configuración!$AC$9,"Si","No")</f>
        <v>No</v>
      </c>
      <c r="AI164" s="983" t="str">
        <f>IFERROR(INDEX(Tabla9[],MATCH(Producción_Lecheria[[#This Row],[Movimiento]],Tabla9[Movimientos],0),2),0)</f>
        <v>Si</v>
      </c>
      <c r="AJ164" s="984" t="str">
        <f>IFERROR(INDEX(Tabla9[],MATCH(Producción_Lecheria[[#This Row],[Movimiento]],Tabla9[Movimientos],0),3),0)</f>
        <v>(+)</v>
      </c>
      <c r="AK164" s="986">
        <f>IF(Producción_Lecheria[[#This Row],[Fecha Económico]]=0,0,MONTH(Producción_Lecheria[[#This Row],[Fecha Económico]]))</f>
        <v>8</v>
      </c>
      <c r="AL164" s="986">
        <f>IF(Producción_Lecheria[[#This Row],[Fecha Económico]]=0,0,YEAR(Producción_Lecheria[[#This Row],[Fecha Económico]]))</f>
        <v>2018</v>
      </c>
      <c r="AM164" s="987">
        <f>SUMPRODUCT((Producción_Lecheria[[#This Row],[Mes Económico]]=Tipo_Cambio[Mes])*(Producción_Lecheria[[#This Row],[Año Económico]]=Tipo_Cambio[Año])*(Tipo_Cambio[$/U$S]))</f>
        <v>22.22</v>
      </c>
      <c r="AN164" s="987">
        <f>SUMPRODUCT((Producción_Lecheria[[#This Row],[Mes Económico]]=Tipo_Cambio[Mes])*(Producción_Lecheria[[#This Row],[Año Económico]]=Tipo_Cambio[Año])*(Tipo_Cambio[Actualización]))</f>
        <v>1.02</v>
      </c>
      <c r="AO164" s="986">
        <f>IF(ISNUMBER(Producción_Lecheria[[#This Row],[Fecha Financiero]])=TRUE,MONTH(Producción_Lecheria[[#This Row],[Fecha Financiero]]),0)</f>
        <v>0</v>
      </c>
      <c r="AP164" s="986">
        <f>IF(ISNUMBER(Producción_Lecheria[[#This Row],[Fecha Financiero]])=TRUE,YEAR(Producción_Lecheria[[#This Row],[Fecha Financiero]]),0)</f>
        <v>0</v>
      </c>
      <c r="AQ164" s="987">
        <f>SUMPRODUCT((Producción_Lecheria[[#This Row],[Mes Financiero]]=Tipo_Cambio[Mes])*(Producción_Lecheria[[#This Row],[Año Financiero]]=Tipo_Cambio[Año])*(Tipo_Cambio[$/U$S]))</f>
        <v>0</v>
      </c>
      <c r="AR164" s="987">
        <f>SUMPRODUCT((Producción_Lecheria[[#This Row],[Mes Financiero]]=Tipo_Cambio[Mes])*(Producción_Lecheria[[#This Row],[Año Financiero]]=Tipo_Cambio[Año])*(Tipo_Cambio[Actualización]))</f>
        <v>0</v>
      </c>
      <c r="AS164" s="1009">
        <f>SUMPRODUCT((Producción_Lecheria[[#This Row],[Centro de Costo]]=Tabla1924[Centro de Costo])*(Tabla19[Superficie]))</f>
        <v>2356</v>
      </c>
      <c r="AT164" s="1010">
        <f>IFERROR(Producción_Lecheria[[#This Row],[Económico $Corrientes]]/Producción_Lecheria[[#This Row],[Superficie]],0)</f>
        <v>0</v>
      </c>
      <c r="AU164" s="1010">
        <f>IFERROR(Producción_Lecheria[[#This Row],[Económico $Constantes]]/Producción_Lecheria[[#This Row],[Superficie]],0)</f>
        <v>0</v>
      </c>
      <c r="AV164" s="1010">
        <f>IFERROR(Producción_Lecheria[[#This Row],[Económico U$S Dólares]]/Producción_Lecheria[[#This Row],[Superficie]],0)</f>
        <v>0</v>
      </c>
      <c r="AW164" s="992" t="str">
        <f>IF(Económico!$F$4=0,0,Producción_Lecheria[Centro de Costo])</f>
        <v>Campo 1</v>
      </c>
    </row>
    <row r="165" spans="1:49" x14ac:dyDescent="0.25">
      <c r="A165" s="86"/>
      <c r="B165" s="1136"/>
      <c r="D165" s="548">
        <f t="shared" ref="D165:D174" si="16">DATE(IF(MONTH(D164)=1,YEAR(D164+1),YEAR(D164)),MONTH(D164)+1,1)</f>
        <v>43344</v>
      </c>
      <c r="E165" s="493"/>
      <c r="F165" s="479" t="str">
        <f t="shared" si="14"/>
        <v>2018-2019</v>
      </c>
      <c r="G165" s="576" t="str">
        <f t="shared" si="15"/>
        <v>Venta de Leche</v>
      </c>
      <c r="H165" s="481" t="s">
        <v>2</v>
      </c>
      <c r="I165" s="491"/>
      <c r="J165" s="549"/>
      <c r="K165" s="484"/>
      <c r="L16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6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65" s="520"/>
      <c r="O16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65" s="591">
        <f>Producción_Lecheria[[#This Row],[Vc. Ordeñe]]*Producción_Lecheria[[#This Row],[L/V. Ordeñe]]*(D166-Producción_Lecheria[[#This Row],[Fecha Económico]])</f>
        <v>0</v>
      </c>
      <c r="Q165" s="491"/>
      <c r="R165" s="875">
        <f>IF(ISNUMBER(Producción_Lecheria[[#This Row],[Cabezas]])=TRUE,Producción_Lecheria[[#This Row],[Cabezas]]*Producción_Lecheria[[#This Row],[Cantidad]],Producción_Lecheria[[#This Row],[Cantidad]])</f>
        <v>0</v>
      </c>
      <c r="S165" s="491"/>
      <c r="T165" s="552"/>
      <c r="U165" s="553"/>
      <c r="V16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65" s="977">
        <f>IFERROR(Producción_Lecheria[[#This Row],[Económico $Corrientes]]/Producción_Lecheria[[#This Row],[Indexación Económico]],0)</f>
        <v>0</v>
      </c>
      <c r="X16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6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65" s="977">
        <f>IFERROR(Producción_Lecheria[[#This Row],[Financiero $Corrientes]]/Producción_Lecheria[[#This Row],[Indexación Financiero]],0)</f>
        <v>0</v>
      </c>
      <c r="AA16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6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65" s="981">
        <f>IFERROR(Producción_Lecheria[[#This Row],[Intereses $Corrientes]]/Producción_Lecheria[[#This Row],[Indexación Financiero]],0)</f>
        <v>0</v>
      </c>
      <c r="AD16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65" s="991" t="str">
        <f>IFERROR(INDEX(Produccion_Lecheria_Cuentas[],MATCH(Producción_Lecheria[[#This Row],[Cuenta Contable]],Produccion_Lecheria_Cuentas[Cuenta Contable],0),2),0)</f>
        <v>Ingreso</v>
      </c>
      <c r="AF165" s="992">
        <f>IF(Producción_Lecheria[[#This Row],[Mov. Stock]]="(+)",Producción_Lecheria[[#This Row],[Cabezas]],IF(Producción_Lecheria[[#This Row],[Mov. Stock]]="(-)",-Producción_Lecheria[[#This Row],[Cabezas]],0))</f>
        <v>0</v>
      </c>
      <c r="AG165" s="993">
        <f>IFERROR(INDEX(Produccion_Lecheria_Cuentas[],MATCH(Producción_Lecheria[[#This Row],[Cuenta Contable]],Produccion_Lecheria_Cuentas[Cuenta Contable],0),5),0)</f>
        <v>0</v>
      </c>
      <c r="AH165" s="985" t="str">
        <f>IF(Producción_Lecheria[[#This Row],[Cuenta Contable]]=Configuración!$AC$9,"Si","No")</f>
        <v>No</v>
      </c>
      <c r="AI165" s="983" t="str">
        <f>IFERROR(INDEX(Tabla9[],MATCH(Producción_Lecheria[[#This Row],[Movimiento]],Tabla9[Movimientos],0),2),0)</f>
        <v>Si</v>
      </c>
      <c r="AJ165" s="984" t="str">
        <f>IFERROR(INDEX(Tabla9[],MATCH(Producción_Lecheria[[#This Row],[Movimiento]],Tabla9[Movimientos],0),3),0)</f>
        <v>(+)</v>
      </c>
      <c r="AK165" s="986">
        <f>IF(Producción_Lecheria[[#This Row],[Fecha Económico]]=0,0,MONTH(Producción_Lecheria[[#This Row],[Fecha Económico]]))</f>
        <v>9</v>
      </c>
      <c r="AL165" s="986">
        <f>IF(Producción_Lecheria[[#This Row],[Fecha Económico]]=0,0,YEAR(Producción_Lecheria[[#This Row],[Fecha Económico]]))</f>
        <v>2018</v>
      </c>
      <c r="AM165" s="987">
        <f>SUMPRODUCT((Producción_Lecheria[[#This Row],[Mes Económico]]=Tipo_Cambio[Mes])*(Producción_Lecheria[[#This Row],[Año Económico]]=Tipo_Cambio[Año])*(Tipo_Cambio[$/U$S]))</f>
        <v>22.4422</v>
      </c>
      <c r="AN165" s="987">
        <f>SUMPRODUCT((Producción_Lecheria[[#This Row],[Mes Económico]]=Tipo_Cambio[Mes])*(Producción_Lecheria[[#This Row],[Año Económico]]=Tipo_Cambio[Año])*(Tipo_Cambio[Actualización]))</f>
        <v>1.0404</v>
      </c>
      <c r="AO165" s="986">
        <f>IF(ISNUMBER(Producción_Lecheria[[#This Row],[Fecha Financiero]])=TRUE,MONTH(Producción_Lecheria[[#This Row],[Fecha Financiero]]),0)</f>
        <v>0</v>
      </c>
      <c r="AP165" s="986">
        <f>IF(ISNUMBER(Producción_Lecheria[[#This Row],[Fecha Financiero]])=TRUE,YEAR(Producción_Lecheria[[#This Row],[Fecha Financiero]]),0)</f>
        <v>0</v>
      </c>
      <c r="AQ165" s="987">
        <f>SUMPRODUCT((Producción_Lecheria[[#This Row],[Mes Financiero]]=Tipo_Cambio[Mes])*(Producción_Lecheria[[#This Row],[Año Financiero]]=Tipo_Cambio[Año])*(Tipo_Cambio[$/U$S]))</f>
        <v>0</v>
      </c>
      <c r="AR165" s="987">
        <f>SUMPRODUCT((Producción_Lecheria[[#This Row],[Mes Financiero]]=Tipo_Cambio[Mes])*(Producción_Lecheria[[#This Row],[Año Financiero]]=Tipo_Cambio[Año])*(Tipo_Cambio[Actualización]))</f>
        <v>0</v>
      </c>
      <c r="AS165" s="1009">
        <f>SUMPRODUCT((Producción_Lecheria[[#This Row],[Centro de Costo]]=Tabla1924[Centro de Costo])*(Tabla19[Superficie]))</f>
        <v>2356</v>
      </c>
      <c r="AT165" s="1010">
        <f>IFERROR(Producción_Lecheria[[#This Row],[Económico $Corrientes]]/Producción_Lecheria[[#This Row],[Superficie]],0)</f>
        <v>0</v>
      </c>
      <c r="AU165" s="1010">
        <f>IFERROR(Producción_Lecheria[[#This Row],[Económico $Constantes]]/Producción_Lecheria[[#This Row],[Superficie]],0)</f>
        <v>0</v>
      </c>
      <c r="AV165" s="1010">
        <f>IFERROR(Producción_Lecheria[[#This Row],[Económico U$S Dólares]]/Producción_Lecheria[[#This Row],[Superficie]],0)</f>
        <v>0</v>
      </c>
      <c r="AW165" s="992" t="str">
        <f>IF(Económico!$F$4=0,0,Producción_Lecheria[Centro de Costo])</f>
        <v>Campo 1</v>
      </c>
    </row>
    <row r="166" spans="1:49" x14ac:dyDescent="0.25">
      <c r="A166" s="86"/>
      <c r="D166" s="548">
        <f t="shared" si="16"/>
        <v>43374</v>
      </c>
      <c r="E166" s="493"/>
      <c r="F166" s="479" t="str">
        <f t="shared" si="14"/>
        <v>2018-2019</v>
      </c>
      <c r="G166" s="576" t="str">
        <f t="shared" si="15"/>
        <v>Venta de Leche</v>
      </c>
      <c r="H166" s="481" t="s">
        <v>2</v>
      </c>
      <c r="I166" s="491"/>
      <c r="J166" s="549"/>
      <c r="K166" s="484"/>
      <c r="L16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6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66" s="520"/>
      <c r="O16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66" s="591">
        <f>Producción_Lecheria[[#This Row],[Vc. Ordeñe]]*Producción_Lecheria[[#This Row],[L/V. Ordeñe]]*(D167-Producción_Lecheria[[#This Row],[Fecha Económico]])</f>
        <v>0</v>
      </c>
      <c r="Q166" s="491"/>
      <c r="R166" s="875">
        <f>IF(ISNUMBER(Producción_Lecheria[[#This Row],[Cabezas]])=TRUE,Producción_Lecheria[[#This Row],[Cabezas]]*Producción_Lecheria[[#This Row],[Cantidad]],Producción_Lecheria[[#This Row],[Cantidad]])</f>
        <v>0</v>
      </c>
      <c r="S166" s="491"/>
      <c r="T166" s="552"/>
      <c r="U166" s="553"/>
      <c r="V16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66" s="977">
        <f>IFERROR(Producción_Lecheria[[#This Row],[Económico $Corrientes]]/Producción_Lecheria[[#This Row],[Indexación Económico]],0)</f>
        <v>0</v>
      </c>
      <c r="X16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6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66" s="977">
        <f>IFERROR(Producción_Lecheria[[#This Row],[Financiero $Corrientes]]/Producción_Lecheria[[#This Row],[Indexación Financiero]],0)</f>
        <v>0</v>
      </c>
      <c r="AA16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6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66" s="981">
        <f>IFERROR(Producción_Lecheria[[#This Row],[Intereses $Corrientes]]/Producción_Lecheria[[#This Row],[Indexación Financiero]],0)</f>
        <v>0</v>
      </c>
      <c r="AD16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66" s="991" t="str">
        <f>IFERROR(INDEX(Produccion_Lecheria_Cuentas[],MATCH(Producción_Lecheria[[#This Row],[Cuenta Contable]],Produccion_Lecheria_Cuentas[Cuenta Contable],0),2),0)</f>
        <v>Ingreso</v>
      </c>
      <c r="AF166" s="992">
        <f>IF(Producción_Lecheria[[#This Row],[Mov. Stock]]="(+)",Producción_Lecheria[[#This Row],[Cabezas]],IF(Producción_Lecheria[[#This Row],[Mov. Stock]]="(-)",-Producción_Lecheria[[#This Row],[Cabezas]],0))</f>
        <v>0</v>
      </c>
      <c r="AG166" s="993">
        <f>IFERROR(INDEX(Produccion_Lecheria_Cuentas[],MATCH(Producción_Lecheria[[#This Row],[Cuenta Contable]],Produccion_Lecheria_Cuentas[Cuenta Contable],0),5),0)</f>
        <v>0</v>
      </c>
      <c r="AH166" s="985" t="str">
        <f>IF(Producción_Lecheria[[#This Row],[Cuenta Contable]]=Configuración!$AC$9,"Si","No")</f>
        <v>No</v>
      </c>
      <c r="AI166" s="983" t="str">
        <f>IFERROR(INDEX(Tabla9[],MATCH(Producción_Lecheria[[#This Row],[Movimiento]],Tabla9[Movimientos],0),2),0)</f>
        <v>Si</v>
      </c>
      <c r="AJ166" s="984" t="str">
        <f>IFERROR(INDEX(Tabla9[],MATCH(Producción_Lecheria[[#This Row],[Movimiento]],Tabla9[Movimientos],0),3),0)</f>
        <v>(+)</v>
      </c>
      <c r="AK166" s="986">
        <f>IF(Producción_Lecheria[[#This Row],[Fecha Económico]]=0,0,MONTH(Producción_Lecheria[[#This Row],[Fecha Económico]]))</f>
        <v>10</v>
      </c>
      <c r="AL166" s="986">
        <f>IF(Producción_Lecheria[[#This Row],[Fecha Económico]]=0,0,YEAR(Producción_Lecheria[[#This Row],[Fecha Económico]]))</f>
        <v>2018</v>
      </c>
      <c r="AM166" s="987">
        <f>SUMPRODUCT((Producción_Lecheria[[#This Row],[Mes Económico]]=Tipo_Cambio[Mes])*(Producción_Lecheria[[#This Row],[Año Económico]]=Tipo_Cambio[Año])*(Tipo_Cambio[$/U$S]))</f>
        <v>22.666622</v>
      </c>
      <c r="AN166" s="987">
        <f>SUMPRODUCT((Producción_Lecheria[[#This Row],[Mes Económico]]=Tipo_Cambio[Mes])*(Producción_Lecheria[[#This Row],[Año Económico]]=Tipo_Cambio[Año])*(Tipo_Cambio[Actualización]))</f>
        <v>1.0612079999999999</v>
      </c>
      <c r="AO166" s="986">
        <f>IF(ISNUMBER(Producción_Lecheria[[#This Row],[Fecha Financiero]])=TRUE,MONTH(Producción_Lecheria[[#This Row],[Fecha Financiero]]),0)</f>
        <v>0</v>
      </c>
      <c r="AP166" s="986">
        <f>IF(ISNUMBER(Producción_Lecheria[[#This Row],[Fecha Financiero]])=TRUE,YEAR(Producción_Lecheria[[#This Row],[Fecha Financiero]]),0)</f>
        <v>0</v>
      </c>
      <c r="AQ166" s="987">
        <f>SUMPRODUCT((Producción_Lecheria[[#This Row],[Mes Financiero]]=Tipo_Cambio[Mes])*(Producción_Lecheria[[#This Row],[Año Financiero]]=Tipo_Cambio[Año])*(Tipo_Cambio[$/U$S]))</f>
        <v>0</v>
      </c>
      <c r="AR166" s="987">
        <f>SUMPRODUCT((Producción_Lecheria[[#This Row],[Mes Financiero]]=Tipo_Cambio[Mes])*(Producción_Lecheria[[#This Row],[Año Financiero]]=Tipo_Cambio[Año])*(Tipo_Cambio[Actualización]))</f>
        <v>0</v>
      </c>
      <c r="AS166" s="1009">
        <f>SUMPRODUCT((Producción_Lecheria[[#This Row],[Centro de Costo]]=Tabla1924[Centro de Costo])*(Tabla19[Superficie]))</f>
        <v>2356</v>
      </c>
      <c r="AT166" s="1010">
        <f>IFERROR(Producción_Lecheria[[#This Row],[Económico $Corrientes]]/Producción_Lecheria[[#This Row],[Superficie]],0)</f>
        <v>0</v>
      </c>
      <c r="AU166" s="1010">
        <f>IFERROR(Producción_Lecheria[[#This Row],[Económico $Constantes]]/Producción_Lecheria[[#This Row],[Superficie]],0)</f>
        <v>0</v>
      </c>
      <c r="AV166" s="1010">
        <f>IFERROR(Producción_Lecheria[[#This Row],[Económico U$S Dólares]]/Producción_Lecheria[[#This Row],[Superficie]],0)</f>
        <v>0</v>
      </c>
      <c r="AW166" s="992" t="str">
        <f>IF(Económico!$F$4=0,0,Producción_Lecheria[Centro de Costo])</f>
        <v>Campo 1</v>
      </c>
    </row>
    <row r="167" spans="1:49" x14ac:dyDescent="0.25">
      <c r="A167" s="86"/>
      <c r="D167" s="548">
        <f t="shared" si="16"/>
        <v>43405</v>
      </c>
      <c r="E167" s="493"/>
      <c r="F167" s="479" t="str">
        <f t="shared" si="14"/>
        <v>2018-2019</v>
      </c>
      <c r="G167" s="576" t="str">
        <f t="shared" si="15"/>
        <v>Venta de Leche</v>
      </c>
      <c r="H167" s="481" t="s">
        <v>2</v>
      </c>
      <c r="I167" s="491"/>
      <c r="J167" s="549"/>
      <c r="K167" s="484"/>
      <c r="L16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6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67" s="520"/>
      <c r="O16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67" s="591">
        <f>Producción_Lecheria[[#This Row],[Vc. Ordeñe]]*Producción_Lecheria[[#This Row],[L/V. Ordeñe]]*(D168-Producción_Lecheria[[#This Row],[Fecha Económico]])</f>
        <v>0</v>
      </c>
      <c r="Q167" s="491"/>
      <c r="R167" s="875">
        <f>IF(ISNUMBER(Producción_Lecheria[[#This Row],[Cabezas]])=TRUE,Producción_Lecheria[[#This Row],[Cabezas]]*Producción_Lecheria[[#This Row],[Cantidad]],Producción_Lecheria[[#This Row],[Cantidad]])</f>
        <v>0</v>
      </c>
      <c r="S167" s="491"/>
      <c r="T167" s="552"/>
      <c r="U167" s="553"/>
      <c r="V16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67" s="977">
        <f>IFERROR(Producción_Lecheria[[#This Row],[Económico $Corrientes]]/Producción_Lecheria[[#This Row],[Indexación Económico]],0)</f>
        <v>0</v>
      </c>
      <c r="X16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6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67" s="977">
        <f>IFERROR(Producción_Lecheria[[#This Row],[Financiero $Corrientes]]/Producción_Lecheria[[#This Row],[Indexación Financiero]],0)</f>
        <v>0</v>
      </c>
      <c r="AA16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6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67" s="981">
        <f>IFERROR(Producción_Lecheria[[#This Row],[Intereses $Corrientes]]/Producción_Lecheria[[#This Row],[Indexación Financiero]],0)</f>
        <v>0</v>
      </c>
      <c r="AD16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67" s="991" t="str">
        <f>IFERROR(INDEX(Produccion_Lecheria_Cuentas[],MATCH(Producción_Lecheria[[#This Row],[Cuenta Contable]],Produccion_Lecheria_Cuentas[Cuenta Contable],0),2),0)</f>
        <v>Ingreso</v>
      </c>
      <c r="AF167" s="992">
        <f>IF(Producción_Lecheria[[#This Row],[Mov. Stock]]="(+)",Producción_Lecheria[[#This Row],[Cabezas]],IF(Producción_Lecheria[[#This Row],[Mov. Stock]]="(-)",-Producción_Lecheria[[#This Row],[Cabezas]],0))</f>
        <v>0</v>
      </c>
      <c r="AG167" s="993">
        <f>IFERROR(INDEX(Produccion_Lecheria_Cuentas[],MATCH(Producción_Lecheria[[#This Row],[Cuenta Contable]],Produccion_Lecheria_Cuentas[Cuenta Contable],0),5),0)</f>
        <v>0</v>
      </c>
      <c r="AH167" s="985" t="str">
        <f>IF(Producción_Lecheria[[#This Row],[Cuenta Contable]]=Configuración!$AC$9,"Si","No")</f>
        <v>No</v>
      </c>
      <c r="AI167" s="983" t="str">
        <f>IFERROR(INDEX(Tabla9[],MATCH(Producción_Lecheria[[#This Row],[Movimiento]],Tabla9[Movimientos],0),2),0)</f>
        <v>Si</v>
      </c>
      <c r="AJ167" s="984" t="str">
        <f>IFERROR(INDEX(Tabla9[],MATCH(Producción_Lecheria[[#This Row],[Movimiento]],Tabla9[Movimientos],0),3),0)</f>
        <v>(+)</v>
      </c>
      <c r="AK167" s="986">
        <f>IF(Producción_Lecheria[[#This Row],[Fecha Económico]]=0,0,MONTH(Producción_Lecheria[[#This Row],[Fecha Económico]]))</f>
        <v>11</v>
      </c>
      <c r="AL167" s="986">
        <f>IF(Producción_Lecheria[[#This Row],[Fecha Económico]]=0,0,YEAR(Producción_Lecheria[[#This Row],[Fecha Económico]]))</f>
        <v>2018</v>
      </c>
      <c r="AM167" s="987">
        <f>SUMPRODUCT((Producción_Lecheria[[#This Row],[Mes Económico]]=Tipo_Cambio[Mes])*(Producción_Lecheria[[#This Row],[Año Económico]]=Tipo_Cambio[Año])*(Tipo_Cambio[$/U$S]))</f>
        <v>22.893288219999999</v>
      </c>
      <c r="AN167" s="987">
        <f>SUMPRODUCT((Producción_Lecheria[[#This Row],[Mes Económico]]=Tipo_Cambio[Mes])*(Producción_Lecheria[[#This Row],[Año Económico]]=Tipo_Cambio[Año])*(Tipo_Cambio[Actualización]))</f>
        <v>1.08243216</v>
      </c>
      <c r="AO167" s="986">
        <f>IF(ISNUMBER(Producción_Lecheria[[#This Row],[Fecha Financiero]])=TRUE,MONTH(Producción_Lecheria[[#This Row],[Fecha Financiero]]),0)</f>
        <v>0</v>
      </c>
      <c r="AP167" s="986">
        <f>IF(ISNUMBER(Producción_Lecheria[[#This Row],[Fecha Financiero]])=TRUE,YEAR(Producción_Lecheria[[#This Row],[Fecha Financiero]]),0)</f>
        <v>0</v>
      </c>
      <c r="AQ167" s="987">
        <f>SUMPRODUCT((Producción_Lecheria[[#This Row],[Mes Financiero]]=Tipo_Cambio[Mes])*(Producción_Lecheria[[#This Row],[Año Financiero]]=Tipo_Cambio[Año])*(Tipo_Cambio[$/U$S]))</f>
        <v>0</v>
      </c>
      <c r="AR167" s="987">
        <f>SUMPRODUCT((Producción_Lecheria[[#This Row],[Mes Financiero]]=Tipo_Cambio[Mes])*(Producción_Lecheria[[#This Row],[Año Financiero]]=Tipo_Cambio[Año])*(Tipo_Cambio[Actualización]))</f>
        <v>0</v>
      </c>
      <c r="AS167" s="1009">
        <f>SUMPRODUCT((Producción_Lecheria[[#This Row],[Centro de Costo]]=Tabla1924[Centro de Costo])*(Tabla19[Superficie]))</f>
        <v>2356</v>
      </c>
      <c r="AT167" s="1010">
        <f>IFERROR(Producción_Lecheria[[#This Row],[Económico $Corrientes]]/Producción_Lecheria[[#This Row],[Superficie]],0)</f>
        <v>0</v>
      </c>
      <c r="AU167" s="1010">
        <f>IFERROR(Producción_Lecheria[[#This Row],[Económico $Constantes]]/Producción_Lecheria[[#This Row],[Superficie]],0)</f>
        <v>0</v>
      </c>
      <c r="AV167" s="1010">
        <f>IFERROR(Producción_Lecheria[[#This Row],[Económico U$S Dólares]]/Producción_Lecheria[[#This Row],[Superficie]],0)</f>
        <v>0</v>
      </c>
      <c r="AW167" s="992" t="str">
        <f>IF(Económico!$F$4=0,0,Producción_Lecheria[Centro de Costo])</f>
        <v>Campo 1</v>
      </c>
    </row>
    <row r="168" spans="1:49" x14ac:dyDescent="0.25">
      <c r="A168" s="86"/>
      <c r="D168" s="548">
        <f t="shared" si="16"/>
        <v>43435</v>
      </c>
      <c r="E168" s="493"/>
      <c r="F168" s="479" t="str">
        <f t="shared" si="14"/>
        <v>2018-2019</v>
      </c>
      <c r="G168" s="576" t="str">
        <f t="shared" si="15"/>
        <v>Venta de Leche</v>
      </c>
      <c r="H168" s="481" t="s">
        <v>2</v>
      </c>
      <c r="I168" s="491"/>
      <c r="J168" s="549"/>
      <c r="K168" s="484"/>
      <c r="L16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6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68" s="520"/>
      <c r="O16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68" s="591">
        <f>Producción_Lecheria[[#This Row],[Vc. Ordeñe]]*Producción_Lecheria[[#This Row],[L/V. Ordeñe]]*(D169-Producción_Lecheria[[#This Row],[Fecha Económico]])</f>
        <v>0</v>
      </c>
      <c r="Q168" s="491"/>
      <c r="R168" s="875">
        <f>IF(ISNUMBER(Producción_Lecheria[[#This Row],[Cabezas]])=TRUE,Producción_Lecheria[[#This Row],[Cabezas]]*Producción_Lecheria[[#This Row],[Cantidad]],Producción_Lecheria[[#This Row],[Cantidad]])</f>
        <v>0</v>
      </c>
      <c r="S168" s="491"/>
      <c r="T168" s="552"/>
      <c r="U168" s="553"/>
      <c r="V16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68" s="977">
        <f>IFERROR(Producción_Lecheria[[#This Row],[Económico $Corrientes]]/Producción_Lecheria[[#This Row],[Indexación Económico]],0)</f>
        <v>0</v>
      </c>
      <c r="X16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6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68" s="977">
        <f>IFERROR(Producción_Lecheria[[#This Row],[Financiero $Corrientes]]/Producción_Lecheria[[#This Row],[Indexación Financiero]],0)</f>
        <v>0</v>
      </c>
      <c r="AA16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6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68" s="981">
        <f>IFERROR(Producción_Lecheria[[#This Row],[Intereses $Corrientes]]/Producción_Lecheria[[#This Row],[Indexación Financiero]],0)</f>
        <v>0</v>
      </c>
      <c r="AD16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68" s="991" t="str">
        <f>IFERROR(INDEX(Produccion_Lecheria_Cuentas[],MATCH(Producción_Lecheria[[#This Row],[Cuenta Contable]],Produccion_Lecheria_Cuentas[Cuenta Contable],0),2),0)</f>
        <v>Ingreso</v>
      </c>
      <c r="AF168" s="992">
        <f>IF(Producción_Lecheria[[#This Row],[Mov. Stock]]="(+)",Producción_Lecheria[[#This Row],[Cabezas]],IF(Producción_Lecheria[[#This Row],[Mov. Stock]]="(-)",-Producción_Lecheria[[#This Row],[Cabezas]],0))</f>
        <v>0</v>
      </c>
      <c r="AG168" s="993">
        <f>IFERROR(INDEX(Produccion_Lecheria_Cuentas[],MATCH(Producción_Lecheria[[#This Row],[Cuenta Contable]],Produccion_Lecheria_Cuentas[Cuenta Contable],0),5),0)</f>
        <v>0</v>
      </c>
      <c r="AH168" s="985" t="str">
        <f>IF(Producción_Lecheria[[#This Row],[Cuenta Contable]]=Configuración!$AC$9,"Si","No")</f>
        <v>No</v>
      </c>
      <c r="AI168" s="983" t="str">
        <f>IFERROR(INDEX(Tabla9[],MATCH(Producción_Lecheria[[#This Row],[Movimiento]],Tabla9[Movimientos],0),2),0)</f>
        <v>Si</v>
      </c>
      <c r="AJ168" s="984" t="str">
        <f>IFERROR(INDEX(Tabla9[],MATCH(Producción_Lecheria[[#This Row],[Movimiento]],Tabla9[Movimientos],0),3),0)</f>
        <v>(+)</v>
      </c>
      <c r="AK168" s="986">
        <f>IF(Producción_Lecheria[[#This Row],[Fecha Económico]]=0,0,MONTH(Producción_Lecheria[[#This Row],[Fecha Económico]]))</f>
        <v>12</v>
      </c>
      <c r="AL168" s="986">
        <f>IF(Producción_Lecheria[[#This Row],[Fecha Económico]]=0,0,YEAR(Producción_Lecheria[[#This Row],[Fecha Económico]]))</f>
        <v>2018</v>
      </c>
      <c r="AM168" s="987">
        <f>SUMPRODUCT((Producción_Lecheria[[#This Row],[Mes Económico]]=Tipo_Cambio[Mes])*(Producción_Lecheria[[#This Row],[Año Económico]]=Tipo_Cambio[Año])*(Tipo_Cambio[$/U$S]))</f>
        <v>23.122221102199997</v>
      </c>
      <c r="AN168" s="987">
        <f>SUMPRODUCT((Producción_Lecheria[[#This Row],[Mes Económico]]=Tipo_Cambio[Mes])*(Producción_Lecheria[[#This Row],[Año Económico]]=Tipo_Cambio[Año])*(Tipo_Cambio[Actualización]))</f>
        <v>1.1040808032</v>
      </c>
      <c r="AO168" s="986">
        <f>IF(ISNUMBER(Producción_Lecheria[[#This Row],[Fecha Financiero]])=TRUE,MONTH(Producción_Lecheria[[#This Row],[Fecha Financiero]]),0)</f>
        <v>0</v>
      </c>
      <c r="AP168" s="986">
        <f>IF(ISNUMBER(Producción_Lecheria[[#This Row],[Fecha Financiero]])=TRUE,YEAR(Producción_Lecheria[[#This Row],[Fecha Financiero]]),0)</f>
        <v>0</v>
      </c>
      <c r="AQ168" s="987">
        <f>SUMPRODUCT((Producción_Lecheria[[#This Row],[Mes Financiero]]=Tipo_Cambio[Mes])*(Producción_Lecheria[[#This Row],[Año Financiero]]=Tipo_Cambio[Año])*(Tipo_Cambio[$/U$S]))</f>
        <v>0</v>
      </c>
      <c r="AR168" s="987">
        <f>SUMPRODUCT((Producción_Lecheria[[#This Row],[Mes Financiero]]=Tipo_Cambio[Mes])*(Producción_Lecheria[[#This Row],[Año Financiero]]=Tipo_Cambio[Año])*(Tipo_Cambio[Actualización]))</f>
        <v>0</v>
      </c>
      <c r="AS168" s="1009">
        <f>SUMPRODUCT((Producción_Lecheria[[#This Row],[Centro de Costo]]=Tabla1924[Centro de Costo])*(Tabla19[Superficie]))</f>
        <v>2356</v>
      </c>
      <c r="AT168" s="1010">
        <f>IFERROR(Producción_Lecheria[[#This Row],[Económico $Corrientes]]/Producción_Lecheria[[#This Row],[Superficie]],0)</f>
        <v>0</v>
      </c>
      <c r="AU168" s="1010">
        <f>IFERROR(Producción_Lecheria[[#This Row],[Económico $Constantes]]/Producción_Lecheria[[#This Row],[Superficie]],0)</f>
        <v>0</v>
      </c>
      <c r="AV168" s="1010">
        <f>IFERROR(Producción_Lecheria[[#This Row],[Económico U$S Dólares]]/Producción_Lecheria[[#This Row],[Superficie]],0)</f>
        <v>0</v>
      </c>
      <c r="AW168" s="992" t="str">
        <f>IF(Económico!$F$4=0,0,Producción_Lecheria[Centro de Costo])</f>
        <v>Campo 1</v>
      </c>
    </row>
    <row r="169" spans="1:49" x14ac:dyDescent="0.25">
      <c r="A169" s="86"/>
      <c r="D169" s="548">
        <f t="shared" si="16"/>
        <v>43466</v>
      </c>
      <c r="E169" s="493"/>
      <c r="F169" s="479" t="str">
        <f t="shared" si="14"/>
        <v>2018-2019</v>
      </c>
      <c r="G169" s="576" t="str">
        <f t="shared" si="15"/>
        <v>Venta de Leche</v>
      </c>
      <c r="H169" s="481" t="s">
        <v>2</v>
      </c>
      <c r="I169" s="491"/>
      <c r="J169" s="549"/>
      <c r="K169" s="484"/>
      <c r="L16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6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69" s="520"/>
      <c r="O16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69" s="591">
        <f>Producción_Lecheria[[#This Row],[Vc. Ordeñe]]*Producción_Lecheria[[#This Row],[L/V. Ordeñe]]*(D170-Producción_Lecheria[[#This Row],[Fecha Económico]])</f>
        <v>0</v>
      </c>
      <c r="Q169" s="491"/>
      <c r="R169" s="875">
        <f>IF(ISNUMBER(Producción_Lecheria[[#This Row],[Cabezas]])=TRUE,Producción_Lecheria[[#This Row],[Cabezas]]*Producción_Lecheria[[#This Row],[Cantidad]],Producción_Lecheria[[#This Row],[Cantidad]])</f>
        <v>0</v>
      </c>
      <c r="S169" s="491"/>
      <c r="T169" s="552"/>
      <c r="U169" s="553"/>
      <c r="V16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69" s="977">
        <f>IFERROR(Producción_Lecheria[[#This Row],[Económico $Corrientes]]/Producción_Lecheria[[#This Row],[Indexación Económico]],0)</f>
        <v>0</v>
      </c>
      <c r="X16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6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69" s="977">
        <f>IFERROR(Producción_Lecheria[[#This Row],[Financiero $Corrientes]]/Producción_Lecheria[[#This Row],[Indexación Financiero]],0)</f>
        <v>0</v>
      </c>
      <c r="AA16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6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69" s="981">
        <f>IFERROR(Producción_Lecheria[[#This Row],[Intereses $Corrientes]]/Producción_Lecheria[[#This Row],[Indexación Financiero]],0)</f>
        <v>0</v>
      </c>
      <c r="AD16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69" s="991" t="str">
        <f>IFERROR(INDEX(Produccion_Lecheria_Cuentas[],MATCH(Producción_Lecheria[[#This Row],[Cuenta Contable]],Produccion_Lecheria_Cuentas[Cuenta Contable],0),2),0)</f>
        <v>Ingreso</v>
      </c>
      <c r="AF169" s="992">
        <f>IF(Producción_Lecheria[[#This Row],[Mov. Stock]]="(+)",Producción_Lecheria[[#This Row],[Cabezas]],IF(Producción_Lecheria[[#This Row],[Mov. Stock]]="(-)",-Producción_Lecheria[[#This Row],[Cabezas]],0))</f>
        <v>0</v>
      </c>
      <c r="AG169" s="993">
        <f>IFERROR(INDEX(Produccion_Lecheria_Cuentas[],MATCH(Producción_Lecheria[[#This Row],[Cuenta Contable]],Produccion_Lecheria_Cuentas[Cuenta Contable],0),5),0)</f>
        <v>0</v>
      </c>
      <c r="AH169" s="985" t="str">
        <f>IF(Producción_Lecheria[[#This Row],[Cuenta Contable]]=Configuración!$AC$9,"Si","No")</f>
        <v>No</v>
      </c>
      <c r="AI169" s="983" t="str">
        <f>IFERROR(INDEX(Tabla9[],MATCH(Producción_Lecheria[[#This Row],[Movimiento]],Tabla9[Movimientos],0),2),0)</f>
        <v>Si</v>
      </c>
      <c r="AJ169" s="984" t="str">
        <f>IFERROR(INDEX(Tabla9[],MATCH(Producción_Lecheria[[#This Row],[Movimiento]],Tabla9[Movimientos],0),3),0)</f>
        <v>(+)</v>
      </c>
      <c r="AK169" s="986">
        <f>IF(Producción_Lecheria[[#This Row],[Fecha Económico]]=0,0,MONTH(Producción_Lecheria[[#This Row],[Fecha Económico]]))</f>
        <v>1</v>
      </c>
      <c r="AL169" s="986">
        <f>IF(Producción_Lecheria[[#This Row],[Fecha Económico]]=0,0,YEAR(Producción_Lecheria[[#This Row],[Fecha Económico]]))</f>
        <v>2019</v>
      </c>
      <c r="AM169" s="987">
        <f>SUMPRODUCT((Producción_Lecheria[[#This Row],[Mes Económico]]=Tipo_Cambio[Mes])*(Producción_Lecheria[[#This Row],[Año Económico]]=Tipo_Cambio[Año])*(Tipo_Cambio[$/U$S]))</f>
        <v>23.353443313221998</v>
      </c>
      <c r="AN169" s="987">
        <f>SUMPRODUCT((Producción_Lecheria[[#This Row],[Mes Económico]]=Tipo_Cambio[Mes])*(Producción_Lecheria[[#This Row],[Año Económico]]=Tipo_Cambio[Año])*(Tipo_Cambio[Actualización]))</f>
        <v>1.1261624192640001</v>
      </c>
      <c r="AO169" s="986">
        <f>IF(ISNUMBER(Producción_Lecheria[[#This Row],[Fecha Financiero]])=TRUE,MONTH(Producción_Lecheria[[#This Row],[Fecha Financiero]]),0)</f>
        <v>0</v>
      </c>
      <c r="AP169" s="986">
        <f>IF(ISNUMBER(Producción_Lecheria[[#This Row],[Fecha Financiero]])=TRUE,YEAR(Producción_Lecheria[[#This Row],[Fecha Financiero]]),0)</f>
        <v>0</v>
      </c>
      <c r="AQ169" s="987">
        <f>SUMPRODUCT((Producción_Lecheria[[#This Row],[Mes Financiero]]=Tipo_Cambio[Mes])*(Producción_Lecheria[[#This Row],[Año Financiero]]=Tipo_Cambio[Año])*(Tipo_Cambio[$/U$S]))</f>
        <v>0</v>
      </c>
      <c r="AR169" s="987">
        <f>SUMPRODUCT((Producción_Lecheria[[#This Row],[Mes Financiero]]=Tipo_Cambio[Mes])*(Producción_Lecheria[[#This Row],[Año Financiero]]=Tipo_Cambio[Año])*(Tipo_Cambio[Actualización]))</f>
        <v>0</v>
      </c>
      <c r="AS169" s="1009">
        <f>SUMPRODUCT((Producción_Lecheria[[#This Row],[Centro de Costo]]=Tabla1924[Centro de Costo])*(Tabla19[Superficie]))</f>
        <v>2356</v>
      </c>
      <c r="AT169" s="1010">
        <f>IFERROR(Producción_Lecheria[[#This Row],[Económico $Corrientes]]/Producción_Lecheria[[#This Row],[Superficie]],0)</f>
        <v>0</v>
      </c>
      <c r="AU169" s="1010">
        <f>IFERROR(Producción_Lecheria[[#This Row],[Económico $Constantes]]/Producción_Lecheria[[#This Row],[Superficie]],0)</f>
        <v>0</v>
      </c>
      <c r="AV169" s="1010">
        <f>IFERROR(Producción_Lecheria[[#This Row],[Económico U$S Dólares]]/Producción_Lecheria[[#This Row],[Superficie]],0)</f>
        <v>0</v>
      </c>
      <c r="AW169" s="992" t="str">
        <f>IF(Económico!$F$4=0,0,Producción_Lecheria[Centro de Costo])</f>
        <v>Campo 1</v>
      </c>
    </row>
    <row r="170" spans="1:49" x14ac:dyDescent="0.25">
      <c r="A170" s="86"/>
      <c r="D170" s="548">
        <f t="shared" si="16"/>
        <v>43497</v>
      </c>
      <c r="E170" s="493"/>
      <c r="F170" s="479" t="str">
        <f t="shared" si="14"/>
        <v>2018-2019</v>
      </c>
      <c r="G170" s="576" t="str">
        <f t="shared" si="15"/>
        <v>Venta de Leche</v>
      </c>
      <c r="H170" s="481" t="s">
        <v>2</v>
      </c>
      <c r="I170" s="491"/>
      <c r="J170" s="549"/>
      <c r="K170" s="484"/>
      <c r="L17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7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70" s="520"/>
      <c r="O17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70" s="591">
        <f>Producción_Lecheria[[#This Row],[Vc. Ordeñe]]*Producción_Lecheria[[#This Row],[L/V. Ordeñe]]*(D171-Producción_Lecheria[[#This Row],[Fecha Económico]])</f>
        <v>0</v>
      </c>
      <c r="Q170" s="491"/>
      <c r="R170" s="875">
        <f>IF(ISNUMBER(Producción_Lecheria[[#This Row],[Cabezas]])=TRUE,Producción_Lecheria[[#This Row],[Cabezas]]*Producción_Lecheria[[#This Row],[Cantidad]],Producción_Lecheria[[#This Row],[Cantidad]])</f>
        <v>0</v>
      </c>
      <c r="S170" s="491"/>
      <c r="T170" s="552"/>
      <c r="U170" s="553"/>
      <c r="V17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70" s="977">
        <f>IFERROR(Producción_Lecheria[[#This Row],[Económico $Corrientes]]/Producción_Lecheria[[#This Row],[Indexación Económico]],0)</f>
        <v>0</v>
      </c>
      <c r="X17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7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70" s="977">
        <f>IFERROR(Producción_Lecheria[[#This Row],[Financiero $Corrientes]]/Producción_Lecheria[[#This Row],[Indexación Financiero]],0)</f>
        <v>0</v>
      </c>
      <c r="AA17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7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70" s="981">
        <f>IFERROR(Producción_Lecheria[[#This Row],[Intereses $Corrientes]]/Producción_Lecheria[[#This Row],[Indexación Financiero]],0)</f>
        <v>0</v>
      </c>
      <c r="AD17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70" s="991" t="str">
        <f>IFERROR(INDEX(Produccion_Lecheria_Cuentas[],MATCH(Producción_Lecheria[[#This Row],[Cuenta Contable]],Produccion_Lecheria_Cuentas[Cuenta Contable],0),2),0)</f>
        <v>Ingreso</v>
      </c>
      <c r="AF170" s="992">
        <f>IF(Producción_Lecheria[[#This Row],[Mov. Stock]]="(+)",Producción_Lecheria[[#This Row],[Cabezas]],IF(Producción_Lecheria[[#This Row],[Mov. Stock]]="(-)",-Producción_Lecheria[[#This Row],[Cabezas]],0))</f>
        <v>0</v>
      </c>
      <c r="AG170" s="993">
        <f>IFERROR(INDEX(Produccion_Lecheria_Cuentas[],MATCH(Producción_Lecheria[[#This Row],[Cuenta Contable]],Produccion_Lecheria_Cuentas[Cuenta Contable],0),5),0)</f>
        <v>0</v>
      </c>
      <c r="AH170" s="985" t="str">
        <f>IF(Producción_Lecheria[[#This Row],[Cuenta Contable]]=Configuración!$AC$9,"Si","No")</f>
        <v>No</v>
      </c>
      <c r="AI170" s="983" t="str">
        <f>IFERROR(INDEX(Tabla9[],MATCH(Producción_Lecheria[[#This Row],[Movimiento]],Tabla9[Movimientos],0),2),0)</f>
        <v>Si</v>
      </c>
      <c r="AJ170" s="984" t="str">
        <f>IFERROR(INDEX(Tabla9[],MATCH(Producción_Lecheria[[#This Row],[Movimiento]],Tabla9[Movimientos],0),3),0)</f>
        <v>(+)</v>
      </c>
      <c r="AK170" s="986">
        <f>IF(Producción_Lecheria[[#This Row],[Fecha Económico]]=0,0,MONTH(Producción_Lecheria[[#This Row],[Fecha Económico]]))</f>
        <v>2</v>
      </c>
      <c r="AL170" s="986">
        <f>IF(Producción_Lecheria[[#This Row],[Fecha Económico]]=0,0,YEAR(Producción_Lecheria[[#This Row],[Fecha Económico]]))</f>
        <v>2019</v>
      </c>
      <c r="AM170" s="987">
        <f>SUMPRODUCT((Producción_Lecheria[[#This Row],[Mes Económico]]=Tipo_Cambio[Mes])*(Producción_Lecheria[[#This Row],[Año Económico]]=Tipo_Cambio[Año])*(Tipo_Cambio[$/U$S]))</f>
        <v>23.586977746354219</v>
      </c>
      <c r="AN170" s="987">
        <f>SUMPRODUCT((Producción_Lecheria[[#This Row],[Mes Económico]]=Tipo_Cambio[Mes])*(Producción_Lecheria[[#This Row],[Año Económico]]=Tipo_Cambio[Año])*(Tipo_Cambio[Actualización]))</f>
        <v>1.14868566764928</v>
      </c>
      <c r="AO170" s="986">
        <f>IF(ISNUMBER(Producción_Lecheria[[#This Row],[Fecha Financiero]])=TRUE,MONTH(Producción_Lecheria[[#This Row],[Fecha Financiero]]),0)</f>
        <v>0</v>
      </c>
      <c r="AP170" s="986">
        <f>IF(ISNUMBER(Producción_Lecheria[[#This Row],[Fecha Financiero]])=TRUE,YEAR(Producción_Lecheria[[#This Row],[Fecha Financiero]]),0)</f>
        <v>0</v>
      </c>
      <c r="AQ170" s="987">
        <f>SUMPRODUCT((Producción_Lecheria[[#This Row],[Mes Financiero]]=Tipo_Cambio[Mes])*(Producción_Lecheria[[#This Row],[Año Financiero]]=Tipo_Cambio[Año])*(Tipo_Cambio[$/U$S]))</f>
        <v>0</v>
      </c>
      <c r="AR170" s="987">
        <f>SUMPRODUCT((Producción_Lecheria[[#This Row],[Mes Financiero]]=Tipo_Cambio[Mes])*(Producción_Lecheria[[#This Row],[Año Financiero]]=Tipo_Cambio[Año])*(Tipo_Cambio[Actualización]))</f>
        <v>0</v>
      </c>
      <c r="AS170" s="1009">
        <f>SUMPRODUCT((Producción_Lecheria[[#This Row],[Centro de Costo]]=Tabla1924[Centro de Costo])*(Tabla19[Superficie]))</f>
        <v>2356</v>
      </c>
      <c r="AT170" s="1010">
        <f>IFERROR(Producción_Lecheria[[#This Row],[Económico $Corrientes]]/Producción_Lecheria[[#This Row],[Superficie]],0)</f>
        <v>0</v>
      </c>
      <c r="AU170" s="1010">
        <f>IFERROR(Producción_Lecheria[[#This Row],[Económico $Constantes]]/Producción_Lecheria[[#This Row],[Superficie]],0)</f>
        <v>0</v>
      </c>
      <c r="AV170" s="1010">
        <f>IFERROR(Producción_Lecheria[[#This Row],[Económico U$S Dólares]]/Producción_Lecheria[[#This Row],[Superficie]],0)</f>
        <v>0</v>
      </c>
      <c r="AW170" s="992" t="str">
        <f>IF(Económico!$F$4=0,0,Producción_Lecheria[Centro de Costo])</f>
        <v>Campo 1</v>
      </c>
    </row>
    <row r="171" spans="1:49" x14ac:dyDescent="0.25">
      <c r="A171" s="86"/>
      <c r="D171" s="548">
        <f t="shared" si="16"/>
        <v>43525</v>
      </c>
      <c r="E171" s="493"/>
      <c r="F171" s="479" t="str">
        <f t="shared" si="14"/>
        <v>2018-2019</v>
      </c>
      <c r="G171" s="576" t="str">
        <f t="shared" si="15"/>
        <v>Venta de Leche</v>
      </c>
      <c r="H171" s="481" t="s">
        <v>2</v>
      </c>
      <c r="I171" s="491"/>
      <c r="J171" s="549"/>
      <c r="K171" s="484"/>
      <c r="L17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7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71" s="520"/>
      <c r="O17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71" s="591">
        <f>Producción_Lecheria[[#This Row],[Vc. Ordeñe]]*Producción_Lecheria[[#This Row],[L/V. Ordeñe]]*(D172-Producción_Lecheria[[#This Row],[Fecha Económico]])</f>
        <v>0</v>
      </c>
      <c r="Q171" s="491"/>
      <c r="R171" s="875">
        <f>IF(ISNUMBER(Producción_Lecheria[[#This Row],[Cabezas]])=TRUE,Producción_Lecheria[[#This Row],[Cabezas]]*Producción_Lecheria[[#This Row],[Cantidad]],Producción_Lecheria[[#This Row],[Cantidad]])</f>
        <v>0</v>
      </c>
      <c r="S171" s="491"/>
      <c r="T171" s="552"/>
      <c r="U171" s="553"/>
      <c r="V17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71" s="977">
        <f>IFERROR(Producción_Lecheria[[#This Row],[Económico $Corrientes]]/Producción_Lecheria[[#This Row],[Indexación Económico]],0)</f>
        <v>0</v>
      </c>
      <c r="X17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7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71" s="977">
        <f>IFERROR(Producción_Lecheria[[#This Row],[Financiero $Corrientes]]/Producción_Lecheria[[#This Row],[Indexación Financiero]],0)</f>
        <v>0</v>
      </c>
      <c r="AA17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7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71" s="981">
        <f>IFERROR(Producción_Lecheria[[#This Row],[Intereses $Corrientes]]/Producción_Lecheria[[#This Row],[Indexación Financiero]],0)</f>
        <v>0</v>
      </c>
      <c r="AD17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71" s="991" t="str">
        <f>IFERROR(INDEX(Produccion_Lecheria_Cuentas[],MATCH(Producción_Lecheria[[#This Row],[Cuenta Contable]],Produccion_Lecheria_Cuentas[Cuenta Contable],0),2),0)</f>
        <v>Ingreso</v>
      </c>
      <c r="AF171" s="992">
        <f>IF(Producción_Lecheria[[#This Row],[Mov. Stock]]="(+)",Producción_Lecheria[[#This Row],[Cabezas]],IF(Producción_Lecheria[[#This Row],[Mov. Stock]]="(-)",-Producción_Lecheria[[#This Row],[Cabezas]],0))</f>
        <v>0</v>
      </c>
      <c r="AG171" s="993">
        <f>IFERROR(INDEX(Produccion_Lecheria_Cuentas[],MATCH(Producción_Lecheria[[#This Row],[Cuenta Contable]],Produccion_Lecheria_Cuentas[Cuenta Contable],0),5),0)</f>
        <v>0</v>
      </c>
      <c r="AH171" s="985" t="str">
        <f>IF(Producción_Lecheria[[#This Row],[Cuenta Contable]]=Configuración!$AC$9,"Si","No")</f>
        <v>No</v>
      </c>
      <c r="AI171" s="983" t="str">
        <f>IFERROR(INDEX(Tabla9[],MATCH(Producción_Lecheria[[#This Row],[Movimiento]],Tabla9[Movimientos],0),2),0)</f>
        <v>Si</v>
      </c>
      <c r="AJ171" s="984" t="str">
        <f>IFERROR(INDEX(Tabla9[],MATCH(Producción_Lecheria[[#This Row],[Movimiento]],Tabla9[Movimientos],0),3),0)</f>
        <v>(+)</v>
      </c>
      <c r="AK171" s="986">
        <f>IF(Producción_Lecheria[[#This Row],[Fecha Económico]]=0,0,MONTH(Producción_Lecheria[[#This Row],[Fecha Económico]]))</f>
        <v>3</v>
      </c>
      <c r="AL171" s="986">
        <f>IF(Producción_Lecheria[[#This Row],[Fecha Económico]]=0,0,YEAR(Producción_Lecheria[[#This Row],[Fecha Económico]]))</f>
        <v>2019</v>
      </c>
      <c r="AM171" s="987">
        <f>SUMPRODUCT((Producción_Lecheria[[#This Row],[Mes Económico]]=Tipo_Cambio[Mes])*(Producción_Lecheria[[#This Row],[Año Económico]]=Tipo_Cambio[Año])*(Tipo_Cambio[$/U$S]))</f>
        <v>23.82284752381776</v>
      </c>
      <c r="AN171" s="987">
        <f>SUMPRODUCT((Producción_Lecheria[[#This Row],[Mes Económico]]=Tipo_Cambio[Mes])*(Producción_Lecheria[[#This Row],[Año Económico]]=Tipo_Cambio[Año])*(Tipo_Cambio[Actualización]))</f>
        <v>1.1716593810022657</v>
      </c>
      <c r="AO171" s="986">
        <f>IF(ISNUMBER(Producción_Lecheria[[#This Row],[Fecha Financiero]])=TRUE,MONTH(Producción_Lecheria[[#This Row],[Fecha Financiero]]),0)</f>
        <v>0</v>
      </c>
      <c r="AP171" s="986">
        <f>IF(ISNUMBER(Producción_Lecheria[[#This Row],[Fecha Financiero]])=TRUE,YEAR(Producción_Lecheria[[#This Row],[Fecha Financiero]]),0)</f>
        <v>0</v>
      </c>
      <c r="AQ171" s="987">
        <f>SUMPRODUCT((Producción_Lecheria[[#This Row],[Mes Financiero]]=Tipo_Cambio[Mes])*(Producción_Lecheria[[#This Row],[Año Financiero]]=Tipo_Cambio[Año])*(Tipo_Cambio[$/U$S]))</f>
        <v>0</v>
      </c>
      <c r="AR171" s="987">
        <f>SUMPRODUCT((Producción_Lecheria[[#This Row],[Mes Financiero]]=Tipo_Cambio[Mes])*(Producción_Lecheria[[#This Row],[Año Financiero]]=Tipo_Cambio[Año])*(Tipo_Cambio[Actualización]))</f>
        <v>0</v>
      </c>
      <c r="AS171" s="1009">
        <f>SUMPRODUCT((Producción_Lecheria[[#This Row],[Centro de Costo]]=Tabla1924[Centro de Costo])*(Tabla19[Superficie]))</f>
        <v>2356</v>
      </c>
      <c r="AT171" s="1010">
        <f>IFERROR(Producción_Lecheria[[#This Row],[Económico $Corrientes]]/Producción_Lecheria[[#This Row],[Superficie]],0)</f>
        <v>0</v>
      </c>
      <c r="AU171" s="1010">
        <f>IFERROR(Producción_Lecheria[[#This Row],[Económico $Constantes]]/Producción_Lecheria[[#This Row],[Superficie]],0)</f>
        <v>0</v>
      </c>
      <c r="AV171" s="1010">
        <f>IFERROR(Producción_Lecheria[[#This Row],[Económico U$S Dólares]]/Producción_Lecheria[[#This Row],[Superficie]],0)</f>
        <v>0</v>
      </c>
      <c r="AW171" s="992" t="str">
        <f>IF(Económico!$F$4=0,0,Producción_Lecheria[Centro de Costo])</f>
        <v>Campo 1</v>
      </c>
    </row>
    <row r="172" spans="1:49" x14ac:dyDescent="0.25">
      <c r="A172" s="86"/>
      <c r="D172" s="548">
        <f t="shared" si="16"/>
        <v>43556</v>
      </c>
      <c r="E172" s="493"/>
      <c r="F172" s="479" t="str">
        <f t="shared" si="14"/>
        <v>2018-2019</v>
      </c>
      <c r="G172" s="576" t="str">
        <f t="shared" si="15"/>
        <v>Venta de Leche</v>
      </c>
      <c r="H172" s="481" t="s">
        <v>2</v>
      </c>
      <c r="I172" s="491"/>
      <c r="J172" s="549"/>
      <c r="K172" s="484"/>
      <c r="L17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7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72" s="520"/>
      <c r="O17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72" s="591">
        <f>Producción_Lecheria[[#This Row],[Vc. Ordeñe]]*Producción_Lecheria[[#This Row],[L/V. Ordeñe]]*(D173-Producción_Lecheria[[#This Row],[Fecha Económico]])</f>
        <v>0</v>
      </c>
      <c r="Q172" s="491"/>
      <c r="R172" s="875">
        <f>IF(ISNUMBER(Producción_Lecheria[[#This Row],[Cabezas]])=TRUE,Producción_Lecheria[[#This Row],[Cabezas]]*Producción_Lecheria[[#This Row],[Cantidad]],Producción_Lecheria[[#This Row],[Cantidad]])</f>
        <v>0</v>
      </c>
      <c r="S172" s="491"/>
      <c r="T172" s="552"/>
      <c r="U172" s="553"/>
      <c r="V17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72" s="977">
        <f>IFERROR(Producción_Lecheria[[#This Row],[Económico $Corrientes]]/Producción_Lecheria[[#This Row],[Indexación Económico]],0)</f>
        <v>0</v>
      </c>
      <c r="X17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7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72" s="977">
        <f>IFERROR(Producción_Lecheria[[#This Row],[Financiero $Corrientes]]/Producción_Lecheria[[#This Row],[Indexación Financiero]],0)</f>
        <v>0</v>
      </c>
      <c r="AA17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7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72" s="981">
        <f>IFERROR(Producción_Lecheria[[#This Row],[Intereses $Corrientes]]/Producción_Lecheria[[#This Row],[Indexación Financiero]],0)</f>
        <v>0</v>
      </c>
      <c r="AD17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72" s="991" t="str">
        <f>IFERROR(INDEX(Produccion_Lecheria_Cuentas[],MATCH(Producción_Lecheria[[#This Row],[Cuenta Contable]],Produccion_Lecheria_Cuentas[Cuenta Contable],0),2),0)</f>
        <v>Ingreso</v>
      </c>
      <c r="AF172" s="992">
        <f>IF(Producción_Lecheria[[#This Row],[Mov. Stock]]="(+)",Producción_Lecheria[[#This Row],[Cabezas]],IF(Producción_Lecheria[[#This Row],[Mov. Stock]]="(-)",-Producción_Lecheria[[#This Row],[Cabezas]],0))</f>
        <v>0</v>
      </c>
      <c r="AG172" s="993">
        <f>IFERROR(INDEX(Produccion_Lecheria_Cuentas[],MATCH(Producción_Lecheria[[#This Row],[Cuenta Contable]],Produccion_Lecheria_Cuentas[Cuenta Contable],0),5),0)</f>
        <v>0</v>
      </c>
      <c r="AH172" s="985" t="str">
        <f>IF(Producción_Lecheria[[#This Row],[Cuenta Contable]]=Configuración!$AC$9,"Si","No")</f>
        <v>No</v>
      </c>
      <c r="AI172" s="983" t="str">
        <f>IFERROR(INDEX(Tabla9[],MATCH(Producción_Lecheria[[#This Row],[Movimiento]],Tabla9[Movimientos],0),2),0)</f>
        <v>Si</v>
      </c>
      <c r="AJ172" s="984" t="str">
        <f>IFERROR(INDEX(Tabla9[],MATCH(Producción_Lecheria[[#This Row],[Movimiento]],Tabla9[Movimientos],0),3),0)</f>
        <v>(+)</v>
      </c>
      <c r="AK172" s="986">
        <f>IF(Producción_Lecheria[[#This Row],[Fecha Económico]]=0,0,MONTH(Producción_Lecheria[[#This Row],[Fecha Económico]]))</f>
        <v>4</v>
      </c>
      <c r="AL172" s="986">
        <f>IF(Producción_Lecheria[[#This Row],[Fecha Económico]]=0,0,YEAR(Producción_Lecheria[[#This Row],[Fecha Económico]]))</f>
        <v>2019</v>
      </c>
      <c r="AM172" s="987">
        <f>SUMPRODUCT((Producción_Lecheria[[#This Row],[Mes Económico]]=Tipo_Cambio[Mes])*(Producción_Lecheria[[#This Row],[Año Económico]]=Tipo_Cambio[Año])*(Tipo_Cambio[$/U$S]))</f>
        <v>24.061075999055937</v>
      </c>
      <c r="AN172" s="987">
        <f>SUMPRODUCT((Producción_Lecheria[[#This Row],[Mes Económico]]=Tipo_Cambio[Mes])*(Producción_Lecheria[[#This Row],[Año Económico]]=Tipo_Cambio[Año])*(Tipo_Cambio[Actualización]))</f>
        <v>1.1950925686223111</v>
      </c>
      <c r="AO172" s="986">
        <f>IF(ISNUMBER(Producción_Lecheria[[#This Row],[Fecha Financiero]])=TRUE,MONTH(Producción_Lecheria[[#This Row],[Fecha Financiero]]),0)</f>
        <v>0</v>
      </c>
      <c r="AP172" s="986">
        <f>IF(ISNUMBER(Producción_Lecheria[[#This Row],[Fecha Financiero]])=TRUE,YEAR(Producción_Lecheria[[#This Row],[Fecha Financiero]]),0)</f>
        <v>0</v>
      </c>
      <c r="AQ172" s="987">
        <f>SUMPRODUCT((Producción_Lecheria[[#This Row],[Mes Financiero]]=Tipo_Cambio[Mes])*(Producción_Lecheria[[#This Row],[Año Financiero]]=Tipo_Cambio[Año])*(Tipo_Cambio[$/U$S]))</f>
        <v>0</v>
      </c>
      <c r="AR172" s="987">
        <f>SUMPRODUCT((Producción_Lecheria[[#This Row],[Mes Financiero]]=Tipo_Cambio[Mes])*(Producción_Lecheria[[#This Row],[Año Financiero]]=Tipo_Cambio[Año])*(Tipo_Cambio[Actualización]))</f>
        <v>0</v>
      </c>
      <c r="AS172" s="1009">
        <f>SUMPRODUCT((Producción_Lecheria[[#This Row],[Centro de Costo]]=Tabla1924[Centro de Costo])*(Tabla19[Superficie]))</f>
        <v>2356</v>
      </c>
      <c r="AT172" s="1010">
        <f>IFERROR(Producción_Lecheria[[#This Row],[Económico $Corrientes]]/Producción_Lecheria[[#This Row],[Superficie]],0)</f>
        <v>0</v>
      </c>
      <c r="AU172" s="1010">
        <f>IFERROR(Producción_Lecheria[[#This Row],[Económico $Constantes]]/Producción_Lecheria[[#This Row],[Superficie]],0)</f>
        <v>0</v>
      </c>
      <c r="AV172" s="1010">
        <f>IFERROR(Producción_Lecheria[[#This Row],[Económico U$S Dólares]]/Producción_Lecheria[[#This Row],[Superficie]],0)</f>
        <v>0</v>
      </c>
      <c r="AW172" s="992" t="str">
        <f>IF(Económico!$F$4=0,0,Producción_Lecheria[Centro de Costo])</f>
        <v>Campo 1</v>
      </c>
    </row>
    <row r="173" spans="1:49" x14ac:dyDescent="0.25">
      <c r="A173" s="86"/>
      <c r="D173" s="548">
        <f t="shared" si="16"/>
        <v>43586</v>
      </c>
      <c r="E173" s="493"/>
      <c r="F173" s="479" t="str">
        <f t="shared" si="14"/>
        <v>2018-2019</v>
      </c>
      <c r="G173" s="576" t="str">
        <f t="shared" si="15"/>
        <v>Venta de Leche</v>
      </c>
      <c r="H173" s="481" t="s">
        <v>2</v>
      </c>
      <c r="I173" s="491"/>
      <c r="J173" s="549"/>
      <c r="K173" s="484"/>
      <c r="L17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7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73" s="520"/>
      <c r="O17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73" s="591">
        <f>Producción_Lecheria[[#This Row],[Vc. Ordeñe]]*Producción_Lecheria[[#This Row],[L/V. Ordeñe]]*(D174-Producción_Lecheria[[#This Row],[Fecha Económico]])</f>
        <v>0</v>
      </c>
      <c r="Q173" s="491"/>
      <c r="R173" s="875">
        <f>IF(ISNUMBER(Producción_Lecheria[[#This Row],[Cabezas]])=TRUE,Producción_Lecheria[[#This Row],[Cabezas]]*Producción_Lecheria[[#This Row],[Cantidad]],Producción_Lecheria[[#This Row],[Cantidad]])</f>
        <v>0</v>
      </c>
      <c r="S173" s="491"/>
      <c r="T173" s="552"/>
      <c r="U173" s="553"/>
      <c r="V17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73" s="977">
        <f>IFERROR(Producción_Lecheria[[#This Row],[Económico $Corrientes]]/Producción_Lecheria[[#This Row],[Indexación Económico]],0)</f>
        <v>0</v>
      </c>
      <c r="X17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7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73" s="977">
        <f>IFERROR(Producción_Lecheria[[#This Row],[Financiero $Corrientes]]/Producción_Lecheria[[#This Row],[Indexación Financiero]],0)</f>
        <v>0</v>
      </c>
      <c r="AA17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7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73" s="981">
        <f>IFERROR(Producción_Lecheria[[#This Row],[Intereses $Corrientes]]/Producción_Lecheria[[#This Row],[Indexación Financiero]],0)</f>
        <v>0</v>
      </c>
      <c r="AD17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73" s="991" t="str">
        <f>IFERROR(INDEX(Produccion_Lecheria_Cuentas[],MATCH(Producción_Lecheria[[#This Row],[Cuenta Contable]],Produccion_Lecheria_Cuentas[Cuenta Contable],0),2),0)</f>
        <v>Ingreso</v>
      </c>
      <c r="AF173" s="992">
        <f>IF(Producción_Lecheria[[#This Row],[Mov. Stock]]="(+)",Producción_Lecheria[[#This Row],[Cabezas]],IF(Producción_Lecheria[[#This Row],[Mov. Stock]]="(-)",-Producción_Lecheria[[#This Row],[Cabezas]],0))</f>
        <v>0</v>
      </c>
      <c r="AG173" s="993">
        <f>IFERROR(INDEX(Produccion_Lecheria_Cuentas[],MATCH(Producción_Lecheria[[#This Row],[Cuenta Contable]],Produccion_Lecheria_Cuentas[Cuenta Contable],0),5),0)</f>
        <v>0</v>
      </c>
      <c r="AH173" s="985" t="str">
        <f>IF(Producción_Lecheria[[#This Row],[Cuenta Contable]]=Configuración!$AC$9,"Si","No")</f>
        <v>No</v>
      </c>
      <c r="AI173" s="983" t="str">
        <f>IFERROR(INDEX(Tabla9[],MATCH(Producción_Lecheria[[#This Row],[Movimiento]],Tabla9[Movimientos],0),2),0)</f>
        <v>Si</v>
      </c>
      <c r="AJ173" s="984" t="str">
        <f>IFERROR(INDEX(Tabla9[],MATCH(Producción_Lecheria[[#This Row],[Movimiento]],Tabla9[Movimientos],0),3),0)</f>
        <v>(+)</v>
      </c>
      <c r="AK173" s="986">
        <f>IF(Producción_Lecheria[[#This Row],[Fecha Económico]]=0,0,MONTH(Producción_Lecheria[[#This Row],[Fecha Económico]]))</f>
        <v>5</v>
      </c>
      <c r="AL173" s="986">
        <f>IF(Producción_Lecheria[[#This Row],[Fecha Económico]]=0,0,YEAR(Producción_Lecheria[[#This Row],[Fecha Económico]]))</f>
        <v>2019</v>
      </c>
      <c r="AM173" s="987">
        <f>SUMPRODUCT((Producción_Lecheria[[#This Row],[Mes Económico]]=Tipo_Cambio[Mes])*(Producción_Lecheria[[#This Row],[Año Económico]]=Tipo_Cambio[Año])*(Tipo_Cambio[$/U$S]))</f>
        <v>24.301686759046497</v>
      </c>
      <c r="AN173" s="987">
        <f>SUMPRODUCT((Producción_Lecheria[[#This Row],[Mes Económico]]=Tipo_Cambio[Mes])*(Producción_Lecheria[[#This Row],[Año Económico]]=Tipo_Cambio[Año])*(Tipo_Cambio[Actualización]))</f>
        <v>1.2189944199947573</v>
      </c>
      <c r="AO173" s="986">
        <f>IF(ISNUMBER(Producción_Lecheria[[#This Row],[Fecha Financiero]])=TRUE,MONTH(Producción_Lecheria[[#This Row],[Fecha Financiero]]),0)</f>
        <v>0</v>
      </c>
      <c r="AP173" s="986">
        <f>IF(ISNUMBER(Producción_Lecheria[[#This Row],[Fecha Financiero]])=TRUE,YEAR(Producción_Lecheria[[#This Row],[Fecha Financiero]]),0)</f>
        <v>0</v>
      </c>
      <c r="AQ173" s="987">
        <f>SUMPRODUCT((Producción_Lecheria[[#This Row],[Mes Financiero]]=Tipo_Cambio[Mes])*(Producción_Lecheria[[#This Row],[Año Financiero]]=Tipo_Cambio[Año])*(Tipo_Cambio[$/U$S]))</f>
        <v>0</v>
      </c>
      <c r="AR173" s="987">
        <f>SUMPRODUCT((Producción_Lecheria[[#This Row],[Mes Financiero]]=Tipo_Cambio[Mes])*(Producción_Lecheria[[#This Row],[Año Financiero]]=Tipo_Cambio[Año])*(Tipo_Cambio[Actualización]))</f>
        <v>0</v>
      </c>
      <c r="AS173" s="1009">
        <f>SUMPRODUCT((Producción_Lecheria[[#This Row],[Centro de Costo]]=Tabla1924[Centro de Costo])*(Tabla19[Superficie]))</f>
        <v>2356</v>
      </c>
      <c r="AT173" s="1010">
        <f>IFERROR(Producción_Lecheria[[#This Row],[Económico $Corrientes]]/Producción_Lecheria[[#This Row],[Superficie]],0)</f>
        <v>0</v>
      </c>
      <c r="AU173" s="1010">
        <f>IFERROR(Producción_Lecheria[[#This Row],[Económico $Constantes]]/Producción_Lecheria[[#This Row],[Superficie]],0)</f>
        <v>0</v>
      </c>
      <c r="AV173" s="1010">
        <f>IFERROR(Producción_Lecheria[[#This Row],[Económico U$S Dólares]]/Producción_Lecheria[[#This Row],[Superficie]],0)</f>
        <v>0</v>
      </c>
      <c r="AW173" s="992" t="str">
        <f>IF(Económico!$F$4=0,0,Producción_Lecheria[Centro de Costo])</f>
        <v>Campo 1</v>
      </c>
    </row>
    <row r="174" spans="1:49" x14ac:dyDescent="0.25">
      <c r="A174" s="86"/>
      <c r="D174" s="548">
        <f t="shared" si="16"/>
        <v>43617</v>
      </c>
      <c r="E174" s="493"/>
      <c r="F174" s="479" t="str">
        <f t="shared" si="14"/>
        <v>2018-2019</v>
      </c>
      <c r="G174" s="576" t="str">
        <f t="shared" si="15"/>
        <v>Venta de Leche</v>
      </c>
      <c r="H174" s="481" t="s">
        <v>2</v>
      </c>
      <c r="I174" s="491"/>
      <c r="J174" s="549"/>
      <c r="K174" s="484"/>
      <c r="L17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7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74" s="520"/>
      <c r="O17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74" s="563"/>
      <c r="Q174" s="491"/>
      <c r="R174" s="875">
        <f>IF(ISNUMBER(Producción_Lecheria[[#This Row],[Cabezas]])=TRUE,Producción_Lecheria[[#This Row],[Cabezas]]*Producción_Lecheria[[#This Row],[Cantidad]],Producción_Lecheria[[#This Row],[Cantidad]])</f>
        <v>0</v>
      </c>
      <c r="S174" s="491"/>
      <c r="T174" s="552"/>
      <c r="U174" s="553"/>
      <c r="V17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74" s="977">
        <f>IFERROR(Producción_Lecheria[[#This Row],[Económico $Corrientes]]/Producción_Lecheria[[#This Row],[Indexación Económico]],0)</f>
        <v>0</v>
      </c>
      <c r="X17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7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74" s="977">
        <f>IFERROR(Producción_Lecheria[[#This Row],[Financiero $Corrientes]]/Producción_Lecheria[[#This Row],[Indexación Financiero]],0)</f>
        <v>0</v>
      </c>
      <c r="AA17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7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74" s="981">
        <f>IFERROR(Producción_Lecheria[[#This Row],[Intereses $Corrientes]]/Producción_Lecheria[[#This Row],[Indexación Financiero]],0)</f>
        <v>0</v>
      </c>
      <c r="AD17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74" s="991" t="str">
        <f>IFERROR(INDEX(Produccion_Lecheria_Cuentas[],MATCH(Producción_Lecheria[[#This Row],[Cuenta Contable]],Produccion_Lecheria_Cuentas[Cuenta Contable],0),2),0)</f>
        <v>Ingreso</v>
      </c>
      <c r="AF174" s="992">
        <f>IF(Producción_Lecheria[[#This Row],[Mov. Stock]]="(+)",Producción_Lecheria[[#This Row],[Cabezas]],IF(Producción_Lecheria[[#This Row],[Mov. Stock]]="(-)",-Producción_Lecheria[[#This Row],[Cabezas]],0))</f>
        <v>0</v>
      </c>
      <c r="AG174" s="993">
        <f>IFERROR(INDEX(Produccion_Lecheria_Cuentas[],MATCH(Producción_Lecheria[[#This Row],[Cuenta Contable]],Produccion_Lecheria_Cuentas[Cuenta Contable],0),5),0)</f>
        <v>0</v>
      </c>
      <c r="AH174" s="985" t="str">
        <f>IF(Producción_Lecheria[[#This Row],[Cuenta Contable]]=Configuración!$AC$9,"Si","No")</f>
        <v>No</v>
      </c>
      <c r="AI174" s="983" t="str">
        <f>IFERROR(INDEX(Tabla9[],MATCH(Producción_Lecheria[[#This Row],[Movimiento]],Tabla9[Movimientos],0),2),0)</f>
        <v>Si</v>
      </c>
      <c r="AJ174" s="984" t="str">
        <f>IFERROR(INDEX(Tabla9[],MATCH(Producción_Lecheria[[#This Row],[Movimiento]],Tabla9[Movimientos],0),3),0)</f>
        <v>(+)</v>
      </c>
      <c r="AK174" s="986">
        <f>IF(Producción_Lecheria[[#This Row],[Fecha Económico]]=0,0,MONTH(Producción_Lecheria[[#This Row],[Fecha Económico]]))</f>
        <v>6</v>
      </c>
      <c r="AL174" s="986">
        <f>IF(Producción_Lecheria[[#This Row],[Fecha Económico]]=0,0,YEAR(Producción_Lecheria[[#This Row],[Fecha Económico]]))</f>
        <v>2019</v>
      </c>
      <c r="AM174" s="987">
        <f>SUMPRODUCT((Producción_Lecheria[[#This Row],[Mes Económico]]=Tipo_Cambio[Mes])*(Producción_Lecheria[[#This Row],[Año Económico]]=Tipo_Cambio[Año])*(Tipo_Cambio[$/U$S]))</f>
        <v>24.544703626636963</v>
      </c>
      <c r="AN174" s="987">
        <f>SUMPRODUCT((Producción_Lecheria[[#This Row],[Mes Económico]]=Tipo_Cambio[Mes])*(Producción_Lecheria[[#This Row],[Año Económico]]=Tipo_Cambio[Año])*(Tipo_Cambio[Actualización]))</f>
        <v>1.2433743083946525</v>
      </c>
      <c r="AO174" s="986">
        <f>IF(ISNUMBER(Producción_Lecheria[[#This Row],[Fecha Financiero]])=TRUE,MONTH(Producción_Lecheria[[#This Row],[Fecha Financiero]]),0)</f>
        <v>0</v>
      </c>
      <c r="AP174" s="986">
        <f>IF(ISNUMBER(Producción_Lecheria[[#This Row],[Fecha Financiero]])=TRUE,YEAR(Producción_Lecheria[[#This Row],[Fecha Financiero]]),0)</f>
        <v>0</v>
      </c>
      <c r="AQ174" s="987">
        <f>SUMPRODUCT((Producción_Lecheria[[#This Row],[Mes Financiero]]=Tipo_Cambio[Mes])*(Producción_Lecheria[[#This Row],[Año Financiero]]=Tipo_Cambio[Año])*(Tipo_Cambio[$/U$S]))</f>
        <v>0</v>
      </c>
      <c r="AR174" s="987">
        <f>SUMPRODUCT((Producción_Lecheria[[#This Row],[Mes Financiero]]=Tipo_Cambio[Mes])*(Producción_Lecheria[[#This Row],[Año Financiero]]=Tipo_Cambio[Año])*(Tipo_Cambio[Actualización]))</f>
        <v>0</v>
      </c>
      <c r="AS174" s="1009">
        <f>SUMPRODUCT((Producción_Lecheria[[#This Row],[Centro de Costo]]=Tabla1924[Centro de Costo])*(Tabla19[Superficie]))</f>
        <v>2356</v>
      </c>
      <c r="AT174" s="1010">
        <f>IFERROR(Producción_Lecheria[[#This Row],[Económico $Corrientes]]/Producción_Lecheria[[#This Row],[Superficie]],0)</f>
        <v>0</v>
      </c>
      <c r="AU174" s="1010">
        <f>IFERROR(Producción_Lecheria[[#This Row],[Económico $Constantes]]/Producción_Lecheria[[#This Row],[Superficie]],0)</f>
        <v>0</v>
      </c>
      <c r="AV174" s="1010">
        <f>IFERROR(Producción_Lecheria[[#This Row],[Económico U$S Dólares]]/Producción_Lecheria[[#This Row],[Superficie]],0)</f>
        <v>0</v>
      </c>
      <c r="AW174" s="992" t="str">
        <f>IF(Económico!$F$4=0,0,Producción_Lecheria[Centro de Costo])</f>
        <v>Campo 1</v>
      </c>
    </row>
    <row r="175" spans="1:49" x14ac:dyDescent="0.25">
      <c r="A175" s="86"/>
      <c r="D175" s="548"/>
      <c r="E175" s="493"/>
      <c r="F175" s="479" t="str">
        <f t="shared" si="14"/>
        <v>2018-2019</v>
      </c>
      <c r="G175" s="576" t="str">
        <f t="shared" si="15"/>
        <v>Venta de Leche</v>
      </c>
      <c r="H175" s="481" t="s">
        <v>2</v>
      </c>
      <c r="I175" s="491"/>
      <c r="J175" s="549"/>
      <c r="K175" s="484"/>
      <c r="L17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7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75" s="520"/>
      <c r="O17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75" s="563"/>
      <c r="Q175" s="491"/>
      <c r="R175" s="875">
        <f>IF(ISNUMBER(Producción_Lecheria[[#This Row],[Cabezas]])=TRUE,Producción_Lecheria[[#This Row],[Cabezas]]*Producción_Lecheria[[#This Row],[Cantidad]],Producción_Lecheria[[#This Row],[Cantidad]])</f>
        <v>0</v>
      </c>
      <c r="S175" s="491"/>
      <c r="T175" s="552"/>
      <c r="U175" s="553"/>
      <c r="V17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75" s="977">
        <f>IFERROR(Producción_Lecheria[[#This Row],[Económico $Corrientes]]/Producción_Lecheria[[#This Row],[Indexación Económico]],0)</f>
        <v>0</v>
      </c>
      <c r="X17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7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75" s="977">
        <f>IFERROR(Producción_Lecheria[[#This Row],[Financiero $Corrientes]]/Producción_Lecheria[[#This Row],[Indexación Financiero]],0)</f>
        <v>0</v>
      </c>
      <c r="AA17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7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75" s="981">
        <f>IFERROR(Producción_Lecheria[[#This Row],[Intereses $Corrientes]]/Producción_Lecheria[[#This Row],[Indexación Financiero]],0)</f>
        <v>0</v>
      </c>
      <c r="AD17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75" s="991" t="str">
        <f>IFERROR(INDEX(Produccion_Lecheria_Cuentas[],MATCH(Producción_Lecheria[[#This Row],[Cuenta Contable]],Produccion_Lecheria_Cuentas[Cuenta Contable],0),2),0)</f>
        <v>Ingreso</v>
      </c>
      <c r="AF175" s="992">
        <f>IF(Producción_Lecheria[[#This Row],[Mov. Stock]]="(+)",Producción_Lecheria[[#This Row],[Cabezas]],IF(Producción_Lecheria[[#This Row],[Mov. Stock]]="(-)",-Producción_Lecheria[[#This Row],[Cabezas]],0))</f>
        <v>0</v>
      </c>
      <c r="AG175" s="993">
        <f>IFERROR(INDEX(Produccion_Lecheria_Cuentas[],MATCH(Producción_Lecheria[[#This Row],[Cuenta Contable]],Produccion_Lecheria_Cuentas[Cuenta Contable],0),5),0)</f>
        <v>0</v>
      </c>
      <c r="AH175" s="985" t="str">
        <f>IF(Producción_Lecheria[[#This Row],[Cuenta Contable]]=Configuración!$AC$9,"Si","No")</f>
        <v>No</v>
      </c>
      <c r="AI175" s="983" t="str">
        <f>IFERROR(INDEX(Tabla9[],MATCH(Producción_Lecheria[[#This Row],[Movimiento]],Tabla9[Movimientos],0),2),0)</f>
        <v>Si</v>
      </c>
      <c r="AJ175" s="984" t="str">
        <f>IFERROR(INDEX(Tabla9[],MATCH(Producción_Lecheria[[#This Row],[Movimiento]],Tabla9[Movimientos],0),3),0)</f>
        <v>(+)</v>
      </c>
      <c r="AK175" s="986">
        <f>IF(Producción_Lecheria[[#This Row],[Fecha Económico]]=0,0,MONTH(Producción_Lecheria[[#This Row],[Fecha Económico]]))</f>
        <v>0</v>
      </c>
      <c r="AL175" s="986">
        <f>IF(Producción_Lecheria[[#This Row],[Fecha Económico]]=0,0,YEAR(Producción_Lecheria[[#This Row],[Fecha Económico]]))</f>
        <v>0</v>
      </c>
      <c r="AM175" s="987">
        <f>SUMPRODUCT((Producción_Lecheria[[#This Row],[Mes Económico]]=Tipo_Cambio[Mes])*(Producción_Lecheria[[#This Row],[Año Económico]]=Tipo_Cambio[Año])*(Tipo_Cambio[$/U$S]))</f>
        <v>0</v>
      </c>
      <c r="AN175" s="987">
        <f>SUMPRODUCT((Producción_Lecheria[[#This Row],[Mes Económico]]=Tipo_Cambio[Mes])*(Producción_Lecheria[[#This Row],[Año Económico]]=Tipo_Cambio[Año])*(Tipo_Cambio[Actualización]))</f>
        <v>0</v>
      </c>
      <c r="AO175" s="986">
        <f>IF(ISNUMBER(Producción_Lecheria[[#This Row],[Fecha Financiero]])=TRUE,MONTH(Producción_Lecheria[[#This Row],[Fecha Financiero]]),0)</f>
        <v>0</v>
      </c>
      <c r="AP175" s="986">
        <f>IF(ISNUMBER(Producción_Lecheria[[#This Row],[Fecha Financiero]])=TRUE,YEAR(Producción_Lecheria[[#This Row],[Fecha Financiero]]),0)</f>
        <v>0</v>
      </c>
      <c r="AQ175" s="987">
        <f>SUMPRODUCT((Producción_Lecheria[[#This Row],[Mes Financiero]]=Tipo_Cambio[Mes])*(Producción_Lecheria[[#This Row],[Año Financiero]]=Tipo_Cambio[Año])*(Tipo_Cambio[$/U$S]))</f>
        <v>0</v>
      </c>
      <c r="AR175" s="987">
        <f>SUMPRODUCT((Producción_Lecheria[[#This Row],[Mes Financiero]]=Tipo_Cambio[Mes])*(Producción_Lecheria[[#This Row],[Año Financiero]]=Tipo_Cambio[Año])*(Tipo_Cambio[Actualización]))</f>
        <v>0</v>
      </c>
      <c r="AS175" s="1009">
        <f>SUMPRODUCT((Producción_Lecheria[[#This Row],[Centro de Costo]]=Tabla1924[Centro de Costo])*(Tabla19[Superficie]))</f>
        <v>2356</v>
      </c>
      <c r="AT175" s="1010">
        <f>IFERROR(Producción_Lecheria[[#This Row],[Económico $Corrientes]]/Producción_Lecheria[[#This Row],[Superficie]],0)</f>
        <v>0</v>
      </c>
      <c r="AU175" s="1010">
        <f>IFERROR(Producción_Lecheria[[#This Row],[Económico $Constantes]]/Producción_Lecheria[[#This Row],[Superficie]],0)</f>
        <v>0</v>
      </c>
      <c r="AV175" s="1010">
        <f>IFERROR(Producción_Lecheria[[#This Row],[Económico U$S Dólares]]/Producción_Lecheria[[#This Row],[Superficie]],0)</f>
        <v>0</v>
      </c>
      <c r="AW175" s="992" t="str">
        <f>IF(Económico!$F$4=0,0,Producción_Lecheria[Centro de Costo])</f>
        <v>Campo 1</v>
      </c>
    </row>
    <row r="176" spans="1:49" x14ac:dyDescent="0.25">
      <c r="A176" s="86"/>
      <c r="D176" s="548"/>
      <c r="E176" s="493"/>
      <c r="F176" s="479" t="str">
        <f t="shared" si="14"/>
        <v>2018-2019</v>
      </c>
      <c r="G176" s="576" t="str">
        <f t="shared" si="15"/>
        <v>Venta de Leche</v>
      </c>
      <c r="H176" s="481" t="s">
        <v>2</v>
      </c>
      <c r="I176" s="491"/>
      <c r="J176" s="549"/>
      <c r="K176" s="484"/>
      <c r="L17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7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76" s="520"/>
      <c r="O17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76" s="563"/>
      <c r="Q176" s="491"/>
      <c r="R176" s="875">
        <f>IF(ISNUMBER(Producción_Lecheria[[#This Row],[Cabezas]])=TRUE,Producción_Lecheria[[#This Row],[Cabezas]]*Producción_Lecheria[[#This Row],[Cantidad]],Producción_Lecheria[[#This Row],[Cantidad]])</f>
        <v>0</v>
      </c>
      <c r="S176" s="491"/>
      <c r="T176" s="552"/>
      <c r="U176" s="553"/>
      <c r="V17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76" s="977">
        <f>IFERROR(Producción_Lecheria[[#This Row],[Económico $Corrientes]]/Producción_Lecheria[[#This Row],[Indexación Económico]],0)</f>
        <v>0</v>
      </c>
      <c r="X17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7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76" s="977">
        <f>IFERROR(Producción_Lecheria[[#This Row],[Financiero $Corrientes]]/Producción_Lecheria[[#This Row],[Indexación Financiero]],0)</f>
        <v>0</v>
      </c>
      <c r="AA17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7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76" s="981">
        <f>IFERROR(Producción_Lecheria[[#This Row],[Intereses $Corrientes]]/Producción_Lecheria[[#This Row],[Indexación Financiero]],0)</f>
        <v>0</v>
      </c>
      <c r="AD17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76" s="991" t="str">
        <f>IFERROR(INDEX(Produccion_Lecheria_Cuentas[],MATCH(Producción_Lecheria[[#This Row],[Cuenta Contable]],Produccion_Lecheria_Cuentas[Cuenta Contable],0),2),0)</f>
        <v>Ingreso</v>
      </c>
      <c r="AF176" s="992">
        <f>IF(Producción_Lecheria[[#This Row],[Mov. Stock]]="(+)",Producción_Lecheria[[#This Row],[Cabezas]],IF(Producción_Lecheria[[#This Row],[Mov. Stock]]="(-)",-Producción_Lecheria[[#This Row],[Cabezas]],0))</f>
        <v>0</v>
      </c>
      <c r="AG176" s="993">
        <f>IFERROR(INDEX(Produccion_Lecheria_Cuentas[],MATCH(Producción_Lecheria[[#This Row],[Cuenta Contable]],Produccion_Lecheria_Cuentas[Cuenta Contable],0),5),0)</f>
        <v>0</v>
      </c>
      <c r="AH176" s="985" t="str">
        <f>IF(Producción_Lecheria[[#This Row],[Cuenta Contable]]=Configuración!$AC$9,"Si","No")</f>
        <v>No</v>
      </c>
      <c r="AI176" s="983" t="str">
        <f>IFERROR(INDEX(Tabla9[],MATCH(Producción_Lecheria[[#This Row],[Movimiento]],Tabla9[Movimientos],0),2),0)</f>
        <v>Si</v>
      </c>
      <c r="AJ176" s="984" t="str">
        <f>IFERROR(INDEX(Tabla9[],MATCH(Producción_Lecheria[[#This Row],[Movimiento]],Tabla9[Movimientos],0),3),0)</f>
        <v>(+)</v>
      </c>
      <c r="AK176" s="986">
        <f>IF(Producción_Lecheria[[#This Row],[Fecha Económico]]=0,0,MONTH(Producción_Lecheria[[#This Row],[Fecha Económico]]))</f>
        <v>0</v>
      </c>
      <c r="AL176" s="986">
        <f>IF(Producción_Lecheria[[#This Row],[Fecha Económico]]=0,0,YEAR(Producción_Lecheria[[#This Row],[Fecha Económico]]))</f>
        <v>0</v>
      </c>
      <c r="AM176" s="987">
        <f>SUMPRODUCT((Producción_Lecheria[[#This Row],[Mes Económico]]=Tipo_Cambio[Mes])*(Producción_Lecheria[[#This Row],[Año Económico]]=Tipo_Cambio[Año])*(Tipo_Cambio[$/U$S]))</f>
        <v>0</v>
      </c>
      <c r="AN176" s="987">
        <f>SUMPRODUCT((Producción_Lecheria[[#This Row],[Mes Económico]]=Tipo_Cambio[Mes])*(Producción_Lecheria[[#This Row],[Año Económico]]=Tipo_Cambio[Año])*(Tipo_Cambio[Actualización]))</f>
        <v>0</v>
      </c>
      <c r="AO176" s="986">
        <f>IF(ISNUMBER(Producción_Lecheria[[#This Row],[Fecha Financiero]])=TRUE,MONTH(Producción_Lecheria[[#This Row],[Fecha Financiero]]),0)</f>
        <v>0</v>
      </c>
      <c r="AP176" s="986">
        <f>IF(ISNUMBER(Producción_Lecheria[[#This Row],[Fecha Financiero]])=TRUE,YEAR(Producción_Lecheria[[#This Row],[Fecha Financiero]]),0)</f>
        <v>0</v>
      </c>
      <c r="AQ176" s="987">
        <f>SUMPRODUCT((Producción_Lecheria[[#This Row],[Mes Financiero]]=Tipo_Cambio[Mes])*(Producción_Lecheria[[#This Row],[Año Financiero]]=Tipo_Cambio[Año])*(Tipo_Cambio[$/U$S]))</f>
        <v>0</v>
      </c>
      <c r="AR176" s="987">
        <f>SUMPRODUCT((Producción_Lecheria[[#This Row],[Mes Financiero]]=Tipo_Cambio[Mes])*(Producción_Lecheria[[#This Row],[Año Financiero]]=Tipo_Cambio[Año])*(Tipo_Cambio[Actualización]))</f>
        <v>0</v>
      </c>
      <c r="AS176" s="1009">
        <f>SUMPRODUCT((Producción_Lecheria[[#This Row],[Centro de Costo]]=Tabla1924[Centro de Costo])*(Tabla19[Superficie]))</f>
        <v>2356</v>
      </c>
      <c r="AT176" s="1010">
        <f>IFERROR(Producción_Lecheria[[#This Row],[Económico $Corrientes]]/Producción_Lecheria[[#This Row],[Superficie]],0)</f>
        <v>0</v>
      </c>
      <c r="AU176" s="1010">
        <f>IFERROR(Producción_Lecheria[[#This Row],[Económico $Constantes]]/Producción_Lecheria[[#This Row],[Superficie]],0)</f>
        <v>0</v>
      </c>
      <c r="AV176" s="1010">
        <f>IFERROR(Producción_Lecheria[[#This Row],[Económico U$S Dólares]]/Producción_Lecheria[[#This Row],[Superficie]],0)</f>
        <v>0</v>
      </c>
      <c r="AW176" s="992" t="str">
        <f>IF(Económico!$F$4=0,0,Producción_Lecheria[Centro de Costo])</f>
        <v>Campo 1</v>
      </c>
    </row>
    <row r="177" spans="1:49" x14ac:dyDescent="0.25">
      <c r="A177" s="86"/>
      <c r="D177" s="548"/>
      <c r="E177" s="493"/>
      <c r="F177" s="479" t="str">
        <f t="shared" si="14"/>
        <v>2018-2019</v>
      </c>
      <c r="G177" s="576" t="str">
        <f t="shared" si="15"/>
        <v>Venta de Leche</v>
      </c>
      <c r="H177" s="481" t="s">
        <v>2</v>
      </c>
      <c r="I177" s="491"/>
      <c r="J177" s="549"/>
      <c r="K177" s="484"/>
      <c r="L17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7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77" s="520"/>
      <c r="O17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77" s="563"/>
      <c r="Q177" s="491"/>
      <c r="R177" s="875">
        <f>IF(ISNUMBER(Producción_Lecheria[[#This Row],[Cabezas]])=TRUE,Producción_Lecheria[[#This Row],[Cabezas]]*Producción_Lecheria[[#This Row],[Cantidad]],Producción_Lecheria[[#This Row],[Cantidad]])</f>
        <v>0</v>
      </c>
      <c r="S177" s="491"/>
      <c r="T177" s="552"/>
      <c r="U177" s="553"/>
      <c r="V17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77" s="977">
        <f>IFERROR(Producción_Lecheria[[#This Row],[Económico $Corrientes]]/Producción_Lecheria[[#This Row],[Indexación Económico]],0)</f>
        <v>0</v>
      </c>
      <c r="X17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7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77" s="977">
        <f>IFERROR(Producción_Lecheria[[#This Row],[Financiero $Corrientes]]/Producción_Lecheria[[#This Row],[Indexación Financiero]],0)</f>
        <v>0</v>
      </c>
      <c r="AA17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7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77" s="981">
        <f>IFERROR(Producción_Lecheria[[#This Row],[Intereses $Corrientes]]/Producción_Lecheria[[#This Row],[Indexación Financiero]],0)</f>
        <v>0</v>
      </c>
      <c r="AD17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77" s="991" t="str">
        <f>IFERROR(INDEX(Produccion_Lecheria_Cuentas[],MATCH(Producción_Lecheria[[#This Row],[Cuenta Contable]],Produccion_Lecheria_Cuentas[Cuenta Contable],0),2),0)</f>
        <v>Ingreso</v>
      </c>
      <c r="AF177" s="992">
        <f>IF(Producción_Lecheria[[#This Row],[Mov. Stock]]="(+)",Producción_Lecheria[[#This Row],[Cabezas]],IF(Producción_Lecheria[[#This Row],[Mov. Stock]]="(-)",-Producción_Lecheria[[#This Row],[Cabezas]],0))</f>
        <v>0</v>
      </c>
      <c r="AG177" s="993">
        <f>IFERROR(INDEX(Produccion_Lecheria_Cuentas[],MATCH(Producción_Lecheria[[#This Row],[Cuenta Contable]],Produccion_Lecheria_Cuentas[Cuenta Contable],0),5),0)</f>
        <v>0</v>
      </c>
      <c r="AH177" s="985" t="str">
        <f>IF(Producción_Lecheria[[#This Row],[Cuenta Contable]]=Configuración!$AC$9,"Si","No")</f>
        <v>No</v>
      </c>
      <c r="AI177" s="983" t="str">
        <f>IFERROR(INDEX(Tabla9[],MATCH(Producción_Lecheria[[#This Row],[Movimiento]],Tabla9[Movimientos],0),2),0)</f>
        <v>Si</v>
      </c>
      <c r="AJ177" s="984" t="str">
        <f>IFERROR(INDEX(Tabla9[],MATCH(Producción_Lecheria[[#This Row],[Movimiento]],Tabla9[Movimientos],0),3),0)</f>
        <v>(+)</v>
      </c>
      <c r="AK177" s="986">
        <f>IF(Producción_Lecheria[[#This Row],[Fecha Económico]]=0,0,MONTH(Producción_Lecheria[[#This Row],[Fecha Económico]]))</f>
        <v>0</v>
      </c>
      <c r="AL177" s="986">
        <f>IF(Producción_Lecheria[[#This Row],[Fecha Económico]]=0,0,YEAR(Producción_Lecheria[[#This Row],[Fecha Económico]]))</f>
        <v>0</v>
      </c>
      <c r="AM177" s="987">
        <f>SUMPRODUCT((Producción_Lecheria[[#This Row],[Mes Económico]]=Tipo_Cambio[Mes])*(Producción_Lecheria[[#This Row],[Año Económico]]=Tipo_Cambio[Año])*(Tipo_Cambio[$/U$S]))</f>
        <v>0</v>
      </c>
      <c r="AN177" s="987">
        <f>SUMPRODUCT((Producción_Lecheria[[#This Row],[Mes Económico]]=Tipo_Cambio[Mes])*(Producción_Lecheria[[#This Row],[Año Económico]]=Tipo_Cambio[Año])*(Tipo_Cambio[Actualización]))</f>
        <v>0</v>
      </c>
      <c r="AO177" s="986">
        <f>IF(ISNUMBER(Producción_Lecheria[[#This Row],[Fecha Financiero]])=TRUE,MONTH(Producción_Lecheria[[#This Row],[Fecha Financiero]]),0)</f>
        <v>0</v>
      </c>
      <c r="AP177" s="986">
        <f>IF(ISNUMBER(Producción_Lecheria[[#This Row],[Fecha Financiero]])=TRUE,YEAR(Producción_Lecheria[[#This Row],[Fecha Financiero]]),0)</f>
        <v>0</v>
      </c>
      <c r="AQ177" s="987">
        <f>SUMPRODUCT((Producción_Lecheria[[#This Row],[Mes Financiero]]=Tipo_Cambio[Mes])*(Producción_Lecheria[[#This Row],[Año Financiero]]=Tipo_Cambio[Año])*(Tipo_Cambio[$/U$S]))</f>
        <v>0</v>
      </c>
      <c r="AR177" s="987">
        <f>SUMPRODUCT((Producción_Lecheria[[#This Row],[Mes Financiero]]=Tipo_Cambio[Mes])*(Producción_Lecheria[[#This Row],[Año Financiero]]=Tipo_Cambio[Año])*(Tipo_Cambio[Actualización]))</f>
        <v>0</v>
      </c>
      <c r="AS177" s="1009">
        <f>SUMPRODUCT((Producción_Lecheria[[#This Row],[Centro de Costo]]=Tabla1924[Centro de Costo])*(Tabla19[Superficie]))</f>
        <v>2356</v>
      </c>
      <c r="AT177" s="1010">
        <f>IFERROR(Producción_Lecheria[[#This Row],[Económico $Corrientes]]/Producción_Lecheria[[#This Row],[Superficie]],0)</f>
        <v>0</v>
      </c>
      <c r="AU177" s="1010">
        <f>IFERROR(Producción_Lecheria[[#This Row],[Económico $Constantes]]/Producción_Lecheria[[#This Row],[Superficie]],0)</f>
        <v>0</v>
      </c>
      <c r="AV177" s="1010">
        <f>IFERROR(Producción_Lecheria[[#This Row],[Económico U$S Dólares]]/Producción_Lecheria[[#This Row],[Superficie]],0)</f>
        <v>0</v>
      </c>
      <c r="AW177" s="992" t="str">
        <f>IF(Económico!$F$4=0,0,Producción_Lecheria[Centro de Costo])</f>
        <v>Campo 1</v>
      </c>
    </row>
    <row r="178" spans="1:49" ht="15.75" thickBot="1" x14ac:dyDescent="0.3">
      <c r="A178" s="86"/>
      <c r="B178" s="373" t="s">
        <v>101</v>
      </c>
      <c r="D178" s="592"/>
      <c r="E178" s="593"/>
      <c r="F178" s="566" t="str">
        <f t="shared" si="14"/>
        <v>2018-2019</v>
      </c>
      <c r="G178" s="594" t="str">
        <f t="shared" si="15"/>
        <v>Venta de Leche</v>
      </c>
      <c r="H178" s="567" t="s">
        <v>2</v>
      </c>
      <c r="I178" s="567"/>
      <c r="J178" s="568"/>
      <c r="K178" s="595"/>
      <c r="L178" s="967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78" s="963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78" s="569"/>
      <c r="O178" s="974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78" s="596"/>
      <c r="Q178" s="567"/>
      <c r="R178" s="976">
        <f>IF(ISNUMBER(Producción_Lecheria[[#This Row],[Cabezas]])=TRUE,Producción_Lecheria[[#This Row],[Cabezas]]*Producción_Lecheria[[#This Row],[Cantidad]],Producción_Lecheria[[#This Row],[Cantidad]])</f>
        <v>0</v>
      </c>
      <c r="S178" s="567"/>
      <c r="T178" s="571"/>
      <c r="U178" s="572"/>
      <c r="V178" s="1011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78" s="1012">
        <f>IFERROR(Producción_Lecheria[[#This Row],[Económico $Corrientes]]/Producción_Lecheria[[#This Row],[Indexación Económico]],0)</f>
        <v>0</v>
      </c>
      <c r="X178" s="1013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78" s="1011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78" s="1012">
        <f>IFERROR(Producción_Lecheria[[#This Row],[Financiero $Corrientes]]/Producción_Lecheria[[#This Row],[Indexación Financiero]],0)</f>
        <v>0</v>
      </c>
      <c r="AA178" s="1014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78" s="1015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78" s="1016">
        <f>IFERROR(Producción_Lecheria[[#This Row],[Intereses $Corrientes]]/Producción_Lecheria[[#This Row],[Indexación Financiero]],0)</f>
        <v>0</v>
      </c>
      <c r="AD178" s="101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78" s="1017" t="str">
        <f>IFERROR(INDEX(Produccion_Lecheria_Cuentas[],MATCH(Producción_Lecheria[[#This Row],[Cuenta Contable]],Produccion_Lecheria_Cuentas[Cuenta Contable],0),2),0)</f>
        <v>Ingreso</v>
      </c>
      <c r="AF178" s="1018">
        <f>IF(Producción_Lecheria[[#This Row],[Mov. Stock]]="(+)",Producción_Lecheria[[#This Row],[Cabezas]],IF(Producción_Lecheria[[#This Row],[Mov. Stock]]="(-)",-Producción_Lecheria[[#This Row],[Cabezas]],0))</f>
        <v>0</v>
      </c>
      <c r="AG178" s="1019">
        <f>IFERROR(INDEX(Produccion_Lecheria_Cuentas[],MATCH(Producción_Lecheria[[#This Row],[Cuenta Contable]],Produccion_Lecheria_Cuentas[Cuenta Contable],0),5),0)</f>
        <v>0</v>
      </c>
      <c r="AH178" s="1023" t="str">
        <f>IF(Producción_Lecheria[[#This Row],[Cuenta Contable]]=Configuración!$AC$9,"Si","No")</f>
        <v>No</v>
      </c>
      <c r="AI178" s="1021" t="str">
        <f>IFERROR(INDEX(Tabla9[],MATCH(Producción_Lecheria[[#This Row],[Movimiento]],Tabla9[Movimientos],0),2),0)</f>
        <v>Si</v>
      </c>
      <c r="AJ178" s="1022" t="str">
        <f>IFERROR(INDEX(Tabla9[],MATCH(Producción_Lecheria[[#This Row],[Movimiento]],Tabla9[Movimientos],0),3),0)</f>
        <v>(+)</v>
      </c>
      <c r="AK178" s="1016">
        <f>IF(Producción_Lecheria[[#This Row],[Fecha Económico]]=0,0,MONTH(Producción_Lecheria[[#This Row],[Fecha Económico]]))</f>
        <v>0</v>
      </c>
      <c r="AL178" s="1016">
        <f>IF(Producción_Lecheria[[#This Row],[Fecha Económico]]=0,0,YEAR(Producción_Lecheria[[#This Row],[Fecha Económico]]))</f>
        <v>0</v>
      </c>
      <c r="AM178" s="1023">
        <f>SUMPRODUCT((Producción_Lecheria[[#This Row],[Mes Económico]]=Tipo_Cambio[Mes])*(Producción_Lecheria[[#This Row],[Año Económico]]=Tipo_Cambio[Año])*(Tipo_Cambio[$/U$S]))</f>
        <v>0</v>
      </c>
      <c r="AN178" s="1023">
        <f>SUMPRODUCT((Producción_Lecheria[[#This Row],[Mes Económico]]=Tipo_Cambio[Mes])*(Producción_Lecheria[[#This Row],[Año Económico]]=Tipo_Cambio[Año])*(Tipo_Cambio[Actualización]))</f>
        <v>0</v>
      </c>
      <c r="AO178" s="1016">
        <f>IF(ISNUMBER(Producción_Lecheria[[#This Row],[Fecha Financiero]])=TRUE,MONTH(Producción_Lecheria[[#This Row],[Fecha Financiero]]),0)</f>
        <v>0</v>
      </c>
      <c r="AP178" s="1016">
        <f>IF(ISNUMBER(Producción_Lecheria[[#This Row],[Fecha Financiero]])=TRUE,YEAR(Producción_Lecheria[[#This Row],[Fecha Financiero]]),0)</f>
        <v>0</v>
      </c>
      <c r="AQ178" s="1023">
        <f>SUMPRODUCT((Producción_Lecheria[[#This Row],[Mes Financiero]]=Tipo_Cambio[Mes])*(Producción_Lecheria[[#This Row],[Año Financiero]]=Tipo_Cambio[Año])*(Tipo_Cambio[$/U$S]))</f>
        <v>0</v>
      </c>
      <c r="AR178" s="1023">
        <f>SUMPRODUCT((Producción_Lecheria[[#This Row],[Mes Financiero]]=Tipo_Cambio[Mes])*(Producción_Lecheria[[#This Row],[Año Financiero]]=Tipo_Cambio[Año])*(Tipo_Cambio[Actualización]))</f>
        <v>0</v>
      </c>
      <c r="AS178" s="1042">
        <f>SUMPRODUCT((Producción_Lecheria[[#This Row],[Centro de Costo]]=Tabla1924[Centro de Costo])*(Tabla19[Superficie]))</f>
        <v>2356</v>
      </c>
      <c r="AT178" s="1020">
        <f>IFERROR(Producción_Lecheria[[#This Row],[Económico $Corrientes]]/Producción_Lecheria[[#This Row],[Superficie]],0)</f>
        <v>0</v>
      </c>
      <c r="AU178" s="1020">
        <f>IFERROR(Producción_Lecheria[[#This Row],[Económico $Constantes]]/Producción_Lecheria[[#This Row],[Superficie]],0)</f>
        <v>0</v>
      </c>
      <c r="AV178" s="1020">
        <f>IFERROR(Producción_Lecheria[[#This Row],[Económico U$S Dólares]]/Producción_Lecheria[[#This Row],[Superficie]],0)</f>
        <v>0</v>
      </c>
      <c r="AW178" s="1018" t="str">
        <f>IF(Económico!$F$4=0,0,Producción_Lecheria[Centro de Costo])</f>
        <v>Campo 1</v>
      </c>
    </row>
    <row r="179" spans="1:49" ht="15.75" customHeight="1" thickTop="1" x14ac:dyDescent="0.25">
      <c r="A179" s="86"/>
      <c r="B179" s="378" t="s">
        <v>107</v>
      </c>
      <c r="D179" s="548">
        <f>DATE(LEFT(Producción_Lecheria[[#This Row],[Campaña]],4),7,1)</f>
        <v>43282</v>
      </c>
      <c r="E179" s="493"/>
      <c r="F179" s="479" t="str">
        <f t="shared" si="14"/>
        <v>2018-2019</v>
      </c>
      <c r="G179" s="576" t="str">
        <f>LCH_Personal</f>
        <v>Personal</v>
      </c>
      <c r="H179" s="481" t="s">
        <v>2</v>
      </c>
      <c r="I179" s="491"/>
      <c r="J179" s="549"/>
      <c r="K179" s="484"/>
      <c r="L17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7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79" s="520"/>
      <c r="O17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79" s="563"/>
      <c r="Q179" s="491"/>
      <c r="R179" s="875">
        <f>IF(ISNUMBER(Producción_Lecheria[[#This Row],[Cabezas]])=TRUE,Producción_Lecheria[[#This Row],[Cabezas]]*Producción_Lecheria[[#This Row],[Cantidad]],Producción_Lecheria[[#This Row],[Cantidad]])</f>
        <v>0</v>
      </c>
      <c r="S179" s="491"/>
      <c r="T179" s="552"/>
      <c r="U179" s="553"/>
      <c r="V17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79" s="977">
        <f>IFERROR(Producción_Lecheria[[#This Row],[Económico $Corrientes]]/Producción_Lecheria[[#This Row],[Indexación Económico]],0)</f>
        <v>0</v>
      </c>
      <c r="X17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7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79" s="977">
        <f>IFERROR(Producción_Lecheria[[#This Row],[Financiero $Corrientes]]/Producción_Lecheria[[#This Row],[Indexación Financiero]],0)</f>
        <v>0</v>
      </c>
      <c r="AA17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7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79" s="981">
        <f>IFERROR(Producción_Lecheria[[#This Row],[Intereses $Corrientes]]/Producción_Lecheria[[#This Row],[Indexación Financiero]],0)</f>
        <v>0</v>
      </c>
      <c r="AD17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79" s="991" t="str">
        <f>IFERROR(INDEX(Produccion_Lecheria_Cuentas[],MATCH(Producción_Lecheria[[#This Row],[Cuenta Contable]],Produccion_Lecheria_Cuentas[Cuenta Contable],0),2),0)</f>
        <v>Egreso</v>
      </c>
      <c r="AF179" s="992">
        <f>IF(Producción_Lecheria[[#This Row],[Mov. Stock]]="(+)",Producción_Lecheria[[#This Row],[Cabezas]],IF(Producción_Lecheria[[#This Row],[Mov. Stock]]="(-)",-Producción_Lecheria[[#This Row],[Cabezas]],0))</f>
        <v>0</v>
      </c>
      <c r="AG179" s="993">
        <f>IFERROR(INDEX(Produccion_Lecheria_Cuentas[],MATCH(Producción_Lecheria[[#This Row],[Cuenta Contable]],Produccion_Lecheria_Cuentas[Cuenta Contable],0),5),0)</f>
        <v>0</v>
      </c>
      <c r="AH179" s="985" t="str">
        <f>IF(Producción_Lecheria[[#This Row],[Cuenta Contable]]=Configuración!$AC$9,"Si","No")</f>
        <v>No</v>
      </c>
      <c r="AI179" s="983" t="str">
        <f>IFERROR(INDEX(Tabla9[],MATCH(Producción_Lecheria[[#This Row],[Movimiento]],Tabla9[Movimientos],0),2),0)</f>
        <v>Si</v>
      </c>
      <c r="AJ179" s="984" t="str">
        <f>IFERROR(INDEX(Tabla9[],MATCH(Producción_Lecheria[[#This Row],[Movimiento]],Tabla9[Movimientos],0),3),0)</f>
        <v>(-)</v>
      </c>
      <c r="AK179" s="986">
        <f>IF(Producción_Lecheria[[#This Row],[Fecha Económico]]=0,0,MONTH(Producción_Lecheria[[#This Row],[Fecha Económico]]))</f>
        <v>7</v>
      </c>
      <c r="AL179" s="986">
        <f>IF(Producción_Lecheria[[#This Row],[Fecha Económico]]=0,0,YEAR(Producción_Lecheria[[#This Row],[Fecha Económico]]))</f>
        <v>2018</v>
      </c>
      <c r="AM179" s="987">
        <f>SUMPRODUCT((Producción_Lecheria[[#This Row],[Mes Económico]]=Tipo_Cambio[Mes])*(Producción_Lecheria[[#This Row],[Año Económico]]=Tipo_Cambio[Año])*(Tipo_Cambio[$/U$S]))</f>
        <v>22</v>
      </c>
      <c r="AN179" s="987">
        <f>SUMPRODUCT((Producción_Lecheria[[#This Row],[Mes Económico]]=Tipo_Cambio[Mes])*(Producción_Lecheria[[#This Row],[Año Económico]]=Tipo_Cambio[Año])*(Tipo_Cambio[Actualización]))</f>
        <v>1</v>
      </c>
      <c r="AO179" s="986">
        <f>IF(ISNUMBER(Producción_Lecheria[[#This Row],[Fecha Financiero]])=TRUE,MONTH(Producción_Lecheria[[#This Row],[Fecha Financiero]]),0)</f>
        <v>0</v>
      </c>
      <c r="AP179" s="986">
        <f>IF(ISNUMBER(Producción_Lecheria[[#This Row],[Fecha Financiero]])=TRUE,YEAR(Producción_Lecheria[[#This Row],[Fecha Financiero]]),0)</f>
        <v>0</v>
      </c>
      <c r="AQ179" s="987">
        <f>SUMPRODUCT((Producción_Lecheria[[#This Row],[Mes Financiero]]=Tipo_Cambio[Mes])*(Producción_Lecheria[[#This Row],[Año Financiero]]=Tipo_Cambio[Año])*(Tipo_Cambio[$/U$S]))</f>
        <v>0</v>
      </c>
      <c r="AR179" s="987">
        <f>SUMPRODUCT((Producción_Lecheria[[#This Row],[Mes Financiero]]=Tipo_Cambio[Mes])*(Producción_Lecheria[[#This Row],[Año Financiero]]=Tipo_Cambio[Año])*(Tipo_Cambio[Actualización]))</f>
        <v>0</v>
      </c>
      <c r="AS179" s="1009">
        <f>SUMPRODUCT((Producción_Lecheria[[#This Row],[Centro de Costo]]=Tabla1924[Centro de Costo])*(Tabla19[Superficie]))</f>
        <v>2356</v>
      </c>
      <c r="AT179" s="1010">
        <f>IFERROR(Producción_Lecheria[[#This Row],[Económico $Corrientes]]/Producción_Lecheria[[#This Row],[Superficie]],0)</f>
        <v>0</v>
      </c>
      <c r="AU179" s="1010">
        <f>IFERROR(Producción_Lecheria[[#This Row],[Económico $Constantes]]/Producción_Lecheria[[#This Row],[Superficie]],0)</f>
        <v>0</v>
      </c>
      <c r="AV179" s="1010">
        <f>IFERROR(Producción_Lecheria[[#This Row],[Económico U$S Dólares]]/Producción_Lecheria[[#This Row],[Superficie]],0)</f>
        <v>0</v>
      </c>
      <c r="AW179" s="992" t="str">
        <f>IF(Económico!$F$4=0,0,Producción_Lecheria[Centro de Costo])</f>
        <v>Campo 1</v>
      </c>
    </row>
    <row r="180" spans="1:49" x14ac:dyDescent="0.25">
      <c r="A180" s="86"/>
      <c r="B180" s="378" t="s">
        <v>108</v>
      </c>
      <c r="D180" s="548">
        <f>DATE(LEFT(Producción_Lecheria[[#This Row],[Campaña]],4),7,1)</f>
        <v>43282</v>
      </c>
      <c r="E180" s="493"/>
      <c r="F180" s="479" t="str">
        <f t="shared" si="14"/>
        <v>2018-2019</v>
      </c>
      <c r="G180" s="576" t="str">
        <f>LCH_CArgas</f>
        <v>Cargas Sociales</v>
      </c>
      <c r="H180" s="481" t="s">
        <v>2</v>
      </c>
      <c r="I180" s="491"/>
      <c r="J180" s="549"/>
      <c r="K180" s="484"/>
      <c r="L18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8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80" s="520"/>
      <c r="O18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80" s="563"/>
      <c r="Q180" s="491"/>
      <c r="R180" s="875">
        <f>IF(ISNUMBER(Producción_Lecheria[[#This Row],[Cabezas]])=TRUE,Producción_Lecheria[[#This Row],[Cabezas]]*Producción_Lecheria[[#This Row],[Cantidad]],Producción_Lecheria[[#This Row],[Cantidad]])</f>
        <v>0</v>
      </c>
      <c r="S180" s="491"/>
      <c r="T180" s="552"/>
      <c r="U180" s="553"/>
      <c r="V18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80" s="977">
        <f>IFERROR(Producción_Lecheria[[#This Row],[Económico $Corrientes]]/Producción_Lecheria[[#This Row],[Indexación Económico]],0)</f>
        <v>0</v>
      </c>
      <c r="X18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8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80" s="977">
        <f>IFERROR(Producción_Lecheria[[#This Row],[Financiero $Corrientes]]/Producción_Lecheria[[#This Row],[Indexación Financiero]],0)</f>
        <v>0</v>
      </c>
      <c r="AA18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8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80" s="981">
        <f>IFERROR(Producción_Lecheria[[#This Row],[Intereses $Corrientes]]/Producción_Lecheria[[#This Row],[Indexación Financiero]],0)</f>
        <v>0</v>
      </c>
      <c r="AD18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80" s="991" t="str">
        <f>IFERROR(INDEX(Produccion_Lecheria_Cuentas[],MATCH(Producción_Lecheria[[#This Row],[Cuenta Contable]],Produccion_Lecheria_Cuentas[Cuenta Contable],0),2),0)</f>
        <v>Egreso</v>
      </c>
      <c r="AF180" s="992">
        <f>IF(Producción_Lecheria[[#This Row],[Mov. Stock]]="(+)",Producción_Lecheria[[#This Row],[Cabezas]],IF(Producción_Lecheria[[#This Row],[Mov. Stock]]="(-)",-Producción_Lecheria[[#This Row],[Cabezas]],0))</f>
        <v>0</v>
      </c>
      <c r="AG180" s="993">
        <f>IFERROR(INDEX(Produccion_Lecheria_Cuentas[],MATCH(Producción_Lecheria[[#This Row],[Cuenta Contable]],Produccion_Lecheria_Cuentas[Cuenta Contable],0),5),0)</f>
        <v>0</v>
      </c>
      <c r="AH180" s="985" t="str">
        <f>IF(Producción_Lecheria[[#This Row],[Cuenta Contable]]=Configuración!$AC$9,"Si","No")</f>
        <v>No</v>
      </c>
      <c r="AI180" s="983" t="str">
        <f>IFERROR(INDEX(Tabla9[],MATCH(Producción_Lecheria[[#This Row],[Movimiento]],Tabla9[Movimientos],0),2),0)</f>
        <v>Si</v>
      </c>
      <c r="AJ180" s="984" t="str">
        <f>IFERROR(INDEX(Tabla9[],MATCH(Producción_Lecheria[[#This Row],[Movimiento]],Tabla9[Movimientos],0),3),0)</f>
        <v>(-)</v>
      </c>
      <c r="AK180" s="986">
        <f>IF(Producción_Lecheria[[#This Row],[Fecha Económico]]=0,0,MONTH(Producción_Lecheria[[#This Row],[Fecha Económico]]))</f>
        <v>7</v>
      </c>
      <c r="AL180" s="986">
        <f>IF(Producción_Lecheria[[#This Row],[Fecha Económico]]=0,0,YEAR(Producción_Lecheria[[#This Row],[Fecha Económico]]))</f>
        <v>2018</v>
      </c>
      <c r="AM180" s="987">
        <f>SUMPRODUCT((Producción_Lecheria[[#This Row],[Mes Económico]]=Tipo_Cambio[Mes])*(Producción_Lecheria[[#This Row],[Año Económico]]=Tipo_Cambio[Año])*(Tipo_Cambio[$/U$S]))</f>
        <v>22</v>
      </c>
      <c r="AN180" s="987">
        <f>SUMPRODUCT((Producción_Lecheria[[#This Row],[Mes Económico]]=Tipo_Cambio[Mes])*(Producción_Lecheria[[#This Row],[Año Económico]]=Tipo_Cambio[Año])*(Tipo_Cambio[Actualización]))</f>
        <v>1</v>
      </c>
      <c r="AO180" s="986">
        <f>IF(ISNUMBER(Producción_Lecheria[[#This Row],[Fecha Financiero]])=TRUE,MONTH(Producción_Lecheria[[#This Row],[Fecha Financiero]]),0)</f>
        <v>0</v>
      </c>
      <c r="AP180" s="986">
        <f>IF(ISNUMBER(Producción_Lecheria[[#This Row],[Fecha Financiero]])=TRUE,YEAR(Producción_Lecheria[[#This Row],[Fecha Financiero]]),0)</f>
        <v>0</v>
      </c>
      <c r="AQ180" s="987">
        <f>SUMPRODUCT((Producción_Lecheria[[#This Row],[Mes Financiero]]=Tipo_Cambio[Mes])*(Producción_Lecheria[[#This Row],[Año Financiero]]=Tipo_Cambio[Año])*(Tipo_Cambio[$/U$S]))</f>
        <v>0</v>
      </c>
      <c r="AR180" s="987">
        <f>SUMPRODUCT((Producción_Lecheria[[#This Row],[Mes Financiero]]=Tipo_Cambio[Mes])*(Producción_Lecheria[[#This Row],[Año Financiero]]=Tipo_Cambio[Año])*(Tipo_Cambio[Actualización]))</f>
        <v>0</v>
      </c>
      <c r="AS180" s="1009">
        <f>SUMPRODUCT((Producción_Lecheria[[#This Row],[Centro de Costo]]=Tabla1924[Centro de Costo])*(Tabla19[Superficie]))</f>
        <v>2356</v>
      </c>
      <c r="AT180" s="1010">
        <f>IFERROR(Producción_Lecheria[[#This Row],[Económico $Corrientes]]/Producción_Lecheria[[#This Row],[Superficie]],0)</f>
        <v>0</v>
      </c>
      <c r="AU180" s="1010">
        <f>IFERROR(Producción_Lecheria[[#This Row],[Económico $Constantes]]/Producción_Lecheria[[#This Row],[Superficie]],0)</f>
        <v>0</v>
      </c>
      <c r="AV180" s="1010">
        <f>IFERROR(Producción_Lecheria[[#This Row],[Económico U$S Dólares]]/Producción_Lecheria[[#This Row],[Superficie]],0)</f>
        <v>0</v>
      </c>
      <c r="AW180" s="992" t="str">
        <f>IF(Económico!$F$4=0,0,Producción_Lecheria[Centro de Costo])</f>
        <v>Campo 1</v>
      </c>
    </row>
    <row r="181" spans="1:49" x14ac:dyDescent="0.25">
      <c r="A181" s="86"/>
      <c r="B181" s="378" t="s">
        <v>120</v>
      </c>
      <c r="D181" s="548">
        <f>DATE(LEFT(Producción_Lecheria[[#This Row],[Campaña]],4),7,1)</f>
        <v>43282</v>
      </c>
      <c r="E181" s="493"/>
      <c r="F181" s="479" t="str">
        <f t="shared" si="14"/>
        <v>2018-2019</v>
      </c>
      <c r="G181" s="576" t="str">
        <f>Cargas_Manutencion</f>
        <v>Manutención Personal</v>
      </c>
      <c r="H181" s="481" t="s">
        <v>2</v>
      </c>
      <c r="I181" s="491"/>
      <c r="J181" s="549"/>
      <c r="K181" s="484"/>
      <c r="L18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8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81" s="520"/>
      <c r="O18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81" s="563"/>
      <c r="Q181" s="491"/>
      <c r="R181" s="875">
        <f>IF(ISNUMBER(Producción_Lecheria[[#This Row],[Cabezas]])=TRUE,Producción_Lecheria[[#This Row],[Cabezas]]*Producción_Lecheria[[#This Row],[Cantidad]],Producción_Lecheria[[#This Row],[Cantidad]])</f>
        <v>0</v>
      </c>
      <c r="S181" s="491"/>
      <c r="T181" s="552"/>
      <c r="U181" s="553"/>
      <c r="V18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81" s="977">
        <f>IFERROR(Producción_Lecheria[[#This Row],[Económico $Corrientes]]/Producción_Lecheria[[#This Row],[Indexación Económico]],0)</f>
        <v>0</v>
      </c>
      <c r="X18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8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81" s="977">
        <f>IFERROR(Producción_Lecheria[[#This Row],[Financiero $Corrientes]]/Producción_Lecheria[[#This Row],[Indexación Financiero]],0)</f>
        <v>0</v>
      </c>
      <c r="AA18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8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81" s="981">
        <f>IFERROR(Producción_Lecheria[[#This Row],[Intereses $Corrientes]]/Producción_Lecheria[[#This Row],[Indexación Financiero]],0)</f>
        <v>0</v>
      </c>
      <c r="AD18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81" s="991" t="str">
        <f>IFERROR(INDEX(Produccion_Lecheria_Cuentas[],MATCH(Producción_Lecheria[[#This Row],[Cuenta Contable]],Produccion_Lecheria_Cuentas[Cuenta Contable],0),2),0)</f>
        <v>Egreso</v>
      </c>
      <c r="AF181" s="992">
        <f>IF(Producción_Lecheria[[#This Row],[Mov. Stock]]="(+)",Producción_Lecheria[[#This Row],[Cabezas]],IF(Producción_Lecheria[[#This Row],[Mov. Stock]]="(-)",-Producción_Lecheria[[#This Row],[Cabezas]],0))</f>
        <v>0</v>
      </c>
      <c r="AG181" s="993">
        <f>IFERROR(INDEX(Produccion_Lecheria_Cuentas[],MATCH(Producción_Lecheria[[#This Row],[Cuenta Contable]],Produccion_Lecheria_Cuentas[Cuenta Contable],0),5),0)</f>
        <v>0</v>
      </c>
      <c r="AH181" s="985" t="str">
        <f>IF(Producción_Lecheria[[#This Row],[Cuenta Contable]]=Configuración!$AC$9,"Si","No")</f>
        <v>No</v>
      </c>
      <c r="AI181" s="983" t="str">
        <f>IFERROR(INDEX(Tabla9[],MATCH(Producción_Lecheria[[#This Row],[Movimiento]],Tabla9[Movimientos],0),2),0)</f>
        <v>Si</v>
      </c>
      <c r="AJ181" s="984" t="str">
        <f>IFERROR(INDEX(Tabla9[],MATCH(Producción_Lecheria[[#This Row],[Movimiento]],Tabla9[Movimientos],0),3),0)</f>
        <v>(-)</v>
      </c>
      <c r="AK181" s="986">
        <f>IF(Producción_Lecheria[[#This Row],[Fecha Económico]]=0,0,MONTH(Producción_Lecheria[[#This Row],[Fecha Económico]]))</f>
        <v>7</v>
      </c>
      <c r="AL181" s="986">
        <f>IF(Producción_Lecheria[[#This Row],[Fecha Económico]]=0,0,YEAR(Producción_Lecheria[[#This Row],[Fecha Económico]]))</f>
        <v>2018</v>
      </c>
      <c r="AM181" s="987">
        <f>SUMPRODUCT((Producción_Lecheria[[#This Row],[Mes Económico]]=Tipo_Cambio[Mes])*(Producción_Lecheria[[#This Row],[Año Económico]]=Tipo_Cambio[Año])*(Tipo_Cambio[$/U$S]))</f>
        <v>22</v>
      </c>
      <c r="AN181" s="987">
        <f>SUMPRODUCT((Producción_Lecheria[[#This Row],[Mes Económico]]=Tipo_Cambio[Mes])*(Producción_Lecheria[[#This Row],[Año Económico]]=Tipo_Cambio[Año])*(Tipo_Cambio[Actualización]))</f>
        <v>1</v>
      </c>
      <c r="AO181" s="986">
        <f>IF(ISNUMBER(Producción_Lecheria[[#This Row],[Fecha Financiero]])=TRUE,MONTH(Producción_Lecheria[[#This Row],[Fecha Financiero]]),0)</f>
        <v>0</v>
      </c>
      <c r="AP181" s="986">
        <f>IF(ISNUMBER(Producción_Lecheria[[#This Row],[Fecha Financiero]])=TRUE,YEAR(Producción_Lecheria[[#This Row],[Fecha Financiero]]),0)</f>
        <v>0</v>
      </c>
      <c r="AQ181" s="987">
        <f>SUMPRODUCT((Producción_Lecheria[[#This Row],[Mes Financiero]]=Tipo_Cambio[Mes])*(Producción_Lecheria[[#This Row],[Año Financiero]]=Tipo_Cambio[Año])*(Tipo_Cambio[$/U$S]))</f>
        <v>0</v>
      </c>
      <c r="AR181" s="987">
        <f>SUMPRODUCT((Producción_Lecheria[[#This Row],[Mes Financiero]]=Tipo_Cambio[Mes])*(Producción_Lecheria[[#This Row],[Año Financiero]]=Tipo_Cambio[Año])*(Tipo_Cambio[Actualización]))</f>
        <v>0</v>
      </c>
      <c r="AS181" s="1009">
        <f>SUMPRODUCT((Producción_Lecheria[[#This Row],[Centro de Costo]]=Tabla1924[Centro de Costo])*(Tabla19[Superficie]))</f>
        <v>2356</v>
      </c>
      <c r="AT181" s="1010">
        <f>IFERROR(Producción_Lecheria[[#This Row],[Económico $Corrientes]]/Producción_Lecheria[[#This Row],[Superficie]],0)</f>
        <v>0</v>
      </c>
      <c r="AU181" s="1010">
        <f>IFERROR(Producción_Lecheria[[#This Row],[Económico $Constantes]]/Producción_Lecheria[[#This Row],[Superficie]],0)</f>
        <v>0</v>
      </c>
      <c r="AV181" s="1010">
        <f>IFERROR(Producción_Lecheria[[#This Row],[Económico U$S Dólares]]/Producción_Lecheria[[#This Row],[Superficie]],0)</f>
        <v>0</v>
      </c>
      <c r="AW181" s="992" t="str">
        <f>IF(Económico!$F$4=0,0,Producción_Lecheria[Centro de Costo])</f>
        <v>Campo 1</v>
      </c>
    </row>
    <row r="182" spans="1:49" x14ac:dyDescent="0.25">
      <c r="A182" s="86"/>
      <c r="D182" s="548">
        <f>DATE(IF(MONTH(D179)=1,YEAR(D179+1),YEAR(D179)),MONTH(D179)+1,1)</f>
        <v>43313</v>
      </c>
      <c r="E182" s="493"/>
      <c r="F182" s="479" t="str">
        <f t="shared" si="14"/>
        <v>2018-2019</v>
      </c>
      <c r="G182" s="576" t="str">
        <f>LCH_Personal</f>
        <v>Personal</v>
      </c>
      <c r="H182" s="481" t="s">
        <v>2</v>
      </c>
      <c r="I182" s="491"/>
      <c r="J182" s="549"/>
      <c r="K182" s="484"/>
      <c r="L18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8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82" s="520"/>
      <c r="O18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82" s="563"/>
      <c r="Q182" s="491"/>
      <c r="R182" s="875">
        <f>IF(ISNUMBER(Producción_Lecheria[[#This Row],[Cabezas]])=TRUE,Producción_Lecheria[[#This Row],[Cabezas]]*Producción_Lecheria[[#This Row],[Cantidad]],Producción_Lecheria[[#This Row],[Cantidad]])</f>
        <v>0</v>
      </c>
      <c r="S182" s="491"/>
      <c r="T182" s="552"/>
      <c r="U182" s="553"/>
      <c r="V18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82" s="977">
        <f>IFERROR(Producción_Lecheria[[#This Row],[Económico $Corrientes]]/Producción_Lecheria[[#This Row],[Indexación Económico]],0)</f>
        <v>0</v>
      </c>
      <c r="X18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8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82" s="977">
        <f>IFERROR(Producción_Lecheria[[#This Row],[Financiero $Corrientes]]/Producción_Lecheria[[#This Row],[Indexación Financiero]],0)</f>
        <v>0</v>
      </c>
      <c r="AA18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8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82" s="981">
        <f>IFERROR(Producción_Lecheria[[#This Row],[Intereses $Corrientes]]/Producción_Lecheria[[#This Row],[Indexación Financiero]],0)</f>
        <v>0</v>
      </c>
      <c r="AD18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82" s="991" t="str">
        <f>IFERROR(INDEX(Produccion_Lecheria_Cuentas[],MATCH(Producción_Lecheria[[#This Row],[Cuenta Contable]],Produccion_Lecheria_Cuentas[Cuenta Contable],0),2),0)</f>
        <v>Egreso</v>
      </c>
      <c r="AF182" s="992">
        <f>IF(Producción_Lecheria[[#This Row],[Mov. Stock]]="(+)",Producción_Lecheria[[#This Row],[Cabezas]],IF(Producción_Lecheria[[#This Row],[Mov. Stock]]="(-)",-Producción_Lecheria[[#This Row],[Cabezas]],0))</f>
        <v>0</v>
      </c>
      <c r="AG182" s="993">
        <f>IFERROR(INDEX(Produccion_Lecheria_Cuentas[],MATCH(Producción_Lecheria[[#This Row],[Cuenta Contable]],Produccion_Lecheria_Cuentas[Cuenta Contable],0),5),0)</f>
        <v>0</v>
      </c>
      <c r="AH182" s="985" t="str">
        <f>IF(Producción_Lecheria[[#This Row],[Cuenta Contable]]=Configuración!$AC$9,"Si","No")</f>
        <v>No</v>
      </c>
      <c r="AI182" s="983" t="str">
        <f>IFERROR(INDEX(Tabla9[],MATCH(Producción_Lecheria[[#This Row],[Movimiento]],Tabla9[Movimientos],0),2),0)</f>
        <v>Si</v>
      </c>
      <c r="AJ182" s="984" t="str">
        <f>IFERROR(INDEX(Tabla9[],MATCH(Producción_Lecheria[[#This Row],[Movimiento]],Tabla9[Movimientos],0),3),0)</f>
        <v>(-)</v>
      </c>
      <c r="AK182" s="986">
        <f>IF(Producción_Lecheria[[#This Row],[Fecha Económico]]=0,0,MONTH(Producción_Lecheria[[#This Row],[Fecha Económico]]))</f>
        <v>8</v>
      </c>
      <c r="AL182" s="986">
        <f>IF(Producción_Lecheria[[#This Row],[Fecha Económico]]=0,0,YEAR(Producción_Lecheria[[#This Row],[Fecha Económico]]))</f>
        <v>2018</v>
      </c>
      <c r="AM182" s="987">
        <f>SUMPRODUCT((Producción_Lecheria[[#This Row],[Mes Económico]]=Tipo_Cambio[Mes])*(Producción_Lecheria[[#This Row],[Año Económico]]=Tipo_Cambio[Año])*(Tipo_Cambio[$/U$S]))</f>
        <v>22.22</v>
      </c>
      <c r="AN182" s="987">
        <f>SUMPRODUCT((Producción_Lecheria[[#This Row],[Mes Económico]]=Tipo_Cambio[Mes])*(Producción_Lecheria[[#This Row],[Año Económico]]=Tipo_Cambio[Año])*(Tipo_Cambio[Actualización]))</f>
        <v>1.02</v>
      </c>
      <c r="AO182" s="986">
        <f>IF(ISNUMBER(Producción_Lecheria[[#This Row],[Fecha Financiero]])=TRUE,MONTH(Producción_Lecheria[[#This Row],[Fecha Financiero]]),0)</f>
        <v>0</v>
      </c>
      <c r="AP182" s="986">
        <f>IF(ISNUMBER(Producción_Lecheria[[#This Row],[Fecha Financiero]])=TRUE,YEAR(Producción_Lecheria[[#This Row],[Fecha Financiero]]),0)</f>
        <v>0</v>
      </c>
      <c r="AQ182" s="987">
        <f>SUMPRODUCT((Producción_Lecheria[[#This Row],[Mes Financiero]]=Tipo_Cambio[Mes])*(Producción_Lecheria[[#This Row],[Año Financiero]]=Tipo_Cambio[Año])*(Tipo_Cambio[$/U$S]))</f>
        <v>0</v>
      </c>
      <c r="AR182" s="987">
        <f>SUMPRODUCT((Producción_Lecheria[[#This Row],[Mes Financiero]]=Tipo_Cambio[Mes])*(Producción_Lecheria[[#This Row],[Año Financiero]]=Tipo_Cambio[Año])*(Tipo_Cambio[Actualización]))</f>
        <v>0</v>
      </c>
      <c r="AS182" s="1009">
        <f>SUMPRODUCT((Producción_Lecheria[[#This Row],[Centro de Costo]]=Tabla1924[Centro de Costo])*(Tabla19[Superficie]))</f>
        <v>2356</v>
      </c>
      <c r="AT182" s="1010">
        <f>IFERROR(Producción_Lecheria[[#This Row],[Económico $Corrientes]]/Producción_Lecheria[[#This Row],[Superficie]],0)</f>
        <v>0</v>
      </c>
      <c r="AU182" s="1010">
        <f>IFERROR(Producción_Lecheria[[#This Row],[Económico $Constantes]]/Producción_Lecheria[[#This Row],[Superficie]],0)</f>
        <v>0</v>
      </c>
      <c r="AV182" s="1010">
        <f>IFERROR(Producción_Lecheria[[#This Row],[Económico U$S Dólares]]/Producción_Lecheria[[#This Row],[Superficie]],0)</f>
        <v>0</v>
      </c>
      <c r="AW182" s="992" t="str">
        <f>IF(Económico!$F$4=0,0,Producción_Lecheria[Centro de Costo])</f>
        <v>Campo 1</v>
      </c>
    </row>
    <row r="183" spans="1:49" x14ac:dyDescent="0.25">
      <c r="A183" s="86"/>
      <c r="D183" s="548">
        <f t="shared" ref="D183:D214" si="17">DATE(IF(MONTH(D180)=1,YEAR(D180+1),YEAR(D180)),MONTH(D180)+1,1)</f>
        <v>43313</v>
      </c>
      <c r="E183" s="493"/>
      <c r="F183" s="479" t="str">
        <f t="shared" si="14"/>
        <v>2018-2019</v>
      </c>
      <c r="G183" s="576" t="str">
        <f>LCH_CArgas</f>
        <v>Cargas Sociales</v>
      </c>
      <c r="H183" s="481" t="s">
        <v>2</v>
      </c>
      <c r="I183" s="491"/>
      <c r="J183" s="549"/>
      <c r="K183" s="484"/>
      <c r="L18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8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83" s="520"/>
      <c r="O18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83" s="563"/>
      <c r="Q183" s="491"/>
      <c r="R183" s="875">
        <f>IF(ISNUMBER(Producción_Lecheria[[#This Row],[Cabezas]])=TRUE,Producción_Lecheria[[#This Row],[Cabezas]]*Producción_Lecheria[[#This Row],[Cantidad]],Producción_Lecheria[[#This Row],[Cantidad]])</f>
        <v>0</v>
      </c>
      <c r="S183" s="491"/>
      <c r="T183" s="552"/>
      <c r="U183" s="553"/>
      <c r="V18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83" s="977">
        <f>IFERROR(Producción_Lecheria[[#This Row],[Económico $Corrientes]]/Producción_Lecheria[[#This Row],[Indexación Económico]],0)</f>
        <v>0</v>
      </c>
      <c r="X18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8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83" s="977">
        <f>IFERROR(Producción_Lecheria[[#This Row],[Financiero $Corrientes]]/Producción_Lecheria[[#This Row],[Indexación Financiero]],0)</f>
        <v>0</v>
      </c>
      <c r="AA18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8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83" s="981">
        <f>IFERROR(Producción_Lecheria[[#This Row],[Intereses $Corrientes]]/Producción_Lecheria[[#This Row],[Indexación Financiero]],0)</f>
        <v>0</v>
      </c>
      <c r="AD18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83" s="991" t="str">
        <f>IFERROR(INDEX(Produccion_Lecheria_Cuentas[],MATCH(Producción_Lecheria[[#This Row],[Cuenta Contable]],Produccion_Lecheria_Cuentas[Cuenta Contable],0),2),0)</f>
        <v>Egreso</v>
      </c>
      <c r="AF183" s="992">
        <f>IF(Producción_Lecheria[[#This Row],[Mov. Stock]]="(+)",Producción_Lecheria[[#This Row],[Cabezas]],IF(Producción_Lecheria[[#This Row],[Mov. Stock]]="(-)",-Producción_Lecheria[[#This Row],[Cabezas]],0))</f>
        <v>0</v>
      </c>
      <c r="AG183" s="993">
        <f>IFERROR(INDEX(Produccion_Lecheria_Cuentas[],MATCH(Producción_Lecheria[[#This Row],[Cuenta Contable]],Produccion_Lecheria_Cuentas[Cuenta Contable],0),5),0)</f>
        <v>0</v>
      </c>
      <c r="AH183" s="985" t="str">
        <f>IF(Producción_Lecheria[[#This Row],[Cuenta Contable]]=Configuración!$AC$9,"Si","No")</f>
        <v>No</v>
      </c>
      <c r="AI183" s="983" t="str">
        <f>IFERROR(INDEX(Tabla9[],MATCH(Producción_Lecheria[[#This Row],[Movimiento]],Tabla9[Movimientos],0),2),0)</f>
        <v>Si</v>
      </c>
      <c r="AJ183" s="984" t="str">
        <f>IFERROR(INDEX(Tabla9[],MATCH(Producción_Lecheria[[#This Row],[Movimiento]],Tabla9[Movimientos],0),3),0)</f>
        <v>(-)</v>
      </c>
      <c r="AK183" s="986">
        <f>IF(Producción_Lecheria[[#This Row],[Fecha Económico]]=0,0,MONTH(Producción_Lecheria[[#This Row],[Fecha Económico]]))</f>
        <v>8</v>
      </c>
      <c r="AL183" s="986">
        <f>IF(Producción_Lecheria[[#This Row],[Fecha Económico]]=0,0,YEAR(Producción_Lecheria[[#This Row],[Fecha Económico]]))</f>
        <v>2018</v>
      </c>
      <c r="AM183" s="987">
        <f>SUMPRODUCT((Producción_Lecheria[[#This Row],[Mes Económico]]=Tipo_Cambio[Mes])*(Producción_Lecheria[[#This Row],[Año Económico]]=Tipo_Cambio[Año])*(Tipo_Cambio[$/U$S]))</f>
        <v>22.22</v>
      </c>
      <c r="AN183" s="987">
        <f>SUMPRODUCT((Producción_Lecheria[[#This Row],[Mes Económico]]=Tipo_Cambio[Mes])*(Producción_Lecheria[[#This Row],[Año Económico]]=Tipo_Cambio[Año])*(Tipo_Cambio[Actualización]))</f>
        <v>1.02</v>
      </c>
      <c r="AO183" s="986">
        <f>IF(ISNUMBER(Producción_Lecheria[[#This Row],[Fecha Financiero]])=TRUE,MONTH(Producción_Lecheria[[#This Row],[Fecha Financiero]]),0)</f>
        <v>0</v>
      </c>
      <c r="AP183" s="986">
        <f>IF(ISNUMBER(Producción_Lecheria[[#This Row],[Fecha Financiero]])=TRUE,YEAR(Producción_Lecheria[[#This Row],[Fecha Financiero]]),0)</f>
        <v>0</v>
      </c>
      <c r="AQ183" s="987">
        <f>SUMPRODUCT((Producción_Lecheria[[#This Row],[Mes Financiero]]=Tipo_Cambio[Mes])*(Producción_Lecheria[[#This Row],[Año Financiero]]=Tipo_Cambio[Año])*(Tipo_Cambio[$/U$S]))</f>
        <v>0</v>
      </c>
      <c r="AR183" s="987">
        <f>SUMPRODUCT((Producción_Lecheria[[#This Row],[Mes Financiero]]=Tipo_Cambio[Mes])*(Producción_Lecheria[[#This Row],[Año Financiero]]=Tipo_Cambio[Año])*(Tipo_Cambio[Actualización]))</f>
        <v>0</v>
      </c>
      <c r="AS183" s="1009">
        <f>SUMPRODUCT((Producción_Lecheria[[#This Row],[Centro de Costo]]=Tabla1924[Centro de Costo])*(Tabla19[Superficie]))</f>
        <v>2356</v>
      </c>
      <c r="AT183" s="1010">
        <f>IFERROR(Producción_Lecheria[[#This Row],[Económico $Corrientes]]/Producción_Lecheria[[#This Row],[Superficie]],0)</f>
        <v>0</v>
      </c>
      <c r="AU183" s="1010">
        <f>IFERROR(Producción_Lecheria[[#This Row],[Económico $Constantes]]/Producción_Lecheria[[#This Row],[Superficie]],0)</f>
        <v>0</v>
      </c>
      <c r="AV183" s="1010">
        <f>IFERROR(Producción_Lecheria[[#This Row],[Económico U$S Dólares]]/Producción_Lecheria[[#This Row],[Superficie]],0)</f>
        <v>0</v>
      </c>
      <c r="AW183" s="992" t="str">
        <f>IF(Económico!$F$4=0,0,Producción_Lecheria[Centro de Costo])</f>
        <v>Campo 1</v>
      </c>
    </row>
    <row r="184" spans="1:49" x14ac:dyDescent="0.25">
      <c r="A184" s="86"/>
      <c r="D184" s="548">
        <f t="shared" si="17"/>
        <v>43313</v>
      </c>
      <c r="E184" s="493"/>
      <c r="F184" s="479" t="str">
        <f t="shared" si="14"/>
        <v>2018-2019</v>
      </c>
      <c r="G184" s="576" t="str">
        <f>Cargas_Manutencion</f>
        <v>Manutención Personal</v>
      </c>
      <c r="H184" s="481" t="s">
        <v>2</v>
      </c>
      <c r="I184" s="491"/>
      <c r="J184" s="549"/>
      <c r="K184" s="484"/>
      <c r="L18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8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84" s="520"/>
      <c r="O18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84" s="563"/>
      <c r="Q184" s="491"/>
      <c r="R184" s="875">
        <f>IF(ISNUMBER(Producción_Lecheria[[#This Row],[Cabezas]])=TRUE,Producción_Lecheria[[#This Row],[Cabezas]]*Producción_Lecheria[[#This Row],[Cantidad]],Producción_Lecheria[[#This Row],[Cantidad]])</f>
        <v>0</v>
      </c>
      <c r="S184" s="491"/>
      <c r="T184" s="552"/>
      <c r="U184" s="553"/>
      <c r="V18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84" s="977">
        <f>IFERROR(Producción_Lecheria[[#This Row],[Económico $Corrientes]]/Producción_Lecheria[[#This Row],[Indexación Económico]],0)</f>
        <v>0</v>
      </c>
      <c r="X18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8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84" s="977">
        <f>IFERROR(Producción_Lecheria[[#This Row],[Financiero $Corrientes]]/Producción_Lecheria[[#This Row],[Indexación Financiero]],0)</f>
        <v>0</v>
      </c>
      <c r="AA18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8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84" s="981">
        <f>IFERROR(Producción_Lecheria[[#This Row],[Intereses $Corrientes]]/Producción_Lecheria[[#This Row],[Indexación Financiero]],0)</f>
        <v>0</v>
      </c>
      <c r="AD18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84" s="991" t="str">
        <f>IFERROR(INDEX(Produccion_Lecheria_Cuentas[],MATCH(Producción_Lecheria[[#This Row],[Cuenta Contable]],Produccion_Lecheria_Cuentas[Cuenta Contable],0),2),0)</f>
        <v>Egreso</v>
      </c>
      <c r="AF184" s="992">
        <f>IF(Producción_Lecheria[[#This Row],[Mov. Stock]]="(+)",Producción_Lecheria[[#This Row],[Cabezas]],IF(Producción_Lecheria[[#This Row],[Mov. Stock]]="(-)",-Producción_Lecheria[[#This Row],[Cabezas]],0))</f>
        <v>0</v>
      </c>
      <c r="AG184" s="993">
        <f>IFERROR(INDEX(Produccion_Lecheria_Cuentas[],MATCH(Producción_Lecheria[[#This Row],[Cuenta Contable]],Produccion_Lecheria_Cuentas[Cuenta Contable],0),5),0)</f>
        <v>0</v>
      </c>
      <c r="AH184" s="985" t="str">
        <f>IF(Producción_Lecheria[[#This Row],[Cuenta Contable]]=Configuración!$AC$9,"Si","No")</f>
        <v>No</v>
      </c>
      <c r="AI184" s="983" t="str">
        <f>IFERROR(INDEX(Tabla9[],MATCH(Producción_Lecheria[[#This Row],[Movimiento]],Tabla9[Movimientos],0),2),0)</f>
        <v>Si</v>
      </c>
      <c r="AJ184" s="984" t="str">
        <f>IFERROR(INDEX(Tabla9[],MATCH(Producción_Lecheria[[#This Row],[Movimiento]],Tabla9[Movimientos],0),3),0)</f>
        <v>(-)</v>
      </c>
      <c r="AK184" s="986">
        <f>IF(Producción_Lecheria[[#This Row],[Fecha Económico]]=0,0,MONTH(Producción_Lecheria[[#This Row],[Fecha Económico]]))</f>
        <v>8</v>
      </c>
      <c r="AL184" s="986">
        <f>IF(Producción_Lecheria[[#This Row],[Fecha Económico]]=0,0,YEAR(Producción_Lecheria[[#This Row],[Fecha Económico]]))</f>
        <v>2018</v>
      </c>
      <c r="AM184" s="987">
        <f>SUMPRODUCT((Producción_Lecheria[[#This Row],[Mes Económico]]=Tipo_Cambio[Mes])*(Producción_Lecheria[[#This Row],[Año Económico]]=Tipo_Cambio[Año])*(Tipo_Cambio[$/U$S]))</f>
        <v>22.22</v>
      </c>
      <c r="AN184" s="987">
        <f>SUMPRODUCT((Producción_Lecheria[[#This Row],[Mes Económico]]=Tipo_Cambio[Mes])*(Producción_Lecheria[[#This Row],[Año Económico]]=Tipo_Cambio[Año])*(Tipo_Cambio[Actualización]))</f>
        <v>1.02</v>
      </c>
      <c r="AO184" s="986">
        <f>IF(ISNUMBER(Producción_Lecheria[[#This Row],[Fecha Financiero]])=TRUE,MONTH(Producción_Lecheria[[#This Row],[Fecha Financiero]]),0)</f>
        <v>0</v>
      </c>
      <c r="AP184" s="986">
        <f>IF(ISNUMBER(Producción_Lecheria[[#This Row],[Fecha Financiero]])=TRUE,YEAR(Producción_Lecheria[[#This Row],[Fecha Financiero]]),0)</f>
        <v>0</v>
      </c>
      <c r="AQ184" s="987">
        <f>SUMPRODUCT((Producción_Lecheria[[#This Row],[Mes Financiero]]=Tipo_Cambio[Mes])*(Producción_Lecheria[[#This Row],[Año Financiero]]=Tipo_Cambio[Año])*(Tipo_Cambio[$/U$S]))</f>
        <v>0</v>
      </c>
      <c r="AR184" s="987">
        <f>SUMPRODUCT((Producción_Lecheria[[#This Row],[Mes Financiero]]=Tipo_Cambio[Mes])*(Producción_Lecheria[[#This Row],[Año Financiero]]=Tipo_Cambio[Año])*(Tipo_Cambio[Actualización]))</f>
        <v>0</v>
      </c>
      <c r="AS184" s="1009">
        <f>SUMPRODUCT((Producción_Lecheria[[#This Row],[Centro de Costo]]=Tabla1924[Centro de Costo])*(Tabla19[Superficie]))</f>
        <v>2356</v>
      </c>
      <c r="AT184" s="1010">
        <f>IFERROR(Producción_Lecheria[[#This Row],[Económico $Corrientes]]/Producción_Lecheria[[#This Row],[Superficie]],0)</f>
        <v>0</v>
      </c>
      <c r="AU184" s="1010">
        <f>IFERROR(Producción_Lecheria[[#This Row],[Económico $Constantes]]/Producción_Lecheria[[#This Row],[Superficie]],0)</f>
        <v>0</v>
      </c>
      <c r="AV184" s="1010">
        <f>IFERROR(Producción_Lecheria[[#This Row],[Económico U$S Dólares]]/Producción_Lecheria[[#This Row],[Superficie]],0)</f>
        <v>0</v>
      </c>
      <c r="AW184" s="992" t="str">
        <f>IF(Económico!$F$4=0,0,Producción_Lecheria[Centro de Costo])</f>
        <v>Campo 1</v>
      </c>
    </row>
    <row r="185" spans="1:49" x14ac:dyDescent="0.25">
      <c r="A185" s="86"/>
      <c r="D185" s="548">
        <f>DATE(IF(MONTH(D182)=1,YEAR(D182+1),YEAR(D182)),MONTH(D182)+1,1)</f>
        <v>43344</v>
      </c>
      <c r="E185" s="493"/>
      <c r="F185" s="479" t="str">
        <f t="shared" si="14"/>
        <v>2018-2019</v>
      </c>
      <c r="G185" s="576" t="str">
        <f>LCH_Personal</f>
        <v>Personal</v>
      </c>
      <c r="H185" s="481" t="s">
        <v>2</v>
      </c>
      <c r="I185" s="491"/>
      <c r="J185" s="549"/>
      <c r="K185" s="484"/>
      <c r="L18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8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85" s="520"/>
      <c r="O18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85" s="563"/>
      <c r="Q185" s="491"/>
      <c r="R185" s="875">
        <f>IF(ISNUMBER(Producción_Lecheria[[#This Row],[Cabezas]])=TRUE,Producción_Lecheria[[#This Row],[Cabezas]]*Producción_Lecheria[[#This Row],[Cantidad]],Producción_Lecheria[[#This Row],[Cantidad]])</f>
        <v>0</v>
      </c>
      <c r="S185" s="491"/>
      <c r="T185" s="552"/>
      <c r="U185" s="553"/>
      <c r="V18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85" s="977">
        <f>IFERROR(Producción_Lecheria[[#This Row],[Económico $Corrientes]]/Producción_Lecheria[[#This Row],[Indexación Económico]],0)</f>
        <v>0</v>
      </c>
      <c r="X18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8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85" s="977">
        <f>IFERROR(Producción_Lecheria[[#This Row],[Financiero $Corrientes]]/Producción_Lecheria[[#This Row],[Indexación Financiero]],0)</f>
        <v>0</v>
      </c>
      <c r="AA18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8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85" s="981">
        <f>IFERROR(Producción_Lecheria[[#This Row],[Intereses $Corrientes]]/Producción_Lecheria[[#This Row],[Indexación Financiero]],0)</f>
        <v>0</v>
      </c>
      <c r="AD18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85" s="991" t="str">
        <f>IFERROR(INDEX(Produccion_Lecheria_Cuentas[],MATCH(Producción_Lecheria[[#This Row],[Cuenta Contable]],Produccion_Lecheria_Cuentas[Cuenta Contable],0),2),0)</f>
        <v>Egreso</v>
      </c>
      <c r="AF185" s="992">
        <f>IF(Producción_Lecheria[[#This Row],[Mov. Stock]]="(+)",Producción_Lecheria[[#This Row],[Cabezas]],IF(Producción_Lecheria[[#This Row],[Mov. Stock]]="(-)",-Producción_Lecheria[[#This Row],[Cabezas]],0))</f>
        <v>0</v>
      </c>
      <c r="AG185" s="993">
        <f>IFERROR(INDEX(Produccion_Lecheria_Cuentas[],MATCH(Producción_Lecheria[[#This Row],[Cuenta Contable]],Produccion_Lecheria_Cuentas[Cuenta Contable],0),5),0)</f>
        <v>0</v>
      </c>
      <c r="AH185" s="985" t="str">
        <f>IF(Producción_Lecheria[[#This Row],[Cuenta Contable]]=Configuración!$AC$9,"Si","No")</f>
        <v>No</v>
      </c>
      <c r="AI185" s="983" t="str">
        <f>IFERROR(INDEX(Tabla9[],MATCH(Producción_Lecheria[[#This Row],[Movimiento]],Tabla9[Movimientos],0),2),0)</f>
        <v>Si</v>
      </c>
      <c r="AJ185" s="984" t="str">
        <f>IFERROR(INDEX(Tabla9[],MATCH(Producción_Lecheria[[#This Row],[Movimiento]],Tabla9[Movimientos],0),3),0)</f>
        <v>(-)</v>
      </c>
      <c r="AK185" s="986">
        <f>IF(Producción_Lecheria[[#This Row],[Fecha Económico]]=0,0,MONTH(Producción_Lecheria[[#This Row],[Fecha Económico]]))</f>
        <v>9</v>
      </c>
      <c r="AL185" s="986">
        <f>IF(Producción_Lecheria[[#This Row],[Fecha Económico]]=0,0,YEAR(Producción_Lecheria[[#This Row],[Fecha Económico]]))</f>
        <v>2018</v>
      </c>
      <c r="AM185" s="987">
        <f>SUMPRODUCT((Producción_Lecheria[[#This Row],[Mes Económico]]=Tipo_Cambio[Mes])*(Producción_Lecheria[[#This Row],[Año Económico]]=Tipo_Cambio[Año])*(Tipo_Cambio[$/U$S]))</f>
        <v>22.4422</v>
      </c>
      <c r="AN185" s="987">
        <f>SUMPRODUCT((Producción_Lecheria[[#This Row],[Mes Económico]]=Tipo_Cambio[Mes])*(Producción_Lecheria[[#This Row],[Año Económico]]=Tipo_Cambio[Año])*(Tipo_Cambio[Actualización]))</f>
        <v>1.0404</v>
      </c>
      <c r="AO185" s="986">
        <f>IF(ISNUMBER(Producción_Lecheria[[#This Row],[Fecha Financiero]])=TRUE,MONTH(Producción_Lecheria[[#This Row],[Fecha Financiero]]),0)</f>
        <v>0</v>
      </c>
      <c r="AP185" s="986">
        <f>IF(ISNUMBER(Producción_Lecheria[[#This Row],[Fecha Financiero]])=TRUE,YEAR(Producción_Lecheria[[#This Row],[Fecha Financiero]]),0)</f>
        <v>0</v>
      </c>
      <c r="AQ185" s="987">
        <f>SUMPRODUCT((Producción_Lecheria[[#This Row],[Mes Financiero]]=Tipo_Cambio[Mes])*(Producción_Lecheria[[#This Row],[Año Financiero]]=Tipo_Cambio[Año])*(Tipo_Cambio[$/U$S]))</f>
        <v>0</v>
      </c>
      <c r="AR185" s="987">
        <f>SUMPRODUCT((Producción_Lecheria[[#This Row],[Mes Financiero]]=Tipo_Cambio[Mes])*(Producción_Lecheria[[#This Row],[Año Financiero]]=Tipo_Cambio[Año])*(Tipo_Cambio[Actualización]))</f>
        <v>0</v>
      </c>
      <c r="AS185" s="1009">
        <f>SUMPRODUCT((Producción_Lecheria[[#This Row],[Centro de Costo]]=Tabla1924[Centro de Costo])*(Tabla19[Superficie]))</f>
        <v>2356</v>
      </c>
      <c r="AT185" s="1010">
        <f>IFERROR(Producción_Lecheria[[#This Row],[Económico $Corrientes]]/Producción_Lecheria[[#This Row],[Superficie]],0)</f>
        <v>0</v>
      </c>
      <c r="AU185" s="1010">
        <f>IFERROR(Producción_Lecheria[[#This Row],[Económico $Constantes]]/Producción_Lecheria[[#This Row],[Superficie]],0)</f>
        <v>0</v>
      </c>
      <c r="AV185" s="1010">
        <f>IFERROR(Producción_Lecheria[[#This Row],[Económico U$S Dólares]]/Producción_Lecheria[[#This Row],[Superficie]],0)</f>
        <v>0</v>
      </c>
      <c r="AW185" s="992" t="str">
        <f>IF(Económico!$F$4=0,0,Producción_Lecheria[Centro de Costo])</f>
        <v>Campo 1</v>
      </c>
    </row>
    <row r="186" spans="1:49" x14ac:dyDescent="0.25">
      <c r="A186" s="86"/>
      <c r="D186" s="548">
        <f t="shared" si="17"/>
        <v>43344</v>
      </c>
      <c r="E186" s="493"/>
      <c r="F186" s="479" t="str">
        <f t="shared" si="14"/>
        <v>2018-2019</v>
      </c>
      <c r="G186" s="576" t="str">
        <f>LCH_CArgas</f>
        <v>Cargas Sociales</v>
      </c>
      <c r="H186" s="481" t="s">
        <v>2</v>
      </c>
      <c r="I186" s="491"/>
      <c r="J186" s="549"/>
      <c r="K186" s="484"/>
      <c r="L18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8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86" s="520"/>
      <c r="O18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86" s="563"/>
      <c r="Q186" s="491"/>
      <c r="R186" s="875">
        <f>IF(ISNUMBER(Producción_Lecheria[[#This Row],[Cabezas]])=TRUE,Producción_Lecheria[[#This Row],[Cabezas]]*Producción_Lecheria[[#This Row],[Cantidad]],Producción_Lecheria[[#This Row],[Cantidad]])</f>
        <v>0</v>
      </c>
      <c r="S186" s="491"/>
      <c r="T186" s="552"/>
      <c r="U186" s="553"/>
      <c r="V18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86" s="977">
        <f>IFERROR(Producción_Lecheria[[#This Row],[Económico $Corrientes]]/Producción_Lecheria[[#This Row],[Indexación Económico]],0)</f>
        <v>0</v>
      </c>
      <c r="X18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8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86" s="977">
        <f>IFERROR(Producción_Lecheria[[#This Row],[Financiero $Corrientes]]/Producción_Lecheria[[#This Row],[Indexación Financiero]],0)</f>
        <v>0</v>
      </c>
      <c r="AA18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8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86" s="981">
        <f>IFERROR(Producción_Lecheria[[#This Row],[Intereses $Corrientes]]/Producción_Lecheria[[#This Row],[Indexación Financiero]],0)</f>
        <v>0</v>
      </c>
      <c r="AD18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86" s="991" t="str">
        <f>IFERROR(INDEX(Produccion_Lecheria_Cuentas[],MATCH(Producción_Lecheria[[#This Row],[Cuenta Contable]],Produccion_Lecheria_Cuentas[Cuenta Contable],0),2),0)</f>
        <v>Egreso</v>
      </c>
      <c r="AF186" s="992">
        <f>IF(Producción_Lecheria[[#This Row],[Mov. Stock]]="(+)",Producción_Lecheria[[#This Row],[Cabezas]],IF(Producción_Lecheria[[#This Row],[Mov. Stock]]="(-)",-Producción_Lecheria[[#This Row],[Cabezas]],0))</f>
        <v>0</v>
      </c>
      <c r="AG186" s="993">
        <f>IFERROR(INDEX(Produccion_Lecheria_Cuentas[],MATCH(Producción_Lecheria[[#This Row],[Cuenta Contable]],Produccion_Lecheria_Cuentas[Cuenta Contable],0),5),0)</f>
        <v>0</v>
      </c>
      <c r="AH186" s="985" t="str">
        <f>IF(Producción_Lecheria[[#This Row],[Cuenta Contable]]=Configuración!$AC$9,"Si","No")</f>
        <v>No</v>
      </c>
      <c r="AI186" s="983" t="str">
        <f>IFERROR(INDEX(Tabla9[],MATCH(Producción_Lecheria[[#This Row],[Movimiento]],Tabla9[Movimientos],0),2),0)</f>
        <v>Si</v>
      </c>
      <c r="AJ186" s="984" t="str">
        <f>IFERROR(INDEX(Tabla9[],MATCH(Producción_Lecheria[[#This Row],[Movimiento]],Tabla9[Movimientos],0),3),0)</f>
        <v>(-)</v>
      </c>
      <c r="AK186" s="986">
        <f>IF(Producción_Lecheria[[#This Row],[Fecha Económico]]=0,0,MONTH(Producción_Lecheria[[#This Row],[Fecha Económico]]))</f>
        <v>9</v>
      </c>
      <c r="AL186" s="986">
        <f>IF(Producción_Lecheria[[#This Row],[Fecha Económico]]=0,0,YEAR(Producción_Lecheria[[#This Row],[Fecha Económico]]))</f>
        <v>2018</v>
      </c>
      <c r="AM186" s="987">
        <f>SUMPRODUCT((Producción_Lecheria[[#This Row],[Mes Económico]]=Tipo_Cambio[Mes])*(Producción_Lecheria[[#This Row],[Año Económico]]=Tipo_Cambio[Año])*(Tipo_Cambio[$/U$S]))</f>
        <v>22.4422</v>
      </c>
      <c r="AN186" s="987">
        <f>SUMPRODUCT((Producción_Lecheria[[#This Row],[Mes Económico]]=Tipo_Cambio[Mes])*(Producción_Lecheria[[#This Row],[Año Económico]]=Tipo_Cambio[Año])*(Tipo_Cambio[Actualización]))</f>
        <v>1.0404</v>
      </c>
      <c r="AO186" s="986">
        <f>IF(ISNUMBER(Producción_Lecheria[[#This Row],[Fecha Financiero]])=TRUE,MONTH(Producción_Lecheria[[#This Row],[Fecha Financiero]]),0)</f>
        <v>0</v>
      </c>
      <c r="AP186" s="986">
        <f>IF(ISNUMBER(Producción_Lecheria[[#This Row],[Fecha Financiero]])=TRUE,YEAR(Producción_Lecheria[[#This Row],[Fecha Financiero]]),0)</f>
        <v>0</v>
      </c>
      <c r="AQ186" s="987">
        <f>SUMPRODUCT((Producción_Lecheria[[#This Row],[Mes Financiero]]=Tipo_Cambio[Mes])*(Producción_Lecheria[[#This Row],[Año Financiero]]=Tipo_Cambio[Año])*(Tipo_Cambio[$/U$S]))</f>
        <v>0</v>
      </c>
      <c r="AR186" s="987">
        <f>SUMPRODUCT((Producción_Lecheria[[#This Row],[Mes Financiero]]=Tipo_Cambio[Mes])*(Producción_Lecheria[[#This Row],[Año Financiero]]=Tipo_Cambio[Año])*(Tipo_Cambio[Actualización]))</f>
        <v>0</v>
      </c>
      <c r="AS186" s="1009">
        <f>SUMPRODUCT((Producción_Lecheria[[#This Row],[Centro de Costo]]=Tabla1924[Centro de Costo])*(Tabla19[Superficie]))</f>
        <v>2356</v>
      </c>
      <c r="AT186" s="1010">
        <f>IFERROR(Producción_Lecheria[[#This Row],[Económico $Corrientes]]/Producción_Lecheria[[#This Row],[Superficie]],0)</f>
        <v>0</v>
      </c>
      <c r="AU186" s="1010">
        <f>IFERROR(Producción_Lecheria[[#This Row],[Económico $Constantes]]/Producción_Lecheria[[#This Row],[Superficie]],0)</f>
        <v>0</v>
      </c>
      <c r="AV186" s="1010">
        <f>IFERROR(Producción_Lecheria[[#This Row],[Económico U$S Dólares]]/Producción_Lecheria[[#This Row],[Superficie]],0)</f>
        <v>0</v>
      </c>
      <c r="AW186" s="992" t="str">
        <f>IF(Económico!$F$4=0,0,Producción_Lecheria[Centro de Costo])</f>
        <v>Campo 1</v>
      </c>
    </row>
    <row r="187" spans="1:49" x14ac:dyDescent="0.25">
      <c r="A187" s="86"/>
      <c r="D187" s="548">
        <f t="shared" si="17"/>
        <v>43344</v>
      </c>
      <c r="E187" s="493"/>
      <c r="F187" s="479" t="str">
        <f t="shared" si="14"/>
        <v>2018-2019</v>
      </c>
      <c r="G187" s="576" t="str">
        <f>Cargas_Manutencion</f>
        <v>Manutención Personal</v>
      </c>
      <c r="H187" s="481" t="s">
        <v>2</v>
      </c>
      <c r="I187" s="491"/>
      <c r="J187" s="549"/>
      <c r="K187" s="484"/>
      <c r="L18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8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87" s="520"/>
      <c r="O18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87" s="563"/>
      <c r="Q187" s="491"/>
      <c r="R187" s="875">
        <f>IF(ISNUMBER(Producción_Lecheria[[#This Row],[Cabezas]])=TRUE,Producción_Lecheria[[#This Row],[Cabezas]]*Producción_Lecheria[[#This Row],[Cantidad]],Producción_Lecheria[[#This Row],[Cantidad]])</f>
        <v>0</v>
      </c>
      <c r="S187" s="491"/>
      <c r="T187" s="552"/>
      <c r="U187" s="553"/>
      <c r="V18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87" s="977">
        <f>IFERROR(Producción_Lecheria[[#This Row],[Económico $Corrientes]]/Producción_Lecheria[[#This Row],[Indexación Económico]],0)</f>
        <v>0</v>
      </c>
      <c r="X18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8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87" s="977">
        <f>IFERROR(Producción_Lecheria[[#This Row],[Financiero $Corrientes]]/Producción_Lecheria[[#This Row],[Indexación Financiero]],0)</f>
        <v>0</v>
      </c>
      <c r="AA18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8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87" s="981">
        <f>IFERROR(Producción_Lecheria[[#This Row],[Intereses $Corrientes]]/Producción_Lecheria[[#This Row],[Indexación Financiero]],0)</f>
        <v>0</v>
      </c>
      <c r="AD18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87" s="991" t="str">
        <f>IFERROR(INDEX(Produccion_Lecheria_Cuentas[],MATCH(Producción_Lecheria[[#This Row],[Cuenta Contable]],Produccion_Lecheria_Cuentas[Cuenta Contable],0),2),0)</f>
        <v>Egreso</v>
      </c>
      <c r="AF187" s="992">
        <f>IF(Producción_Lecheria[[#This Row],[Mov. Stock]]="(+)",Producción_Lecheria[[#This Row],[Cabezas]],IF(Producción_Lecheria[[#This Row],[Mov. Stock]]="(-)",-Producción_Lecheria[[#This Row],[Cabezas]],0))</f>
        <v>0</v>
      </c>
      <c r="AG187" s="993">
        <f>IFERROR(INDEX(Produccion_Lecheria_Cuentas[],MATCH(Producción_Lecheria[[#This Row],[Cuenta Contable]],Produccion_Lecheria_Cuentas[Cuenta Contable],0),5),0)</f>
        <v>0</v>
      </c>
      <c r="AH187" s="985" t="str">
        <f>IF(Producción_Lecheria[[#This Row],[Cuenta Contable]]=Configuración!$AC$9,"Si","No")</f>
        <v>No</v>
      </c>
      <c r="AI187" s="983" t="str">
        <f>IFERROR(INDEX(Tabla9[],MATCH(Producción_Lecheria[[#This Row],[Movimiento]],Tabla9[Movimientos],0),2),0)</f>
        <v>Si</v>
      </c>
      <c r="AJ187" s="984" t="str">
        <f>IFERROR(INDEX(Tabla9[],MATCH(Producción_Lecheria[[#This Row],[Movimiento]],Tabla9[Movimientos],0),3),0)</f>
        <v>(-)</v>
      </c>
      <c r="AK187" s="986">
        <f>IF(Producción_Lecheria[[#This Row],[Fecha Económico]]=0,0,MONTH(Producción_Lecheria[[#This Row],[Fecha Económico]]))</f>
        <v>9</v>
      </c>
      <c r="AL187" s="986">
        <f>IF(Producción_Lecheria[[#This Row],[Fecha Económico]]=0,0,YEAR(Producción_Lecheria[[#This Row],[Fecha Económico]]))</f>
        <v>2018</v>
      </c>
      <c r="AM187" s="987">
        <f>SUMPRODUCT((Producción_Lecheria[[#This Row],[Mes Económico]]=Tipo_Cambio[Mes])*(Producción_Lecheria[[#This Row],[Año Económico]]=Tipo_Cambio[Año])*(Tipo_Cambio[$/U$S]))</f>
        <v>22.4422</v>
      </c>
      <c r="AN187" s="987">
        <f>SUMPRODUCT((Producción_Lecheria[[#This Row],[Mes Económico]]=Tipo_Cambio[Mes])*(Producción_Lecheria[[#This Row],[Año Económico]]=Tipo_Cambio[Año])*(Tipo_Cambio[Actualización]))</f>
        <v>1.0404</v>
      </c>
      <c r="AO187" s="986">
        <f>IF(ISNUMBER(Producción_Lecheria[[#This Row],[Fecha Financiero]])=TRUE,MONTH(Producción_Lecheria[[#This Row],[Fecha Financiero]]),0)</f>
        <v>0</v>
      </c>
      <c r="AP187" s="986">
        <f>IF(ISNUMBER(Producción_Lecheria[[#This Row],[Fecha Financiero]])=TRUE,YEAR(Producción_Lecheria[[#This Row],[Fecha Financiero]]),0)</f>
        <v>0</v>
      </c>
      <c r="AQ187" s="987">
        <f>SUMPRODUCT((Producción_Lecheria[[#This Row],[Mes Financiero]]=Tipo_Cambio[Mes])*(Producción_Lecheria[[#This Row],[Año Financiero]]=Tipo_Cambio[Año])*(Tipo_Cambio[$/U$S]))</f>
        <v>0</v>
      </c>
      <c r="AR187" s="987">
        <f>SUMPRODUCT((Producción_Lecheria[[#This Row],[Mes Financiero]]=Tipo_Cambio[Mes])*(Producción_Lecheria[[#This Row],[Año Financiero]]=Tipo_Cambio[Año])*(Tipo_Cambio[Actualización]))</f>
        <v>0</v>
      </c>
      <c r="AS187" s="1009">
        <f>SUMPRODUCT((Producción_Lecheria[[#This Row],[Centro de Costo]]=Tabla1924[Centro de Costo])*(Tabla19[Superficie]))</f>
        <v>2356</v>
      </c>
      <c r="AT187" s="1010">
        <f>IFERROR(Producción_Lecheria[[#This Row],[Económico $Corrientes]]/Producción_Lecheria[[#This Row],[Superficie]],0)</f>
        <v>0</v>
      </c>
      <c r="AU187" s="1010">
        <f>IFERROR(Producción_Lecheria[[#This Row],[Económico $Constantes]]/Producción_Lecheria[[#This Row],[Superficie]],0)</f>
        <v>0</v>
      </c>
      <c r="AV187" s="1010">
        <f>IFERROR(Producción_Lecheria[[#This Row],[Económico U$S Dólares]]/Producción_Lecheria[[#This Row],[Superficie]],0)</f>
        <v>0</v>
      </c>
      <c r="AW187" s="992" t="str">
        <f>IF(Económico!$F$4=0,0,Producción_Lecheria[Centro de Costo])</f>
        <v>Campo 1</v>
      </c>
    </row>
    <row r="188" spans="1:49" x14ac:dyDescent="0.25">
      <c r="A188" s="86"/>
      <c r="D188" s="548">
        <f>DATE(IF(MONTH(D185)=1,YEAR(D185+1),YEAR(D185)),MONTH(D185)+1,1)</f>
        <v>43374</v>
      </c>
      <c r="E188" s="493"/>
      <c r="F188" s="479" t="str">
        <f t="shared" si="14"/>
        <v>2018-2019</v>
      </c>
      <c r="G188" s="576" t="str">
        <f>LCH_Personal</f>
        <v>Personal</v>
      </c>
      <c r="H188" s="481" t="s">
        <v>2</v>
      </c>
      <c r="I188" s="491"/>
      <c r="J188" s="549"/>
      <c r="K188" s="484"/>
      <c r="L18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8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88" s="520"/>
      <c r="O18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88" s="563"/>
      <c r="Q188" s="491"/>
      <c r="R188" s="875">
        <f>IF(ISNUMBER(Producción_Lecheria[[#This Row],[Cabezas]])=TRUE,Producción_Lecheria[[#This Row],[Cabezas]]*Producción_Lecheria[[#This Row],[Cantidad]],Producción_Lecheria[[#This Row],[Cantidad]])</f>
        <v>0</v>
      </c>
      <c r="S188" s="491"/>
      <c r="T188" s="552"/>
      <c r="U188" s="553"/>
      <c r="V18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88" s="977">
        <f>IFERROR(Producción_Lecheria[[#This Row],[Económico $Corrientes]]/Producción_Lecheria[[#This Row],[Indexación Económico]],0)</f>
        <v>0</v>
      </c>
      <c r="X18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8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88" s="977">
        <f>IFERROR(Producción_Lecheria[[#This Row],[Financiero $Corrientes]]/Producción_Lecheria[[#This Row],[Indexación Financiero]],0)</f>
        <v>0</v>
      </c>
      <c r="AA18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8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88" s="981">
        <f>IFERROR(Producción_Lecheria[[#This Row],[Intereses $Corrientes]]/Producción_Lecheria[[#This Row],[Indexación Financiero]],0)</f>
        <v>0</v>
      </c>
      <c r="AD18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88" s="991" t="str">
        <f>IFERROR(INDEX(Produccion_Lecheria_Cuentas[],MATCH(Producción_Lecheria[[#This Row],[Cuenta Contable]],Produccion_Lecheria_Cuentas[Cuenta Contable],0),2),0)</f>
        <v>Egreso</v>
      </c>
      <c r="AF188" s="992">
        <f>IF(Producción_Lecheria[[#This Row],[Mov. Stock]]="(+)",Producción_Lecheria[[#This Row],[Cabezas]],IF(Producción_Lecheria[[#This Row],[Mov. Stock]]="(-)",-Producción_Lecheria[[#This Row],[Cabezas]],0))</f>
        <v>0</v>
      </c>
      <c r="AG188" s="993">
        <f>IFERROR(INDEX(Produccion_Lecheria_Cuentas[],MATCH(Producción_Lecheria[[#This Row],[Cuenta Contable]],Produccion_Lecheria_Cuentas[Cuenta Contable],0),5),0)</f>
        <v>0</v>
      </c>
      <c r="AH188" s="985" t="str">
        <f>IF(Producción_Lecheria[[#This Row],[Cuenta Contable]]=Configuración!$AC$9,"Si","No")</f>
        <v>No</v>
      </c>
      <c r="AI188" s="983" t="str">
        <f>IFERROR(INDEX(Tabla9[],MATCH(Producción_Lecheria[[#This Row],[Movimiento]],Tabla9[Movimientos],0),2),0)</f>
        <v>Si</v>
      </c>
      <c r="AJ188" s="984" t="str">
        <f>IFERROR(INDEX(Tabla9[],MATCH(Producción_Lecheria[[#This Row],[Movimiento]],Tabla9[Movimientos],0),3),0)</f>
        <v>(-)</v>
      </c>
      <c r="AK188" s="986">
        <f>IF(Producción_Lecheria[[#This Row],[Fecha Económico]]=0,0,MONTH(Producción_Lecheria[[#This Row],[Fecha Económico]]))</f>
        <v>10</v>
      </c>
      <c r="AL188" s="986">
        <f>IF(Producción_Lecheria[[#This Row],[Fecha Económico]]=0,0,YEAR(Producción_Lecheria[[#This Row],[Fecha Económico]]))</f>
        <v>2018</v>
      </c>
      <c r="AM188" s="987">
        <f>SUMPRODUCT((Producción_Lecheria[[#This Row],[Mes Económico]]=Tipo_Cambio[Mes])*(Producción_Lecheria[[#This Row],[Año Económico]]=Tipo_Cambio[Año])*(Tipo_Cambio[$/U$S]))</f>
        <v>22.666622</v>
      </c>
      <c r="AN188" s="987">
        <f>SUMPRODUCT((Producción_Lecheria[[#This Row],[Mes Económico]]=Tipo_Cambio[Mes])*(Producción_Lecheria[[#This Row],[Año Económico]]=Tipo_Cambio[Año])*(Tipo_Cambio[Actualización]))</f>
        <v>1.0612079999999999</v>
      </c>
      <c r="AO188" s="986">
        <f>IF(ISNUMBER(Producción_Lecheria[[#This Row],[Fecha Financiero]])=TRUE,MONTH(Producción_Lecheria[[#This Row],[Fecha Financiero]]),0)</f>
        <v>0</v>
      </c>
      <c r="AP188" s="986">
        <f>IF(ISNUMBER(Producción_Lecheria[[#This Row],[Fecha Financiero]])=TRUE,YEAR(Producción_Lecheria[[#This Row],[Fecha Financiero]]),0)</f>
        <v>0</v>
      </c>
      <c r="AQ188" s="987">
        <f>SUMPRODUCT((Producción_Lecheria[[#This Row],[Mes Financiero]]=Tipo_Cambio[Mes])*(Producción_Lecheria[[#This Row],[Año Financiero]]=Tipo_Cambio[Año])*(Tipo_Cambio[$/U$S]))</f>
        <v>0</v>
      </c>
      <c r="AR188" s="987">
        <f>SUMPRODUCT((Producción_Lecheria[[#This Row],[Mes Financiero]]=Tipo_Cambio[Mes])*(Producción_Lecheria[[#This Row],[Año Financiero]]=Tipo_Cambio[Año])*(Tipo_Cambio[Actualización]))</f>
        <v>0</v>
      </c>
      <c r="AS188" s="1009">
        <f>SUMPRODUCT((Producción_Lecheria[[#This Row],[Centro de Costo]]=Tabla1924[Centro de Costo])*(Tabla19[Superficie]))</f>
        <v>2356</v>
      </c>
      <c r="AT188" s="1010">
        <f>IFERROR(Producción_Lecheria[[#This Row],[Económico $Corrientes]]/Producción_Lecheria[[#This Row],[Superficie]],0)</f>
        <v>0</v>
      </c>
      <c r="AU188" s="1010">
        <f>IFERROR(Producción_Lecheria[[#This Row],[Económico $Constantes]]/Producción_Lecheria[[#This Row],[Superficie]],0)</f>
        <v>0</v>
      </c>
      <c r="AV188" s="1010">
        <f>IFERROR(Producción_Lecheria[[#This Row],[Económico U$S Dólares]]/Producción_Lecheria[[#This Row],[Superficie]],0)</f>
        <v>0</v>
      </c>
      <c r="AW188" s="992" t="str">
        <f>IF(Económico!$F$4=0,0,Producción_Lecheria[Centro de Costo])</f>
        <v>Campo 1</v>
      </c>
    </row>
    <row r="189" spans="1:49" x14ac:dyDescent="0.25">
      <c r="A189" s="86"/>
      <c r="D189" s="548">
        <f t="shared" si="17"/>
        <v>43374</v>
      </c>
      <c r="E189" s="493"/>
      <c r="F189" s="479" t="str">
        <f t="shared" si="14"/>
        <v>2018-2019</v>
      </c>
      <c r="G189" s="576" t="str">
        <f>LCH_CArgas</f>
        <v>Cargas Sociales</v>
      </c>
      <c r="H189" s="481" t="s">
        <v>2</v>
      </c>
      <c r="I189" s="491"/>
      <c r="J189" s="549"/>
      <c r="K189" s="484"/>
      <c r="L18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8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89" s="520"/>
      <c r="O18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89" s="563"/>
      <c r="Q189" s="491"/>
      <c r="R189" s="875">
        <f>IF(ISNUMBER(Producción_Lecheria[[#This Row],[Cabezas]])=TRUE,Producción_Lecheria[[#This Row],[Cabezas]]*Producción_Lecheria[[#This Row],[Cantidad]],Producción_Lecheria[[#This Row],[Cantidad]])</f>
        <v>0</v>
      </c>
      <c r="S189" s="491"/>
      <c r="T189" s="552"/>
      <c r="U189" s="553"/>
      <c r="V18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89" s="977">
        <f>IFERROR(Producción_Lecheria[[#This Row],[Económico $Corrientes]]/Producción_Lecheria[[#This Row],[Indexación Económico]],0)</f>
        <v>0</v>
      </c>
      <c r="X18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8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89" s="977">
        <f>IFERROR(Producción_Lecheria[[#This Row],[Financiero $Corrientes]]/Producción_Lecheria[[#This Row],[Indexación Financiero]],0)</f>
        <v>0</v>
      </c>
      <c r="AA18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8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89" s="981">
        <f>IFERROR(Producción_Lecheria[[#This Row],[Intereses $Corrientes]]/Producción_Lecheria[[#This Row],[Indexación Financiero]],0)</f>
        <v>0</v>
      </c>
      <c r="AD18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89" s="991" t="str">
        <f>IFERROR(INDEX(Produccion_Lecheria_Cuentas[],MATCH(Producción_Lecheria[[#This Row],[Cuenta Contable]],Produccion_Lecheria_Cuentas[Cuenta Contable],0),2),0)</f>
        <v>Egreso</v>
      </c>
      <c r="AF189" s="992">
        <f>IF(Producción_Lecheria[[#This Row],[Mov. Stock]]="(+)",Producción_Lecheria[[#This Row],[Cabezas]],IF(Producción_Lecheria[[#This Row],[Mov. Stock]]="(-)",-Producción_Lecheria[[#This Row],[Cabezas]],0))</f>
        <v>0</v>
      </c>
      <c r="AG189" s="993">
        <f>IFERROR(INDEX(Produccion_Lecheria_Cuentas[],MATCH(Producción_Lecheria[[#This Row],[Cuenta Contable]],Produccion_Lecheria_Cuentas[Cuenta Contable],0),5),0)</f>
        <v>0</v>
      </c>
      <c r="AH189" s="985" t="str">
        <f>IF(Producción_Lecheria[[#This Row],[Cuenta Contable]]=Configuración!$AC$9,"Si","No")</f>
        <v>No</v>
      </c>
      <c r="AI189" s="983" t="str">
        <f>IFERROR(INDEX(Tabla9[],MATCH(Producción_Lecheria[[#This Row],[Movimiento]],Tabla9[Movimientos],0),2),0)</f>
        <v>Si</v>
      </c>
      <c r="AJ189" s="984" t="str">
        <f>IFERROR(INDEX(Tabla9[],MATCH(Producción_Lecheria[[#This Row],[Movimiento]],Tabla9[Movimientos],0),3),0)</f>
        <v>(-)</v>
      </c>
      <c r="AK189" s="986">
        <f>IF(Producción_Lecheria[[#This Row],[Fecha Económico]]=0,0,MONTH(Producción_Lecheria[[#This Row],[Fecha Económico]]))</f>
        <v>10</v>
      </c>
      <c r="AL189" s="986">
        <f>IF(Producción_Lecheria[[#This Row],[Fecha Económico]]=0,0,YEAR(Producción_Lecheria[[#This Row],[Fecha Económico]]))</f>
        <v>2018</v>
      </c>
      <c r="AM189" s="987">
        <f>SUMPRODUCT((Producción_Lecheria[[#This Row],[Mes Económico]]=Tipo_Cambio[Mes])*(Producción_Lecheria[[#This Row],[Año Económico]]=Tipo_Cambio[Año])*(Tipo_Cambio[$/U$S]))</f>
        <v>22.666622</v>
      </c>
      <c r="AN189" s="987">
        <f>SUMPRODUCT((Producción_Lecheria[[#This Row],[Mes Económico]]=Tipo_Cambio[Mes])*(Producción_Lecheria[[#This Row],[Año Económico]]=Tipo_Cambio[Año])*(Tipo_Cambio[Actualización]))</f>
        <v>1.0612079999999999</v>
      </c>
      <c r="AO189" s="986">
        <f>IF(ISNUMBER(Producción_Lecheria[[#This Row],[Fecha Financiero]])=TRUE,MONTH(Producción_Lecheria[[#This Row],[Fecha Financiero]]),0)</f>
        <v>0</v>
      </c>
      <c r="AP189" s="986">
        <f>IF(ISNUMBER(Producción_Lecheria[[#This Row],[Fecha Financiero]])=TRUE,YEAR(Producción_Lecheria[[#This Row],[Fecha Financiero]]),0)</f>
        <v>0</v>
      </c>
      <c r="AQ189" s="987">
        <f>SUMPRODUCT((Producción_Lecheria[[#This Row],[Mes Financiero]]=Tipo_Cambio[Mes])*(Producción_Lecheria[[#This Row],[Año Financiero]]=Tipo_Cambio[Año])*(Tipo_Cambio[$/U$S]))</f>
        <v>0</v>
      </c>
      <c r="AR189" s="987">
        <f>SUMPRODUCT((Producción_Lecheria[[#This Row],[Mes Financiero]]=Tipo_Cambio[Mes])*(Producción_Lecheria[[#This Row],[Año Financiero]]=Tipo_Cambio[Año])*(Tipo_Cambio[Actualización]))</f>
        <v>0</v>
      </c>
      <c r="AS189" s="1009">
        <f>SUMPRODUCT((Producción_Lecheria[[#This Row],[Centro de Costo]]=Tabla1924[Centro de Costo])*(Tabla19[Superficie]))</f>
        <v>2356</v>
      </c>
      <c r="AT189" s="1010">
        <f>IFERROR(Producción_Lecheria[[#This Row],[Económico $Corrientes]]/Producción_Lecheria[[#This Row],[Superficie]],0)</f>
        <v>0</v>
      </c>
      <c r="AU189" s="1010">
        <f>IFERROR(Producción_Lecheria[[#This Row],[Económico $Constantes]]/Producción_Lecheria[[#This Row],[Superficie]],0)</f>
        <v>0</v>
      </c>
      <c r="AV189" s="1010">
        <f>IFERROR(Producción_Lecheria[[#This Row],[Económico U$S Dólares]]/Producción_Lecheria[[#This Row],[Superficie]],0)</f>
        <v>0</v>
      </c>
      <c r="AW189" s="992" t="str">
        <f>IF(Económico!$F$4=0,0,Producción_Lecheria[Centro de Costo])</f>
        <v>Campo 1</v>
      </c>
    </row>
    <row r="190" spans="1:49" x14ac:dyDescent="0.25">
      <c r="A190" s="86"/>
      <c r="D190" s="548">
        <f t="shared" si="17"/>
        <v>43374</v>
      </c>
      <c r="E190" s="493"/>
      <c r="F190" s="479" t="str">
        <f t="shared" si="14"/>
        <v>2018-2019</v>
      </c>
      <c r="G190" s="576" t="str">
        <f>Cargas_Manutencion</f>
        <v>Manutención Personal</v>
      </c>
      <c r="H190" s="481" t="s">
        <v>2</v>
      </c>
      <c r="I190" s="491"/>
      <c r="J190" s="549"/>
      <c r="K190" s="484"/>
      <c r="L19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9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90" s="520"/>
      <c r="O19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90" s="563"/>
      <c r="Q190" s="491"/>
      <c r="R190" s="875">
        <f>IF(ISNUMBER(Producción_Lecheria[[#This Row],[Cabezas]])=TRUE,Producción_Lecheria[[#This Row],[Cabezas]]*Producción_Lecheria[[#This Row],[Cantidad]],Producción_Lecheria[[#This Row],[Cantidad]])</f>
        <v>0</v>
      </c>
      <c r="S190" s="491"/>
      <c r="T190" s="552"/>
      <c r="U190" s="553"/>
      <c r="V19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90" s="977">
        <f>IFERROR(Producción_Lecheria[[#This Row],[Económico $Corrientes]]/Producción_Lecheria[[#This Row],[Indexación Económico]],0)</f>
        <v>0</v>
      </c>
      <c r="X19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9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90" s="977">
        <f>IFERROR(Producción_Lecheria[[#This Row],[Financiero $Corrientes]]/Producción_Lecheria[[#This Row],[Indexación Financiero]],0)</f>
        <v>0</v>
      </c>
      <c r="AA19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9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90" s="981">
        <f>IFERROR(Producción_Lecheria[[#This Row],[Intereses $Corrientes]]/Producción_Lecheria[[#This Row],[Indexación Financiero]],0)</f>
        <v>0</v>
      </c>
      <c r="AD19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90" s="991" t="str">
        <f>IFERROR(INDEX(Produccion_Lecheria_Cuentas[],MATCH(Producción_Lecheria[[#This Row],[Cuenta Contable]],Produccion_Lecheria_Cuentas[Cuenta Contable],0),2),0)</f>
        <v>Egreso</v>
      </c>
      <c r="AF190" s="992">
        <f>IF(Producción_Lecheria[[#This Row],[Mov. Stock]]="(+)",Producción_Lecheria[[#This Row],[Cabezas]],IF(Producción_Lecheria[[#This Row],[Mov. Stock]]="(-)",-Producción_Lecheria[[#This Row],[Cabezas]],0))</f>
        <v>0</v>
      </c>
      <c r="AG190" s="993">
        <f>IFERROR(INDEX(Produccion_Lecheria_Cuentas[],MATCH(Producción_Lecheria[[#This Row],[Cuenta Contable]],Produccion_Lecheria_Cuentas[Cuenta Contable],0),5),0)</f>
        <v>0</v>
      </c>
      <c r="AH190" s="985" t="str">
        <f>IF(Producción_Lecheria[[#This Row],[Cuenta Contable]]=Configuración!$AC$9,"Si","No")</f>
        <v>No</v>
      </c>
      <c r="AI190" s="983" t="str">
        <f>IFERROR(INDEX(Tabla9[],MATCH(Producción_Lecheria[[#This Row],[Movimiento]],Tabla9[Movimientos],0),2),0)</f>
        <v>Si</v>
      </c>
      <c r="AJ190" s="984" t="str">
        <f>IFERROR(INDEX(Tabla9[],MATCH(Producción_Lecheria[[#This Row],[Movimiento]],Tabla9[Movimientos],0),3),0)</f>
        <v>(-)</v>
      </c>
      <c r="AK190" s="986">
        <f>IF(Producción_Lecheria[[#This Row],[Fecha Económico]]=0,0,MONTH(Producción_Lecheria[[#This Row],[Fecha Económico]]))</f>
        <v>10</v>
      </c>
      <c r="AL190" s="986">
        <f>IF(Producción_Lecheria[[#This Row],[Fecha Económico]]=0,0,YEAR(Producción_Lecheria[[#This Row],[Fecha Económico]]))</f>
        <v>2018</v>
      </c>
      <c r="AM190" s="987">
        <f>SUMPRODUCT((Producción_Lecheria[[#This Row],[Mes Económico]]=Tipo_Cambio[Mes])*(Producción_Lecheria[[#This Row],[Año Económico]]=Tipo_Cambio[Año])*(Tipo_Cambio[$/U$S]))</f>
        <v>22.666622</v>
      </c>
      <c r="AN190" s="987">
        <f>SUMPRODUCT((Producción_Lecheria[[#This Row],[Mes Económico]]=Tipo_Cambio[Mes])*(Producción_Lecheria[[#This Row],[Año Económico]]=Tipo_Cambio[Año])*(Tipo_Cambio[Actualización]))</f>
        <v>1.0612079999999999</v>
      </c>
      <c r="AO190" s="986">
        <f>IF(ISNUMBER(Producción_Lecheria[[#This Row],[Fecha Financiero]])=TRUE,MONTH(Producción_Lecheria[[#This Row],[Fecha Financiero]]),0)</f>
        <v>0</v>
      </c>
      <c r="AP190" s="986">
        <f>IF(ISNUMBER(Producción_Lecheria[[#This Row],[Fecha Financiero]])=TRUE,YEAR(Producción_Lecheria[[#This Row],[Fecha Financiero]]),0)</f>
        <v>0</v>
      </c>
      <c r="AQ190" s="987">
        <f>SUMPRODUCT((Producción_Lecheria[[#This Row],[Mes Financiero]]=Tipo_Cambio[Mes])*(Producción_Lecheria[[#This Row],[Año Financiero]]=Tipo_Cambio[Año])*(Tipo_Cambio[$/U$S]))</f>
        <v>0</v>
      </c>
      <c r="AR190" s="987">
        <f>SUMPRODUCT((Producción_Lecheria[[#This Row],[Mes Financiero]]=Tipo_Cambio[Mes])*(Producción_Lecheria[[#This Row],[Año Financiero]]=Tipo_Cambio[Año])*(Tipo_Cambio[Actualización]))</f>
        <v>0</v>
      </c>
      <c r="AS190" s="1009">
        <f>SUMPRODUCT((Producción_Lecheria[[#This Row],[Centro de Costo]]=Tabla1924[Centro de Costo])*(Tabla19[Superficie]))</f>
        <v>2356</v>
      </c>
      <c r="AT190" s="1010">
        <f>IFERROR(Producción_Lecheria[[#This Row],[Económico $Corrientes]]/Producción_Lecheria[[#This Row],[Superficie]],0)</f>
        <v>0</v>
      </c>
      <c r="AU190" s="1010">
        <f>IFERROR(Producción_Lecheria[[#This Row],[Económico $Constantes]]/Producción_Lecheria[[#This Row],[Superficie]],0)</f>
        <v>0</v>
      </c>
      <c r="AV190" s="1010">
        <f>IFERROR(Producción_Lecheria[[#This Row],[Económico U$S Dólares]]/Producción_Lecheria[[#This Row],[Superficie]],0)</f>
        <v>0</v>
      </c>
      <c r="AW190" s="992" t="str">
        <f>IF(Económico!$F$4=0,0,Producción_Lecheria[Centro de Costo])</f>
        <v>Campo 1</v>
      </c>
    </row>
    <row r="191" spans="1:49" x14ac:dyDescent="0.25">
      <c r="A191" s="86"/>
      <c r="D191" s="548">
        <f>DATE(IF(MONTH(D188)=1,YEAR(D188+1),YEAR(D188)),MONTH(D188)+1,1)</f>
        <v>43405</v>
      </c>
      <c r="E191" s="493"/>
      <c r="F191" s="479" t="str">
        <f t="shared" si="14"/>
        <v>2018-2019</v>
      </c>
      <c r="G191" s="576" t="str">
        <f>LCH_Personal</f>
        <v>Personal</v>
      </c>
      <c r="H191" s="481" t="s">
        <v>2</v>
      </c>
      <c r="I191" s="491"/>
      <c r="J191" s="549"/>
      <c r="K191" s="484"/>
      <c r="L19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9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91" s="520"/>
      <c r="O19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91" s="563"/>
      <c r="Q191" s="491"/>
      <c r="R191" s="875">
        <f>IF(ISNUMBER(Producción_Lecheria[[#This Row],[Cabezas]])=TRUE,Producción_Lecheria[[#This Row],[Cabezas]]*Producción_Lecheria[[#This Row],[Cantidad]],Producción_Lecheria[[#This Row],[Cantidad]])</f>
        <v>0</v>
      </c>
      <c r="S191" s="491"/>
      <c r="T191" s="552"/>
      <c r="U191" s="553"/>
      <c r="V19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91" s="977">
        <f>IFERROR(Producción_Lecheria[[#This Row],[Económico $Corrientes]]/Producción_Lecheria[[#This Row],[Indexación Económico]],0)</f>
        <v>0</v>
      </c>
      <c r="X19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9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91" s="977">
        <f>IFERROR(Producción_Lecheria[[#This Row],[Financiero $Corrientes]]/Producción_Lecheria[[#This Row],[Indexación Financiero]],0)</f>
        <v>0</v>
      </c>
      <c r="AA19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9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91" s="981">
        <f>IFERROR(Producción_Lecheria[[#This Row],[Intereses $Corrientes]]/Producción_Lecheria[[#This Row],[Indexación Financiero]],0)</f>
        <v>0</v>
      </c>
      <c r="AD19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91" s="991" t="str">
        <f>IFERROR(INDEX(Produccion_Lecheria_Cuentas[],MATCH(Producción_Lecheria[[#This Row],[Cuenta Contable]],Produccion_Lecheria_Cuentas[Cuenta Contable],0),2),0)</f>
        <v>Egreso</v>
      </c>
      <c r="AF191" s="992">
        <f>IF(Producción_Lecheria[[#This Row],[Mov. Stock]]="(+)",Producción_Lecheria[[#This Row],[Cabezas]],IF(Producción_Lecheria[[#This Row],[Mov. Stock]]="(-)",-Producción_Lecheria[[#This Row],[Cabezas]],0))</f>
        <v>0</v>
      </c>
      <c r="AG191" s="993">
        <f>IFERROR(INDEX(Produccion_Lecheria_Cuentas[],MATCH(Producción_Lecheria[[#This Row],[Cuenta Contable]],Produccion_Lecheria_Cuentas[Cuenta Contable],0),5),0)</f>
        <v>0</v>
      </c>
      <c r="AH191" s="985" t="str">
        <f>IF(Producción_Lecheria[[#This Row],[Cuenta Contable]]=Configuración!$AC$9,"Si","No")</f>
        <v>No</v>
      </c>
      <c r="AI191" s="983" t="str">
        <f>IFERROR(INDEX(Tabla9[],MATCH(Producción_Lecheria[[#This Row],[Movimiento]],Tabla9[Movimientos],0),2),0)</f>
        <v>Si</v>
      </c>
      <c r="AJ191" s="984" t="str">
        <f>IFERROR(INDEX(Tabla9[],MATCH(Producción_Lecheria[[#This Row],[Movimiento]],Tabla9[Movimientos],0),3),0)</f>
        <v>(-)</v>
      </c>
      <c r="AK191" s="986">
        <f>IF(Producción_Lecheria[[#This Row],[Fecha Económico]]=0,0,MONTH(Producción_Lecheria[[#This Row],[Fecha Económico]]))</f>
        <v>11</v>
      </c>
      <c r="AL191" s="986">
        <f>IF(Producción_Lecheria[[#This Row],[Fecha Económico]]=0,0,YEAR(Producción_Lecheria[[#This Row],[Fecha Económico]]))</f>
        <v>2018</v>
      </c>
      <c r="AM191" s="987">
        <f>SUMPRODUCT((Producción_Lecheria[[#This Row],[Mes Económico]]=Tipo_Cambio[Mes])*(Producción_Lecheria[[#This Row],[Año Económico]]=Tipo_Cambio[Año])*(Tipo_Cambio[$/U$S]))</f>
        <v>22.893288219999999</v>
      </c>
      <c r="AN191" s="987">
        <f>SUMPRODUCT((Producción_Lecheria[[#This Row],[Mes Económico]]=Tipo_Cambio[Mes])*(Producción_Lecheria[[#This Row],[Año Económico]]=Tipo_Cambio[Año])*(Tipo_Cambio[Actualización]))</f>
        <v>1.08243216</v>
      </c>
      <c r="AO191" s="986">
        <f>IF(ISNUMBER(Producción_Lecheria[[#This Row],[Fecha Financiero]])=TRUE,MONTH(Producción_Lecheria[[#This Row],[Fecha Financiero]]),0)</f>
        <v>0</v>
      </c>
      <c r="AP191" s="986">
        <f>IF(ISNUMBER(Producción_Lecheria[[#This Row],[Fecha Financiero]])=TRUE,YEAR(Producción_Lecheria[[#This Row],[Fecha Financiero]]),0)</f>
        <v>0</v>
      </c>
      <c r="AQ191" s="987">
        <f>SUMPRODUCT((Producción_Lecheria[[#This Row],[Mes Financiero]]=Tipo_Cambio[Mes])*(Producción_Lecheria[[#This Row],[Año Financiero]]=Tipo_Cambio[Año])*(Tipo_Cambio[$/U$S]))</f>
        <v>0</v>
      </c>
      <c r="AR191" s="987">
        <f>SUMPRODUCT((Producción_Lecheria[[#This Row],[Mes Financiero]]=Tipo_Cambio[Mes])*(Producción_Lecheria[[#This Row],[Año Financiero]]=Tipo_Cambio[Año])*(Tipo_Cambio[Actualización]))</f>
        <v>0</v>
      </c>
      <c r="AS191" s="1009">
        <f>SUMPRODUCT((Producción_Lecheria[[#This Row],[Centro de Costo]]=Tabla1924[Centro de Costo])*(Tabla19[Superficie]))</f>
        <v>2356</v>
      </c>
      <c r="AT191" s="1010">
        <f>IFERROR(Producción_Lecheria[[#This Row],[Económico $Corrientes]]/Producción_Lecheria[[#This Row],[Superficie]],0)</f>
        <v>0</v>
      </c>
      <c r="AU191" s="1010">
        <f>IFERROR(Producción_Lecheria[[#This Row],[Económico $Constantes]]/Producción_Lecheria[[#This Row],[Superficie]],0)</f>
        <v>0</v>
      </c>
      <c r="AV191" s="1010">
        <f>IFERROR(Producción_Lecheria[[#This Row],[Económico U$S Dólares]]/Producción_Lecheria[[#This Row],[Superficie]],0)</f>
        <v>0</v>
      </c>
      <c r="AW191" s="992" t="str">
        <f>IF(Económico!$F$4=0,0,Producción_Lecheria[Centro de Costo])</f>
        <v>Campo 1</v>
      </c>
    </row>
    <row r="192" spans="1:49" x14ac:dyDescent="0.25">
      <c r="A192" s="86"/>
      <c r="D192" s="548">
        <f t="shared" si="17"/>
        <v>43405</v>
      </c>
      <c r="E192" s="493"/>
      <c r="F192" s="479" t="str">
        <f t="shared" ref="F192:F223" si="18">Campaña_Actual</f>
        <v>2018-2019</v>
      </c>
      <c r="G192" s="576" t="str">
        <f>LCH_CArgas</f>
        <v>Cargas Sociales</v>
      </c>
      <c r="H192" s="481" t="s">
        <v>2</v>
      </c>
      <c r="I192" s="491"/>
      <c r="J192" s="549"/>
      <c r="K192" s="484"/>
      <c r="L19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9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92" s="520"/>
      <c r="O19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92" s="563"/>
      <c r="Q192" s="491"/>
      <c r="R192" s="875">
        <f>IF(ISNUMBER(Producción_Lecheria[[#This Row],[Cabezas]])=TRUE,Producción_Lecheria[[#This Row],[Cabezas]]*Producción_Lecheria[[#This Row],[Cantidad]],Producción_Lecheria[[#This Row],[Cantidad]])</f>
        <v>0</v>
      </c>
      <c r="S192" s="491"/>
      <c r="T192" s="552"/>
      <c r="U192" s="553"/>
      <c r="V19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92" s="977">
        <f>IFERROR(Producción_Lecheria[[#This Row],[Económico $Corrientes]]/Producción_Lecheria[[#This Row],[Indexación Económico]],0)</f>
        <v>0</v>
      </c>
      <c r="X19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9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92" s="977">
        <f>IFERROR(Producción_Lecheria[[#This Row],[Financiero $Corrientes]]/Producción_Lecheria[[#This Row],[Indexación Financiero]],0)</f>
        <v>0</v>
      </c>
      <c r="AA19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9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92" s="981">
        <f>IFERROR(Producción_Lecheria[[#This Row],[Intereses $Corrientes]]/Producción_Lecheria[[#This Row],[Indexación Financiero]],0)</f>
        <v>0</v>
      </c>
      <c r="AD19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92" s="991" t="str">
        <f>IFERROR(INDEX(Produccion_Lecheria_Cuentas[],MATCH(Producción_Lecheria[[#This Row],[Cuenta Contable]],Produccion_Lecheria_Cuentas[Cuenta Contable],0),2),0)</f>
        <v>Egreso</v>
      </c>
      <c r="AF192" s="992">
        <f>IF(Producción_Lecheria[[#This Row],[Mov. Stock]]="(+)",Producción_Lecheria[[#This Row],[Cabezas]],IF(Producción_Lecheria[[#This Row],[Mov. Stock]]="(-)",-Producción_Lecheria[[#This Row],[Cabezas]],0))</f>
        <v>0</v>
      </c>
      <c r="AG192" s="993">
        <f>IFERROR(INDEX(Produccion_Lecheria_Cuentas[],MATCH(Producción_Lecheria[[#This Row],[Cuenta Contable]],Produccion_Lecheria_Cuentas[Cuenta Contable],0),5),0)</f>
        <v>0</v>
      </c>
      <c r="AH192" s="985" t="str">
        <f>IF(Producción_Lecheria[[#This Row],[Cuenta Contable]]=Configuración!$AC$9,"Si","No")</f>
        <v>No</v>
      </c>
      <c r="AI192" s="983" t="str">
        <f>IFERROR(INDEX(Tabla9[],MATCH(Producción_Lecheria[[#This Row],[Movimiento]],Tabla9[Movimientos],0),2),0)</f>
        <v>Si</v>
      </c>
      <c r="AJ192" s="984" t="str">
        <f>IFERROR(INDEX(Tabla9[],MATCH(Producción_Lecheria[[#This Row],[Movimiento]],Tabla9[Movimientos],0),3),0)</f>
        <v>(-)</v>
      </c>
      <c r="AK192" s="986">
        <f>IF(Producción_Lecheria[[#This Row],[Fecha Económico]]=0,0,MONTH(Producción_Lecheria[[#This Row],[Fecha Económico]]))</f>
        <v>11</v>
      </c>
      <c r="AL192" s="986">
        <f>IF(Producción_Lecheria[[#This Row],[Fecha Económico]]=0,0,YEAR(Producción_Lecheria[[#This Row],[Fecha Económico]]))</f>
        <v>2018</v>
      </c>
      <c r="AM192" s="987">
        <f>SUMPRODUCT((Producción_Lecheria[[#This Row],[Mes Económico]]=Tipo_Cambio[Mes])*(Producción_Lecheria[[#This Row],[Año Económico]]=Tipo_Cambio[Año])*(Tipo_Cambio[$/U$S]))</f>
        <v>22.893288219999999</v>
      </c>
      <c r="AN192" s="987">
        <f>SUMPRODUCT((Producción_Lecheria[[#This Row],[Mes Económico]]=Tipo_Cambio[Mes])*(Producción_Lecheria[[#This Row],[Año Económico]]=Tipo_Cambio[Año])*(Tipo_Cambio[Actualización]))</f>
        <v>1.08243216</v>
      </c>
      <c r="AO192" s="986">
        <f>IF(ISNUMBER(Producción_Lecheria[[#This Row],[Fecha Financiero]])=TRUE,MONTH(Producción_Lecheria[[#This Row],[Fecha Financiero]]),0)</f>
        <v>0</v>
      </c>
      <c r="AP192" s="986">
        <f>IF(ISNUMBER(Producción_Lecheria[[#This Row],[Fecha Financiero]])=TRUE,YEAR(Producción_Lecheria[[#This Row],[Fecha Financiero]]),0)</f>
        <v>0</v>
      </c>
      <c r="AQ192" s="987">
        <f>SUMPRODUCT((Producción_Lecheria[[#This Row],[Mes Financiero]]=Tipo_Cambio[Mes])*(Producción_Lecheria[[#This Row],[Año Financiero]]=Tipo_Cambio[Año])*(Tipo_Cambio[$/U$S]))</f>
        <v>0</v>
      </c>
      <c r="AR192" s="987">
        <f>SUMPRODUCT((Producción_Lecheria[[#This Row],[Mes Financiero]]=Tipo_Cambio[Mes])*(Producción_Lecheria[[#This Row],[Año Financiero]]=Tipo_Cambio[Año])*(Tipo_Cambio[Actualización]))</f>
        <v>0</v>
      </c>
      <c r="AS192" s="1009">
        <f>SUMPRODUCT((Producción_Lecheria[[#This Row],[Centro de Costo]]=Tabla1924[Centro de Costo])*(Tabla19[Superficie]))</f>
        <v>2356</v>
      </c>
      <c r="AT192" s="1010">
        <f>IFERROR(Producción_Lecheria[[#This Row],[Económico $Corrientes]]/Producción_Lecheria[[#This Row],[Superficie]],0)</f>
        <v>0</v>
      </c>
      <c r="AU192" s="1010">
        <f>IFERROR(Producción_Lecheria[[#This Row],[Económico $Constantes]]/Producción_Lecheria[[#This Row],[Superficie]],0)</f>
        <v>0</v>
      </c>
      <c r="AV192" s="1010">
        <f>IFERROR(Producción_Lecheria[[#This Row],[Económico U$S Dólares]]/Producción_Lecheria[[#This Row],[Superficie]],0)</f>
        <v>0</v>
      </c>
      <c r="AW192" s="992" t="str">
        <f>IF(Económico!$F$4=0,0,Producción_Lecheria[Centro de Costo])</f>
        <v>Campo 1</v>
      </c>
    </row>
    <row r="193" spans="1:49" x14ac:dyDescent="0.25">
      <c r="A193" s="86"/>
      <c r="D193" s="548">
        <f t="shared" si="17"/>
        <v>43405</v>
      </c>
      <c r="E193" s="493"/>
      <c r="F193" s="479" t="str">
        <f t="shared" si="18"/>
        <v>2018-2019</v>
      </c>
      <c r="G193" s="576" t="str">
        <f>Cargas_Manutencion</f>
        <v>Manutención Personal</v>
      </c>
      <c r="H193" s="481" t="s">
        <v>2</v>
      </c>
      <c r="I193" s="491"/>
      <c r="J193" s="549"/>
      <c r="K193" s="484"/>
      <c r="L19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9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93" s="520"/>
      <c r="O19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93" s="563"/>
      <c r="Q193" s="491"/>
      <c r="R193" s="875">
        <f>IF(ISNUMBER(Producción_Lecheria[[#This Row],[Cabezas]])=TRUE,Producción_Lecheria[[#This Row],[Cabezas]]*Producción_Lecheria[[#This Row],[Cantidad]],Producción_Lecheria[[#This Row],[Cantidad]])</f>
        <v>0</v>
      </c>
      <c r="S193" s="491"/>
      <c r="T193" s="552"/>
      <c r="U193" s="553"/>
      <c r="V19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93" s="977">
        <f>IFERROR(Producción_Lecheria[[#This Row],[Económico $Corrientes]]/Producción_Lecheria[[#This Row],[Indexación Económico]],0)</f>
        <v>0</v>
      </c>
      <c r="X19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9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93" s="977">
        <f>IFERROR(Producción_Lecheria[[#This Row],[Financiero $Corrientes]]/Producción_Lecheria[[#This Row],[Indexación Financiero]],0)</f>
        <v>0</v>
      </c>
      <c r="AA19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9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93" s="981">
        <f>IFERROR(Producción_Lecheria[[#This Row],[Intereses $Corrientes]]/Producción_Lecheria[[#This Row],[Indexación Financiero]],0)</f>
        <v>0</v>
      </c>
      <c r="AD19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93" s="991" t="str">
        <f>IFERROR(INDEX(Produccion_Lecheria_Cuentas[],MATCH(Producción_Lecheria[[#This Row],[Cuenta Contable]],Produccion_Lecheria_Cuentas[Cuenta Contable],0),2),0)</f>
        <v>Egreso</v>
      </c>
      <c r="AF193" s="992">
        <f>IF(Producción_Lecheria[[#This Row],[Mov. Stock]]="(+)",Producción_Lecheria[[#This Row],[Cabezas]],IF(Producción_Lecheria[[#This Row],[Mov. Stock]]="(-)",-Producción_Lecheria[[#This Row],[Cabezas]],0))</f>
        <v>0</v>
      </c>
      <c r="AG193" s="993">
        <f>IFERROR(INDEX(Produccion_Lecheria_Cuentas[],MATCH(Producción_Lecheria[[#This Row],[Cuenta Contable]],Produccion_Lecheria_Cuentas[Cuenta Contable],0),5),0)</f>
        <v>0</v>
      </c>
      <c r="AH193" s="985" t="str">
        <f>IF(Producción_Lecheria[[#This Row],[Cuenta Contable]]=Configuración!$AC$9,"Si","No")</f>
        <v>No</v>
      </c>
      <c r="AI193" s="983" t="str">
        <f>IFERROR(INDEX(Tabla9[],MATCH(Producción_Lecheria[[#This Row],[Movimiento]],Tabla9[Movimientos],0),2),0)</f>
        <v>Si</v>
      </c>
      <c r="AJ193" s="984" t="str">
        <f>IFERROR(INDEX(Tabla9[],MATCH(Producción_Lecheria[[#This Row],[Movimiento]],Tabla9[Movimientos],0),3),0)</f>
        <v>(-)</v>
      </c>
      <c r="AK193" s="986">
        <f>IF(Producción_Lecheria[[#This Row],[Fecha Económico]]=0,0,MONTH(Producción_Lecheria[[#This Row],[Fecha Económico]]))</f>
        <v>11</v>
      </c>
      <c r="AL193" s="986">
        <f>IF(Producción_Lecheria[[#This Row],[Fecha Económico]]=0,0,YEAR(Producción_Lecheria[[#This Row],[Fecha Económico]]))</f>
        <v>2018</v>
      </c>
      <c r="AM193" s="987">
        <f>SUMPRODUCT((Producción_Lecheria[[#This Row],[Mes Económico]]=Tipo_Cambio[Mes])*(Producción_Lecheria[[#This Row],[Año Económico]]=Tipo_Cambio[Año])*(Tipo_Cambio[$/U$S]))</f>
        <v>22.893288219999999</v>
      </c>
      <c r="AN193" s="987">
        <f>SUMPRODUCT((Producción_Lecheria[[#This Row],[Mes Económico]]=Tipo_Cambio[Mes])*(Producción_Lecheria[[#This Row],[Año Económico]]=Tipo_Cambio[Año])*(Tipo_Cambio[Actualización]))</f>
        <v>1.08243216</v>
      </c>
      <c r="AO193" s="986">
        <f>IF(ISNUMBER(Producción_Lecheria[[#This Row],[Fecha Financiero]])=TRUE,MONTH(Producción_Lecheria[[#This Row],[Fecha Financiero]]),0)</f>
        <v>0</v>
      </c>
      <c r="AP193" s="986">
        <f>IF(ISNUMBER(Producción_Lecheria[[#This Row],[Fecha Financiero]])=TRUE,YEAR(Producción_Lecheria[[#This Row],[Fecha Financiero]]),0)</f>
        <v>0</v>
      </c>
      <c r="AQ193" s="987">
        <f>SUMPRODUCT((Producción_Lecheria[[#This Row],[Mes Financiero]]=Tipo_Cambio[Mes])*(Producción_Lecheria[[#This Row],[Año Financiero]]=Tipo_Cambio[Año])*(Tipo_Cambio[$/U$S]))</f>
        <v>0</v>
      </c>
      <c r="AR193" s="987">
        <f>SUMPRODUCT((Producción_Lecheria[[#This Row],[Mes Financiero]]=Tipo_Cambio[Mes])*(Producción_Lecheria[[#This Row],[Año Financiero]]=Tipo_Cambio[Año])*(Tipo_Cambio[Actualización]))</f>
        <v>0</v>
      </c>
      <c r="AS193" s="1009">
        <f>SUMPRODUCT((Producción_Lecheria[[#This Row],[Centro de Costo]]=Tabla1924[Centro de Costo])*(Tabla19[Superficie]))</f>
        <v>2356</v>
      </c>
      <c r="AT193" s="1010">
        <f>IFERROR(Producción_Lecheria[[#This Row],[Económico $Corrientes]]/Producción_Lecheria[[#This Row],[Superficie]],0)</f>
        <v>0</v>
      </c>
      <c r="AU193" s="1010">
        <f>IFERROR(Producción_Lecheria[[#This Row],[Económico $Constantes]]/Producción_Lecheria[[#This Row],[Superficie]],0)</f>
        <v>0</v>
      </c>
      <c r="AV193" s="1010">
        <f>IFERROR(Producción_Lecheria[[#This Row],[Económico U$S Dólares]]/Producción_Lecheria[[#This Row],[Superficie]],0)</f>
        <v>0</v>
      </c>
      <c r="AW193" s="992" t="str">
        <f>IF(Económico!$F$4=0,0,Producción_Lecheria[Centro de Costo])</f>
        <v>Campo 1</v>
      </c>
    </row>
    <row r="194" spans="1:49" x14ac:dyDescent="0.25">
      <c r="A194" s="86"/>
      <c r="D194" s="548">
        <f>DATE(IF(MONTH(D191)=1,YEAR(D191+1),YEAR(D191)),MONTH(D191)+1,1)</f>
        <v>43435</v>
      </c>
      <c r="E194" s="493"/>
      <c r="F194" s="479" t="str">
        <f t="shared" si="18"/>
        <v>2018-2019</v>
      </c>
      <c r="G194" s="576" t="str">
        <f>LCH_Personal</f>
        <v>Personal</v>
      </c>
      <c r="H194" s="481" t="s">
        <v>2</v>
      </c>
      <c r="I194" s="491"/>
      <c r="J194" s="549"/>
      <c r="K194" s="484"/>
      <c r="L19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9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94" s="520"/>
      <c r="O19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94" s="563"/>
      <c r="Q194" s="491"/>
      <c r="R194" s="875">
        <f>IF(ISNUMBER(Producción_Lecheria[[#This Row],[Cabezas]])=TRUE,Producción_Lecheria[[#This Row],[Cabezas]]*Producción_Lecheria[[#This Row],[Cantidad]],Producción_Lecheria[[#This Row],[Cantidad]])</f>
        <v>0</v>
      </c>
      <c r="S194" s="491"/>
      <c r="T194" s="552"/>
      <c r="U194" s="553"/>
      <c r="V19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94" s="977">
        <f>IFERROR(Producción_Lecheria[[#This Row],[Económico $Corrientes]]/Producción_Lecheria[[#This Row],[Indexación Económico]],0)</f>
        <v>0</v>
      </c>
      <c r="X19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9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94" s="977">
        <f>IFERROR(Producción_Lecheria[[#This Row],[Financiero $Corrientes]]/Producción_Lecheria[[#This Row],[Indexación Financiero]],0)</f>
        <v>0</v>
      </c>
      <c r="AA19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9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94" s="981">
        <f>IFERROR(Producción_Lecheria[[#This Row],[Intereses $Corrientes]]/Producción_Lecheria[[#This Row],[Indexación Financiero]],0)</f>
        <v>0</v>
      </c>
      <c r="AD19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94" s="991" t="str">
        <f>IFERROR(INDEX(Produccion_Lecheria_Cuentas[],MATCH(Producción_Lecheria[[#This Row],[Cuenta Contable]],Produccion_Lecheria_Cuentas[Cuenta Contable],0),2),0)</f>
        <v>Egreso</v>
      </c>
      <c r="AF194" s="992">
        <f>IF(Producción_Lecheria[[#This Row],[Mov. Stock]]="(+)",Producción_Lecheria[[#This Row],[Cabezas]],IF(Producción_Lecheria[[#This Row],[Mov. Stock]]="(-)",-Producción_Lecheria[[#This Row],[Cabezas]],0))</f>
        <v>0</v>
      </c>
      <c r="AG194" s="993">
        <f>IFERROR(INDEX(Produccion_Lecheria_Cuentas[],MATCH(Producción_Lecheria[[#This Row],[Cuenta Contable]],Produccion_Lecheria_Cuentas[Cuenta Contable],0),5),0)</f>
        <v>0</v>
      </c>
      <c r="AH194" s="985" t="str">
        <f>IF(Producción_Lecheria[[#This Row],[Cuenta Contable]]=Configuración!$AC$9,"Si","No")</f>
        <v>No</v>
      </c>
      <c r="AI194" s="983" t="str">
        <f>IFERROR(INDEX(Tabla9[],MATCH(Producción_Lecheria[[#This Row],[Movimiento]],Tabla9[Movimientos],0),2),0)</f>
        <v>Si</v>
      </c>
      <c r="AJ194" s="984" t="str">
        <f>IFERROR(INDEX(Tabla9[],MATCH(Producción_Lecheria[[#This Row],[Movimiento]],Tabla9[Movimientos],0),3),0)</f>
        <v>(-)</v>
      </c>
      <c r="AK194" s="986">
        <f>IF(Producción_Lecheria[[#This Row],[Fecha Económico]]=0,0,MONTH(Producción_Lecheria[[#This Row],[Fecha Económico]]))</f>
        <v>12</v>
      </c>
      <c r="AL194" s="986">
        <f>IF(Producción_Lecheria[[#This Row],[Fecha Económico]]=0,0,YEAR(Producción_Lecheria[[#This Row],[Fecha Económico]]))</f>
        <v>2018</v>
      </c>
      <c r="AM194" s="987">
        <f>SUMPRODUCT((Producción_Lecheria[[#This Row],[Mes Económico]]=Tipo_Cambio[Mes])*(Producción_Lecheria[[#This Row],[Año Económico]]=Tipo_Cambio[Año])*(Tipo_Cambio[$/U$S]))</f>
        <v>23.122221102199997</v>
      </c>
      <c r="AN194" s="987">
        <f>SUMPRODUCT((Producción_Lecheria[[#This Row],[Mes Económico]]=Tipo_Cambio[Mes])*(Producción_Lecheria[[#This Row],[Año Económico]]=Tipo_Cambio[Año])*(Tipo_Cambio[Actualización]))</f>
        <v>1.1040808032</v>
      </c>
      <c r="AO194" s="986">
        <f>IF(ISNUMBER(Producción_Lecheria[[#This Row],[Fecha Financiero]])=TRUE,MONTH(Producción_Lecheria[[#This Row],[Fecha Financiero]]),0)</f>
        <v>0</v>
      </c>
      <c r="AP194" s="986">
        <f>IF(ISNUMBER(Producción_Lecheria[[#This Row],[Fecha Financiero]])=TRUE,YEAR(Producción_Lecheria[[#This Row],[Fecha Financiero]]),0)</f>
        <v>0</v>
      </c>
      <c r="AQ194" s="987">
        <f>SUMPRODUCT((Producción_Lecheria[[#This Row],[Mes Financiero]]=Tipo_Cambio[Mes])*(Producción_Lecheria[[#This Row],[Año Financiero]]=Tipo_Cambio[Año])*(Tipo_Cambio[$/U$S]))</f>
        <v>0</v>
      </c>
      <c r="AR194" s="987">
        <f>SUMPRODUCT((Producción_Lecheria[[#This Row],[Mes Financiero]]=Tipo_Cambio[Mes])*(Producción_Lecheria[[#This Row],[Año Financiero]]=Tipo_Cambio[Año])*(Tipo_Cambio[Actualización]))</f>
        <v>0</v>
      </c>
      <c r="AS194" s="1009">
        <f>SUMPRODUCT((Producción_Lecheria[[#This Row],[Centro de Costo]]=Tabla1924[Centro de Costo])*(Tabla19[Superficie]))</f>
        <v>2356</v>
      </c>
      <c r="AT194" s="1010">
        <f>IFERROR(Producción_Lecheria[[#This Row],[Económico $Corrientes]]/Producción_Lecheria[[#This Row],[Superficie]],0)</f>
        <v>0</v>
      </c>
      <c r="AU194" s="1010">
        <f>IFERROR(Producción_Lecheria[[#This Row],[Económico $Constantes]]/Producción_Lecheria[[#This Row],[Superficie]],0)</f>
        <v>0</v>
      </c>
      <c r="AV194" s="1010">
        <f>IFERROR(Producción_Lecheria[[#This Row],[Económico U$S Dólares]]/Producción_Lecheria[[#This Row],[Superficie]],0)</f>
        <v>0</v>
      </c>
      <c r="AW194" s="992" t="str">
        <f>IF(Económico!$F$4=0,0,Producción_Lecheria[Centro de Costo])</f>
        <v>Campo 1</v>
      </c>
    </row>
    <row r="195" spans="1:49" x14ac:dyDescent="0.25">
      <c r="A195" s="86"/>
      <c r="D195" s="548">
        <f t="shared" si="17"/>
        <v>43435</v>
      </c>
      <c r="E195" s="493"/>
      <c r="F195" s="479" t="str">
        <f t="shared" si="18"/>
        <v>2018-2019</v>
      </c>
      <c r="G195" s="576" t="str">
        <f>LCH_CArgas</f>
        <v>Cargas Sociales</v>
      </c>
      <c r="H195" s="481" t="s">
        <v>2</v>
      </c>
      <c r="I195" s="491"/>
      <c r="J195" s="549"/>
      <c r="K195" s="484"/>
      <c r="L19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9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95" s="520"/>
      <c r="O19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95" s="563"/>
      <c r="Q195" s="491"/>
      <c r="R195" s="875">
        <f>IF(ISNUMBER(Producción_Lecheria[[#This Row],[Cabezas]])=TRUE,Producción_Lecheria[[#This Row],[Cabezas]]*Producción_Lecheria[[#This Row],[Cantidad]],Producción_Lecheria[[#This Row],[Cantidad]])</f>
        <v>0</v>
      </c>
      <c r="S195" s="491"/>
      <c r="T195" s="552"/>
      <c r="U195" s="553"/>
      <c r="V19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95" s="977">
        <f>IFERROR(Producción_Lecheria[[#This Row],[Económico $Corrientes]]/Producción_Lecheria[[#This Row],[Indexación Económico]],0)</f>
        <v>0</v>
      </c>
      <c r="X19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9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95" s="977">
        <f>IFERROR(Producción_Lecheria[[#This Row],[Financiero $Corrientes]]/Producción_Lecheria[[#This Row],[Indexación Financiero]],0)</f>
        <v>0</v>
      </c>
      <c r="AA19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9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95" s="981">
        <f>IFERROR(Producción_Lecheria[[#This Row],[Intereses $Corrientes]]/Producción_Lecheria[[#This Row],[Indexación Financiero]],0)</f>
        <v>0</v>
      </c>
      <c r="AD19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95" s="991" t="str">
        <f>IFERROR(INDEX(Produccion_Lecheria_Cuentas[],MATCH(Producción_Lecheria[[#This Row],[Cuenta Contable]],Produccion_Lecheria_Cuentas[Cuenta Contable],0),2),0)</f>
        <v>Egreso</v>
      </c>
      <c r="AF195" s="992">
        <f>IF(Producción_Lecheria[[#This Row],[Mov. Stock]]="(+)",Producción_Lecheria[[#This Row],[Cabezas]],IF(Producción_Lecheria[[#This Row],[Mov. Stock]]="(-)",-Producción_Lecheria[[#This Row],[Cabezas]],0))</f>
        <v>0</v>
      </c>
      <c r="AG195" s="993">
        <f>IFERROR(INDEX(Produccion_Lecheria_Cuentas[],MATCH(Producción_Lecheria[[#This Row],[Cuenta Contable]],Produccion_Lecheria_Cuentas[Cuenta Contable],0),5),0)</f>
        <v>0</v>
      </c>
      <c r="AH195" s="985" t="str">
        <f>IF(Producción_Lecheria[[#This Row],[Cuenta Contable]]=Configuración!$AC$9,"Si","No")</f>
        <v>No</v>
      </c>
      <c r="AI195" s="983" t="str">
        <f>IFERROR(INDEX(Tabla9[],MATCH(Producción_Lecheria[[#This Row],[Movimiento]],Tabla9[Movimientos],0),2),0)</f>
        <v>Si</v>
      </c>
      <c r="AJ195" s="984" t="str">
        <f>IFERROR(INDEX(Tabla9[],MATCH(Producción_Lecheria[[#This Row],[Movimiento]],Tabla9[Movimientos],0),3),0)</f>
        <v>(-)</v>
      </c>
      <c r="AK195" s="986">
        <f>IF(Producción_Lecheria[[#This Row],[Fecha Económico]]=0,0,MONTH(Producción_Lecheria[[#This Row],[Fecha Económico]]))</f>
        <v>12</v>
      </c>
      <c r="AL195" s="986">
        <f>IF(Producción_Lecheria[[#This Row],[Fecha Económico]]=0,0,YEAR(Producción_Lecheria[[#This Row],[Fecha Económico]]))</f>
        <v>2018</v>
      </c>
      <c r="AM195" s="987">
        <f>SUMPRODUCT((Producción_Lecheria[[#This Row],[Mes Económico]]=Tipo_Cambio[Mes])*(Producción_Lecheria[[#This Row],[Año Económico]]=Tipo_Cambio[Año])*(Tipo_Cambio[$/U$S]))</f>
        <v>23.122221102199997</v>
      </c>
      <c r="AN195" s="987">
        <f>SUMPRODUCT((Producción_Lecheria[[#This Row],[Mes Económico]]=Tipo_Cambio[Mes])*(Producción_Lecheria[[#This Row],[Año Económico]]=Tipo_Cambio[Año])*(Tipo_Cambio[Actualización]))</f>
        <v>1.1040808032</v>
      </c>
      <c r="AO195" s="986">
        <f>IF(ISNUMBER(Producción_Lecheria[[#This Row],[Fecha Financiero]])=TRUE,MONTH(Producción_Lecheria[[#This Row],[Fecha Financiero]]),0)</f>
        <v>0</v>
      </c>
      <c r="AP195" s="986">
        <f>IF(ISNUMBER(Producción_Lecheria[[#This Row],[Fecha Financiero]])=TRUE,YEAR(Producción_Lecheria[[#This Row],[Fecha Financiero]]),0)</f>
        <v>0</v>
      </c>
      <c r="AQ195" s="987">
        <f>SUMPRODUCT((Producción_Lecheria[[#This Row],[Mes Financiero]]=Tipo_Cambio[Mes])*(Producción_Lecheria[[#This Row],[Año Financiero]]=Tipo_Cambio[Año])*(Tipo_Cambio[$/U$S]))</f>
        <v>0</v>
      </c>
      <c r="AR195" s="987">
        <f>SUMPRODUCT((Producción_Lecheria[[#This Row],[Mes Financiero]]=Tipo_Cambio[Mes])*(Producción_Lecheria[[#This Row],[Año Financiero]]=Tipo_Cambio[Año])*(Tipo_Cambio[Actualización]))</f>
        <v>0</v>
      </c>
      <c r="AS195" s="1009">
        <f>SUMPRODUCT((Producción_Lecheria[[#This Row],[Centro de Costo]]=Tabla1924[Centro de Costo])*(Tabla19[Superficie]))</f>
        <v>2356</v>
      </c>
      <c r="AT195" s="1010">
        <f>IFERROR(Producción_Lecheria[[#This Row],[Económico $Corrientes]]/Producción_Lecheria[[#This Row],[Superficie]],0)</f>
        <v>0</v>
      </c>
      <c r="AU195" s="1010">
        <f>IFERROR(Producción_Lecheria[[#This Row],[Económico $Constantes]]/Producción_Lecheria[[#This Row],[Superficie]],0)</f>
        <v>0</v>
      </c>
      <c r="AV195" s="1010">
        <f>IFERROR(Producción_Lecheria[[#This Row],[Económico U$S Dólares]]/Producción_Lecheria[[#This Row],[Superficie]],0)</f>
        <v>0</v>
      </c>
      <c r="AW195" s="992" t="str">
        <f>IF(Económico!$F$4=0,0,Producción_Lecheria[Centro de Costo])</f>
        <v>Campo 1</v>
      </c>
    </row>
    <row r="196" spans="1:49" x14ac:dyDescent="0.25">
      <c r="A196" s="86"/>
      <c r="D196" s="548">
        <f t="shared" si="17"/>
        <v>43435</v>
      </c>
      <c r="E196" s="493"/>
      <c r="F196" s="479" t="str">
        <f t="shared" si="18"/>
        <v>2018-2019</v>
      </c>
      <c r="G196" s="576" t="str">
        <f>Cargas_Manutencion</f>
        <v>Manutención Personal</v>
      </c>
      <c r="H196" s="481" t="s">
        <v>2</v>
      </c>
      <c r="I196" s="491"/>
      <c r="J196" s="549"/>
      <c r="K196" s="484"/>
      <c r="L19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9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96" s="520"/>
      <c r="O19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96" s="563"/>
      <c r="Q196" s="491"/>
      <c r="R196" s="875">
        <f>IF(ISNUMBER(Producción_Lecheria[[#This Row],[Cabezas]])=TRUE,Producción_Lecheria[[#This Row],[Cabezas]]*Producción_Lecheria[[#This Row],[Cantidad]],Producción_Lecheria[[#This Row],[Cantidad]])</f>
        <v>0</v>
      </c>
      <c r="S196" s="491"/>
      <c r="T196" s="552"/>
      <c r="U196" s="553"/>
      <c r="V19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96" s="977">
        <f>IFERROR(Producción_Lecheria[[#This Row],[Económico $Corrientes]]/Producción_Lecheria[[#This Row],[Indexación Económico]],0)</f>
        <v>0</v>
      </c>
      <c r="X19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9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96" s="977">
        <f>IFERROR(Producción_Lecheria[[#This Row],[Financiero $Corrientes]]/Producción_Lecheria[[#This Row],[Indexación Financiero]],0)</f>
        <v>0</v>
      </c>
      <c r="AA19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9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96" s="981">
        <f>IFERROR(Producción_Lecheria[[#This Row],[Intereses $Corrientes]]/Producción_Lecheria[[#This Row],[Indexación Financiero]],0)</f>
        <v>0</v>
      </c>
      <c r="AD19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96" s="991" t="str">
        <f>IFERROR(INDEX(Produccion_Lecheria_Cuentas[],MATCH(Producción_Lecheria[[#This Row],[Cuenta Contable]],Produccion_Lecheria_Cuentas[Cuenta Contable],0),2),0)</f>
        <v>Egreso</v>
      </c>
      <c r="AF196" s="992">
        <f>IF(Producción_Lecheria[[#This Row],[Mov. Stock]]="(+)",Producción_Lecheria[[#This Row],[Cabezas]],IF(Producción_Lecheria[[#This Row],[Mov. Stock]]="(-)",-Producción_Lecheria[[#This Row],[Cabezas]],0))</f>
        <v>0</v>
      </c>
      <c r="AG196" s="993">
        <f>IFERROR(INDEX(Produccion_Lecheria_Cuentas[],MATCH(Producción_Lecheria[[#This Row],[Cuenta Contable]],Produccion_Lecheria_Cuentas[Cuenta Contable],0),5),0)</f>
        <v>0</v>
      </c>
      <c r="AH196" s="985" t="str">
        <f>IF(Producción_Lecheria[[#This Row],[Cuenta Contable]]=Configuración!$AC$9,"Si","No")</f>
        <v>No</v>
      </c>
      <c r="AI196" s="983" t="str">
        <f>IFERROR(INDEX(Tabla9[],MATCH(Producción_Lecheria[[#This Row],[Movimiento]],Tabla9[Movimientos],0),2),0)</f>
        <v>Si</v>
      </c>
      <c r="AJ196" s="984" t="str">
        <f>IFERROR(INDEX(Tabla9[],MATCH(Producción_Lecheria[[#This Row],[Movimiento]],Tabla9[Movimientos],0),3),0)</f>
        <v>(-)</v>
      </c>
      <c r="AK196" s="986">
        <f>IF(Producción_Lecheria[[#This Row],[Fecha Económico]]=0,0,MONTH(Producción_Lecheria[[#This Row],[Fecha Económico]]))</f>
        <v>12</v>
      </c>
      <c r="AL196" s="986">
        <f>IF(Producción_Lecheria[[#This Row],[Fecha Económico]]=0,0,YEAR(Producción_Lecheria[[#This Row],[Fecha Económico]]))</f>
        <v>2018</v>
      </c>
      <c r="AM196" s="987">
        <f>SUMPRODUCT((Producción_Lecheria[[#This Row],[Mes Económico]]=Tipo_Cambio[Mes])*(Producción_Lecheria[[#This Row],[Año Económico]]=Tipo_Cambio[Año])*(Tipo_Cambio[$/U$S]))</f>
        <v>23.122221102199997</v>
      </c>
      <c r="AN196" s="987">
        <f>SUMPRODUCT((Producción_Lecheria[[#This Row],[Mes Económico]]=Tipo_Cambio[Mes])*(Producción_Lecheria[[#This Row],[Año Económico]]=Tipo_Cambio[Año])*(Tipo_Cambio[Actualización]))</f>
        <v>1.1040808032</v>
      </c>
      <c r="AO196" s="986">
        <f>IF(ISNUMBER(Producción_Lecheria[[#This Row],[Fecha Financiero]])=TRUE,MONTH(Producción_Lecheria[[#This Row],[Fecha Financiero]]),0)</f>
        <v>0</v>
      </c>
      <c r="AP196" s="986">
        <f>IF(ISNUMBER(Producción_Lecheria[[#This Row],[Fecha Financiero]])=TRUE,YEAR(Producción_Lecheria[[#This Row],[Fecha Financiero]]),0)</f>
        <v>0</v>
      </c>
      <c r="AQ196" s="987">
        <f>SUMPRODUCT((Producción_Lecheria[[#This Row],[Mes Financiero]]=Tipo_Cambio[Mes])*(Producción_Lecheria[[#This Row],[Año Financiero]]=Tipo_Cambio[Año])*(Tipo_Cambio[$/U$S]))</f>
        <v>0</v>
      </c>
      <c r="AR196" s="987">
        <f>SUMPRODUCT((Producción_Lecheria[[#This Row],[Mes Financiero]]=Tipo_Cambio[Mes])*(Producción_Lecheria[[#This Row],[Año Financiero]]=Tipo_Cambio[Año])*(Tipo_Cambio[Actualización]))</f>
        <v>0</v>
      </c>
      <c r="AS196" s="1009">
        <f>SUMPRODUCT((Producción_Lecheria[[#This Row],[Centro de Costo]]=Tabla1924[Centro de Costo])*(Tabla19[Superficie]))</f>
        <v>2356</v>
      </c>
      <c r="AT196" s="1010">
        <f>IFERROR(Producción_Lecheria[[#This Row],[Económico $Corrientes]]/Producción_Lecheria[[#This Row],[Superficie]],0)</f>
        <v>0</v>
      </c>
      <c r="AU196" s="1010">
        <f>IFERROR(Producción_Lecheria[[#This Row],[Económico $Constantes]]/Producción_Lecheria[[#This Row],[Superficie]],0)</f>
        <v>0</v>
      </c>
      <c r="AV196" s="1010">
        <f>IFERROR(Producción_Lecheria[[#This Row],[Económico U$S Dólares]]/Producción_Lecheria[[#This Row],[Superficie]],0)</f>
        <v>0</v>
      </c>
      <c r="AW196" s="992" t="str">
        <f>IF(Económico!$F$4=0,0,Producción_Lecheria[Centro de Costo])</f>
        <v>Campo 1</v>
      </c>
    </row>
    <row r="197" spans="1:49" x14ac:dyDescent="0.25">
      <c r="A197" s="86"/>
      <c r="D197" s="548">
        <f>DATE(IF(MONTH(D194)=1,YEAR(D194+1),YEAR(D194)),MONTH(D194)+1,1)</f>
        <v>43466</v>
      </c>
      <c r="E197" s="493"/>
      <c r="F197" s="479" t="str">
        <f t="shared" si="18"/>
        <v>2018-2019</v>
      </c>
      <c r="G197" s="576" t="str">
        <f>LCH_Personal</f>
        <v>Personal</v>
      </c>
      <c r="H197" s="481" t="s">
        <v>2</v>
      </c>
      <c r="I197" s="491"/>
      <c r="J197" s="549"/>
      <c r="K197" s="484"/>
      <c r="L19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9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97" s="520"/>
      <c r="O19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97" s="563"/>
      <c r="Q197" s="491"/>
      <c r="R197" s="875">
        <f>IF(ISNUMBER(Producción_Lecheria[[#This Row],[Cabezas]])=TRUE,Producción_Lecheria[[#This Row],[Cabezas]]*Producción_Lecheria[[#This Row],[Cantidad]],Producción_Lecheria[[#This Row],[Cantidad]])</f>
        <v>0</v>
      </c>
      <c r="S197" s="491"/>
      <c r="T197" s="552"/>
      <c r="U197" s="553"/>
      <c r="V19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97" s="977">
        <f>IFERROR(Producción_Lecheria[[#This Row],[Económico $Corrientes]]/Producción_Lecheria[[#This Row],[Indexación Económico]],0)</f>
        <v>0</v>
      </c>
      <c r="X19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9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97" s="977">
        <f>IFERROR(Producción_Lecheria[[#This Row],[Financiero $Corrientes]]/Producción_Lecheria[[#This Row],[Indexación Financiero]],0)</f>
        <v>0</v>
      </c>
      <c r="AA19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9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97" s="981">
        <f>IFERROR(Producción_Lecheria[[#This Row],[Intereses $Corrientes]]/Producción_Lecheria[[#This Row],[Indexación Financiero]],0)</f>
        <v>0</v>
      </c>
      <c r="AD19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97" s="991" t="str">
        <f>IFERROR(INDEX(Produccion_Lecheria_Cuentas[],MATCH(Producción_Lecheria[[#This Row],[Cuenta Contable]],Produccion_Lecheria_Cuentas[Cuenta Contable],0),2),0)</f>
        <v>Egreso</v>
      </c>
      <c r="AF197" s="992">
        <f>IF(Producción_Lecheria[[#This Row],[Mov. Stock]]="(+)",Producción_Lecheria[[#This Row],[Cabezas]],IF(Producción_Lecheria[[#This Row],[Mov. Stock]]="(-)",-Producción_Lecheria[[#This Row],[Cabezas]],0))</f>
        <v>0</v>
      </c>
      <c r="AG197" s="993">
        <f>IFERROR(INDEX(Produccion_Lecheria_Cuentas[],MATCH(Producción_Lecheria[[#This Row],[Cuenta Contable]],Produccion_Lecheria_Cuentas[Cuenta Contable],0),5),0)</f>
        <v>0</v>
      </c>
      <c r="AH197" s="985" t="str">
        <f>IF(Producción_Lecheria[[#This Row],[Cuenta Contable]]=Configuración!$AC$9,"Si","No")</f>
        <v>No</v>
      </c>
      <c r="AI197" s="983" t="str">
        <f>IFERROR(INDEX(Tabla9[],MATCH(Producción_Lecheria[[#This Row],[Movimiento]],Tabla9[Movimientos],0),2),0)</f>
        <v>Si</v>
      </c>
      <c r="AJ197" s="984" t="str">
        <f>IFERROR(INDEX(Tabla9[],MATCH(Producción_Lecheria[[#This Row],[Movimiento]],Tabla9[Movimientos],0),3),0)</f>
        <v>(-)</v>
      </c>
      <c r="AK197" s="986">
        <f>IF(Producción_Lecheria[[#This Row],[Fecha Económico]]=0,0,MONTH(Producción_Lecheria[[#This Row],[Fecha Económico]]))</f>
        <v>1</v>
      </c>
      <c r="AL197" s="986">
        <f>IF(Producción_Lecheria[[#This Row],[Fecha Económico]]=0,0,YEAR(Producción_Lecheria[[#This Row],[Fecha Económico]]))</f>
        <v>2019</v>
      </c>
      <c r="AM197" s="987">
        <f>SUMPRODUCT((Producción_Lecheria[[#This Row],[Mes Económico]]=Tipo_Cambio[Mes])*(Producción_Lecheria[[#This Row],[Año Económico]]=Tipo_Cambio[Año])*(Tipo_Cambio[$/U$S]))</f>
        <v>23.353443313221998</v>
      </c>
      <c r="AN197" s="987">
        <f>SUMPRODUCT((Producción_Lecheria[[#This Row],[Mes Económico]]=Tipo_Cambio[Mes])*(Producción_Lecheria[[#This Row],[Año Económico]]=Tipo_Cambio[Año])*(Tipo_Cambio[Actualización]))</f>
        <v>1.1261624192640001</v>
      </c>
      <c r="AO197" s="986">
        <f>IF(ISNUMBER(Producción_Lecheria[[#This Row],[Fecha Financiero]])=TRUE,MONTH(Producción_Lecheria[[#This Row],[Fecha Financiero]]),0)</f>
        <v>0</v>
      </c>
      <c r="AP197" s="986">
        <f>IF(ISNUMBER(Producción_Lecheria[[#This Row],[Fecha Financiero]])=TRUE,YEAR(Producción_Lecheria[[#This Row],[Fecha Financiero]]),0)</f>
        <v>0</v>
      </c>
      <c r="AQ197" s="987">
        <f>SUMPRODUCT((Producción_Lecheria[[#This Row],[Mes Financiero]]=Tipo_Cambio[Mes])*(Producción_Lecheria[[#This Row],[Año Financiero]]=Tipo_Cambio[Año])*(Tipo_Cambio[$/U$S]))</f>
        <v>0</v>
      </c>
      <c r="AR197" s="987">
        <f>SUMPRODUCT((Producción_Lecheria[[#This Row],[Mes Financiero]]=Tipo_Cambio[Mes])*(Producción_Lecheria[[#This Row],[Año Financiero]]=Tipo_Cambio[Año])*(Tipo_Cambio[Actualización]))</f>
        <v>0</v>
      </c>
      <c r="AS197" s="1009">
        <f>SUMPRODUCT((Producción_Lecheria[[#This Row],[Centro de Costo]]=Tabla1924[Centro de Costo])*(Tabla19[Superficie]))</f>
        <v>2356</v>
      </c>
      <c r="AT197" s="1010">
        <f>IFERROR(Producción_Lecheria[[#This Row],[Económico $Corrientes]]/Producción_Lecheria[[#This Row],[Superficie]],0)</f>
        <v>0</v>
      </c>
      <c r="AU197" s="1010">
        <f>IFERROR(Producción_Lecheria[[#This Row],[Económico $Constantes]]/Producción_Lecheria[[#This Row],[Superficie]],0)</f>
        <v>0</v>
      </c>
      <c r="AV197" s="1010">
        <f>IFERROR(Producción_Lecheria[[#This Row],[Económico U$S Dólares]]/Producción_Lecheria[[#This Row],[Superficie]],0)</f>
        <v>0</v>
      </c>
      <c r="AW197" s="992" t="str">
        <f>IF(Económico!$F$4=0,0,Producción_Lecheria[Centro de Costo])</f>
        <v>Campo 1</v>
      </c>
    </row>
    <row r="198" spans="1:49" x14ac:dyDescent="0.25">
      <c r="A198" s="86"/>
      <c r="D198" s="548">
        <f t="shared" si="17"/>
        <v>43466</v>
      </c>
      <c r="E198" s="493"/>
      <c r="F198" s="479" t="str">
        <f t="shared" si="18"/>
        <v>2018-2019</v>
      </c>
      <c r="G198" s="576" t="str">
        <f>LCH_CArgas</f>
        <v>Cargas Sociales</v>
      </c>
      <c r="H198" s="481" t="s">
        <v>2</v>
      </c>
      <c r="I198" s="491"/>
      <c r="J198" s="549"/>
      <c r="K198" s="484"/>
      <c r="L19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9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98" s="520"/>
      <c r="O19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98" s="563"/>
      <c r="Q198" s="491"/>
      <c r="R198" s="875">
        <f>IF(ISNUMBER(Producción_Lecheria[[#This Row],[Cabezas]])=TRUE,Producción_Lecheria[[#This Row],[Cabezas]]*Producción_Lecheria[[#This Row],[Cantidad]],Producción_Lecheria[[#This Row],[Cantidad]])</f>
        <v>0</v>
      </c>
      <c r="S198" s="491"/>
      <c r="T198" s="552"/>
      <c r="U198" s="553"/>
      <c r="V19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98" s="977">
        <f>IFERROR(Producción_Lecheria[[#This Row],[Económico $Corrientes]]/Producción_Lecheria[[#This Row],[Indexación Económico]],0)</f>
        <v>0</v>
      </c>
      <c r="X19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9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98" s="977">
        <f>IFERROR(Producción_Lecheria[[#This Row],[Financiero $Corrientes]]/Producción_Lecheria[[#This Row],[Indexación Financiero]],0)</f>
        <v>0</v>
      </c>
      <c r="AA19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9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98" s="981">
        <f>IFERROR(Producción_Lecheria[[#This Row],[Intereses $Corrientes]]/Producción_Lecheria[[#This Row],[Indexación Financiero]],0)</f>
        <v>0</v>
      </c>
      <c r="AD19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98" s="991" t="str">
        <f>IFERROR(INDEX(Produccion_Lecheria_Cuentas[],MATCH(Producción_Lecheria[[#This Row],[Cuenta Contable]],Produccion_Lecheria_Cuentas[Cuenta Contable],0),2),0)</f>
        <v>Egreso</v>
      </c>
      <c r="AF198" s="992">
        <f>IF(Producción_Lecheria[[#This Row],[Mov. Stock]]="(+)",Producción_Lecheria[[#This Row],[Cabezas]],IF(Producción_Lecheria[[#This Row],[Mov. Stock]]="(-)",-Producción_Lecheria[[#This Row],[Cabezas]],0))</f>
        <v>0</v>
      </c>
      <c r="AG198" s="993">
        <f>IFERROR(INDEX(Produccion_Lecheria_Cuentas[],MATCH(Producción_Lecheria[[#This Row],[Cuenta Contable]],Produccion_Lecheria_Cuentas[Cuenta Contable],0),5),0)</f>
        <v>0</v>
      </c>
      <c r="AH198" s="985" t="str">
        <f>IF(Producción_Lecheria[[#This Row],[Cuenta Contable]]=Configuración!$AC$9,"Si","No")</f>
        <v>No</v>
      </c>
      <c r="AI198" s="983" t="str">
        <f>IFERROR(INDEX(Tabla9[],MATCH(Producción_Lecheria[[#This Row],[Movimiento]],Tabla9[Movimientos],0),2),0)</f>
        <v>Si</v>
      </c>
      <c r="AJ198" s="984" t="str">
        <f>IFERROR(INDEX(Tabla9[],MATCH(Producción_Lecheria[[#This Row],[Movimiento]],Tabla9[Movimientos],0),3),0)</f>
        <v>(-)</v>
      </c>
      <c r="AK198" s="986">
        <f>IF(Producción_Lecheria[[#This Row],[Fecha Económico]]=0,0,MONTH(Producción_Lecheria[[#This Row],[Fecha Económico]]))</f>
        <v>1</v>
      </c>
      <c r="AL198" s="986">
        <f>IF(Producción_Lecheria[[#This Row],[Fecha Económico]]=0,0,YEAR(Producción_Lecheria[[#This Row],[Fecha Económico]]))</f>
        <v>2019</v>
      </c>
      <c r="AM198" s="987">
        <f>SUMPRODUCT((Producción_Lecheria[[#This Row],[Mes Económico]]=Tipo_Cambio[Mes])*(Producción_Lecheria[[#This Row],[Año Económico]]=Tipo_Cambio[Año])*(Tipo_Cambio[$/U$S]))</f>
        <v>23.353443313221998</v>
      </c>
      <c r="AN198" s="987">
        <f>SUMPRODUCT((Producción_Lecheria[[#This Row],[Mes Económico]]=Tipo_Cambio[Mes])*(Producción_Lecheria[[#This Row],[Año Económico]]=Tipo_Cambio[Año])*(Tipo_Cambio[Actualización]))</f>
        <v>1.1261624192640001</v>
      </c>
      <c r="AO198" s="986">
        <f>IF(ISNUMBER(Producción_Lecheria[[#This Row],[Fecha Financiero]])=TRUE,MONTH(Producción_Lecheria[[#This Row],[Fecha Financiero]]),0)</f>
        <v>0</v>
      </c>
      <c r="AP198" s="986">
        <f>IF(ISNUMBER(Producción_Lecheria[[#This Row],[Fecha Financiero]])=TRUE,YEAR(Producción_Lecheria[[#This Row],[Fecha Financiero]]),0)</f>
        <v>0</v>
      </c>
      <c r="AQ198" s="987">
        <f>SUMPRODUCT((Producción_Lecheria[[#This Row],[Mes Financiero]]=Tipo_Cambio[Mes])*(Producción_Lecheria[[#This Row],[Año Financiero]]=Tipo_Cambio[Año])*(Tipo_Cambio[$/U$S]))</f>
        <v>0</v>
      </c>
      <c r="AR198" s="987">
        <f>SUMPRODUCT((Producción_Lecheria[[#This Row],[Mes Financiero]]=Tipo_Cambio[Mes])*(Producción_Lecheria[[#This Row],[Año Financiero]]=Tipo_Cambio[Año])*(Tipo_Cambio[Actualización]))</f>
        <v>0</v>
      </c>
      <c r="AS198" s="1009">
        <f>SUMPRODUCT((Producción_Lecheria[[#This Row],[Centro de Costo]]=Tabla1924[Centro de Costo])*(Tabla19[Superficie]))</f>
        <v>2356</v>
      </c>
      <c r="AT198" s="1010">
        <f>IFERROR(Producción_Lecheria[[#This Row],[Económico $Corrientes]]/Producción_Lecheria[[#This Row],[Superficie]],0)</f>
        <v>0</v>
      </c>
      <c r="AU198" s="1010">
        <f>IFERROR(Producción_Lecheria[[#This Row],[Económico $Constantes]]/Producción_Lecheria[[#This Row],[Superficie]],0)</f>
        <v>0</v>
      </c>
      <c r="AV198" s="1010">
        <f>IFERROR(Producción_Lecheria[[#This Row],[Económico U$S Dólares]]/Producción_Lecheria[[#This Row],[Superficie]],0)</f>
        <v>0</v>
      </c>
      <c r="AW198" s="992" t="str">
        <f>IF(Económico!$F$4=0,0,Producción_Lecheria[Centro de Costo])</f>
        <v>Campo 1</v>
      </c>
    </row>
    <row r="199" spans="1:49" x14ac:dyDescent="0.25">
      <c r="A199" s="86"/>
      <c r="D199" s="548">
        <f t="shared" si="17"/>
        <v>43466</v>
      </c>
      <c r="E199" s="493"/>
      <c r="F199" s="479" t="str">
        <f t="shared" si="18"/>
        <v>2018-2019</v>
      </c>
      <c r="G199" s="576" t="str">
        <f>Cargas_Manutencion</f>
        <v>Manutención Personal</v>
      </c>
      <c r="H199" s="481" t="s">
        <v>2</v>
      </c>
      <c r="I199" s="491"/>
      <c r="J199" s="549"/>
      <c r="K199" s="484"/>
      <c r="L19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19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199" s="520"/>
      <c r="O19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199" s="563"/>
      <c r="Q199" s="491"/>
      <c r="R199" s="875">
        <f>IF(ISNUMBER(Producción_Lecheria[[#This Row],[Cabezas]])=TRUE,Producción_Lecheria[[#This Row],[Cabezas]]*Producción_Lecheria[[#This Row],[Cantidad]],Producción_Lecheria[[#This Row],[Cantidad]])</f>
        <v>0</v>
      </c>
      <c r="S199" s="491"/>
      <c r="T199" s="552"/>
      <c r="U199" s="553"/>
      <c r="V19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199" s="977">
        <f>IFERROR(Producción_Lecheria[[#This Row],[Económico $Corrientes]]/Producción_Lecheria[[#This Row],[Indexación Económico]],0)</f>
        <v>0</v>
      </c>
      <c r="X19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19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199" s="977">
        <f>IFERROR(Producción_Lecheria[[#This Row],[Financiero $Corrientes]]/Producción_Lecheria[[#This Row],[Indexación Financiero]],0)</f>
        <v>0</v>
      </c>
      <c r="AA19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19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199" s="981">
        <f>IFERROR(Producción_Lecheria[[#This Row],[Intereses $Corrientes]]/Producción_Lecheria[[#This Row],[Indexación Financiero]],0)</f>
        <v>0</v>
      </c>
      <c r="AD19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199" s="991" t="str">
        <f>IFERROR(INDEX(Produccion_Lecheria_Cuentas[],MATCH(Producción_Lecheria[[#This Row],[Cuenta Contable]],Produccion_Lecheria_Cuentas[Cuenta Contable],0),2),0)</f>
        <v>Egreso</v>
      </c>
      <c r="AF199" s="992">
        <f>IF(Producción_Lecheria[[#This Row],[Mov. Stock]]="(+)",Producción_Lecheria[[#This Row],[Cabezas]],IF(Producción_Lecheria[[#This Row],[Mov. Stock]]="(-)",-Producción_Lecheria[[#This Row],[Cabezas]],0))</f>
        <v>0</v>
      </c>
      <c r="AG199" s="993">
        <f>IFERROR(INDEX(Produccion_Lecheria_Cuentas[],MATCH(Producción_Lecheria[[#This Row],[Cuenta Contable]],Produccion_Lecheria_Cuentas[Cuenta Contable],0),5),0)</f>
        <v>0</v>
      </c>
      <c r="AH199" s="985" t="str">
        <f>IF(Producción_Lecheria[[#This Row],[Cuenta Contable]]=Configuración!$AC$9,"Si","No")</f>
        <v>No</v>
      </c>
      <c r="AI199" s="983" t="str">
        <f>IFERROR(INDEX(Tabla9[],MATCH(Producción_Lecheria[[#This Row],[Movimiento]],Tabla9[Movimientos],0),2),0)</f>
        <v>Si</v>
      </c>
      <c r="AJ199" s="984" t="str">
        <f>IFERROR(INDEX(Tabla9[],MATCH(Producción_Lecheria[[#This Row],[Movimiento]],Tabla9[Movimientos],0),3),0)</f>
        <v>(-)</v>
      </c>
      <c r="AK199" s="986">
        <f>IF(Producción_Lecheria[[#This Row],[Fecha Económico]]=0,0,MONTH(Producción_Lecheria[[#This Row],[Fecha Económico]]))</f>
        <v>1</v>
      </c>
      <c r="AL199" s="986">
        <f>IF(Producción_Lecheria[[#This Row],[Fecha Económico]]=0,0,YEAR(Producción_Lecheria[[#This Row],[Fecha Económico]]))</f>
        <v>2019</v>
      </c>
      <c r="AM199" s="987">
        <f>SUMPRODUCT((Producción_Lecheria[[#This Row],[Mes Económico]]=Tipo_Cambio[Mes])*(Producción_Lecheria[[#This Row],[Año Económico]]=Tipo_Cambio[Año])*(Tipo_Cambio[$/U$S]))</f>
        <v>23.353443313221998</v>
      </c>
      <c r="AN199" s="987">
        <f>SUMPRODUCT((Producción_Lecheria[[#This Row],[Mes Económico]]=Tipo_Cambio[Mes])*(Producción_Lecheria[[#This Row],[Año Económico]]=Tipo_Cambio[Año])*(Tipo_Cambio[Actualización]))</f>
        <v>1.1261624192640001</v>
      </c>
      <c r="AO199" s="986">
        <f>IF(ISNUMBER(Producción_Lecheria[[#This Row],[Fecha Financiero]])=TRUE,MONTH(Producción_Lecheria[[#This Row],[Fecha Financiero]]),0)</f>
        <v>0</v>
      </c>
      <c r="AP199" s="986">
        <f>IF(ISNUMBER(Producción_Lecheria[[#This Row],[Fecha Financiero]])=TRUE,YEAR(Producción_Lecheria[[#This Row],[Fecha Financiero]]),0)</f>
        <v>0</v>
      </c>
      <c r="AQ199" s="987">
        <f>SUMPRODUCT((Producción_Lecheria[[#This Row],[Mes Financiero]]=Tipo_Cambio[Mes])*(Producción_Lecheria[[#This Row],[Año Financiero]]=Tipo_Cambio[Año])*(Tipo_Cambio[$/U$S]))</f>
        <v>0</v>
      </c>
      <c r="AR199" s="987">
        <f>SUMPRODUCT((Producción_Lecheria[[#This Row],[Mes Financiero]]=Tipo_Cambio[Mes])*(Producción_Lecheria[[#This Row],[Año Financiero]]=Tipo_Cambio[Año])*(Tipo_Cambio[Actualización]))</f>
        <v>0</v>
      </c>
      <c r="AS199" s="1009">
        <f>SUMPRODUCT((Producción_Lecheria[[#This Row],[Centro de Costo]]=Tabla1924[Centro de Costo])*(Tabla19[Superficie]))</f>
        <v>2356</v>
      </c>
      <c r="AT199" s="1010">
        <f>IFERROR(Producción_Lecheria[[#This Row],[Económico $Corrientes]]/Producción_Lecheria[[#This Row],[Superficie]],0)</f>
        <v>0</v>
      </c>
      <c r="AU199" s="1010">
        <f>IFERROR(Producción_Lecheria[[#This Row],[Económico $Constantes]]/Producción_Lecheria[[#This Row],[Superficie]],0)</f>
        <v>0</v>
      </c>
      <c r="AV199" s="1010">
        <f>IFERROR(Producción_Lecheria[[#This Row],[Económico U$S Dólares]]/Producción_Lecheria[[#This Row],[Superficie]],0)</f>
        <v>0</v>
      </c>
      <c r="AW199" s="992" t="str">
        <f>IF(Económico!$F$4=0,0,Producción_Lecheria[Centro de Costo])</f>
        <v>Campo 1</v>
      </c>
    </row>
    <row r="200" spans="1:49" x14ac:dyDescent="0.25">
      <c r="A200" s="86"/>
      <c r="D200" s="548">
        <f>DATE(IF(MONTH(D197)=1,YEAR(D197+1),YEAR(D197)),MONTH(D197)+1,1)</f>
        <v>43497</v>
      </c>
      <c r="E200" s="493"/>
      <c r="F200" s="479" t="str">
        <f t="shared" si="18"/>
        <v>2018-2019</v>
      </c>
      <c r="G200" s="576" t="str">
        <f>LCH_Personal</f>
        <v>Personal</v>
      </c>
      <c r="H200" s="481" t="s">
        <v>2</v>
      </c>
      <c r="I200" s="491"/>
      <c r="J200" s="549"/>
      <c r="K200" s="484"/>
      <c r="L20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0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00" s="520"/>
      <c r="O20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00" s="563"/>
      <c r="Q200" s="491"/>
      <c r="R200" s="875">
        <f>IF(ISNUMBER(Producción_Lecheria[[#This Row],[Cabezas]])=TRUE,Producción_Lecheria[[#This Row],[Cabezas]]*Producción_Lecheria[[#This Row],[Cantidad]],Producción_Lecheria[[#This Row],[Cantidad]])</f>
        <v>0</v>
      </c>
      <c r="S200" s="491"/>
      <c r="T200" s="552"/>
      <c r="U200" s="553"/>
      <c r="V20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00" s="977">
        <f>IFERROR(Producción_Lecheria[[#This Row],[Económico $Corrientes]]/Producción_Lecheria[[#This Row],[Indexación Económico]],0)</f>
        <v>0</v>
      </c>
      <c r="X20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0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00" s="977">
        <f>IFERROR(Producción_Lecheria[[#This Row],[Financiero $Corrientes]]/Producción_Lecheria[[#This Row],[Indexación Financiero]],0)</f>
        <v>0</v>
      </c>
      <c r="AA20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0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00" s="981">
        <f>IFERROR(Producción_Lecheria[[#This Row],[Intereses $Corrientes]]/Producción_Lecheria[[#This Row],[Indexación Financiero]],0)</f>
        <v>0</v>
      </c>
      <c r="AD20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00" s="991" t="str">
        <f>IFERROR(INDEX(Produccion_Lecheria_Cuentas[],MATCH(Producción_Lecheria[[#This Row],[Cuenta Contable]],Produccion_Lecheria_Cuentas[Cuenta Contable],0),2),0)</f>
        <v>Egreso</v>
      </c>
      <c r="AF200" s="992">
        <f>IF(Producción_Lecheria[[#This Row],[Mov. Stock]]="(+)",Producción_Lecheria[[#This Row],[Cabezas]],IF(Producción_Lecheria[[#This Row],[Mov. Stock]]="(-)",-Producción_Lecheria[[#This Row],[Cabezas]],0))</f>
        <v>0</v>
      </c>
      <c r="AG200" s="993">
        <f>IFERROR(INDEX(Produccion_Lecheria_Cuentas[],MATCH(Producción_Lecheria[[#This Row],[Cuenta Contable]],Produccion_Lecheria_Cuentas[Cuenta Contable],0),5),0)</f>
        <v>0</v>
      </c>
      <c r="AH200" s="985" t="str">
        <f>IF(Producción_Lecheria[[#This Row],[Cuenta Contable]]=Configuración!$AC$9,"Si","No")</f>
        <v>No</v>
      </c>
      <c r="AI200" s="983" t="str">
        <f>IFERROR(INDEX(Tabla9[],MATCH(Producción_Lecheria[[#This Row],[Movimiento]],Tabla9[Movimientos],0),2),0)</f>
        <v>Si</v>
      </c>
      <c r="AJ200" s="984" t="str">
        <f>IFERROR(INDEX(Tabla9[],MATCH(Producción_Lecheria[[#This Row],[Movimiento]],Tabla9[Movimientos],0),3),0)</f>
        <v>(-)</v>
      </c>
      <c r="AK200" s="986">
        <f>IF(Producción_Lecheria[[#This Row],[Fecha Económico]]=0,0,MONTH(Producción_Lecheria[[#This Row],[Fecha Económico]]))</f>
        <v>2</v>
      </c>
      <c r="AL200" s="986">
        <f>IF(Producción_Lecheria[[#This Row],[Fecha Económico]]=0,0,YEAR(Producción_Lecheria[[#This Row],[Fecha Económico]]))</f>
        <v>2019</v>
      </c>
      <c r="AM200" s="987">
        <f>SUMPRODUCT((Producción_Lecheria[[#This Row],[Mes Económico]]=Tipo_Cambio[Mes])*(Producción_Lecheria[[#This Row],[Año Económico]]=Tipo_Cambio[Año])*(Tipo_Cambio[$/U$S]))</f>
        <v>23.586977746354219</v>
      </c>
      <c r="AN200" s="987">
        <f>SUMPRODUCT((Producción_Lecheria[[#This Row],[Mes Económico]]=Tipo_Cambio[Mes])*(Producción_Lecheria[[#This Row],[Año Económico]]=Tipo_Cambio[Año])*(Tipo_Cambio[Actualización]))</f>
        <v>1.14868566764928</v>
      </c>
      <c r="AO200" s="986">
        <f>IF(ISNUMBER(Producción_Lecheria[[#This Row],[Fecha Financiero]])=TRUE,MONTH(Producción_Lecheria[[#This Row],[Fecha Financiero]]),0)</f>
        <v>0</v>
      </c>
      <c r="AP200" s="986">
        <f>IF(ISNUMBER(Producción_Lecheria[[#This Row],[Fecha Financiero]])=TRUE,YEAR(Producción_Lecheria[[#This Row],[Fecha Financiero]]),0)</f>
        <v>0</v>
      </c>
      <c r="AQ200" s="987">
        <f>SUMPRODUCT((Producción_Lecheria[[#This Row],[Mes Financiero]]=Tipo_Cambio[Mes])*(Producción_Lecheria[[#This Row],[Año Financiero]]=Tipo_Cambio[Año])*(Tipo_Cambio[$/U$S]))</f>
        <v>0</v>
      </c>
      <c r="AR200" s="987">
        <f>SUMPRODUCT((Producción_Lecheria[[#This Row],[Mes Financiero]]=Tipo_Cambio[Mes])*(Producción_Lecheria[[#This Row],[Año Financiero]]=Tipo_Cambio[Año])*(Tipo_Cambio[Actualización]))</f>
        <v>0</v>
      </c>
      <c r="AS200" s="1009">
        <f>SUMPRODUCT((Producción_Lecheria[[#This Row],[Centro de Costo]]=Tabla1924[Centro de Costo])*(Tabla19[Superficie]))</f>
        <v>2356</v>
      </c>
      <c r="AT200" s="1010">
        <f>IFERROR(Producción_Lecheria[[#This Row],[Económico $Corrientes]]/Producción_Lecheria[[#This Row],[Superficie]],0)</f>
        <v>0</v>
      </c>
      <c r="AU200" s="1010">
        <f>IFERROR(Producción_Lecheria[[#This Row],[Económico $Constantes]]/Producción_Lecheria[[#This Row],[Superficie]],0)</f>
        <v>0</v>
      </c>
      <c r="AV200" s="1010">
        <f>IFERROR(Producción_Lecheria[[#This Row],[Económico U$S Dólares]]/Producción_Lecheria[[#This Row],[Superficie]],0)</f>
        <v>0</v>
      </c>
      <c r="AW200" s="992" t="str">
        <f>IF(Económico!$F$4=0,0,Producción_Lecheria[Centro de Costo])</f>
        <v>Campo 1</v>
      </c>
    </row>
    <row r="201" spans="1:49" x14ac:dyDescent="0.25">
      <c r="A201" s="86"/>
      <c r="D201" s="548">
        <f t="shared" si="17"/>
        <v>43497</v>
      </c>
      <c r="E201" s="493"/>
      <c r="F201" s="479" t="str">
        <f t="shared" si="18"/>
        <v>2018-2019</v>
      </c>
      <c r="G201" s="576" t="str">
        <f>LCH_CArgas</f>
        <v>Cargas Sociales</v>
      </c>
      <c r="H201" s="481" t="s">
        <v>2</v>
      </c>
      <c r="I201" s="491"/>
      <c r="J201" s="549"/>
      <c r="K201" s="484"/>
      <c r="L20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0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01" s="520"/>
      <c r="O20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01" s="563"/>
      <c r="Q201" s="491"/>
      <c r="R201" s="875">
        <f>IF(ISNUMBER(Producción_Lecheria[[#This Row],[Cabezas]])=TRUE,Producción_Lecheria[[#This Row],[Cabezas]]*Producción_Lecheria[[#This Row],[Cantidad]],Producción_Lecheria[[#This Row],[Cantidad]])</f>
        <v>0</v>
      </c>
      <c r="S201" s="491"/>
      <c r="T201" s="552"/>
      <c r="U201" s="553"/>
      <c r="V20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01" s="977">
        <f>IFERROR(Producción_Lecheria[[#This Row],[Económico $Corrientes]]/Producción_Lecheria[[#This Row],[Indexación Económico]],0)</f>
        <v>0</v>
      </c>
      <c r="X20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0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01" s="977">
        <f>IFERROR(Producción_Lecheria[[#This Row],[Financiero $Corrientes]]/Producción_Lecheria[[#This Row],[Indexación Financiero]],0)</f>
        <v>0</v>
      </c>
      <c r="AA20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0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01" s="981">
        <f>IFERROR(Producción_Lecheria[[#This Row],[Intereses $Corrientes]]/Producción_Lecheria[[#This Row],[Indexación Financiero]],0)</f>
        <v>0</v>
      </c>
      <c r="AD20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01" s="991" t="str">
        <f>IFERROR(INDEX(Produccion_Lecheria_Cuentas[],MATCH(Producción_Lecheria[[#This Row],[Cuenta Contable]],Produccion_Lecheria_Cuentas[Cuenta Contable],0),2),0)</f>
        <v>Egreso</v>
      </c>
      <c r="AF201" s="992">
        <f>IF(Producción_Lecheria[[#This Row],[Mov. Stock]]="(+)",Producción_Lecheria[[#This Row],[Cabezas]],IF(Producción_Lecheria[[#This Row],[Mov. Stock]]="(-)",-Producción_Lecheria[[#This Row],[Cabezas]],0))</f>
        <v>0</v>
      </c>
      <c r="AG201" s="993">
        <f>IFERROR(INDEX(Produccion_Lecheria_Cuentas[],MATCH(Producción_Lecheria[[#This Row],[Cuenta Contable]],Produccion_Lecheria_Cuentas[Cuenta Contable],0),5),0)</f>
        <v>0</v>
      </c>
      <c r="AH201" s="985" t="str">
        <f>IF(Producción_Lecheria[[#This Row],[Cuenta Contable]]=Configuración!$AC$9,"Si","No")</f>
        <v>No</v>
      </c>
      <c r="AI201" s="983" t="str">
        <f>IFERROR(INDEX(Tabla9[],MATCH(Producción_Lecheria[[#This Row],[Movimiento]],Tabla9[Movimientos],0),2),0)</f>
        <v>Si</v>
      </c>
      <c r="AJ201" s="984" t="str">
        <f>IFERROR(INDEX(Tabla9[],MATCH(Producción_Lecheria[[#This Row],[Movimiento]],Tabla9[Movimientos],0),3),0)</f>
        <v>(-)</v>
      </c>
      <c r="AK201" s="986">
        <f>IF(Producción_Lecheria[[#This Row],[Fecha Económico]]=0,0,MONTH(Producción_Lecheria[[#This Row],[Fecha Económico]]))</f>
        <v>2</v>
      </c>
      <c r="AL201" s="986">
        <f>IF(Producción_Lecheria[[#This Row],[Fecha Económico]]=0,0,YEAR(Producción_Lecheria[[#This Row],[Fecha Económico]]))</f>
        <v>2019</v>
      </c>
      <c r="AM201" s="987">
        <f>SUMPRODUCT((Producción_Lecheria[[#This Row],[Mes Económico]]=Tipo_Cambio[Mes])*(Producción_Lecheria[[#This Row],[Año Económico]]=Tipo_Cambio[Año])*(Tipo_Cambio[$/U$S]))</f>
        <v>23.586977746354219</v>
      </c>
      <c r="AN201" s="987">
        <f>SUMPRODUCT((Producción_Lecheria[[#This Row],[Mes Económico]]=Tipo_Cambio[Mes])*(Producción_Lecheria[[#This Row],[Año Económico]]=Tipo_Cambio[Año])*(Tipo_Cambio[Actualización]))</f>
        <v>1.14868566764928</v>
      </c>
      <c r="AO201" s="986">
        <f>IF(ISNUMBER(Producción_Lecheria[[#This Row],[Fecha Financiero]])=TRUE,MONTH(Producción_Lecheria[[#This Row],[Fecha Financiero]]),0)</f>
        <v>0</v>
      </c>
      <c r="AP201" s="986">
        <f>IF(ISNUMBER(Producción_Lecheria[[#This Row],[Fecha Financiero]])=TRUE,YEAR(Producción_Lecheria[[#This Row],[Fecha Financiero]]),0)</f>
        <v>0</v>
      </c>
      <c r="AQ201" s="987">
        <f>SUMPRODUCT((Producción_Lecheria[[#This Row],[Mes Financiero]]=Tipo_Cambio[Mes])*(Producción_Lecheria[[#This Row],[Año Financiero]]=Tipo_Cambio[Año])*(Tipo_Cambio[$/U$S]))</f>
        <v>0</v>
      </c>
      <c r="AR201" s="987">
        <f>SUMPRODUCT((Producción_Lecheria[[#This Row],[Mes Financiero]]=Tipo_Cambio[Mes])*(Producción_Lecheria[[#This Row],[Año Financiero]]=Tipo_Cambio[Año])*(Tipo_Cambio[Actualización]))</f>
        <v>0</v>
      </c>
      <c r="AS201" s="1009">
        <f>SUMPRODUCT((Producción_Lecheria[[#This Row],[Centro de Costo]]=Tabla1924[Centro de Costo])*(Tabla19[Superficie]))</f>
        <v>2356</v>
      </c>
      <c r="AT201" s="1010">
        <f>IFERROR(Producción_Lecheria[[#This Row],[Económico $Corrientes]]/Producción_Lecheria[[#This Row],[Superficie]],0)</f>
        <v>0</v>
      </c>
      <c r="AU201" s="1010">
        <f>IFERROR(Producción_Lecheria[[#This Row],[Económico $Constantes]]/Producción_Lecheria[[#This Row],[Superficie]],0)</f>
        <v>0</v>
      </c>
      <c r="AV201" s="1010">
        <f>IFERROR(Producción_Lecheria[[#This Row],[Económico U$S Dólares]]/Producción_Lecheria[[#This Row],[Superficie]],0)</f>
        <v>0</v>
      </c>
      <c r="AW201" s="992" t="str">
        <f>IF(Económico!$F$4=0,0,Producción_Lecheria[Centro de Costo])</f>
        <v>Campo 1</v>
      </c>
    </row>
    <row r="202" spans="1:49" x14ac:dyDescent="0.25">
      <c r="A202" s="86"/>
      <c r="D202" s="548">
        <f t="shared" si="17"/>
        <v>43497</v>
      </c>
      <c r="E202" s="493"/>
      <c r="F202" s="479" t="str">
        <f t="shared" si="18"/>
        <v>2018-2019</v>
      </c>
      <c r="G202" s="576" t="str">
        <f>Cargas_Manutencion</f>
        <v>Manutención Personal</v>
      </c>
      <c r="H202" s="481" t="s">
        <v>2</v>
      </c>
      <c r="I202" s="491"/>
      <c r="J202" s="549"/>
      <c r="K202" s="484"/>
      <c r="L20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0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02" s="520"/>
      <c r="O20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02" s="563"/>
      <c r="Q202" s="491"/>
      <c r="R202" s="875">
        <f>IF(ISNUMBER(Producción_Lecheria[[#This Row],[Cabezas]])=TRUE,Producción_Lecheria[[#This Row],[Cabezas]]*Producción_Lecheria[[#This Row],[Cantidad]],Producción_Lecheria[[#This Row],[Cantidad]])</f>
        <v>0</v>
      </c>
      <c r="S202" s="491"/>
      <c r="T202" s="552"/>
      <c r="U202" s="553"/>
      <c r="V20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02" s="977">
        <f>IFERROR(Producción_Lecheria[[#This Row],[Económico $Corrientes]]/Producción_Lecheria[[#This Row],[Indexación Económico]],0)</f>
        <v>0</v>
      </c>
      <c r="X20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0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02" s="977">
        <f>IFERROR(Producción_Lecheria[[#This Row],[Financiero $Corrientes]]/Producción_Lecheria[[#This Row],[Indexación Financiero]],0)</f>
        <v>0</v>
      </c>
      <c r="AA20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0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02" s="981">
        <f>IFERROR(Producción_Lecheria[[#This Row],[Intereses $Corrientes]]/Producción_Lecheria[[#This Row],[Indexación Financiero]],0)</f>
        <v>0</v>
      </c>
      <c r="AD20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02" s="991" t="str">
        <f>IFERROR(INDEX(Produccion_Lecheria_Cuentas[],MATCH(Producción_Lecheria[[#This Row],[Cuenta Contable]],Produccion_Lecheria_Cuentas[Cuenta Contable],0),2),0)</f>
        <v>Egreso</v>
      </c>
      <c r="AF202" s="992">
        <f>IF(Producción_Lecheria[[#This Row],[Mov. Stock]]="(+)",Producción_Lecheria[[#This Row],[Cabezas]],IF(Producción_Lecheria[[#This Row],[Mov. Stock]]="(-)",-Producción_Lecheria[[#This Row],[Cabezas]],0))</f>
        <v>0</v>
      </c>
      <c r="AG202" s="993">
        <f>IFERROR(INDEX(Produccion_Lecheria_Cuentas[],MATCH(Producción_Lecheria[[#This Row],[Cuenta Contable]],Produccion_Lecheria_Cuentas[Cuenta Contable],0),5),0)</f>
        <v>0</v>
      </c>
      <c r="AH202" s="985" t="str">
        <f>IF(Producción_Lecheria[[#This Row],[Cuenta Contable]]=Configuración!$AC$9,"Si","No")</f>
        <v>No</v>
      </c>
      <c r="AI202" s="983" t="str">
        <f>IFERROR(INDEX(Tabla9[],MATCH(Producción_Lecheria[[#This Row],[Movimiento]],Tabla9[Movimientos],0),2),0)</f>
        <v>Si</v>
      </c>
      <c r="AJ202" s="984" t="str">
        <f>IFERROR(INDEX(Tabla9[],MATCH(Producción_Lecheria[[#This Row],[Movimiento]],Tabla9[Movimientos],0),3),0)</f>
        <v>(-)</v>
      </c>
      <c r="AK202" s="986">
        <f>IF(Producción_Lecheria[[#This Row],[Fecha Económico]]=0,0,MONTH(Producción_Lecheria[[#This Row],[Fecha Económico]]))</f>
        <v>2</v>
      </c>
      <c r="AL202" s="986">
        <f>IF(Producción_Lecheria[[#This Row],[Fecha Económico]]=0,0,YEAR(Producción_Lecheria[[#This Row],[Fecha Económico]]))</f>
        <v>2019</v>
      </c>
      <c r="AM202" s="987">
        <f>SUMPRODUCT((Producción_Lecheria[[#This Row],[Mes Económico]]=Tipo_Cambio[Mes])*(Producción_Lecheria[[#This Row],[Año Económico]]=Tipo_Cambio[Año])*(Tipo_Cambio[$/U$S]))</f>
        <v>23.586977746354219</v>
      </c>
      <c r="AN202" s="987">
        <f>SUMPRODUCT((Producción_Lecheria[[#This Row],[Mes Económico]]=Tipo_Cambio[Mes])*(Producción_Lecheria[[#This Row],[Año Económico]]=Tipo_Cambio[Año])*(Tipo_Cambio[Actualización]))</f>
        <v>1.14868566764928</v>
      </c>
      <c r="AO202" s="986">
        <f>IF(ISNUMBER(Producción_Lecheria[[#This Row],[Fecha Financiero]])=TRUE,MONTH(Producción_Lecheria[[#This Row],[Fecha Financiero]]),0)</f>
        <v>0</v>
      </c>
      <c r="AP202" s="986">
        <f>IF(ISNUMBER(Producción_Lecheria[[#This Row],[Fecha Financiero]])=TRUE,YEAR(Producción_Lecheria[[#This Row],[Fecha Financiero]]),0)</f>
        <v>0</v>
      </c>
      <c r="AQ202" s="987">
        <f>SUMPRODUCT((Producción_Lecheria[[#This Row],[Mes Financiero]]=Tipo_Cambio[Mes])*(Producción_Lecheria[[#This Row],[Año Financiero]]=Tipo_Cambio[Año])*(Tipo_Cambio[$/U$S]))</f>
        <v>0</v>
      </c>
      <c r="AR202" s="987">
        <f>SUMPRODUCT((Producción_Lecheria[[#This Row],[Mes Financiero]]=Tipo_Cambio[Mes])*(Producción_Lecheria[[#This Row],[Año Financiero]]=Tipo_Cambio[Año])*(Tipo_Cambio[Actualización]))</f>
        <v>0</v>
      </c>
      <c r="AS202" s="1009">
        <f>SUMPRODUCT((Producción_Lecheria[[#This Row],[Centro de Costo]]=Tabla1924[Centro de Costo])*(Tabla19[Superficie]))</f>
        <v>2356</v>
      </c>
      <c r="AT202" s="1010">
        <f>IFERROR(Producción_Lecheria[[#This Row],[Económico $Corrientes]]/Producción_Lecheria[[#This Row],[Superficie]],0)</f>
        <v>0</v>
      </c>
      <c r="AU202" s="1010">
        <f>IFERROR(Producción_Lecheria[[#This Row],[Económico $Constantes]]/Producción_Lecheria[[#This Row],[Superficie]],0)</f>
        <v>0</v>
      </c>
      <c r="AV202" s="1010">
        <f>IFERROR(Producción_Lecheria[[#This Row],[Económico U$S Dólares]]/Producción_Lecheria[[#This Row],[Superficie]],0)</f>
        <v>0</v>
      </c>
      <c r="AW202" s="992" t="str">
        <f>IF(Económico!$F$4=0,0,Producción_Lecheria[Centro de Costo])</f>
        <v>Campo 1</v>
      </c>
    </row>
    <row r="203" spans="1:49" x14ac:dyDescent="0.25">
      <c r="A203" s="86"/>
      <c r="D203" s="548">
        <f>DATE(IF(MONTH(D200)=1,YEAR(D200+1),YEAR(D200)),MONTH(D200)+1,1)</f>
        <v>43525</v>
      </c>
      <c r="E203" s="493"/>
      <c r="F203" s="479" t="str">
        <f t="shared" si="18"/>
        <v>2018-2019</v>
      </c>
      <c r="G203" s="576" t="str">
        <f>LCH_Personal</f>
        <v>Personal</v>
      </c>
      <c r="H203" s="481" t="s">
        <v>2</v>
      </c>
      <c r="I203" s="491"/>
      <c r="J203" s="549"/>
      <c r="K203" s="484"/>
      <c r="L20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0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03" s="520"/>
      <c r="O20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03" s="563"/>
      <c r="Q203" s="491"/>
      <c r="R203" s="875">
        <f>IF(ISNUMBER(Producción_Lecheria[[#This Row],[Cabezas]])=TRUE,Producción_Lecheria[[#This Row],[Cabezas]]*Producción_Lecheria[[#This Row],[Cantidad]],Producción_Lecheria[[#This Row],[Cantidad]])</f>
        <v>0</v>
      </c>
      <c r="S203" s="491"/>
      <c r="T203" s="552"/>
      <c r="U203" s="553"/>
      <c r="V20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03" s="977">
        <f>IFERROR(Producción_Lecheria[[#This Row],[Económico $Corrientes]]/Producción_Lecheria[[#This Row],[Indexación Económico]],0)</f>
        <v>0</v>
      </c>
      <c r="X20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0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03" s="977">
        <f>IFERROR(Producción_Lecheria[[#This Row],[Financiero $Corrientes]]/Producción_Lecheria[[#This Row],[Indexación Financiero]],0)</f>
        <v>0</v>
      </c>
      <c r="AA20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0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03" s="981">
        <f>IFERROR(Producción_Lecheria[[#This Row],[Intereses $Corrientes]]/Producción_Lecheria[[#This Row],[Indexación Financiero]],0)</f>
        <v>0</v>
      </c>
      <c r="AD20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03" s="991" t="str">
        <f>IFERROR(INDEX(Produccion_Lecheria_Cuentas[],MATCH(Producción_Lecheria[[#This Row],[Cuenta Contable]],Produccion_Lecheria_Cuentas[Cuenta Contable],0),2),0)</f>
        <v>Egreso</v>
      </c>
      <c r="AF203" s="992">
        <f>IF(Producción_Lecheria[[#This Row],[Mov. Stock]]="(+)",Producción_Lecheria[[#This Row],[Cabezas]],IF(Producción_Lecheria[[#This Row],[Mov. Stock]]="(-)",-Producción_Lecheria[[#This Row],[Cabezas]],0))</f>
        <v>0</v>
      </c>
      <c r="AG203" s="993">
        <f>IFERROR(INDEX(Produccion_Lecheria_Cuentas[],MATCH(Producción_Lecheria[[#This Row],[Cuenta Contable]],Produccion_Lecheria_Cuentas[Cuenta Contable],0),5),0)</f>
        <v>0</v>
      </c>
      <c r="AH203" s="985" t="str">
        <f>IF(Producción_Lecheria[[#This Row],[Cuenta Contable]]=Configuración!$AC$9,"Si","No")</f>
        <v>No</v>
      </c>
      <c r="AI203" s="983" t="str">
        <f>IFERROR(INDEX(Tabla9[],MATCH(Producción_Lecheria[[#This Row],[Movimiento]],Tabla9[Movimientos],0),2),0)</f>
        <v>Si</v>
      </c>
      <c r="AJ203" s="984" t="str">
        <f>IFERROR(INDEX(Tabla9[],MATCH(Producción_Lecheria[[#This Row],[Movimiento]],Tabla9[Movimientos],0),3),0)</f>
        <v>(-)</v>
      </c>
      <c r="AK203" s="986">
        <f>IF(Producción_Lecheria[[#This Row],[Fecha Económico]]=0,0,MONTH(Producción_Lecheria[[#This Row],[Fecha Económico]]))</f>
        <v>3</v>
      </c>
      <c r="AL203" s="986">
        <f>IF(Producción_Lecheria[[#This Row],[Fecha Económico]]=0,0,YEAR(Producción_Lecheria[[#This Row],[Fecha Económico]]))</f>
        <v>2019</v>
      </c>
      <c r="AM203" s="987">
        <f>SUMPRODUCT((Producción_Lecheria[[#This Row],[Mes Económico]]=Tipo_Cambio[Mes])*(Producción_Lecheria[[#This Row],[Año Económico]]=Tipo_Cambio[Año])*(Tipo_Cambio[$/U$S]))</f>
        <v>23.82284752381776</v>
      </c>
      <c r="AN203" s="987">
        <f>SUMPRODUCT((Producción_Lecheria[[#This Row],[Mes Económico]]=Tipo_Cambio[Mes])*(Producción_Lecheria[[#This Row],[Año Económico]]=Tipo_Cambio[Año])*(Tipo_Cambio[Actualización]))</f>
        <v>1.1716593810022657</v>
      </c>
      <c r="AO203" s="986">
        <f>IF(ISNUMBER(Producción_Lecheria[[#This Row],[Fecha Financiero]])=TRUE,MONTH(Producción_Lecheria[[#This Row],[Fecha Financiero]]),0)</f>
        <v>0</v>
      </c>
      <c r="AP203" s="986">
        <f>IF(ISNUMBER(Producción_Lecheria[[#This Row],[Fecha Financiero]])=TRUE,YEAR(Producción_Lecheria[[#This Row],[Fecha Financiero]]),0)</f>
        <v>0</v>
      </c>
      <c r="AQ203" s="987">
        <f>SUMPRODUCT((Producción_Lecheria[[#This Row],[Mes Financiero]]=Tipo_Cambio[Mes])*(Producción_Lecheria[[#This Row],[Año Financiero]]=Tipo_Cambio[Año])*(Tipo_Cambio[$/U$S]))</f>
        <v>0</v>
      </c>
      <c r="AR203" s="987">
        <f>SUMPRODUCT((Producción_Lecheria[[#This Row],[Mes Financiero]]=Tipo_Cambio[Mes])*(Producción_Lecheria[[#This Row],[Año Financiero]]=Tipo_Cambio[Año])*(Tipo_Cambio[Actualización]))</f>
        <v>0</v>
      </c>
      <c r="AS203" s="1009">
        <f>SUMPRODUCT((Producción_Lecheria[[#This Row],[Centro de Costo]]=Tabla1924[Centro de Costo])*(Tabla19[Superficie]))</f>
        <v>2356</v>
      </c>
      <c r="AT203" s="1010">
        <f>IFERROR(Producción_Lecheria[[#This Row],[Económico $Corrientes]]/Producción_Lecheria[[#This Row],[Superficie]],0)</f>
        <v>0</v>
      </c>
      <c r="AU203" s="1010">
        <f>IFERROR(Producción_Lecheria[[#This Row],[Económico $Constantes]]/Producción_Lecheria[[#This Row],[Superficie]],0)</f>
        <v>0</v>
      </c>
      <c r="AV203" s="1010">
        <f>IFERROR(Producción_Lecheria[[#This Row],[Económico U$S Dólares]]/Producción_Lecheria[[#This Row],[Superficie]],0)</f>
        <v>0</v>
      </c>
      <c r="AW203" s="992" t="str">
        <f>IF(Económico!$F$4=0,0,Producción_Lecheria[Centro de Costo])</f>
        <v>Campo 1</v>
      </c>
    </row>
    <row r="204" spans="1:49" x14ac:dyDescent="0.25">
      <c r="A204" s="86"/>
      <c r="D204" s="548">
        <f t="shared" si="17"/>
        <v>43525</v>
      </c>
      <c r="E204" s="493"/>
      <c r="F204" s="479" t="str">
        <f t="shared" si="18"/>
        <v>2018-2019</v>
      </c>
      <c r="G204" s="576" t="str">
        <f>LCH_CArgas</f>
        <v>Cargas Sociales</v>
      </c>
      <c r="H204" s="481" t="s">
        <v>2</v>
      </c>
      <c r="I204" s="491"/>
      <c r="J204" s="549"/>
      <c r="K204" s="484"/>
      <c r="L20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0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04" s="520"/>
      <c r="O20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04" s="563"/>
      <c r="Q204" s="491"/>
      <c r="R204" s="875">
        <f>IF(ISNUMBER(Producción_Lecheria[[#This Row],[Cabezas]])=TRUE,Producción_Lecheria[[#This Row],[Cabezas]]*Producción_Lecheria[[#This Row],[Cantidad]],Producción_Lecheria[[#This Row],[Cantidad]])</f>
        <v>0</v>
      </c>
      <c r="S204" s="491"/>
      <c r="T204" s="552"/>
      <c r="U204" s="553"/>
      <c r="V20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04" s="977">
        <f>IFERROR(Producción_Lecheria[[#This Row],[Económico $Corrientes]]/Producción_Lecheria[[#This Row],[Indexación Económico]],0)</f>
        <v>0</v>
      </c>
      <c r="X20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0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04" s="977">
        <f>IFERROR(Producción_Lecheria[[#This Row],[Financiero $Corrientes]]/Producción_Lecheria[[#This Row],[Indexación Financiero]],0)</f>
        <v>0</v>
      </c>
      <c r="AA20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0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04" s="981">
        <f>IFERROR(Producción_Lecheria[[#This Row],[Intereses $Corrientes]]/Producción_Lecheria[[#This Row],[Indexación Financiero]],0)</f>
        <v>0</v>
      </c>
      <c r="AD20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04" s="991" t="str">
        <f>IFERROR(INDEX(Produccion_Lecheria_Cuentas[],MATCH(Producción_Lecheria[[#This Row],[Cuenta Contable]],Produccion_Lecheria_Cuentas[Cuenta Contable],0),2),0)</f>
        <v>Egreso</v>
      </c>
      <c r="AF204" s="992">
        <f>IF(Producción_Lecheria[[#This Row],[Mov. Stock]]="(+)",Producción_Lecheria[[#This Row],[Cabezas]],IF(Producción_Lecheria[[#This Row],[Mov. Stock]]="(-)",-Producción_Lecheria[[#This Row],[Cabezas]],0))</f>
        <v>0</v>
      </c>
      <c r="AG204" s="993">
        <f>IFERROR(INDEX(Produccion_Lecheria_Cuentas[],MATCH(Producción_Lecheria[[#This Row],[Cuenta Contable]],Produccion_Lecheria_Cuentas[Cuenta Contable],0),5),0)</f>
        <v>0</v>
      </c>
      <c r="AH204" s="985" t="str">
        <f>IF(Producción_Lecheria[[#This Row],[Cuenta Contable]]=Configuración!$AC$9,"Si","No")</f>
        <v>No</v>
      </c>
      <c r="AI204" s="983" t="str">
        <f>IFERROR(INDEX(Tabla9[],MATCH(Producción_Lecheria[[#This Row],[Movimiento]],Tabla9[Movimientos],0),2),0)</f>
        <v>Si</v>
      </c>
      <c r="AJ204" s="984" t="str">
        <f>IFERROR(INDEX(Tabla9[],MATCH(Producción_Lecheria[[#This Row],[Movimiento]],Tabla9[Movimientos],0),3),0)</f>
        <v>(-)</v>
      </c>
      <c r="AK204" s="986">
        <f>IF(Producción_Lecheria[[#This Row],[Fecha Económico]]=0,0,MONTH(Producción_Lecheria[[#This Row],[Fecha Económico]]))</f>
        <v>3</v>
      </c>
      <c r="AL204" s="986">
        <f>IF(Producción_Lecheria[[#This Row],[Fecha Económico]]=0,0,YEAR(Producción_Lecheria[[#This Row],[Fecha Económico]]))</f>
        <v>2019</v>
      </c>
      <c r="AM204" s="987">
        <f>SUMPRODUCT((Producción_Lecheria[[#This Row],[Mes Económico]]=Tipo_Cambio[Mes])*(Producción_Lecheria[[#This Row],[Año Económico]]=Tipo_Cambio[Año])*(Tipo_Cambio[$/U$S]))</f>
        <v>23.82284752381776</v>
      </c>
      <c r="AN204" s="987">
        <f>SUMPRODUCT((Producción_Lecheria[[#This Row],[Mes Económico]]=Tipo_Cambio[Mes])*(Producción_Lecheria[[#This Row],[Año Económico]]=Tipo_Cambio[Año])*(Tipo_Cambio[Actualización]))</f>
        <v>1.1716593810022657</v>
      </c>
      <c r="AO204" s="986">
        <f>IF(ISNUMBER(Producción_Lecheria[[#This Row],[Fecha Financiero]])=TRUE,MONTH(Producción_Lecheria[[#This Row],[Fecha Financiero]]),0)</f>
        <v>0</v>
      </c>
      <c r="AP204" s="986">
        <f>IF(ISNUMBER(Producción_Lecheria[[#This Row],[Fecha Financiero]])=TRUE,YEAR(Producción_Lecheria[[#This Row],[Fecha Financiero]]),0)</f>
        <v>0</v>
      </c>
      <c r="AQ204" s="987">
        <f>SUMPRODUCT((Producción_Lecheria[[#This Row],[Mes Financiero]]=Tipo_Cambio[Mes])*(Producción_Lecheria[[#This Row],[Año Financiero]]=Tipo_Cambio[Año])*(Tipo_Cambio[$/U$S]))</f>
        <v>0</v>
      </c>
      <c r="AR204" s="987">
        <f>SUMPRODUCT((Producción_Lecheria[[#This Row],[Mes Financiero]]=Tipo_Cambio[Mes])*(Producción_Lecheria[[#This Row],[Año Financiero]]=Tipo_Cambio[Año])*(Tipo_Cambio[Actualización]))</f>
        <v>0</v>
      </c>
      <c r="AS204" s="1009">
        <f>SUMPRODUCT((Producción_Lecheria[[#This Row],[Centro de Costo]]=Tabla1924[Centro de Costo])*(Tabla19[Superficie]))</f>
        <v>2356</v>
      </c>
      <c r="AT204" s="1010">
        <f>IFERROR(Producción_Lecheria[[#This Row],[Económico $Corrientes]]/Producción_Lecheria[[#This Row],[Superficie]],0)</f>
        <v>0</v>
      </c>
      <c r="AU204" s="1010">
        <f>IFERROR(Producción_Lecheria[[#This Row],[Económico $Constantes]]/Producción_Lecheria[[#This Row],[Superficie]],0)</f>
        <v>0</v>
      </c>
      <c r="AV204" s="1010">
        <f>IFERROR(Producción_Lecheria[[#This Row],[Económico U$S Dólares]]/Producción_Lecheria[[#This Row],[Superficie]],0)</f>
        <v>0</v>
      </c>
      <c r="AW204" s="992" t="str">
        <f>IF(Económico!$F$4=0,0,Producción_Lecheria[Centro de Costo])</f>
        <v>Campo 1</v>
      </c>
    </row>
    <row r="205" spans="1:49" x14ac:dyDescent="0.25">
      <c r="A205" s="86"/>
      <c r="D205" s="548">
        <f t="shared" si="17"/>
        <v>43525</v>
      </c>
      <c r="E205" s="493"/>
      <c r="F205" s="479" t="str">
        <f t="shared" si="18"/>
        <v>2018-2019</v>
      </c>
      <c r="G205" s="576" t="str">
        <f>Cargas_Manutencion</f>
        <v>Manutención Personal</v>
      </c>
      <c r="H205" s="481" t="s">
        <v>2</v>
      </c>
      <c r="I205" s="491"/>
      <c r="J205" s="549"/>
      <c r="K205" s="484"/>
      <c r="L20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0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05" s="520"/>
      <c r="O20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05" s="563"/>
      <c r="Q205" s="491"/>
      <c r="R205" s="875">
        <f>IF(ISNUMBER(Producción_Lecheria[[#This Row],[Cabezas]])=TRUE,Producción_Lecheria[[#This Row],[Cabezas]]*Producción_Lecheria[[#This Row],[Cantidad]],Producción_Lecheria[[#This Row],[Cantidad]])</f>
        <v>0</v>
      </c>
      <c r="S205" s="491"/>
      <c r="T205" s="552"/>
      <c r="U205" s="553"/>
      <c r="V20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05" s="977">
        <f>IFERROR(Producción_Lecheria[[#This Row],[Económico $Corrientes]]/Producción_Lecheria[[#This Row],[Indexación Económico]],0)</f>
        <v>0</v>
      </c>
      <c r="X20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0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05" s="977">
        <f>IFERROR(Producción_Lecheria[[#This Row],[Financiero $Corrientes]]/Producción_Lecheria[[#This Row],[Indexación Financiero]],0)</f>
        <v>0</v>
      </c>
      <c r="AA20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0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05" s="981">
        <f>IFERROR(Producción_Lecheria[[#This Row],[Intereses $Corrientes]]/Producción_Lecheria[[#This Row],[Indexación Financiero]],0)</f>
        <v>0</v>
      </c>
      <c r="AD20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05" s="991" t="str">
        <f>IFERROR(INDEX(Produccion_Lecheria_Cuentas[],MATCH(Producción_Lecheria[[#This Row],[Cuenta Contable]],Produccion_Lecheria_Cuentas[Cuenta Contable],0),2),0)</f>
        <v>Egreso</v>
      </c>
      <c r="AF205" s="992">
        <f>IF(Producción_Lecheria[[#This Row],[Mov. Stock]]="(+)",Producción_Lecheria[[#This Row],[Cabezas]],IF(Producción_Lecheria[[#This Row],[Mov. Stock]]="(-)",-Producción_Lecheria[[#This Row],[Cabezas]],0))</f>
        <v>0</v>
      </c>
      <c r="AG205" s="993">
        <f>IFERROR(INDEX(Produccion_Lecheria_Cuentas[],MATCH(Producción_Lecheria[[#This Row],[Cuenta Contable]],Produccion_Lecheria_Cuentas[Cuenta Contable],0),5),0)</f>
        <v>0</v>
      </c>
      <c r="AH205" s="985" t="str">
        <f>IF(Producción_Lecheria[[#This Row],[Cuenta Contable]]=Configuración!$AC$9,"Si","No")</f>
        <v>No</v>
      </c>
      <c r="AI205" s="983" t="str">
        <f>IFERROR(INDEX(Tabla9[],MATCH(Producción_Lecheria[[#This Row],[Movimiento]],Tabla9[Movimientos],0),2),0)</f>
        <v>Si</v>
      </c>
      <c r="AJ205" s="984" t="str">
        <f>IFERROR(INDEX(Tabla9[],MATCH(Producción_Lecheria[[#This Row],[Movimiento]],Tabla9[Movimientos],0),3),0)</f>
        <v>(-)</v>
      </c>
      <c r="AK205" s="986">
        <f>IF(Producción_Lecheria[[#This Row],[Fecha Económico]]=0,0,MONTH(Producción_Lecheria[[#This Row],[Fecha Económico]]))</f>
        <v>3</v>
      </c>
      <c r="AL205" s="986">
        <f>IF(Producción_Lecheria[[#This Row],[Fecha Económico]]=0,0,YEAR(Producción_Lecheria[[#This Row],[Fecha Económico]]))</f>
        <v>2019</v>
      </c>
      <c r="AM205" s="987">
        <f>SUMPRODUCT((Producción_Lecheria[[#This Row],[Mes Económico]]=Tipo_Cambio[Mes])*(Producción_Lecheria[[#This Row],[Año Económico]]=Tipo_Cambio[Año])*(Tipo_Cambio[$/U$S]))</f>
        <v>23.82284752381776</v>
      </c>
      <c r="AN205" s="987">
        <f>SUMPRODUCT((Producción_Lecheria[[#This Row],[Mes Económico]]=Tipo_Cambio[Mes])*(Producción_Lecheria[[#This Row],[Año Económico]]=Tipo_Cambio[Año])*(Tipo_Cambio[Actualización]))</f>
        <v>1.1716593810022657</v>
      </c>
      <c r="AO205" s="986">
        <f>IF(ISNUMBER(Producción_Lecheria[[#This Row],[Fecha Financiero]])=TRUE,MONTH(Producción_Lecheria[[#This Row],[Fecha Financiero]]),0)</f>
        <v>0</v>
      </c>
      <c r="AP205" s="986">
        <f>IF(ISNUMBER(Producción_Lecheria[[#This Row],[Fecha Financiero]])=TRUE,YEAR(Producción_Lecheria[[#This Row],[Fecha Financiero]]),0)</f>
        <v>0</v>
      </c>
      <c r="AQ205" s="987">
        <f>SUMPRODUCT((Producción_Lecheria[[#This Row],[Mes Financiero]]=Tipo_Cambio[Mes])*(Producción_Lecheria[[#This Row],[Año Financiero]]=Tipo_Cambio[Año])*(Tipo_Cambio[$/U$S]))</f>
        <v>0</v>
      </c>
      <c r="AR205" s="987">
        <f>SUMPRODUCT((Producción_Lecheria[[#This Row],[Mes Financiero]]=Tipo_Cambio[Mes])*(Producción_Lecheria[[#This Row],[Año Financiero]]=Tipo_Cambio[Año])*(Tipo_Cambio[Actualización]))</f>
        <v>0</v>
      </c>
      <c r="AS205" s="1009">
        <f>SUMPRODUCT((Producción_Lecheria[[#This Row],[Centro de Costo]]=Tabla1924[Centro de Costo])*(Tabla19[Superficie]))</f>
        <v>2356</v>
      </c>
      <c r="AT205" s="1010">
        <f>IFERROR(Producción_Lecheria[[#This Row],[Económico $Corrientes]]/Producción_Lecheria[[#This Row],[Superficie]],0)</f>
        <v>0</v>
      </c>
      <c r="AU205" s="1010">
        <f>IFERROR(Producción_Lecheria[[#This Row],[Económico $Constantes]]/Producción_Lecheria[[#This Row],[Superficie]],0)</f>
        <v>0</v>
      </c>
      <c r="AV205" s="1010">
        <f>IFERROR(Producción_Lecheria[[#This Row],[Económico U$S Dólares]]/Producción_Lecheria[[#This Row],[Superficie]],0)</f>
        <v>0</v>
      </c>
      <c r="AW205" s="992" t="str">
        <f>IF(Económico!$F$4=0,0,Producción_Lecheria[Centro de Costo])</f>
        <v>Campo 1</v>
      </c>
    </row>
    <row r="206" spans="1:49" x14ac:dyDescent="0.25">
      <c r="A206" s="86"/>
      <c r="D206" s="548">
        <f>DATE(IF(MONTH(D203)=1,YEAR(D203+1),YEAR(D203)),MONTH(D203)+1,1)</f>
        <v>43556</v>
      </c>
      <c r="E206" s="493"/>
      <c r="F206" s="479" t="str">
        <f t="shared" si="18"/>
        <v>2018-2019</v>
      </c>
      <c r="G206" s="576" t="str">
        <f>LCH_Personal</f>
        <v>Personal</v>
      </c>
      <c r="H206" s="481" t="s">
        <v>2</v>
      </c>
      <c r="I206" s="491"/>
      <c r="J206" s="549"/>
      <c r="K206" s="484"/>
      <c r="L20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0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06" s="520"/>
      <c r="O20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06" s="563"/>
      <c r="Q206" s="491"/>
      <c r="R206" s="875">
        <f>IF(ISNUMBER(Producción_Lecheria[[#This Row],[Cabezas]])=TRUE,Producción_Lecheria[[#This Row],[Cabezas]]*Producción_Lecheria[[#This Row],[Cantidad]],Producción_Lecheria[[#This Row],[Cantidad]])</f>
        <v>0</v>
      </c>
      <c r="S206" s="491"/>
      <c r="T206" s="552"/>
      <c r="U206" s="553"/>
      <c r="V20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06" s="977">
        <f>IFERROR(Producción_Lecheria[[#This Row],[Económico $Corrientes]]/Producción_Lecheria[[#This Row],[Indexación Económico]],0)</f>
        <v>0</v>
      </c>
      <c r="X20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0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06" s="977">
        <f>IFERROR(Producción_Lecheria[[#This Row],[Financiero $Corrientes]]/Producción_Lecheria[[#This Row],[Indexación Financiero]],0)</f>
        <v>0</v>
      </c>
      <c r="AA20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0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06" s="981">
        <f>IFERROR(Producción_Lecheria[[#This Row],[Intereses $Corrientes]]/Producción_Lecheria[[#This Row],[Indexación Financiero]],0)</f>
        <v>0</v>
      </c>
      <c r="AD20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06" s="991" t="str">
        <f>IFERROR(INDEX(Produccion_Lecheria_Cuentas[],MATCH(Producción_Lecheria[[#This Row],[Cuenta Contable]],Produccion_Lecheria_Cuentas[Cuenta Contable],0),2),0)</f>
        <v>Egreso</v>
      </c>
      <c r="AF206" s="992">
        <f>IF(Producción_Lecheria[[#This Row],[Mov. Stock]]="(+)",Producción_Lecheria[[#This Row],[Cabezas]],IF(Producción_Lecheria[[#This Row],[Mov. Stock]]="(-)",-Producción_Lecheria[[#This Row],[Cabezas]],0))</f>
        <v>0</v>
      </c>
      <c r="AG206" s="993">
        <f>IFERROR(INDEX(Produccion_Lecheria_Cuentas[],MATCH(Producción_Lecheria[[#This Row],[Cuenta Contable]],Produccion_Lecheria_Cuentas[Cuenta Contable],0),5),0)</f>
        <v>0</v>
      </c>
      <c r="AH206" s="985" t="str">
        <f>IF(Producción_Lecheria[[#This Row],[Cuenta Contable]]=Configuración!$AC$9,"Si","No")</f>
        <v>No</v>
      </c>
      <c r="AI206" s="983" t="str">
        <f>IFERROR(INDEX(Tabla9[],MATCH(Producción_Lecheria[[#This Row],[Movimiento]],Tabla9[Movimientos],0),2),0)</f>
        <v>Si</v>
      </c>
      <c r="AJ206" s="984" t="str">
        <f>IFERROR(INDEX(Tabla9[],MATCH(Producción_Lecheria[[#This Row],[Movimiento]],Tabla9[Movimientos],0),3),0)</f>
        <v>(-)</v>
      </c>
      <c r="AK206" s="986">
        <f>IF(Producción_Lecheria[[#This Row],[Fecha Económico]]=0,0,MONTH(Producción_Lecheria[[#This Row],[Fecha Económico]]))</f>
        <v>4</v>
      </c>
      <c r="AL206" s="986">
        <f>IF(Producción_Lecheria[[#This Row],[Fecha Económico]]=0,0,YEAR(Producción_Lecheria[[#This Row],[Fecha Económico]]))</f>
        <v>2019</v>
      </c>
      <c r="AM206" s="987">
        <f>SUMPRODUCT((Producción_Lecheria[[#This Row],[Mes Económico]]=Tipo_Cambio[Mes])*(Producción_Lecheria[[#This Row],[Año Económico]]=Tipo_Cambio[Año])*(Tipo_Cambio[$/U$S]))</f>
        <v>24.061075999055937</v>
      </c>
      <c r="AN206" s="987">
        <f>SUMPRODUCT((Producción_Lecheria[[#This Row],[Mes Económico]]=Tipo_Cambio[Mes])*(Producción_Lecheria[[#This Row],[Año Económico]]=Tipo_Cambio[Año])*(Tipo_Cambio[Actualización]))</f>
        <v>1.1950925686223111</v>
      </c>
      <c r="AO206" s="986">
        <f>IF(ISNUMBER(Producción_Lecheria[[#This Row],[Fecha Financiero]])=TRUE,MONTH(Producción_Lecheria[[#This Row],[Fecha Financiero]]),0)</f>
        <v>0</v>
      </c>
      <c r="AP206" s="986">
        <f>IF(ISNUMBER(Producción_Lecheria[[#This Row],[Fecha Financiero]])=TRUE,YEAR(Producción_Lecheria[[#This Row],[Fecha Financiero]]),0)</f>
        <v>0</v>
      </c>
      <c r="AQ206" s="987">
        <f>SUMPRODUCT((Producción_Lecheria[[#This Row],[Mes Financiero]]=Tipo_Cambio[Mes])*(Producción_Lecheria[[#This Row],[Año Financiero]]=Tipo_Cambio[Año])*(Tipo_Cambio[$/U$S]))</f>
        <v>0</v>
      </c>
      <c r="AR206" s="987">
        <f>SUMPRODUCT((Producción_Lecheria[[#This Row],[Mes Financiero]]=Tipo_Cambio[Mes])*(Producción_Lecheria[[#This Row],[Año Financiero]]=Tipo_Cambio[Año])*(Tipo_Cambio[Actualización]))</f>
        <v>0</v>
      </c>
      <c r="AS206" s="1009">
        <f>SUMPRODUCT((Producción_Lecheria[[#This Row],[Centro de Costo]]=Tabla1924[Centro de Costo])*(Tabla19[Superficie]))</f>
        <v>2356</v>
      </c>
      <c r="AT206" s="1010">
        <f>IFERROR(Producción_Lecheria[[#This Row],[Económico $Corrientes]]/Producción_Lecheria[[#This Row],[Superficie]],0)</f>
        <v>0</v>
      </c>
      <c r="AU206" s="1010">
        <f>IFERROR(Producción_Lecheria[[#This Row],[Económico $Constantes]]/Producción_Lecheria[[#This Row],[Superficie]],0)</f>
        <v>0</v>
      </c>
      <c r="AV206" s="1010">
        <f>IFERROR(Producción_Lecheria[[#This Row],[Económico U$S Dólares]]/Producción_Lecheria[[#This Row],[Superficie]],0)</f>
        <v>0</v>
      </c>
      <c r="AW206" s="992" t="str">
        <f>IF(Económico!$F$4=0,0,Producción_Lecheria[Centro de Costo])</f>
        <v>Campo 1</v>
      </c>
    </row>
    <row r="207" spans="1:49" x14ac:dyDescent="0.25">
      <c r="A207" s="86"/>
      <c r="D207" s="548">
        <f t="shared" si="17"/>
        <v>43556</v>
      </c>
      <c r="E207" s="493"/>
      <c r="F207" s="479" t="str">
        <f t="shared" si="18"/>
        <v>2018-2019</v>
      </c>
      <c r="G207" s="576" t="str">
        <f>LCH_CArgas</f>
        <v>Cargas Sociales</v>
      </c>
      <c r="H207" s="481" t="s">
        <v>2</v>
      </c>
      <c r="I207" s="491"/>
      <c r="J207" s="549"/>
      <c r="K207" s="484"/>
      <c r="L20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0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07" s="520"/>
      <c r="O20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07" s="563"/>
      <c r="Q207" s="491"/>
      <c r="R207" s="875">
        <f>IF(ISNUMBER(Producción_Lecheria[[#This Row],[Cabezas]])=TRUE,Producción_Lecheria[[#This Row],[Cabezas]]*Producción_Lecheria[[#This Row],[Cantidad]],Producción_Lecheria[[#This Row],[Cantidad]])</f>
        <v>0</v>
      </c>
      <c r="S207" s="491"/>
      <c r="T207" s="552"/>
      <c r="U207" s="553"/>
      <c r="V20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07" s="977">
        <f>IFERROR(Producción_Lecheria[[#This Row],[Económico $Corrientes]]/Producción_Lecheria[[#This Row],[Indexación Económico]],0)</f>
        <v>0</v>
      </c>
      <c r="X20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0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07" s="977">
        <f>IFERROR(Producción_Lecheria[[#This Row],[Financiero $Corrientes]]/Producción_Lecheria[[#This Row],[Indexación Financiero]],0)</f>
        <v>0</v>
      </c>
      <c r="AA20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0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07" s="981">
        <f>IFERROR(Producción_Lecheria[[#This Row],[Intereses $Corrientes]]/Producción_Lecheria[[#This Row],[Indexación Financiero]],0)</f>
        <v>0</v>
      </c>
      <c r="AD20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07" s="991" t="str">
        <f>IFERROR(INDEX(Produccion_Lecheria_Cuentas[],MATCH(Producción_Lecheria[[#This Row],[Cuenta Contable]],Produccion_Lecheria_Cuentas[Cuenta Contable],0),2),0)</f>
        <v>Egreso</v>
      </c>
      <c r="AF207" s="992">
        <f>IF(Producción_Lecheria[[#This Row],[Mov. Stock]]="(+)",Producción_Lecheria[[#This Row],[Cabezas]],IF(Producción_Lecheria[[#This Row],[Mov. Stock]]="(-)",-Producción_Lecheria[[#This Row],[Cabezas]],0))</f>
        <v>0</v>
      </c>
      <c r="AG207" s="993">
        <f>IFERROR(INDEX(Produccion_Lecheria_Cuentas[],MATCH(Producción_Lecheria[[#This Row],[Cuenta Contable]],Produccion_Lecheria_Cuentas[Cuenta Contable],0),5),0)</f>
        <v>0</v>
      </c>
      <c r="AH207" s="985" t="str">
        <f>IF(Producción_Lecheria[[#This Row],[Cuenta Contable]]=Configuración!$AC$9,"Si","No")</f>
        <v>No</v>
      </c>
      <c r="AI207" s="983" t="str">
        <f>IFERROR(INDEX(Tabla9[],MATCH(Producción_Lecheria[[#This Row],[Movimiento]],Tabla9[Movimientos],0),2),0)</f>
        <v>Si</v>
      </c>
      <c r="AJ207" s="984" t="str">
        <f>IFERROR(INDEX(Tabla9[],MATCH(Producción_Lecheria[[#This Row],[Movimiento]],Tabla9[Movimientos],0),3),0)</f>
        <v>(-)</v>
      </c>
      <c r="AK207" s="986">
        <f>IF(Producción_Lecheria[[#This Row],[Fecha Económico]]=0,0,MONTH(Producción_Lecheria[[#This Row],[Fecha Económico]]))</f>
        <v>4</v>
      </c>
      <c r="AL207" s="986">
        <f>IF(Producción_Lecheria[[#This Row],[Fecha Económico]]=0,0,YEAR(Producción_Lecheria[[#This Row],[Fecha Económico]]))</f>
        <v>2019</v>
      </c>
      <c r="AM207" s="987">
        <f>SUMPRODUCT((Producción_Lecheria[[#This Row],[Mes Económico]]=Tipo_Cambio[Mes])*(Producción_Lecheria[[#This Row],[Año Económico]]=Tipo_Cambio[Año])*(Tipo_Cambio[$/U$S]))</f>
        <v>24.061075999055937</v>
      </c>
      <c r="AN207" s="987">
        <f>SUMPRODUCT((Producción_Lecheria[[#This Row],[Mes Económico]]=Tipo_Cambio[Mes])*(Producción_Lecheria[[#This Row],[Año Económico]]=Tipo_Cambio[Año])*(Tipo_Cambio[Actualización]))</f>
        <v>1.1950925686223111</v>
      </c>
      <c r="AO207" s="986">
        <f>IF(ISNUMBER(Producción_Lecheria[[#This Row],[Fecha Financiero]])=TRUE,MONTH(Producción_Lecheria[[#This Row],[Fecha Financiero]]),0)</f>
        <v>0</v>
      </c>
      <c r="AP207" s="986">
        <f>IF(ISNUMBER(Producción_Lecheria[[#This Row],[Fecha Financiero]])=TRUE,YEAR(Producción_Lecheria[[#This Row],[Fecha Financiero]]),0)</f>
        <v>0</v>
      </c>
      <c r="AQ207" s="987">
        <f>SUMPRODUCT((Producción_Lecheria[[#This Row],[Mes Financiero]]=Tipo_Cambio[Mes])*(Producción_Lecheria[[#This Row],[Año Financiero]]=Tipo_Cambio[Año])*(Tipo_Cambio[$/U$S]))</f>
        <v>0</v>
      </c>
      <c r="AR207" s="987">
        <f>SUMPRODUCT((Producción_Lecheria[[#This Row],[Mes Financiero]]=Tipo_Cambio[Mes])*(Producción_Lecheria[[#This Row],[Año Financiero]]=Tipo_Cambio[Año])*(Tipo_Cambio[Actualización]))</f>
        <v>0</v>
      </c>
      <c r="AS207" s="1009">
        <f>SUMPRODUCT((Producción_Lecheria[[#This Row],[Centro de Costo]]=Tabla1924[Centro de Costo])*(Tabla19[Superficie]))</f>
        <v>2356</v>
      </c>
      <c r="AT207" s="1010">
        <f>IFERROR(Producción_Lecheria[[#This Row],[Económico $Corrientes]]/Producción_Lecheria[[#This Row],[Superficie]],0)</f>
        <v>0</v>
      </c>
      <c r="AU207" s="1010">
        <f>IFERROR(Producción_Lecheria[[#This Row],[Económico $Constantes]]/Producción_Lecheria[[#This Row],[Superficie]],0)</f>
        <v>0</v>
      </c>
      <c r="AV207" s="1010">
        <f>IFERROR(Producción_Lecheria[[#This Row],[Económico U$S Dólares]]/Producción_Lecheria[[#This Row],[Superficie]],0)</f>
        <v>0</v>
      </c>
      <c r="AW207" s="992" t="str">
        <f>IF(Económico!$F$4=0,0,Producción_Lecheria[Centro de Costo])</f>
        <v>Campo 1</v>
      </c>
    </row>
    <row r="208" spans="1:49" x14ac:dyDescent="0.25">
      <c r="A208" s="86"/>
      <c r="D208" s="548">
        <f t="shared" si="17"/>
        <v>43556</v>
      </c>
      <c r="E208" s="493"/>
      <c r="F208" s="479" t="str">
        <f t="shared" si="18"/>
        <v>2018-2019</v>
      </c>
      <c r="G208" s="576" t="str">
        <f>Cargas_Manutencion</f>
        <v>Manutención Personal</v>
      </c>
      <c r="H208" s="481" t="s">
        <v>2</v>
      </c>
      <c r="I208" s="491"/>
      <c r="J208" s="549"/>
      <c r="K208" s="484"/>
      <c r="L20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0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08" s="520"/>
      <c r="O20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08" s="563"/>
      <c r="Q208" s="491"/>
      <c r="R208" s="875">
        <f>IF(ISNUMBER(Producción_Lecheria[[#This Row],[Cabezas]])=TRUE,Producción_Lecheria[[#This Row],[Cabezas]]*Producción_Lecheria[[#This Row],[Cantidad]],Producción_Lecheria[[#This Row],[Cantidad]])</f>
        <v>0</v>
      </c>
      <c r="S208" s="491"/>
      <c r="T208" s="552"/>
      <c r="U208" s="553"/>
      <c r="V20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08" s="977">
        <f>IFERROR(Producción_Lecheria[[#This Row],[Económico $Corrientes]]/Producción_Lecheria[[#This Row],[Indexación Económico]],0)</f>
        <v>0</v>
      </c>
      <c r="X20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0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08" s="977">
        <f>IFERROR(Producción_Lecheria[[#This Row],[Financiero $Corrientes]]/Producción_Lecheria[[#This Row],[Indexación Financiero]],0)</f>
        <v>0</v>
      </c>
      <c r="AA20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0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08" s="981">
        <f>IFERROR(Producción_Lecheria[[#This Row],[Intereses $Corrientes]]/Producción_Lecheria[[#This Row],[Indexación Financiero]],0)</f>
        <v>0</v>
      </c>
      <c r="AD20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08" s="991" t="str">
        <f>IFERROR(INDEX(Produccion_Lecheria_Cuentas[],MATCH(Producción_Lecheria[[#This Row],[Cuenta Contable]],Produccion_Lecheria_Cuentas[Cuenta Contable],0),2),0)</f>
        <v>Egreso</v>
      </c>
      <c r="AF208" s="992">
        <f>IF(Producción_Lecheria[[#This Row],[Mov. Stock]]="(+)",Producción_Lecheria[[#This Row],[Cabezas]],IF(Producción_Lecheria[[#This Row],[Mov. Stock]]="(-)",-Producción_Lecheria[[#This Row],[Cabezas]],0))</f>
        <v>0</v>
      </c>
      <c r="AG208" s="993">
        <f>IFERROR(INDEX(Produccion_Lecheria_Cuentas[],MATCH(Producción_Lecheria[[#This Row],[Cuenta Contable]],Produccion_Lecheria_Cuentas[Cuenta Contable],0),5),0)</f>
        <v>0</v>
      </c>
      <c r="AH208" s="985" t="str">
        <f>IF(Producción_Lecheria[[#This Row],[Cuenta Contable]]=Configuración!$AC$9,"Si","No")</f>
        <v>No</v>
      </c>
      <c r="AI208" s="983" t="str">
        <f>IFERROR(INDEX(Tabla9[],MATCH(Producción_Lecheria[[#This Row],[Movimiento]],Tabla9[Movimientos],0),2),0)</f>
        <v>Si</v>
      </c>
      <c r="AJ208" s="984" t="str">
        <f>IFERROR(INDEX(Tabla9[],MATCH(Producción_Lecheria[[#This Row],[Movimiento]],Tabla9[Movimientos],0),3),0)</f>
        <v>(-)</v>
      </c>
      <c r="AK208" s="986">
        <f>IF(Producción_Lecheria[[#This Row],[Fecha Económico]]=0,0,MONTH(Producción_Lecheria[[#This Row],[Fecha Económico]]))</f>
        <v>4</v>
      </c>
      <c r="AL208" s="986">
        <f>IF(Producción_Lecheria[[#This Row],[Fecha Económico]]=0,0,YEAR(Producción_Lecheria[[#This Row],[Fecha Económico]]))</f>
        <v>2019</v>
      </c>
      <c r="AM208" s="987">
        <f>SUMPRODUCT((Producción_Lecheria[[#This Row],[Mes Económico]]=Tipo_Cambio[Mes])*(Producción_Lecheria[[#This Row],[Año Económico]]=Tipo_Cambio[Año])*(Tipo_Cambio[$/U$S]))</f>
        <v>24.061075999055937</v>
      </c>
      <c r="AN208" s="987">
        <f>SUMPRODUCT((Producción_Lecheria[[#This Row],[Mes Económico]]=Tipo_Cambio[Mes])*(Producción_Lecheria[[#This Row],[Año Económico]]=Tipo_Cambio[Año])*(Tipo_Cambio[Actualización]))</f>
        <v>1.1950925686223111</v>
      </c>
      <c r="AO208" s="986">
        <f>IF(ISNUMBER(Producción_Lecheria[[#This Row],[Fecha Financiero]])=TRUE,MONTH(Producción_Lecheria[[#This Row],[Fecha Financiero]]),0)</f>
        <v>0</v>
      </c>
      <c r="AP208" s="986">
        <f>IF(ISNUMBER(Producción_Lecheria[[#This Row],[Fecha Financiero]])=TRUE,YEAR(Producción_Lecheria[[#This Row],[Fecha Financiero]]),0)</f>
        <v>0</v>
      </c>
      <c r="AQ208" s="987">
        <f>SUMPRODUCT((Producción_Lecheria[[#This Row],[Mes Financiero]]=Tipo_Cambio[Mes])*(Producción_Lecheria[[#This Row],[Año Financiero]]=Tipo_Cambio[Año])*(Tipo_Cambio[$/U$S]))</f>
        <v>0</v>
      </c>
      <c r="AR208" s="987">
        <f>SUMPRODUCT((Producción_Lecheria[[#This Row],[Mes Financiero]]=Tipo_Cambio[Mes])*(Producción_Lecheria[[#This Row],[Año Financiero]]=Tipo_Cambio[Año])*(Tipo_Cambio[Actualización]))</f>
        <v>0</v>
      </c>
      <c r="AS208" s="1009">
        <f>SUMPRODUCT((Producción_Lecheria[[#This Row],[Centro de Costo]]=Tabla1924[Centro de Costo])*(Tabla19[Superficie]))</f>
        <v>2356</v>
      </c>
      <c r="AT208" s="1010">
        <f>IFERROR(Producción_Lecheria[[#This Row],[Económico $Corrientes]]/Producción_Lecheria[[#This Row],[Superficie]],0)</f>
        <v>0</v>
      </c>
      <c r="AU208" s="1010">
        <f>IFERROR(Producción_Lecheria[[#This Row],[Económico $Constantes]]/Producción_Lecheria[[#This Row],[Superficie]],0)</f>
        <v>0</v>
      </c>
      <c r="AV208" s="1010">
        <f>IFERROR(Producción_Lecheria[[#This Row],[Económico U$S Dólares]]/Producción_Lecheria[[#This Row],[Superficie]],0)</f>
        <v>0</v>
      </c>
      <c r="AW208" s="992" t="str">
        <f>IF(Económico!$F$4=0,0,Producción_Lecheria[Centro de Costo])</f>
        <v>Campo 1</v>
      </c>
    </row>
    <row r="209" spans="1:49" x14ac:dyDescent="0.25">
      <c r="A209" s="86"/>
      <c r="D209" s="548">
        <f>DATE(IF(MONTH(D206)=1,YEAR(D206+1),YEAR(D206)),MONTH(D206)+1,1)</f>
        <v>43586</v>
      </c>
      <c r="E209" s="493"/>
      <c r="F209" s="479" t="str">
        <f t="shared" si="18"/>
        <v>2018-2019</v>
      </c>
      <c r="G209" s="576" t="str">
        <f>LCH_Personal</f>
        <v>Personal</v>
      </c>
      <c r="H209" s="481" t="s">
        <v>2</v>
      </c>
      <c r="I209" s="491"/>
      <c r="J209" s="549"/>
      <c r="K209" s="484"/>
      <c r="L20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0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09" s="520"/>
      <c r="O20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09" s="563"/>
      <c r="Q209" s="491"/>
      <c r="R209" s="875">
        <f>IF(ISNUMBER(Producción_Lecheria[[#This Row],[Cabezas]])=TRUE,Producción_Lecheria[[#This Row],[Cabezas]]*Producción_Lecheria[[#This Row],[Cantidad]],Producción_Lecheria[[#This Row],[Cantidad]])</f>
        <v>0</v>
      </c>
      <c r="S209" s="491"/>
      <c r="T209" s="552"/>
      <c r="U209" s="553"/>
      <c r="V20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09" s="977">
        <f>IFERROR(Producción_Lecheria[[#This Row],[Económico $Corrientes]]/Producción_Lecheria[[#This Row],[Indexación Económico]],0)</f>
        <v>0</v>
      </c>
      <c r="X20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0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09" s="977">
        <f>IFERROR(Producción_Lecheria[[#This Row],[Financiero $Corrientes]]/Producción_Lecheria[[#This Row],[Indexación Financiero]],0)</f>
        <v>0</v>
      </c>
      <c r="AA20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0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09" s="981">
        <f>IFERROR(Producción_Lecheria[[#This Row],[Intereses $Corrientes]]/Producción_Lecheria[[#This Row],[Indexación Financiero]],0)</f>
        <v>0</v>
      </c>
      <c r="AD20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09" s="991" t="str">
        <f>IFERROR(INDEX(Produccion_Lecheria_Cuentas[],MATCH(Producción_Lecheria[[#This Row],[Cuenta Contable]],Produccion_Lecheria_Cuentas[Cuenta Contable],0),2),0)</f>
        <v>Egreso</v>
      </c>
      <c r="AF209" s="992">
        <f>IF(Producción_Lecheria[[#This Row],[Mov. Stock]]="(+)",Producción_Lecheria[[#This Row],[Cabezas]],IF(Producción_Lecheria[[#This Row],[Mov. Stock]]="(-)",-Producción_Lecheria[[#This Row],[Cabezas]],0))</f>
        <v>0</v>
      </c>
      <c r="AG209" s="993">
        <f>IFERROR(INDEX(Produccion_Lecheria_Cuentas[],MATCH(Producción_Lecheria[[#This Row],[Cuenta Contable]],Produccion_Lecheria_Cuentas[Cuenta Contable],0),5),0)</f>
        <v>0</v>
      </c>
      <c r="AH209" s="985" t="str">
        <f>IF(Producción_Lecheria[[#This Row],[Cuenta Contable]]=Configuración!$AC$9,"Si","No")</f>
        <v>No</v>
      </c>
      <c r="AI209" s="983" t="str">
        <f>IFERROR(INDEX(Tabla9[],MATCH(Producción_Lecheria[[#This Row],[Movimiento]],Tabla9[Movimientos],0),2),0)</f>
        <v>Si</v>
      </c>
      <c r="AJ209" s="984" t="str">
        <f>IFERROR(INDEX(Tabla9[],MATCH(Producción_Lecheria[[#This Row],[Movimiento]],Tabla9[Movimientos],0),3),0)</f>
        <v>(-)</v>
      </c>
      <c r="AK209" s="986">
        <f>IF(Producción_Lecheria[[#This Row],[Fecha Económico]]=0,0,MONTH(Producción_Lecheria[[#This Row],[Fecha Económico]]))</f>
        <v>5</v>
      </c>
      <c r="AL209" s="986">
        <f>IF(Producción_Lecheria[[#This Row],[Fecha Económico]]=0,0,YEAR(Producción_Lecheria[[#This Row],[Fecha Económico]]))</f>
        <v>2019</v>
      </c>
      <c r="AM209" s="987">
        <f>SUMPRODUCT((Producción_Lecheria[[#This Row],[Mes Económico]]=Tipo_Cambio[Mes])*(Producción_Lecheria[[#This Row],[Año Económico]]=Tipo_Cambio[Año])*(Tipo_Cambio[$/U$S]))</f>
        <v>24.301686759046497</v>
      </c>
      <c r="AN209" s="987">
        <f>SUMPRODUCT((Producción_Lecheria[[#This Row],[Mes Económico]]=Tipo_Cambio[Mes])*(Producción_Lecheria[[#This Row],[Año Económico]]=Tipo_Cambio[Año])*(Tipo_Cambio[Actualización]))</f>
        <v>1.2189944199947573</v>
      </c>
      <c r="AO209" s="986">
        <f>IF(ISNUMBER(Producción_Lecheria[[#This Row],[Fecha Financiero]])=TRUE,MONTH(Producción_Lecheria[[#This Row],[Fecha Financiero]]),0)</f>
        <v>0</v>
      </c>
      <c r="AP209" s="986">
        <f>IF(ISNUMBER(Producción_Lecheria[[#This Row],[Fecha Financiero]])=TRUE,YEAR(Producción_Lecheria[[#This Row],[Fecha Financiero]]),0)</f>
        <v>0</v>
      </c>
      <c r="AQ209" s="987">
        <f>SUMPRODUCT((Producción_Lecheria[[#This Row],[Mes Financiero]]=Tipo_Cambio[Mes])*(Producción_Lecheria[[#This Row],[Año Financiero]]=Tipo_Cambio[Año])*(Tipo_Cambio[$/U$S]))</f>
        <v>0</v>
      </c>
      <c r="AR209" s="987">
        <f>SUMPRODUCT((Producción_Lecheria[[#This Row],[Mes Financiero]]=Tipo_Cambio[Mes])*(Producción_Lecheria[[#This Row],[Año Financiero]]=Tipo_Cambio[Año])*(Tipo_Cambio[Actualización]))</f>
        <v>0</v>
      </c>
      <c r="AS209" s="1009">
        <f>SUMPRODUCT((Producción_Lecheria[[#This Row],[Centro de Costo]]=Tabla1924[Centro de Costo])*(Tabla19[Superficie]))</f>
        <v>2356</v>
      </c>
      <c r="AT209" s="1010">
        <f>IFERROR(Producción_Lecheria[[#This Row],[Económico $Corrientes]]/Producción_Lecheria[[#This Row],[Superficie]],0)</f>
        <v>0</v>
      </c>
      <c r="AU209" s="1010">
        <f>IFERROR(Producción_Lecheria[[#This Row],[Económico $Constantes]]/Producción_Lecheria[[#This Row],[Superficie]],0)</f>
        <v>0</v>
      </c>
      <c r="AV209" s="1010">
        <f>IFERROR(Producción_Lecheria[[#This Row],[Económico U$S Dólares]]/Producción_Lecheria[[#This Row],[Superficie]],0)</f>
        <v>0</v>
      </c>
      <c r="AW209" s="992" t="str">
        <f>IF(Económico!$F$4=0,0,Producción_Lecheria[Centro de Costo])</f>
        <v>Campo 1</v>
      </c>
    </row>
    <row r="210" spans="1:49" x14ac:dyDescent="0.25">
      <c r="A210" s="86"/>
      <c r="D210" s="548">
        <f t="shared" si="17"/>
        <v>43586</v>
      </c>
      <c r="E210" s="493"/>
      <c r="F210" s="479" t="str">
        <f t="shared" si="18"/>
        <v>2018-2019</v>
      </c>
      <c r="G210" s="576" t="str">
        <f>LCH_CArgas</f>
        <v>Cargas Sociales</v>
      </c>
      <c r="H210" s="481" t="s">
        <v>2</v>
      </c>
      <c r="I210" s="491"/>
      <c r="J210" s="549"/>
      <c r="K210" s="484"/>
      <c r="L21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1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10" s="520"/>
      <c r="O21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10" s="563"/>
      <c r="Q210" s="491"/>
      <c r="R210" s="875">
        <f>IF(ISNUMBER(Producción_Lecheria[[#This Row],[Cabezas]])=TRUE,Producción_Lecheria[[#This Row],[Cabezas]]*Producción_Lecheria[[#This Row],[Cantidad]],Producción_Lecheria[[#This Row],[Cantidad]])</f>
        <v>0</v>
      </c>
      <c r="S210" s="491"/>
      <c r="T210" s="552"/>
      <c r="U210" s="553"/>
      <c r="V21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10" s="977">
        <f>IFERROR(Producción_Lecheria[[#This Row],[Económico $Corrientes]]/Producción_Lecheria[[#This Row],[Indexación Económico]],0)</f>
        <v>0</v>
      </c>
      <c r="X21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1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10" s="977">
        <f>IFERROR(Producción_Lecheria[[#This Row],[Financiero $Corrientes]]/Producción_Lecheria[[#This Row],[Indexación Financiero]],0)</f>
        <v>0</v>
      </c>
      <c r="AA21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1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10" s="981">
        <f>IFERROR(Producción_Lecheria[[#This Row],[Intereses $Corrientes]]/Producción_Lecheria[[#This Row],[Indexación Financiero]],0)</f>
        <v>0</v>
      </c>
      <c r="AD21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10" s="991" t="str">
        <f>IFERROR(INDEX(Produccion_Lecheria_Cuentas[],MATCH(Producción_Lecheria[[#This Row],[Cuenta Contable]],Produccion_Lecheria_Cuentas[Cuenta Contable],0),2),0)</f>
        <v>Egreso</v>
      </c>
      <c r="AF210" s="992">
        <f>IF(Producción_Lecheria[[#This Row],[Mov. Stock]]="(+)",Producción_Lecheria[[#This Row],[Cabezas]],IF(Producción_Lecheria[[#This Row],[Mov. Stock]]="(-)",-Producción_Lecheria[[#This Row],[Cabezas]],0))</f>
        <v>0</v>
      </c>
      <c r="AG210" s="993">
        <f>IFERROR(INDEX(Produccion_Lecheria_Cuentas[],MATCH(Producción_Lecheria[[#This Row],[Cuenta Contable]],Produccion_Lecheria_Cuentas[Cuenta Contable],0),5),0)</f>
        <v>0</v>
      </c>
      <c r="AH210" s="985" t="str">
        <f>IF(Producción_Lecheria[[#This Row],[Cuenta Contable]]=Configuración!$AC$9,"Si","No")</f>
        <v>No</v>
      </c>
      <c r="AI210" s="983" t="str">
        <f>IFERROR(INDEX(Tabla9[],MATCH(Producción_Lecheria[[#This Row],[Movimiento]],Tabla9[Movimientos],0),2),0)</f>
        <v>Si</v>
      </c>
      <c r="AJ210" s="984" t="str">
        <f>IFERROR(INDEX(Tabla9[],MATCH(Producción_Lecheria[[#This Row],[Movimiento]],Tabla9[Movimientos],0),3),0)</f>
        <v>(-)</v>
      </c>
      <c r="AK210" s="986">
        <f>IF(Producción_Lecheria[[#This Row],[Fecha Económico]]=0,0,MONTH(Producción_Lecheria[[#This Row],[Fecha Económico]]))</f>
        <v>5</v>
      </c>
      <c r="AL210" s="986">
        <f>IF(Producción_Lecheria[[#This Row],[Fecha Económico]]=0,0,YEAR(Producción_Lecheria[[#This Row],[Fecha Económico]]))</f>
        <v>2019</v>
      </c>
      <c r="AM210" s="987">
        <f>SUMPRODUCT((Producción_Lecheria[[#This Row],[Mes Económico]]=Tipo_Cambio[Mes])*(Producción_Lecheria[[#This Row],[Año Económico]]=Tipo_Cambio[Año])*(Tipo_Cambio[$/U$S]))</f>
        <v>24.301686759046497</v>
      </c>
      <c r="AN210" s="987">
        <f>SUMPRODUCT((Producción_Lecheria[[#This Row],[Mes Económico]]=Tipo_Cambio[Mes])*(Producción_Lecheria[[#This Row],[Año Económico]]=Tipo_Cambio[Año])*(Tipo_Cambio[Actualización]))</f>
        <v>1.2189944199947573</v>
      </c>
      <c r="AO210" s="986">
        <f>IF(ISNUMBER(Producción_Lecheria[[#This Row],[Fecha Financiero]])=TRUE,MONTH(Producción_Lecheria[[#This Row],[Fecha Financiero]]),0)</f>
        <v>0</v>
      </c>
      <c r="AP210" s="986">
        <f>IF(ISNUMBER(Producción_Lecheria[[#This Row],[Fecha Financiero]])=TRUE,YEAR(Producción_Lecheria[[#This Row],[Fecha Financiero]]),0)</f>
        <v>0</v>
      </c>
      <c r="AQ210" s="987">
        <f>SUMPRODUCT((Producción_Lecheria[[#This Row],[Mes Financiero]]=Tipo_Cambio[Mes])*(Producción_Lecheria[[#This Row],[Año Financiero]]=Tipo_Cambio[Año])*(Tipo_Cambio[$/U$S]))</f>
        <v>0</v>
      </c>
      <c r="AR210" s="987">
        <f>SUMPRODUCT((Producción_Lecheria[[#This Row],[Mes Financiero]]=Tipo_Cambio[Mes])*(Producción_Lecheria[[#This Row],[Año Financiero]]=Tipo_Cambio[Año])*(Tipo_Cambio[Actualización]))</f>
        <v>0</v>
      </c>
      <c r="AS210" s="1009">
        <f>SUMPRODUCT((Producción_Lecheria[[#This Row],[Centro de Costo]]=Tabla1924[Centro de Costo])*(Tabla19[Superficie]))</f>
        <v>2356</v>
      </c>
      <c r="AT210" s="1010">
        <f>IFERROR(Producción_Lecheria[[#This Row],[Económico $Corrientes]]/Producción_Lecheria[[#This Row],[Superficie]],0)</f>
        <v>0</v>
      </c>
      <c r="AU210" s="1010">
        <f>IFERROR(Producción_Lecheria[[#This Row],[Económico $Constantes]]/Producción_Lecheria[[#This Row],[Superficie]],0)</f>
        <v>0</v>
      </c>
      <c r="AV210" s="1010">
        <f>IFERROR(Producción_Lecheria[[#This Row],[Económico U$S Dólares]]/Producción_Lecheria[[#This Row],[Superficie]],0)</f>
        <v>0</v>
      </c>
      <c r="AW210" s="992" t="str">
        <f>IF(Económico!$F$4=0,0,Producción_Lecheria[Centro de Costo])</f>
        <v>Campo 1</v>
      </c>
    </row>
    <row r="211" spans="1:49" x14ac:dyDescent="0.25">
      <c r="A211" s="86"/>
      <c r="D211" s="548">
        <f t="shared" si="17"/>
        <v>43586</v>
      </c>
      <c r="E211" s="493"/>
      <c r="F211" s="479" t="str">
        <f t="shared" si="18"/>
        <v>2018-2019</v>
      </c>
      <c r="G211" s="576" t="str">
        <f>Cargas_Manutencion</f>
        <v>Manutención Personal</v>
      </c>
      <c r="H211" s="481" t="s">
        <v>2</v>
      </c>
      <c r="I211" s="491"/>
      <c r="J211" s="549"/>
      <c r="K211" s="484"/>
      <c r="L21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1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11" s="520"/>
      <c r="O21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11" s="563"/>
      <c r="Q211" s="491"/>
      <c r="R211" s="875">
        <f>IF(ISNUMBER(Producción_Lecheria[[#This Row],[Cabezas]])=TRUE,Producción_Lecheria[[#This Row],[Cabezas]]*Producción_Lecheria[[#This Row],[Cantidad]],Producción_Lecheria[[#This Row],[Cantidad]])</f>
        <v>0</v>
      </c>
      <c r="S211" s="491"/>
      <c r="T211" s="552"/>
      <c r="U211" s="553"/>
      <c r="V21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11" s="977">
        <f>IFERROR(Producción_Lecheria[[#This Row],[Económico $Corrientes]]/Producción_Lecheria[[#This Row],[Indexación Económico]],0)</f>
        <v>0</v>
      </c>
      <c r="X21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1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11" s="977">
        <f>IFERROR(Producción_Lecheria[[#This Row],[Financiero $Corrientes]]/Producción_Lecheria[[#This Row],[Indexación Financiero]],0)</f>
        <v>0</v>
      </c>
      <c r="AA21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1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11" s="981">
        <f>IFERROR(Producción_Lecheria[[#This Row],[Intereses $Corrientes]]/Producción_Lecheria[[#This Row],[Indexación Financiero]],0)</f>
        <v>0</v>
      </c>
      <c r="AD21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11" s="991" t="str">
        <f>IFERROR(INDEX(Produccion_Lecheria_Cuentas[],MATCH(Producción_Lecheria[[#This Row],[Cuenta Contable]],Produccion_Lecheria_Cuentas[Cuenta Contable],0),2),0)</f>
        <v>Egreso</v>
      </c>
      <c r="AF211" s="992">
        <f>IF(Producción_Lecheria[[#This Row],[Mov. Stock]]="(+)",Producción_Lecheria[[#This Row],[Cabezas]],IF(Producción_Lecheria[[#This Row],[Mov. Stock]]="(-)",-Producción_Lecheria[[#This Row],[Cabezas]],0))</f>
        <v>0</v>
      </c>
      <c r="AG211" s="993">
        <f>IFERROR(INDEX(Produccion_Lecheria_Cuentas[],MATCH(Producción_Lecheria[[#This Row],[Cuenta Contable]],Produccion_Lecheria_Cuentas[Cuenta Contable],0),5),0)</f>
        <v>0</v>
      </c>
      <c r="AH211" s="985" t="str">
        <f>IF(Producción_Lecheria[[#This Row],[Cuenta Contable]]=Configuración!$AC$9,"Si","No")</f>
        <v>No</v>
      </c>
      <c r="AI211" s="983" t="str">
        <f>IFERROR(INDEX(Tabla9[],MATCH(Producción_Lecheria[[#This Row],[Movimiento]],Tabla9[Movimientos],0),2),0)</f>
        <v>Si</v>
      </c>
      <c r="AJ211" s="984" t="str">
        <f>IFERROR(INDEX(Tabla9[],MATCH(Producción_Lecheria[[#This Row],[Movimiento]],Tabla9[Movimientos],0),3),0)</f>
        <v>(-)</v>
      </c>
      <c r="AK211" s="986">
        <f>IF(Producción_Lecheria[[#This Row],[Fecha Económico]]=0,0,MONTH(Producción_Lecheria[[#This Row],[Fecha Económico]]))</f>
        <v>5</v>
      </c>
      <c r="AL211" s="986">
        <f>IF(Producción_Lecheria[[#This Row],[Fecha Económico]]=0,0,YEAR(Producción_Lecheria[[#This Row],[Fecha Económico]]))</f>
        <v>2019</v>
      </c>
      <c r="AM211" s="987">
        <f>SUMPRODUCT((Producción_Lecheria[[#This Row],[Mes Económico]]=Tipo_Cambio[Mes])*(Producción_Lecheria[[#This Row],[Año Económico]]=Tipo_Cambio[Año])*(Tipo_Cambio[$/U$S]))</f>
        <v>24.301686759046497</v>
      </c>
      <c r="AN211" s="987">
        <f>SUMPRODUCT((Producción_Lecheria[[#This Row],[Mes Económico]]=Tipo_Cambio[Mes])*(Producción_Lecheria[[#This Row],[Año Económico]]=Tipo_Cambio[Año])*(Tipo_Cambio[Actualización]))</f>
        <v>1.2189944199947573</v>
      </c>
      <c r="AO211" s="986">
        <f>IF(ISNUMBER(Producción_Lecheria[[#This Row],[Fecha Financiero]])=TRUE,MONTH(Producción_Lecheria[[#This Row],[Fecha Financiero]]),0)</f>
        <v>0</v>
      </c>
      <c r="AP211" s="986">
        <f>IF(ISNUMBER(Producción_Lecheria[[#This Row],[Fecha Financiero]])=TRUE,YEAR(Producción_Lecheria[[#This Row],[Fecha Financiero]]),0)</f>
        <v>0</v>
      </c>
      <c r="AQ211" s="987">
        <f>SUMPRODUCT((Producción_Lecheria[[#This Row],[Mes Financiero]]=Tipo_Cambio[Mes])*(Producción_Lecheria[[#This Row],[Año Financiero]]=Tipo_Cambio[Año])*(Tipo_Cambio[$/U$S]))</f>
        <v>0</v>
      </c>
      <c r="AR211" s="987">
        <f>SUMPRODUCT((Producción_Lecheria[[#This Row],[Mes Financiero]]=Tipo_Cambio[Mes])*(Producción_Lecheria[[#This Row],[Año Financiero]]=Tipo_Cambio[Año])*(Tipo_Cambio[Actualización]))</f>
        <v>0</v>
      </c>
      <c r="AS211" s="1009">
        <f>SUMPRODUCT((Producción_Lecheria[[#This Row],[Centro de Costo]]=Tabla1924[Centro de Costo])*(Tabla19[Superficie]))</f>
        <v>2356</v>
      </c>
      <c r="AT211" s="1010">
        <f>IFERROR(Producción_Lecheria[[#This Row],[Económico $Corrientes]]/Producción_Lecheria[[#This Row],[Superficie]],0)</f>
        <v>0</v>
      </c>
      <c r="AU211" s="1010">
        <f>IFERROR(Producción_Lecheria[[#This Row],[Económico $Constantes]]/Producción_Lecheria[[#This Row],[Superficie]],0)</f>
        <v>0</v>
      </c>
      <c r="AV211" s="1010">
        <f>IFERROR(Producción_Lecheria[[#This Row],[Económico U$S Dólares]]/Producción_Lecheria[[#This Row],[Superficie]],0)</f>
        <v>0</v>
      </c>
      <c r="AW211" s="992" t="str">
        <f>IF(Económico!$F$4=0,0,Producción_Lecheria[Centro de Costo])</f>
        <v>Campo 1</v>
      </c>
    </row>
    <row r="212" spans="1:49" x14ac:dyDescent="0.25">
      <c r="A212" s="86"/>
      <c r="D212" s="548">
        <f>DATE(IF(MONTH(D209)=1,YEAR(D209+1),YEAR(D209)),MONTH(D209)+1,1)</f>
        <v>43617</v>
      </c>
      <c r="E212" s="493"/>
      <c r="F212" s="479" t="str">
        <f t="shared" si="18"/>
        <v>2018-2019</v>
      </c>
      <c r="G212" s="576" t="str">
        <f>LCH_Personal</f>
        <v>Personal</v>
      </c>
      <c r="H212" s="481" t="s">
        <v>2</v>
      </c>
      <c r="I212" s="491"/>
      <c r="J212" s="549"/>
      <c r="K212" s="484"/>
      <c r="L21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1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12" s="520"/>
      <c r="O21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12" s="563"/>
      <c r="Q212" s="491"/>
      <c r="R212" s="875">
        <f>IF(ISNUMBER(Producción_Lecheria[[#This Row],[Cabezas]])=TRUE,Producción_Lecheria[[#This Row],[Cabezas]]*Producción_Lecheria[[#This Row],[Cantidad]],Producción_Lecheria[[#This Row],[Cantidad]])</f>
        <v>0</v>
      </c>
      <c r="S212" s="491"/>
      <c r="T212" s="552"/>
      <c r="U212" s="553"/>
      <c r="V21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12" s="977">
        <f>IFERROR(Producción_Lecheria[[#This Row],[Económico $Corrientes]]/Producción_Lecheria[[#This Row],[Indexación Económico]],0)</f>
        <v>0</v>
      </c>
      <c r="X21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1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12" s="977">
        <f>IFERROR(Producción_Lecheria[[#This Row],[Financiero $Corrientes]]/Producción_Lecheria[[#This Row],[Indexación Financiero]],0)</f>
        <v>0</v>
      </c>
      <c r="AA21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1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12" s="981">
        <f>IFERROR(Producción_Lecheria[[#This Row],[Intereses $Corrientes]]/Producción_Lecheria[[#This Row],[Indexación Financiero]],0)</f>
        <v>0</v>
      </c>
      <c r="AD21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12" s="991" t="str">
        <f>IFERROR(INDEX(Produccion_Lecheria_Cuentas[],MATCH(Producción_Lecheria[[#This Row],[Cuenta Contable]],Produccion_Lecheria_Cuentas[Cuenta Contable],0),2),0)</f>
        <v>Egreso</v>
      </c>
      <c r="AF212" s="992">
        <f>IF(Producción_Lecheria[[#This Row],[Mov. Stock]]="(+)",Producción_Lecheria[[#This Row],[Cabezas]],IF(Producción_Lecheria[[#This Row],[Mov. Stock]]="(-)",-Producción_Lecheria[[#This Row],[Cabezas]],0))</f>
        <v>0</v>
      </c>
      <c r="AG212" s="993">
        <f>IFERROR(INDEX(Produccion_Lecheria_Cuentas[],MATCH(Producción_Lecheria[[#This Row],[Cuenta Contable]],Produccion_Lecheria_Cuentas[Cuenta Contable],0),5),0)</f>
        <v>0</v>
      </c>
      <c r="AH212" s="985" t="str">
        <f>IF(Producción_Lecheria[[#This Row],[Cuenta Contable]]=Configuración!$AC$9,"Si","No")</f>
        <v>No</v>
      </c>
      <c r="AI212" s="983" t="str">
        <f>IFERROR(INDEX(Tabla9[],MATCH(Producción_Lecheria[[#This Row],[Movimiento]],Tabla9[Movimientos],0),2),0)</f>
        <v>Si</v>
      </c>
      <c r="AJ212" s="984" t="str">
        <f>IFERROR(INDEX(Tabla9[],MATCH(Producción_Lecheria[[#This Row],[Movimiento]],Tabla9[Movimientos],0),3),0)</f>
        <v>(-)</v>
      </c>
      <c r="AK212" s="986">
        <f>IF(Producción_Lecheria[[#This Row],[Fecha Económico]]=0,0,MONTH(Producción_Lecheria[[#This Row],[Fecha Económico]]))</f>
        <v>6</v>
      </c>
      <c r="AL212" s="986">
        <f>IF(Producción_Lecheria[[#This Row],[Fecha Económico]]=0,0,YEAR(Producción_Lecheria[[#This Row],[Fecha Económico]]))</f>
        <v>2019</v>
      </c>
      <c r="AM212" s="987">
        <f>SUMPRODUCT((Producción_Lecheria[[#This Row],[Mes Económico]]=Tipo_Cambio[Mes])*(Producción_Lecheria[[#This Row],[Año Económico]]=Tipo_Cambio[Año])*(Tipo_Cambio[$/U$S]))</f>
        <v>24.544703626636963</v>
      </c>
      <c r="AN212" s="987">
        <f>SUMPRODUCT((Producción_Lecheria[[#This Row],[Mes Económico]]=Tipo_Cambio[Mes])*(Producción_Lecheria[[#This Row],[Año Económico]]=Tipo_Cambio[Año])*(Tipo_Cambio[Actualización]))</f>
        <v>1.2433743083946525</v>
      </c>
      <c r="AO212" s="986">
        <f>IF(ISNUMBER(Producción_Lecheria[[#This Row],[Fecha Financiero]])=TRUE,MONTH(Producción_Lecheria[[#This Row],[Fecha Financiero]]),0)</f>
        <v>0</v>
      </c>
      <c r="AP212" s="986">
        <f>IF(ISNUMBER(Producción_Lecheria[[#This Row],[Fecha Financiero]])=TRUE,YEAR(Producción_Lecheria[[#This Row],[Fecha Financiero]]),0)</f>
        <v>0</v>
      </c>
      <c r="AQ212" s="987">
        <f>SUMPRODUCT((Producción_Lecheria[[#This Row],[Mes Financiero]]=Tipo_Cambio[Mes])*(Producción_Lecheria[[#This Row],[Año Financiero]]=Tipo_Cambio[Año])*(Tipo_Cambio[$/U$S]))</f>
        <v>0</v>
      </c>
      <c r="AR212" s="987">
        <f>SUMPRODUCT((Producción_Lecheria[[#This Row],[Mes Financiero]]=Tipo_Cambio[Mes])*(Producción_Lecheria[[#This Row],[Año Financiero]]=Tipo_Cambio[Año])*(Tipo_Cambio[Actualización]))</f>
        <v>0</v>
      </c>
      <c r="AS212" s="1009">
        <f>SUMPRODUCT((Producción_Lecheria[[#This Row],[Centro de Costo]]=Tabla1924[Centro de Costo])*(Tabla19[Superficie]))</f>
        <v>2356</v>
      </c>
      <c r="AT212" s="1010">
        <f>IFERROR(Producción_Lecheria[[#This Row],[Económico $Corrientes]]/Producción_Lecheria[[#This Row],[Superficie]],0)</f>
        <v>0</v>
      </c>
      <c r="AU212" s="1010">
        <f>IFERROR(Producción_Lecheria[[#This Row],[Económico $Constantes]]/Producción_Lecheria[[#This Row],[Superficie]],0)</f>
        <v>0</v>
      </c>
      <c r="AV212" s="1010">
        <f>IFERROR(Producción_Lecheria[[#This Row],[Económico U$S Dólares]]/Producción_Lecheria[[#This Row],[Superficie]],0)</f>
        <v>0</v>
      </c>
      <c r="AW212" s="992" t="str">
        <f>IF(Económico!$F$4=0,0,Producción_Lecheria[Centro de Costo])</f>
        <v>Campo 1</v>
      </c>
    </row>
    <row r="213" spans="1:49" x14ac:dyDescent="0.25">
      <c r="A213" s="86"/>
      <c r="D213" s="548">
        <f t="shared" si="17"/>
        <v>43617</v>
      </c>
      <c r="E213" s="493"/>
      <c r="F213" s="479" t="str">
        <f t="shared" si="18"/>
        <v>2018-2019</v>
      </c>
      <c r="G213" s="576" t="str">
        <f>LCH_CArgas</f>
        <v>Cargas Sociales</v>
      </c>
      <c r="H213" s="481" t="s">
        <v>2</v>
      </c>
      <c r="I213" s="491"/>
      <c r="J213" s="549"/>
      <c r="K213" s="484"/>
      <c r="L21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1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13" s="520"/>
      <c r="O21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13" s="563"/>
      <c r="Q213" s="491"/>
      <c r="R213" s="875">
        <f>IF(ISNUMBER(Producción_Lecheria[[#This Row],[Cabezas]])=TRUE,Producción_Lecheria[[#This Row],[Cabezas]]*Producción_Lecheria[[#This Row],[Cantidad]],Producción_Lecheria[[#This Row],[Cantidad]])</f>
        <v>0</v>
      </c>
      <c r="S213" s="491"/>
      <c r="T213" s="552"/>
      <c r="U213" s="553"/>
      <c r="V21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13" s="977">
        <f>IFERROR(Producción_Lecheria[[#This Row],[Económico $Corrientes]]/Producción_Lecheria[[#This Row],[Indexación Económico]],0)</f>
        <v>0</v>
      </c>
      <c r="X21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1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13" s="977">
        <f>IFERROR(Producción_Lecheria[[#This Row],[Financiero $Corrientes]]/Producción_Lecheria[[#This Row],[Indexación Financiero]],0)</f>
        <v>0</v>
      </c>
      <c r="AA21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1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13" s="981">
        <f>IFERROR(Producción_Lecheria[[#This Row],[Intereses $Corrientes]]/Producción_Lecheria[[#This Row],[Indexación Financiero]],0)</f>
        <v>0</v>
      </c>
      <c r="AD21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13" s="991" t="str">
        <f>IFERROR(INDEX(Produccion_Lecheria_Cuentas[],MATCH(Producción_Lecheria[[#This Row],[Cuenta Contable]],Produccion_Lecheria_Cuentas[Cuenta Contable],0),2),0)</f>
        <v>Egreso</v>
      </c>
      <c r="AF213" s="992">
        <f>IF(Producción_Lecheria[[#This Row],[Mov. Stock]]="(+)",Producción_Lecheria[[#This Row],[Cabezas]],IF(Producción_Lecheria[[#This Row],[Mov. Stock]]="(-)",-Producción_Lecheria[[#This Row],[Cabezas]],0))</f>
        <v>0</v>
      </c>
      <c r="AG213" s="993">
        <f>IFERROR(INDEX(Produccion_Lecheria_Cuentas[],MATCH(Producción_Lecheria[[#This Row],[Cuenta Contable]],Produccion_Lecheria_Cuentas[Cuenta Contable],0),5),0)</f>
        <v>0</v>
      </c>
      <c r="AH213" s="985" t="str">
        <f>IF(Producción_Lecheria[[#This Row],[Cuenta Contable]]=Configuración!$AC$9,"Si","No")</f>
        <v>No</v>
      </c>
      <c r="AI213" s="983" t="str">
        <f>IFERROR(INDEX(Tabla9[],MATCH(Producción_Lecheria[[#This Row],[Movimiento]],Tabla9[Movimientos],0),2),0)</f>
        <v>Si</v>
      </c>
      <c r="AJ213" s="984" t="str">
        <f>IFERROR(INDEX(Tabla9[],MATCH(Producción_Lecheria[[#This Row],[Movimiento]],Tabla9[Movimientos],0),3),0)</f>
        <v>(-)</v>
      </c>
      <c r="AK213" s="986">
        <f>IF(Producción_Lecheria[[#This Row],[Fecha Económico]]=0,0,MONTH(Producción_Lecheria[[#This Row],[Fecha Económico]]))</f>
        <v>6</v>
      </c>
      <c r="AL213" s="986">
        <f>IF(Producción_Lecheria[[#This Row],[Fecha Económico]]=0,0,YEAR(Producción_Lecheria[[#This Row],[Fecha Económico]]))</f>
        <v>2019</v>
      </c>
      <c r="AM213" s="987">
        <f>SUMPRODUCT((Producción_Lecheria[[#This Row],[Mes Económico]]=Tipo_Cambio[Mes])*(Producción_Lecheria[[#This Row],[Año Económico]]=Tipo_Cambio[Año])*(Tipo_Cambio[$/U$S]))</f>
        <v>24.544703626636963</v>
      </c>
      <c r="AN213" s="987">
        <f>SUMPRODUCT((Producción_Lecheria[[#This Row],[Mes Económico]]=Tipo_Cambio[Mes])*(Producción_Lecheria[[#This Row],[Año Económico]]=Tipo_Cambio[Año])*(Tipo_Cambio[Actualización]))</f>
        <v>1.2433743083946525</v>
      </c>
      <c r="AO213" s="986">
        <f>IF(ISNUMBER(Producción_Lecheria[[#This Row],[Fecha Financiero]])=TRUE,MONTH(Producción_Lecheria[[#This Row],[Fecha Financiero]]),0)</f>
        <v>0</v>
      </c>
      <c r="AP213" s="986">
        <f>IF(ISNUMBER(Producción_Lecheria[[#This Row],[Fecha Financiero]])=TRUE,YEAR(Producción_Lecheria[[#This Row],[Fecha Financiero]]),0)</f>
        <v>0</v>
      </c>
      <c r="AQ213" s="987">
        <f>SUMPRODUCT((Producción_Lecheria[[#This Row],[Mes Financiero]]=Tipo_Cambio[Mes])*(Producción_Lecheria[[#This Row],[Año Financiero]]=Tipo_Cambio[Año])*(Tipo_Cambio[$/U$S]))</f>
        <v>0</v>
      </c>
      <c r="AR213" s="987">
        <f>SUMPRODUCT((Producción_Lecheria[[#This Row],[Mes Financiero]]=Tipo_Cambio[Mes])*(Producción_Lecheria[[#This Row],[Año Financiero]]=Tipo_Cambio[Año])*(Tipo_Cambio[Actualización]))</f>
        <v>0</v>
      </c>
      <c r="AS213" s="1009">
        <f>SUMPRODUCT((Producción_Lecheria[[#This Row],[Centro de Costo]]=Tabla1924[Centro de Costo])*(Tabla19[Superficie]))</f>
        <v>2356</v>
      </c>
      <c r="AT213" s="1010">
        <f>IFERROR(Producción_Lecheria[[#This Row],[Económico $Corrientes]]/Producción_Lecheria[[#This Row],[Superficie]],0)</f>
        <v>0</v>
      </c>
      <c r="AU213" s="1010">
        <f>IFERROR(Producción_Lecheria[[#This Row],[Económico $Constantes]]/Producción_Lecheria[[#This Row],[Superficie]],0)</f>
        <v>0</v>
      </c>
      <c r="AV213" s="1010">
        <f>IFERROR(Producción_Lecheria[[#This Row],[Económico U$S Dólares]]/Producción_Lecheria[[#This Row],[Superficie]],0)</f>
        <v>0</v>
      </c>
      <c r="AW213" s="992" t="str">
        <f>IF(Económico!$F$4=0,0,Producción_Lecheria[Centro de Costo])</f>
        <v>Campo 1</v>
      </c>
    </row>
    <row r="214" spans="1:49" x14ac:dyDescent="0.25">
      <c r="A214" s="86"/>
      <c r="D214" s="548">
        <f t="shared" si="17"/>
        <v>43617</v>
      </c>
      <c r="E214" s="493"/>
      <c r="F214" s="479" t="str">
        <f t="shared" si="18"/>
        <v>2018-2019</v>
      </c>
      <c r="G214" s="576" t="str">
        <f>Cargas_Manutencion</f>
        <v>Manutención Personal</v>
      </c>
      <c r="H214" s="481" t="s">
        <v>2</v>
      </c>
      <c r="I214" s="491"/>
      <c r="J214" s="549"/>
      <c r="K214" s="484"/>
      <c r="L21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1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14" s="520"/>
      <c r="O21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14" s="563"/>
      <c r="Q214" s="491"/>
      <c r="R214" s="875">
        <f>IF(ISNUMBER(Producción_Lecheria[[#This Row],[Cabezas]])=TRUE,Producción_Lecheria[[#This Row],[Cabezas]]*Producción_Lecheria[[#This Row],[Cantidad]],Producción_Lecheria[[#This Row],[Cantidad]])</f>
        <v>0</v>
      </c>
      <c r="S214" s="491"/>
      <c r="T214" s="552"/>
      <c r="U214" s="553"/>
      <c r="V21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14" s="977">
        <f>IFERROR(Producción_Lecheria[[#This Row],[Económico $Corrientes]]/Producción_Lecheria[[#This Row],[Indexación Económico]],0)</f>
        <v>0</v>
      </c>
      <c r="X21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1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14" s="977">
        <f>IFERROR(Producción_Lecheria[[#This Row],[Financiero $Corrientes]]/Producción_Lecheria[[#This Row],[Indexación Financiero]],0)</f>
        <v>0</v>
      </c>
      <c r="AA21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1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14" s="981">
        <f>IFERROR(Producción_Lecheria[[#This Row],[Intereses $Corrientes]]/Producción_Lecheria[[#This Row],[Indexación Financiero]],0)</f>
        <v>0</v>
      </c>
      <c r="AD21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14" s="991" t="str">
        <f>IFERROR(INDEX(Produccion_Lecheria_Cuentas[],MATCH(Producción_Lecheria[[#This Row],[Cuenta Contable]],Produccion_Lecheria_Cuentas[Cuenta Contable],0),2),0)</f>
        <v>Egreso</v>
      </c>
      <c r="AF214" s="992">
        <f>IF(Producción_Lecheria[[#This Row],[Mov. Stock]]="(+)",Producción_Lecheria[[#This Row],[Cabezas]],IF(Producción_Lecheria[[#This Row],[Mov. Stock]]="(-)",-Producción_Lecheria[[#This Row],[Cabezas]],0))</f>
        <v>0</v>
      </c>
      <c r="AG214" s="993">
        <f>IFERROR(INDEX(Produccion_Lecheria_Cuentas[],MATCH(Producción_Lecheria[[#This Row],[Cuenta Contable]],Produccion_Lecheria_Cuentas[Cuenta Contable],0),5),0)</f>
        <v>0</v>
      </c>
      <c r="AH214" s="985" t="str">
        <f>IF(Producción_Lecheria[[#This Row],[Cuenta Contable]]=Configuración!$AC$9,"Si","No")</f>
        <v>No</v>
      </c>
      <c r="AI214" s="983" t="str">
        <f>IFERROR(INDEX(Tabla9[],MATCH(Producción_Lecheria[[#This Row],[Movimiento]],Tabla9[Movimientos],0),2),0)</f>
        <v>Si</v>
      </c>
      <c r="AJ214" s="984" t="str">
        <f>IFERROR(INDEX(Tabla9[],MATCH(Producción_Lecheria[[#This Row],[Movimiento]],Tabla9[Movimientos],0),3),0)</f>
        <v>(-)</v>
      </c>
      <c r="AK214" s="986">
        <f>IF(Producción_Lecheria[[#This Row],[Fecha Económico]]=0,0,MONTH(Producción_Lecheria[[#This Row],[Fecha Económico]]))</f>
        <v>6</v>
      </c>
      <c r="AL214" s="986">
        <f>IF(Producción_Lecheria[[#This Row],[Fecha Económico]]=0,0,YEAR(Producción_Lecheria[[#This Row],[Fecha Económico]]))</f>
        <v>2019</v>
      </c>
      <c r="AM214" s="987">
        <f>SUMPRODUCT((Producción_Lecheria[[#This Row],[Mes Económico]]=Tipo_Cambio[Mes])*(Producción_Lecheria[[#This Row],[Año Económico]]=Tipo_Cambio[Año])*(Tipo_Cambio[$/U$S]))</f>
        <v>24.544703626636963</v>
      </c>
      <c r="AN214" s="987">
        <f>SUMPRODUCT((Producción_Lecheria[[#This Row],[Mes Económico]]=Tipo_Cambio[Mes])*(Producción_Lecheria[[#This Row],[Año Económico]]=Tipo_Cambio[Año])*(Tipo_Cambio[Actualización]))</f>
        <v>1.2433743083946525</v>
      </c>
      <c r="AO214" s="986">
        <f>IF(ISNUMBER(Producción_Lecheria[[#This Row],[Fecha Financiero]])=TRUE,MONTH(Producción_Lecheria[[#This Row],[Fecha Financiero]]),0)</f>
        <v>0</v>
      </c>
      <c r="AP214" s="986">
        <f>IF(ISNUMBER(Producción_Lecheria[[#This Row],[Fecha Financiero]])=TRUE,YEAR(Producción_Lecheria[[#This Row],[Fecha Financiero]]),0)</f>
        <v>0</v>
      </c>
      <c r="AQ214" s="987">
        <f>SUMPRODUCT((Producción_Lecheria[[#This Row],[Mes Financiero]]=Tipo_Cambio[Mes])*(Producción_Lecheria[[#This Row],[Año Financiero]]=Tipo_Cambio[Año])*(Tipo_Cambio[$/U$S]))</f>
        <v>0</v>
      </c>
      <c r="AR214" s="987">
        <f>SUMPRODUCT((Producción_Lecheria[[#This Row],[Mes Financiero]]=Tipo_Cambio[Mes])*(Producción_Lecheria[[#This Row],[Año Financiero]]=Tipo_Cambio[Año])*(Tipo_Cambio[Actualización]))</f>
        <v>0</v>
      </c>
      <c r="AS214" s="1009">
        <f>SUMPRODUCT((Producción_Lecheria[[#This Row],[Centro de Costo]]=Tabla1924[Centro de Costo])*(Tabla19[Superficie]))</f>
        <v>2356</v>
      </c>
      <c r="AT214" s="1010">
        <f>IFERROR(Producción_Lecheria[[#This Row],[Económico $Corrientes]]/Producción_Lecheria[[#This Row],[Superficie]],0)</f>
        <v>0</v>
      </c>
      <c r="AU214" s="1010">
        <f>IFERROR(Producción_Lecheria[[#This Row],[Económico $Constantes]]/Producción_Lecheria[[#This Row],[Superficie]],0)</f>
        <v>0</v>
      </c>
      <c r="AV214" s="1010">
        <f>IFERROR(Producción_Lecheria[[#This Row],[Económico U$S Dólares]]/Producción_Lecheria[[#This Row],[Superficie]],0)</f>
        <v>0</v>
      </c>
      <c r="AW214" s="992" t="str">
        <f>IF(Económico!$F$4=0,0,Producción_Lecheria[Centro de Costo])</f>
        <v>Campo 1</v>
      </c>
    </row>
    <row r="215" spans="1:49" x14ac:dyDescent="0.25">
      <c r="A215" s="86"/>
      <c r="D215" s="548"/>
      <c r="E215" s="493"/>
      <c r="F215" s="479" t="str">
        <f t="shared" si="18"/>
        <v>2018-2019</v>
      </c>
      <c r="G215" s="576"/>
      <c r="H215" s="481"/>
      <c r="I215" s="491"/>
      <c r="J215" s="549"/>
      <c r="K215" s="484"/>
      <c r="L21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1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15" s="520"/>
      <c r="O21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15" s="563"/>
      <c r="Q215" s="491"/>
      <c r="R215" s="875">
        <f>IF(ISNUMBER(Producción_Lecheria[[#This Row],[Cabezas]])=TRUE,Producción_Lecheria[[#This Row],[Cabezas]]*Producción_Lecheria[[#This Row],[Cantidad]],Producción_Lecheria[[#This Row],[Cantidad]])</f>
        <v>0</v>
      </c>
      <c r="S215" s="491"/>
      <c r="T215" s="552"/>
      <c r="U215" s="553"/>
      <c r="V21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15" s="977">
        <f>IFERROR(Producción_Lecheria[[#This Row],[Económico $Corrientes]]/Producción_Lecheria[[#This Row],[Indexación Económico]],0)</f>
        <v>0</v>
      </c>
      <c r="X21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1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15" s="977">
        <f>IFERROR(Producción_Lecheria[[#This Row],[Financiero $Corrientes]]/Producción_Lecheria[[#This Row],[Indexación Financiero]],0)</f>
        <v>0</v>
      </c>
      <c r="AA21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1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15" s="981">
        <f>IFERROR(Producción_Lecheria[[#This Row],[Intereses $Corrientes]]/Producción_Lecheria[[#This Row],[Indexación Financiero]],0)</f>
        <v>0</v>
      </c>
      <c r="AD21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15" s="991">
        <f>IFERROR(INDEX(Produccion_Lecheria_Cuentas[],MATCH(Producción_Lecheria[[#This Row],[Cuenta Contable]],Produccion_Lecheria_Cuentas[Cuenta Contable],0),2),0)</f>
        <v>0</v>
      </c>
      <c r="AF215" s="992">
        <f>IF(Producción_Lecheria[[#This Row],[Mov. Stock]]="(+)",Producción_Lecheria[[#This Row],[Cabezas]],IF(Producción_Lecheria[[#This Row],[Mov. Stock]]="(-)",-Producción_Lecheria[[#This Row],[Cabezas]],0))</f>
        <v>0</v>
      </c>
      <c r="AG215" s="993">
        <f>IFERROR(INDEX(Produccion_Lecheria_Cuentas[],MATCH(Producción_Lecheria[[#This Row],[Cuenta Contable]],Produccion_Lecheria_Cuentas[Cuenta Contable],0),5),0)</f>
        <v>0</v>
      </c>
      <c r="AH215" s="985" t="str">
        <f>IF(Producción_Lecheria[[#This Row],[Cuenta Contable]]=Configuración!$AC$9,"Si","No")</f>
        <v>No</v>
      </c>
      <c r="AI215" s="983">
        <f>IFERROR(INDEX(Tabla9[],MATCH(Producción_Lecheria[[#This Row],[Movimiento]],Tabla9[Movimientos],0),2),0)</f>
        <v>0</v>
      </c>
      <c r="AJ215" s="984">
        <f>IFERROR(INDEX(Tabla9[],MATCH(Producción_Lecheria[[#This Row],[Movimiento]],Tabla9[Movimientos],0),3),0)</f>
        <v>0</v>
      </c>
      <c r="AK215" s="986">
        <f>IF(Producción_Lecheria[[#This Row],[Fecha Económico]]=0,0,MONTH(Producción_Lecheria[[#This Row],[Fecha Económico]]))</f>
        <v>0</v>
      </c>
      <c r="AL215" s="986">
        <f>IF(Producción_Lecheria[[#This Row],[Fecha Económico]]=0,0,YEAR(Producción_Lecheria[[#This Row],[Fecha Económico]]))</f>
        <v>0</v>
      </c>
      <c r="AM215" s="987">
        <f>SUMPRODUCT((Producción_Lecheria[[#This Row],[Mes Económico]]=Tipo_Cambio[Mes])*(Producción_Lecheria[[#This Row],[Año Económico]]=Tipo_Cambio[Año])*(Tipo_Cambio[$/U$S]))</f>
        <v>0</v>
      </c>
      <c r="AN215" s="987">
        <f>SUMPRODUCT((Producción_Lecheria[[#This Row],[Mes Económico]]=Tipo_Cambio[Mes])*(Producción_Lecheria[[#This Row],[Año Económico]]=Tipo_Cambio[Año])*(Tipo_Cambio[Actualización]))</f>
        <v>0</v>
      </c>
      <c r="AO215" s="986">
        <f>IF(ISNUMBER(Producción_Lecheria[[#This Row],[Fecha Financiero]])=TRUE,MONTH(Producción_Lecheria[[#This Row],[Fecha Financiero]]),0)</f>
        <v>0</v>
      </c>
      <c r="AP215" s="986">
        <f>IF(ISNUMBER(Producción_Lecheria[[#This Row],[Fecha Financiero]])=TRUE,YEAR(Producción_Lecheria[[#This Row],[Fecha Financiero]]),0)</f>
        <v>0</v>
      </c>
      <c r="AQ215" s="987">
        <f>SUMPRODUCT((Producción_Lecheria[[#This Row],[Mes Financiero]]=Tipo_Cambio[Mes])*(Producción_Lecheria[[#This Row],[Año Financiero]]=Tipo_Cambio[Año])*(Tipo_Cambio[$/U$S]))</f>
        <v>0</v>
      </c>
      <c r="AR215" s="987">
        <f>SUMPRODUCT((Producción_Lecheria[[#This Row],[Mes Financiero]]=Tipo_Cambio[Mes])*(Producción_Lecheria[[#This Row],[Año Financiero]]=Tipo_Cambio[Año])*(Tipo_Cambio[Actualización]))</f>
        <v>0</v>
      </c>
      <c r="AS215" s="1009">
        <f>SUMPRODUCT((Producción_Lecheria[[#This Row],[Centro de Costo]]=Tabla1924[Centro de Costo])*(Tabla19[Superficie]))</f>
        <v>0</v>
      </c>
      <c r="AT215" s="1010">
        <f>IFERROR(Producción_Lecheria[[#This Row],[Económico $Corrientes]]/Producción_Lecheria[[#This Row],[Superficie]],0)</f>
        <v>0</v>
      </c>
      <c r="AU215" s="1010">
        <f>IFERROR(Producción_Lecheria[[#This Row],[Económico $Constantes]]/Producción_Lecheria[[#This Row],[Superficie]],0)</f>
        <v>0</v>
      </c>
      <c r="AV215" s="1010">
        <f>IFERROR(Producción_Lecheria[[#This Row],[Económico U$S Dólares]]/Producción_Lecheria[[#This Row],[Superficie]],0)</f>
        <v>0</v>
      </c>
      <c r="AW215" s="992">
        <f>IF(Económico!$F$4=0,0,Producción_Lecheria[Centro de Costo])</f>
        <v>0</v>
      </c>
    </row>
    <row r="216" spans="1:49" x14ac:dyDescent="0.25">
      <c r="A216" s="86"/>
      <c r="D216" s="548"/>
      <c r="E216" s="493"/>
      <c r="F216" s="479" t="str">
        <f t="shared" si="18"/>
        <v>2018-2019</v>
      </c>
      <c r="G216" s="576"/>
      <c r="H216" s="481"/>
      <c r="I216" s="491"/>
      <c r="J216" s="549"/>
      <c r="K216" s="484"/>
      <c r="L21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1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16" s="520"/>
      <c r="O21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16" s="563"/>
      <c r="Q216" s="491"/>
      <c r="R216" s="875">
        <f>IF(ISNUMBER(Producción_Lecheria[[#This Row],[Cabezas]])=TRUE,Producción_Lecheria[[#This Row],[Cabezas]]*Producción_Lecheria[[#This Row],[Cantidad]],Producción_Lecheria[[#This Row],[Cantidad]])</f>
        <v>0</v>
      </c>
      <c r="S216" s="491"/>
      <c r="T216" s="552"/>
      <c r="U216" s="553"/>
      <c r="V21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16" s="977">
        <f>IFERROR(Producción_Lecheria[[#This Row],[Económico $Corrientes]]/Producción_Lecheria[[#This Row],[Indexación Económico]],0)</f>
        <v>0</v>
      </c>
      <c r="X21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1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16" s="977">
        <f>IFERROR(Producción_Lecheria[[#This Row],[Financiero $Corrientes]]/Producción_Lecheria[[#This Row],[Indexación Financiero]],0)</f>
        <v>0</v>
      </c>
      <c r="AA21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1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16" s="981">
        <f>IFERROR(Producción_Lecheria[[#This Row],[Intereses $Corrientes]]/Producción_Lecheria[[#This Row],[Indexación Financiero]],0)</f>
        <v>0</v>
      </c>
      <c r="AD21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16" s="991">
        <f>IFERROR(INDEX(Produccion_Lecheria_Cuentas[],MATCH(Producción_Lecheria[[#This Row],[Cuenta Contable]],Produccion_Lecheria_Cuentas[Cuenta Contable],0),2),0)</f>
        <v>0</v>
      </c>
      <c r="AF216" s="992">
        <f>IF(Producción_Lecheria[[#This Row],[Mov. Stock]]="(+)",Producción_Lecheria[[#This Row],[Cabezas]],IF(Producción_Lecheria[[#This Row],[Mov. Stock]]="(-)",-Producción_Lecheria[[#This Row],[Cabezas]],0))</f>
        <v>0</v>
      </c>
      <c r="AG216" s="993">
        <f>IFERROR(INDEX(Produccion_Lecheria_Cuentas[],MATCH(Producción_Lecheria[[#This Row],[Cuenta Contable]],Produccion_Lecheria_Cuentas[Cuenta Contable],0),5),0)</f>
        <v>0</v>
      </c>
      <c r="AH216" s="985" t="str">
        <f>IF(Producción_Lecheria[[#This Row],[Cuenta Contable]]=Configuración!$AC$9,"Si","No")</f>
        <v>No</v>
      </c>
      <c r="AI216" s="983">
        <f>IFERROR(INDEX(Tabla9[],MATCH(Producción_Lecheria[[#This Row],[Movimiento]],Tabla9[Movimientos],0),2),0)</f>
        <v>0</v>
      </c>
      <c r="AJ216" s="984">
        <f>IFERROR(INDEX(Tabla9[],MATCH(Producción_Lecheria[[#This Row],[Movimiento]],Tabla9[Movimientos],0),3),0)</f>
        <v>0</v>
      </c>
      <c r="AK216" s="986">
        <f>IF(Producción_Lecheria[[#This Row],[Fecha Económico]]=0,0,MONTH(Producción_Lecheria[[#This Row],[Fecha Económico]]))</f>
        <v>0</v>
      </c>
      <c r="AL216" s="986">
        <f>IF(Producción_Lecheria[[#This Row],[Fecha Económico]]=0,0,YEAR(Producción_Lecheria[[#This Row],[Fecha Económico]]))</f>
        <v>0</v>
      </c>
      <c r="AM216" s="987">
        <f>SUMPRODUCT((Producción_Lecheria[[#This Row],[Mes Económico]]=Tipo_Cambio[Mes])*(Producción_Lecheria[[#This Row],[Año Económico]]=Tipo_Cambio[Año])*(Tipo_Cambio[$/U$S]))</f>
        <v>0</v>
      </c>
      <c r="AN216" s="987">
        <f>SUMPRODUCT((Producción_Lecheria[[#This Row],[Mes Económico]]=Tipo_Cambio[Mes])*(Producción_Lecheria[[#This Row],[Año Económico]]=Tipo_Cambio[Año])*(Tipo_Cambio[Actualización]))</f>
        <v>0</v>
      </c>
      <c r="AO216" s="986">
        <f>IF(ISNUMBER(Producción_Lecheria[[#This Row],[Fecha Financiero]])=TRUE,MONTH(Producción_Lecheria[[#This Row],[Fecha Financiero]]),0)</f>
        <v>0</v>
      </c>
      <c r="AP216" s="986">
        <f>IF(ISNUMBER(Producción_Lecheria[[#This Row],[Fecha Financiero]])=TRUE,YEAR(Producción_Lecheria[[#This Row],[Fecha Financiero]]),0)</f>
        <v>0</v>
      </c>
      <c r="AQ216" s="987">
        <f>SUMPRODUCT((Producción_Lecheria[[#This Row],[Mes Financiero]]=Tipo_Cambio[Mes])*(Producción_Lecheria[[#This Row],[Año Financiero]]=Tipo_Cambio[Año])*(Tipo_Cambio[$/U$S]))</f>
        <v>0</v>
      </c>
      <c r="AR216" s="987">
        <f>SUMPRODUCT((Producción_Lecheria[[#This Row],[Mes Financiero]]=Tipo_Cambio[Mes])*(Producción_Lecheria[[#This Row],[Año Financiero]]=Tipo_Cambio[Año])*(Tipo_Cambio[Actualización]))</f>
        <v>0</v>
      </c>
      <c r="AS216" s="1009">
        <f>SUMPRODUCT((Producción_Lecheria[[#This Row],[Centro de Costo]]=Tabla1924[Centro de Costo])*(Tabla19[Superficie]))</f>
        <v>0</v>
      </c>
      <c r="AT216" s="1010">
        <f>IFERROR(Producción_Lecheria[[#This Row],[Económico $Corrientes]]/Producción_Lecheria[[#This Row],[Superficie]],0)</f>
        <v>0</v>
      </c>
      <c r="AU216" s="1010">
        <f>IFERROR(Producción_Lecheria[[#This Row],[Económico $Constantes]]/Producción_Lecheria[[#This Row],[Superficie]],0)</f>
        <v>0</v>
      </c>
      <c r="AV216" s="1010">
        <f>IFERROR(Producción_Lecheria[[#This Row],[Económico U$S Dólares]]/Producción_Lecheria[[#This Row],[Superficie]],0)</f>
        <v>0</v>
      </c>
      <c r="AW216" s="992">
        <f>IF(Económico!$F$4=0,0,Producción_Lecheria[Centro de Costo])</f>
        <v>0</v>
      </c>
    </row>
    <row r="217" spans="1:49" x14ac:dyDescent="0.25">
      <c r="A217" s="86"/>
      <c r="D217" s="548"/>
      <c r="E217" s="493"/>
      <c r="F217" s="479" t="str">
        <f t="shared" si="18"/>
        <v>2018-2019</v>
      </c>
      <c r="G217" s="576"/>
      <c r="H217" s="481"/>
      <c r="I217" s="491"/>
      <c r="J217" s="549"/>
      <c r="K217" s="484"/>
      <c r="L21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1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17" s="520"/>
      <c r="O21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17" s="563"/>
      <c r="Q217" s="491"/>
      <c r="R217" s="875">
        <f>IF(ISNUMBER(Producción_Lecheria[[#This Row],[Cabezas]])=TRUE,Producción_Lecheria[[#This Row],[Cabezas]]*Producción_Lecheria[[#This Row],[Cantidad]],Producción_Lecheria[[#This Row],[Cantidad]])</f>
        <v>0</v>
      </c>
      <c r="S217" s="491"/>
      <c r="T217" s="552"/>
      <c r="U217" s="553"/>
      <c r="V21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17" s="977">
        <f>IFERROR(Producción_Lecheria[[#This Row],[Económico $Corrientes]]/Producción_Lecheria[[#This Row],[Indexación Económico]],0)</f>
        <v>0</v>
      </c>
      <c r="X21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1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17" s="977">
        <f>IFERROR(Producción_Lecheria[[#This Row],[Financiero $Corrientes]]/Producción_Lecheria[[#This Row],[Indexación Financiero]],0)</f>
        <v>0</v>
      </c>
      <c r="AA21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1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17" s="981">
        <f>IFERROR(Producción_Lecheria[[#This Row],[Intereses $Corrientes]]/Producción_Lecheria[[#This Row],[Indexación Financiero]],0)</f>
        <v>0</v>
      </c>
      <c r="AD21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17" s="991">
        <f>IFERROR(INDEX(Produccion_Lecheria_Cuentas[],MATCH(Producción_Lecheria[[#This Row],[Cuenta Contable]],Produccion_Lecheria_Cuentas[Cuenta Contable],0),2),0)</f>
        <v>0</v>
      </c>
      <c r="AF217" s="992">
        <f>IF(Producción_Lecheria[[#This Row],[Mov. Stock]]="(+)",Producción_Lecheria[[#This Row],[Cabezas]],IF(Producción_Lecheria[[#This Row],[Mov. Stock]]="(-)",-Producción_Lecheria[[#This Row],[Cabezas]],0))</f>
        <v>0</v>
      </c>
      <c r="AG217" s="993">
        <f>IFERROR(INDEX(Produccion_Lecheria_Cuentas[],MATCH(Producción_Lecheria[[#This Row],[Cuenta Contable]],Produccion_Lecheria_Cuentas[Cuenta Contable],0),5),0)</f>
        <v>0</v>
      </c>
      <c r="AH217" s="985" t="str">
        <f>IF(Producción_Lecheria[[#This Row],[Cuenta Contable]]=Configuración!$AC$9,"Si","No")</f>
        <v>No</v>
      </c>
      <c r="AI217" s="983">
        <f>IFERROR(INDEX(Tabla9[],MATCH(Producción_Lecheria[[#This Row],[Movimiento]],Tabla9[Movimientos],0),2),0)</f>
        <v>0</v>
      </c>
      <c r="AJ217" s="984">
        <f>IFERROR(INDEX(Tabla9[],MATCH(Producción_Lecheria[[#This Row],[Movimiento]],Tabla9[Movimientos],0),3),0)</f>
        <v>0</v>
      </c>
      <c r="AK217" s="986">
        <f>IF(Producción_Lecheria[[#This Row],[Fecha Económico]]=0,0,MONTH(Producción_Lecheria[[#This Row],[Fecha Económico]]))</f>
        <v>0</v>
      </c>
      <c r="AL217" s="986">
        <f>IF(Producción_Lecheria[[#This Row],[Fecha Económico]]=0,0,YEAR(Producción_Lecheria[[#This Row],[Fecha Económico]]))</f>
        <v>0</v>
      </c>
      <c r="AM217" s="987">
        <f>SUMPRODUCT((Producción_Lecheria[[#This Row],[Mes Económico]]=Tipo_Cambio[Mes])*(Producción_Lecheria[[#This Row],[Año Económico]]=Tipo_Cambio[Año])*(Tipo_Cambio[$/U$S]))</f>
        <v>0</v>
      </c>
      <c r="AN217" s="987">
        <f>SUMPRODUCT((Producción_Lecheria[[#This Row],[Mes Económico]]=Tipo_Cambio[Mes])*(Producción_Lecheria[[#This Row],[Año Económico]]=Tipo_Cambio[Año])*(Tipo_Cambio[Actualización]))</f>
        <v>0</v>
      </c>
      <c r="AO217" s="986">
        <f>IF(ISNUMBER(Producción_Lecheria[[#This Row],[Fecha Financiero]])=TRUE,MONTH(Producción_Lecheria[[#This Row],[Fecha Financiero]]),0)</f>
        <v>0</v>
      </c>
      <c r="AP217" s="986">
        <f>IF(ISNUMBER(Producción_Lecheria[[#This Row],[Fecha Financiero]])=TRUE,YEAR(Producción_Lecheria[[#This Row],[Fecha Financiero]]),0)</f>
        <v>0</v>
      </c>
      <c r="AQ217" s="987">
        <f>SUMPRODUCT((Producción_Lecheria[[#This Row],[Mes Financiero]]=Tipo_Cambio[Mes])*(Producción_Lecheria[[#This Row],[Año Financiero]]=Tipo_Cambio[Año])*(Tipo_Cambio[$/U$S]))</f>
        <v>0</v>
      </c>
      <c r="AR217" s="987">
        <f>SUMPRODUCT((Producción_Lecheria[[#This Row],[Mes Financiero]]=Tipo_Cambio[Mes])*(Producción_Lecheria[[#This Row],[Año Financiero]]=Tipo_Cambio[Año])*(Tipo_Cambio[Actualización]))</f>
        <v>0</v>
      </c>
      <c r="AS217" s="1009">
        <f>SUMPRODUCT((Producción_Lecheria[[#This Row],[Centro de Costo]]=Tabla1924[Centro de Costo])*(Tabla19[Superficie]))</f>
        <v>0</v>
      </c>
      <c r="AT217" s="1010">
        <f>IFERROR(Producción_Lecheria[[#This Row],[Económico $Corrientes]]/Producción_Lecheria[[#This Row],[Superficie]],0)</f>
        <v>0</v>
      </c>
      <c r="AU217" s="1010">
        <f>IFERROR(Producción_Lecheria[[#This Row],[Económico $Constantes]]/Producción_Lecheria[[#This Row],[Superficie]],0)</f>
        <v>0</v>
      </c>
      <c r="AV217" s="1010">
        <f>IFERROR(Producción_Lecheria[[#This Row],[Económico U$S Dólares]]/Producción_Lecheria[[#This Row],[Superficie]],0)</f>
        <v>0</v>
      </c>
      <c r="AW217" s="992">
        <f>IF(Económico!$F$4=0,0,Producción_Lecheria[Centro de Costo])</f>
        <v>0</v>
      </c>
    </row>
    <row r="218" spans="1:49" ht="15.75" thickBot="1" x14ac:dyDescent="0.3">
      <c r="A218" s="86"/>
      <c r="B218" s="373" t="s">
        <v>101</v>
      </c>
      <c r="D218" s="592"/>
      <c r="E218" s="593"/>
      <c r="F218" s="566" t="str">
        <f t="shared" si="18"/>
        <v>2018-2019</v>
      </c>
      <c r="G218" s="594"/>
      <c r="H218" s="567"/>
      <c r="I218" s="567"/>
      <c r="J218" s="568"/>
      <c r="K218" s="595"/>
      <c r="L218" s="967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18" s="963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18" s="569"/>
      <c r="O218" s="974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18" s="596"/>
      <c r="Q218" s="567"/>
      <c r="R218" s="976">
        <f>IF(ISNUMBER(Producción_Lecheria[[#This Row],[Cabezas]])=TRUE,Producción_Lecheria[[#This Row],[Cabezas]]*Producción_Lecheria[[#This Row],[Cantidad]],Producción_Lecheria[[#This Row],[Cantidad]])</f>
        <v>0</v>
      </c>
      <c r="S218" s="567"/>
      <c r="T218" s="571"/>
      <c r="U218" s="572"/>
      <c r="V218" s="1011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18" s="1012">
        <f>IFERROR(Producción_Lecheria[[#This Row],[Económico $Corrientes]]/Producción_Lecheria[[#This Row],[Indexación Económico]],0)</f>
        <v>0</v>
      </c>
      <c r="X218" s="1013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18" s="1011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18" s="1012">
        <f>IFERROR(Producción_Lecheria[[#This Row],[Financiero $Corrientes]]/Producción_Lecheria[[#This Row],[Indexación Financiero]],0)</f>
        <v>0</v>
      </c>
      <c r="AA218" s="1014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18" s="1015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18" s="1016">
        <f>IFERROR(Producción_Lecheria[[#This Row],[Intereses $Corrientes]]/Producción_Lecheria[[#This Row],[Indexación Financiero]],0)</f>
        <v>0</v>
      </c>
      <c r="AD218" s="101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18" s="1017">
        <f>IFERROR(INDEX(Produccion_Lecheria_Cuentas[],MATCH(Producción_Lecheria[[#This Row],[Cuenta Contable]],Produccion_Lecheria_Cuentas[Cuenta Contable],0),2),0)</f>
        <v>0</v>
      </c>
      <c r="AF218" s="1018">
        <f>IF(Producción_Lecheria[[#This Row],[Mov. Stock]]="(+)",Producción_Lecheria[[#This Row],[Cabezas]],IF(Producción_Lecheria[[#This Row],[Mov. Stock]]="(-)",-Producción_Lecheria[[#This Row],[Cabezas]],0))</f>
        <v>0</v>
      </c>
      <c r="AG218" s="1019">
        <f>IFERROR(INDEX(Produccion_Lecheria_Cuentas[],MATCH(Producción_Lecheria[[#This Row],[Cuenta Contable]],Produccion_Lecheria_Cuentas[Cuenta Contable],0),5),0)</f>
        <v>0</v>
      </c>
      <c r="AH218" s="1023" t="str">
        <f>IF(Producción_Lecheria[[#This Row],[Cuenta Contable]]=Configuración!$AC$9,"Si","No")</f>
        <v>No</v>
      </c>
      <c r="AI218" s="1021">
        <f>IFERROR(INDEX(Tabla9[],MATCH(Producción_Lecheria[[#This Row],[Movimiento]],Tabla9[Movimientos],0),2),0)</f>
        <v>0</v>
      </c>
      <c r="AJ218" s="1022">
        <f>IFERROR(INDEX(Tabla9[],MATCH(Producción_Lecheria[[#This Row],[Movimiento]],Tabla9[Movimientos],0),3),0)</f>
        <v>0</v>
      </c>
      <c r="AK218" s="1016">
        <f>IF(Producción_Lecheria[[#This Row],[Fecha Económico]]=0,0,MONTH(Producción_Lecheria[[#This Row],[Fecha Económico]]))</f>
        <v>0</v>
      </c>
      <c r="AL218" s="1016">
        <f>IF(Producción_Lecheria[[#This Row],[Fecha Económico]]=0,0,YEAR(Producción_Lecheria[[#This Row],[Fecha Económico]]))</f>
        <v>0</v>
      </c>
      <c r="AM218" s="1023">
        <f>SUMPRODUCT((Producción_Lecheria[[#This Row],[Mes Económico]]=Tipo_Cambio[Mes])*(Producción_Lecheria[[#This Row],[Año Económico]]=Tipo_Cambio[Año])*(Tipo_Cambio[$/U$S]))</f>
        <v>0</v>
      </c>
      <c r="AN218" s="1023">
        <f>SUMPRODUCT((Producción_Lecheria[[#This Row],[Mes Económico]]=Tipo_Cambio[Mes])*(Producción_Lecheria[[#This Row],[Año Económico]]=Tipo_Cambio[Año])*(Tipo_Cambio[Actualización]))</f>
        <v>0</v>
      </c>
      <c r="AO218" s="1016">
        <f>IF(ISNUMBER(Producción_Lecheria[[#This Row],[Fecha Financiero]])=TRUE,MONTH(Producción_Lecheria[[#This Row],[Fecha Financiero]]),0)</f>
        <v>0</v>
      </c>
      <c r="AP218" s="1016">
        <f>IF(ISNUMBER(Producción_Lecheria[[#This Row],[Fecha Financiero]])=TRUE,YEAR(Producción_Lecheria[[#This Row],[Fecha Financiero]]),0)</f>
        <v>0</v>
      </c>
      <c r="AQ218" s="1023">
        <f>SUMPRODUCT((Producción_Lecheria[[#This Row],[Mes Financiero]]=Tipo_Cambio[Mes])*(Producción_Lecheria[[#This Row],[Año Financiero]]=Tipo_Cambio[Año])*(Tipo_Cambio[$/U$S]))</f>
        <v>0</v>
      </c>
      <c r="AR218" s="1023">
        <f>SUMPRODUCT((Producción_Lecheria[[#This Row],[Mes Financiero]]=Tipo_Cambio[Mes])*(Producción_Lecheria[[#This Row],[Año Financiero]]=Tipo_Cambio[Año])*(Tipo_Cambio[Actualización]))</f>
        <v>0</v>
      </c>
      <c r="AS218" s="1042">
        <f>SUMPRODUCT((Producción_Lecheria[[#This Row],[Centro de Costo]]=Tabla1924[Centro de Costo])*(Tabla19[Superficie]))</f>
        <v>0</v>
      </c>
      <c r="AT218" s="1020">
        <f>IFERROR(Producción_Lecheria[[#This Row],[Económico $Corrientes]]/Producción_Lecheria[[#This Row],[Superficie]],0)</f>
        <v>0</v>
      </c>
      <c r="AU218" s="1020">
        <f>IFERROR(Producción_Lecheria[[#This Row],[Económico $Constantes]]/Producción_Lecheria[[#This Row],[Superficie]],0)</f>
        <v>0</v>
      </c>
      <c r="AV218" s="1020">
        <f>IFERROR(Producción_Lecheria[[#This Row],[Económico U$S Dólares]]/Producción_Lecheria[[#This Row],[Superficie]],0)</f>
        <v>0</v>
      </c>
      <c r="AW218" s="1018">
        <f>IF(Económico!$F$4=0,0,Producción_Lecheria[Centro de Costo])</f>
        <v>0</v>
      </c>
    </row>
    <row r="219" spans="1:49" ht="15.75" thickTop="1" x14ac:dyDescent="0.25">
      <c r="A219" s="86"/>
      <c r="B219" s="378" t="str">
        <f>Configuración!BG21</f>
        <v>Sanidad Productos</v>
      </c>
      <c r="D219" s="579">
        <f>DATE(LEFT(Producción_Lecheria[[#This Row],[Campaña]],4),7,1)</f>
        <v>43282</v>
      </c>
      <c r="E219" s="493"/>
      <c r="F219" s="479" t="str">
        <f t="shared" si="18"/>
        <v>2018-2019</v>
      </c>
      <c r="G219" s="576" t="str">
        <f t="shared" ref="G219:G230" si="19">LCH_Sanidad_Prod</f>
        <v>Sanidad Productos</v>
      </c>
      <c r="H219" s="481" t="s">
        <v>2</v>
      </c>
      <c r="I219" s="491"/>
      <c r="J219" s="549"/>
      <c r="K219" s="484"/>
      <c r="L21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1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19" s="520"/>
      <c r="O21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19" s="563"/>
      <c r="Q219" s="491"/>
      <c r="R219" s="875">
        <f>IF(ISNUMBER(Producción_Lecheria[[#This Row],[Cabezas]])=TRUE,Producción_Lecheria[[#This Row],[Cabezas]]*Producción_Lecheria[[#This Row],[Cantidad]],Producción_Lecheria[[#This Row],[Cantidad]])</f>
        <v>0</v>
      </c>
      <c r="S219" s="491"/>
      <c r="T219" s="552"/>
      <c r="U219" s="553"/>
      <c r="V21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19" s="977">
        <f>IFERROR(Producción_Lecheria[[#This Row],[Económico $Corrientes]]/Producción_Lecheria[[#This Row],[Indexación Económico]],0)</f>
        <v>0</v>
      </c>
      <c r="X21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1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19" s="977">
        <f>IFERROR(Producción_Lecheria[[#This Row],[Financiero $Corrientes]]/Producción_Lecheria[[#This Row],[Indexación Financiero]],0)</f>
        <v>0</v>
      </c>
      <c r="AA21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1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19" s="981">
        <f>IFERROR(Producción_Lecheria[[#This Row],[Intereses $Corrientes]]/Producción_Lecheria[[#This Row],[Indexación Financiero]],0)</f>
        <v>0</v>
      </c>
      <c r="AD21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19" s="991" t="str">
        <f>IFERROR(INDEX(Produccion_Lecheria_Cuentas[],MATCH(Producción_Lecheria[[#This Row],[Cuenta Contable]],Produccion_Lecheria_Cuentas[Cuenta Contable],0),2),0)</f>
        <v>Egreso</v>
      </c>
      <c r="AF219" s="992">
        <f>IF(Producción_Lecheria[[#This Row],[Mov. Stock]]="(+)",Producción_Lecheria[[#This Row],[Cabezas]],IF(Producción_Lecheria[[#This Row],[Mov. Stock]]="(-)",-Producción_Lecheria[[#This Row],[Cabezas]],0))</f>
        <v>0</v>
      </c>
      <c r="AG219" s="993">
        <f>IFERROR(INDEX(Produccion_Lecheria_Cuentas[],MATCH(Producción_Lecheria[[#This Row],[Cuenta Contable]],Produccion_Lecheria_Cuentas[Cuenta Contable],0),5),0)</f>
        <v>0</v>
      </c>
      <c r="AH219" s="985" t="str">
        <f>IF(Producción_Lecheria[[#This Row],[Cuenta Contable]]=Configuración!$AC$9,"Si","No")</f>
        <v>No</v>
      </c>
      <c r="AI219" s="983" t="str">
        <f>IFERROR(INDEX(Tabla9[],MATCH(Producción_Lecheria[[#This Row],[Movimiento]],Tabla9[Movimientos],0),2),0)</f>
        <v>Si</v>
      </c>
      <c r="AJ219" s="984" t="str">
        <f>IFERROR(INDEX(Tabla9[],MATCH(Producción_Lecheria[[#This Row],[Movimiento]],Tabla9[Movimientos],0),3),0)</f>
        <v>(-)</v>
      </c>
      <c r="AK219" s="986">
        <f>IF(Producción_Lecheria[[#This Row],[Fecha Económico]]=0,0,MONTH(Producción_Lecheria[[#This Row],[Fecha Económico]]))</f>
        <v>7</v>
      </c>
      <c r="AL219" s="986">
        <f>IF(Producción_Lecheria[[#This Row],[Fecha Económico]]=0,0,YEAR(Producción_Lecheria[[#This Row],[Fecha Económico]]))</f>
        <v>2018</v>
      </c>
      <c r="AM219" s="987">
        <f>SUMPRODUCT((Producción_Lecheria[[#This Row],[Mes Económico]]=Tipo_Cambio[Mes])*(Producción_Lecheria[[#This Row],[Año Económico]]=Tipo_Cambio[Año])*(Tipo_Cambio[$/U$S]))</f>
        <v>22</v>
      </c>
      <c r="AN219" s="987">
        <f>SUMPRODUCT((Producción_Lecheria[[#This Row],[Mes Económico]]=Tipo_Cambio[Mes])*(Producción_Lecheria[[#This Row],[Año Económico]]=Tipo_Cambio[Año])*(Tipo_Cambio[Actualización]))</f>
        <v>1</v>
      </c>
      <c r="AO219" s="986">
        <f>IF(ISNUMBER(Producción_Lecheria[[#This Row],[Fecha Financiero]])=TRUE,MONTH(Producción_Lecheria[[#This Row],[Fecha Financiero]]),0)</f>
        <v>0</v>
      </c>
      <c r="AP219" s="986">
        <f>IF(ISNUMBER(Producción_Lecheria[[#This Row],[Fecha Financiero]])=TRUE,YEAR(Producción_Lecheria[[#This Row],[Fecha Financiero]]),0)</f>
        <v>0</v>
      </c>
      <c r="AQ219" s="987">
        <f>SUMPRODUCT((Producción_Lecheria[[#This Row],[Mes Financiero]]=Tipo_Cambio[Mes])*(Producción_Lecheria[[#This Row],[Año Financiero]]=Tipo_Cambio[Año])*(Tipo_Cambio[$/U$S]))</f>
        <v>0</v>
      </c>
      <c r="AR219" s="987">
        <f>SUMPRODUCT((Producción_Lecheria[[#This Row],[Mes Financiero]]=Tipo_Cambio[Mes])*(Producción_Lecheria[[#This Row],[Año Financiero]]=Tipo_Cambio[Año])*(Tipo_Cambio[Actualización]))</f>
        <v>0</v>
      </c>
      <c r="AS219" s="1009">
        <f>SUMPRODUCT((Producción_Lecheria[[#This Row],[Centro de Costo]]=Tabla1924[Centro de Costo])*(Tabla19[Superficie]))</f>
        <v>2356</v>
      </c>
      <c r="AT219" s="1010">
        <f>IFERROR(Producción_Lecheria[[#This Row],[Económico $Corrientes]]/Producción_Lecheria[[#This Row],[Superficie]],0)</f>
        <v>0</v>
      </c>
      <c r="AU219" s="1010">
        <f>IFERROR(Producción_Lecheria[[#This Row],[Económico $Constantes]]/Producción_Lecheria[[#This Row],[Superficie]],0)</f>
        <v>0</v>
      </c>
      <c r="AV219" s="1010">
        <f>IFERROR(Producción_Lecheria[[#This Row],[Económico U$S Dólares]]/Producción_Lecheria[[#This Row],[Superficie]],0)</f>
        <v>0</v>
      </c>
      <c r="AW219" s="992" t="str">
        <f>IF(Económico!$F$4=0,0,Producción_Lecheria[Centro de Costo])</f>
        <v>Campo 1</v>
      </c>
    </row>
    <row r="220" spans="1:49" x14ac:dyDescent="0.25">
      <c r="A220" s="86"/>
      <c r="B220" s="378" t="str">
        <f>Configuración!BG22</f>
        <v>Sanidad Honorarios</v>
      </c>
      <c r="D220" s="548">
        <f>DATE(IF(MONTH(D219)=1,YEAR(D219+1),YEAR(D219)),MONTH(D219)+1,1)</f>
        <v>43313</v>
      </c>
      <c r="E220" s="493"/>
      <c r="F220" s="479" t="str">
        <f t="shared" si="18"/>
        <v>2018-2019</v>
      </c>
      <c r="G220" s="576" t="str">
        <f t="shared" si="19"/>
        <v>Sanidad Productos</v>
      </c>
      <c r="H220" s="481" t="s">
        <v>2</v>
      </c>
      <c r="I220" s="491"/>
      <c r="J220" s="549"/>
      <c r="K220" s="484"/>
      <c r="L22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2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20" s="520"/>
      <c r="O22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20" s="563"/>
      <c r="Q220" s="491"/>
      <c r="R220" s="875">
        <f>IF(ISNUMBER(Producción_Lecheria[[#This Row],[Cabezas]])=TRUE,Producción_Lecheria[[#This Row],[Cabezas]]*Producción_Lecheria[[#This Row],[Cantidad]],Producción_Lecheria[[#This Row],[Cantidad]])</f>
        <v>0</v>
      </c>
      <c r="S220" s="491"/>
      <c r="T220" s="552"/>
      <c r="U220" s="553"/>
      <c r="V22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20" s="977">
        <f>IFERROR(Producción_Lecheria[[#This Row],[Económico $Corrientes]]/Producción_Lecheria[[#This Row],[Indexación Económico]],0)</f>
        <v>0</v>
      </c>
      <c r="X22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2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20" s="977">
        <f>IFERROR(Producción_Lecheria[[#This Row],[Financiero $Corrientes]]/Producción_Lecheria[[#This Row],[Indexación Financiero]],0)</f>
        <v>0</v>
      </c>
      <c r="AA22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2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20" s="981">
        <f>IFERROR(Producción_Lecheria[[#This Row],[Intereses $Corrientes]]/Producción_Lecheria[[#This Row],[Indexación Financiero]],0)</f>
        <v>0</v>
      </c>
      <c r="AD22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20" s="991" t="str">
        <f>IFERROR(INDEX(Produccion_Lecheria_Cuentas[],MATCH(Producción_Lecheria[[#This Row],[Cuenta Contable]],Produccion_Lecheria_Cuentas[Cuenta Contable],0),2),0)</f>
        <v>Egreso</v>
      </c>
      <c r="AF220" s="992">
        <f>IF(Producción_Lecheria[[#This Row],[Mov. Stock]]="(+)",Producción_Lecheria[[#This Row],[Cabezas]],IF(Producción_Lecheria[[#This Row],[Mov. Stock]]="(-)",-Producción_Lecheria[[#This Row],[Cabezas]],0))</f>
        <v>0</v>
      </c>
      <c r="AG220" s="993">
        <f>IFERROR(INDEX(Produccion_Lecheria_Cuentas[],MATCH(Producción_Lecheria[[#This Row],[Cuenta Contable]],Produccion_Lecheria_Cuentas[Cuenta Contable],0),5),0)</f>
        <v>0</v>
      </c>
      <c r="AH220" s="985" t="str">
        <f>IF(Producción_Lecheria[[#This Row],[Cuenta Contable]]=Configuración!$AC$9,"Si","No")</f>
        <v>No</v>
      </c>
      <c r="AI220" s="983" t="str">
        <f>IFERROR(INDEX(Tabla9[],MATCH(Producción_Lecheria[[#This Row],[Movimiento]],Tabla9[Movimientos],0),2),0)</f>
        <v>Si</v>
      </c>
      <c r="AJ220" s="984" t="str">
        <f>IFERROR(INDEX(Tabla9[],MATCH(Producción_Lecheria[[#This Row],[Movimiento]],Tabla9[Movimientos],0),3),0)</f>
        <v>(-)</v>
      </c>
      <c r="AK220" s="986">
        <f>IF(Producción_Lecheria[[#This Row],[Fecha Económico]]=0,0,MONTH(Producción_Lecheria[[#This Row],[Fecha Económico]]))</f>
        <v>8</v>
      </c>
      <c r="AL220" s="986">
        <f>IF(Producción_Lecheria[[#This Row],[Fecha Económico]]=0,0,YEAR(Producción_Lecheria[[#This Row],[Fecha Económico]]))</f>
        <v>2018</v>
      </c>
      <c r="AM220" s="987">
        <f>SUMPRODUCT((Producción_Lecheria[[#This Row],[Mes Económico]]=Tipo_Cambio[Mes])*(Producción_Lecheria[[#This Row],[Año Económico]]=Tipo_Cambio[Año])*(Tipo_Cambio[$/U$S]))</f>
        <v>22.22</v>
      </c>
      <c r="AN220" s="987">
        <f>SUMPRODUCT((Producción_Lecheria[[#This Row],[Mes Económico]]=Tipo_Cambio[Mes])*(Producción_Lecheria[[#This Row],[Año Económico]]=Tipo_Cambio[Año])*(Tipo_Cambio[Actualización]))</f>
        <v>1.02</v>
      </c>
      <c r="AO220" s="986">
        <f>IF(ISNUMBER(Producción_Lecheria[[#This Row],[Fecha Financiero]])=TRUE,MONTH(Producción_Lecheria[[#This Row],[Fecha Financiero]]),0)</f>
        <v>0</v>
      </c>
      <c r="AP220" s="986">
        <f>IF(ISNUMBER(Producción_Lecheria[[#This Row],[Fecha Financiero]])=TRUE,YEAR(Producción_Lecheria[[#This Row],[Fecha Financiero]]),0)</f>
        <v>0</v>
      </c>
      <c r="AQ220" s="987">
        <f>SUMPRODUCT((Producción_Lecheria[[#This Row],[Mes Financiero]]=Tipo_Cambio[Mes])*(Producción_Lecheria[[#This Row],[Año Financiero]]=Tipo_Cambio[Año])*(Tipo_Cambio[$/U$S]))</f>
        <v>0</v>
      </c>
      <c r="AR220" s="987">
        <f>SUMPRODUCT((Producción_Lecheria[[#This Row],[Mes Financiero]]=Tipo_Cambio[Mes])*(Producción_Lecheria[[#This Row],[Año Financiero]]=Tipo_Cambio[Año])*(Tipo_Cambio[Actualización]))</f>
        <v>0</v>
      </c>
      <c r="AS220" s="1009">
        <f>SUMPRODUCT((Producción_Lecheria[[#This Row],[Centro de Costo]]=Tabla1924[Centro de Costo])*(Tabla19[Superficie]))</f>
        <v>2356</v>
      </c>
      <c r="AT220" s="1010">
        <f>IFERROR(Producción_Lecheria[[#This Row],[Económico $Corrientes]]/Producción_Lecheria[[#This Row],[Superficie]],0)</f>
        <v>0</v>
      </c>
      <c r="AU220" s="1010">
        <f>IFERROR(Producción_Lecheria[[#This Row],[Económico $Constantes]]/Producción_Lecheria[[#This Row],[Superficie]],0)</f>
        <v>0</v>
      </c>
      <c r="AV220" s="1010">
        <f>IFERROR(Producción_Lecheria[[#This Row],[Económico U$S Dólares]]/Producción_Lecheria[[#This Row],[Superficie]],0)</f>
        <v>0</v>
      </c>
      <c r="AW220" s="992" t="str">
        <f>IF(Económico!$F$4=0,0,Producción_Lecheria[Centro de Costo])</f>
        <v>Campo 1</v>
      </c>
    </row>
    <row r="221" spans="1:49" x14ac:dyDescent="0.25">
      <c r="A221" s="86"/>
      <c r="B221" s="378"/>
      <c r="D221" s="548">
        <f t="shared" ref="D221:D230" si="20">DATE(IF(MONTH(D220)=1,YEAR(D220+1),YEAR(D220)),MONTH(D220)+1,1)</f>
        <v>43344</v>
      </c>
      <c r="E221" s="493"/>
      <c r="F221" s="479" t="str">
        <f t="shared" si="18"/>
        <v>2018-2019</v>
      </c>
      <c r="G221" s="576" t="str">
        <f t="shared" si="19"/>
        <v>Sanidad Productos</v>
      </c>
      <c r="H221" s="481" t="s">
        <v>2</v>
      </c>
      <c r="I221" s="491"/>
      <c r="J221" s="549"/>
      <c r="K221" s="484"/>
      <c r="L22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2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21" s="520"/>
      <c r="O22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21" s="563"/>
      <c r="Q221" s="491"/>
      <c r="R221" s="875">
        <f>IF(ISNUMBER(Producción_Lecheria[[#This Row],[Cabezas]])=TRUE,Producción_Lecheria[[#This Row],[Cabezas]]*Producción_Lecheria[[#This Row],[Cantidad]],Producción_Lecheria[[#This Row],[Cantidad]])</f>
        <v>0</v>
      </c>
      <c r="S221" s="491"/>
      <c r="T221" s="552"/>
      <c r="U221" s="553"/>
      <c r="V22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21" s="977">
        <f>IFERROR(Producción_Lecheria[[#This Row],[Económico $Corrientes]]/Producción_Lecheria[[#This Row],[Indexación Económico]],0)</f>
        <v>0</v>
      </c>
      <c r="X22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2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21" s="977">
        <f>IFERROR(Producción_Lecheria[[#This Row],[Financiero $Corrientes]]/Producción_Lecheria[[#This Row],[Indexación Financiero]],0)</f>
        <v>0</v>
      </c>
      <c r="AA22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2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21" s="981">
        <f>IFERROR(Producción_Lecheria[[#This Row],[Intereses $Corrientes]]/Producción_Lecheria[[#This Row],[Indexación Financiero]],0)</f>
        <v>0</v>
      </c>
      <c r="AD22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21" s="991" t="str">
        <f>IFERROR(INDEX(Produccion_Lecheria_Cuentas[],MATCH(Producción_Lecheria[[#This Row],[Cuenta Contable]],Produccion_Lecheria_Cuentas[Cuenta Contable],0),2),0)</f>
        <v>Egreso</v>
      </c>
      <c r="AF221" s="992">
        <f>IF(Producción_Lecheria[[#This Row],[Mov. Stock]]="(+)",Producción_Lecheria[[#This Row],[Cabezas]],IF(Producción_Lecheria[[#This Row],[Mov. Stock]]="(-)",-Producción_Lecheria[[#This Row],[Cabezas]],0))</f>
        <v>0</v>
      </c>
      <c r="AG221" s="993">
        <f>IFERROR(INDEX(Produccion_Lecheria_Cuentas[],MATCH(Producción_Lecheria[[#This Row],[Cuenta Contable]],Produccion_Lecheria_Cuentas[Cuenta Contable],0),5),0)</f>
        <v>0</v>
      </c>
      <c r="AH221" s="985" t="str">
        <f>IF(Producción_Lecheria[[#This Row],[Cuenta Contable]]=Configuración!$AC$9,"Si","No")</f>
        <v>No</v>
      </c>
      <c r="AI221" s="983" t="str">
        <f>IFERROR(INDEX(Tabla9[],MATCH(Producción_Lecheria[[#This Row],[Movimiento]],Tabla9[Movimientos],0),2),0)</f>
        <v>Si</v>
      </c>
      <c r="AJ221" s="984" t="str">
        <f>IFERROR(INDEX(Tabla9[],MATCH(Producción_Lecheria[[#This Row],[Movimiento]],Tabla9[Movimientos],0),3),0)</f>
        <v>(-)</v>
      </c>
      <c r="AK221" s="986">
        <f>IF(Producción_Lecheria[[#This Row],[Fecha Económico]]=0,0,MONTH(Producción_Lecheria[[#This Row],[Fecha Económico]]))</f>
        <v>9</v>
      </c>
      <c r="AL221" s="986">
        <f>IF(Producción_Lecheria[[#This Row],[Fecha Económico]]=0,0,YEAR(Producción_Lecheria[[#This Row],[Fecha Económico]]))</f>
        <v>2018</v>
      </c>
      <c r="AM221" s="987">
        <f>SUMPRODUCT((Producción_Lecheria[[#This Row],[Mes Económico]]=Tipo_Cambio[Mes])*(Producción_Lecheria[[#This Row],[Año Económico]]=Tipo_Cambio[Año])*(Tipo_Cambio[$/U$S]))</f>
        <v>22.4422</v>
      </c>
      <c r="AN221" s="987">
        <f>SUMPRODUCT((Producción_Lecheria[[#This Row],[Mes Económico]]=Tipo_Cambio[Mes])*(Producción_Lecheria[[#This Row],[Año Económico]]=Tipo_Cambio[Año])*(Tipo_Cambio[Actualización]))</f>
        <v>1.0404</v>
      </c>
      <c r="AO221" s="986">
        <f>IF(ISNUMBER(Producción_Lecheria[[#This Row],[Fecha Financiero]])=TRUE,MONTH(Producción_Lecheria[[#This Row],[Fecha Financiero]]),0)</f>
        <v>0</v>
      </c>
      <c r="AP221" s="986">
        <f>IF(ISNUMBER(Producción_Lecheria[[#This Row],[Fecha Financiero]])=TRUE,YEAR(Producción_Lecheria[[#This Row],[Fecha Financiero]]),0)</f>
        <v>0</v>
      </c>
      <c r="AQ221" s="987">
        <f>SUMPRODUCT((Producción_Lecheria[[#This Row],[Mes Financiero]]=Tipo_Cambio[Mes])*(Producción_Lecheria[[#This Row],[Año Financiero]]=Tipo_Cambio[Año])*(Tipo_Cambio[$/U$S]))</f>
        <v>0</v>
      </c>
      <c r="AR221" s="987">
        <f>SUMPRODUCT((Producción_Lecheria[[#This Row],[Mes Financiero]]=Tipo_Cambio[Mes])*(Producción_Lecheria[[#This Row],[Año Financiero]]=Tipo_Cambio[Año])*(Tipo_Cambio[Actualización]))</f>
        <v>0</v>
      </c>
      <c r="AS221" s="1009">
        <f>SUMPRODUCT((Producción_Lecheria[[#This Row],[Centro de Costo]]=Tabla1924[Centro de Costo])*(Tabla19[Superficie]))</f>
        <v>2356</v>
      </c>
      <c r="AT221" s="1010">
        <f>IFERROR(Producción_Lecheria[[#This Row],[Económico $Corrientes]]/Producción_Lecheria[[#This Row],[Superficie]],0)</f>
        <v>0</v>
      </c>
      <c r="AU221" s="1010">
        <f>IFERROR(Producción_Lecheria[[#This Row],[Económico $Constantes]]/Producción_Lecheria[[#This Row],[Superficie]],0)</f>
        <v>0</v>
      </c>
      <c r="AV221" s="1010">
        <f>IFERROR(Producción_Lecheria[[#This Row],[Económico U$S Dólares]]/Producción_Lecheria[[#This Row],[Superficie]],0)</f>
        <v>0</v>
      </c>
      <c r="AW221" s="992" t="str">
        <f>IF(Económico!$F$4=0,0,Producción_Lecheria[Centro de Costo])</f>
        <v>Campo 1</v>
      </c>
    </row>
    <row r="222" spans="1:49" x14ac:dyDescent="0.25">
      <c r="A222" s="86"/>
      <c r="D222" s="548">
        <f t="shared" si="20"/>
        <v>43374</v>
      </c>
      <c r="E222" s="493"/>
      <c r="F222" s="479" t="str">
        <f t="shared" si="18"/>
        <v>2018-2019</v>
      </c>
      <c r="G222" s="576" t="str">
        <f t="shared" si="19"/>
        <v>Sanidad Productos</v>
      </c>
      <c r="H222" s="481" t="s">
        <v>2</v>
      </c>
      <c r="I222" s="491"/>
      <c r="J222" s="549"/>
      <c r="K222" s="484"/>
      <c r="L22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2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22" s="520"/>
      <c r="O22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22" s="563"/>
      <c r="Q222" s="491"/>
      <c r="R222" s="875">
        <f>IF(ISNUMBER(Producción_Lecheria[[#This Row],[Cabezas]])=TRUE,Producción_Lecheria[[#This Row],[Cabezas]]*Producción_Lecheria[[#This Row],[Cantidad]],Producción_Lecheria[[#This Row],[Cantidad]])</f>
        <v>0</v>
      </c>
      <c r="S222" s="491"/>
      <c r="T222" s="552"/>
      <c r="U222" s="553"/>
      <c r="V22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22" s="977">
        <f>IFERROR(Producción_Lecheria[[#This Row],[Económico $Corrientes]]/Producción_Lecheria[[#This Row],[Indexación Económico]],0)</f>
        <v>0</v>
      </c>
      <c r="X22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2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22" s="977">
        <f>IFERROR(Producción_Lecheria[[#This Row],[Financiero $Corrientes]]/Producción_Lecheria[[#This Row],[Indexación Financiero]],0)</f>
        <v>0</v>
      </c>
      <c r="AA22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2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22" s="981">
        <f>IFERROR(Producción_Lecheria[[#This Row],[Intereses $Corrientes]]/Producción_Lecheria[[#This Row],[Indexación Financiero]],0)</f>
        <v>0</v>
      </c>
      <c r="AD22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22" s="991" t="str">
        <f>IFERROR(INDEX(Produccion_Lecheria_Cuentas[],MATCH(Producción_Lecheria[[#This Row],[Cuenta Contable]],Produccion_Lecheria_Cuentas[Cuenta Contable],0),2),0)</f>
        <v>Egreso</v>
      </c>
      <c r="AF222" s="992">
        <f>IF(Producción_Lecheria[[#This Row],[Mov. Stock]]="(+)",Producción_Lecheria[[#This Row],[Cabezas]],IF(Producción_Lecheria[[#This Row],[Mov. Stock]]="(-)",-Producción_Lecheria[[#This Row],[Cabezas]],0))</f>
        <v>0</v>
      </c>
      <c r="AG222" s="993">
        <f>IFERROR(INDEX(Produccion_Lecheria_Cuentas[],MATCH(Producción_Lecheria[[#This Row],[Cuenta Contable]],Produccion_Lecheria_Cuentas[Cuenta Contable],0),5),0)</f>
        <v>0</v>
      </c>
      <c r="AH222" s="985" t="str">
        <f>IF(Producción_Lecheria[[#This Row],[Cuenta Contable]]=Configuración!$AC$9,"Si","No")</f>
        <v>No</v>
      </c>
      <c r="AI222" s="983" t="str">
        <f>IFERROR(INDEX(Tabla9[],MATCH(Producción_Lecheria[[#This Row],[Movimiento]],Tabla9[Movimientos],0),2),0)</f>
        <v>Si</v>
      </c>
      <c r="AJ222" s="984" t="str">
        <f>IFERROR(INDEX(Tabla9[],MATCH(Producción_Lecheria[[#This Row],[Movimiento]],Tabla9[Movimientos],0),3),0)</f>
        <v>(-)</v>
      </c>
      <c r="AK222" s="986">
        <f>IF(Producción_Lecheria[[#This Row],[Fecha Económico]]=0,0,MONTH(Producción_Lecheria[[#This Row],[Fecha Económico]]))</f>
        <v>10</v>
      </c>
      <c r="AL222" s="986">
        <f>IF(Producción_Lecheria[[#This Row],[Fecha Económico]]=0,0,YEAR(Producción_Lecheria[[#This Row],[Fecha Económico]]))</f>
        <v>2018</v>
      </c>
      <c r="AM222" s="987">
        <f>SUMPRODUCT((Producción_Lecheria[[#This Row],[Mes Económico]]=Tipo_Cambio[Mes])*(Producción_Lecheria[[#This Row],[Año Económico]]=Tipo_Cambio[Año])*(Tipo_Cambio[$/U$S]))</f>
        <v>22.666622</v>
      </c>
      <c r="AN222" s="987">
        <f>SUMPRODUCT((Producción_Lecheria[[#This Row],[Mes Económico]]=Tipo_Cambio[Mes])*(Producción_Lecheria[[#This Row],[Año Económico]]=Tipo_Cambio[Año])*(Tipo_Cambio[Actualización]))</f>
        <v>1.0612079999999999</v>
      </c>
      <c r="AO222" s="986">
        <f>IF(ISNUMBER(Producción_Lecheria[[#This Row],[Fecha Financiero]])=TRUE,MONTH(Producción_Lecheria[[#This Row],[Fecha Financiero]]),0)</f>
        <v>0</v>
      </c>
      <c r="AP222" s="986">
        <f>IF(ISNUMBER(Producción_Lecheria[[#This Row],[Fecha Financiero]])=TRUE,YEAR(Producción_Lecheria[[#This Row],[Fecha Financiero]]),0)</f>
        <v>0</v>
      </c>
      <c r="AQ222" s="987">
        <f>SUMPRODUCT((Producción_Lecheria[[#This Row],[Mes Financiero]]=Tipo_Cambio[Mes])*(Producción_Lecheria[[#This Row],[Año Financiero]]=Tipo_Cambio[Año])*(Tipo_Cambio[$/U$S]))</f>
        <v>0</v>
      </c>
      <c r="AR222" s="987">
        <f>SUMPRODUCT((Producción_Lecheria[[#This Row],[Mes Financiero]]=Tipo_Cambio[Mes])*(Producción_Lecheria[[#This Row],[Año Financiero]]=Tipo_Cambio[Año])*(Tipo_Cambio[Actualización]))</f>
        <v>0</v>
      </c>
      <c r="AS222" s="1009">
        <f>SUMPRODUCT((Producción_Lecheria[[#This Row],[Centro de Costo]]=Tabla1924[Centro de Costo])*(Tabla19[Superficie]))</f>
        <v>2356</v>
      </c>
      <c r="AT222" s="1010">
        <f>IFERROR(Producción_Lecheria[[#This Row],[Económico $Corrientes]]/Producción_Lecheria[[#This Row],[Superficie]],0)</f>
        <v>0</v>
      </c>
      <c r="AU222" s="1010">
        <f>IFERROR(Producción_Lecheria[[#This Row],[Económico $Constantes]]/Producción_Lecheria[[#This Row],[Superficie]],0)</f>
        <v>0</v>
      </c>
      <c r="AV222" s="1010">
        <f>IFERROR(Producción_Lecheria[[#This Row],[Económico U$S Dólares]]/Producción_Lecheria[[#This Row],[Superficie]],0)</f>
        <v>0</v>
      </c>
      <c r="AW222" s="992" t="str">
        <f>IF(Económico!$F$4=0,0,Producción_Lecheria[Centro de Costo])</f>
        <v>Campo 1</v>
      </c>
    </row>
    <row r="223" spans="1:49" x14ac:dyDescent="0.25">
      <c r="A223" s="86"/>
      <c r="D223" s="548">
        <f t="shared" si="20"/>
        <v>43405</v>
      </c>
      <c r="E223" s="493"/>
      <c r="F223" s="479" t="str">
        <f t="shared" si="18"/>
        <v>2018-2019</v>
      </c>
      <c r="G223" s="576" t="str">
        <f t="shared" si="19"/>
        <v>Sanidad Productos</v>
      </c>
      <c r="H223" s="481" t="s">
        <v>2</v>
      </c>
      <c r="I223" s="491"/>
      <c r="J223" s="549"/>
      <c r="K223" s="484"/>
      <c r="L22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2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23" s="520"/>
      <c r="O22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23" s="563"/>
      <c r="Q223" s="491"/>
      <c r="R223" s="875">
        <f>IF(ISNUMBER(Producción_Lecheria[[#This Row],[Cabezas]])=TRUE,Producción_Lecheria[[#This Row],[Cabezas]]*Producción_Lecheria[[#This Row],[Cantidad]],Producción_Lecheria[[#This Row],[Cantidad]])</f>
        <v>0</v>
      </c>
      <c r="S223" s="491"/>
      <c r="T223" s="552"/>
      <c r="U223" s="553"/>
      <c r="V22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23" s="977">
        <f>IFERROR(Producción_Lecheria[[#This Row],[Económico $Corrientes]]/Producción_Lecheria[[#This Row],[Indexación Económico]],0)</f>
        <v>0</v>
      </c>
      <c r="X22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2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23" s="977">
        <f>IFERROR(Producción_Lecheria[[#This Row],[Financiero $Corrientes]]/Producción_Lecheria[[#This Row],[Indexación Financiero]],0)</f>
        <v>0</v>
      </c>
      <c r="AA22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2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23" s="981">
        <f>IFERROR(Producción_Lecheria[[#This Row],[Intereses $Corrientes]]/Producción_Lecheria[[#This Row],[Indexación Financiero]],0)</f>
        <v>0</v>
      </c>
      <c r="AD22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23" s="991" t="str">
        <f>IFERROR(INDEX(Produccion_Lecheria_Cuentas[],MATCH(Producción_Lecheria[[#This Row],[Cuenta Contable]],Produccion_Lecheria_Cuentas[Cuenta Contable],0),2),0)</f>
        <v>Egreso</v>
      </c>
      <c r="AF223" s="992">
        <f>IF(Producción_Lecheria[[#This Row],[Mov. Stock]]="(+)",Producción_Lecheria[[#This Row],[Cabezas]],IF(Producción_Lecheria[[#This Row],[Mov. Stock]]="(-)",-Producción_Lecheria[[#This Row],[Cabezas]],0))</f>
        <v>0</v>
      </c>
      <c r="AG223" s="993">
        <f>IFERROR(INDEX(Produccion_Lecheria_Cuentas[],MATCH(Producción_Lecheria[[#This Row],[Cuenta Contable]],Produccion_Lecheria_Cuentas[Cuenta Contable],0),5),0)</f>
        <v>0</v>
      </c>
      <c r="AH223" s="985" t="str">
        <f>IF(Producción_Lecheria[[#This Row],[Cuenta Contable]]=Configuración!$AC$9,"Si","No")</f>
        <v>No</v>
      </c>
      <c r="AI223" s="983" t="str">
        <f>IFERROR(INDEX(Tabla9[],MATCH(Producción_Lecheria[[#This Row],[Movimiento]],Tabla9[Movimientos],0),2),0)</f>
        <v>Si</v>
      </c>
      <c r="AJ223" s="984" t="str">
        <f>IFERROR(INDEX(Tabla9[],MATCH(Producción_Lecheria[[#This Row],[Movimiento]],Tabla9[Movimientos],0),3),0)</f>
        <v>(-)</v>
      </c>
      <c r="AK223" s="986">
        <f>IF(Producción_Lecheria[[#This Row],[Fecha Económico]]=0,0,MONTH(Producción_Lecheria[[#This Row],[Fecha Económico]]))</f>
        <v>11</v>
      </c>
      <c r="AL223" s="986">
        <f>IF(Producción_Lecheria[[#This Row],[Fecha Económico]]=0,0,YEAR(Producción_Lecheria[[#This Row],[Fecha Económico]]))</f>
        <v>2018</v>
      </c>
      <c r="AM223" s="987">
        <f>SUMPRODUCT((Producción_Lecheria[[#This Row],[Mes Económico]]=Tipo_Cambio[Mes])*(Producción_Lecheria[[#This Row],[Año Económico]]=Tipo_Cambio[Año])*(Tipo_Cambio[$/U$S]))</f>
        <v>22.893288219999999</v>
      </c>
      <c r="AN223" s="987">
        <f>SUMPRODUCT((Producción_Lecheria[[#This Row],[Mes Económico]]=Tipo_Cambio[Mes])*(Producción_Lecheria[[#This Row],[Año Económico]]=Tipo_Cambio[Año])*(Tipo_Cambio[Actualización]))</f>
        <v>1.08243216</v>
      </c>
      <c r="AO223" s="986">
        <f>IF(ISNUMBER(Producción_Lecheria[[#This Row],[Fecha Financiero]])=TRUE,MONTH(Producción_Lecheria[[#This Row],[Fecha Financiero]]),0)</f>
        <v>0</v>
      </c>
      <c r="AP223" s="986">
        <f>IF(ISNUMBER(Producción_Lecheria[[#This Row],[Fecha Financiero]])=TRUE,YEAR(Producción_Lecheria[[#This Row],[Fecha Financiero]]),0)</f>
        <v>0</v>
      </c>
      <c r="AQ223" s="987">
        <f>SUMPRODUCT((Producción_Lecheria[[#This Row],[Mes Financiero]]=Tipo_Cambio[Mes])*(Producción_Lecheria[[#This Row],[Año Financiero]]=Tipo_Cambio[Año])*(Tipo_Cambio[$/U$S]))</f>
        <v>0</v>
      </c>
      <c r="AR223" s="987">
        <f>SUMPRODUCT((Producción_Lecheria[[#This Row],[Mes Financiero]]=Tipo_Cambio[Mes])*(Producción_Lecheria[[#This Row],[Año Financiero]]=Tipo_Cambio[Año])*(Tipo_Cambio[Actualización]))</f>
        <v>0</v>
      </c>
      <c r="AS223" s="1009">
        <f>SUMPRODUCT((Producción_Lecheria[[#This Row],[Centro de Costo]]=Tabla1924[Centro de Costo])*(Tabla19[Superficie]))</f>
        <v>2356</v>
      </c>
      <c r="AT223" s="1010">
        <f>IFERROR(Producción_Lecheria[[#This Row],[Económico $Corrientes]]/Producción_Lecheria[[#This Row],[Superficie]],0)</f>
        <v>0</v>
      </c>
      <c r="AU223" s="1010">
        <f>IFERROR(Producción_Lecheria[[#This Row],[Económico $Constantes]]/Producción_Lecheria[[#This Row],[Superficie]],0)</f>
        <v>0</v>
      </c>
      <c r="AV223" s="1010">
        <f>IFERROR(Producción_Lecheria[[#This Row],[Económico U$S Dólares]]/Producción_Lecheria[[#This Row],[Superficie]],0)</f>
        <v>0</v>
      </c>
      <c r="AW223" s="992" t="str">
        <f>IF(Económico!$F$4=0,0,Producción_Lecheria[Centro de Costo])</f>
        <v>Campo 1</v>
      </c>
    </row>
    <row r="224" spans="1:49" x14ac:dyDescent="0.25">
      <c r="A224" s="86"/>
      <c r="D224" s="548">
        <f t="shared" si="20"/>
        <v>43435</v>
      </c>
      <c r="E224" s="493"/>
      <c r="F224" s="479" t="str">
        <f t="shared" ref="F224:F255" si="21">Campaña_Actual</f>
        <v>2018-2019</v>
      </c>
      <c r="G224" s="576" t="str">
        <f t="shared" si="19"/>
        <v>Sanidad Productos</v>
      </c>
      <c r="H224" s="481" t="s">
        <v>2</v>
      </c>
      <c r="I224" s="491"/>
      <c r="J224" s="549"/>
      <c r="K224" s="484"/>
      <c r="L22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2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24" s="520"/>
      <c r="O22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24" s="563"/>
      <c r="Q224" s="491"/>
      <c r="R224" s="875">
        <f>IF(ISNUMBER(Producción_Lecheria[[#This Row],[Cabezas]])=TRUE,Producción_Lecheria[[#This Row],[Cabezas]]*Producción_Lecheria[[#This Row],[Cantidad]],Producción_Lecheria[[#This Row],[Cantidad]])</f>
        <v>0</v>
      </c>
      <c r="S224" s="491"/>
      <c r="T224" s="552"/>
      <c r="U224" s="553"/>
      <c r="V22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24" s="977">
        <f>IFERROR(Producción_Lecheria[[#This Row],[Económico $Corrientes]]/Producción_Lecheria[[#This Row],[Indexación Económico]],0)</f>
        <v>0</v>
      </c>
      <c r="X22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2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24" s="977">
        <f>IFERROR(Producción_Lecheria[[#This Row],[Financiero $Corrientes]]/Producción_Lecheria[[#This Row],[Indexación Financiero]],0)</f>
        <v>0</v>
      </c>
      <c r="AA22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2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24" s="981">
        <f>IFERROR(Producción_Lecheria[[#This Row],[Intereses $Corrientes]]/Producción_Lecheria[[#This Row],[Indexación Financiero]],0)</f>
        <v>0</v>
      </c>
      <c r="AD22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24" s="991" t="str">
        <f>IFERROR(INDEX(Produccion_Lecheria_Cuentas[],MATCH(Producción_Lecheria[[#This Row],[Cuenta Contable]],Produccion_Lecheria_Cuentas[Cuenta Contable],0),2),0)</f>
        <v>Egreso</v>
      </c>
      <c r="AF224" s="992">
        <f>IF(Producción_Lecheria[[#This Row],[Mov. Stock]]="(+)",Producción_Lecheria[[#This Row],[Cabezas]],IF(Producción_Lecheria[[#This Row],[Mov. Stock]]="(-)",-Producción_Lecheria[[#This Row],[Cabezas]],0))</f>
        <v>0</v>
      </c>
      <c r="AG224" s="993">
        <f>IFERROR(INDEX(Produccion_Lecheria_Cuentas[],MATCH(Producción_Lecheria[[#This Row],[Cuenta Contable]],Produccion_Lecheria_Cuentas[Cuenta Contable],0),5),0)</f>
        <v>0</v>
      </c>
      <c r="AH224" s="985" t="str">
        <f>IF(Producción_Lecheria[[#This Row],[Cuenta Contable]]=Configuración!$AC$9,"Si","No")</f>
        <v>No</v>
      </c>
      <c r="AI224" s="983" t="str">
        <f>IFERROR(INDEX(Tabla9[],MATCH(Producción_Lecheria[[#This Row],[Movimiento]],Tabla9[Movimientos],0),2),0)</f>
        <v>Si</v>
      </c>
      <c r="AJ224" s="984" t="str">
        <f>IFERROR(INDEX(Tabla9[],MATCH(Producción_Lecheria[[#This Row],[Movimiento]],Tabla9[Movimientos],0),3),0)</f>
        <v>(-)</v>
      </c>
      <c r="AK224" s="986">
        <f>IF(Producción_Lecheria[[#This Row],[Fecha Económico]]=0,0,MONTH(Producción_Lecheria[[#This Row],[Fecha Económico]]))</f>
        <v>12</v>
      </c>
      <c r="AL224" s="986">
        <f>IF(Producción_Lecheria[[#This Row],[Fecha Económico]]=0,0,YEAR(Producción_Lecheria[[#This Row],[Fecha Económico]]))</f>
        <v>2018</v>
      </c>
      <c r="AM224" s="987">
        <f>SUMPRODUCT((Producción_Lecheria[[#This Row],[Mes Económico]]=Tipo_Cambio[Mes])*(Producción_Lecheria[[#This Row],[Año Económico]]=Tipo_Cambio[Año])*(Tipo_Cambio[$/U$S]))</f>
        <v>23.122221102199997</v>
      </c>
      <c r="AN224" s="987">
        <f>SUMPRODUCT((Producción_Lecheria[[#This Row],[Mes Económico]]=Tipo_Cambio[Mes])*(Producción_Lecheria[[#This Row],[Año Económico]]=Tipo_Cambio[Año])*(Tipo_Cambio[Actualización]))</f>
        <v>1.1040808032</v>
      </c>
      <c r="AO224" s="986">
        <f>IF(ISNUMBER(Producción_Lecheria[[#This Row],[Fecha Financiero]])=TRUE,MONTH(Producción_Lecheria[[#This Row],[Fecha Financiero]]),0)</f>
        <v>0</v>
      </c>
      <c r="AP224" s="986">
        <f>IF(ISNUMBER(Producción_Lecheria[[#This Row],[Fecha Financiero]])=TRUE,YEAR(Producción_Lecheria[[#This Row],[Fecha Financiero]]),0)</f>
        <v>0</v>
      </c>
      <c r="AQ224" s="987">
        <f>SUMPRODUCT((Producción_Lecheria[[#This Row],[Mes Financiero]]=Tipo_Cambio[Mes])*(Producción_Lecheria[[#This Row],[Año Financiero]]=Tipo_Cambio[Año])*(Tipo_Cambio[$/U$S]))</f>
        <v>0</v>
      </c>
      <c r="AR224" s="987">
        <f>SUMPRODUCT((Producción_Lecheria[[#This Row],[Mes Financiero]]=Tipo_Cambio[Mes])*(Producción_Lecheria[[#This Row],[Año Financiero]]=Tipo_Cambio[Año])*(Tipo_Cambio[Actualización]))</f>
        <v>0</v>
      </c>
      <c r="AS224" s="1009">
        <f>SUMPRODUCT((Producción_Lecheria[[#This Row],[Centro de Costo]]=Tabla1924[Centro de Costo])*(Tabla19[Superficie]))</f>
        <v>2356</v>
      </c>
      <c r="AT224" s="1010">
        <f>IFERROR(Producción_Lecheria[[#This Row],[Económico $Corrientes]]/Producción_Lecheria[[#This Row],[Superficie]],0)</f>
        <v>0</v>
      </c>
      <c r="AU224" s="1010">
        <f>IFERROR(Producción_Lecheria[[#This Row],[Económico $Constantes]]/Producción_Lecheria[[#This Row],[Superficie]],0)</f>
        <v>0</v>
      </c>
      <c r="AV224" s="1010">
        <f>IFERROR(Producción_Lecheria[[#This Row],[Económico U$S Dólares]]/Producción_Lecheria[[#This Row],[Superficie]],0)</f>
        <v>0</v>
      </c>
      <c r="AW224" s="992" t="str">
        <f>IF(Económico!$F$4=0,0,Producción_Lecheria[Centro de Costo])</f>
        <v>Campo 1</v>
      </c>
    </row>
    <row r="225" spans="1:49" x14ac:dyDescent="0.25">
      <c r="A225" s="86"/>
      <c r="D225" s="548">
        <f t="shared" si="20"/>
        <v>43466</v>
      </c>
      <c r="E225" s="493"/>
      <c r="F225" s="479" t="str">
        <f t="shared" si="21"/>
        <v>2018-2019</v>
      </c>
      <c r="G225" s="576" t="str">
        <f t="shared" si="19"/>
        <v>Sanidad Productos</v>
      </c>
      <c r="H225" s="481" t="s">
        <v>2</v>
      </c>
      <c r="I225" s="491"/>
      <c r="J225" s="549"/>
      <c r="K225" s="484"/>
      <c r="L22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2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25" s="520"/>
      <c r="O22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25" s="563"/>
      <c r="Q225" s="491"/>
      <c r="R225" s="875">
        <f>IF(ISNUMBER(Producción_Lecheria[[#This Row],[Cabezas]])=TRUE,Producción_Lecheria[[#This Row],[Cabezas]]*Producción_Lecheria[[#This Row],[Cantidad]],Producción_Lecheria[[#This Row],[Cantidad]])</f>
        <v>0</v>
      </c>
      <c r="S225" s="491"/>
      <c r="T225" s="552"/>
      <c r="U225" s="553"/>
      <c r="V22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25" s="977">
        <f>IFERROR(Producción_Lecheria[[#This Row],[Económico $Corrientes]]/Producción_Lecheria[[#This Row],[Indexación Económico]],0)</f>
        <v>0</v>
      </c>
      <c r="X22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2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25" s="977">
        <f>IFERROR(Producción_Lecheria[[#This Row],[Financiero $Corrientes]]/Producción_Lecheria[[#This Row],[Indexación Financiero]],0)</f>
        <v>0</v>
      </c>
      <c r="AA22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2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25" s="981">
        <f>IFERROR(Producción_Lecheria[[#This Row],[Intereses $Corrientes]]/Producción_Lecheria[[#This Row],[Indexación Financiero]],0)</f>
        <v>0</v>
      </c>
      <c r="AD22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25" s="991" t="str">
        <f>IFERROR(INDEX(Produccion_Lecheria_Cuentas[],MATCH(Producción_Lecheria[[#This Row],[Cuenta Contable]],Produccion_Lecheria_Cuentas[Cuenta Contable],0),2),0)</f>
        <v>Egreso</v>
      </c>
      <c r="AF225" s="992">
        <f>IF(Producción_Lecheria[[#This Row],[Mov. Stock]]="(+)",Producción_Lecheria[[#This Row],[Cabezas]],IF(Producción_Lecheria[[#This Row],[Mov. Stock]]="(-)",-Producción_Lecheria[[#This Row],[Cabezas]],0))</f>
        <v>0</v>
      </c>
      <c r="AG225" s="993">
        <f>IFERROR(INDEX(Produccion_Lecheria_Cuentas[],MATCH(Producción_Lecheria[[#This Row],[Cuenta Contable]],Produccion_Lecheria_Cuentas[Cuenta Contable],0),5),0)</f>
        <v>0</v>
      </c>
      <c r="AH225" s="985" t="str">
        <f>IF(Producción_Lecheria[[#This Row],[Cuenta Contable]]=Configuración!$AC$9,"Si","No")</f>
        <v>No</v>
      </c>
      <c r="AI225" s="983" t="str">
        <f>IFERROR(INDEX(Tabla9[],MATCH(Producción_Lecheria[[#This Row],[Movimiento]],Tabla9[Movimientos],0),2),0)</f>
        <v>Si</v>
      </c>
      <c r="AJ225" s="984" t="str">
        <f>IFERROR(INDEX(Tabla9[],MATCH(Producción_Lecheria[[#This Row],[Movimiento]],Tabla9[Movimientos],0),3),0)</f>
        <v>(-)</v>
      </c>
      <c r="AK225" s="986">
        <f>IF(Producción_Lecheria[[#This Row],[Fecha Económico]]=0,0,MONTH(Producción_Lecheria[[#This Row],[Fecha Económico]]))</f>
        <v>1</v>
      </c>
      <c r="AL225" s="986">
        <f>IF(Producción_Lecheria[[#This Row],[Fecha Económico]]=0,0,YEAR(Producción_Lecheria[[#This Row],[Fecha Económico]]))</f>
        <v>2019</v>
      </c>
      <c r="AM225" s="987">
        <f>SUMPRODUCT((Producción_Lecheria[[#This Row],[Mes Económico]]=Tipo_Cambio[Mes])*(Producción_Lecheria[[#This Row],[Año Económico]]=Tipo_Cambio[Año])*(Tipo_Cambio[$/U$S]))</f>
        <v>23.353443313221998</v>
      </c>
      <c r="AN225" s="987">
        <f>SUMPRODUCT((Producción_Lecheria[[#This Row],[Mes Económico]]=Tipo_Cambio[Mes])*(Producción_Lecheria[[#This Row],[Año Económico]]=Tipo_Cambio[Año])*(Tipo_Cambio[Actualización]))</f>
        <v>1.1261624192640001</v>
      </c>
      <c r="AO225" s="986">
        <f>IF(ISNUMBER(Producción_Lecheria[[#This Row],[Fecha Financiero]])=TRUE,MONTH(Producción_Lecheria[[#This Row],[Fecha Financiero]]),0)</f>
        <v>0</v>
      </c>
      <c r="AP225" s="986">
        <f>IF(ISNUMBER(Producción_Lecheria[[#This Row],[Fecha Financiero]])=TRUE,YEAR(Producción_Lecheria[[#This Row],[Fecha Financiero]]),0)</f>
        <v>0</v>
      </c>
      <c r="AQ225" s="987">
        <f>SUMPRODUCT((Producción_Lecheria[[#This Row],[Mes Financiero]]=Tipo_Cambio[Mes])*(Producción_Lecheria[[#This Row],[Año Financiero]]=Tipo_Cambio[Año])*(Tipo_Cambio[$/U$S]))</f>
        <v>0</v>
      </c>
      <c r="AR225" s="987">
        <f>SUMPRODUCT((Producción_Lecheria[[#This Row],[Mes Financiero]]=Tipo_Cambio[Mes])*(Producción_Lecheria[[#This Row],[Año Financiero]]=Tipo_Cambio[Año])*(Tipo_Cambio[Actualización]))</f>
        <v>0</v>
      </c>
      <c r="AS225" s="1009">
        <f>SUMPRODUCT((Producción_Lecheria[[#This Row],[Centro de Costo]]=Tabla1924[Centro de Costo])*(Tabla19[Superficie]))</f>
        <v>2356</v>
      </c>
      <c r="AT225" s="1010">
        <f>IFERROR(Producción_Lecheria[[#This Row],[Económico $Corrientes]]/Producción_Lecheria[[#This Row],[Superficie]],0)</f>
        <v>0</v>
      </c>
      <c r="AU225" s="1010">
        <f>IFERROR(Producción_Lecheria[[#This Row],[Económico $Constantes]]/Producción_Lecheria[[#This Row],[Superficie]],0)</f>
        <v>0</v>
      </c>
      <c r="AV225" s="1010">
        <f>IFERROR(Producción_Lecheria[[#This Row],[Económico U$S Dólares]]/Producción_Lecheria[[#This Row],[Superficie]],0)</f>
        <v>0</v>
      </c>
      <c r="AW225" s="992" t="str">
        <f>IF(Económico!$F$4=0,0,Producción_Lecheria[Centro de Costo])</f>
        <v>Campo 1</v>
      </c>
    </row>
    <row r="226" spans="1:49" x14ac:dyDescent="0.25">
      <c r="A226" s="86"/>
      <c r="D226" s="548">
        <f>DATE(IF(MONTH(D225)=1,YEAR(D225+1),YEAR(D225)),MONTH(D225)+1,1)</f>
        <v>43497</v>
      </c>
      <c r="E226" s="493"/>
      <c r="F226" s="479" t="str">
        <f t="shared" si="21"/>
        <v>2018-2019</v>
      </c>
      <c r="G226" s="576" t="str">
        <f t="shared" si="19"/>
        <v>Sanidad Productos</v>
      </c>
      <c r="H226" s="481" t="s">
        <v>2</v>
      </c>
      <c r="I226" s="491"/>
      <c r="J226" s="549"/>
      <c r="K226" s="484"/>
      <c r="L22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2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26" s="520"/>
      <c r="O22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26" s="563"/>
      <c r="Q226" s="491"/>
      <c r="R226" s="875">
        <f>IF(ISNUMBER(Producción_Lecheria[[#This Row],[Cabezas]])=TRUE,Producción_Lecheria[[#This Row],[Cabezas]]*Producción_Lecheria[[#This Row],[Cantidad]],Producción_Lecheria[[#This Row],[Cantidad]])</f>
        <v>0</v>
      </c>
      <c r="S226" s="491"/>
      <c r="T226" s="552"/>
      <c r="U226" s="553"/>
      <c r="V22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26" s="977">
        <f>IFERROR(Producción_Lecheria[[#This Row],[Económico $Corrientes]]/Producción_Lecheria[[#This Row],[Indexación Económico]],0)</f>
        <v>0</v>
      </c>
      <c r="X22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2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26" s="977">
        <f>IFERROR(Producción_Lecheria[[#This Row],[Financiero $Corrientes]]/Producción_Lecheria[[#This Row],[Indexación Financiero]],0)</f>
        <v>0</v>
      </c>
      <c r="AA22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2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26" s="981">
        <f>IFERROR(Producción_Lecheria[[#This Row],[Intereses $Corrientes]]/Producción_Lecheria[[#This Row],[Indexación Financiero]],0)</f>
        <v>0</v>
      </c>
      <c r="AD22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26" s="991" t="str">
        <f>IFERROR(INDEX(Produccion_Lecheria_Cuentas[],MATCH(Producción_Lecheria[[#This Row],[Cuenta Contable]],Produccion_Lecheria_Cuentas[Cuenta Contable],0),2),0)</f>
        <v>Egreso</v>
      </c>
      <c r="AF226" s="992">
        <f>IF(Producción_Lecheria[[#This Row],[Mov. Stock]]="(+)",Producción_Lecheria[[#This Row],[Cabezas]],IF(Producción_Lecheria[[#This Row],[Mov. Stock]]="(-)",-Producción_Lecheria[[#This Row],[Cabezas]],0))</f>
        <v>0</v>
      </c>
      <c r="AG226" s="993">
        <f>IFERROR(INDEX(Produccion_Lecheria_Cuentas[],MATCH(Producción_Lecheria[[#This Row],[Cuenta Contable]],Produccion_Lecheria_Cuentas[Cuenta Contable],0),5),0)</f>
        <v>0</v>
      </c>
      <c r="AH226" s="985" t="str">
        <f>IF(Producción_Lecheria[[#This Row],[Cuenta Contable]]=Configuración!$AC$9,"Si","No")</f>
        <v>No</v>
      </c>
      <c r="AI226" s="983" t="str">
        <f>IFERROR(INDEX(Tabla9[],MATCH(Producción_Lecheria[[#This Row],[Movimiento]],Tabla9[Movimientos],0),2),0)</f>
        <v>Si</v>
      </c>
      <c r="AJ226" s="984" t="str">
        <f>IFERROR(INDEX(Tabla9[],MATCH(Producción_Lecheria[[#This Row],[Movimiento]],Tabla9[Movimientos],0),3),0)</f>
        <v>(-)</v>
      </c>
      <c r="AK226" s="986">
        <f>IF(Producción_Lecheria[[#This Row],[Fecha Económico]]=0,0,MONTH(Producción_Lecheria[[#This Row],[Fecha Económico]]))</f>
        <v>2</v>
      </c>
      <c r="AL226" s="986">
        <f>IF(Producción_Lecheria[[#This Row],[Fecha Económico]]=0,0,YEAR(Producción_Lecheria[[#This Row],[Fecha Económico]]))</f>
        <v>2019</v>
      </c>
      <c r="AM226" s="987">
        <f>SUMPRODUCT((Producción_Lecheria[[#This Row],[Mes Económico]]=Tipo_Cambio[Mes])*(Producción_Lecheria[[#This Row],[Año Económico]]=Tipo_Cambio[Año])*(Tipo_Cambio[$/U$S]))</f>
        <v>23.586977746354219</v>
      </c>
      <c r="AN226" s="987">
        <f>SUMPRODUCT((Producción_Lecheria[[#This Row],[Mes Económico]]=Tipo_Cambio[Mes])*(Producción_Lecheria[[#This Row],[Año Económico]]=Tipo_Cambio[Año])*(Tipo_Cambio[Actualización]))</f>
        <v>1.14868566764928</v>
      </c>
      <c r="AO226" s="986">
        <f>IF(ISNUMBER(Producción_Lecheria[[#This Row],[Fecha Financiero]])=TRUE,MONTH(Producción_Lecheria[[#This Row],[Fecha Financiero]]),0)</f>
        <v>0</v>
      </c>
      <c r="AP226" s="986">
        <f>IF(ISNUMBER(Producción_Lecheria[[#This Row],[Fecha Financiero]])=TRUE,YEAR(Producción_Lecheria[[#This Row],[Fecha Financiero]]),0)</f>
        <v>0</v>
      </c>
      <c r="AQ226" s="987">
        <f>SUMPRODUCT((Producción_Lecheria[[#This Row],[Mes Financiero]]=Tipo_Cambio[Mes])*(Producción_Lecheria[[#This Row],[Año Financiero]]=Tipo_Cambio[Año])*(Tipo_Cambio[$/U$S]))</f>
        <v>0</v>
      </c>
      <c r="AR226" s="987">
        <f>SUMPRODUCT((Producción_Lecheria[[#This Row],[Mes Financiero]]=Tipo_Cambio[Mes])*(Producción_Lecheria[[#This Row],[Año Financiero]]=Tipo_Cambio[Año])*(Tipo_Cambio[Actualización]))</f>
        <v>0</v>
      </c>
      <c r="AS226" s="1009">
        <f>SUMPRODUCT((Producción_Lecheria[[#This Row],[Centro de Costo]]=Tabla1924[Centro de Costo])*(Tabla19[Superficie]))</f>
        <v>2356</v>
      </c>
      <c r="AT226" s="1010">
        <f>IFERROR(Producción_Lecheria[[#This Row],[Económico $Corrientes]]/Producción_Lecheria[[#This Row],[Superficie]],0)</f>
        <v>0</v>
      </c>
      <c r="AU226" s="1010">
        <f>IFERROR(Producción_Lecheria[[#This Row],[Económico $Constantes]]/Producción_Lecheria[[#This Row],[Superficie]],0)</f>
        <v>0</v>
      </c>
      <c r="AV226" s="1010">
        <f>IFERROR(Producción_Lecheria[[#This Row],[Económico U$S Dólares]]/Producción_Lecheria[[#This Row],[Superficie]],0)</f>
        <v>0</v>
      </c>
      <c r="AW226" s="992" t="str">
        <f>IF(Económico!$F$4=0,0,Producción_Lecheria[Centro de Costo])</f>
        <v>Campo 1</v>
      </c>
    </row>
    <row r="227" spans="1:49" x14ac:dyDescent="0.25">
      <c r="A227" s="86"/>
      <c r="D227" s="548">
        <f t="shared" si="20"/>
        <v>43525</v>
      </c>
      <c r="E227" s="493"/>
      <c r="F227" s="479" t="str">
        <f t="shared" si="21"/>
        <v>2018-2019</v>
      </c>
      <c r="G227" s="576" t="str">
        <f t="shared" si="19"/>
        <v>Sanidad Productos</v>
      </c>
      <c r="H227" s="481" t="s">
        <v>2</v>
      </c>
      <c r="I227" s="491"/>
      <c r="J227" s="549"/>
      <c r="K227" s="484"/>
      <c r="L22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2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27" s="520"/>
      <c r="O22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27" s="563"/>
      <c r="Q227" s="491"/>
      <c r="R227" s="875">
        <f>IF(ISNUMBER(Producción_Lecheria[[#This Row],[Cabezas]])=TRUE,Producción_Lecheria[[#This Row],[Cabezas]]*Producción_Lecheria[[#This Row],[Cantidad]],Producción_Lecheria[[#This Row],[Cantidad]])</f>
        <v>0</v>
      </c>
      <c r="S227" s="491"/>
      <c r="T227" s="552"/>
      <c r="U227" s="553"/>
      <c r="V22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27" s="977">
        <f>IFERROR(Producción_Lecheria[[#This Row],[Económico $Corrientes]]/Producción_Lecheria[[#This Row],[Indexación Económico]],0)</f>
        <v>0</v>
      </c>
      <c r="X22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2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27" s="977">
        <f>IFERROR(Producción_Lecheria[[#This Row],[Financiero $Corrientes]]/Producción_Lecheria[[#This Row],[Indexación Financiero]],0)</f>
        <v>0</v>
      </c>
      <c r="AA22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2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27" s="981">
        <f>IFERROR(Producción_Lecheria[[#This Row],[Intereses $Corrientes]]/Producción_Lecheria[[#This Row],[Indexación Financiero]],0)</f>
        <v>0</v>
      </c>
      <c r="AD22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27" s="991" t="str">
        <f>IFERROR(INDEX(Produccion_Lecheria_Cuentas[],MATCH(Producción_Lecheria[[#This Row],[Cuenta Contable]],Produccion_Lecheria_Cuentas[Cuenta Contable],0),2),0)</f>
        <v>Egreso</v>
      </c>
      <c r="AF227" s="992">
        <f>IF(Producción_Lecheria[[#This Row],[Mov. Stock]]="(+)",Producción_Lecheria[[#This Row],[Cabezas]],IF(Producción_Lecheria[[#This Row],[Mov. Stock]]="(-)",-Producción_Lecheria[[#This Row],[Cabezas]],0))</f>
        <v>0</v>
      </c>
      <c r="AG227" s="993">
        <f>IFERROR(INDEX(Produccion_Lecheria_Cuentas[],MATCH(Producción_Lecheria[[#This Row],[Cuenta Contable]],Produccion_Lecheria_Cuentas[Cuenta Contable],0),5),0)</f>
        <v>0</v>
      </c>
      <c r="AH227" s="985" t="str">
        <f>IF(Producción_Lecheria[[#This Row],[Cuenta Contable]]=Configuración!$AC$9,"Si","No")</f>
        <v>No</v>
      </c>
      <c r="AI227" s="983" t="str">
        <f>IFERROR(INDEX(Tabla9[],MATCH(Producción_Lecheria[[#This Row],[Movimiento]],Tabla9[Movimientos],0),2),0)</f>
        <v>Si</v>
      </c>
      <c r="AJ227" s="984" t="str">
        <f>IFERROR(INDEX(Tabla9[],MATCH(Producción_Lecheria[[#This Row],[Movimiento]],Tabla9[Movimientos],0),3),0)</f>
        <v>(-)</v>
      </c>
      <c r="AK227" s="986">
        <f>IF(Producción_Lecheria[[#This Row],[Fecha Económico]]=0,0,MONTH(Producción_Lecheria[[#This Row],[Fecha Económico]]))</f>
        <v>3</v>
      </c>
      <c r="AL227" s="986">
        <f>IF(Producción_Lecheria[[#This Row],[Fecha Económico]]=0,0,YEAR(Producción_Lecheria[[#This Row],[Fecha Económico]]))</f>
        <v>2019</v>
      </c>
      <c r="AM227" s="987">
        <f>SUMPRODUCT((Producción_Lecheria[[#This Row],[Mes Económico]]=Tipo_Cambio[Mes])*(Producción_Lecheria[[#This Row],[Año Económico]]=Tipo_Cambio[Año])*(Tipo_Cambio[$/U$S]))</f>
        <v>23.82284752381776</v>
      </c>
      <c r="AN227" s="987">
        <f>SUMPRODUCT((Producción_Lecheria[[#This Row],[Mes Económico]]=Tipo_Cambio[Mes])*(Producción_Lecheria[[#This Row],[Año Económico]]=Tipo_Cambio[Año])*(Tipo_Cambio[Actualización]))</f>
        <v>1.1716593810022657</v>
      </c>
      <c r="AO227" s="986">
        <f>IF(ISNUMBER(Producción_Lecheria[[#This Row],[Fecha Financiero]])=TRUE,MONTH(Producción_Lecheria[[#This Row],[Fecha Financiero]]),0)</f>
        <v>0</v>
      </c>
      <c r="AP227" s="986">
        <f>IF(ISNUMBER(Producción_Lecheria[[#This Row],[Fecha Financiero]])=TRUE,YEAR(Producción_Lecheria[[#This Row],[Fecha Financiero]]),0)</f>
        <v>0</v>
      </c>
      <c r="AQ227" s="987">
        <f>SUMPRODUCT((Producción_Lecheria[[#This Row],[Mes Financiero]]=Tipo_Cambio[Mes])*(Producción_Lecheria[[#This Row],[Año Financiero]]=Tipo_Cambio[Año])*(Tipo_Cambio[$/U$S]))</f>
        <v>0</v>
      </c>
      <c r="AR227" s="987">
        <f>SUMPRODUCT((Producción_Lecheria[[#This Row],[Mes Financiero]]=Tipo_Cambio[Mes])*(Producción_Lecheria[[#This Row],[Año Financiero]]=Tipo_Cambio[Año])*(Tipo_Cambio[Actualización]))</f>
        <v>0</v>
      </c>
      <c r="AS227" s="1009">
        <f>SUMPRODUCT((Producción_Lecheria[[#This Row],[Centro de Costo]]=Tabla1924[Centro de Costo])*(Tabla19[Superficie]))</f>
        <v>2356</v>
      </c>
      <c r="AT227" s="1010">
        <f>IFERROR(Producción_Lecheria[[#This Row],[Económico $Corrientes]]/Producción_Lecheria[[#This Row],[Superficie]],0)</f>
        <v>0</v>
      </c>
      <c r="AU227" s="1010">
        <f>IFERROR(Producción_Lecheria[[#This Row],[Económico $Constantes]]/Producción_Lecheria[[#This Row],[Superficie]],0)</f>
        <v>0</v>
      </c>
      <c r="AV227" s="1010">
        <f>IFERROR(Producción_Lecheria[[#This Row],[Económico U$S Dólares]]/Producción_Lecheria[[#This Row],[Superficie]],0)</f>
        <v>0</v>
      </c>
      <c r="AW227" s="992" t="str">
        <f>IF(Económico!$F$4=0,0,Producción_Lecheria[Centro de Costo])</f>
        <v>Campo 1</v>
      </c>
    </row>
    <row r="228" spans="1:49" x14ac:dyDescent="0.25">
      <c r="A228" s="86"/>
      <c r="D228" s="548">
        <f t="shared" si="20"/>
        <v>43556</v>
      </c>
      <c r="E228" s="493"/>
      <c r="F228" s="479" t="str">
        <f t="shared" si="21"/>
        <v>2018-2019</v>
      </c>
      <c r="G228" s="576" t="str">
        <f t="shared" si="19"/>
        <v>Sanidad Productos</v>
      </c>
      <c r="H228" s="481" t="s">
        <v>2</v>
      </c>
      <c r="I228" s="491"/>
      <c r="J228" s="549"/>
      <c r="K228" s="484"/>
      <c r="L22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2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28" s="520"/>
      <c r="O22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28" s="563"/>
      <c r="Q228" s="491"/>
      <c r="R228" s="875">
        <f>IF(ISNUMBER(Producción_Lecheria[[#This Row],[Cabezas]])=TRUE,Producción_Lecheria[[#This Row],[Cabezas]]*Producción_Lecheria[[#This Row],[Cantidad]],Producción_Lecheria[[#This Row],[Cantidad]])</f>
        <v>0</v>
      </c>
      <c r="S228" s="491"/>
      <c r="T228" s="552"/>
      <c r="U228" s="553"/>
      <c r="V22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28" s="977">
        <f>IFERROR(Producción_Lecheria[[#This Row],[Económico $Corrientes]]/Producción_Lecheria[[#This Row],[Indexación Económico]],0)</f>
        <v>0</v>
      </c>
      <c r="X22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2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28" s="977">
        <f>IFERROR(Producción_Lecheria[[#This Row],[Financiero $Corrientes]]/Producción_Lecheria[[#This Row],[Indexación Financiero]],0)</f>
        <v>0</v>
      </c>
      <c r="AA22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2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28" s="981">
        <f>IFERROR(Producción_Lecheria[[#This Row],[Intereses $Corrientes]]/Producción_Lecheria[[#This Row],[Indexación Financiero]],0)</f>
        <v>0</v>
      </c>
      <c r="AD22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28" s="991" t="str">
        <f>IFERROR(INDEX(Produccion_Lecheria_Cuentas[],MATCH(Producción_Lecheria[[#This Row],[Cuenta Contable]],Produccion_Lecheria_Cuentas[Cuenta Contable],0),2),0)</f>
        <v>Egreso</v>
      </c>
      <c r="AF228" s="992">
        <f>IF(Producción_Lecheria[[#This Row],[Mov. Stock]]="(+)",Producción_Lecheria[[#This Row],[Cabezas]],IF(Producción_Lecheria[[#This Row],[Mov. Stock]]="(-)",-Producción_Lecheria[[#This Row],[Cabezas]],0))</f>
        <v>0</v>
      </c>
      <c r="AG228" s="993">
        <f>IFERROR(INDEX(Produccion_Lecheria_Cuentas[],MATCH(Producción_Lecheria[[#This Row],[Cuenta Contable]],Produccion_Lecheria_Cuentas[Cuenta Contable],0),5),0)</f>
        <v>0</v>
      </c>
      <c r="AH228" s="985" t="str">
        <f>IF(Producción_Lecheria[[#This Row],[Cuenta Contable]]=Configuración!$AC$9,"Si","No")</f>
        <v>No</v>
      </c>
      <c r="AI228" s="983" t="str">
        <f>IFERROR(INDEX(Tabla9[],MATCH(Producción_Lecheria[[#This Row],[Movimiento]],Tabla9[Movimientos],0),2),0)</f>
        <v>Si</v>
      </c>
      <c r="AJ228" s="984" t="str">
        <f>IFERROR(INDEX(Tabla9[],MATCH(Producción_Lecheria[[#This Row],[Movimiento]],Tabla9[Movimientos],0),3),0)</f>
        <v>(-)</v>
      </c>
      <c r="AK228" s="986">
        <f>IF(Producción_Lecheria[[#This Row],[Fecha Económico]]=0,0,MONTH(Producción_Lecheria[[#This Row],[Fecha Económico]]))</f>
        <v>4</v>
      </c>
      <c r="AL228" s="986">
        <f>IF(Producción_Lecheria[[#This Row],[Fecha Económico]]=0,0,YEAR(Producción_Lecheria[[#This Row],[Fecha Económico]]))</f>
        <v>2019</v>
      </c>
      <c r="AM228" s="987">
        <f>SUMPRODUCT((Producción_Lecheria[[#This Row],[Mes Económico]]=Tipo_Cambio[Mes])*(Producción_Lecheria[[#This Row],[Año Económico]]=Tipo_Cambio[Año])*(Tipo_Cambio[$/U$S]))</f>
        <v>24.061075999055937</v>
      </c>
      <c r="AN228" s="987">
        <f>SUMPRODUCT((Producción_Lecheria[[#This Row],[Mes Económico]]=Tipo_Cambio[Mes])*(Producción_Lecheria[[#This Row],[Año Económico]]=Tipo_Cambio[Año])*(Tipo_Cambio[Actualización]))</f>
        <v>1.1950925686223111</v>
      </c>
      <c r="AO228" s="986">
        <f>IF(ISNUMBER(Producción_Lecheria[[#This Row],[Fecha Financiero]])=TRUE,MONTH(Producción_Lecheria[[#This Row],[Fecha Financiero]]),0)</f>
        <v>0</v>
      </c>
      <c r="AP228" s="986">
        <f>IF(ISNUMBER(Producción_Lecheria[[#This Row],[Fecha Financiero]])=TRUE,YEAR(Producción_Lecheria[[#This Row],[Fecha Financiero]]),0)</f>
        <v>0</v>
      </c>
      <c r="AQ228" s="987">
        <f>SUMPRODUCT((Producción_Lecheria[[#This Row],[Mes Financiero]]=Tipo_Cambio[Mes])*(Producción_Lecheria[[#This Row],[Año Financiero]]=Tipo_Cambio[Año])*(Tipo_Cambio[$/U$S]))</f>
        <v>0</v>
      </c>
      <c r="AR228" s="987">
        <f>SUMPRODUCT((Producción_Lecheria[[#This Row],[Mes Financiero]]=Tipo_Cambio[Mes])*(Producción_Lecheria[[#This Row],[Año Financiero]]=Tipo_Cambio[Año])*(Tipo_Cambio[Actualización]))</f>
        <v>0</v>
      </c>
      <c r="AS228" s="1009">
        <f>SUMPRODUCT((Producción_Lecheria[[#This Row],[Centro de Costo]]=Tabla1924[Centro de Costo])*(Tabla19[Superficie]))</f>
        <v>2356</v>
      </c>
      <c r="AT228" s="1010">
        <f>IFERROR(Producción_Lecheria[[#This Row],[Económico $Corrientes]]/Producción_Lecheria[[#This Row],[Superficie]],0)</f>
        <v>0</v>
      </c>
      <c r="AU228" s="1010">
        <f>IFERROR(Producción_Lecheria[[#This Row],[Económico $Constantes]]/Producción_Lecheria[[#This Row],[Superficie]],0)</f>
        <v>0</v>
      </c>
      <c r="AV228" s="1010">
        <f>IFERROR(Producción_Lecheria[[#This Row],[Económico U$S Dólares]]/Producción_Lecheria[[#This Row],[Superficie]],0)</f>
        <v>0</v>
      </c>
      <c r="AW228" s="992" t="str">
        <f>IF(Económico!$F$4=0,0,Producción_Lecheria[Centro de Costo])</f>
        <v>Campo 1</v>
      </c>
    </row>
    <row r="229" spans="1:49" x14ac:dyDescent="0.25">
      <c r="A229" s="86"/>
      <c r="D229" s="548">
        <f t="shared" si="20"/>
        <v>43586</v>
      </c>
      <c r="E229" s="493"/>
      <c r="F229" s="479" t="str">
        <f t="shared" si="21"/>
        <v>2018-2019</v>
      </c>
      <c r="G229" s="576" t="str">
        <f t="shared" si="19"/>
        <v>Sanidad Productos</v>
      </c>
      <c r="H229" s="481" t="s">
        <v>2</v>
      </c>
      <c r="I229" s="491"/>
      <c r="J229" s="549"/>
      <c r="K229" s="484"/>
      <c r="L22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2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29" s="520"/>
      <c r="O22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29" s="563"/>
      <c r="Q229" s="491"/>
      <c r="R229" s="875">
        <f>IF(ISNUMBER(Producción_Lecheria[[#This Row],[Cabezas]])=TRUE,Producción_Lecheria[[#This Row],[Cabezas]]*Producción_Lecheria[[#This Row],[Cantidad]],Producción_Lecheria[[#This Row],[Cantidad]])</f>
        <v>0</v>
      </c>
      <c r="S229" s="491"/>
      <c r="T229" s="552"/>
      <c r="U229" s="553"/>
      <c r="V22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29" s="977">
        <f>IFERROR(Producción_Lecheria[[#This Row],[Económico $Corrientes]]/Producción_Lecheria[[#This Row],[Indexación Económico]],0)</f>
        <v>0</v>
      </c>
      <c r="X22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2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29" s="977">
        <f>IFERROR(Producción_Lecheria[[#This Row],[Financiero $Corrientes]]/Producción_Lecheria[[#This Row],[Indexación Financiero]],0)</f>
        <v>0</v>
      </c>
      <c r="AA22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2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29" s="981">
        <f>IFERROR(Producción_Lecheria[[#This Row],[Intereses $Corrientes]]/Producción_Lecheria[[#This Row],[Indexación Financiero]],0)</f>
        <v>0</v>
      </c>
      <c r="AD22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29" s="991" t="str">
        <f>IFERROR(INDEX(Produccion_Lecheria_Cuentas[],MATCH(Producción_Lecheria[[#This Row],[Cuenta Contable]],Produccion_Lecheria_Cuentas[Cuenta Contable],0),2),0)</f>
        <v>Egreso</v>
      </c>
      <c r="AF229" s="992">
        <f>IF(Producción_Lecheria[[#This Row],[Mov. Stock]]="(+)",Producción_Lecheria[[#This Row],[Cabezas]],IF(Producción_Lecheria[[#This Row],[Mov. Stock]]="(-)",-Producción_Lecheria[[#This Row],[Cabezas]],0))</f>
        <v>0</v>
      </c>
      <c r="AG229" s="993">
        <f>IFERROR(INDEX(Produccion_Lecheria_Cuentas[],MATCH(Producción_Lecheria[[#This Row],[Cuenta Contable]],Produccion_Lecheria_Cuentas[Cuenta Contable],0),5),0)</f>
        <v>0</v>
      </c>
      <c r="AH229" s="985" t="str">
        <f>IF(Producción_Lecheria[[#This Row],[Cuenta Contable]]=Configuración!$AC$9,"Si","No")</f>
        <v>No</v>
      </c>
      <c r="AI229" s="983" t="str">
        <f>IFERROR(INDEX(Tabla9[],MATCH(Producción_Lecheria[[#This Row],[Movimiento]],Tabla9[Movimientos],0),2),0)</f>
        <v>Si</v>
      </c>
      <c r="AJ229" s="984" t="str">
        <f>IFERROR(INDEX(Tabla9[],MATCH(Producción_Lecheria[[#This Row],[Movimiento]],Tabla9[Movimientos],0),3),0)</f>
        <v>(-)</v>
      </c>
      <c r="AK229" s="986">
        <f>IF(Producción_Lecheria[[#This Row],[Fecha Económico]]=0,0,MONTH(Producción_Lecheria[[#This Row],[Fecha Económico]]))</f>
        <v>5</v>
      </c>
      <c r="AL229" s="986">
        <f>IF(Producción_Lecheria[[#This Row],[Fecha Económico]]=0,0,YEAR(Producción_Lecheria[[#This Row],[Fecha Económico]]))</f>
        <v>2019</v>
      </c>
      <c r="AM229" s="987">
        <f>SUMPRODUCT((Producción_Lecheria[[#This Row],[Mes Económico]]=Tipo_Cambio[Mes])*(Producción_Lecheria[[#This Row],[Año Económico]]=Tipo_Cambio[Año])*(Tipo_Cambio[$/U$S]))</f>
        <v>24.301686759046497</v>
      </c>
      <c r="AN229" s="987">
        <f>SUMPRODUCT((Producción_Lecheria[[#This Row],[Mes Económico]]=Tipo_Cambio[Mes])*(Producción_Lecheria[[#This Row],[Año Económico]]=Tipo_Cambio[Año])*(Tipo_Cambio[Actualización]))</f>
        <v>1.2189944199947573</v>
      </c>
      <c r="AO229" s="986">
        <f>IF(ISNUMBER(Producción_Lecheria[[#This Row],[Fecha Financiero]])=TRUE,MONTH(Producción_Lecheria[[#This Row],[Fecha Financiero]]),0)</f>
        <v>0</v>
      </c>
      <c r="AP229" s="986">
        <f>IF(ISNUMBER(Producción_Lecheria[[#This Row],[Fecha Financiero]])=TRUE,YEAR(Producción_Lecheria[[#This Row],[Fecha Financiero]]),0)</f>
        <v>0</v>
      </c>
      <c r="AQ229" s="987">
        <f>SUMPRODUCT((Producción_Lecheria[[#This Row],[Mes Financiero]]=Tipo_Cambio[Mes])*(Producción_Lecheria[[#This Row],[Año Financiero]]=Tipo_Cambio[Año])*(Tipo_Cambio[$/U$S]))</f>
        <v>0</v>
      </c>
      <c r="AR229" s="987">
        <f>SUMPRODUCT((Producción_Lecheria[[#This Row],[Mes Financiero]]=Tipo_Cambio[Mes])*(Producción_Lecheria[[#This Row],[Año Financiero]]=Tipo_Cambio[Año])*(Tipo_Cambio[Actualización]))</f>
        <v>0</v>
      </c>
      <c r="AS229" s="1009">
        <f>SUMPRODUCT((Producción_Lecheria[[#This Row],[Centro de Costo]]=Tabla1924[Centro de Costo])*(Tabla19[Superficie]))</f>
        <v>2356</v>
      </c>
      <c r="AT229" s="1010">
        <f>IFERROR(Producción_Lecheria[[#This Row],[Económico $Corrientes]]/Producción_Lecheria[[#This Row],[Superficie]],0)</f>
        <v>0</v>
      </c>
      <c r="AU229" s="1010">
        <f>IFERROR(Producción_Lecheria[[#This Row],[Económico $Constantes]]/Producción_Lecheria[[#This Row],[Superficie]],0)</f>
        <v>0</v>
      </c>
      <c r="AV229" s="1010">
        <f>IFERROR(Producción_Lecheria[[#This Row],[Económico U$S Dólares]]/Producción_Lecheria[[#This Row],[Superficie]],0)</f>
        <v>0</v>
      </c>
      <c r="AW229" s="992" t="str">
        <f>IF(Económico!$F$4=0,0,Producción_Lecheria[Centro de Costo])</f>
        <v>Campo 1</v>
      </c>
    </row>
    <row r="230" spans="1:49" x14ac:dyDescent="0.25">
      <c r="A230" s="86"/>
      <c r="D230" s="548">
        <f t="shared" si="20"/>
        <v>43617</v>
      </c>
      <c r="E230" s="493"/>
      <c r="F230" s="479" t="str">
        <f t="shared" si="21"/>
        <v>2018-2019</v>
      </c>
      <c r="G230" s="576" t="str">
        <f t="shared" si="19"/>
        <v>Sanidad Productos</v>
      </c>
      <c r="H230" s="481" t="s">
        <v>2</v>
      </c>
      <c r="I230" s="491"/>
      <c r="J230" s="549"/>
      <c r="K230" s="484"/>
      <c r="L23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3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30" s="520"/>
      <c r="O23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30" s="563"/>
      <c r="Q230" s="491"/>
      <c r="R230" s="875">
        <f>IF(ISNUMBER(Producción_Lecheria[[#This Row],[Cabezas]])=TRUE,Producción_Lecheria[[#This Row],[Cabezas]]*Producción_Lecheria[[#This Row],[Cantidad]],Producción_Lecheria[[#This Row],[Cantidad]])</f>
        <v>0</v>
      </c>
      <c r="S230" s="491"/>
      <c r="T230" s="552"/>
      <c r="U230" s="553"/>
      <c r="V23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30" s="977">
        <f>IFERROR(Producción_Lecheria[[#This Row],[Económico $Corrientes]]/Producción_Lecheria[[#This Row],[Indexación Económico]],0)</f>
        <v>0</v>
      </c>
      <c r="X23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3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30" s="977">
        <f>IFERROR(Producción_Lecheria[[#This Row],[Financiero $Corrientes]]/Producción_Lecheria[[#This Row],[Indexación Financiero]],0)</f>
        <v>0</v>
      </c>
      <c r="AA23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3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30" s="981">
        <f>IFERROR(Producción_Lecheria[[#This Row],[Intereses $Corrientes]]/Producción_Lecheria[[#This Row],[Indexación Financiero]],0)</f>
        <v>0</v>
      </c>
      <c r="AD23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30" s="991" t="str">
        <f>IFERROR(INDEX(Produccion_Lecheria_Cuentas[],MATCH(Producción_Lecheria[[#This Row],[Cuenta Contable]],Produccion_Lecheria_Cuentas[Cuenta Contable],0),2),0)</f>
        <v>Egreso</v>
      </c>
      <c r="AF230" s="992">
        <f>IF(Producción_Lecheria[[#This Row],[Mov. Stock]]="(+)",Producción_Lecheria[[#This Row],[Cabezas]],IF(Producción_Lecheria[[#This Row],[Mov. Stock]]="(-)",-Producción_Lecheria[[#This Row],[Cabezas]],0))</f>
        <v>0</v>
      </c>
      <c r="AG230" s="993">
        <f>IFERROR(INDEX(Produccion_Lecheria_Cuentas[],MATCH(Producción_Lecheria[[#This Row],[Cuenta Contable]],Produccion_Lecheria_Cuentas[Cuenta Contable],0),5),0)</f>
        <v>0</v>
      </c>
      <c r="AH230" s="985" t="str">
        <f>IF(Producción_Lecheria[[#This Row],[Cuenta Contable]]=Configuración!$AC$9,"Si","No")</f>
        <v>No</v>
      </c>
      <c r="AI230" s="983" t="str">
        <f>IFERROR(INDEX(Tabla9[],MATCH(Producción_Lecheria[[#This Row],[Movimiento]],Tabla9[Movimientos],0),2),0)</f>
        <v>Si</v>
      </c>
      <c r="AJ230" s="984" t="str">
        <f>IFERROR(INDEX(Tabla9[],MATCH(Producción_Lecheria[[#This Row],[Movimiento]],Tabla9[Movimientos],0),3),0)</f>
        <v>(-)</v>
      </c>
      <c r="AK230" s="986">
        <f>IF(Producción_Lecheria[[#This Row],[Fecha Económico]]=0,0,MONTH(Producción_Lecheria[[#This Row],[Fecha Económico]]))</f>
        <v>6</v>
      </c>
      <c r="AL230" s="986">
        <f>IF(Producción_Lecheria[[#This Row],[Fecha Económico]]=0,0,YEAR(Producción_Lecheria[[#This Row],[Fecha Económico]]))</f>
        <v>2019</v>
      </c>
      <c r="AM230" s="987">
        <f>SUMPRODUCT((Producción_Lecheria[[#This Row],[Mes Económico]]=Tipo_Cambio[Mes])*(Producción_Lecheria[[#This Row],[Año Económico]]=Tipo_Cambio[Año])*(Tipo_Cambio[$/U$S]))</f>
        <v>24.544703626636963</v>
      </c>
      <c r="AN230" s="987">
        <f>SUMPRODUCT((Producción_Lecheria[[#This Row],[Mes Económico]]=Tipo_Cambio[Mes])*(Producción_Lecheria[[#This Row],[Año Económico]]=Tipo_Cambio[Año])*(Tipo_Cambio[Actualización]))</f>
        <v>1.2433743083946525</v>
      </c>
      <c r="AO230" s="986">
        <f>IF(ISNUMBER(Producción_Lecheria[[#This Row],[Fecha Financiero]])=TRUE,MONTH(Producción_Lecheria[[#This Row],[Fecha Financiero]]),0)</f>
        <v>0</v>
      </c>
      <c r="AP230" s="986">
        <f>IF(ISNUMBER(Producción_Lecheria[[#This Row],[Fecha Financiero]])=TRUE,YEAR(Producción_Lecheria[[#This Row],[Fecha Financiero]]),0)</f>
        <v>0</v>
      </c>
      <c r="AQ230" s="987">
        <f>SUMPRODUCT((Producción_Lecheria[[#This Row],[Mes Financiero]]=Tipo_Cambio[Mes])*(Producción_Lecheria[[#This Row],[Año Financiero]]=Tipo_Cambio[Año])*(Tipo_Cambio[$/U$S]))</f>
        <v>0</v>
      </c>
      <c r="AR230" s="987">
        <f>SUMPRODUCT((Producción_Lecheria[[#This Row],[Mes Financiero]]=Tipo_Cambio[Mes])*(Producción_Lecheria[[#This Row],[Año Financiero]]=Tipo_Cambio[Año])*(Tipo_Cambio[Actualización]))</f>
        <v>0</v>
      </c>
      <c r="AS230" s="1009">
        <f>SUMPRODUCT((Producción_Lecheria[[#This Row],[Centro de Costo]]=Tabla1924[Centro de Costo])*(Tabla19[Superficie]))</f>
        <v>2356</v>
      </c>
      <c r="AT230" s="1010">
        <f>IFERROR(Producción_Lecheria[[#This Row],[Económico $Corrientes]]/Producción_Lecheria[[#This Row],[Superficie]],0)</f>
        <v>0</v>
      </c>
      <c r="AU230" s="1010">
        <f>IFERROR(Producción_Lecheria[[#This Row],[Económico $Constantes]]/Producción_Lecheria[[#This Row],[Superficie]],0)</f>
        <v>0</v>
      </c>
      <c r="AV230" s="1010">
        <f>IFERROR(Producción_Lecheria[[#This Row],[Económico U$S Dólares]]/Producción_Lecheria[[#This Row],[Superficie]],0)</f>
        <v>0</v>
      </c>
      <c r="AW230" s="992" t="str">
        <f>IF(Económico!$F$4=0,0,Producción_Lecheria[Centro de Costo])</f>
        <v>Campo 1</v>
      </c>
    </row>
    <row r="231" spans="1:49" x14ac:dyDescent="0.25">
      <c r="A231" s="86"/>
      <c r="D231" s="548">
        <f>DATE(LEFT(Producción_Lecheria[[#This Row],[Campaña]],4),7,1)</f>
        <v>43282</v>
      </c>
      <c r="E231" s="493"/>
      <c r="F231" s="479" t="str">
        <f t="shared" si="21"/>
        <v>2018-2019</v>
      </c>
      <c r="G231" s="576" t="str">
        <f t="shared" ref="G231:G242" si="22">Lech_Sanidad_Honorarios</f>
        <v>Sanidad Honorarios</v>
      </c>
      <c r="H231" s="481" t="s">
        <v>2</v>
      </c>
      <c r="I231" s="491"/>
      <c r="J231" s="549"/>
      <c r="K231" s="484"/>
      <c r="L23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3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31" s="520"/>
      <c r="O23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31" s="563"/>
      <c r="Q231" s="491"/>
      <c r="R231" s="875">
        <f>IF(ISNUMBER(Producción_Lecheria[[#This Row],[Cabezas]])=TRUE,Producción_Lecheria[[#This Row],[Cabezas]]*Producción_Lecheria[[#This Row],[Cantidad]],Producción_Lecheria[[#This Row],[Cantidad]])</f>
        <v>0</v>
      </c>
      <c r="S231" s="491"/>
      <c r="T231" s="552"/>
      <c r="U231" s="553"/>
      <c r="V23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31" s="977">
        <f>IFERROR(Producción_Lecheria[[#This Row],[Económico $Corrientes]]/Producción_Lecheria[[#This Row],[Indexación Económico]],0)</f>
        <v>0</v>
      </c>
      <c r="X23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3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31" s="977">
        <f>IFERROR(Producción_Lecheria[[#This Row],[Financiero $Corrientes]]/Producción_Lecheria[[#This Row],[Indexación Financiero]],0)</f>
        <v>0</v>
      </c>
      <c r="AA23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3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31" s="981">
        <f>IFERROR(Producción_Lecheria[[#This Row],[Intereses $Corrientes]]/Producción_Lecheria[[#This Row],[Indexación Financiero]],0)</f>
        <v>0</v>
      </c>
      <c r="AD23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31" s="991" t="str">
        <f>IFERROR(INDEX(Produccion_Lecheria_Cuentas[],MATCH(Producción_Lecheria[[#This Row],[Cuenta Contable]],Produccion_Lecheria_Cuentas[Cuenta Contable],0),2),0)</f>
        <v>Egreso</v>
      </c>
      <c r="AF231" s="992">
        <f>IF(Producción_Lecheria[[#This Row],[Mov. Stock]]="(+)",Producción_Lecheria[[#This Row],[Cabezas]],IF(Producción_Lecheria[[#This Row],[Mov. Stock]]="(-)",-Producción_Lecheria[[#This Row],[Cabezas]],0))</f>
        <v>0</v>
      </c>
      <c r="AG231" s="993">
        <f>IFERROR(INDEX(Produccion_Lecheria_Cuentas[],MATCH(Producción_Lecheria[[#This Row],[Cuenta Contable]],Produccion_Lecheria_Cuentas[Cuenta Contable],0),5),0)</f>
        <v>0</v>
      </c>
      <c r="AH231" s="985" t="str">
        <f>IF(Producción_Lecheria[[#This Row],[Cuenta Contable]]=Configuración!$AC$9,"Si","No")</f>
        <v>No</v>
      </c>
      <c r="AI231" s="983" t="str">
        <f>IFERROR(INDEX(Tabla9[],MATCH(Producción_Lecheria[[#This Row],[Movimiento]],Tabla9[Movimientos],0),2),0)</f>
        <v>Si</v>
      </c>
      <c r="AJ231" s="984" t="str">
        <f>IFERROR(INDEX(Tabla9[],MATCH(Producción_Lecheria[[#This Row],[Movimiento]],Tabla9[Movimientos],0),3),0)</f>
        <v>(-)</v>
      </c>
      <c r="AK231" s="986">
        <f>IF(Producción_Lecheria[[#This Row],[Fecha Económico]]=0,0,MONTH(Producción_Lecheria[[#This Row],[Fecha Económico]]))</f>
        <v>7</v>
      </c>
      <c r="AL231" s="986">
        <f>IF(Producción_Lecheria[[#This Row],[Fecha Económico]]=0,0,YEAR(Producción_Lecheria[[#This Row],[Fecha Económico]]))</f>
        <v>2018</v>
      </c>
      <c r="AM231" s="987">
        <f>SUMPRODUCT((Producción_Lecheria[[#This Row],[Mes Económico]]=Tipo_Cambio[Mes])*(Producción_Lecheria[[#This Row],[Año Económico]]=Tipo_Cambio[Año])*(Tipo_Cambio[$/U$S]))</f>
        <v>22</v>
      </c>
      <c r="AN231" s="987">
        <f>SUMPRODUCT((Producción_Lecheria[[#This Row],[Mes Económico]]=Tipo_Cambio[Mes])*(Producción_Lecheria[[#This Row],[Año Económico]]=Tipo_Cambio[Año])*(Tipo_Cambio[Actualización]))</f>
        <v>1</v>
      </c>
      <c r="AO231" s="986">
        <f>IF(ISNUMBER(Producción_Lecheria[[#This Row],[Fecha Financiero]])=TRUE,MONTH(Producción_Lecheria[[#This Row],[Fecha Financiero]]),0)</f>
        <v>0</v>
      </c>
      <c r="AP231" s="986">
        <f>IF(ISNUMBER(Producción_Lecheria[[#This Row],[Fecha Financiero]])=TRUE,YEAR(Producción_Lecheria[[#This Row],[Fecha Financiero]]),0)</f>
        <v>0</v>
      </c>
      <c r="AQ231" s="987">
        <f>SUMPRODUCT((Producción_Lecheria[[#This Row],[Mes Financiero]]=Tipo_Cambio[Mes])*(Producción_Lecheria[[#This Row],[Año Financiero]]=Tipo_Cambio[Año])*(Tipo_Cambio[$/U$S]))</f>
        <v>0</v>
      </c>
      <c r="AR231" s="987">
        <f>SUMPRODUCT((Producción_Lecheria[[#This Row],[Mes Financiero]]=Tipo_Cambio[Mes])*(Producción_Lecheria[[#This Row],[Año Financiero]]=Tipo_Cambio[Año])*(Tipo_Cambio[Actualización]))</f>
        <v>0</v>
      </c>
      <c r="AS231" s="1009">
        <f>SUMPRODUCT((Producción_Lecheria[[#This Row],[Centro de Costo]]=Tabla1924[Centro de Costo])*(Tabla19[Superficie]))</f>
        <v>2356</v>
      </c>
      <c r="AT231" s="1010">
        <f>IFERROR(Producción_Lecheria[[#This Row],[Económico $Corrientes]]/Producción_Lecheria[[#This Row],[Superficie]],0)</f>
        <v>0</v>
      </c>
      <c r="AU231" s="1010">
        <f>IFERROR(Producción_Lecheria[[#This Row],[Económico $Constantes]]/Producción_Lecheria[[#This Row],[Superficie]],0)</f>
        <v>0</v>
      </c>
      <c r="AV231" s="1010">
        <f>IFERROR(Producción_Lecheria[[#This Row],[Económico U$S Dólares]]/Producción_Lecheria[[#This Row],[Superficie]],0)</f>
        <v>0</v>
      </c>
      <c r="AW231" s="992" t="str">
        <f>IF(Económico!$F$4=0,0,Producción_Lecheria[Centro de Costo])</f>
        <v>Campo 1</v>
      </c>
    </row>
    <row r="232" spans="1:49" x14ac:dyDescent="0.25">
      <c r="A232" s="86"/>
      <c r="D232" s="548">
        <f>DATE(IF(MONTH(D231)=1,YEAR(D231+1),YEAR(D231)),MONTH(D231)+1,1)</f>
        <v>43313</v>
      </c>
      <c r="E232" s="493"/>
      <c r="F232" s="479" t="str">
        <f t="shared" si="21"/>
        <v>2018-2019</v>
      </c>
      <c r="G232" s="576" t="str">
        <f t="shared" si="22"/>
        <v>Sanidad Honorarios</v>
      </c>
      <c r="H232" s="481" t="s">
        <v>2</v>
      </c>
      <c r="I232" s="491"/>
      <c r="J232" s="549"/>
      <c r="K232" s="484"/>
      <c r="L23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3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32" s="520"/>
      <c r="O23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32" s="563"/>
      <c r="Q232" s="491"/>
      <c r="R232" s="875">
        <f>IF(ISNUMBER(Producción_Lecheria[[#This Row],[Cabezas]])=TRUE,Producción_Lecheria[[#This Row],[Cabezas]]*Producción_Lecheria[[#This Row],[Cantidad]],Producción_Lecheria[[#This Row],[Cantidad]])</f>
        <v>0</v>
      </c>
      <c r="S232" s="491"/>
      <c r="T232" s="552"/>
      <c r="U232" s="553"/>
      <c r="V23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32" s="977">
        <f>IFERROR(Producción_Lecheria[[#This Row],[Económico $Corrientes]]/Producción_Lecheria[[#This Row],[Indexación Económico]],0)</f>
        <v>0</v>
      </c>
      <c r="X23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3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32" s="977">
        <f>IFERROR(Producción_Lecheria[[#This Row],[Financiero $Corrientes]]/Producción_Lecheria[[#This Row],[Indexación Financiero]],0)</f>
        <v>0</v>
      </c>
      <c r="AA23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3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32" s="981">
        <f>IFERROR(Producción_Lecheria[[#This Row],[Intereses $Corrientes]]/Producción_Lecheria[[#This Row],[Indexación Financiero]],0)</f>
        <v>0</v>
      </c>
      <c r="AD23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32" s="991" t="str">
        <f>IFERROR(INDEX(Produccion_Lecheria_Cuentas[],MATCH(Producción_Lecheria[[#This Row],[Cuenta Contable]],Produccion_Lecheria_Cuentas[Cuenta Contable],0),2),0)</f>
        <v>Egreso</v>
      </c>
      <c r="AF232" s="992">
        <f>IF(Producción_Lecheria[[#This Row],[Mov. Stock]]="(+)",Producción_Lecheria[[#This Row],[Cabezas]],IF(Producción_Lecheria[[#This Row],[Mov. Stock]]="(-)",-Producción_Lecheria[[#This Row],[Cabezas]],0))</f>
        <v>0</v>
      </c>
      <c r="AG232" s="993">
        <f>IFERROR(INDEX(Produccion_Lecheria_Cuentas[],MATCH(Producción_Lecheria[[#This Row],[Cuenta Contable]],Produccion_Lecheria_Cuentas[Cuenta Contable],0),5),0)</f>
        <v>0</v>
      </c>
      <c r="AH232" s="985" t="str">
        <f>IF(Producción_Lecheria[[#This Row],[Cuenta Contable]]=Configuración!$AC$9,"Si","No")</f>
        <v>No</v>
      </c>
      <c r="AI232" s="983" t="str">
        <f>IFERROR(INDEX(Tabla9[],MATCH(Producción_Lecheria[[#This Row],[Movimiento]],Tabla9[Movimientos],0),2),0)</f>
        <v>Si</v>
      </c>
      <c r="AJ232" s="984" t="str">
        <f>IFERROR(INDEX(Tabla9[],MATCH(Producción_Lecheria[[#This Row],[Movimiento]],Tabla9[Movimientos],0),3),0)</f>
        <v>(-)</v>
      </c>
      <c r="AK232" s="986">
        <f>IF(Producción_Lecheria[[#This Row],[Fecha Económico]]=0,0,MONTH(Producción_Lecheria[[#This Row],[Fecha Económico]]))</f>
        <v>8</v>
      </c>
      <c r="AL232" s="986">
        <f>IF(Producción_Lecheria[[#This Row],[Fecha Económico]]=0,0,YEAR(Producción_Lecheria[[#This Row],[Fecha Económico]]))</f>
        <v>2018</v>
      </c>
      <c r="AM232" s="987">
        <f>SUMPRODUCT((Producción_Lecheria[[#This Row],[Mes Económico]]=Tipo_Cambio[Mes])*(Producción_Lecheria[[#This Row],[Año Económico]]=Tipo_Cambio[Año])*(Tipo_Cambio[$/U$S]))</f>
        <v>22.22</v>
      </c>
      <c r="AN232" s="987">
        <f>SUMPRODUCT((Producción_Lecheria[[#This Row],[Mes Económico]]=Tipo_Cambio[Mes])*(Producción_Lecheria[[#This Row],[Año Económico]]=Tipo_Cambio[Año])*(Tipo_Cambio[Actualización]))</f>
        <v>1.02</v>
      </c>
      <c r="AO232" s="986">
        <f>IF(ISNUMBER(Producción_Lecheria[[#This Row],[Fecha Financiero]])=TRUE,MONTH(Producción_Lecheria[[#This Row],[Fecha Financiero]]),0)</f>
        <v>0</v>
      </c>
      <c r="AP232" s="986">
        <f>IF(ISNUMBER(Producción_Lecheria[[#This Row],[Fecha Financiero]])=TRUE,YEAR(Producción_Lecheria[[#This Row],[Fecha Financiero]]),0)</f>
        <v>0</v>
      </c>
      <c r="AQ232" s="987">
        <f>SUMPRODUCT((Producción_Lecheria[[#This Row],[Mes Financiero]]=Tipo_Cambio[Mes])*(Producción_Lecheria[[#This Row],[Año Financiero]]=Tipo_Cambio[Año])*(Tipo_Cambio[$/U$S]))</f>
        <v>0</v>
      </c>
      <c r="AR232" s="987">
        <f>SUMPRODUCT((Producción_Lecheria[[#This Row],[Mes Financiero]]=Tipo_Cambio[Mes])*(Producción_Lecheria[[#This Row],[Año Financiero]]=Tipo_Cambio[Año])*(Tipo_Cambio[Actualización]))</f>
        <v>0</v>
      </c>
      <c r="AS232" s="1009">
        <f>SUMPRODUCT((Producción_Lecheria[[#This Row],[Centro de Costo]]=Tabla1924[Centro de Costo])*(Tabla19[Superficie]))</f>
        <v>2356</v>
      </c>
      <c r="AT232" s="1010">
        <f>IFERROR(Producción_Lecheria[[#This Row],[Económico $Corrientes]]/Producción_Lecheria[[#This Row],[Superficie]],0)</f>
        <v>0</v>
      </c>
      <c r="AU232" s="1010">
        <f>IFERROR(Producción_Lecheria[[#This Row],[Económico $Constantes]]/Producción_Lecheria[[#This Row],[Superficie]],0)</f>
        <v>0</v>
      </c>
      <c r="AV232" s="1010">
        <f>IFERROR(Producción_Lecheria[[#This Row],[Económico U$S Dólares]]/Producción_Lecheria[[#This Row],[Superficie]],0)</f>
        <v>0</v>
      </c>
      <c r="AW232" s="992" t="str">
        <f>IF(Económico!$F$4=0,0,Producción_Lecheria[Centro de Costo])</f>
        <v>Campo 1</v>
      </c>
    </row>
    <row r="233" spans="1:49" x14ac:dyDescent="0.25">
      <c r="A233" s="86"/>
      <c r="D233" s="548">
        <f t="shared" ref="D233:D242" si="23">DATE(IF(MONTH(D232)=1,YEAR(D232+1),YEAR(D232)),MONTH(D232)+1,1)</f>
        <v>43344</v>
      </c>
      <c r="E233" s="493"/>
      <c r="F233" s="479" t="str">
        <f t="shared" si="21"/>
        <v>2018-2019</v>
      </c>
      <c r="G233" s="576" t="str">
        <f t="shared" si="22"/>
        <v>Sanidad Honorarios</v>
      </c>
      <c r="H233" s="481" t="s">
        <v>2</v>
      </c>
      <c r="I233" s="491"/>
      <c r="J233" s="549"/>
      <c r="K233" s="484"/>
      <c r="L23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3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33" s="520"/>
      <c r="O23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33" s="563"/>
      <c r="Q233" s="491"/>
      <c r="R233" s="875">
        <f>IF(ISNUMBER(Producción_Lecheria[[#This Row],[Cabezas]])=TRUE,Producción_Lecheria[[#This Row],[Cabezas]]*Producción_Lecheria[[#This Row],[Cantidad]],Producción_Lecheria[[#This Row],[Cantidad]])</f>
        <v>0</v>
      </c>
      <c r="S233" s="491"/>
      <c r="T233" s="552"/>
      <c r="U233" s="553"/>
      <c r="V23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33" s="977">
        <f>IFERROR(Producción_Lecheria[[#This Row],[Económico $Corrientes]]/Producción_Lecheria[[#This Row],[Indexación Económico]],0)</f>
        <v>0</v>
      </c>
      <c r="X23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3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33" s="977">
        <f>IFERROR(Producción_Lecheria[[#This Row],[Financiero $Corrientes]]/Producción_Lecheria[[#This Row],[Indexación Financiero]],0)</f>
        <v>0</v>
      </c>
      <c r="AA23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3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33" s="981">
        <f>IFERROR(Producción_Lecheria[[#This Row],[Intereses $Corrientes]]/Producción_Lecheria[[#This Row],[Indexación Financiero]],0)</f>
        <v>0</v>
      </c>
      <c r="AD23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33" s="991" t="str">
        <f>IFERROR(INDEX(Produccion_Lecheria_Cuentas[],MATCH(Producción_Lecheria[[#This Row],[Cuenta Contable]],Produccion_Lecheria_Cuentas[Cuenta Contable],0),2),0)</f>
        <v>Egreso</v>
      </c>
      <c r="AF233" s="992">
        <f>IF(Producción_Lecheria[[#This Row],[Mov. Stock]]="(+)",Producción_Lecheria[[#This Row],[Cabezas]],IF(Producción_Lecheria[[#This Row],[Mov. Stock]]="(-)",-Producción_Lecheria[[#This Row],[Cabezas]],0))</f>
        <v>0</v>
      </c>
      <c r="AG233" s="993">
        <f>IFERROR(INDEX(Produccion_Lecheria_Cuentas[],MATCH(Producción_Lecheria[[#This Row],[Cuenta Contable]],Produccion_Lecheria_Cuentas[Cuenta Contable],0),5),0)</f>
        <v>0</v>
      </c>
      <c r="AH233" s="985" t="str">
        <f>IF(Producción_Lecheria[[#This Row],[Cuenta Contable]]=Configuración!$AC$9,"Si","No")</f>
        <v>No</v>
      </c>
      <c r="AI233" s="983" t="str">
        <f>IFERROR(INDEX(Tabla9[],MATCH(Producción_Lecheria[[#This Row],[Movimiento]],Tabla9[Movimientos],0),2),0)</f>
        <v>Si</v>
      </c>
      <c r="AJ233" s="984" t="str">
        <f>IFERROR(INDEX(Tabla9[],MATCH(Producción_Lecheria[[#This Row],[Movimiento]],Tabla9[Movimientos],0),3),0)</f>
        <v>(-)</v>
      </c>
      <c r="AK233" s="986">
        <f>IF(Producción_Lecheria[[#This Row],[Fecha Económico]]=0,0,MONTH(Producción_Lecheria[[#This Row],[Fecha Económico]]))</f>
        <v>9</v>
      </c>
      <c r="AL233" s="986">
        <f>IF(Producción_Lecheria[[#This Row],[Fecha Económico]]=0,0,YEAR(Producción_Lecheria[[#This Row],[Fecha Económico]]))</f>
        <v>2018</v>
      </c>
      <c r="AM233" s="987">
        <f>SUMPRODUCT((Producción_Lecheria[[#This Row],[Mes Económico]]=Tipo_Cambio[Mes])*(Producción_Lecheria[[#This Row],[Año Económico]]=Tipo_Cambio[Año])*(Tipo_Cambio[$/U$S]))</f>
        <v>22.4422</v>
      </c>
      <c r="AN233" s="987">
        <f>SUMPRODUCT((Producción_Lecheria[[#This Row],[Mes Económico]]=Tipo_Cambio[Mes])*(Producción_Lecheria[[#This Row],[Año Económico]]=Tipo_Cambio[Año])*(Tipo_Cambio[Actualización]))</f>
        <v>1.0404</v>
      </c>
      <c r="AO233" s="986">
        <f>IF(ISNUMBER(Producción_Lecheria[[#This Row],[Fecha Financiero]])=TRUE,MONTH(Producción_Lecheria[[#This Row],[Fecha Financiero]]),0)</f>
        <v>0</v>
      </c>
      <c r="AP233" s="986">
        <f>IF(ISNUMBER(Producción_Lecheria[[#This Row],[Fecha Financiero]])=TRUE,YEAR(Producción_Lecheria[[#This Row],[Fecha Financiero]]),0)</f>
        <v>0</v>
      </c>
      <c r="AQ233" s="987">
        <f>SUMPRODUCT((Producción_Lecheria[[#This Row],[Mes Financiero]]=Tipo_Cambio[Mes])*(Producción_Lecheria[[#This Row],[Año Financiero]]=Tipo_Cambio[Año])*(Tipo_Cambio[$/U$S]))</f>
        <v>0</v>
      </c>
      <c r="AR233" s="987">
        <f>SUMPRODUCT((Producción_Lecheria[[#This Row],[Mes Financiero]]=Tipo_Cambio[Mes])*(Producción_Lecheria[[#This Row],[Año Financiero]]=Tipo_Cambio[Año])*(Tipo_Cambio[Actualización]))</f>
        <v>0</v>
      </c>
      <c r="AS233" s="1009">
        <f>SUMPRODUCT((Producción_Lecheria[[#This Row],[Centro de Costo]]=Tabla1924[Centro de Costo])*(Tabla19[Superficie]))</f>
        <v>2356</v>
      </c>
      <c r="AT233" s="1010">
        <f>IFERROR(Producción_Lecheria[[#This Row],[Económico $Corrientes]]/Producción_Lecheria[[#This Row],[Superficie]],0)</f>
        <v>0</v>
      </c>
      <c r="AU233" s="1010">
        <f>IFERROR(Producción_Lecheria[[#This Row],[Económico $Constantes]]/Producción_Lecheria[[#This Row],[Superficie]],0)</f>
        <v>0</v>
      </c>
      <c r="AV233" s="1010">
        <f>IFERROR(Producción_Lecheria[[#This Row],[Económico U$S Dólares]]/Producción_Lecheria[[#This Row],[Superficie]],0)</f>
        <v>0</v>
      </c>
      <c r="AW233" s="992" t="str">
        <f>IF(Económico!$F$4=0,0,Producción_Lecheria[Centro de Costo])</f>
        <v>Campo 1</v>
      </c>
    </row>
    <row r="234" spans="1:49" x14ac:dyDescent="0.25">
      <c r="A234" s="86"/>
      <c r="D234" s="548">
        <f t="shared" si="23"/>
        <v>43374</v>
      </c>
      <c r="E234" s="493"/>
      <c r="F234" s="479" t="str">
        <f t="shared" si="21"/>
        <v>2018-2019</v>
      </c>
      <c r="G234" s="576" t="str">
        <f t="shared" si="22"/>
        <v>Sanidad Honorarios</v>
      </c>
      <c r="H234" s="481" t="s">
        <v>2</v>
      </c>
      <c r="I234" s="491"/>
      <c r="J234" s="549"/>
      <c r="K234" s="484"/>
      <c r="L23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3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34" s="520"/>
      <c r="O23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34" s="563"/>
      <c r="Q234" s="491"/>
      <c r="R234" s="875">
        <f>IF(ISNUMBER(Producción_Lecheria[[#This Row],[Cabezas]])=TRUE,Producción_Lecheria[[#This Row],[Cabezas]]*Producción_Lecheria[[#This Row],[Cantidad]],Producción_Lecheria[[#This Row],[Cantidad]])</f>
        <v>0</v>
      </c>
      <c r="S234" s="491"/>
      <c r="T234" s="552"/>
      <c r="U234" s="553"/>
      <c r="V23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34" s="977">
        <f>IFERROR(Producción_Lecheria[[#This Row],[Económico $Corrientes]]/Producción_Lecheria[[#This Row],[Indexación Económico]],0)</f>
        <v>0</v>
      </c>
      <c r="X23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3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34" s="977">
        <f>IFERROR(Producción_Lecheria[[#This Row],[Financiero $Corrientes]]/Producción_Lecheria[[#This Row],[Indexación Financiero]],0)</f>
        <v>0</v>
      </c>
      <c r="AA23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3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34" s="981">
        <f>IFERROR(Producción_Lecheria[[#This Row],[Intereses $Corrientes]]/Producción_Lecheria[[#This Row],[Indexación Financiero]],0)</f>
        <v>0</v>
      </c>
      <c r="AD23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34" s="991" t="str">
        <f>IFERROR(INDEX(Produccion_Lecheria_Cuentas[],MATCH(Producción_Lecheria[[#This Row],[Cuenta Contable]],Produccion_Lecheria_Cuentas[Cuenta Contable],0),2),0)</f>
        <v>Egreso</v>
      </c>
      <c r="AF234" s="992">
        <f>IF(Producción_Lecheria[[#This Row],[Mov. Stock]]="(+)",Producción_Lecheria[[#This Row],[Cabezas]],IF(Producción_Lecheria[[#This Row],[Mov. Stock]]="(-)",-Producción_Lecheria[[#This Row],[Cabezas]],0))</f>
        <v>0</v>
      </c>
      <c r="AG234" s="993">
        <f>IFERROR(INDEX(Produccion_Lecheria_Cuentas[],MATCH(Producción_Lecheria[[#This Row],[Cuenta Contable]],Produccion_Lecheria_Cuentas[Cuenta Contable],0),5),0)</f>
        <v>0</v>
      </c>
      <c r="AH234" s="985" t="str">
        <f>IF(Producción_Lecheria[[#This Row],[Cuenta Contable]]=Configuración!$AC$9,"Si","No")</f>
        <v>No</v>
      </c>
      <c r="AI234" s="983" t="str">
        <f>IFERROR(INDEX(Tabla9[],MATCH(Producción_Lecheria[[#This Row],[Movimiento]],Tabla9[Movimientos],0),2),0)</f>
        <v>Si</v>
      </c>
      <c r="AJ234" s="984" t="str">
        <f>IFERROR(INDEX(Tabla9[],MATCH(Producción_Lecheria[[#This Row],[Movimiento]],Tabla9[Movimientos],0),3),0)</f>
        <v>(-)</v>
      </c>
      <c r="AK234" s="986">
        <f>IF(Producción_Lecheria[[#This Row],[Fecha Económico]]=0,0,MONTH(Producción_Lecheria[[#This Row],[Fecha Económico]]))</f>
        <v>10</v>
      </c>
      <c r="AL234" s="986">
        <f>IF(Producción_Lecheria[[#This Row],[Fecha Económico]]=0,0,YEAR(Producción_Lecheria[[#This Row],[Fecha Económico]]))</f>
        <v>2018</v>
      </c>
      <c r="AM234" s="987">
        <f>SUMPRODUCT((Producción_Lecheria[[#This Row],[Mes Económico]]=Tipo_Cambio[Mes])*(Producción_Lecheria[[#This Row],[Año Económico]]=Tipo_Cambio[Año])*(Tipo_Cambio[$/U$S]))</f>
        <v>22.666622</v>
      </c>
      <c r="AN234" s="987">
        <f>SUMPRODUCT((Producción_Lecheria[[#This Row],[Mes Económico]]=Tipo_Cambio[Mes])*(Producción_Lecheria[[#This Row],[Año Económico]]=Tipo_Cambio[Año])*(Tipo_Cambio[Actualización]))</f>
        <v>1.0612079999999999</v>
      </c>
      <c r="AO234" s="986">
        <f>IF(ISNUMBER(Producción_Lecheria[[#This Row],[Fecha Financiero]])=TRUE,MONTH(Producción_Lecheria[[#This Row],[Fecha Financiero]]),0)</f>
        <v>0</v>
      </c>
      <c r="AP234" s="986">
        <f>IF(ISNUMBER(Producción_Lecheria[[#This Row],[Fecha Financiero]])=TRUE,YEAR(Producción_Lecheria[[#This Row],[Fecha Financiero]]),0)</f>
        <v>0</v>
      </c>
      <c r="AQ234" s="987">
        <f>SUMPRODUCT((Producción_Lecheria[[#This Row],[Mes Financiero]]=Tipo_Cambio[Mes])*(Producción_Lecheria[[#This Row],[Año Financiero]]=Tipo_Cambio[Año])*(Tipo_Cambio[$/U$S]))</f>
        <v>0</v>
      </c>
      <c r="AR234" s="987">
        <f>SUMPRODUCT((Producción_Lecheria[[#This Row],[Mes Financiero]]=Tipo_Cambio[Mes])*(Producción_Lecheria[[#This Row],[Año Financiero]]=Tipo_Cambio[Año])*(Tipo_Cambio[Actualización]))</f>
        <v>0</v>
      </c>
      <c r="AS234" s="1009">
        <f>SUMPRODUCT((Producción_Lecheria[[#This Row],[Centro de Costo]]=Tabla1924[Centro de Costo])*(Tabla19[Superficie]))</f>
        <v>2356</v>
      </c>
      <c r="AT234" s="1010">
        <f>IFERROR(Producción_Lecheria[[#This Row],[Económico $Corrientes]]/Producción_Lecheria[[#This Row],[Superficie]],0)</f>
        <v>0</v>
      </c>
      <c r="AU234" s="1010">
        <f>IFERROR(Producción_Lecheria[[#This Row],[Económico $Constantes]]/Producción_Lecheria[[#This Row],[Superficie]],0)</f>
        <v>0</v>
      </c>
      <c r="AV234" s="1010">
        <f>IFERROR(Producción_Lecheria[[#This Row],[Económico U$S Dólares]]/Producción_Lecheria[[#This Row],[Superficie]],0)</f>
        <v>0</v>
      </c>
      <c r="AW234" s="992" t="str">
        <f>IF(Económico!$F$4=0,0,Producción_Lecheria[Centro de Costo])</f>
        <v>Campo 1</v>
      </c>
    </row>
    <row r="235" spans="1:49" x14ac:dyDescent="0.25">
      <c r="A235" s="86"/>
      <c r="D235" s="548">
        <f t="shared" si="23"/>
        <v>43405</v>
      </c>
      <c r="E235" s="493"/>
      <c r="F235" s="479" t="str">
        <f t="shared" si="21"/>
        <v>2018-2019</v>
      </c>
      <c r="G235" s="576" t="str">
        <f t="shared" si="22"/>
        <v>Sanidad Honorarios</v>
      </c>
      <c r="H235" s="481" t="s">
        <v>2</v>
      </c>
      <c r="I235" s="491"/>
      <c r="J235" s="549"/>
      <c r="K235" s="484"/>
      <c r="L23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3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35" s="520"/>
      <c r="O23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35" s="563"/>
      <c r="Q235" s="491"/>
      <c r="R235" s="875">
        <f>IF(ISNUMBER(Producción_Lecheria[[#This Row],[Cabezas]])=TRUE,Producción_Lecheria[[#This Row],[Cabezas]]*Producción_Lecheria[[#This Row],[Cantidad]],Producción_Lecheria[[#This Row],[Cantidad]])</f>
        <v>0</v>
      </c>
      <c r="S235" s="491"/>
      <c r="T235" s="552"/>
      <c r="U235" s="553"/>
      <c r="V23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35" s="977">
        <f>IFERROR(Producción_Lecheria[[#This Row],[Económico $Corrientes]]/Producción_Lecheria[[#This Row],[Indexación Económico]],0)</f>
        <v>0</v>
      </c>
      <c r="X23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3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35" s="977">
        <f>IFERROR(Producción_Lecheria[[#This Row],[Financiero $Corrientes]]/Producción_Lecheria[[#This Row],[Indexación Financiero]],0)</f>
        <v>0</v>
      </c>
      <c r="AA23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3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35" s="981">
        <f>IFERROR(Producción_Lecheria[[#This Row],[Intereses $Corrientes]]/Producción_Lecheria[[#This Row],[Indexación Financiero]],0)</f>
        <v>0</v>
      </c>
      <c r="AD23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35" s="991" t="str">
        <f>IFERROR(INDEX(Produccion_Lecheria_Cuentas[],MATCH(Producción_Lecheria[[#This Row],[Cuenta Contable]],Produccion_Lecheria_Cuentas[Cuenta Contable],0),2),0)</f>
        <v>Egreso</v>
      </c>
      <c r="AF235" s="992">
        <f>IF(Producción_Lecheria[[#This Row],[Mov. Stock]]="(+)",Producción_Lecheria[[#This Row],[Cabezas]],IF(Producción_Lecheria[[#This Row],[Mov. Stock]]="(-)",-Producción_Lecheria[[#This Row],[Cabezas]],0))</f>
        <v>0</v>
      </c>
      <c r="AG235" s="993">
        <f>IFERROR(INDEX(Produccion_Lecheria_Cuentas[],MATCH(Producción_Lecheria[[#This Row],[Cuenta Contable]],Produccion_Lecheria_Cuentas[Cuenta Contable],0),5),0)</f>
        <v>0</v>
      </c>
      <c r="AH235" s="985" t="str">
        <f>IF(Producción_Lecheria[[#This Row],[Cuenta Contable]]=Configuración!$AC$9,"Si","No")</f>
        <v>No</v>
      </c>
      <c r="AI235" s="983" t="str">
        <f>IFERROR(INDEX(Tabla9[],MATCH(Producción_Lecheria[[#This Row],[Movimiento]],Tabla9[Movimientos],0),2),0)</f>
        <v>Si</v>
      </c>
      <c r="AJ235" s="984" t="str">
        <f>IFERROR(INDEX(Tabla9[],MATCH(Producción_Lecheria[[#This Row],[Movimiento]],Tabla9[Movimientos],0),3),0)</f>
        <v>(-)</v>
      </c>
      <c r="AK235" s="986">
        <f>IF(Producción_Lecheria[[#This Row],[Fecha Económico]]=0,0,MONTH(Producción_Lecheria[[#This Row],[Fecha Económico]]))</f>
        <v>11</v>
      </c>
      <c r="AL235" s="986">
        <f>IF(Producción_Lecheria[[#This Row],[Fecha Económico]]=0,0,YEAR(Producción_Lecheria[[#This Row],[Fecha Económico]]))</f>
        <v>2018</v>
      </c>
      <c r="AM235" s="987">
        <f>SUMPRODUCT((Producción_Lecheria[[#This Row],[Mes Económico]]=Tipo_Cambio[Mes])*(Producción_Lecheria[[#This Row],[Año Económico]]=Tipo_Cambio[Año])*(Tipo_Cambio[$/U$S]))</f>
        <v>22.893288219999999</v>
      </c>
      <c r="AN235" s="987">
        <f>SUMPRODUCT((Producción_Lecheria[[#This Row],[Mes Económico]]=Tipo_Cambio[Mes])*(Producción_Lecheria[[#This Row],[Año Económico]]=Tipo_Cambio[Año])*(Tipo_Cambio[Actualización]))</f>
        <v>1.08243216</v>
      </c>
      <c r="AO235" s="986">
        <f>IF(ISNUMBER(Producción_Lecheria[[#This Row],[Fecha Financiero]])=TRUE,MONTH(Producción_Lecheria[[#This Row],[Fecha Financiero]]),0)</f>
        <v>0</v>
      </c>
      <c r="AP235" s="986">
        <f>IF(ISNUMBER(Producción_Lecheria[[#This Row],[Fecha Financiero]])=TRUE,YEAR(Producción_Lecheria[[#This Row],[Fecha Financiero]]),0)</f>
        <v>0</v>
      </c>
      <c r="AQ235" s="987">
        <f>SUMPRODUCT((Producción_Lecheria[[#This Row],[Mes Financiero]]=Tipo_Cambio[Mes])*(Producción_Lecheria[[#This Row],[Año Financiero]]=Tipo_Cambio[Año])*(Tipo_Cambio[$/U$S]))</f>
        <v>0</v>
      </c>
      <c r="AR235" s="987">
        <f>SUMPRODUCT((Producción_Lecheria[[#This Row],[Mes Financiero]]=Tipo_Cambio[Mes])*(Producción_Lecheria[[#This Row],[Año Financiero]]=Tipo_Cambio[Año])*(Tipo_Cambio[Actualización]))</f>
        <v>0</v>
      </c>
      <c r="AS235" s="1009">
        <f>SUMPRODUCT((Producción_Lecheria[[#This Row],[Centro de Costo]]=Tabla1924[Centro de Costo])*(Tabla19[Superficie]))</f>
        <v>2356</v>
      </c>
      <c r="AT235" s="1010">
        <f>IFERROR(Producción_Lecheria[[#This Row],[Económico $Corrientes]]/Producción_Lecheria[[#This Row],[Superficie]],0)</f>
        <v>0</v>
      </c>
      <c r="AU235" s="1010">
        <f>IFERROR(Producción_Lecheria[[#This Row],[Económico $Constantes]]/Producción_Lecheria[[#This Row],[Superficie]],0)</f>
        <v>0</v>
      </c>
      <c r="AV235" s="1010">
        <f>IFERROR(Producción_Lecheria[[#This Row],[Económico U$S Dólares]]/Producción_Lecheria[[#This Row],[Superficie]],0)</f>
        <v>0</v>
      </c>
      <c r="AW235" s="992" t="str">
        <f>IF(Económico!$F$4=0,0,Producción_Lecheria[Centro de Costo])</f>
        <v>Campo 1</v>
      </c>
    </row>
    <row r="236" spans="1:49" x14ac:dyDescent="0.25">
      <c r="A236" s="86"/>
      <c r="D236" s="548">
        <f t="shared" si="23"/>
        <v>43435</v>
      </c>
      <c r="E236" s="493"/>
      <c r="F236" s="479" t="str">
        <f t="shared" si="21"/>
        <v>2018-2019</v>
      </c>
      <c r="G236" s="576" t="str">
        <f t="shared" si="22"/>
        <v>Sanidad Honorarios</v>
      </c>
      <c r="H236" s="481" t="s">
        <v>2</v>
      </c>
      <c r="I236" s="491"/>
      <c r="J236" s="549"/>
      <c r="K236" s="484"/>
      <c r="L23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3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36" s="520"/>
      <c r="O23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36" s="563"/>
      <c r="Q236" s="491"/>
      <c r="R236" s="875">
        <f>IF(ISNUMBER(Producción_Lecheria[[#This Row],[Cabezas]])=TRUE,Producción_Lecheria[[#This Row],[Cabezas]]*Producción_Lecheria[[#This Row],[Cantidad]],Producción_Lecheria[[#This Row],[Cantidad]])</f>
        <v>0</v>
      </c>
      <c r="S236" s="491"/>
      <c r="T236" s="552"/>
      <c r="U236" s="553"/>
      <c r="V23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36" s="977">
        <f>IFERROR(Producción_Lecheria[[#This Row],[Económico $Corrientes]]/Producción_Lecheria[[#This Row],[Indexación Económico]],0)</f>
        <v>0</v>
      </c>
      <c r="X23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3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36" s="977">
        <f>IFERROR(Producción_Lecheria[[#This Row],[Financiero $Corrientes]]/Producción_Lecheria[[#This Row],[Indexación Financiero]],0)</f>
        <v>0</v>
      </c>
      <c r="AA23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3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36" s="981">
        <f>IFERROR(Producción_Lecheria[[#This Row],[Intereses $Corrientes]]/Producción_Lecheria[[#This Row],[Indexación Financiero]],0)</f>
        <v>0</v>
      </c>
      <c r="AD23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36" s="991" t="str">
        <f>IFERROR(INDEX(Produccion_Lecheria_Cuentas[],MATCH(Producción_Lecheria[[#This Row],[Cuenta Contable]],Produccion_Lecheria_Cuentas[Cuenta Contable],0),2),0)</f>
        <v>Egreso</v>
      </c>
      <c r="AF236" s="992">
        <f>IF(Producción_Lecheria[[#This Row],[Mov. Stock]]="(+)",Producción_Lecheria[[#This Row],[Cabezas]],IF(Producción_Lecheria[[#This Row],[Mov. Stock]]="(-)",-Producción_Lecheria[[#This Row],[Cabezas]],0))</f>
        <v>0</v>
      </c>
      <c r="AG236" s="993">
        <f>IFERROR(INDEX(Produccion_Lecheria_Cuentas[],MATCH(Producción_Lecheria[[#This Row],[Cuenta Contable]],Produccion_Lecheria_Cuentas[Cuenta Contable],0),5),0)</f>
        <v>0</v>
      </c>
      <c r="AH236" s="985" t="str">
        <f>IF(Producción_Lecheria[[#This Row],[Cuenta Contable]]=Configuración!$AC$9,"Si","No")</f>
        <v>No</v>
      </c>
      <c r="AI236" s="983" t="str">
        <f>IFERROR(INDEX(Tabla9[],MATCH(Producción_Lecheria[[#This Row],[Movimiento]],Tabla9[Movimientos],0),2),0)</f>
        <v>Si</v>
      </c>
      <c r="AJ236" s="984" t="str">
        <f>IFERROR(INDEX(Tabla9[],MATCH(Producción_Lecheria[[#This Row],[Movimiento]],Tabla9[Movimientos],0),3),0)</f>
        <v>(-)</v>
      </c>
      <c r="AK236" s="986">
        <f>IF(Producción_Lecheria[[#This Row],[Fecha Económico]]=0,0,MONTH(Producción_Lecheria[[#This Row],[Fecha Económico]]))</f>
        <v>12</v>
      </c>
      <c r="AL236" s="986">
        <f>IF(Producción_Lecheria[[#This Row],[Fecha Económico]]=0,0,YEAR(Producción_Lecheria[[#This Row],[Fecha Económico]]))</f>
        <v>2018</v>
      </c>
      <c r="AM236" s="987">
        <f>SUMPRODUCT((Producción_Lecheria[[#This Row],[Mes Económico]]=Tipo_Cambio[Mes])*(Producción_Lecheria[[#This Row],[Año Económico]]=Tipo_Cambio[Año])*(Tipo_Cambio[$/U$S]))</f>
        <v>23.122221102199997</v>
      </c>
      <c r="AN236" s="987">
        <f>SUMPRODUCT((Producción_Lecheria[[#This Row],[Mes Económico]]=Tipo_Cambio[Mes])*(Producción_Lecheria[[#This Row],[Año Económico]]=Tipo_Cambio[Año])*(Tipo_Cambio[Actualización]))</f>
        <v>1.1040808032</v>
      </c>
      <c r="AO236" s="986">
        <f>IF(ISNUMBER(Producción_Lecheria[[#This Row],[Fecha Financiero]])=TRUE,MONTH(Producción_Lecheria[[#This Row],[Fecha Financiero]]),0)</f>
        <v>0</v>
      </c>
      <c r="AP236" s="986">
        <f>IF(ISNUMBER(Producción_Lecheria[[#This Row],[Fecha Financiero]])=TRUE,YEAR(Producción_Lecheria[[#This Row],[Fecha Financiero]]),0)</f>
        <v>0</v>
      </c>
      <c r="AQ236" s="987">
        <f>SUMPRODUCT((Producción_Lecheria[[#This Row],[Mes Financiero]]=Tipo_Cambio[Mes])*(Producción_Lecheria[[#This Row],[Año Financiero]]=Tipo_Cambio[Año])*(Tipo_Cambio[$/U$S]))</f>
        <v>0</v>
      </c>
      <c r="AR236" s="987">
        <f>SUMPRODUCT((Producción_Lecheria[[#This Row],[Mes Financiero]]=Tipo_Cambio[Mes])*(Producción_Lecheria[[#This Row],[Año Financiero]]=Tipo_Cambio[Año])*(Tipo_Cambio[Actualización]))</f>
        <v>0</v>
      </c>
      <c r="AS236" s="1009">
        <f>SUMPRODUCT((Producción_Lecheria[[#This Row],[Centro de Costo]]=Tabla1924[Centro de Costo])*(Tabla19[Superficie]))</f>
        <v>2356</v>
      </c>
      <c r="AT236" s="1010">
        <f>IFERROR(Producción_Lecheria[[#This Row],[Económico $Corrientes]]/Producción_Lecheria[[#This Row],[Superficie]],0)</f>
        <v>0</v>
      </c>
      <c r="AU236" s="1010">
        <f>IFERROR(Producción_Lecheria[[#This Row],[Económico $Constantes]]/Producción_Lecheria[[#This Row],[Superficie]],0)</f>
        <v>0</v>
      </c>
      <c r="AV236" s="1010">
        <f>IFERROR(Producción_Lecheria[[#This Row],[Económico U$S Dólares]]/Producción_Lecheria[[#This Row],[Superficie]],0)</f>
        <v>0</v>
      </c>
      <c r="AW236" s="992" t="str">
        <f>IF(Económico!$F$4=0,0,Producción_Lecheria[Centro de Costo])</f>
        <v>Campo 1</v>
      </c>
    </row>
    <row r="237" spans="1:49" x14ac:dyDescent="0.25">
      <c r="A237" s="86"/>
      <c r="D237" s="548">
        <f t="shared" si="23"/>
        <v>43466</v>
      </c>
      <c r="E237" s="493"/>
      <c r="F237" s="479" t="str">
        <f t="shared" si="21"/>
        <v>2018-2019</v>
      </c>
      <c r="G237" s="576" t="str">
        <f t="shared" si="22"/>
        <v>Sanidad Honorarios</v>
      </c>
      <c r="H237" s="481" t="s">
        <v>2</v>
      </c>
      <c r="I237" s="491"/>
      <c r="J237" s="549"/>
      <c r="K237" s="484"/>
      <c r="L23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3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37" s="520"/>
      <c r="O23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37" s="563"/>
      <c r="Q237" s="491"/>
      <c r="R237" s="875">
        <f>IF(ISNUMBER(Producción_Lecheria[[#This Row],[Cabezas]])=TRUE,Producción_Lecheria[[#This Row],[Cabezas]]*Producción_Lecheria[[#This Row],[Cantidad]],Producción_Lecheria[[#This Row],[Cantidad]])</f>
        <v>0</v>
      </c>
      <c r="S237" s="491"/>
      <c r="T237" s="552"/>
      <c r="U237" s="553"/>
      <c r="V23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37" s="977">
        <f>IFERROR(Producción_Lecheria[[#This Row],[Económico $Corrientes]]/Producción_Lecheria[[#This Row],[Indexación Económico]],0)</f>
        <v>0</v>
      </c>
      <c r="X23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3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37" s="977">
        <f>IFERROR(Producción_Lecheria[[#This Row],[Financiero $Corrientes]]/Producción_Lecheria[[#This Row],[Indexación Financiero]],0)</f>
        <v>0</v>
      </c>
      <c r="AA23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3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37" s="981">
        <f>IFERROR(Producción_Lecheria[[#This Row],[Intereses $Corrientes]]/Producción_Lecheria[[#This Row],[Indexación Financiero]],0)</f>
        <v>0</v>
      </c>
      <c r="AD23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37" s="991" t="str">
        <f>IFERROR(INDEX(Produccion_Lecheria_Cuentas[],MATCH(Producción_Lecheria[[#This Row],[Cuenta Contable]],Produccion_Lecheria_Cuentas[Cuenta Contable],0),2),0)</f>
        <v>Egreso</v>
      </c>
      <c r="AF237" s="992">
        <f>IF(Producción_Lecheria[[#This Row],[Mov. Stock]]="(+)",Producción_Lecheria[[#This Row],[Cabezas]],IF(Producción_Lecheria[[#This Row],[Mov. Stock]]="(-)",-Producción_Lecheria[[#This Row],[Cabezas]],0))</f>
        <v>0</v>
      </c>
      <c r="AG237" s="993">
        <f>IFERROR(INDEX(Produccion_Lecheria_Cuentas[],MATCH(Producción_Lecheria[[#This Row],[Cuenta Contable]],Produccion_Lecheria_Cuentas[Cuenta Contable],0),5),0)</f>
        <v>0</v>
      </c>
      <c r="AH237" s="985" t="str">
        <f>IF(Producción_Lecheria[[#This Row],[Cuenta Contable]]=Configuración!$AC$9,"Si","No")</f>
        <v>No</v>
      </c>
      <c r="AI237" s="983" t="str">
        <f>IFERROR(INDEX(Tabla9[],MATCH(Producción_Lecheria[[#This Row],[Movimiento]],Tabla9[Movimientos],0),2),0)</f>
        <v>Si</v>
      </c>
      <c r="AJ237" s="984" t="str">
        <f>IFERROR(INDEX(Tabla9[],MATCH(Producción_Lecheria[[#This Row],[Movimiento]],Tabla9[Movimientos],0),3),0)</f>
        <v>(-)</v>
      </c>
      <c r="AK237" s="986">
        <f>IF(Producción_Lecheria[[#This Row],[Fecha Económico]]=0,0,MONTH(Producción_Lecheria[[#This Row],[Fecha Económico]]))</f>
        <v>1</v>
      </c>
      <c r="AL237" s="986">
        <f>IF(Producción_Lecheria[[#This Row],[Fecha Económico]]=0,0,YEAR(Producción_Lecheria[[#This Row],[Fecha Económico]]))</f>
        <v>2019</v>
      </c>
      <c r="AM237" s="987">
        <f>SUMPRODUCT((Producción_Lecheria[[#This Row],[Mes Económico]]=Tipo_Cambio[Mes])*(Producción_Lecheria[[#This Row],[Año Económico]]=Tipo_Cambio[Año])*(Tipo_Cambio[$/U$S]))</f>
        <v>23.353443313221998</v>
      </c>
      <c r="AN237" s="987">
        <f>SUMPRODUCT((Producción_Lecheria[[#This Row],[Mes Económico]]=Tipo_Cambio[Mes])*(Producción_Lecheria[[#This Row],[Año Económico]]=Tipo_Cambio[Año])*(Tipo_Cambio[Actualización]))</f>
        <v>1.1261624192640001</v>
      </c>
      <c r="AO237" s="986">
        <f>IF(ISNUMBER(Producción_Lecheria[[#This Row],[Fecha Financiero]])=TRUE,MONTH(Producción_Lecheria[[#This Row],[Fecha Financiero]]),0)</f>
        <v>0</v>
      </c>
      <c r="AP237" s="986">
        <f>IF(ISNUMBER(Producción_Lecheria[[#This Row],[Fecha Financiero]])=TRUE,YEAR(Producción_Lecheria[[#This Row],[Fecha Financiero]]),0)</f>
        <v>0</v>
      </c>
      <c r="AQ237" s="987">
        <f>SUMPRODUCT((Producción_Lecheria[[#This Row],[Mes Financiero]]=Tipo_Cambio[Mes])*(Producción_Lecheria[[#This Row],[Año Financiero]]=Tipo_Cambio[Año])*(Tipo_Cambio[$/U$S]))</f>
        <v>0</v>
      </c>
      <c r="AR237" s="987">
        <f>SUMPRODUCT((Producción_Lecheria[[#This Row],[Mes Financiero]]=Tipo_Cambio[Mes])*(Producción_Lecheria[[#This Row],[Año Financiero]]=Tipo_Cambio[Año])*(Tipo_Cambio[Actualización]))</f>
        <v>0</v>
      </c>
      <c r="AS237" s="1009">
        <f>SUMPRODUCT((Producción_Lecheria[[#This Row],[Centro de Costo]]=Tabla1924[Centro de Costo])*(Tabla19[Superficie]))</f>
        <v>2356</v>
      </c>
      <c r="AT237" s="1010">
        <f>IFERROR(Producción_Lecheria[[#This Row],[Económico $Corrientes]]/Producción_Lecheria[[#This Row],[Superficie]],0)</f>
        <v>0</v>
      </c>
      <c r="AU237" s="1010">
        <f>IFERROR(Producción_Lecheria[[#This Row],[Económico $Constantes]]/Producción_Lecheria[[#This Row],[Superficie]],0)</f>
        <v>0</v>
      </c>
      <c r="AV237" s="1010">
        <f>IFERROR(Producción_Lecheria[[#This Row],[Económico U$S Dólares]]/Producción_Lecheria[[#This Row],[Superficie]],0)</f>
        <v>0</v>
      </c>
      <c r="AW237" s="992" t="str">
        <f>IF(Económico!$F$4=0,0,Producción_Lecheria[Centro de Costo])</f>
        <v>Campo 1</v>
      </c>
    </row>
    <row r="238" spans="1:49" x14ac:dyDescent="0.25">
      <c r="A238" s="86"/>
      <c r="D238" s="548">
        <f t="shared" si="23"/>
        <v>43497</v>
      </c>
      <c r="E238" s="493"/>
      <c r="F238" s="479" t="str">
        <f t="shared" si="21"/>
        <v>2018-2019</v>
      </c>
      <c r="G238" s="576" t="str">
        <f t="shared" si="22"/>
        <v>Sanidad Honorarios</v>
      </c>
      <c r="H238" s="481" t="s">
        <v>2</v>
      </c>
      <c r="I238" s="491"/>
      <c r="J238" s="549"/>
      <c r="K238" s="484"/>
      <c r="L23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3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38" s="520"/>
      <c r="O23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38" s="563"/>
      <c r="Q238" s="491"/>
      <c r="R238" s="875">
        <f>IF(ISNUMBER(Producción_Lecheria[[#This Row],[Cabezas]])=TRUE,Producción_Lecheria[[#This Row],[Cabezas]]*Producción_Lecheria[[#This Row],[Cantidad]],Producción_Lecheria[[#This Row],[Cantidad]])</f>
        <v>0</v>
      </c>
      <c r="S238" s="491"/>
      <c r="T238" s="552"/>
      <c r="U238" s="553"/>
      <c r="V23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38" s="977">
        <f>IFERROR(Producción_Lecheria[[#This Row],[Económico $Corrientes]]/Producción_Lecheria[[#This Row],[Indexación Económico]],0)</f>
        <v>0</v>
      </c>
      <c r="X23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3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38" s="977">
        <f>IFERROR(Producción_Lecheria[[#This Row],[Financiero $Corrientes]]/Producción_Lecheria[[#This Row],[Indexación Financiero]],0)</f>
        <v>0</v>
      </c>
      <c r="AA23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3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38" s="981">
        <f>IFERROR(Producción_Lecheria[[#This Row],[Intereses $Corrientes]]/Producción_Lecheria[[#This Row],[Indexación Financiero]],0)</f>
        <v>0</v>
      </c>
      <c r="AD23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38" s="991" t="str">
        <f>IFERROR(INDEX(Produccion_Lecheria_Cuentas[],MATCH(Producción_Lecheria[[#This Row],[Cuenta Contable]],Produccion_Lecheria_Cuentas[Cuenta Contable],0),2),0)</f>
        <v>Egreso</v>
      </c>
      <c r="AF238" s="992">
        <f>IF(Producción_Lecheria[[#This Row],[Mov. Stock]]="(+)",Producción_Lecheria[[#This Row],[Cabezas]],IF(Producción_Lecheria[[#This Row],[Mov. Stock]]="(-)",-Producción_Lecheria[[#This Row],[Cabezas]],0))</f>
        <v>0</v>
      </c>
      <c r="AG238" s="993">
        <f>IFERROR(INDEX(Produccion_Lecheria_Cuentas[],MATCH(Producción_Lecheria[[#This Row],[Cuenta Contable]],Produccion_Lecheria_Cuentas[Cuenta Contable],0),5),0)</f>
        <v>0</v>
      </c>
      <c r="AH238" s="985" t="str">
        <f>IF(Producción_Lecheria[[#This Row],[Cuenta Contable]]=Configuración!$AC$9,"Si","No")</f>
        <v>No</v>
      </c>
      <c r="AI238" s="983" t="str">
        <f>IFERROR(INDEX(Tabla9[],MATCH(Producción_Lecheria[[#This Row],[Movimiento]],Tabla9[Movimientos],0),2),0)</f>
        <v>Si</v>
      </c>
      <c r="AJ238" s="984" t="str">
        <f>IFERROR(INDEX(Tabla9[],MATCH(Producción_Lecheria[[#This Row],[Movimiento]],Tabla9[Movimientos],0),3),0)</f>
        <v>(-)</v>
      </c>
      <c r="AK238" s="986">
        <f>IF(Producción_Lecheria[[#This Row],[Fecha Económico]]=0,0,MONTH(Producción_Lecheria[[#This Row],[Fecha Económico]]))</f>
        <v>2</v>
      </c>
      <c r="AL238" s="986">
        <f>IF(Producción_Lecheria[[#This Row],[Fecha Económico]]=0,0,YEAR(Producción_Lecheria[[#This Row],[Fecha Económico]]))</f>
        <v>2019</v>
      </c>
      <c r="AM238" s="987">
        <f>SUMPRODUCT((Producción_Lecheria[[#This Row],[Mes Económico]]=Tipo_Cambio[Mes])*(Producción_Lecheria[[#This Row],[Año Económico]]=Tipo_Cambio[Año])*(Tipo_Cambio[$/U$S]))</f>
        <v>23.586977746354219</v>
      </c>
      <c r="AN238" s="987">
        <f>SUMPRODUCT((Producción_Lecheria[[#This Row],[Mes Económico]]=Tipo_Cambio[Mes])*(Producción_Lecheria[[#This Row],[Año Económico]]=Tipo_Cambio[Año])*(Tipo_Cambio[Actualización]))</f>
        <v>1.14868566764928</v>
      </c>
      <c r="AO238" s="986">
        <f>IF(ISNUMBER(Producción_Lecheria[[#This Row],[Fecha Financiero]])=TRUE,MONTH(Producción_Lecheria[[#This Row],[Fecha Financiero]]),0)</f>
        <v>0</v>
      </c>
      <c r="AP238" s="986">
        <f>IF(ISNUMBER(Producción_Lecheria[[#This Row],[Fecha Financiero]])=TRUE,YEAR(Producción_Lecheria[[#This Row],[Fecha Financiero]]),0)</f>
        <v>0</v>
      </c>
      <c r="AQ238" s="987">
        <f>SUMPRODUCT((Producción_Lecheria[[#This Row],[Mes Financiero]]=Tipo_Cambio[Mes])*(Producción_Lecheria[[#This Row],[Año Financiero]]=Tipo_Cambio[Año])*(Tipo_Cambio[$/U$S]))</f>
        <v>0</v>
      </c>
      <c r="AR238" s="987">
        <f>SUMPRODUCT((Producción_Lecheria[[#This Row],[Mes Financiero]]=Tipo_Cambio[Mes])*(Producción_Lecheria[[#This Row],[Año Financiero]]=Tipo_Cambio[Año])*(Tipo_Cambio[Actualización]))</f>
        <v>0</v>
      </c>
      <c r="AS238" s="1009">
        <f>SUMPRODUCT((Producción_Lecheria[[#This Row],[Centro de Costo]]=Tabla1924[Centro de Costo])*(Tabla19[Superficie]))</f>
        <v>2356</v>
      </c>
      <c r="AT238" s="1010">
        <f>IFERROR(Producción_Lecheria[[#This Row],[Económico $Corrientes]]/Producción_Lecheria[[#This Row],[Superficie]],0)</f>
        <v>0</v>
      </c>
      <c r="AU238" s="1010">
        <f>IFERROR(Producción_Lecheria[[#This Row],[Económico $Constantes]]/Producción_Lecheria[[#This Row],[Superficie]],0)</f>
        <v>0</v>
      </c>
      <c r="AV238" s="1010">
        <f>IFERROR(Producción_Lecheria[[#This Row],[Económico U$S Dólares]]/Producción_Lecheria[[#This Row],[Superficie]],0)</f>
        <v>0</v>
      </c>
      <c r="AW238" s="992" t="str">
        <f>IF(Económico!$F$4=0,0,Producción_Lecheria[Centro de Costo])</f>
        <v>Campo 1</v>
      </c>
    </row>
    <row r="239" spans="1:49" x14ac:dyDescent="0.25">
      <c r="A239" s="86"/>
      <c r="D239" s="548">
        <f t="shared" si="23"/>
        <v>43525</v>
      </c>
      <c r="E239" s="493"/>
      <c r="F239" s="479" t="str">
        <f t="shared" si="21"/>
        <v>2018-2019</v>
      </c>
      <c r="G239" s="576" t="str">
        <f t="shared" si="22"/>
        <v>Sanidad Honorarios</v>
      </c>
      <c r="H239" s="481" t="s">
        <v>2</v>
      </c>
      <c r="I239" s="491"/>
      <c r="J239" s="549"/>
      <c r="K239" s="484"/>
      <c r="L23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3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39" s="520"/>
      <c r="O23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39" s="563"/>
      <c r="Q239" s="491"/>
      <c r="R239" s="875">
        <f>IF(ISNUMBER(Producción_Lecheria[[#This Row],[Cabezas]])=TRUE,Producción_Lecheria[[#This Row],[Cabezas]]*Producción_Lecheria[[#This Row],[Cantidad]],Producción_Lecheria[[#This Row],[Cantidad]])</f>
        <v>0</v>
      </c>
      <c r="S239" s="491"/>
      <c r="T239" s="552"/>
      <c r="U239" s="553"/>
      <c r="V23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39" s="977">
        <f>IFERROR(Producción_Lecheria[[#This Row],[Económico $Corrientes]]/Producción_Lecheria[[#This Row],[Indexación Económico]],0)</f>
        <v>0</v>
      </c>
      <c r="X23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3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39" s="977">
        <f>IFERROR(Producción_Lecheria[[#This Row],[Financiero $Corrientes]]/Producción_Lecheria[[#This Row],[Indexación Financiero]],0)</f>
        <v>0</v>
      </c>
      <c r="AA23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3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39" s="981">
        <f>IFERROR(Producción_Lecheria[[#This Row],[Intereses $Corrientes]]/Producción_Lecheria[[#This Row],[Indexación Financiero]],0)</f>
        <v>0</v>
      </c>
      <c r="AD23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39" s="991" t="str">
        <f>IFERROR(INDEX(Produccion_Lecheria_Cuentas[],MATCH(Producción_Lecheria[[#This Row],[Cuenta Contable]],Produccion_Lecheria_Cuentas[Cuenta Contable],0),2),0)</f>
        <v>Egreso</v>
      </c>
      <c r="AF239" s="992">
        <f>IF(Producción_Lecheria[[#This Row],[Mov. Stock]]="(+)",Producción_Lecheria[[#This Row],[Cabezas]],IF(Producción_Lecheria[[#This Row],[Mov. Stock]]="(-)",-Producción_Lecheria[[#This Row],[Cabezas]],0))</f>
        <v>0</v>
      </c>
      <c r="AG239" s="993">
        <f>IFERROR(INDEX(Produccion_Lecheria_Cuentas[],MATCH(Producción_Lecheria[[#This Row],[Cuenta Contable]],Produccion_Lecheria_Cuentas[Cuenta Contable],0),5),0)</f>
        <v>0</v>
      </c>
      <c r="AH239" s="985" t="str">
        <f>IF(Producción_Lecheria[[#This Row],[Cuenta Contable]]=Configuración!$AC$9,"Si","No")</f>
        <v>No</v>
      </c>
      <c r="AI239" s="983" t="str">
        <f>IFERROR(INDEX(Tabla9[],MATCH(Producción_Lecheria[[#This Row],[Movimiento]],Tabla9[Movimientos],0),2),0)</f>
        <v>Si</v>
      </c>
      <c r="AJ239" s="984" t="str">
        <f>IFERROR(INDEX(Tabla9[],MATCH(Producción_Lecheria[[#This Row],[Movimiento]],Tabla9[Movimientos],0),3),0)</f>
        <v>(-)</v>
      </c>
      <c r="AK239" s="986">
        <f>IF(Producción_Lecheria[[#This Row],[Fecha Económico]]=0,0,MONTH(Producción_Lecheria[[#This Row],[Fecha Económico]]))</f>
        <v>3</v>
      </c>
      <c r="AL239" s="986">
        <f>IF(Producción_Lecheria[[#This Row],[Fecha Económico]]=0,0,YEAR(Producción_Lecheria[[#This Row],[Fecha Económico]]))</f>
        <v>2019</v>
      </c>
      <c r="AM239" s="987">
        <f>SUMPRODUCT((Producción_Lecheria[[#This Row],[Mes Económico]]=Tipo_Cambio[Mes])*(Producción_Lecheria[[#This Row],[Año Económico]]=Tipo_Cambio[Año])*(Tipo_Cambio[$/U$S]))</f>
        <v>23.82284752381776</v>
      </c>
      <c r="AN239" s="987">
        <f>SUMPRODUCT((Producción_Lecheria[[#This Row],[Mes Económico]]=Tipo_Cambio[Mes])*(Producción_Lecheria[[#This Row],[Año Económico]]=Tipo_Cambio[Año])*(Tipo_Cambio[Actualización]))</f>
        <v>1.1716593810022657</v>
      </c>
      <c r="AO239" s="986">
        <f>IF(ISNUMBER(Producción_Lecheria[[#This Row],[Fecha Financiero]])=TRUE,MONTH(Producción_Lecheria[[#This Row],[Fecha Financiero]]),0)</f>
        <v>0</v>
      </c>
      <c r="AP239" s="986">
        <f>IF(ISNUMBER(Producción_Lecheria[[#This Row],[Fecha Financiero]])=TRUE,YEAR(Producción_Lecheria[[#This Row],[Fecha Financiero]]),0)</f>
        <v>0</v>
      </c>
      <c r="AQ239" s="987">
        <f>SUMPRODUCT((Producción_Lecheria[[#This Row],[Mes Financiero]]=Tipo_Cambio[Mes])*(Producción_Lecheria[[#This Row],[Año Financiero]]=Tipo_Cambio[Año])*(Tipo_Cambio[$/U$S]))</f>
        <v>0</v>
      </c>
      <c r="AR239" s="987">
        <f>SUMPRODUCT((Producción_Lecheria[[#This Row],[Mes Financiero]]=Tipo_Cambio[Mes])*(Producción_Lecheria[[#This Row],[Año Financiero]]=Tipo_Cambio[Año])*(Tipo_Cambio[Actualización]))</f>
        <v>0</v>
      </c>
      <c r="AS239" s="1009">
        <f>SUMPRODUCT((Producción_Lecheria[[#This Row],[Centro de Costo]]=Tabla1924[Centro de Costo])*(Tabla19[Superficie]))</f>
        <v>2356</v>
      </c>
      <c r="AT239" s="1010">
        <f>IFERROR(Producción_Lecheria[[#This Row],[Económico $Corrientes]]/Producción_Lecheria[[#This Row],[Superficie]],0)</f>
        <v>0</v>
      </c>
      <c r="AU239" s="1010">
        <f>IFERROR(Producción_Lecheria[[#This Row],[Económico $Constantes]]/Producción_Lecheria[[#This Row],[Superficie]],0)</f>
        <v>0</v>
      </c>
      <c r="AV239" s="1010">
        <f>IFERROR(Producción_Lecheria[[#This Row],[Económico U$S Dólares]]/Producción_Lecheria[[#This Row],[Superficie]],0)</f>
        <v>0</v>
      </c>
      <c r="AW239" s="992" t="str">
        <f>IF(Económico!$F$4=0,0,Producción_Lecheria[Centro de Costo])</f>
        <v>Campo 1</v>
      </c>
    </row>
    <row r="240" spans="1:49" x14ac:dyDescent="0.25">
      <c r="A240" s="86"/>
      <c r="D240" s="548">
        <f t="shared" si="23"/>
        <v>43556</v>
      </c>
      <c r="E240" s="493"/>
      <c r="F240" s="479" t="str">
        <f t="shared" si="21"/>
        <v>2018-2019</v>
      </c>
      <c r="G240" s="576" t="str">
        <f t="shared" si="22"/>
        <v>Sanidad Honorarios</v>
      </c>
      <c r="H240" s="481" t="s">
        <v>2</v>
      </c>
      <c r="I240" s="491"/>
      <c r="J240" s="549"/>
      <c r="K240" s="484"/>
      <c r="L24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4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40" s="520"/>
      <c r="O24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40" s="563"/>
      <c r="Q240" s="491"/>
      <c r="R240" s="875">
        <f>IF(ISNUMBER(Producción_Lecheria[[#This Row],[Cabezas]])=TRUE,Producción_Lecheria[[#This Row],[Cabezas]]*Producción_Lecheria[[#This Row],[Cantidad]],Producción_Lecheria[[#This Row],[Cantidad]])</f>
        <v>0</v>
      </c>
      <c r="S240" s="491"/>
      <c r="T240" s="552"/>
      <c r="U240" s="553"/>
      <c r="V24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40" s="977">
        <f>IFERROR(Producción_Lecheria[[#This Row],[Económico $Corrientes]]/Producción_Lecheria[[#This Row],[Indexación Económico]],0)</f>
        <v>0</v>
      </c>
      <c r="X24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4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40" s="977">
        <f>IFERROR(Producción_Lecheria[[#This Row],[Financiero $Corrientes]]/Producción_Lecheria[[#This Row],[Indexación Financiero]],0)</f>
        <v>0</v>
      </c>
      <c r="AA24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4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40" s="981">
        <f>IFERROR(Producción_Lecheria[[#This Row],[Intereses $Corrientes]]/Producción_Lecheria[[#This Row],[Indexación Financiero]],0)</f>
        <v>0</v>
      </c>
      <c r="AD24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40" s="991" t="str">
        <f>IFERROR(INDEX(Produccion_Lecheria_Cuentas[],MATCH(Producción_Lecheria[[#This Row],[Cuenta Contable]],Produccion_Lecheria_Cuentas[Cuenta Contable],0),2),0)</f>
        <v>Egreso</v>
      </c>
      <c r="AF240" s="992">
        <f>IF(Producción_Lecheria[[#This Row],[Mov. Stock]]="(+)",Producción_Lecheria[[#This Row],[Cabezas]],IF(Producción_Lecheria[[#This Row],[Mov. Stock]]="(-)",-Producción_Lecheria[[#This Row],[Cabezas]],0))</f>
        <v>0</v>
      </c>
      <c r="AG240" s="993">
        <f>IFERROR(INDEX(Produccion_Lecheria_Cuentas[],MATCH(Producción_Lecheria[[#This Row],[Cuenta Contable]],Produccion_Lecheria_Cuentas[Cuenta Contable],0),5),0)</f>
        <v>0</v>
      </c>
      <c r="AH240" s="985" t="str">
        <f>IF(Producción_Lecheria[[#This Row],[Cuenta Contable]]=Configuración!$AC$9,"Si","No")</f>
        <v>No</v>
      </c>
      <c r="AI240" s="983" t="str">
        <f>IFERROR(INDEX(Tabla9[],MATCH(Producción_Lecheria[[#This Row],[Movimiento]],Tabla9[Movimientos],0),2),0)</f>
        <v>Si</v>
      </c>
      <c r="AJ240" s="984" t="str">
        <f>IFERROR(INDEX(Tabla9[],MATCH(Producción_Lecheria[[#This Row],[Movimiento]],Tabla9[Movimientos],0),3),0)</f>
        <v>(-)</v>
      </c>
      <c r="AK240" s="986">
        <f>IF(Producción_Lecheria[[#This Row],[Fecha Económico]]=0,0,MONTH(Producción_Lecheria[[#This Row],[Fecha Económico]]))</f>
        <v>4</v>
      </c>
      <c r="AL240" s="986">
        <f>IF(Producción_Lecheria[[#This Row],[Fecha Económico]]=0,0,YEAR(Producción_Lecheria[[#This Row],[Fecha Económico]]))</f>
        <v>2019</v>
      </c>
      <c r="AM240" s="987">
        <f>SUMPRODUCT((Producción_Lecheria[[#This Row],[Mes Económico]]=Tipo_Cambio[Mes])*(Producción_Lecheria[[#This Row],[Año Económico]]=Tipo_Cambio[Año])*(Tipo_Cambio[$/U$S]))</f>
        <v>24.061075999055937</v>
      </c>
      <c r="AN240" s="987">
        <f>SUMPRODUCT((Producción_Lecheria[[#This Row],[Mes Económico]]=Tipo_Cambio[Mes])*(Producción_Lecheria[[#This Row],[Año Económico]]=Tipo_Cambio[Año])*(Tipo_Cambio[Actualización]))</f>
        <v>1.1950925686223111</v>
      </c>
      <c r="AO240" s="986">
        <f>IF(ISNUMBER(Producción_Lecheria[[#This Row],[Fecha Financiero]])=TRUE,MONTH(Producción_Lecheria[[#This Row],[Fecha Financiero]]),0)</f>
        <v>0</v>
      </c>
      <c r="AP240" s="986">
        <f>IF(ISNUMBER(Producción_Lecheria[[#This Row],[Fecha Financiero]])=TRUE,YEAR(Producción_Lecheria[[#This Row],[Fecha Financiero]]),0)</f>
        <v>0</v>
      </c>
      <c r="AQ240" s="987">
        <f>SUMPRODUCT((Producción_Lecheria[[#This Row],[Mes Financiero]]=Tipo_Cambio[Mes])*(Producción_Lecheria[[#This Row],[Año Financiero]]=Tipo_Cambio[Año])*(Tipo_Cambio[$/U$S]))</f>
        <v>0</v>
      </c>
      <c r="AR240" s="987">
        <f>SUMPRODUCT((Producción_Lecheria[[#This Row],[Mes Financiero]]=Tipo_Cambio[Mes])*(Producción_Lecheria[[#This Row],[Año Financiero]]=Tipo_Cambio[Año])*(Tipo_Cambio[Actualización]))</f>
        <v>0</v>
      </c>
      <c r="AS240" s="1009">
        <f>SUMPRODUCT((Producción_Lecheria[[#This Row],[Centro de Costo]]=Tabla1924[Centro de Costo])*(Tabla19[Superficie]))</f>
        <v>2356</v>
      </c>
      <c r="AT240" s="1010">
        <f>IFERROR(Producción_Lecheria[[#This Row],[Económico $Corrientes]]/Producción_Lecheria[[#This Row],[Superficie]],0)</f>
        <v>0</v>
      </c>
      <c r="AU240" s="1010">
        <f>IFERROR(Producción_Lecheria[[#This Row],[Económico $Constantes]]/Producción_Lecheria[[#This Row],[Superficie]],0)</f>
        <v>0</v>
      </c>
      <c r="AV240" s="1010">
        <f>IFERROR(Producción_Lecheria[[#This Row],[Económico U$S Dólares]]/Producción_Lecheria[[#This Row],[Superficie]],0)</f>
        <v>0</v>
      </c>
      <c r="AW240" s="992" t="str">
        <f>IF(Económico!$F$4=0,0,Producción_Lecheria[Centro de Costo])</f>
        <v>Campo 1</v>
      </c>
    </row>
    <row r="241" spans="1:49" x14ac:dyDescent="0.25">
      <c r="A241" s="86"/>
      <c r="D241" s="548">
        <f t="shared" si="23"/>
        <v>43586</v>
      </c>
      <c r="E241" s="493"/>
      <c r="F241" s="479" t="str">
        <f t="shared" si="21"/>
        <v>2018-2019</v>
      </c>
      <c r="G241" s="576" t="str">
        <f t="shared" si="22"/>
        <v>Sanidad Honorarios</v>
      </c>
      <c r="H241" s="481" t="s">
        <v>2</v>
      </c>
      <c r="I241" s="491"/>
      <c r="J241" s="549"/>
      <c r="K241" s="484"/>
      <c r="L24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4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41" s="520"/>
      <c r="O24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41" s="563"/>
      <c r="Q241" s="491"/>
      <c r="R241" s="875">
        <f>IF(ISNUMBER(Producción_Lecheria[[#This Row],[Cabezas]])=TRUE,Producción_Lecheria[[#This Row],[Cabezas]]*Producción_Lecheria[[#This Row],[Cantidad]],Producción_Lecheria[[#This Row],[Cantidad]])</f>
        <v>0</v>
      </c>
      <c r="S241" s="491"/>
      <c r="T241" s="552"/>
      <c r="U241" s="553"/>
      <c r="V24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41" s="977">
        <f>IFERROR(Producción_Lecheria[[#This Row],[Económico $Corrientes]]/Producción_Lecheria[[#This Row],[Indexación Económico]],0)</f>
        <v>0</v>
      </c>
      <c r="X24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4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41" s="977">
        <f>IFERROR(Producción_Lecheria[[#This Row],[Financiero $Corrientes]]/Producción_Lecheria[[#This Row],[Indexación Financiero]],0)</f>
        <v>0</v>
      </c>
      <c r="AA24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4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41" s="981">
        <f>IFERROR(Producción_Lecheria[[#This Row],[Intereses $Corrientes]]/Producción_Lecheria[[#This Row],[Indexación Financiero]],0)</f>
        <v>0</v>
      </c>
      <c r="AD24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41" s="991" t="str">
        <f>IFERROR(INDEX(Produccion_Lecheria_Cuentas[],MATCH(Producción_Lecheria[[#This Row],[Cuenta Contable]],Produccion_Lecheria_Cuentas[Cuenta Contable],0),2),0)</f>
        <v>Egreso</v>
      </c>
      <c r="AF241" s="992">
        <f>IF(Producción_Lecheria[[#This Row],[Mov. Stock]]="(+)",Producción_Lecheria[[#This Row],[Cabezas]],IF(Producción_Lecheria[[#This Row],[Mov. Stock]]="(-)",-Producción_Lecheria[[#This Row],[Cabezas]],0))</f>
        <v>0</v>
      </c>
      <c r="AG241" s="993">
        <f>IFERROR(INDEX(Produccion_Lecheria_Cuentas[],MATCH(Producción_Lecheria[[#This Row],[Cuenta Contable]],Produccion_Lecheria_Cuentas[Cuenta Contable],0),5),0)</f>
        <v>0</v>
      </c>
      <c r="AH241" s="985" t="str">
        <f>IF(Producción_Lecheria[[#This Row],[Cuenta Contable]]=Configuración!$AC$9,"Si","No")</f>
        <v>No</v>
      </c>
      <c r="AI241" s="983" t="str">
        <f>IFERROR(INDEX(Tabla9[],MATCH(Producción_Lecheria[[#This Row],[Movimiento]],Tabla9[Movimientos],0),2),0)</f>
        <v>Si</v>
      </c>
      <c r="AJ241" s="984" t="str">
        <f>IFERROR(INDEX(Tabla9[],MATCH(Producción_Lecheria[[#This Row],[Movimiento]],Tabla9[Movimientos],0),3),0)</f>
        <v>(-)</v>
      </c>
      <c r="AK241" s="986">
        <f>IF(Producción_Lecheria[[#This Row],[Fecha Económico]]=0,0,MONTH(Producción_Lecheria[[#This Row],[Fecha Económico]]))</f>
        <v>5</v>
      </c>
      <c r="AL241" s="986">
        <f>IF(Producción_Lecheria[[#This Row],[Fecha Económico]]=0,0,YEAR(Producción_Lecheria[[#This Row],[Fecha Económico]]))</f>
        <v>2019</v>
      </c>
      <c r="AM241" s="987">
        <f>SUMPRODUCT((Producción_Lecheria[[#This Row],[Mes Económico]]=Tipo_Cambio[Mes])*(Producción_Lecheria[[#This Row],[Año Económico]]=Tipo_Cambio[Año])*(Tipo_Cambio[$/U$S]))</f>
        <v>24.301686759046497</v>
      </c>
      <c r="AN241" s="987">
        <f>SUMPRODUCT((Producción_Lecheria[[#This Row],[Mes Económico]]=Tipo_Cambio[Mes])*(Producción_Lecheria[[#This Row],[Año Económico]]=Tipo_Cambio[Año])*(Tipo_Cambio[Actualización]))</f>
        <v>1.2189944199947573</v>
      </c>
      <c r="AO241" s="986">
        <f>IF(ISNUMBER(Producción_Lecheria[[#This Row],[Fecha Financiero]])=TRUE,MONTH(Producción_Lecheria[[#This Row],[Fecha Financiero]]),0)</f>
        <v>0</v>
      </c>
      <c r="AP241" s="986">
        <f>IF(ISNUMBER(Producción_Lecheria[[#This Row],[Fecha Financiero]])=TRUE,YEAR(Producción_Lecheria[[#This Row],[Fecha Financiero]]),0)</f>
        <v>0</v>
      </c>
      <c r="AQ241" s="987">
        <f>SUMPRODUCT((Producción_Lecheria[[#This Row],[Mes Financiero]]=Tipo_Cambio[Mes])*(Producción_Lecheria[[#This Row],[Año Financiero]]=Tipo_Cambio[Año])*(Tipo_Cambio[$/U$S]))</f>
        <v>0</v>
      </c>
      <c r="AR241" s="987">
        <f>SUMPRODUCT((Producción_Lecheria[[#This Row],[Mes Financiero]]=Tipo_Cambio[Mes])*(Producción_Lecheria[[#This Row],[Año Financiero]]=Tipo_Cambio[Año])*(Tipo_Cambio[Actualización]))</f>
        <v>0</v>
      </c>
      <c r="AS241" s="1009">
        <f>SUMPRODUCT((Producción_Lecheria[[#This Row],[Centro de Costo]]=Tabla1924[Centro de Costo])*(Tabla19[Superficie]))</f>
        <v>2356</v>
      </c>
      <c r="AT241" s="1010">
        <f>IFERROR(Producción_Lecheria[[#This Row],[Económico $Corrientes]]/Producción_Lecheria[[#This Row],[Superficie]],0)</f>
        <v>0</v>
      </c>
      <c r="AU241" s="1010">
        <f>IFERROR(Producción_Lecheria[[#This Row],[Económico $Constantes]]/Producción_Lecheria[[#This Row],[Superficie]],0)</f>
        <v>0</v>
      </c>
      <c r="AV241" s="1010">
        <f>IFERROR(Producción_Lecheria[[#This Row],[Económico U$S Dólares]]/Producción_Lecheria[[#This Row],[Superficie]],0)</f>
        <v>0</v>
      </c>
      <c r="AW241" s="992" t="str">
        <f>IF(Económico!$F$4=0,0,Producción_Lecheria[Centro de Costo])</f>
        <v>Campo 1</v>
      </c>
    </row>
    <row r="242" spans="1:49" x14ac:dyDescent="0.25">
      <c r="A242" s="86"/>
      <c r="D242" s="548">
        <f t="shared" si="23"/>
        <v>43617</v>
      </c>
      <c r="E242" s="493"/>
      <c r="F242" s="479" t="str">
        <f t="shared" si="21"/>
        <v>2018-2019</v>
      </c>
      <c r="G242" s="576" t="str">
        <f t="shared" si="22"/>
        <v>Sanidad Honorarios</v>
      </c>
      <c r="H242" s="481" t="s">
        <v>2</v>
      </c>
      <c r="I242" s="491"/>
      <c r="J242" s="549"/>
      <c r="K242" s="484"/>
      <c r="L24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4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42" s="520"/>
      <c r="O24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42" s="563"/>
      <c r="Q242" s="491"/>
      <c r="R242" s="875">
        <f>IF(ISNUMBER(Producción_Lecheria[[#This Row],[Cabezas]])=TRUE,Producción_Lecheria[[#This Row],[Cabezas]]*Producción_Lecheria[[#This Row],[Cantidad]],Producción_Lecheria[[#This Row],[Cantidad]])</f>
        <v>0</v>
      </c>
      <c r="S242" s="491"/>
      <c r="T242" s="552"/>
      <c r="U242" s="553"/>
      <c r="V24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42" s="977">
        <f>IFERROR(Producción_Lecheria[[#This Row],[Económico $Corrientes]]/Producción_Lecheria[[#This Row],[Indexación Económico]],0)</f>
        <v>0</v>
      </c>
      <c r="X24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4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42" s="977">
        <f>IFERROR(Producción_Lecheria[[#This Row],[Financiero $Corrientes]]/Producción_Lecheria[[#This Row],[Indexación Financiero]],0)</f>
        <v>0</v>
      </c>
      <c r="AA24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4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42" s="981">
        <f>IFERROR(Producción_Lecheria[[#This Row],[Intereses $Corrientes]]/Producción_Lecheria[[#This Row],[Indexación Financiero]],0)</f>
        <v>0</v>
      </c>
      <c r="AD24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42" s="991" t="str">
        <f>IFERROR(INDEX(Produccion_Lecheria_Cuentas[],MATCH(Producción_Lecheria[[#This Row],[Cuenta Contable]],Produccion_Lecheria_Cuentas[Cuenta Contable],0),2),0)</f>
        <v>Egreso</v>
      </c>
      <c r="AF242" s="992">
        <f>IF(Producción_Lecheria[[#This Row],[Mov. Stock]]="(+)",Producción_Lecheria[[#This Row],[Cabezas]],IF(Producción_Lecheria[[#This Row],[Mov. Stock]]="(-)",-Producción_Lecheria[[#This Row],[Cabezas]],0))</f>
        <v>0</v>
      </c>
      <c r="AG242" s="993">
        <f>IFERROR(INDEX(Produccion_Lecheria_Cuentas[],MATCH(Producción_Lecheria[[#This Row],[Cuenta Contable]],Produccion_Lecheria_Cuentas[Cuenta Contable],0),5),0)</f>
        <v>0</v>
      </c>
      <c r="AH242" s="985" t="str">
        <f>IF(Producción_Lecheria[[#This Row],[Cuenta Contable]]=Configuración!$AC$9,"Si","No")</f>
        <v>No</v>
      </c>
      <c r="AI242" s="983" t="str">
        <f>IFERROR(INDEX(Tabla9[],MATCH(Producción_Lecheria[[#This Row],[Movimiento]],Tabla9[Movimientos],0),2),0)</f>
        <v>Si</v>
      </c>
      <c r="AJ242" s="984" t="str">
        <f>IFERROR(INDEX(Tabla9[],MATCH(Producción_Lecheria[[#This Row],[Movimiento]],Tabla9[Movimientos],0),3),0)</f>
        <v>(-)</v>
      </c>
      <c r="AK242" s="986">
        <f>IF(Producción_Lecheria[[#This Row],[Fecha Económico]]=0,0,MONTH(Producción_Lecheria[[#This Row],[Fecha Económico]]))</f>
        <v>6</v>
      </c>
      <c r="AL242" s="986">
        <f>IF(Producción_Lecheria[[#This Row],[Fecha Económico]]=0,0,YEAR(Producción_Lecheria[[#This Row],[Fecha Económico]]))</f>
        <v>2019</v>
      </c>
      <c r="AM242" s="987">
        <f>SUMPRODUCT((Producción_Lecheria[[#This Row],[Mes Económico]]=Tipo_Cambio[Mes])*(Producción_Lecheria[[#This Row],[Año Económico]]=Tipo_Cambio[Año])*(Tipo_Cambio[$/U$S]))</f>
        <v>24.544703626636963</v>
      </c>
      <c r="AN242" s="987">
        <f>SUMPRODUCT((Producción_Lecheria[[#This Row],[Mes Económico]]=Tipo_Cambio[Mes])*(Producción_Lecheria[[#This Row],[Año Económico]]=Tipo_Cambio[Año])*(Tipo_Cambio[Actualización]))</f>
        <v>1.2433743083946525</v>
      </c>
      <c r="AO242" s="986">
        <f>IF(ISNUMBER(Producción_Lecheria[[#This Row],[Fecha Financiero]])=TRUE,MONTH(Producción_Lecheria[[#This Row],[Fecha Financiero]]),0)</f>
        <v>0</v>
      </c>
      <c r="AP242" s="986">
        <f>IF(ISNUMBER(Producción_Lecheria[[#This Row],[Fecha Financiero]])=TRUE,YEAR(Producción_Lecheria[[#This Row],[Fecha Financiero]]),0)</f>
        <v>0</v>
      </c>
      <c r="AQ242" s="987">
        <f>SUMPRODUCT((Producción_Lecheria[[#This Row],[Mes Financiero]]=Tipo_Cambio[Mes])*(Producción_Lecheria[[#This Row],[Año Financiero]]=Tipo_Cambio[Año])*(Tipo_Cambio[$/U$S]))</f>
        <v>0</v>
      </c>
      <c r="AR242" s="987">
        <f>SUMPRODUCT((Producción_Lecheria[[#This Row],[Mes Financiero]]=Tipo_Cambio[Mes])*(Producción_Lecheria[[#This Row],[Año Financiero]]=Tipo_Cambio[Año])*(Tipo_Cambio[Actualización]))</f>
        <v>0</v>
      </c>
      <c r="AS242" s="1009">
        <f>SUMPRODUCT((Producción_Lecheria[[#This Row],[Centro de Costo]]=Tabla1924[Centro de Costo])*(Tabla19[Superficie]))</f>
        <v>2356</v>
      </c>
      <c r="AT242" s="1010">
        <f>IFERROR(Producción_Lecheria[[#This Row],[Económico $Corrientes]]/Producción_Lecheria[[#This Row],[Superficie]],0)</f>
        <v>0</v>
      </c>
      <c r="AU242" s="1010">
        <f>IFERROR(Producción_Lecheria[[#This Row],[Económico $Constantes]]/Producción_Lecheria[[#This Row],[Superficie]],0)</f>
        <v>0</v>
      </c>
      <c r="AV242" s="1010">
        <f>IFERROR(Producción_Lecheria[[#This Row],[Económico U$S Dólares]]/Producción_Lecheria[[#This Row],[Superficie]],0)</f>
        <v>0</v>
      </c>
      <c r="AW242" s="992" t="str">
        <f>IF(Económico!$F$4=0,0,Producción_Lecheria[Centro de Costo])</f>
        <v>Campo 1</v>
      </c>
    </row>
    <row r="243" spans="1:49" x14ac:dyDescent="0.25">
      <c r="A243" s="86"/>
      <c r="D243" s="548"/>
      <c r="E243" s="493"/>
      <c r="F243" s="479" t="str">
        <f t="shared" si="21"/>
        <v>2018-2019</v>
      </c>
      <c r="G243" s="576"/>
      <c r="H243" s="481"/>
      <c r="I243" s="491"/>
      <c r="J243" s="549"/>
      <c r="K243" s="484"/>
      <c r="L24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4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43" s="520"/>
      <c r="O24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43" s="563"/>
      <c r="Q243" s="491"/>
      <c r="R243" s="875">
        <f>IF(ISNUMBER(Producción_Lecheria[[#This Row],[Cabezas]])=TRUE,Producción_Lecheria[[#This Row],[Cabezas]]*Producción_Lecheria[[#This Row],[Cantidad]],Producción_Lecheria[[#This Row],[Cantidad]])</f>
        <v>0</v>
      </c>
      <c r="S243" s="491"/>
      <c r="T243" s="552"/>
      <c r="U243" s="553"/>
      <c r="V24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43" s="977">
        <f>IFERROR(Producción_Lecheria[[#This Row],[Económico $Corrientes]]/Producción_Lecheria[[#This Row],[Indexación Económico]],0)</f>
        <v>0</v>
      </c>
      <c r="X24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4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43" s="977">
        <f>IFERROR(Producción_Lecheria[[#This Row],[Financiero $Corrientes]]/Producción_Lecheria[[#This Row],[Indexación Financiero]],0)</f>
        <v>0</v>
      </c>
      <c r="AA24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4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43" s="981">
        <f>IFERROR(Producción_Lecheria[[#This Row],[Intereses $Corrientes]]/Producción_Lecheria[[#This Row],[Indexación Financiero]],0)</f>
        <v>0</v>
      </c>
      <c r="AD24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43" s="991">
        <f>IFERROR(INDEX(Produccion_Lecheria_Cuentas[],MATCH(Producción_Lecheria[[#This Row],[Cuenta Contable]],Produccion_Lecheria_Cuentas[Cuenta Contable],0),2),0)</f>
        <v>0</v>
      </c>
      <c r="AF243" s="992">
        <f>IF(Producción_Lecheria[[#This Row],[Mov. Stock]]="(+)",Producción_Lecheria[[#This Row],[Cabezas]],IF(Producción_Lecheria[[#This Row],[Mov. Stock]]="(-)",-Producción_Lecheria[[#This Row],[Cabezas]],0))</f>
        <v>0</v>
      </c>
      <c r="AG243" s="993">
        <f>IFERROR(INDEX(Produccion_Lecheria_Cuentas[],MATCH(Producción_Lecheria[[#This Row],[Cuenta Contable]],Produccion_Lecheria_Cuentas[Cuenta Contable],0),5),0)</f>
        <v>0</v>
      </c>
      <c r="AH243" s="985" t="str">
        <f>IF(Producción_Lecheria[[#This Row],[Cuenta Contable]]=Configuración!$AC$9,"Si","No")</f>
        <v>No</v>
      </c>
      <c r="AI243" s="983">
        <f>IFERROR(INDEX(Tabla9[],MATCH(Producción_Lecheria[[#This Row],[Movimiento]],Tabla9[Movimientos],0),2),0)</f>
        <v>0</v>
      </c>
      <c r="AJ243" s="984">
        <f>IFERROR(INDEX(Tabla9[],MATCH(Producción_Lecheria[[#This Row],[Movimiento]],Tabla9[Movimientos],0),3),0)</f>
        <v>0</v>
      </c>
      <c r="AK243" s="986">
        <f>IF(Producción_Lecheria[[#This Row],[Fecha Económico]]=0,0,MONTH(Producción_Lecheria[[#This Row],[Fecha Económico]]))</f>
        <v>0</v>
      </c>
      <c r="AL243" s="986">
        <f>IF(Producción_Lecheria[[#This Row],[Fecha Económico]]=0,0,YEAR(Producción_Lecheria[[#This Row],[Fecha Económico]]))</f>
        <v>0</v>
      </c>
      <c r="AM243" s="987">
        <f>SUMPRODUCT((Producción_Lecheria[[#This Row],[Mes Económico]]=Tipo_Cambio[Mes])*(Producción_Lecheria[[#This Row],[Año Económico]]=Tipo_Cambio[Año])*(Tipo_Cambio[$/U$S]))</f>
        <v>0</v>
      </c>
      <c r="AN243" s="987">
        <f>SUMPRODUCT((Producción_Lecheria[[#This Row],[Mes Económico]]=Tipo_Cambio[Mes])*(Producción_Lecheria[[#This Row],[Año Económico]]=Tipo_Cambio[Año])*(Tipo_Cambio[Actualización]))</f>
        <v>0</v>
      </c>
      <c r="AO243" s="986">
        <f>IF(ISNUMBER(Producción_Lecheria[[#This Row],[Fecha Financiero]])=TRUE,MONTH(Producción_Lecheria[[#This Row],[Fecha Financiero]]),0)</f>
        <v>0</v>
      </c>
      <c r="AP243" s="986">
        <f>IF(ISNUMBER(Producción_Lecheria[[#This Row],[Fecha Financiero]])=TRUE,YEAR(Producción_Lecheria[[#This Row],[Fecha Financiero]]),0)</f>
        <v>0</v>
      </c>
      <c r="AQ243" s="987">
        <f>SUMPRODUCT((Producción_Lecheria[[#This Row],[Mes Financiero]]=Tipo_Cambio[Mes])*(Producción_Lecheria[[#This Row],[Año Financiero]]=Tipo_Cambio[Año])*(Tipo_Cambio[$/U$S]))</f>
        <v>0</v>
      </c>
      <c r="AR243" s="987">
        <f>SUMPRODUCT((Producción_Lecheria[[#This Row],[Mes Financiero]]=Tipo_Cambio[Mes])*(Producción_Lecheria[[#This Row],[Año Financiero]]=Tipo_Cambio[Año])*(Tipo_Cambio[Actualización]))</f>
        <v>0</v>
      </c>
      <c r="AS243" s="1009">
        <f>SUMPRODUCT((Producción_Lecheria[[#This Row],[Centro de Costo]]=Tabla1924[Centro de Costo])*(Tabla19[Superficie]))</f>
        <v>0</v>
      </c>
      <c r="AT243" s="1010">
        <f>IFERROR(Producción_Lecheria[[#This Row],[Económico $Corrientes]]/Producción_Lecheria[[#This Row],[Superficie]],0)</f>
        <v>0</v>
      </c>
      <c r="AU243" s="1010">
        <f>IFERROR(Producción_Lecheria[[#This Row],[Económico $Constantes]]/Producción_Lecheria[[#This Row],[Superficie]],0)</f>
        <v>0</v>
      </c>
      <c r="AV243" s="1010">
        <f>IFERROR(Producción_Lecheria[[#This Row],[Económico U$S Dólares]]/Producción_Lecheria[[#This Row],[Superficie]],0)</f>
        <v>0</v>
      </c>
      <c r="AW243" s="992">
        <f>IF(Económico!$F$4=0,0,Producción_Lecheria[Centro de Costo])</f>
        <v>0</v>
      </c>
    </row>
    <row r="244" spans="1:49" x14ac:dyDescent="0.25">
      <c r="A244" s="86"/>
      <c r="D244" s="548"/>
      <c r="E244" s="493"/>
      <c r="F244" s="479" t="str">
        <f t="shared" si="21"/>
        <v>2018-2019</v>
      </c>
      <c r="G244" s="576"/>
      <c r="H244" s="481"/>
      <c r="I244" s="491"/>
      <c r="J244" s="549"/>
      <c r="K244" s="484"/>
      <c r="L24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4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44" s="520"/>
      <c r="O24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44" s="563"/>
      <c r="Q244" s="491"/>
      <c r="R244" s="875">
        <f>IF(ISNUMBER(Producción_Lecheria[[#This Row],[Cabezas]])=TRUE,Producción_Lecheria[[#This Row],[Cabezas]]*Producción_Lecheria[[#This Row],[Cantidad]],Producción_Lecheria[[#This Row],[Cantidad]])</f>
        <v>0</v>
      </c>
      <c r="S244" s="491"/>
      <c r="T244" s="552"/>
      <c r="U244" s="553"/>
      <c r="V24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44" s="977">
        <f>IFERROR(Producción_Lecheria[[#This Row],[Económico $Corrientes]]/Producción_Lecheria[[#This Row],[Indexación Económico]],0)</f>
        <v>0</v>
      </c>
      <c r="X24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4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44" s="977">
        <f>IFERROR(Producción_Lecheria[[#This Row],[Financiero $Corrientes]]/Producción_Lecheria[[#This Row],[Indexación Financiero]],0)</f>
        <v>0</v>
      </c>
      <c r="AA24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4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44" s="981">
        <f>IFERROR(Producción_Lecheria[[#This Row],[Intereses $Corrientes]]/Producción_Lecheria[[#This Row],[Indexación Financiero]],0)</f>
        <v>0</v>
      </c>
      <c r="AD24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44" s="991">
        <f>IFERROR(INDEX(Produccion_Lecheria_Cuentas[],MATCH(Producción_Lecheria[[#This Row],[Cuenta Contable]],Produccion_Lecheria_Cuentas[Cuenta Contable],0),2),0)</f>
        <v>0</v>
      </c>
      <c r="AF244" s="992">
        <f>IF(Producción_Lecheria[[#This Row],[Mov. Stock]]="(+)",Producción_Lecheria[[#This Row],[Cabezas]],IF(Producción_Lecheria[[#This Row],[Mov. Stock]]="(-)",-Producción_Lecheria[[#This Row],[Cabezas]],0))</f>
        <v>0</v>
      </c>
      <c r="AG244" s="993">
        <f>IFERROR(INDEX(Produccion_Lecheria_Cuentas[],MATCH(Producción_Lecheria[[#This Row],[Cuenta Contable]],Produccion_Lecheria_Cuentas[Cuenta Contable],0),5),0)</f>
        <v>0</v>
      </c>
      <c r="AH244" s="985" t="str">
        <f>IF(Producción_Lecheria[[#This Row],[Cuenta Contable]]=Configuración!$AC$9,"Si","No")</f>
        <v>No</v>
      </c>
      <c r="AI244" s="983">
        <f>IFERROR(INDEX(Tabla9[],MATCH(Producción_Lecheria[[#This Row],[Movimiento]],Tabla9[Movimientos],0),2),0)</f>
        <v>0</v>
      </c>
      <c r="AJ244" s="984">
        <f>IFERROR(INDEX(Tabla9[],MATCH(Producción_Lecheria[[#This Row],[Movimiento]],Tabla9[Movimientos],0),3),0)</f>
        <v>0</v>
      </c>
      <c r="AK244" s="986">
        <f>IF(Producción_Lecheria[[#This Row],[Fecha Económico]]=0,0,MONTH(Producción_Lecheria[[#This Row],[Fecha Económico]]))</f>
        <v>0</v>
      </c>
      <c r="AL244" s="986">
        <f>IF(Producción_Lecheria[[#This Row],[Fecha Económico]]=0,0,YEAR(Producción_Lecheria[[#This Row],[Fecha Económico]]))</f>
        <v>0</v>
      </c>
      <c r="AM244" s="987">
        <f>SUMPRODUCT((Producción_Lecheria[[#This Row],[Mes Económico]]=Tipo_Cambio[Mes])*(Producción_Lecheria[[#This Row],[Año Económico]]=Tipo_Cambio[Año])*(Tipo_Cambio[$/U$S]))</f>
        <v>0</v>
      </c>
      <c r="AN244" s="987">
        <f>SUMPRODUCT((Producción_Lecheria[[#This Row],[Mes Económico]]=Tipo_Cambio[Mes])*(Producción_Lecheria[[#This Row],[Año Económico]]=Tipo_Cambio[Año])*(Tipo_Cambio[Actualización]))</f>
        <v>0</v>
      </c>
      <c r="AO244" s="986">
        <f>IF(ISNUMBER(Producción_Lecheria[[#This Row],[Fecha Financiero]])=TRUE,MONTH(Producción_Lecheria[[#This Row],[Fecha Financiero]]),0)</f>
        <v>0</v>
      </c>
      <c r="AP244" s="986">
        <f>IF(ISNUMBER(Producción_Lecheria[[#This Row],[Fecha Financiero]])=TRUE,YEAR(Producción_Lecheria[[#This Row],[Fecha Financiero]]),0)</f>
        <v>0</v>
      </c>
      <c r="AQ244" s="987">
        <f>SUMPRODUCT((Producción_Lecheria[[#This Row],[Mes Financiero]]=Tipo_Cambio[Mes])*(Producción_Lecheria[[#This Row],[Año Financiero]]=Tipo_Cambio[Año])*(Tipo_Cambio[$/U$S]))</f>
        <v>0</v>
      </c>
      <c r="AR244" s="987">
        <f>SUMPRODUCT((Producción_Lecheria[[#This Row],[Mes Financiero]]=Tipo_Cambio[Mes])*(Producción_Lecheria[[#This Row],[Año Financiero]]=Tipo_Cambio[Año])*(Tipo_Cambio[Actualización]))</f>
        <v>0</v>
      </c>
      <c r="AS244" s="1009">
        <f>SUMPRODUCT((Producción_Lecheria[[#This Row],[Centro de Costo]]=Tabla1924[Centro de Costo])*(Tabla19[Superficie]))</f>
        <v>0</v>
      </c>
      <c r="AT244" s="1010">
        <f>IFERROR(Producción_Lecheria[[#This Row],[Económico $Corrientes]]/Producción_Lecheria[[#This Row],[Superficie]],0)</f>
        <v>0</v>
      </c>
      <c r="AU244" s="1010">
        <f>IFERROR(Producción_Lecheria[[#This Row],[Económico $Constantes]]/Producción_Lecheria[[#This Row],[Superficie]],0)</f>
        <v>0</v>
      </c>
      <c r="AV244" s="1010">
        <f>IFERROR(Producción_Lecheria[[#This Row],[Económico U$S Dólares]]/Producción_Lecheria[[#This Row],[Superficie]],0)</f>
        <v>0</v>
      </c>
      <c r="AW244" s="992">
        <f>IF(Económico!$F$4=0,0,Producción_Lecheria[Centro de Costo])</f>
        <v>0</v>
      </c>
    </row>
    <row r="245" spans="1:49" x14ac:dyDescent="0.25">
      <c r="A245" s="86"/>
      <c r="D245" s="548"/>
      <c r="E245" s="493"/>
      <c r="F245" s="479" t="str">
        <f t="shared" si="21"/>
        <v>2018-2019</v>
      </c>
      <c r="G245" s="576"/>
      <c r="H245" s="481"/>
      <c r="I245" s="491"/>
      <c r="J245" s="549"/>
      <c r="K245" s="484"/>
      <c r="L24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4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45" s="520"/>
      <c r="O24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45" s="563"/>
      <c r="Q245" s="491"/>
      <c r="R245" s="875">
        <f>IF(ISNUMBER(Producción_Lecheria[[#This Row],[Cabezas]])=TRUE,Producción_Lecheria[[#This Row],[Cabezas]]*Producción_Lecheria[[#This Row],[Cantidad]],Producción_Lecheria[[#This Row],[Cantidad]])</f>
        <v>0</v>
      </c>
      <c r="S245" s="491"/>
      <c r="T245" s="552"/>
      <c r="U245" s="553"/>
      <c r="V24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45" s="977">
        <f>IFERROR(Producción_Lecheria[[#This Row],[Económico $Corrientes]]/Producción_Lecheria[[#This Row],[Indexación Económico]],0)</f>
        <v>0</v>
      </c>
      <c r="X24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4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45" s="977">
        <f>IFERROR(Producción_Lecheria[[#This Row],[Financiero $Corrientes]]/Producción_Lecheria[[#This Row],[Indexación Financiero]],0)</f>
        <v>0</v>
      </c>
      <c r="AA24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4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45" s="981">
        <f>IFERROR(Producción_Lecheria[[#This Row],[Intereses $Corrientes]]/Producción_Lecheria[[#This Row],[Indexación Financiero]],0)</f>
        <v>0</v>
      </c>
      <c r="AD24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45" s="991">
        <f>IFERROR(INDEX(Produccion_Lecheria_Cuentas[],MATCH(Producción_Lecheria[[#This Row],[Cuenta Contable]],Produccion_Lecheria_Cuentas[Cuenta Contable],0),2),0)</f>
        <v>0</v>
      </c>
      <c r="AF245" s="992">
        <f>IF(Producción_Lecheria[[#This Row],[Mov. Stock]]="(+)",Producción_Lecheria[[#This Row],[Cabezas]],IF(Producción_Lecheria[[#This Row],[Mov. Stock]]="(-)",-Producción_Lecheria[[#This Row],[Cabezas]],0))</f>
        <v>0</v>
      </c>
      <c r="AG245" s="993">
        <f>IFERROR(INDEX(Produccion_Lecheria_Cuentas[],MATCH(Producción_Lecheria[[#This Row],[Cuenta Contable]],Produccion_Lecheria_Cuentas[Cuenta Contable],0),5),0)</f>
        <v>0</v>
      </c>
      <c r="AH245" s="985" t="str">
        <f>IF(Producción_Lecheria[[#This Row],[Cuenta Contable]]=Configuración!$AC$9,"Si","No")</f>
        <v>No</v>
      </c>
      <c r="AI245" s="983">
        <f>IFERROR(INDEX(Tabla9[],MATCH(Producción_Lecheria[[#This Row],[Movimiento]],Tabla9[Movimientos],0),2),0)</f>
        <v>0</v>
      </c>
      <c r="AJ245" s="984">
        <f>IFERROR(INDEX(Tabla9[],MATCH(Producción_Lecheria[[#This Row],[Movimiento]],Tabla9[Movimientos],0),3),0)</f>
        <v>0</v>
      </c>
      <c r="AK245" s="986">
        <f>IF(Producción_Lecheria[[#This Row],[Fecha Económico]]=0,0,MONTH(Producción_Lecheria[[#This Row],[Fecha Económico]]))</f>
        <v>0</v>
      </c>
      <c r="AL245" s="986">
        <f>IF(Producción_Lecheria[[#This Row],[Fecha Económico]]=0,0,YEAR(Producción_Lecheria[[#This Row],[Fecha Económico]]))</f>
        <v>0</v>
      </c>
      <c r="AM245" s="987">
        <f>SUMPRODUCT((Producción_Lecheria[[#This Row],[Mes Económico]]=Tipo_Cambio[Mes])*(Producción_Lecheria[[#This Row],[Año Económico]]=Tipo_Cambio[Año])*(Tipo_Cambio[$/U$S]))</f>
        <v>0</v>
      </c>
      <c r="AN245" s="987">
        <f>SUMPRODUCT((Producción_Lecheria[[#This Row],[Mes Económico]]=Tipo_Cambio[Mes])*(Producción_Lecheria[[#This Row],[Año Económico]]=Tipo_Cambio[Año])*(Tipo_Cambio[Actualización]))</f>
        <v>0</v>
      </c>
      <c r="AO245" s="986">
        <f>IF(ISNUMBER(Producción_Lecheria[[#This Row],[Fecha Financiero]])=TRUE,MONTH(Producción_Lecheria[[#This Row],[Fecha Financiero]]),0)</f>
        <v>0</v>
      </c>
      <c r="AP245" s="986">
        <f>IF(ISNUMBER(Producción_Lecheria[[#This Row],[Fecha Financiero]])=TRUE,YEAR(Producción_Lecheria[[#This Row],[Fecha Financiero]]),0)</f>
        <v>0</v>
      </c>
      <c r="AQ245" s="987">
        <f>SUMPRODUCT((Producción_Lecheria[[#This Row],[Mes Financiero]]=Tipo_Cambio[Mes])*(Producción_Lecheria[[#This Row],[Año Financiero]]=Tipo_Cambio[Año])*(Tipo_Cambio[$/U$S]))</f>
        <v>0</v>
      </c>
      <c r="AR245" s="987">
        <f>SUMPRODUCT((Producción_Lecheria[[#This Row],[Mes Financiero]]=Tipo_Cambio[Mes])*(Producción_Lecheria[[#This Row],[Año Financiero]]=Tipo_Cambio[Año])*(Tipo_Cambio[Actualización]))</f>
        <v>0</v>
      </c>
      <c r="AS245" s="1009">
        <f>SUMPRODUCT((Producción_Lecheria[[#This Row],[Centro de Costo]]=Tabla1924[Centro de Costo])*(Tabla19[Superficie]))</f>
        <v>0</v>
      </c>
      <c r="AT245" s="1010">
        <f>IFERROR(Producción_Lecheria[[#This Row],[Económico $Corrientes]]/Producción_Lecheria[[#This Row],[Superficie]],0)</f>
        <v>0</v>
      </c>
      <c r="AU245" s="1010">
        <f>IFERROR(Producción_Lecheria[[#This Row],[Económico $Constantes]]/Producción_Lecheria[[#This Row],[Superficie]],0)</f>
        <v>0</v>
      </c>
      <c r="AV245" s="1010">
        <f>IFERROR(Producción_Lecheria[[#This Row],[Económico U$S Dólares]]/Producción_Lecheria[[#This Row],[Superficie]],0)</f>
        <v>0</v>
      </c>
      <c r="AW245" s="992">
        <f>IF(Económico!$F$4=0,0,Producción_Lecheria[Centro de Costo])</f>
        <v>0</v>
      </c>
    </row>
    <row r="246" spans="1:49" x14ac:dyDescent="0.25">
      <c r="A246" s="86"/>
      <c r="D246" s="548"/>
      <c r="E246" s="493"/>
      <c r="F246" s="479" t="str">
        <f t="shared" si="21"/>
        <v>2018-2019</v>
      </c>
      <c r="G246" s="576"/>
      <c r="H246" s="481"/>
      <c r="I246" s="491"/>
      <c r="J246" s="549"/>
      <c r="K246" s="484"/>
      <c r="L24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4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46" s="520"/>
      <c r="O24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46" s="563"/>
      <c r="Q246" s="491"/>
      <c r="R246" s="875">
        <f>IF(ISNUMBER(Producción_Lecheria[[#This Row],[Cabezas]])=TRUE,Producción_Lecheria[[#This Row],[Cabezas]]*Producción_Lecheria[[#This Row],[Cantidad]],Producción_Lecheria[[#This Row],[Cantidad]])</f>
        <v>0</v>
      </c>
      <c r="S246" s="491"/>
      <c r="T246" s="552"/>
      <c r="U246" s="553"/>
      <c r="V24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46" s="977">
        <f>IFERROR(Producción_Lecheria[[#This Row],[Económico $Corrientes]]/Producción_Lecheria[[#This Row],[Indexación Económico]],0)</f>
        <v>0</v>
      </c>
      <c r="X24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4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46" s="977">
        <f>IFERROR(Producción_Lecheria[[#This Row],[Financiero $Corrientes]]/Producción_Lecheria[[#This Row],[Indexación Financiero]],0)</f>
        <v>0</v>
      </c>
      <c r="AA24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4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46" s="981">
        <f>IFERROR(Producción_Lecheria[[#This Row],[Intereses $Corrientes]]/Producción_Lecheria[[#This Row],[Indexación Financiero]],0)</f>
        <v>0</v>
      </c>
      <c r="AD24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46" s="991">
        <f>IFERROR(INDEX(Produccion_Lecheria_Cuentas[],MATCH(Producción_Lecheria[[#This Row],[Cuenta Contable]],Produccion_Lecheria_Cuentas[Cuenta Contable],0),2),0)</f>
        <v>0</v>
      </c>
      <c r="AF246" s="992">
        <f>IF(Producción_Lecheria[[#This Row],[Mov. Stock]]="(+)",Producción_Lecheria[[#This Row],[Cabezas]],IF(Producción_Lecheria[[#This Row],[Mov. Stock]]="(-)",-Producción_Lecheria[[#This Row],[Cabezas]],0))</f>
        <v>0</v>
      </c>
      <c r="AG246" s="993">
        <f>IFERROR(INDEX(Produccion_Lecheria_Cuentas[],MATCH(Producción_Lecheria[[#This Row],[Cuenta Contable]],Produccion_Lecheria_Cuentas[Cuenta Contable],0),5),0)</f>
        <v>0</v>
      </c>
      <c r="AH246" s="985" t="str">
        <f>IF(Producción_Lecheria[[#This Row],[Cuenta Contable]]=Configuración!$AC$9,"Si","No")</f>
        <v>No</v>
      </c>
      <c r="AI246" s="983">
        <f>IFERROR(INDEX(Tabla9[],MATCH(Producción_Lecheria[[#This Row],[Movimiento]],Tabla9[Movimientos],0),2),0)</f>
        <v>0</v>
      </c>
      <c r="AJ246" s="984">
        <f>IFERROR(INDEX(Tabla9[],MATCH(Producción_Lecheria[[#This Row],[Movimiento]],Tabla9[Movimientos],0),3),0)</f>
        <v>0</v>
      </c>
      <c r="AK246" s="986">
        <f>IF(Producción_Lecheria[[#This Row],[Fecha Económico]]=0,0,MONTH(Producción_Lecheria[[#This Row],[Fecha Económico]]))</f>
        <v>0</v>
      </c>
      <c r="AL246" s="986">
        <f>IF(Producción_Lecheria[[#This Row],[Fecha Económico]]=0,0,YEAR(Producción_Lecheria[[#This Row],[Fecha Económico]]))</f>
        <v>0</v>
      </c>
      <c r="AM246" s="987">
        <f>SUMPRODUCT((Producción_Lecheria[[#This Row],[Mes Económico]]=Tipo_Cambio[Mes])*(Producción_Lecheria[[#This Row],[Año Económico]]=Tipo_Cambio[Año])*(Tipo_Cambio[$/U$S]))</f>
        <v>0</v>
      </c>
      <c r="AN246" s="987">
        <f>SUMPRODUCT((Producción_Lecheria[[#This Row],[Mes Económico]]=Tipo_Cambio[Mes])*(Producción_Lecheria[[#This Row],[Año Económico]]=Tipo_Cambio[Año])*(Tipo_Cambio[Actualización]))</f>
        <v>0</v>
      </c>
      <c r="AO246" s="986">
        <f>IF(ISNUMBER(Producción_Lecheria[[#This Row],[Fecha Financiero]])=TRUE,MONTH(Producción_Lecheria[[#This Row],[Fecha Financiero]]),0)</f>
        <v>0</v>
      </c>
      <c r="AP246" s="986">
        <f>IF(ISNUMBER(Producción_Lecheria[[#This Row],[Fecha Financiero]])=TRUE,YEAR(Producción_Lecheria[[#This Row],[Fecha Financiero]]),0)</f>
        <v>0</v>
      </c>
      <c r="AQ246" s="987">
        <f>SUMPRODUCT((Producción_Lecheria[[#This Row],[Mes Financiero]]=Tipo_Cambio[Mes])*(Producción_Lecheria[[#This Row],[Año Financiero]]=Tipo_Cambio[Año])*(Tipo_Cambio[$/U$S]))</f>
        <v>0</v>
      </c>
      <c r="AR246" s="987">
        <f>SUMPRODUCT((Producción_Lecheria[[#This Row],[Mes Financiero]]=Tipo_Cambio[Mes])*(Producción_Lecheria[[#This Row],[Año Financiero]]=Tipo_Cambio[Año])*(Tipo_Cambio[Actualización]))</f>
        <v>0</v>
      </c>
      <c r="AS246" s="1009">
        <f>SUMPRODUCT((Producción_Lecheria[[#This Row],[Centro de Costo]]=Tabla1924[Centro de Costo])*(Tabla19[Superficie]))</f>
        <v>0</v>
      </c>
      <c r="AT246" s="1010">
        <f>IFERROR(Producción_Lecheria[[#This Row],[Económico $Corrientes]]/Producción_Lecheria[[#This Row],[Superficie]],0)</f>
        <v>0</v>
      </c>
      <c r="AU246" s="1010">
        <f>IFERROR(Producción_Lecheria[[#This Row],[Económico $Constantes]]/Producción_Lecheria[[#This Row],[Superficie]],0)</f>
        <v>0</v>
      </c>
      <c r="AV246" s="1010">
        <f>IFERROR(Producción_Lecheria[[#This Row],[Económico U$S Dólares]]/Producción_Lecheria[[#This Row],[Superficie]],0)</f>
        <v>0</v>
      </c>
      <c r="AW246" s="992">
        <f>IF(Económico!$F$4=0,0,Producción_Lecheria[Centro de Costo])</f>
        <v>0</v>
      </c>
    </row>
    <row r="247" spans="1:49" ht="15.75" thickBot="1" x14ac:dyDescent="0.3">
      <c r="A247" s="86"/>
      <c r="B247" s="373" t="s">
        <v>101</v>
      </c>
      <c r="D247" s="592"/>
      <c r="E247" s="593"/>
      <c r="F247" s="566" t="str">
        <f t="shared" si="21"/>
        <v>2018-2019</v>
      </c>
      <c r="G247" s="594"/>
      <c r="H247" s="567"/>
      <c r="I247" s="567"/>
      <c r="J247" s="568"/>
      <c r="K247" s="595"/>
      <c r="L247" s="967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47" s="963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47" s="569"/>
      <c r="O247" s="974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47" s="596"/>
      <c r="Q247" s="567"/>
      <c r="R247" s="976">
        <f>IF(ISNUMBER(Producción_Lecheria[[#This Row],[Cabezas]])=TRUE,Producción_Lecheria[[#This Row],[Cabezas]]*Producción_Lecheria[[#This Row],[Cantidad]],Producción_Lecheria[[#This Row],[Cantidad]])</f>
        <v>0</v>
      </c>
      <c r="S247" s="567"/>
      <c r="T247" s="571"/>
      <c r="U247" s="572"/>
      <c r="V247" s="1011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47" s="1012">
        <f>IFERROR(Producción_Lecheria[[#This Row],[Económico $Corrientes]]/Producción_Lecheria[[#This Row],[Indexación Económico]],0)</f>
        <v>0</v>
      </c>
      <c r="X247" s="1013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47" s="1011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47" s="1012">
        <f>IFERROR(Producción_Lecheria[[#This Row],[Financiero $Corrientes]]/Producción_Lecheria[[#This Row],[Indexación Financiero]],0)</f>
        <v>0</v>
      </c>
      <c r="AA247" s="1014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47" s="1015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47" s="1016">
        <f>IFERROR(Producción_Lecheria[[#This Row],[Intereses $Corrientes]]/Producción_Lecheria[[#This Row],[Indexación Financiero]],0)</f>
        <v>0</v>
      </c>
      <c r="AD247" s="101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47" s="1017">
        <f>IFERROR(INDEX(Produccion_Lecheria_Cuentas[],MATCH(Producción_Lecheria[[#This Row],[Cuenta Contable]],Produccion_Lecheria_Cuentas[Cuenta Contable],0),2),0)</f>
        <v>0</v>
      </c>
      <c r="AF247" s="1018">
        <f>IF(Producción_Lecheria[[#This Row],[Mov. Stock]]="(+)",Producción_Lecheria[[#This Row],[Cabezas]],IF(Producción_Lecheria[[#This Row],[Mov. Stock]]="(-)",-Producción_Lecheria[[#This Row],[Cabezas]],0))</f>
        <v>0</v>
      </c>
      <c r="AG247" s="1019">
        <f>IFERROR(INDEX(Produccion_Lecheria_Cuentas[],MATCH(Producción_Lecheria[[#This Row],[Cuenta Contable]],Produccion_Lecheria_Cuentas[Cuenta Contable],0),5),0)</f>
        <v>0</v>
      </c>
      <c r="AH247" s="1023" t="str">
        <f>IF(Producción_Lecheria[[#This Row],[Cuenta Contable]]=Configuración!$AC$9,"Si","No")</f>
        <v>No</v>
      </c>
      <c r="AI247" s="1021">
        <f>IFERROR(INDEX(Tabla9[],MATCH(Producción_Lecheria[[#This Row],[Movimiento]],Tabla9[Movimientos],0),2),0)</f>
        <v>0</v>
      </c>
      <c r="AJ247" s="1022">
        <f>IFERROR(INDEX(Tabla9[],MATCH(Producción_Lecheria[[#This Row],[Movimiento]],Tabla9[Movimientos],0),3),0)</f>
        <v>0</v>
      </c>
      <c r="AK247" s="1016">
        <f>IF(Producción_Lecheria[[#This Row],[Fecha Económico]]=0,0,MONTH(Producción_Lecheria[[#This Row],[Fecha Económico]]))</f>
        <v>0</v>
      </c>
      <c r="AL247" s="1016">
        <f>IF(Producción_Lecheria[[#This Row],[Fecha Económico]]=0,0,YEAR(Producción_Lecheria[[#This Row],[Fecha Económico]]))</f>
        <v>0</v>
      </c>
      <c r="AM247" s="1023">
        <f>SUMPRODUCT((Producción_Lecheria[[#This Row],[Mes Económico]]=Tipo_Cambio[Mes])*(Producción_Lecheria[[#This Row],[Año Económico]]=Tipo_Cambio[Año])*(Tipo_Cambio[$/U$S]))</f>
        <v>0</v>
      </c>
      <c r="AN247" s="1023">
        <f>SUMPRODUCT((Producción_Lecheria[[#This Row],[Mes Económico]]=Tipo_Cambio[Mes])*(Producción_Lecheria[[#This Row],[Año Económico]]=Tipo_Cambio[Año])*(Tipo_Cambio[Actualización]))</f>
        <v>0</v>
      </c>
      <c r="AO247" s="1016">
        <f>IF(ISNUMBER(Producción_Lecheria[[#This Row],[Fecha Financiero]])=TRUE,MONTH(Producción_Lecheria[[#This Row],[Fecha Financiero]]),0)</f>
        <v>0</v>
      </c>
      <c r="AP247" s="1016">
        <f>IF(ISNUMBER(Producción_Lecheria[[#This Row],[Fecha Financiero]])=TRUE,YEAR(Producción_Lecheria[[#This Row],[Fecha Financiero]]),0)</f>
        <v>0</v>
      </c>
      <c r="AQ247" s="1023">
        <f>SUMPRODUCT((Producción_Lecheria[[#This Row],[Mes Financiero]]=Tipo_Cambio[Mes])*(Producción_Lecheria[[#This Row],[Año Financiero]]=Tipo_Cambio[Año])*(Tipo_Cambio[$/U$S]))</f>
        <v>0</v>
      </c>
      <c r="AR247" s="1023">
        <f>SUMPRODUCT((Producción_Lecheria[[#This Row],[Mes Financiero]]=Tipo_Cambio[Mes])*(Producción_Lecheria[[#This Row],[Año Financiero]]=Tipo_Cambio[Año])*(Tipo_Cambio[Actualización]))</f>
        <v>0</v>
      </c>
      <c r="AS247" s="1042">
        <f>SUMPRODUCT((Producción_Lecheria[[#This Row],[Centro de Costo]]=Tabla1924[Centro de Costo])*(Tabla19[Superficie]))</f>
        <v>0</v>
      </c>
      <c r="AT247" s="1020">
        <f>IFERROR(Producción_Lecheria[[#This Row],[Económico $Corrientes]]/Producción_Lecheria[[#This Row],[Superficie]],0)</f>
        <v>0</v>
      </c>
      <c r="AU247" s="1020">
        <f>IFERROR(Producción_Lecheria[[#This Row],[Económico $Constantes]]/Producción_Lecheria[[#This Row],[Superficie]],0)</f>
        <v>0</v>
      </c>
      <c r="AV247" s="1020">
        <f>IFERROR(Producción_Lecheria[[#This Row],[Económico U$S Dólares]]/Producción_Lecheria[[#This Row],[Superficie]],0)</f>
        <v>0</v>
      </c>
      <c r="AW247" s="1018">
        <f>IF(Económico!$F$4=0,0,Producción_Lecheria[Centro de Costo])</f>
        <v>0</v>
      </c>
    </row>
    <row r="248" spans="1:49" ht="15.75" thickTop="1" x14ac:dyDescent="0.25">
      <c r="A248" s="86"/>
      <c r="B248" s="1136" t="s">
        <v>123</v>
      </c>
      <c r="D248" s="548"/>
      <c r="E248" s="493"/>
      <c r="F248" s="479" t="str">
        <f t="shared" si="21"/>
        <v>2018-2019</v>
      </c>
      <c r="G248" s="597" t="str">
        <f t="shared" ref="G248:G259" si="24">LCH_Alimentacion</f>
        <v>Alimentación</v>
      </c>
      <c r="H248" s="481" t="s">
        <v>2</v>
      </c>
      <c r="I248" s="491"/>
      <c r="J248" s="549"/>
      <c r="K248" s="484"/>
      <c r="L24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4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48" s="520"/>
      <c r="O24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48" s="563"/>
      <c r="Q248" s="491"/>
      <c r="R248" s="875">
        <f>IF(ISNUMBER(Producción_Lecheria[[#This Row],[Cabezas]])=TRUE,Producción_Lecheria[[#This Row],[Cabezas]]*Producción_Lecheria[[#This Row],[Cantidad]],Producción_Lecheria[[#This Row],[Cantidad]])</f>
        <v>0</v>
      </c>
      <c r="S248" s="491"/>
      <c r="T248" s="552"/>
      <c r="U248" s="553"/>
      <c r="V24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48" s="977">
        <f>IFERROR(Producción_Lecheria[[#This Row],[Económico $Corrientes]]/Producción_Lecheria[[#This Row],[Indexación Económico]],0)</f>
        <v>0</v>
      </c>
      <c r="X24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4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48" s="977">
        <f>IFERROR(Producción_Lecheria[[#This Row],[Financiero $Corrientes]]/Producción_Lecheria[[#This Row],[Indexación Financiero]],0)</f>
        <v>0</v>
      </c>
      <c r="AA24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4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48" s="981">
        <f>IFERROR(Producción_Lecheria[[#This Row],[Intereses $Corrientes]]/Producción_Lecheria[[#This Row],[Indexación Financiero]],0)</f>
        <v>0</v>
      </c>
      <c r="AD24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48" s="991" t="str">
        <f>IFERROR(INDEX(Produccion_Lecheria_Cuentas[],MATCH(Producción_Lecheria[[#This Row],[Cuenta Contable]],Produccion_Lecheria_Cuentas[Cuenta Contable],0),2),0)</f>
        <v>Egreso</v>
      </c>
      <c r="AF248" s="992">
        <f>IF(Producción_Lecheria[[#This Row],[Mov. Stock]]="(+)",Producción_Lecheria[[#This Row],[Cabezas]],IF(Producción_Lecheria[[#This Row],[Mov. Stock]]="(-)",-Producción_Lecheria[[#This Row],[Cabezas]],0))</f>
        <v>0</v>
      </c>
      <c r="AG248" s="993">
        <f>IFERROR(INDEX(Produccion_Lecheria_Cuentas[],MATCH(Producción_Lecheria[[#This Row],[Cuenta Contable]],Produccion_Lecheria_Cuentas[Cuenta Contable],0),5),0)</f>
        <v>0</v>
      </c>
      <c r="AH248" s="985" t="str">
        <f>IF(Producción_Lecheria[[#This Row],[Cuenta Contable]]=Configuración!$AC$9,"Si","No")</f>
        <v>No</v>
      </c>
      <c r="AI248" s="983" t="str">
        <f>IFERROR(INDEX(Tabla9[],MATCH(Producción_Lecheria[[#This Row],[Movimiento]],Tabla9[Movimientos],0),2),0)</f>
        <v>Si</v>
      </c>
      <c r="AJ248" s="984" t="str">
        <f>IFERROR(INDEX(Tabla9[],MATCH(Producción_Lecheria[[#This Row],[Movimiento]],Tabla9[Movimientos],0),3),0)</f>
        <v>(-)</v>
      </c>
      <c r="AK248" s="986">
        <f>IF(Producción_Lecheria[[#This Row],[Fecha Económico]]=0,0,MONTH(Producción_Lecheria[[#This Row],[Fecha Económico]]))</f>
        <v>0</v>
      </c>
      <c r="AL248" s="986">
        <f>IF(Producción_Lecheria[[#This Row],[Fecha Económico]]=0,0,YEAR(Producción_Lecheria[[#This Row],[Fecha Económico]]))</f>
        <v>0</v>
      </c>
      <c r="AM248" s="987">
        <f>SUMPRODUCT((Producción_Lecheria[[#This Row],[Mes Económico]]=Tipo_Cambio[Mes])*(Producción_Lecheria[[#This Row],[Año Económico]]=Tipo_Cambio[Año])*(Tipo_Cambio[$/U$S]))</f>
        <v>0</v>
      </c>
      <c r="AN248" s="987">
        <f>SUMPRODUCT((Producción_Lecheria[[#This Row],[Mes Económico]]=Tipo_Cambio[Mes])*(Producción_Lecheria[[#This Row],[Año Económico]]=Tipo_Cambio[Año])*(Tipo_Cambio[Actualización]))</f>
        <v>0</v>
      </c>
      <c r="AO248" s="986">
        <f>IF(ISNUMBER(Producción_Lecheria[[#This Row],[Fecha Financiero]])=TRUE,MONTH(Producción_Lecheria[[#This Row],[Fecha Financiero]]),0)</f>
        <v>0</v>
      </c>
      <c r="AP248" s="986">
        <f>IF(ISNUMBER(Producción_Lecheria[[#This Row],[Fecha Financiero]])=TRUE,YEAR(Producción_Lecheria[[#This Row],[Fecha Financiero]]),0)</f>
        <v>0</v>
      </c>
      <c r="AQ248" s="987">
        <f>SUMPRODUCT((Producción_Lecheria[[#This Row],[Mes Financiero]]=Tipo_Cambio[Mes])*(Producción_Lecheria[[#This Row],[Año Financiero]]=Tipo_Cambio[Año])*(Tipo_Cambio[$/U$S]))</f>
        <v>0</v>
      </c>
      <c r="AR248" s="987">
        <f>SUMPRODUCT((Producción_Lecheria[[#This Row],[Mes Financiero]]=Tipo_Cambio[Mes])*(Producción_Lecheria[[#This Row],[Año Financiero]]=Tipo_Cambio[Año])*(Tipo_Cambio[Actualización]))</f>
        <v>0</v>
      </c>
      <c r="AS248" s="1009">
        <f>SUMPRODUCT((Producción_Lecheria[[#This Row],[Centro de Costo]]=Tabla1924[Centro de Costo])*(Tabla19[Superficie]))</f>
        <v>2356</v>
      </c>
      <c r="AT248" s="1010">
        <f>IFERROR(Producción_Lecheria[[#This Row],[Económico $Corrientes]]/Producción_Lecheria[[#This Row],[Superficie]],0)</f>
        <v>0</v>
      </c>
      <c r="AU248" s="1010">
        <f>IFERROR(Producción_Lecheria[[#This Row],[Económico $Constantes]]/Producción_Lecheria[[#This Row],[Superficie]],0)</f>
        <v>0</v>
      </c>
      <c r="AV248" s="1010">
        <f>IFERROR(Producción_Lecheria[[#This Row],[Económico U$S Dólares]]/Producción_Lecheria[[#This Row],[Superficie]],0)</f>
        <v>0</v>
      </c>
      <c r="AW248" s="992" t="str">
        <f>IF(Económico!$F$4=0,0,Producción_Lecheria[Centro de Costo])</f>
        <v>Campo 1</v>
      </c>
    </row>
    <row r="249" spans="1:49" x14ac:dyDescent="0.25">
      <c r="A249" s="86"/>
      <c r="B249" s="1136"/>
      <c r="D249" s="548"/>
      <c r="E249" s="493"/>
      <c r="F249" s="479" t="str">
        <f t="shared" si="21"/>
        <v>2018-2019</v>
      </c>
      <c r="G249" s="597" t="str">
        <f t="shared" si="24"/>
        <v>Alimentación</v>
      </c>
      <c r="H249" s="481" t="s">
        <v>2</v>
      </c>
      <c r="I249" s="491"/>
      <c r="J249" s="549"/>
      <c r="K249" s="484"/>
      <c r="L24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4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49" s="520"/>
      <c r="O24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49" s="563"/>
      <c r="Q249" s="491"/>
      <c r="R249" s="875">
        <f>IF(ISNUMBER(Producción_Lecheria[[#This Row],[Cabezas]])=TRUE,Producción_Lecheria[[#This Row],[Cabezas]]*Producción_Lecheria[[#This Row],[Cantidad]],Producción_Lecheria[[#This Row],[Cantidad]])</f>
        <v>0</v>
      </c>
      <c r="S249" s="491"/>
      <c r="T249" s="552"/>
      <c r="U249" s="553"/>
      <c r="V24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49" s="977">
        <f>IFERROR(Producción_Lecheria[[#This Row],[Económico $Corrientes]]/Producción_Lecheria[[#This Row],[Indexación Económico]],0)</f>
        <v>0</v>
      </c>
      <c r="X24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4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49" s="977">
        <f>IFERROR(Producción_Lecheria[[#This Row],[Financiero $Corrientes]]/Producción_Lecheria[[#This Row],[Indexación Financiero]],0)</f>
        <v>0</v>
      </c>
      <c r="AA24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4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49" s="981">
        <f>IFERROR(Producción_Lecheria[[#This Row],[Intereses $Corrientes]]/Producción_Lecheria[[#This Row],[Indexación Financiero]],0)</f>
        <v>0</v>
      </c>
      <c r="AD24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49" s="991" t="str">
        <f>IFERROR(INDEX(Produccion_Lecheria_Cuentas[],MATCH(Producción_Lecheria[[#This Row],[Cuenta Contable]],Produccion_Lecheria_Cuentas[Cuenta Contable],0),2),0)</f>
        <v>Egreso</v>
      </c>
      <c r="AF249" s="992">
        <f>IF(Producción_Lecheria[[#This Row],[Mov. Stock]]="(+)",Producción_Lecheria[[#This Row],[Cabezas]],IF(Producción_Lecheria[[#This Row],[Mov. Stock]]="(-)",-Producción_Lecheria[[#This Row],[Cabezas]],0))</f>
        <v>0</v>
      </c>
      <c r="AG249" s="993">
        <f>IFERROR(INDEX(Produccion_Lecheria_Cuentas[],MATCH(Producción_Lecheria[[#This Row],[Cuenta Contable]],Produccion_Lecheria_Cuentas[Cuenta Contable],0),5),0)</f>
        <v>0</v>
      </c>
      <c r="AH249" s="985" t="str">
        <f>IF(Producción_Lecheria[[#This Row],[Cuenta Contable]]=Configuración!$AC$9,"Si","No")</f>
        <v>No</v>
      </c>
      <c r="AI249" s="983" t="str">
        <f>IFERROR(INDEX(Tabla9[],MATCH(Producción_Lecheria[[#This Row],[Movimiento]],Tabla9[Movimientos],0),2),0)</f>
        <v>Si</v>
      </c>
      <c r="AJ249" s="984" t="str">
        <f>IFERROR(INDEX(Tabla9[],MATCH(Producción_Lecheria[[#This Row],[Movimiento]],Tabla9[Movimientos],0),3),0)</f>
        <v>(-)</v>
      </c>
      <c r="AK249" s="986">
        <f>IF(Producción_Lecheria[[#This Row],[Fecha Económico]]=0,0,MONTH(Producción_Lecheria[[#This Row],[Fecha Económico]]))</f>
        <v>0</v>
      </c>
      <c r="AL249" s="986">
        <f>IF(Producción_Lecheria[[#This Row],[Fecha Económico]]=0,0,YEAR(Producción_Lecheria[[#This Row],[Fecha Económico]]))</f>
        <v>0</v>
      </c>
      <c r="AM249" s="987">
        <f>SUMPRODUCT((Producción_Lecheria[[#This Row],[Mes Económico]]=Tipo_Cambio[Mes])*(Producción_Lecheria[[#This Row],[Año Económico]]=Tipo_Cambio[Año])*(Tipo_Cambio[$/U$S]))</f>
        <v>0</v>
      </c>
      <c r="AN249" s="987">
        <f>SUMPRODUCT((Producción_Lecheria[[#This Row],[Mes Económico]]=Tipo_Cambio[Mes])*(Producción_Lecheria[[#This Row],[Año Económico]]=Tipo_Cambio[Año])*(Tipo_Cambio[Actualización]))</f>
        <v>0</v>
      </c>
      <c r="AO249" s="986">
        <f>IF(ISNUMBER(Producción_Lecheria[[#This Row],[Fecha Financiero]])=TRUE,MONTH(Producción_Lecheria[[#This Row],[Fecha Financiero]]),0)</f>
        <v>0</v>
      </c>
      <c r="AP249" s="986">
        <f>IF(ISNUMBER(Producción_Lecheria[[#This Row],[Fecha Financiero]])=TRUE,YEAR(Producción_Lecheria[[#This Row],[Fecha Financiero]]),0)</f>
        <v>0</v>
      </c>
      <c r="AQ249" s="987">
        <f>SUMPRODUCT((Producción_Lecheria[[#This Row],[Mes Financiero]]=Tipo_Cambio[Mes])*(Producción_Lecheria[[#This Row],[Año Financiero]]=Tipo_Cambio[Año])*(Tipo_Cambio[$/U$S]))</f>
        <v>0</v>
      </c>
      <c r="AR249" s="987">
        <f>SUMPRODUCT((Producción_Lecheria[[#This Row],[Mes Financiero]]=Tipo_Cambio[Mes])*(Producción_Lecheria[[#This Row],[Año Financiero]]=Tipo_Cambio[Año])*(Tipo_Cambio[Actualización]))</f>
        <v>0</v>
      </c>
      <c r="AS249" s="1009">
        <f>SUMPRODUCT((Producción_Lecheria[[#This Row],[Centro de Costo]]=Tabla1924[Centro de Costo])*(Tabla19[Superficie]))</f>
        <v>2356</v>
      </c>
      <c r="AT249" s="1010">
        <f>IFERROR(Producción_Lecheria[[#This Row],[Económico $Corrientes]]/Producción_Lecheria[[#This Row],[Superficie]],0)</f>
        <v>0</v>
      </c>
      <c r="AU249" s="1010">
        <f>IFERROR(Producción_Lecheria[[#This Row],[Económico $Constantes]]/Producción_Lecheria[[#This Row],[Superficie]],0)</f>
        <v>0</v>
      </c>
      <c r="AV249" s="1010">
        <f>IFERROR(Producción_Lecheria[[#This Row],[Económico U$S Dólares]]/Producción_Lecheria[[#This Row],[Superficie]],0)</f>
        <v>0</v>
      </c>
      <c r="AW249" s="992" t="str">
        <f>IF(Económico!$F$4=0,0,Producción_Lecheria[Centro de Costo])</f>
        <v>Campo 1</v>
      </c>
    </row>
    <row r="250" spans="1:49" x14ac:dyDescent="0.25">
      <c r="A250" s="86"/>
      <c r="B250" s="1136"/>
      <c r="D250" s="548"/>
      <c r="E250" s="493"/>
      <c r="F250" s="479" t="str">
        <f t="shared" si="21"/>
        <v>2018-2019</v>
      </c>
      <c r="G250" s="597" t="str">
        <f t="shared" si="24"/>
        <v>Alimentación</v>
      </c>
      <c r="H250" s="481" t="s">
        <v>2</v>
      </c>
      <c r="I250" s="491"/>
      <c r="J250" s="549"/>
      <c r="K250" s="484"/>
      <c r="L25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5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50" s="520"/>
      <c r="O25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50" s="563"/>
      <c r="Q250" s="491"/>
      <c r="R250" s="875">
        <f>IF(ISNUMBER(Producción_Lecheria[[#This Row],[Cabezas]])=TRUE,Producción_Lecheria[[#This Row],[Cabezas]]*Producción_Lecheria[[#This Row],[Cantidad]],Producción_Lecheria[[#This Row],[Cantidad]])</f>
        <v>0</v>
      </c>
      <c r="S250" s="491"/>
      <c r="T250" s="552"/>
      <c r="U250" s="553"/>
      <c r="V25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50" s="977">
        <f>IFERROR(Producción_Lecheria[[#This Row],[Económico $Corrientes]]/Producción_Lecheria[[#This Row],[Indexación Económico]],0)</f>
        <v>0</v>
      </c>
      <c r="X25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5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50" s="977">
        <f>IFERROR(Producción_Lecheria[[#This Row],[Financiero $Corrientes]]/Producción_Lecheria[[#This Row],[Indexación Financiero]],0)</f>
        <v>0</v>
      </c>
      <c r="AA25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5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50" s="981">
        <f>IFERROR(Producción_Lecheria[[#This Row],[Intereses $Corrientes]]/Producción_Lecheria[[#This Row],[Indexación Financiero]],0)</f>
        <v>0</v>
      </c>
      <c r="AD25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50" s="991" t="str">
        <f>IFERROR(INDEX(Produccion_Lecheria_Cuentas[],MATCH(Producción_Lecheria[[#This Row],[Cuenta Contable]],Produccion_Lecheria_Cuentas[Cuenta Contable],0),2),0)</f>
        <v>Egreso</v>
      </c>
      <c r="AF250" s="992">
        <f>IF(Producción_Lecheria[[#This Row],[Mov. Stock]]="(+)",Producción_Lecheria[[#This Row],[Cabezas]],IF(Producción_Lecheria[[#This Row],[Mov. Stock]]="(-)",-Producción_Lecheria[[#This Row],[Cabezas]],0))</f>
        <v>0</v>
      </c>
      <c r="AG250" s="993">
        <f>IFERROR(INDEX(Produccion_Lecheria_Cuentas[],MATCH(Producción_Lecheria[[#This Row],[Cuenta Contable]],Produccion_Lecheria_Cuentas[Cuenta Contable],0),5),0)</f>
        <v>0</v>
      </c>
      <c r="AH250" s="985" t="str">
        <f>IF(Producción_Lecheria[[#This Row],[Cuenta Contable]]=Configuración!$AC$9,"Si","No")</f>
        <v>No</v>
      </c>
      <c r="AI250" s="983" t="str">
        <f>IFERROR(INDEX(Tabla9[],MATCH(Producción_Lecheria[[#This Row],[Movimiento]],Tabla9[Movimientos],0),2),0)</f>
        <v>Si</v>
      </c>
      <c r="AJ250" s="984" t="str">
        <f>IFERROR(INDEX(Tabla9[],MATCH(Producción_Lecheria[[#This Row],[Movimiento]],Tabla9[Movimientos],0),3),0)</f>
        <v>(-)</v>
      </c>
      <c r="AK250" s="986">
        <f>IF(Producción_Lecheria[[#This Row],[Fecha Económico]]=0,0,MONTH(Producción_Lecheria[[#This Row],[Fecha Económico]]))</f>
        <v>0</v>
      </c>
      <c r="AL250" s="986">
        <f>IF(Producción_Lecheria[[#This Row],[Fecha Económico]]=0,0,YEAR(Producción_Lecheria[[#This Row],[Fecha Económico]]))</f>
        <v>0</v>
      </c>
      <c r="AM250" s="987">
        <f>SUMPRODUCT((Producción_Lecheria[[#This Row],[Mes Económico]]=Tipo_Cambio[Mes])*(Producción_Lecheria[[#This Row],[Año Económico]]=Tipo_Cambio[Año])*(Tipo_Cambio[$/U$S]))</f>
        <v>0</v>
      </c>
      <c r="AN250" s="987">
        <f>SUMPRODUCT((Producción_Lecheria[[#This Row],[Mes Económico]]=Tipo_Cambio[Mes])*(Producción_Lecheria[[#This Row],[Año Económico]]=Tipo_Cambio[Año])*(Tipo_Cambio[Actualización]))</f>
        <v>0</v>
      </c>
      <c r="AO250" s="986">
        <f>IF(ISNUMBER(Producción_Lecheria[[#This Row],[Fecha Financiero]])=TRUE,MONTH(Producción_Lecheria[[#This Row],[Fecha Financiero]]),0)</f>
        <v>0</v>
      </c>
      <c r="AP250" s="986">
        <f>IF(ISNUMBER(Producción_Lecheria[[#This Row],[Fecha Financiero]])=TRUE,YEAR(Producción_Lecheria[[#This Row],[Fecha Financiero]]),0)</f>
        <v>0</v>
      </c>
      <c r="AQ250" s="987">
        <f>SUMPRODUCT((Producción_Lecheria[[#This Row],[Mes Financiero]]=Tipo_Cambio[Mes])*(Producción_Lecheria[[#This Row],[Año Financiero]]=Tipo_Cambio[Año])*(Tipo_Cambio[$/U$S]))</f>
        <v>0</v>
      </c>
      <c r="AR250" s="987">
        <f>SUMPRODUCT((Producción_Lecheria[[#This Row],[Mes Financiero]]=Tipo_Cambio[Mes])*(Producción_Lecheria[[#This Row],[Año Financiero]]=Tipo_Cambio[Año])*(Tipo_Cambio[Actualización]))</f>
        <v>0</v>
      </c>
      <c r="AS250" s="1009">
        <f>SUMPRODUCT((Producción_Lecheria[[#This Row],[Centro de Costo]]=Tabla1924[Centro de Costo])*(Tabla19[Superficie]))</f>
        <v>2356</v>
      </c>
      <c r="AT250" s="1010">
        <f>IFERROR(Producción_Lecheria[[#This Row],[Económico $Corrientes]]/Producción_Lecheria[[#This Row],[Superficie]],0)</f>
        <v>0</v>
      </c>
      <c r="AU250" s="1010">
        <f>IFERROR(Producción_Lecheria[[#This Row],[Económico $Constantes]]/Producción_Lecheria[[#This Row],[Superficie]],0)</f>
        <v>0</v>
      </c>
      <c r="AV250" s="1010">
        <f>IFERROR(Producción_Lecheria[[#This Row],[Económico U$S Dólares]]/Producción_Lecheria[[#This Row],[Superficie]],0)</f>
        <v>0</v>
      </c>
      <c r="AW250" s="992" t="str">
        <f>IF(Económico!$F$4=0,0,Producción_Lecheria[Centro de Costo])</f>
        <v>Campo 1</v>
      </c>
    </row>
    <row r="251" spans="1:49" x14ac:dyDescent="0.25">
      <c r="A251" s="86"/>
      <c r="D251" s="548"/>
      <c r="E251" s="493"/>
      <c r="F251" s="479" t="str">
        <f t="shared" si="21"/>
        <v>2018-2019</v>
      </c>
      <c r="G251" s="597" t="str">
        <f t="shared" si="24"/>
        <v>Alimentación</v>
      </c>
      <c r="H251" s="481" t="s">
        <v>2</v>
      </c>
      <c r="I251" s="491"/>
      <c r="J251" s="549"/>
      <c r="K251" s="484"/>
      <c r="L25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5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51" s="520"/>
      <c r="O25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51" s="563"/>
      <c r="Q251" s="491"/>
      <c r="R251" s="875">
        <f>IF(ISNUMBER(Producción_Lecheria[[#This Row],[Cabezas]])=TRUE,Producción_Lecheria[[#This Row],[Cabezas]]*Producción_Lecheria[[#This Row],[Cantidad]],Producción_Lecheria[[#This Row],[Cantidad]])</f>
        <v>0</v>
      </c>
      <c r="S251" s="491"/>
      <c r="T251" s="552"/>
      <c r="U251" s="553"/>
      <c r="V25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51" s="977">
        <f>IFERROR(Producción_Lecheria[[#This Row],[Económico $Corrientes]]/Producción_Lecheria[[#This Row],[Indexación Económico]],0)</f>
        <v>0</v>
      </c>
      <c r="X25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5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51" s="977">
        <f>IFERROR(Producción_Lecheria[[#This Row],[Financiero $Corrientes]]/Producción_Lecheria[[#This Row],[Indexación Financiero]],0)</f>
        <v>0</v>
      </c>
      <c r="AA25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5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51" s="981">
        <f>IFERROR(Producción_Lecheria[[#This Row],[Intereses $Corrientes]]/Producción_Lecheria[[#This Row],[Indexación Financiero]],0)</f>
        <v>0</v>
      </c>
      <c r="AD25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51" s="991" t="str">
        <f>IFERROR(INDEX(Produccion_Lecheria_Cuentas[],MATCH(Producción_Lecheria[[#This Row],[Cuenta Contable]],Produccion_Lecheria_Cuentas[Cuenta Contable],0),2),0)</f>
        <v>Egreso</v>
      </c>
      <c r="AF251" s="992">
        <f>IF(Producción_Lecheria[[#This Row],[Mov. Stock]]="(+)",Producción_Lecheria[[#This Row],[Cabezas]],IF(Producción_Lecheria[[#This Row],[Mov. Stock]]="(-)",-Producción_Lecheria[[#This Row],[Cabezas]],0))</f>
        <v>0</v>
      </c>
      <c r="AG251" s="993">
        <f>IFERROR(INDEX(Produccion_Lecheria_Cuentas[],MATCH(Producción_Lecheria[[#This Row],[Cuenta Contable]],Produccion_Lecheria_Cuentas[Cuenta Contable],0),5),0)</f>
        <v>0</v>
      </c>
      <c r="AH251" s="985" t="str">
        <f>IF(Producción_Lecheria[[#This Row],[Cuenta Contable]]=Configuración!$AC$9,"Si","No")</f>
        <v>No</v>
      </c>
      <c r="AI251" s="983" t="str">
        <f>IFERROR(INDEX(Tabla9[],MATCH(Producción_Lecheria[[#This Row],[Movimiento]],Tabla9[Movimientos],0),2),0)</f>
        <v>Si</v>
      </c>
      <c r="AJ251" s="984" t="str">
        <f>IFERROR(INDEX(Tabla9[],MATCH(Producción_Lecheria[[#This Row],[Movimiento]],Tabla9[Movimientos],0),3),0)</f>
        <v>(-)</v>
      </c>
      <c r="AK251" s="986">
        <f>IF(Producción_Lecheria[[#This Row],[Fecha Económico]]=0,0,MONTH(Producción_Lecheria[[#This Row],[Fecha Económico]]))</f>
        <v>0</v>
      </c>
      <c r="AL251" s="986">
        <f>IF(Producción_Lecheria[[#This Row],[Fecha Económico]]=0,0,YEAR(Producción_Lecheria[[#This Row],[Fecha Económico]]))</f>
        <v>0</v>
      </c>
      <c r="AM251" s="987">
        <f>SUMPRODUCT((Producción_Lecheria[[#This Row],[Mes Económico]]=Tipo_Cambio[Mes])*(Producción_Lecheria[[#This Row],[Año Económico]]=Tipo_Cambio[Año])*(Tipo_Cambio[$/U$S]))</f>
        <v>0</v>
      </c>
      <c r="AN251" s="987">
        <f>SUMPRODUCT((Producción_Lecheria[[#This Row],[Mes Económico]]=Tipo_Cambio[Mes])*(Producción_Lecheria[[#This Row],[Año Económico]]=Tipo_Cambio[Año])*(Tipo_Cambio[Actualización]))</f>
        <v>0</v>
      </c>
      <c r="AO251" s="986">
        <f>IF(ISNUMBER(Producción_Lecheria[[#This Row],[Fecha Financiero]])=TRUE,MONTH(Producción_Lecheria[[#This Row],[Fecha Financiero]]),0)</f>
        <v>0</v>
      </c>
      <c r="AP251" s="986">
        <f>IF(ISNUMBER(Producción_Lecheria[[#This Row],[Fecha Financiero]])=TRUE,YEAR(Producción_Lecheria[[#This Row],[Fecha Financiero]]),0)</f>
        <v>0</v>
      </c>
      <c r="AQ251" s="987">
        <f>SUMPRODUCT((Producción_Lecheria[[#This Row],[Mes Financiero]]=Tipo_Cambio[Mes])*(Producción_Lecheria[[#This Row],[Año Financiero]]=Tipo_Cambio[Año])*(Tipo_Cambio[$/U$S]))</f>
        <v>0</v>
      </c>
      <c r="AR251" s="987">
        <f>SUMPRODUCT((Producción_Lecheria[[#This Row],[Mes Financiero]]=Tipo_Cambio[Mes])*(Producción_Lecheria[[#This Row],[Año Financiero]]=Tipo_Cambio[Año])*(Tipo_Cambio[Actualización]))</f>
        <v>0</v>
      </c>
      <c r="AS251" s="1009">
        <f>SUMPRODUCT((Producción_Lecheria[[#This Row],[Centro de Costo]]=Tabla1924[Centro de Costo])*(Tabla19[Superficie]))</f>
        <v>2356</v>
      </c>
      <c r="AT251" s="1010">
        <f>IFERROR(Producción_Lecheria[[#This Row],[Económico $Corrientes]]/Producción_Lecheria[[#This Row],[Superficie]],0)</f>
        <v>0</v>
      </c>
      <c r="AU251" s="1010">
        <f>IFERROR(Producción_Lecheria[[#This Row],[Económico $Constantes]]/Producción_Lecheria[[#This Row],[Superficie]],0)</f>
        <v>0</v>
      </c>
      <c r="AV251" s="1010">
        <f>IFERROR(Producción_Lecheria[[#This Row],[Económico U$S Dólares]]/Producción_Lecheria[[#This Row],[Superficie]],0)</f>
        <v>0</v>
      </c>
      <c r="AW251" s="992" t="str">
        <f>IF(Económico!$F$4=0,0,Producción_Lecheria[Centro de Costo])</f>
        <v>Campo 1</v>
      </c>
    </row>
    <row r="252" spans="1:49" x14ac:dyDescent="0.25">
      <c r="A252" s="86"/>
      <c r="D252" s="548"/>
      <c r="E252" s="493"/>
      <c r="F252" s="479" t="str">
        <f t="shared" si="21"/>
        <v>2018-2019</v>
      </c>
      <c r="G252" s="597" t="str">
        <f t="shared" si="24"/>
        <v>Alimentación</v>
      </c>
      <c r="H252" s="481" t="s">
        <v>2</v>
      </c>
      <c r="I252" s="491"/>
      <c r="J252" s="549"/>
      <c r="K252" s="484"/>
      <c r="L25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5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52" s="520"/>
      <c r="O25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52" s="563"/>
      <c r="Q252" s="491"/>
      <c r="R252" s="875">
        <f>IF(ISNUMBER(Producción_Lecheria[[#This Row],[Cabezas]])=TRUE,Producción_Lecheria[[#This Row],[Cabezas]]*Producción_Lecheria[[#This Row],[Cantidad]],Producción_Lecheria[[#This Row],[Cantidad]])</f>
        <v>0</v>
      </c>
      <c r="S252" s="491"/>
      <c r="T252" s="552"/>
      <c r="U252" s="553"/>
      <c r="V25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52" s="977">
        <f>IFERROR(Producción_Lecheria[[#This Row],[Económico $Corrientes]]/Producción_Lecheria[[#This Row],[Indexación Económico]],0)</f>
        <v>0</v>
      </c>
      <c r="X25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5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52" s="977">
        <f>IFERROR(Producción_Lecheria[[#This Row],[Financiero $Corrientes]]/Producción_Lecheria[[#This Row],[Indexación Financiero]],0)</f>
        <v>0</v>
      </c>
      <c r="AA25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5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52" s="981">
        <f>IFERROR(Producción_Lecheria[[#This Row],[Intereses $Corrientes]]/Producción_Lecheria[[#This Row],[Indexación Financiero]],0)</f>
        <v>0</v>
      </c>
      <c r="AD25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52" s="991" t="str">
        <f>IFERROR(INDEX(Produccion_Lecheria_Cuentas[],MATCH(Producción_Lecheria[[#This Row],[Cuenta Contable]],Produccion_Lecheria_Cuentas[Cuenta Contable],0),2),0)</f>
        <v>Egreso</v>
      </c>
      <c r="AF252" s="992">
        <f>IF(Producción_Lecheria[[#This Row],[Mov. Stock]]="(+)",Producción_Lecheria[[#This Row],[Cabezas]],IF(Producción_Lecheria[[#This Row],[Mov. Stock]]="(-)",-Producción_Lecheria[[#This Row],[Cabezas]],0))</f>
        <v>0</v>
      </c>
      <c r="AG252" s="993">
        <f>IFERROR(INDEX(Produccion_Lecheria_Cuentas[],MATCH(Producción_Lecheria[[#This Row],[Cuenta Contable]],Produccion_Lecheria_Cuentas[Cuenta Contable],0),5),0)</f>
        <v>0</v>
      </c>
      <c r="AH252" s="985" t="str">
        <f>IF(Producción_Lecheria[[#This Row],[Cuenta Contable]]=Configuración!$AC$9,"Si","No")</f>
        <v>No</v>
      </c>
      <c r="AI252" s="983" t="str">
        <f>IFERROR(INDEX(Tabla9[],MATCH(Producción_Lecheria[[#This Row],[Movimiento]],Tabla9[Movimientos],0),2),0)</f>
        <v>Si</v>
      </c>
      <c r="AJ252" s="984" t="str">
        <f>IFERROR(INDEX(Tabla9[],MATCH(Producción_Lecheria[[#This Row],[Movimiento]],Tabla9[Movimientos],0),3),0)</f>
        <v>(-)</v>
      </c>
      <c r="AK252" s="986">
        <f>IF(Producción_Lecheria[[#This Row],[Fecha Económico]]=0,0,MONTH(Producción_Lecheria[[#This Row],[Fecha Económico]]))</f>
        <v>0</v>
      </c>
      <c r="AL252" s="986">
        <f>IF(Producción_Lecheria[[#This Row],[Fecha Económico]]=0,0,YEAR(Producción_Lecheria[[#This Row],[Fecha Económico]]))</f>
        <v>0</v>
      </c>
      <c r="AM252" s="987">
        <f>SUMPRODUCT((Producción_Lecheria[[#This Row],[Mes Económico]]=Tipo_Cambio[Mes])*(Producción_Lecheria[[#This Row],[Año Económico]]=Tipo_Cambio[Año])*(Tipo_Cambio[$/U$S]))</f>
        <v>0</v>
      </c>
      <c r="AN252" s="987">
        <f>SUMPRODUCT((Producción_Lecheria[[#This Row],[Mes Económico]]=Tipo_Cambio[Mes])*(Producción_Lecheria[[#This Row],[Año Económico]]=Tipo_Cambio[Año])*(Tipo_Cambio[Actualización]))</f>
        <v>0</v>
      </c>
      <c r="AO252" s="986">
        <f>IF(ISNUMBER(Producción_Lecheria[[#This Row],[Fecha Financiero]])=TRUE,MONTH(Producción_Lecheria[[#This Row],[Fecha Financiero]]),0)</f>
        <v>0</v>
      </c>
      <c r="AP252" s="986">
        <f>IF(ISNUMBER(Producción_Lecheria[[#This Row],[Fecha Financiero]])=TRUE,YEAR(Producción_Lecheria[[#This Row],[Fecha Financiero]]),0)</f>
        <v>0</v>
      </c>
      <c r="AQ252" s="987">
        <f>SUMPRODUCT((Producción_Lecheria[[#This Row],[Mes Financiero]]=Tipo_Cambio[Mes])*(Producción_Lecheria[[#This Row],[Año Financiero]]=Tipo_Cambio[Año])*(Tipo_Cambio[$/U$S]))</f>
        <v>0</v>
      </c>
      <c r="AR252" s="987">
        <f>SUMPRODUCT((Producción_Lecheria[[#This Row],[Mes Financiero]]=Tipo_Cambio[Mes])*(Producción_Lecheria[[#This Row],[Año Financiero]]=Tipo_Cambio[Año])*(Tipo_Cambio[Actualización]))</f>
        <v>0</v>
      </c>
      <c r="AS252" s="1009">
        <f>SUMPRODUCT((Producción_Lecheria[[#This Row],[Centro de Costo]]=Tabla1924[Centro de Costo])*(Tabla19[Superficie]))</f>
        <v>2356</v>
      </c>
      <c r="AT252" s="1010">
        <f>IFERROR(Producción_Lecheria[[#This Row],[Económico $Corrientes]]/Producción_Lecheria[[#This Row],[Superficie]],0)</f>
        <v>0</v>
      </c>
      <c r="AU252" s="1010">
        <f>IFERROR(Producción_Lecheria[[#This Row],[Económico $Constantes]]/Producción_Lecheria[[#This Row],[Superficie]],0)</f>
        <v>0</v>
      </c>
      <c r="AV252" s="1010">
        <f>IFERROR(Producción_Lecheria[[#This Row],[Económico U$S Dólares]]/Producción_Lecheria[[#This Row],[Superficie]],0)</f>
        <v>0</v>
      </c>
      <c r="AW252" s="992" t="str">
        <f>IF(Económico!$F$4=0,0,Producción_Lecheria[Centro de Costo])</f>
        <v>Campo 1</v>
      </c>
    </row>
    <row r="253" spans="1:49" x14ac:dyDescent="0.25">
      <c r="A253" s="86"/>
      <c r="D253" s="548"/>
      <c r="E253" s="493"/>
      <c r="F253" s="479" t="str">
        <f t="shared" si="21"/>
        <v>2018-2019</v>
      </c>
      <c r="G253" s="597" t="str">
        <f t="shared" si="24"/>
        <v>Alimentación</v>
      </c>
      <c r="H253" s="481" t="s">
        <v>2</v>
      </c>
      <c r="I253" s="491"/>
      <c r="J253" s="549"/>
      <c r="K253" s="484"/>
      <c r="L25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5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53" s="520"/>
      <c r="O25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53" s="563"/>
      <c r="Q253" s="491"/>
      <c r="R253" s="875">
        <f>IF(ISNUMBER(Producción_Lecheria[[#This Row],[Cabezas]])=TRUE,Producción_Lecheria[[#This Row],[Cabezas]]*Producción_Lecheria[[#This Row],[Cantidad]],Producción_Lecheria[[#This Row],[Cantidad]])</f>
        <v>0</v>
      </c>
      <c r="S253" s="491"/>
      <c r="T253" s="552"/>
      <c r="U253" s="553"/>
      <c r="V25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53" s="977">
        <f>IFERROR(Producción_Lecheria[[#This Row],[Económico $Corrientes]]/Producción_Lecheria[[#This Row],[Indexación Económico]],0)</f>
        <v>0</v>
      </c>
      <c r="X25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5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53" s="977">
        <f>IFERROR(Producción_Lecheria[[#This Row],[Financiero $Corrientes]]/Producción_Lecheria[[#This Row],[Indexación Financiero]],0)</f>
        <v>0</v>
      </c>
      <c r="AA25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5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53" s="981">
        <f>IFERROR(Producción_Lecheria[[#This Row],[Intereses $Corrientes]]/Producción_Lecheria[[#This Row],[Indexación Financiero]],0)</f>
        <v>0</v>
      </c>
      <c r="AD25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53" s="991" t="str">
        <f>IFERROR(INDEX(Produccion_Lecheria_Cuentas[],MATCH(Producción_Lecheria[[#This Row],[Cuenta Contable]],Produccion_Lecheria_Cuentas[Cuenta Contable],0),2),0)</f>
        <v>Egreso</v>
      </c>
      <c r="AF253" s="992">
        <f>IF(Producción_Lecheria[[#This Row],[Mov. Stock]]="(+)",Producción_Lecheria[[#This Row],[Cabezas]],IF(Producción_Lecheria[[#This Row],[Mov. Stock]]="(-)",-Producción_Lecheria[[#This Row],[Cabezas]],0))</f>
        <v>0</v>
      </c>
      <c r="AG253" s="993">
        <f>IFERROR(INDEX(Produccion_Lecheria_Cuentas[],MATCH(Producción_Lecheria[[#This Row],[Cuenta Contable]],Produccion_Lecheria_Cuentas[Cuenta Contable],0),5),0)</f>
        <v>0</v>
      </c>
      <c r="AH253" s="985" t="str">
        <f>IF(Producción_Lecheria[[#This Row],[Cuenta Contable]]=Configuración!$AC$9,"Si","No")</f>
        <v>No</v>
      </c>
      <c r="AI253" s="983" t="str">
        <f>IFERROR(INDEX(Tabla9[],MATCH(Producción_Lecheria[[#This Row],[Movimiento]],Tabla9[Movimientos],0),2),0)</f>
        <v>Si</v>
      </c>
      <c r="AJ253" s="984" t="str">
        <f>IFERROR(INDEX(Tabla9[],MATCH(Producción_Lecheria[[#This Row],[Movimiento]],Tabla9[Movimientos],0),3),0)</f>
        <v>(-)</v>
      </c>
      <c r="AK253" s="986">
        <f>IF(Producción_Lecheria[[#This Row],[Fecha Económico]]=0,0,MONTH(Producción_Lecheria[[#This Row],[Fecha Económico]]))</f>
        <v>0</v>
      </c>
      <c r="AL253" s="986">
        <f>IF(Producción_Lecheria[[#This Row],[Fecha Económico]]=0,0,YEAR(Producción_Lecheria[[#This Row],[Fecha Económico]]))</f>
        <v>0</v>
      </c>
      <c r="AM253" s="987">
        <f>SUMPRODUCT((Producción_Lecheria[[#This Row],[Mes Económico]]=Tipo_Cambio[Mes])*(Producción_Lecheria[[#This Row],[Año Económico]]=Tipo_Cambio[Año])*(Tipo_Cambio[$/U$S]))</f>
        <v>0</v>
      </c>
      <c r="AN253" s="987">
        <f>SUMPRODUCT((Producción_Lecheria[[#This Row],[Mes Económico]]=Tipo_Cambio[Mes])*(Producción_Lecheria[[#This Row],[Año Económico]]=Tipo_Cambio[Año])*(Tipo_Cambio[Actualización]))</f>
        <v>0</v>
      </c>
      <c r="AO253" s="986">
        <f>IF(ISNUMBER(Producción_Lecheria[[#This Row],[Fecha Financiero]])=TRUE,MONTH(Producción_Lecheria[[#This Row],[Fecha Financiero]]),0)</f>
        <v>0</v>
      </c>
      <c r="AP253" s="986">
        <f>IF(ISNUMBER(Producción_Lecheria[[#This Row],[Fecha Financiero]])=TRUE,YEAR(Producción_Lecheria[[#This Row],[Fecha Financiero]]),0)</f>
        <v>0</v>
      </c>
      <c r="AQ253" s="987">
        <f>SUMPRODUCT((Producción_Lecheria[[#This Row],[Mes Financiero]]=Tipo_Cambio[Mes])*(Producción_Lecheria[[#This Row],[Año Financiero]]=Tipo_Cambio[Año])*(Tipo_Cambio[$/U$S]))</f>
        <v>0</v>
      </c>
      <c r="AR253" s="987">
        <f>SUMPRODUCT((Producción_Lecheria[[#This Row],[Mes Financiero]]=Tipo_Cambio[Mes])*(Producción_Lecheria[[#This Row],[Año Financiero]]=Tipo_Cambio[Año])*(Tipo_Cambio[Actualización]))</f>
        <v>0</v>
      </c>
      <c r="AS253" s="1009">
        <f>SUMPRODUCT((Producción_Lecheria[[#This Row],[Centro de Costo]]=Tabla1924[Centro de Costo])*(Tabla19[Superficie]))</f>
        <v>2356</v>
      </c>
      <c r="AT253" s="1010">
        <f>IFERROR(Producción_Lecheria[[#This Row],[Económico $Corrientes]]/Producción_Lecheria[[#This Row],[Superficie]],0)</f>
        <v>0</v>
      </c>
      <c r="AU253" s="1010">
        <f>IFERROR(Producción_Lecheria[[#This Row],[Económico $Constantes]]/Producción_Lecheria[[#This Row],[Superficie]],0)</f>
        <v>0</v>
      </c>
      <c r="AV253" s="1010">
        <f>IFERROR(Producción_Lecheria[[#This Row],[Económico U$S Dólares]]/Producción_Lecheria[[#This Row],[Superficie]],0)</f>
        <v>0</v>
      </c>
      <c r="AW253" s="992" t="str">
        <f>IF(Económico!$F$4=0,0,Producción_Lecheria[Centro de Costo])</f>
        <v>Campo 1</v>
      </c>
    </row>
    <row r="254" spans="1:49" x14ac:dyDescent="0.25">
      <c r="A254" s="86"/>
      <c r="D254" s="548"/>
      <c r="E254" s="493"/>
      <c r="F254" s="479" t="str">
        <f t="shared" si="21"/>
        <v>2018-2019</v>
      </c>
      <c r="G254" s="597" t="str">
        <f t="shared" si="24"/>
        <v>Alimentación</v>
      </c>
      <c r="H254" s="481" t="s">
        <v>2</v>
      </c>
      <c r="I254" s="491"/>
      <c r="J254" s="549"/>
      <c r="K254" s="484"/>
      <c r="L25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5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54" s="520"/>
      <c r="O25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54" s="563"/>
      <c r="Q254" s="491"/>
      <c r="R254" s="875">
        <f>IF(ISNUMBER(Producción_Lecheria[[#This Row],[Cabezas]])=TRUE,Producción_Lecheria[[#This Row],[Cabezas]]*Producción_Lecheria[[#This Row],[Cantidad]],Producción_Lecheria[[#This Row],[Cantidad]])</f>
        <v>0</v>
      </c>
      <c r="S254" s="491"/>
      <c r="T254" s="552"/>
      <c r="U254" s="553"/>
      <c r="V25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54" s="977">
        <f>IFERROR(Producción_Lecheria[[#This Row],[Económico $Corrientes]]/Producción_Lecheria[[#This Row],[Indexación Económico]],0)</f>
        <v>0</v>
      </c>
      <c r="X25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5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54" s="977">
        <f>IFERROR(Producción_Lecheria[[#This Row],[Financiero $Corrientes]]/Producción_Lecheria[[#This Row],[Indexación Financiero]],0)</f>
        <v>0</v>
      </c>
      <c r="AA25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5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54" s="981">
        <f>IFERROR(Producción_Lecheria[[#This Row],[Intereses $Corrientes]]/Producción_Lecheria[[#This Row],[Indexación Financiero]],0)</f>
        <v>0</v>
      </c>
      <c r="AD25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54" s="991" t="str">
        <f>IFERROR(INDEX(Produccion_Lecheria_Cuentas[],MATCH(Producción_Lecheria[[#This Row],[Cuenta Contable]],Produccion_Lecheria_Cuentas[Cuenta Contable],0),2),0)</f>
        <v>Egreso</v>
      </c>
      <c r="AF254" s="992">
        <f>IF(Producción_Lecheria[[#This Row],[Mov. Stock]]="(+)",Producción_Lecheria[[#This Row],[Cabezas]],IF(Producción_Lecheria[[#This Row],[Mov. Stock]]="(-)",-Producción_Lecheria[[#This Row],[Cabezas]],0))</f>
        <v>0</v>
      </c>
      <c r="AG254" s="993">
        <f>IFERROR(INDEX(Produccion_Lecheria_Cuentas[],MATCH(Producción_Lecheria[[#This Row],[Cuenta Contable]],Produccion_Lecheria_Cuentas[Cuenta Contable],0),5),0)</f>
        <v>0</v>
      </c>
      <c r="AH254" s="985" t="str">
        <f>IF(Producción_Lecheria[[#This Row],[Cuenta Contable]]=Configuración!$AC$9,"Si","No")</f>
        <v>No</v>
      </c>
      <c r="AI254" s="983" t="str">
        <f>IFERROR(INDEX(Tabla9[],MATCH(Producción_Lecheria[[#This Row],[Movimiento]],Tabla9[Movimientos],0),2),0)</f>
        <v>Si</v>
      </c>
      <c r="AJ254" s="984" t="str">
        <f>IFERROR(INDEX(Tabla9[],MATCH(Producción_Lecheria[[#This Row],[Movimiento]],Tabla9[Movimientos],0),3),0)</f>
        <v>(-)</v>
      </c>
      <c r="AK254" s="986">
        <f>IF(Producción_Lecheria[[#This Row],[Fecha Económico]]=0,0,MONTH(Producción_Lecheria[[#This Row],[Fecha Económico]]))</f>
        <v>0</v>
      </c>
      <c r="AL254" s="986">
        <f>IF(Producción_Lecheria[[#This Row],[Fecha Económico]]=0,0,YEAR(Producción_Lecheria[[#This Row],[Fecha Económico]]))</f>
        <v>0</v>
      </c>
      <c r="AM254" s="987">
        <f>SUMPRODUCT((Producción_Lecheria[[#This Row],[Mes Económico]]=Tipo_Cambio[Mes])*(Producción_Lecheria[[#This Row],[Año Económico]]=Tipo_Cambio[Año])*(Tipo_Cambio[$/U$S]))</f>
        <v>0</v>
      </c>
      <c r="AN254" s="987">
        <f>SUMPRODUCT((Producción_Lecheria[[#This Row],[Mes Económico]]=Tipo_Cambio[Mes])*(Producción_Lecheria[[#This Row],[Año Económico]]=Tipo_Cambio[Año])*(Tipo_Cambio[Actualización]))</f>
        <v>0</v>
      </c>
      <c r="AO254" s="986">
        <f>IF(ISNUMBER(Producción_Lecheria[[#This Row],[Fecha Financiero]])=TRUE,MONTH(Producción_Lecheria[[#This Row],[Fecha Financiero]]),0)</f>
        <v>0</v>
      </c>
      <c r="AP254" s="986">
        <f>IF(ISNUMBER(Producción_Lecheria[[#This Row],[Fecha Financiero]])=TRUE,YEAR(Producción_Lecheria[[#This Row],[Fecha Financiero]]),0)</f>
        <v>0</v>
      </c>
      <c r="AQ254" s="987">
        <f>SUMPRODUCT((Producción_Lecheria[[#This Row],[Mes Financiero]]=Tipo_Cambio[Mes])*(Producción_Lecheria[[#This Row],[Año Financiero]]=Tipo_Cambio[Año])*(Tipo_Cambio[$/U$S]))</f>
        <v>0</v>
      </c>
      <c r="AR254" s="987">
        <f>SUMPRODUCT((Producción_Lecheria[[#This Row],[Mes Financiero]]=Tipo_Cambio[Mes])*(Producción_Lecheria[[#This Row],[Año Financiero]]=Tipo_Cambio[Año])*(Tipo_Cambio[Actualización]))</f>
        <v>0</v>
      </c>
      <c r="AS254" s="1009">
        <f>SUMPRODUCT((Producción_Lecheria[[#This Row],[Centro de Costo]]=Tabla1924[Centro de Costo])*(Tabla19[Superficie]))</f>
        <v>2356</v>
      </c>
      <c r="AT254" s="1010">
        <f>IFERROR(Producción_Lecheria[[#This Row],[Económico $Corrientes]]/Producción_Lecheria[[#This Row],[Superficie]],0)</f>
        <v>0</v>
      </c>
      <c r="AU254" s="1010">
        <f>IFERROR(Producción_Lecheria[[#This Row],[Económico $Constantes]]/Producción_Lecheria[[#This Row],[Superficie]],0)</f>
        <v>0</v>
      </c>
      <c r="AV254" s="1010">
        <f>IFERROR(Producción_Lecheria[[#This Row],[Económico U$S Dólares]]/Producción_Lecheria[[#This Row],[Superficie]],0)</f>
        <v>0</v>
      </c>
      <c r="AW254" s="992" t="str">
        <f>IF(Económico!$F$4=0,0,Producción_Lecheria[Centro de Costo])</f>
        <v>Campo 1</v>
      </c>
    </row>
    <row r="255" spans="1:49" x14ac:dyDescent="0.25">
      <c r="A255" s="86"/>
      <c r="D255" s="548"/>
      <c r="E255" s="493"/>
      <c r="F255" s="479" t="str">
        <f t="shared" si="21"/>
        <v>2018-2019</v>
      </c>
      <c r="G255" s="597" t="str">
        <f t="shared" si="24"/>
        <v>Alimentación</v>
      </c>
      <c r="H255" s="481" t="s">
        <v>2</v>
      </c>
      <c r="I255" s="491"/>
      <c r="J255" s="549"/>
      <c r="K255" s="484"/>
      <c r="L25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5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55" s="520"/>
      <c r="O25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55" s="563"/>
      <c r="Q255" s="491"/>
      <c r="R255" s="875">
        <f>IF(ISNUMBER(Producción_Lecheria[[#This Row],[Cabezas]])=TRUE,Producción_Lecheria[[#This Row],[Cabezas]]*Producción_Lecheria[[#This Row],[Cantidad]],Producción_Lecheria[[#This Row],[Cantidad]])</f>
        <v>0</v>
      </c>
      <c r="S255" s="491"/>
      <c r="T255" s="552"/>
      <c r="U255" s="553"/>
      <c r="V25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55" s="977">
        <f>IFERROR(Producción_Lecheria[[#This Row],[Económico $Corrientes]]/Producción_Lecheria[[#This Row],[Indexación Económico]],0)</f>
        <v>0</v>
      </c>
      <c r="X25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5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55" s="977">
        <f>IFERROR(Producción_Lecheria[[#This Row],[Financiero $Corrientes]]/Producción_Lecheria[[#This Row],[Indexación Financiero]],0)</f>
        <v>0</v>
      </c>
      <c r="AA25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5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55" s="981">
        <f>IFERROR(Producción_Lecheria[[#This Row],[Intereses $Corrientes]]/Producción_Lecheria[[#This Row],[Indexación Financiero]],0)</f>
        <v>0</v>
      </c>
      <c r="AD25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55" s="991" t="str">
        <f>IFERROR(INDEX(Produccion_Lecheria_Cuentas[],MATCH(Producción_Lecheria[[#This Row],[Cuenta Contable]],Produccion_Lecheria_Cuentas[Cuenta Contable],0),2),0)</f>
        <v>Egreso</v>
      </c>
      <c r="AF255" s="992">
        <f>IF(Producción_Lecheria[[#This Row],[Mov. Stock]]="(+)",Producción_Lecheria[[#This Row],[Cabezas]],IF(Producción_Lecheria[[#This Row],[Mov. Stock]]="(-)",-Producción_Lecheria[[#This Row],[Cabezas]],0))</f>
        <v>0</v>
      </c>
      <c r="AG255" s="993">
        <f>IFERROR(INDEX(Produccion_Lecheria_Cuentas[],MATCH(Producción_Lecheria[[#This Row],[Cuenta Contable]],Produccion_Lecheria_Cuentas[Cuenta Contable],0),5),0)</f>
        <v>0</v>
      </c>
      <c r="AH255" s="985" t="str">
        <f>IF(Producción_Lecheria[[#This Row],[Cuenta Contable]]=Configuración!$AC$9,"Si","No")</f>
        <v>No</v>
      </c>
      <c r="AI255" s="983" t="str">
        <f>IFERROR(INDEX(Tabla9[],MATCH(Producción_Lecheria[[#This Row],[Movimiento]],Tabla9[Movimientos],0),2),0)</f>
        <v>Si</v>
      </c>
      <c r="AJ255" s="984" t="str">
        <f>IFERROR(INDEX(Tabla9[],MATCH(Producción_Lecheria[[#This Row],[Movimiento]],Tabla9[Movimientos],0),3),0)</f>
        <v>(-)</v>
      </c>
      <c r="AK255" s="986">
        <f>IF(Producción_Lecheria[[#This Row],[Fecha Económico]]=0,0,MONTH(Producción_Lecheria[[#This Row],[Fecha Económico]]))</f>
        <v>0</v>
      </c>
      <c r="AL255" s="986">
        <f>IF(Producción_Lecheria[[#This Row],[Fecha Económico]]=0,0,YEAR(Producción_Lecheria[[#This Row],[Fecha Económico]]))</f>
        <v>0</v>
      </c>
      <c r="AM255" s="987">
        <f>SUMPRODUCT((Producción_Lecheria[[#This Row],[Mes Económico]]=Tipo_Cambio[Mes])*(Producción_Lecheria[[#This Row],[Año Económico]]=Tipo_Cambio[Año])*(Tipo_Cambio[$/U$S]))</f>
        <v>0</v>
      </c>
      <c r="AN255" s="987">
        <f>SUMPRODUCT((Producción_Lecheria[[#This Row],[Mes Económico]]=Tipo_Cambio[Mes])*(Producción_Lecheria[[#This Row],[Año Económico]]=Tipo_Cambio[Año])*(Tipo_Cambio[Actualización]))</f>
        <v>0</v>
      </c>
      <c r="AO255" s="986">
        <f>IF(ISNUMBER(Producción_Lecheria[[#This Row],[Fecha Financiero]])=TRUE,MONTH(Producción_Lecheria[[#This Row],[Fecha Financiero]]),0)</f>
        <v>0</v>
      </c>
      <c r="AP255" s="986">
        <f>IF(ISNUMBER(Producción_Lecheria[[#This Row],[Fecha Financiero]])=TRUE,YEAR(Producción_Lecheria[[#This Row],[Fecha Financiero]]),0)</f>
        <v>0</v>
      </c>
      <c r="AQ255" s="987">
        <f>SUMPRODUCT((Producción_Lecheria[[#This Row],[Mes Financiero]]=Tipo_Cambio[Mes])*(Producción_Lecheria[[#This Row],[Año Financiero]]=Tipo_Cambio[Año])*(Tipo_Cambio[$/U$S]))</f>
        <v>0</v>
      </c>
      <c r="AR255" s="987">
        <f>SUMPRODUCT((Producción_Lecheria[[#This Row],[Mes Financiero]]=Tipo_Cambio[Mes])*(Producción_Lecheria[[#This Row],[Año Financiero]]=Tipo_Cambio[Año])*(Tipo_Cambio[Actualización]))</f>
        <v>0</v>
      </c>
      <c r="AS255" s="1009">
        <f>SUMPRODUCT((Producción_Lecheria[[#This Row],[Centro de Costo]]=Tabla1924[Centro de Costo])*(Tabla19[Superficie]))</f>
        <v>2356</v>
      </c>
      <c r="AT255" s="1010">
        <f>IFERROR(Producción_Lecheria[[#This Row],[Económico $Corrientes]]/Producción_Lecheria[[#This Row],[Superficie]],0)</f>
        <v>0</v>
      </c>
      <c r="AU255" s="1010">
        <f>IFERROR(Producción_Lecheria[[#This Row],[Económico $Constantes]]/Producción_Lecheria[[#This Row],[Superficie]],0)</f>
        <v>0</v>
      </c>
      <c r="AV255" s="1010">
        <f>IFERROR(Producción_Lecheria[[#This Row],[Económico U$S Dólares]]/Producción_Lecheria[[#This Row],[Superficie]],0)</f>
        <v>0</v>
      </c>
      <c r="AW255" s="992" t="str">
        <f>IF(Económico!$F$4=0,0,Producción_Lecheria[Centro de Costo])</f>
        <v>Campo 1</v>
      </c>
    </row>
    <row r="256" spans="1:49" x14ac:dyDescent="0.25">
      <c r="A256" s="86"/>
      <c r="D256" s="548"/>
      <c r="E256" s="493"/>
      <c r="F256" s="479" t="str">
        <f t="shared" ref="F256:F287" si="25">Campaña_Actual</f>
        <v>2018-2019</v>
      </c>
      <c r="G256" s="597" t="str">
        <f t="shared" si="24"/>
        <v>Alimentación</v>
      </c>
      <c r="H256" s="481" t="s">
        <v>2</v>
      </c>
      <c r="I256" s="491"/>
      <c r="J256" s="549"/>
      <c r="K256" s="484"/>
      <c r="L25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5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56" s="520"/>
      <c r="O25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56" s="563"/>
      <c r="Q256" s="491"/>
      <c r="R256" s="875">
        <f>IF(ISNUMBER(Producción_Lecheria[[#This Row],[Cabezas]])=TRUE,Producción_Lecheria[[#This Row],[Cabezas]]*Producción_Lecheria[[#This Row],[Cantidad]],Producción_Lecheria[[#This Row],[Cantidad]])</f>
        <v>0</v>
      </c>
      <c r="S256" s="491"/>
      <c r="T256" s="552"/>
      <c r="U256" s="553"/>
      <c r="V25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56" s="977">
        <f>IFERROR(Producción_Lecheria[[#This Row],[Económico $Corrientes]]/Producción_Lecheria[[#This Row],[Indexación Económico]],0)</f>
        <v>0</v>
      </c>
      <c r="X25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5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56" s="977">
        <f>IFERROR(Producción_Lecheria[[#This Row],[Financiero $Corrientes]]/Producción_Lecheria[[#This Row],[Indexación Financiero]],0)</f>
        <v>0</v>
      </c>
      <c r="AA25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5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56" s="981">
        <f>IFERROR(Producción_Lecheria[[#This Row],[Intereses $Corrientes]]/Producción_Lecheria[[#This Row],[Indexación Financiero]],0)</f>
        <v>0</v>
      </c>
      <c r="AD25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56" s="991" t="str">
        <f>IFERROR(INDEX(Produccion_Lecheria_Cuentas[],MATCH(Producción_Lecheria[[#This Row],[Cuenta Contable]],Produccion_Lecheria_Cuentas[Cuenta Contable],0),2),0)</f>
        <v>Egreso</v>
      </c>
      <c r="AF256" s="992">
        <f>IF(Producción_Lecheria[[#This Row],[Mov. Stock]]="(+)",Producción_Lecheria[[#This Row],[Cabezas]],IF(Producción_Lecheria[[#This Row],[Mov. Stock]]="(-)",-Producción_Lecheria[[#This Row],[Cabezas]],0))</f>
        <v>0</v>
      </c>
      <c r="AG256" s="993">
        <f>IFERROR(INDEX(Produccion_Lecheria_Cuentas[],MATCH(Producción_Lecheria[[#This Row],[Cuenta Contable]],Produccion_Lecheria_Cuentas[Cuenta Contable],0),5),0)</f>
        <v>0</v>
      </c>
      <c r="AH256" s="985" t="str">
        <f>IF(Producción_Lecheria[[#This Row],[Cuenta Contable]]=Configuración!$AC$9,"Si","No")</f>
        <v>No</v>
      </c>
      <c r="AI256" s="983" t="str">
        <f>IFERROR(INDEX(Tabla9[],MATCH(Producción_Lecheria[[#This Row],[Movimiento]],Tabla9[Movimientos],0),2),0)</f>
        <v>Si</v>
      </c>
      <c r="AJ256" s="984" t="str">
        <f>IFERROR(INDEX(Tabla9[],MATCH(Producción_Lecheria[[#This Row],[Movimiento]],Tabla9[Movimientos],0),3),0)</f>
        <v>(-)</v>
      </c>
      <c r="AK256" s="986">
        <f>IF(Producción_Lecheria[[#This Row],[Fecha Económico]]=0,0,MONTH(Producción_Lecheria[[#This Row],[Fecha Económico]]))</f>
        <v>0</v>
      </c>
      <c r="AL256" s="986">
        <f>IF(Producción_Lecheria[[#This Row],[Fecha Económico]]=0,0,YEAR(Producción_Lecheria[[#This Row],[Fecha Económico]]))</f>
        <v>0</v>
      </c>
      <c r="AM256" s="987">
        <f>SUMPRODUCT((Producción_Lecheria[[#This Row],[Mes Económico]]=Tipo_Cambio[Mes])*(Producción_Lecheria[[#This Row],[Año Económico]]=Tipo_Cambio[Año])*(Tipo_Cambio[$/U$S]))</f>
        <v>0</v>
      </c>
      <c r="AN256" s="987">
        <f>SUMPRODUCT((Producción_Lecheria[[#This Row],[Mes Económico]]=Tipo_Cambio[Mes])*(Producción_Lecheria[[#This Row],[Año Económico]]=Tipo_Cambio[Año])*(Tipo_Cambio[Actualización]))</f>
        <v>0</v>
      </c>
      <c r="AO256" s="986">
        <f>IF(ISNUMBER(Producción_Lecheria[[#This Row],[Fecha Financiero]])=TRUE,MONTH(Producción_Lecheria[[#This Row],[Fecha Financiero]]),0)</f>
        <v>0</v>
      </c>
      <c r="AP256" s="986">
        <f>IF(ISNUMBER(Producción_Lecheria[[#This Row],[Fecha Financiero]])=TRUE,YEAR(Producción_Lecheria[[#This Row],[Fecha Financiero]]),0)</f>
        <v>0</v>
      </c>
      <c r="AQ256" s="987">
        <f>SUMPRODUCT((Producción_Lecheria[[#This Row],[Mes Financiero]]=Tipo_Cambio[Mes])*(Producción_Lecheria[[#This Row],[Año Financiero]]=Tipo_Cambio[Año])*(Tipo_Cambio[$/U$S]))</f>
        <v>0</v>
      </c>
      <c r="AR256" s="987">
        <f>SUMPRODUCT((Producción_Lecheria[[#This Row],[Mes Financiero]]=Tipo_Cambio[Mes])*(Producción_Lecheria[[#This Row],[Año Financiero]]=Tipo_Cambio[Año])*(Tipo_Cambio[Actualización]))</f>
        <v>0</v>
      </c>
      <c r="AS256" s="1009">
        <f>SUMPRODUCT((Producción_Lecheria[[#This Row],[Centro de Costo]]=Tabla1924[Centro de Costo])*(Tabla19[Superficie]))</f>
        <v>2356</v>
      </c>
      <c r="AT256" s="1010">
        <f>IFERROR(Producción_Lecheria[[#This Row],[Económico $Corrientes]]/Producción_Lecheria[[#This Row],[Superficie]],0)</f>
        <v>0</v>
      </c>
      <c r="AU256" s="1010">
        <f>IFERROR(Producción_Lecheria[[#This Row],[Económico $Constantes]]/Producción_Lecheria[[#This Row],[Superficie]],0)</f>
        <v>0</v>
      </c>
      <c r="AV256" s="1010">
        <f>IFERROR(Producción_Lecheria[[#This Row],[Económico U$S Dólares]]/Producción_Lecheria[[#This Row],[Superficie]],0)</f>
        <v>0</v>
      </c>
      <c r="AW256" s="992" t="str">
        <f>IF(Económico!$F$4=0,0,Producción_Lecheria[Centro de Costo])</f>
        <v>Campo 1</v>
      </c>
    </row>
    <row r="257" spans="1:49" x14ac:dyDescent="0.25">
      <c r="A257" s="86"/>
      <c r="D257" s="548"/>
      <c r="E257" s="493"/>
      <c r="F257" s="479" t="str">
        <f t="shared" si="25"/>
        <v>2018-2019</v>
      </c>
      <c r="G257" s="597" t="str">
        <f t="shared" si="24"/>
        <v>Alimentación</v>
      </c>
      <c r="H257" s="481" t="s">
        <v>2</v>
      </c>
      <c r="I257" s="491"/>
      <c r="J257" s="549"/>
      <c r="K257" s="484"/>
      <c r="L25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5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57" s="520"/>
      <c r="O25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57" s="563"/>
      <c r="Q257" s="491"/>
      <c r="R257" s="875">
        <f>IF(ISNUMBER(Producción_Lecheria[[#This Row],[Cabezas]])=TRUE,Producción_Lecheria[[#This Row],[Cabezas]]*Producción_Lecheria[[#This Row],[Cantidad]],Producción_Lecheria[[#This Row],[Cantidad]])</f>
        <v>0</v>
      </c>
      <c r="S257" s="491"/>
      <c r="T257" s="552"/>
      <c r="U257" s="553"/>
      <c r="V25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57" s="977">
        <f>IFERROR(Producción_Lecheria[[#This Row],[Económico $Corrientes]]/Producción_Lecheria[[#This Row],[Indexación Económico]],0)</f>
        <v>0</v>
      </c>
      <c r="X25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5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57" s="977">
        <f>IFERROR(Producción_Lecheria[[#This Row],[Financiero $Corrientes]]/Producción_Lecheria[[#This Row],[Indexación Financiero]],0)</f>
        <v>0</v>
      </c>
      <c r="AA25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5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57" s="981">
        <f>IFERROR(Producción_Lecheria[[#This Row],[Intereses $Corrientes]]/Producción_Lecheria[[#This Row],[Indexación Financiero]],0)</f>
        <v>0</v>
      </c>
      <c r="AD25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57" s="991" t="str">
        <f>IFERROR(INDEX(Produccion_Lecheria_Cuentas[],MATCH(Producción_Lecheria[[#This Row],[Cuenta Contable]],Produccion_Lecheria_Cuentas[Cuenta Contable],0),2),0)</f>
        <v>Egreso</v>
      </c>
      <c r="AF257" s="992">
        <f>IF(Producción_Lecheria[[#This Row],[Mov. Stock]]="(+)",Producción_Lecheria[[#This Row],[Cabezas]],IF(Producción_Lecheria[[#This Row],[Mov. Stock]]="(-)",-Producción_Lecheria[[#This Row],[Cabezas]],0))</f>
        <v>0</v>
      </c>
      <c r="AG257" s="993">
        <f>IFERROR(INDEX(Produccion_Lecheria_Cuentas[],MATCH(Producción_Lecheria[[#This Row],[Cuenta Contable]],Produccion_Lecheria_Cuentas[Cuenta Contable],0),5),0)</f>
        <v>0</v>
      </c>
      <c r="AH257" s="985" t="str">
        <f>IF(Producción_Lecheria[[#This Row],[Cuenta Contable]]=Configuración!$AC$9,"Si","No")</f>
        <v>No</v>
      </c>
      <c r="AI257" s="983" t="str">
        <f>IFERROR(INDEX(Tabla9[],MATCH(Producción_Lecheria[[#This Row],[Movimiento]],Tabla9[Movimientos],0),2),0)</f>
        <v>Si</v>
      </c>
      <c r="AJ257" s="984" t="str">
        <f>IFERROR(INDEX(Tabla9[],MATCH(Producción_Lecheria[[#This Row],[Movimiento]],Tabla9[Movimientos],0),3),0)</f>
        <v>(-)</v>
      </c>
      <c r="AK257" s="986">
        <f>IF(Producción_Lecheria[[#This Row],[Fecha Económico]]=0,0,MONTH(Producción_Lecheria[[#This Row],[Fecha Económico]]))</f>
        <v>0</v>
      </c>
      <c r="AL257" s="986">
        <f>IF(Producción_Lecheria[[#This Row],[Fecha Económico]]=0,0,YEAR(Producción_Lecheria[[#This Row],[Fecha Económico]]))</f>
        <v>0</v>
      </c>
      <c r="AM257" s="987">
        <f>SUMPRODUCT((Producción_Lecheria[[#This Row],[Mes Económico]]=Tipo_Cambio[Mes])*(Producción_Lecheria[[#This Row],[Año Económico]]=Tipo_Cambio[Año])*(Tipo_Cambio[$/U$S]))</f>
        <v>0</v>
      </c>
      <c r="AN257" s="987">
        <f>SUMPRODUCT((Producción_Lecheria[[#This Row],[Mes Económico]]=Tipo_Cambio[Mes])*(Producción_Lecheria[[#This Row],[Año Económico]]=Tipo_Cambio[Año])*(Tipo_Cambio[Actualización]))</f>
        <v>0</v>
      </c>
      <c r="AO257" s="986">
        <f>IF(ISNUMBER(Producción_Lecheria[[#This Row],[Fecha Financiero]])=TRUE,MONTH(Producción_Lecheria[[#This Row],[Fecha Financiero]]),0)</f>
        <v>0</v>
      </c>
      <c r="AP257" s="986">
        <f>IF(ISNUMBER(Producción_Lecheria[[#This Row],[Fecha Financiero]])=TRUE,YEAR(Producción_Lecheria[[#This Row],[Fecha Financiero]]),0)</f>
        <v>0</v>
      </c>
      <c r="AQ257" s="987">
        <f>SUMPRODUCT((Producción_Lecheria[[#This Row],[Mes Financiero]]=Tipo_Cambio[Mes])*(Producción_Lecheria[[#This Row],[Año Financiero]]=Tipo_Cambio[Año])*(Tipo_Cambio[$/U$S]))</f>
        <v>0</v>
      </c>
      <c r="AR257" s="987">
        <f>SUMPRODUCT((Producción_Lecheria[[#This Row],[Mes Financiero]]=Tipo_Cambio[Mes])*(Producción_Lecheria[[#This Row],[Año Financiero]]=Tipo_Cambio[Año])*(Tipo_Cambio[Actualización]))</f>
        <v>0</v>
      </c>
      <c r="AS257" s="1009">
        <f>SUMPRODUCT((Producción_Lecheria[[#This Row],[Centro de Costo]]=Tabla1924[Centro de Costo])*(Tabla19[Superficie]))</f>
        <v>2356</v>
      </c>
      <c r="AT257" s="1010">
        <f>IFERROR(Producción_Lecheria[[#This Row],[Económico $Corrientes]]/Producción_Lecheria[[#This Row],[Superficie]],0)</f>
        <v>0</v>
      </c>
      <c r="AU257" s="1010">
        <f>IFERROR(Producción_Lecheria[[#This Row],[Económico $Constantes]]/Producción_Lecheria[[#This Row],[Superficie]],0)</f>
        <v>0</v>
      </c>
      <c r="AV257" s="1010">
        <f>IFERROR(Producción_Lecheria[[#This Row],[Económico U$S Dólares]]/Producción_Lecheria[[#This Row],[Superficie]],0)</f>
        <v>0</v>
      </c>
      <c r="AW257" s="992" t="str">
        <f>IF(Económico!$F$4=0,0,Producción_Lecheria[Centro de Costo])</f>
        <v>Campo 1</v>
      </c>
    </row>
    <row r="258" spans="1:49" x14ac:dyDescent="0.25">
      <c r="A258" s="86"/>
      <c r="D258" s="548"/>
      <c r="E258" s="493"/>
      <c r="F258" s="479" t="str">
        <f t="shared" si="25"/>
        <v>2018-2019</v>
      </c>
      <c r="G258" s="597" t="str">
        <f t="shared" si="24"/>
        <v>Alimentación</v>
      </c>
      <c r="H258" s="481" t="s">
        <v>2</v>
      </c>
      <c r="I258" s="491"/>
      <c r="J258" s="549"/>
      <c r="K258" s="484"/>
      <c r="L25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5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58" s="520"/>
      <c r="O25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58" s="563"/>
      <c r="Q258" s="491"/>
      <c r="R258" s="875">
        <f>IF(ISNUMBER(Producción_Lecheria[[#This Row],[Cabezas]])=TRUE,Producción_Lecheria[[#This Row],[Cabezas]]*Producción_Lecheria[[#This Row],[Cantidad]],Producción_Lecheria[[#This Row],[Cantidad]])</f>
        <v>0</v>
      </c>
      <c r="S258" s="491"/>
      <c r="T258" s="552"/>
      <c r="U258" s="553"/>
      <c r="V25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58" s="977">
        <f>IFERROR(Producción_Lecheria[[#This Row],[Económico $Corrientes]]/Producción_Lecheria[[#This Row],[Indexación Económico]],0)</f>
        <v>0</v>
      </c>
      <c r="X25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5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58" s="977">
        <f>IFERROR(Producción_Lecheria[[#This Row],[Financiero $Corrientes]]/Producción_Lecheria[[#This Row],[Indexación Financiero]],0)</f>
        <v>0</v>
      </c>
      <c r="AA25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5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58" s="981">
        <f>IFERROR(Producción_Lecheria[[#This Row],[Intereses $Corrientes]]/Producción_Lecheria[[#This Row],[Indexación Financiero]],0)</f>
        <v>0</v>
      </c>
      <c r="AD25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58" s="991" t="str">
        <f>IFERROR(INDEX(Produccion_Lecheria_Cuentas[],MATCH(Producción_Lecheria[[#This Row],[Cuenta Contable]],Produccion_Lecheria_Cuentas[Cuenta Contable],0),2),0)</f>
        <v>Egreso</v>
      </c>
      <c r="AF258" s="992">
        <f>IF(Producción_Lecheria[[#This Row],[Mov. Stock]]="(+)",Producción_Lecheria[[#This Row],[Cabezas]],IF(Producción_Lecheria[[#This Row],[Mov. Stock]]="(-)",-Producción_Lecheria[[#This Row],[Cabezas]],0))</f>
        <v>0</v>
      </c>
      <c r="AG258" s="993">
        <f>IFERROR(INDEX(Produccion_Lecheria_Cuentas[],MATCH(Producción_Lecheria[[#This Row],[Cuenta Contable]],Produccion_Lecheria_Cuentas[Cuenta Contable],0),5),0)</f>
        <v>0</v>
      </c>
      <c r="AH258" s="985" t="str">
        <f>IF(Producción_Lecheria[[#This Row],[Cuenta Contable]]=Configuración!$AC$9,"Si","No")</f>
        <v>No</v>
      </c>
      <c r="AI258" s="983" t="str">
        <f>IFERROR(INDEX(Tabla9[],MATCH(Producción_Lecheria[[#This Row],[Movimiento]],Tabla9[Movimientos],0),2),0)</f>
        <v>Si</v>
      </c>
      <c r="AJ258" s="984" t="str">
        <f>IFERROR(INDEX(Tabla9[],MATCH(Producción_Lecheria[[#This Row],[Movimiento]],Tabla9[Movimientos],0),3),0)</f>
        <v>(-)</v>
      </c>
      <c r="AK258" s="986">
        <f>IF(Producción_Lecheria[[#This Row],[Fecha Económico]]=0,0,MONTH(Producción_Lecheria[[#This Row],[Fecha Económico]]))</f>
        <v>0</v>
      </c>
      <c r="AL258" s="986">
        <f>IF(Producción_Lecheria[[#This Row],[Fecha Económico]]=0,0,YEAR(Producción_Lecheria[[#This Row],[Fecha Económico]]))</f>
        <v>0</v>
      </c>
      <c r="AM258" s="987">
        <f>SUMPRODUCT((Producción_Lecheria[[#This Row],[Mes Económico]]=Tipo_Cambio[Mes])*(Producción_Lecheria[[#This Row],[Año Económico]]=Tipo_Cambio[Año])*(Tipo_Cambio[$/U$S]))</f>
        <v>0</v>
      </c>
      <c r="AN258" s="987">
        <f>SUMPRODUCT((Producción_Lecheria[[#This Row],[Mes Económico]]=Tipo_Cambio[Mes])*(Producción_Lecheria[[#This Row],[Año Económico]]=Tipo_Cambio[Año])*(Tipo_Cambio[Actualización]))</f>
        <v>0</v>
      </c>
      <c r="AO258" s="986">
        <f>IF(ISNUMBER(Producción_Lecheria[[#This Row],[Fecha Financiero]])=TRUE,MONTH(Producción_Lecheria[[#This Row],[Fecha Financiero]]),0)</f>
        <v>0</v>
      </c>
      <c r="AP258" s="986">
        <f>IF(ISNUMBER(Producción_Lecheria[[#This Row],[Fecha Financiero]])=TRUE,YEAR(Producción_Lecheria[[#This Row],[Fecha Financiero]]),0)</f>
        <v>0</v>
      </c>
      <c r="AQ258" s="987">
        <f>SUMPRODUCT((Producción_Lecheria[[#This Row],[Mes Financiero]]=Tipo_Cambio[Mes])*(Producción_Lecheria[[#This Row],[Año Financiero]]=Tipo_Cambio[Año])*(Tipo_Cambio[$/U$S]))</f>
        <v>0</v>
      </c>
      <c r="AR258" s="987">
        <f>SUMPRODUCT((Producción_Lecheria[[#This Row],[Mes Financiero]]=Tipo_Cambio[Mes])*(Producción_Lecheria[[#This Row],[Año Financiero]]=Tipo_Cambio[Año])*(Tipo_Cambio[Actualización]))</f>
        <v>0</v>
      </c>
      <c r="AS258" s="1009">
        <f>SUMPRODUCT((Producción_Lecheria[[#This Row],[Centro de Costo]]=Tabla1924[Centro de Costo])*(Tabla19[Superficie]))</f>
        <v>2356</v>
      </c>
      <c r="AT258" s="1010">
        <f>IFERROR(Producción_Lecheria[[#This Row],[Económico $Corrientes]]/Producción_Lecheria[[#This Row],[Superficie]],0)</f>
        <v>0</v>
      </c>
      <c r="AU258" s="1010">
        <f>IFERROR(Producción_Lecheria[[#This Row],[Económico $Constantes]]/Producción_Lecheria[[#This Row],[Superficie]],0)</f>
        <v>0</v>
      </c>
      <c r="AV258" s="1010">
        <f>IFERROR(Producción_Lecheria[[#This Row],[Económico U$S Dólares]]/Producción_Lecheria[[#This Row],[Superficie]],0)</f>
        <v>0</v>
      </c>
      <c r="AW258" s="992" t="str">
        <f>IF(Económico!$F$4=0,0,Producción_Lecheria[Centro de Costo])</f>
        <v>Campo 1</v>
      </c>
    </row>
    <row r="259" spans="1:49" x14ac:dyDescent="0.25">
      <c r="A259" s="86"/>
      <c r="D259" s="548"/>
      <c r="E259" s="493"/>
      <c r="F259" s="479" t="str">
        <f t="shared" si="25"/>
        <v>2018-2019</v>
      </c>
      <c r="G259" s="597" t="str">
        <f t="shared" si="24"/>
        <v>Alimentación</v>
      </c>
      <c r="H259" s="481" t="s">
        <v>2</v>
      </c>
      <c r="I259" s="491"/>
      <c r="J259" s="549"/>
      <c r="K259" s="484"/>
      <c r="L25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5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59" s="520"/>
      <c r="O25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59" s="563"/>
      <c r="Q259" s="491"/>
      <c r="R259" s="875">
        <f>IF(ISNUMBER(Producción_Lecheria[[#This Row],[Cabezas]])=TRUE,Producción_Lecheria[[#This Row],[Cabezas]]*Producción_Lecheria[[#This Row],[Cantidad]],Producción_Lecheria[[#This Row],[Cantidad]])</f>
        <v>0</v>
      </c>
      <c r="S259" s="491"/>
      <c r="T259" s="552"/>
      <c r="U259" s="553"/>
      <c r="V25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59" s="977">
        <f>IFERROR(Producción_Lecheria[[#This Row],[Económico $Corrientes]]/Producción_Lecheria[[#This Row],[Indexación Económico]],0)</f>
        <v>0</v>
      </c>
      <c r="X25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5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59" s="977">
        <f>IFERROR(Producción_Lecheria[[#This Row],[Financiero $Corrientes]]/Producción_Lecheria[[#This Row],[Indexación Financiero]],0)</f>
        <v>0</v>
      </c>
      <c r="AA25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5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59" s="981">
        <f>IFERROR(Producción_Lecheria[[#This Row],[Intereses $Corrientes]]/Producción_Lecheria[[#This Row],[Indexación Financiero]],0)</f>
        <v>0</v>
      </c>
      <c r="AD25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59" s="991" t="str">
        <f>IFERROR(INDEX(Produccion_Lecheria_Cuentas[],MATCH(Producción_Lecheria[[#This Row],[Cuenta Contable]],Produccion_Lecheria_Cuentas[Cuenta Contable],0),2),0)</f>
        <v>Egreso</v>
      </c>
      <c r="AF259" s="992">
        <f>IF(Producción_Lecheria[[#This Row],[Mov. Stock]]="(+)",Producción_Lecheria[[#This Row],[Cabezas]],IF(Producción_Lecheria[[#This Row],[Mov. Stock]]="(-)",-Producción_Lecheria[[#This Row],[Cabezas]],0))</f>
        <v>0</v>
      </c>
      <c r="AG259" s="993">
        <f>IFERROR(INDEX(Produccion_Lecheria_Cuentas[],MATCH(Producción_Lecheria[[#This Row],[Cuenta Contable]],Produccion_Lecheria_Cuentas[Cuenta Contable],0),5),0)</f>
        <v>0</v>
      </c>
      <c r="AH259" s="985" t="str">
        <f>IF(Producción_Lecheria[[#This Row],[Cuenta Contable]]=Configuración!$AC$9,"Si","No")</f>
        <v>No</v>
      </c>
      <c r="AI259" s="983" t="str">
        <f>IFERROR(INDEX(Tabla9[],MATCH(Producción_Lecheria[[#This Row],[Movimiento]],Tabla9[Movimientos],0),2),0)</f>
        <v>Si</v>
      </c>
      <c r="AJ259" s="984" t="str">
        <f>IFERROR(INDEX(Tabla9[],MATCH(Producción_Lecheria[[#This Row],[Movimiento]],Tabla9[Movimientos],0),3),0)</f>
        <v>(-)</v>
      </c>
      <c r="AK259" s="986">
        <f>IF(Producción_Lecheria[[#This Row],[Fecha Económico]]=0,0,MONTH(Producción_Lecheria[[#This Row],[Fecha Económico]]))</f>
        <v>0</v>
      </c>
      <c r="AL259" s="986">
        <f>IF(Producción_Lecheria[[#This Row],[Fecha Económico]]=0,0,YEAR(Producción_Lecheria[[#This Row],[Fecha Económico]]))</f>
        <v>0</v>
      </c>
      <c r="AM259" s="987">
        <f>SUMPRODUCT((Producción_Lecheria[[#This Row],[Mes Económico]]=Tipo_Cambio[Mes])*(Producción_Lecheria[[#This Row],[Año Económico]]=Tipo_Cambio[Año])*(Tipo_Cambio[$/U$S]))</f>
        <v>0</v>
      </c>
      <c r="AN259" s="987">
        <f>SUMPRODUCT((Producción_Lecheria[[#This Row],[Mes Económico]]=Tipo_Cambio[Mes])*(Producción_Lecheria[[#This Row],[Año Económico]]=Tipo_Cambio[Año])*(Tipo_Cambio[Actualización]))</f>
        <v>0</v>
      </c>
      <c r="AO259" s="986">
        <f>IF(ISNUMBER(Producción_Lecheria[[#This Row],[Fecha Financiero]])=TRUE,MONTH(Producción_Lecheria[[#This Row],[Fecha Financiero]]),0)</f>
        <v>0</v>
      </c>
      <c r="AP259" s="986">
        <f>IF(ISNUMBER(Producción_Lecheria[[#This Row],[Fecha Financiero]])=TRUE,YEAR(Producción_Lecheria[[#This Row],[Fecha Financiero]]),0)</f>
        <v>0</v>
      </c>
      <c r="AQ259" s="987">
        <f>SUMPRODUCT((Producción_Lecheria[[#This Row],[Mes Financiero]]=Tipo_Cambio[Mes])*(Producción_Lecheria[[#This Row],[Año Financiero]]=Tipo_Cambio[Año])*(Tipo_Cambio[$/U$S]))</f>
        <v>0</v>
      </c>
      <c r="AR259" s="987">
        <f>SUMPRODUCT((Producción_Lecheria[[#This Row],[Mes Financiero]]=Tipo_Cambio[Mes])*(Producción_Lecheria[[#This Row],[Año Financiero]]=Tipo_Cambio[Año])*(Tipo_Cambio[Actualización]))</f>
        <v>0</v>
      </c>
      <c r="AS259" s="1009">
        <f>SUMPRODUCT((Producción_Lecheria[[#This Row],[Centro de Costo]]=Tabla1924[Centro de Costo])*(Tabla19[Superficie]))</f>
        <v>2356</v>
      </c>
      <c r="AT259" s="1010">
        <f>IFERROR(Producción_Lecheria[[#This Row],[Económico $Corrientes]]/Producción_Lecheria[[#This Row],[Superficie]],0)</f>
        <v>0</v>
      </c>
      <c r="AU259" s="1010">
        <f>IFERROR(Producción_Lecheria[[#This Row],[Económico $Constantes]]/Producción_Lecheria[[#This Row],[Superficie]],0)</f>
        <v>0</v>
      </c>
      <c r="AV259" s="1010">
        <f>IFERROR(Producción_Lecheria[[#This Row],[Económico U$S Dólares]]/Producción_Lecheria[[#This Row],[Superficie]],0)</f>
        <v>0</v>
      </c>
      <c r="AW259" s="992" t="str">
        <f>IF(Económico!$F$4=0,0,Producción_Lecheria[Centro de Costo])</f>
        <v>Campo 1</v>
      </c>
    </row>
    <row r="260" spans="1:49" x14ac:dyDescent="0.25">
      <c r="A260" s="86"/>
      <c r="D260" s="548"/>
      <c r="E260" s="493"/>
      <c r="F260" s="479" t="str">
        <f t="shared" si="25"/>
        <v>2018-2019</v>
      </c>
      <c r="G260" s="597"/>
      <c r="H260" s="481"/>
      <c r="I260" s="491"/>
      <c r="J260" s="549"/>
      <c r="K260" s="484"/>
      <c r="L26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6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60" s="520"/>
      <c r="O26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60" s="563"/>
      <c r="Q260" s="491"/>
      <c r="R260" s="875">
        <f>IF(ISNUMBER(Producción_Lecheria[[#This Row],[Cabezas]])=TRUE,Producción_Lecheria[[#This Row],[Cabezas]]*Producción_Lecheria[[#This Row],[Cantidad]],Producción_Lecheria[[#This Row],[Cantidad]])</f>
        <v>0</v>
      </c>
      <c r="S260" s="491"/>
      <c r="T260" s="552"/>
      <c r="U260" s="553"/>
      <c r="V26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60" s="977">
        <f>IFERROR(Producción_Lecheria[[#This Row],[Económico $Corrientes]]/Producción_Lecheria[[#This Row],[Indexación Económico]],0)</f>
        <v>0</v>
      </c>
      <c r="X26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6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60" s="977">
        <f>IFERROR(Producción_Lecheria[[#This Row],[Financiero $Corrientes]]/Producción_Lecheria[[#This Row],[Indexación Financiero]],0)</f>
        <v>0</v>
      </c>
      <c r="AA26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6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60" s="981">
        <f>IFERROR(Producción_Lecheria[[#This Row],[Intereses $Corrientes]]/Producción_Lecheria[[#This Row],[Indexación Financiero]],0)</f>
        <v>0</v>
      </c>
      <c r="AD26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60" s="991">
        <f>IFERROR(INDEX(Produccion_Lecheria_Cuentas[],MATCH(Producción_Lecheria[[#This Row],[Cuenta Contable]],Produccion_Lecheria_Cuentas[Cuenta Contable],0),2),0)</f>
        <v>0</v>
      </c>
      <c r="AF260" s="992">
        <f>IF(Producción_Lecheria[[#This Row],[Mov. Stock]]="(+)",Producción_Lecheria[[#This Row],[Cabezas]],IF(Producción_Lecheria[[#This Row],[Mov. Stock]]="(-)",-Producción_Lecheria[[#This Row],[Cabezas]],0))</f>
        <v>0</v>
      </c>
      <c r="AG260" s="993">
        <f>IFERROR(INDEX(Produccion_Lecheria_Cuentas[],MATCH(Producción_Lecheria[[#This Row],[Cuenta Contable]],Produccion_Lecheria_Cuentas[Cuenta Contable],0),5),0)</f>
        <v>0</v>
      </c>
      <c r="AH260" s="985" t="str">
        <f>IF(Producción_Lecheria[[#This Row],[Cuenta Contable]]=Configuración!$AC$9,"Si","No")</f>
        <v>No</v>
      </c>
      <c r="AI260" s="983">
        <f>IFERROR(INDEX(Tabla9[],MATCH(Producción_Lecheria[[#This Row],[Movimiento]],Tabla9[Movimientos],0),2),0)</f>
        <v>0</v>
      </c>
      <c r="AJ260" s="984">
        <f>IFERROR(INDEX(Tabla9[],MATCH(Producción_Lecheria[[#This Row],[Movimiento]],Tabla9[Movimientos],0),3),0)</f>
        <v>0</v>
      </c>
      <c r="AK260" s="986">
        <f>IF(Producción_Lecheria[[#This Row],[Fecha Económico]]=0,0,MONTH(Producción_Lecheria[[#This Row],[Fecha Económico]]))</f>
        <v>0</v>
      </c>
      <c r="AL260" s="986">
        <f>IF(Producción_Lecheria[[#This Row],[Fecha Económico]]=0,0,YEAR(Producción_Lecheria[[#This Row],[Fecha Económico]]))</f>
        <v>0</v>
      </c>
      <c r="AM260" s="987">
        <f>SUMPRODUCT((Producción_Lecheria[[#This Row],[Mes Económico]]=Tipo_Cambio[Mes])*(Producción_Lecheria[[#This Row],[Año Económico]]=Tipo_Cambio[Año])*(Tipo_Cambio[$/U$S]))</f>
        <v>0</v>
      </c>
      <c r="AN260" s="987">
        <f>SUMPRODUCT((Producción_Lecheria[[#This Row],[Mes Económico]]=Tipo_Cambio[Mes])*(Producción_Lecheria[[#This Row],[Año Económico]]=Tipo_Cambio[Año])*(Tipo_Cambio[Actualización]))</f>
        <v>0</v>
      </c>
      <c r="AO260" s="986">
        <f>IF(ISNUMBER(Producción_Lecheria[[#This Row],[Fecha Financiero]])=TRUE,MONTH(Producción_Lecheria[[#This Row],[Fecha Financiero]]),0)</f>
        <v>0</v>
      </c>
      <c r="AP260" s="986">
        <f>IF(ISNUMBER(Producción_Lecheria[[#This Row],[Fecha Financiero]])=TRUE,YEAR(Producción_Lecheria[[#This Row],[Fecha Financiero]]),0)</f>
        <v>0</v>
      </c>
      <c r="AQ260" s="987">
        <f>SUMPRODUCT((Producción_Lecheria[[#This Row],[Mes Financiero]]=Tipo_Cambio[Mes])*(Producción_Lecheria[[#This Row],[Año Financiero]]=Tipo_Cambio[Año])*(Tipo_Cambio[$/U$S]))</f>
        <v>0</v>
      </c>
      <c r="AR260" s="987">
        <f>SUMPRODUCT((Producción_Lecheria[[#This Row],[Mes Financiero]]=Tipo_Cambio[Mes])*(Producción_Lecheria[[#This Row],[Año Financiero]]=Tipo_Cambio[Año])*(Tipo_Cambio[Actualización]))</f>
        <v>0</v>
      </c>
      <c r="AS260" s="1009">
        <f>SUMPRODUCT((Producción_Lecheria[[#This Row],[Centro de Costo]]=Tabla1924[Centro de Costo])*(Tabla19[Superficie]))</f>
        <v>0</v>
      </c>
      <c r="AT260" s="1010">
        <f>IFERROR(Producción_Lecheria[[#This Row],[Económico $Corrientes]]/Producción_Lecheria[[#This Row],[Superficie]],0)</f>
        <v>0</v>
      </c>
      <c r="AU260" s="1010">
        <f>IFERROR(Producción_Lecheria[[#This Row],[Económico $Constantes]]/Producción_Lecheria[[#This Row],[Superficie]],0)</f>
        <v>0</v>
      </c>
      <c r="AV260" s="1010">
        <f>IFERROR(Producción_Lecheria[[#This Row],[Económico U$S Dólares]]/Producción_Lecheria[[#This Row],[Superficie]],0)</f>
        <v>0</v>
      </c>
      <c r="AW260" s="992">
        <f>IF(Económico!$F$4=0,0,Producción_Lecheria[Centro de Costo])</f>
        <v>0</v>
      </c>
    </row>
    <row r="261" spans="1:49" x14ac:dyDescent="0.25">
      <c r="A261" s="86"/>
      <c r="D261" s="548"/>
      <c r="E261" s="493"/>
      <c r="F261" s="479" t="str">
        <f t="shared" si="25"/>
        <v>2018-2019</v>
      </c>
      <c r="G261" s="597"/>
      <c r="H261" s="481"/>
      <c r="I261" s="491"/>
      <c r="J261" s="549"/>
      <c r="K261" s="484"/>
      <c r="L26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6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61" s="520"/>
      <c r="O26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61" s="563"/>
      <c r="Q261" s="491"/>
      <c r="R261" s="875">
        <f>IF(ISNUMBER(Producción_Lecheria[[#This Row],[Cabezas]])=TRUE,Producción_Lecheria[[#This Row],[Cabezas]]*Producción_Lecheria[[#This Row],[Cantidad]],Producción_Lecheria[[#This Row],[Cantidad]])</f>
        <v>0</v>
      </c>
      <c r="S261" s="491"/>
      <c r="T261" s="552"/>
      <c r="U261" s="553"/>
      <c r="V26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61" s="977">
        <f>IFERROR(Producción_Lecheria[[#This Row],[Económico $Corrientes]]/Producción_Lecheria[[#This Row],[Indexación Económico]],0)</f>
        <v>0</v>
      </c>
      <c r="X26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6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61" s="977">
        <f>IFERROR(Producción_Lecheria[[#This Row],[Financiero $Corrientes]]/Producción_Lecheria[[#This Row],[Indexación Financiero]],0)</f>
        <v>0</v>
      </c>
      <c r="AA26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6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61" s="981">
        <f>IFERROR(Producción_Lecheria[[#This Row],[Intereses $Corrientes]]/Producción_Lecheria[[#This Row],[Indexación Financiero]],0)</f>
        <v>0</v>
      </c>
      <c r="AD26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61" s="991">
        <f>IFERROR(INDEX(Produccion_Lecheria_Cuentas[],MATCH(Producción_Lecheria[[#This Row],[Cuenta Contable]],Produccion_Lecheria_Cuentas[Cuenta Contable],0),2),0)</f>
        <v>0</v>
      </c>
      <c r="AF261" s="992">
        <f>IF(Producción_Lecheria[[#This Row],[Mov. Stock]]="(+)",Producción_Lecheria[[#This Row],[Cabezas]],IF(Producción_Lecheria[[#This Row],[Mov. Stock]]="(-)",-Producción_Lecheria[[#This Row],[Cabezas]],0))</f>
        <v>0</v>
      </c>
      <c r="AG261" s="993">
        <f>IFERROR(INDEX(Produccion_Lecheria_Cuentas[],MATCH(Producción_Lecheria[[#This Row],[Cuenta Contable]],Produccion_Lecheria_Cuentas[Cuenta Contable],0),5),0)</f>
        <v>0</v>
      </c>
      <c r="AH261" s="985" t="str">
        <f>IF(Producción_Lecheria[[#This Row],[Cuenta Contable]]=Configuración!$AC$9,"Si","No")</f>
        <v>No</v>
      </c>
      <c r="AI261" s="983">
        <f>IFERROR(INDEX(Tabla9[],MATCH(Producción_Lecheria[[#This Row],[Movimiento]],Tabla9[Movimientos],0),2),0)</f>
        <v>0</v>
      </c>
      <c r="AJ261" s="984">
        <f>IFERROR(INDEX(Tabla9[],MATCH(Producción_Lecheria[[#This Row],[Movimiento]],Tabla9[Movimientos],0),3),0)</f>
        <v>0</v>
      </c>
      <c r="AK261" s="986">
        <f>IF(Producción_Lecheria[[#This Row],[Fecha Económico]]=0,0,MONTH(Producción_Lecheria[[#This Row],[Fecha Económico]]))</f>
        <v>0</v>
      </c>
      <c r="AL261" s="986">
        <f>IF(Producción_Lecheria[[#This Row],[Fecha Económico]]=0,0,YEAR(Producción_Lecheria[[#This Row],[Fecha Económico]]))</f>
        <v>0</v>
      </c>
      <c r="AM261" s="987">
        <f>SUMPRODUCT((Producción_Lecheria[[#This Row],[Mes Económico]]=Tipo_Cambio[Mes])*(Producción_Lecheria[[#This Row],[Año Económico]]=Tipo_Cambio[Año])*(Tipo_Cambio[$/U$S]))</f>
        <v>0</v>
      </c>
      <c r="AN261" s="987">
        <f>SUMPRODUCT((Producción_Lecheria[[#This Row],[Mes Económico]]=Tipo_Cambio[Mes])*(Producción_Lecheria[[#This Row],[Año Económico]]=Tipo_Cambio[Año])*(Tipo_Cambio[Actualización]))</f>
        <v>0</v>
      </c>
      <c r="AO261" s="986">
        <f>IF(ISNUMBER(Producción_Lecheria[[#This Row],[Fecha Financiero]])=TRUE,MONTH(Producción_Lecheria[[#This Row],[Fecha Financiero]]),0)</f>
        <v>0</v>
      </c>
      <c r="AP261" s="986">
        <f>IF(ISNUMBER(Producción_Lecheria[[#This Row],[Fecha Financiero]])=TRUE,YEAR(Producción_Lecheria[[#This Row],[Fecha Financiero]]),0)</f>
        <v>0</v>
      </c>
      <c r="AQ261" s="987">
        <f>SUMPRODUCT((Producción_Lecheria[[#This Row],[Mes Financiero]]=Tipo_Cambio[Mes])*(Producción_Lecheria[[#This Row],[Año Financiero]]=Tipo_Cambio[Año])*(Tipo_Cambio[$/U$S]))</f>
        <v>0</v>
      </c>
      <c r="AR261" s="987">
        <f>SUMPRODUCT((Producción_Lecheria[[#This Row],[Mes Financiero]]=Tipo_Cambio[Mes])*(Producción_Lecheria[[#This Row],[Año Financiero]]=Tipo_Cambio[Año])*(Tipo_Cambio[Actualización]))</f>
        <v>0</v>
      </c>
      <c r="AS261" s="1009">
        <f>SUMPRODUCT((Producción_Lecheria[[#This Row],[Centro de Costo]]=Tabla1924[Centro de Costo])*(Tabla19[Superficie]))</f>
        <v>0</v>
      </c>
      <c r="AT261" s="1010">
        <f>IFERROR(Producción_Lecheria[[#This Row],[Económico $Corrientes]]/Producción_Lecheria[[#This Row],[Superficie]],0)</f>
        <v>0</v>
      </c>
      <c r="AU261" s="1010">
        <f>IFERROR(Producción_Lecheria[[#This Row],[Económico $Constantes]]/Producción_Lecheria[[#This Row],[Superficie]],0)</f>
        <v>0</v>
      </c>
      <c r="AV261" s="1010">
        <f>IFERROR(Producción_Lecheria[[#This Row],[Económico U$S Dólares]]/Producción_Lecheria[[#This Row],[Superficie]],0)</f>
        <v>0</v>
      </c>
      <c r="AW261" s="992">
        <f>IF(Económico!$F$4=0,0,Producción_Lecheria[Centro de Costo])</f>
        <v>0</v>
      </c>
    </row>
    <row r="262" spans="1:49" x14ac:dyDescent="0.25">
      <c r="A262" s="86"/>
      <c r="D262" s="548"/>
      <c r="E262" s="493"/>
      <c r="F262" s="479" t="str">
        <f t="shared" si="25"/>
        <v>2018-2019</v>
      </c>
      <c r="G262" s="597"/>
      <c r="H262" s="481"/>
      <c r="I262" s="491"/>
      <c r="J262" s="549"/>
      <c r="K262" s="484"/>
      <c r="L26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6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62" s="520"/>
      <c r="O26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62" s="563"/>
      <c r="Q262" s="491"/>
      <c r="R262" s="875">
        <f>IF(ISNUMBER(Producción_Lecheria[[#This Row],[Cabezas]])=TRUE,Producción_Lecheria[[#This Row],[Cabezas]]*Producción_Lecheria[[#This Row],[Cantidad]],Producción_Lecheria[[#This Row],[Cantidad]])</f>
        <v>0</v>
      </c>
      <c r="S262" s="491"/>
      <c r="T262" s="552"/>
      <c r="U262" s="553"/>
      <c r="V26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62" s="977">
        <f>IFERROR(Producción_Lecheria[[#This Row],[Económico $Corrientes]]/Producción_Lecheria[[#This Row],[Indexación Económico]],0)</f>
        <v>0</v>
      </c>
      <c r="X26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6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62" s="977">
        <f>IFERROR(Producción_Lecheria[[#This Row],[Financiero $Corrientes]]/Producción_Lecheria[[#This Row],[Indexación Financiero]],0)</f>
        <v>0</v>
      </c>
      <c r="AA26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6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62" s="981">
        <f>IFERROR(Producción_Lecheria[[#This Row],[Intereses $Corrientes]]/Producción_Lecheria[[#This Row],[Indexación Financiero]],0)</f>
        <v>0</v>
      </c>
      <c r="AD26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62" s="991">
        <f>IFERROR(INDEX(Produccion_Lecheria_Cuentas[],MATCH(Producción_Lecheria[[#This Row],[Cuenta Contable]],Produccion_Lecheria_Cuentas[Cuenta Contable],0),2),0)</f>
        <v>0</v>
      </c>
      <c r="AF262" s="992">
        <f>IF(Producción_Lecheria[[#This Row],[Mov. Stock]]="(+)",Producción_Lecheria[[#This Row],[Cabezas]],IF(Producción_Lecheria[[#This Row],[Mov. Stock]]="(-)",-Producción_Lecheria[[#This Row],[Cabezas]],0))</f>
        <v>0</v>
      </c>
      <c r="AG262" s="993">
        <f>IFERROR(INDEX(Produccion_Lecheria_Cuentas[],MATCH(Producción_Lecheria[[#This Row],[Cuenta Contable]],Produccion_Lecheria_Cuentas[Cuenta Contable],0),5),0)</f>
        <v>0</v>
      </c>
      <c r="AH262" s="985" t="str">
        <f>IF(Producción_Lecheria[[#This Row],[Cuenta Contable]]=Configuración!$AC$9,"Si","No")</f>
        <v>No</v>
      </c>
      <c r="AI262" s="983">
        <f>IFERROR(INDEX(Tabla9[],MATCH(Producción_Lecheria[[#This Row],[Movimiento]],Tabla9[Movimientos],0),2),0)</f>
        <v>0</v>
      </c>
      <c r="AJ262" s="984">
        <f>IFERROR(INDEX(Tabla9[],MATCH(Producción_Lecheria[[#This Row],[Movimiento]],Tabla9[Movimientos],0),3),0)</f>
        <v>0</v>
      </c>
      <c r="AK262" s="986">
        <f>IF(Producción_Lecheria[[#This Row],[Fecha Económico]]=0,0,MONTH(Producción_Lecheria[[#This Row],[Fecha Económico]]))</f>
        <v>0</v>
      </c>
      <c r="AL262" s="986">
        <f>IF(Producción_Lecheria[[#This Row],[Fecha Económico]]=0,0,YEAR(Producción_Lecheria[[#This Row],[Fecha Económico]]))</f>
        <v>0</v>
      </c>
      <c r="AM262" s="987">
        <f>SUMPRODUCT((Producción_Lecheria[[#This Row],[Mes Económico]]=Tipo_Cambio[Mes])*(Producción_Lecheria[[#This Row],[Año Económico]]=Tipo_Cambio[Año])*(Tipo_Cambio[$/U$S]))</f>
        <v>0</v>
      </c>
      <c r="AN262" s="987">
        <f>SUMPRODUCT((Producción_Lecheria[[#This Row],[Mes Económico]]=Tipo_Cambio[Mes])*(Producción_Lecheria[[#This Row],[Año Económico]]=Tipo_Cambio[Año])*(Tipo_Cambio[Actualización]))</f>
        <v>0</v>
      </c>
      <c r="AO262" s="986">
        <f>IF(ISNUMBER(Producción_Lecheria[[#This Row],[Fecha Financiero]])=TRUE,MONTH(Producción_Lecheria[[#This Row],[Fecha Financiero]]),0)</f>
        <v>0</v>
      </c>
      <c r="AP262" s="986">
        <f>IF(ISNUMBER(Producción_Lecheria[[#This Row],[Fecha Financiero]])=TRUE,YEAR(Producción_Lecheria[[#This Row],[Fecha Financiero]]),0)</f>
        <v>0</v>
      </c>
      <c r="AQ262" s="987">
        <f>SUMPRODUCT((Producción_Lecheria[[#This Row],[Mes Financiero]]=Tipo_Cambio[Mes])*(Producción_Lecheria[[#This Row],[Año Financiero]]=Tipo_Cambio[Año])*(Tipo_Cambio[$/U$S]))</f>
        <v>0</v>
      </c>
      <c r="AR262" s="987">
        <f>SUMPRODUCT((Producción_Lecheria[[#This Row],[Mes Financiero]]=Tipo_Cambio[Mes])*(Producción_Lecheria[[#This Row],[Año Financiero]]=Tipo_Cambio[Año])*(Tipo_Cambio[Actualización]))</f>
        <v>0</v>
      </c>
      <c r="AS262" s="1009">
        <f>SUMPRODUCT((Producción_Lecheria[[#This Row],[Centro de Costo]]=Tabla1924[Centro de Costo])*(Tabla19[Superficie]))</f>
        <v>0</v>
      </c>
      <c r="AT262" s="1010">
        <f>IFERROR(Producción_Lecheria[[#This Row],[Económico $Corrientes]]/Producción_Lecheria[[#This Row],[Superficie]],0)</f>
        <v>0</v>
      </c>
      <c r="AU262" s="1010">
        <f>IFERROR(Producción_Lecheria[[#This Row],[Económico $Constantes]]/Producción_Lecheria[[#This Row],[Superficie]],0)</f>
        <v>0</v>
      </c>
      <c r="AV262" s="1010">
        <f>IFERROR(Producción_Lecheria[[#This Row],[Económico U$S Dólares]]/Producción_Lecheria[[#This Row],[Superficie]],0)</f>
        <v>0</v>
      </c>
      <c r="AW262" s="992">
        <f>IF(Económico!$F$4=0,0,Producción_Lecheria[Centro de Costo])</f>
        <v>0</v>
      </c>
    </row>
    <row r="263" spans="1:49" x14ac:dyDescent="0.25">
      <c r="A263" s="86"/>
      <c r="D263" s="548">
        <v>43313</v>
      </c>
      <c r="E263" s="493"/>
      <c r="F263" s="479" t="str">
        <f t="shared" si="25"/>
        <v>2018-2019</v>
      </c>
      <c r="G263" s="597" t="s">
        <v>201</v>
      </c>
      <c r="H263" s="481" t="s">
        <v>2</v>
      </c>
      <c r="I263" s="491"/>
      <c r="J263" s="549"/>
      <c r="K263" s="484"/>
      <c r="L26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6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63" s="520"/>
      <c r="O26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63" s="563"/>
      <c r="Q263" s="491"/>
      <c r="R263" s="875">
        <f>IF(ISNUMBER(Producción_Lecheria[[#This Row],[Cabezas]])=TRUE,Producción_Lecheria[[#This Row],[Cabezas]]*Producción_Lecheria[[#This Row],[Cantidad]],Producción_Lecheria[[#This Row],[Cantidad]])</f>
        <v>0</v>
      </c>
      <c r="S263" s="491"/>
      <c r="T263" s="552"/>
      <c r="U263" s="553"/>
      <c r="V26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63" s="977">
        <f>IFERROR(Producción_Lecheria[[#This Row],[Económico $Corrientes]]/Producción_Lecheria[[#This Row],[Indexación Económico]],0)</f>
        <v>0</v>
      </c>
      <c r="X26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6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63" s="977">
        <f>IFERROR(Producción_Lecheria[[#This Row],[Financiero $Corrientes]]/Producción_Lecheria[[#This Row],[Indexación Financiero]],0)</f>
        <v>0</v>
      </c>
      <c r="AA26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6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63" s="981">
        <f>IFERROR(Producción_Lecheria[[#This Row],[Intereses $Corrientes]]/Producción_Lecheria[[#This Row],[Indexación Financiero]],0)</f>
        <v>0</v>
      </c>
      <c r="AD26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63" s="991" t="str">
        <f>IFERROR(INDEX(Produccion_Lecheria_Cuentas[],MATCH(Producción_Lecheria[[#This Row],[Cuenta Contable]],Produccion_Lecheria_Cuentas[Cuenta Contable],0),2),0)</f>
        <v>Egreso Cesión</v>
      </c>
      <c r="AF263" s="992">
        <f>IF(Producción_Lecheria[[#This Row],[Mov. Stock]]="(+)",Producción_Lecheria[[#This Row],[Cabezas]],IF(Producción_Lecheria[[#This Row],[Mov. Stock]]="(-)",-Producción_Lecheria[[#This Row],[Cabezas]],0))</f>
        <v>0</v>
      </c>
      <c r="AG263" s="993">
        <f>IFERROR(INDEX(Produccion_Lecheria_Cuentas[],MATCH(Producción_Lecheria[[#This Row],[Cuenta Contable]],Produccion_Lecheria_Cuentas[Cuenta Contable],0),5),0)</f>
        <v>0</v>
      </c>
      <c r="AH263" s="985" t="str">
        <f>IF(Producción_Lecheria[[#This Row],[Cuenta Contable]]=Configuración!$AC$9,"Si","No")</f>
        <v>No</v>
      </c>
      <c r="AI263" s="983" t="str">
        <f>IFERROR(INDEX(Tabla9[],MATCH(Producción_Lecheria[[#This Row],[Movimiento]],Tabla9[Movimientos],0),2),0)</f>
        <v>No</v>
      </c>
      <c r="AJ263" s="984" t="str">
        <f>IFERROR(INDEX(Tabla9[],MATCH(Producción_Lecheria[[#This Row],[Movimiento]],Tabla9[Movimientos],0),3),0)</f>
        <v>(-)</v>
      </c>
      <c r="AK263" s="986">
        <f>IF(Producción_Lecheria[[#This Row],[Fecha Económico]]=0,0,MONTH(Producción_Lecheria[[#This Row],[Fecha Económico]]))</f>
        <v>8</v>
      </c>
      <c r="AL263" s="986">
        <f>IF(Producción_Lecheria[[#This Row],[Fecha Económico]]=0,0,YEAR(Producción_Lecheria[[#This Row],[Fecha Económico]]))</f>
        <v>2018</v>
      </c>
      <c r="AM263" s="987">
        <f>SUMPRODUCT((Producción_Lecheria[[#This Row],[Mes Económico]]=Tipo_Cambio[Mes])*(Producción_Lecheria[[#This Row],[Año Económico]]=Tipo_Cambio[Año])*(Tipo_Cambio[$/U$S]))</f>
        <v>22.22</v>
      </c>
      <c r="AN263" s="987">
        <f>SUMPRODUCT((Producción_Lecheria[[#This Row],[Mes Económico]]=Tipo_Cambio[Mes])*(Producción_Lecheria[[#This Row],[Año Económico]]=Tipo_Cambio[Año])*(Tipo_Cambio[Actualización]))</f>
        <v>1.02</v>
      </c>
      <c r="AO263" s="986">
        <f>IF(ISNUMBER(Producción_Lecheria[[#This Row],[Fecha Financiero]])=TRUE,MONTH(Producción_Lecheria[[#This Row],[Fecha Financiero]]),0)</f>
        <v>0</v>
      </c>
      <c r="AP263" s="986">
        <f>IF(ISNUMBER(Producción_Lecheria[[#This Row],[Fecha Financiero]])=TRUE,YEAR(Producción_Lecheria[[#This Row],[Fecha Financiero]]),0)</f>
        <v>0</v>
      </c>
      <c r="AQ263" s="987">
        <f>SUMPRODUCT((Producción_Lecheria[[#This Row],[Mes Financiero]]=Tipo_Cambio[Mes])*(Producción_Lecheria[[#This Row],[Año Financiero]]=Tipo_Cambio[Año])*(Tipo_Cambio[$/U$S]))</f>
        <v>0</v>
      </c>
      <c r="AR263" s="987">
        <f>SUMPRODUCT((Producción_Lecheria[[#This Row],[Mes Financiero]]=Tipo_Cambio[Mes])*(Producción_Lecheria[[#This Row],[Año Financiero]]=Tipo_Cambio[Año])*(Tipo_Cambio[Actualización]))</f>
        <v>0</v>
      </c>
      <c r="AS263" s="1009">
        <f>SUMPRODUCT((Producción_Lecheria[[#This Row],[Centro de Costo]]=Tabla1924[Centro de Costo])*(Tabla19[Superficie]))</f>
        <v>2356</v>
      </c>
      <c r="AT263" s="1010">
        <f>IFERROR(Producción_Lecheria[[#This Row],[Económico $Corrientes]]/Producción_Lecheria[[#This Row],[Superficie]],0)</f>
        <v>0</v>
      </c>
      <c r="AU263" s="1010">
        <f>IFERROR(Producción_Lecheria[[#This Row],[Económico $Constantes]]/Producción_Lecheria[[#This Row],[Superficie]],0)</f>
        <v>0</v>
      </c>
      <c r="AV263" s="1010">
        <f>IFERROR(Producción_Lecheria[[#This Row],[Económico U$S Dólares]]/Producción_Lecheria[[#This Row],[Superficie]],0)</f>
        <v>0</v>
      </c>
      <c r="AW263" s="992" t="str">
        <f>IF(Económico!$F$4=0,0,Producción_Lecheria[Centro de Costo])</f>
        <v>Campo 1</v>
      </c>
    </row>
    <row r="264" spans="1:49" x14ac:dyDescent="0.25">
      <c r="A264" s="86"/>
      <c r="D264" s="548">
        <v>43313</v>
      </c>
      <c r="E264" s="493"/>
      <c r="F264" s="479" t="str">
        <f t="shared" si="25"/>
        <v>2018-2019</v>
      </c>
      <c r="G264" s="597" t="s">
        <v>201</v>
      </c>
      <c r="H264" s="481" t="s">
        <v>2</v>
      </c>
      <c r="I264" s="491"/>
      <c r="J264" s="549"/>
      <c r="K264" s="484"/>
      <c r="L26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6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64" s="520"/>
      <c r="O26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64" s="563"/>
      <c r="Q264" s="491"/>
      <c r="R264" s="875">
        <f>IF(ISNUMBER(Producción_Lecheria[[#This Row],[Cabezas]])=TRUE,Producción_Lecheria[[#This Row],[Cabezas]]*Producción_Lecheria[[#This Row],[Cantidad]],Producción_Lecheria[[#This Row],[Cantidad]])</f>
        <v>0</v>
      </c>
      <c r="S264" s="491"/>
      <c r="T264" s="552"/>
      <c r="U264" s="553"/>
      <c r="V26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64" s="977">
        <f>IFERROR(Producción_Lecheria[[#This Row],[Económico $Corrientes]]/Producción_Lecheria[[#This Row],[Indexación Económico]],0)</f>
        <v>0</v>
      </c>
      <c r="X26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6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64" s="977">
        <f>IFERROR(Producción_Lecheria[[#This Row],[Financiero $Corrientes]]/Producción_Lecheria[[#This Row],[Indexación Financiero]],0)</f>
        <v>0</v>
      </c>
      <c r="AA26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6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64" s="981">
        <f>IFERROR(Producción_Lecheria[[#This Row],[Intereses $Corrientes]]/Producción_Lecheria[[#This Row],[Indexación Financiero]],0)</f>
        <v>0</v>
      </c>
      <c r="AD26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64" s="991" t="str">
        <f>IFERROR(INDEX(Produccion_Lecheria_Cuentas[],MATCH(Producción_Lecheria[[#This Row],[Cuenta Contable]],Produccion_Lecheria_Cuentas[Cuenta Contable],0),2),0)</f>
        <v>Egreso Cesión</v>
      </c>
      <c r="AF264" s="992">
        <f>IF(Producción_Lecheria[[#This Row],[Mov. Stock]]="(+)",Producción_Lecheria[[#This Row],[Cabezas]],IF(Producción_Lecheria[[#This Row],[Mov. Stock]]="(-)",-Producción_Lecheria[[#This Row],[Cabezas]],0))</f>
        <v>0</v>
      </c>
      <c r="AG264" s="993">
        <f>IFERROR(INDEX(Produccion_Lecheria_Cuentas[],MATCH(Producción_Lecheria[[#This Row],[Cuenta Contable]],Produccion_Lecheria_Cuentas[Cuenta Contable],0),5),0)</f>
        <v>0</v>
      </c>
      <c r="AH264" s="985" t="str">
        <f>IF(Producción_Lecheria[[#This Row],[Cuenta Contable]]=Configuración!$AC$9,"Si","No")</f>
        <v>No</v>
      </c>
      <c r="AI264" s="983" t="str">
        <f>IFERROR(INDEX(Tabla9[],MATCH(Producción_Lecheria[[#This Row],[Movimiento]],Tabla9[Movimientos],0),2),0)</f>
        <v>No</v>
      </c>
      <c r="AJ264" s="984" t="str">
        <f>IFERROR(INDEX(Tabla9[],MATCH(Producción_Lecheria[[#This Row],[Movimiento]],Tabla9[Movimientos],0),3),0)</f>
        <v>(-)</v>
      </c>
      <c r="AK264" s="986">
        <f>IF(Producción_Lecheria[[#This Row],[Fecha Económico]]=0,0,MONTH(Producción_Lecheria[[#This Row],[Fecha Económico]]))</f>
        <v>8</v>
      </c>
      <c r="AL264" s="986">
        <f>IF(Producción_Lecheria[[#This Row],[Fecha Económico]]=0,0,YEAR(Producción_Lecheria[[#This Row],[Fecha Económico]]))</f>
        <v>2018</v>
      </c>
      <c r="AM264" s="987">
        <f>SUMPRODUCT((Producción_Lecheria[[#This Row],[Mes Económico]]=Tipo_Cambio[Mes])*(Producción_Lecheria[[#This Row],[Año Económico]]=Tipo_Cambio[Año])*(Tipo_Cambio[$/U$S]))</f>
        <v>22.22</v>
      </c>
      <c r="AN264" s="987">
        <f>SUMPRODUCT((Producción_Lecheria[[#This Row],[Mes Económico]]=Tipo_Cambio[Mes])*(Producción_Lecheria[[#This Row],[Año Económico]]=Tipo_Cambio[Año])*(Tipo_Cambio[Actualización]))</f>
        <v>1.02</v>
      </c>
      <c r="AO264" s="986">
        <f>IF(ISNUMBER(Producción_Lecheria[[#This Row],[Fecha Financiero]])=TRUE,MONTH(Producción_Lecheria[[#This Row],[Fecha Financiero]]),0)</f>
        <v>0</v>
      </c>
      <c r="AP264" s="986">
        <f>IF(ISNUMBER(Producción_Lecheria[[#This Row],[Fecha Financiero]])=TRUE,YEAR(Producción_Lecheria[[#This Row],[Fecha Financiero]]),0)</f>
        <v>0</v>
      </c>
      <c r="AQ264" s="987">
        <f>SUMPRODUCT((Producción_Lecheria[[#This Row],[Mes Financiero]]=Tipo_Cambio[Mes])*(Producción_Lecheria[[#This Row],[Año Financiero]]=Tipo_Cambio[Año])*(Tipo_Cambio[$/U$S]))</f>
        <v>0</v>
      </c>
      <c r="AR264" s="987">
        <f>SUMPRODUCT((Producción_Lecheria[[#This Row],[Mes Financiero]]=Tipo_Cambio[Mes])*(Producción_Lecheria[[#This Row],[Año Financiero]]=Tipo_Cambio[Año])*(Tipo_Cambio[Actualización]))</f>
        <v>0</v>
      </c>
      <c r="AS264" s="1009">
        <f>SUMPRODUCT((Producción_Lecheria[[#This Row],[Centro de Costo]]=Tabla1924[Centro de Costo])*(Tabla19[Superficie]))</f>
        <v>2356</v>
      </c>
      <c r="AT264" s="1010">
        <f>IFERROR(Producción_Lecheria[[#This Row],[Económico $Corrientes]]/Producción_Lecheria[[#This Row],[Superficie]],0)</f>
        <v>0</v>
      </c>
      <c r="AU264" s="1010">
        <f>IFERROR(Producción_Lecheria[[#This Row],[Económico $Constantes]]/Producción_Lecheria[[#This Row],[Superficie]],0)</f>
        <v>0</v>
      </c>
      <c r="AV264" s="1010">
        <f>IFERROR(Producción_Lecheria[[#This Row],[Económico U$S Dólares]]/Producción_Lecheria[[#This Row],[Superficie]],0)</f>
        <v>0</v>
      </c>
      <c r="AW264" s="992" t="str">
        <f>IF(Económico!$F$4=0,0,Producción_Lecheria[Centro de Costo])</f>
        <v>Campo 1</v>
      </c>
    </row>
    <row r="265" spans="1:49" x14ac:dyDescent="0.25">
      <c r="A265" s="86"/>
      <c r="D265" s="548"/>
      <c r="E265" s="493"/>
      <c r="F265" s="479" t="str">
        <f t="shared" si="25"/>
        <v>2018-2019</v>
      </c>
      <c r="G265" s="597" t="s">
        <v>201</v>
      </c>
      <c r="H265" s="481" t="s">
        <v>2</v>
      </c>
      <c r="I265" s="491"/>
      <c r="J265" s="549"/>
      <c r="K265" s="484"/>
      <c r="L26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6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65" s="520"/>
      <c r="O26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65" s="563"/>
      <c r="Q265" s="491"/>
      <c r="R265" s="875">
        <f>IF(ISNUMBER(Producción_Lecheria[[#This Row],[Cabezas]])=TRUE,Producción_Lecheria[[#This Row],[Cabezas]]*Producción_Lecheria[[#This Row],[Cantidad]],Producción_Lecheria[[#This Row],[Cantidad]])</f>
        <v>0</v>
      </c>
      <c r="S265" s="491"/>
      <c r="T265" s="552"/>
      <c r="U265" s="553"/>
      <c r="V26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65" s="977">
        <f>IFERROR(Producción_Lecheria[[#This Row],[Económico $Corrientes]]/Producción_Lecheria[[#This Row],[Indexación Económico]],0)</f>
        <v>0</v>
      </c>
      <c r="X26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6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65" s="977">
        <f>IFERROR(Producción_Lecheria[[#This Row],[Financiero $Corrientes]]/Producción_Lecheria[[#This Row],[Indexación Financiero]],0)</f>
        <v>0</v>
      </c>
      <c r="AA26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6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65" s="981">
        <f>IFERROR(Producción_Lecheria[[#This Row],[Intereses $Corrientes]]/Producción_Lecheria[[#This Row],[Indexación Financiero]],0)</f>
        <v>0</v>
      </c>
      <c r="AD26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65" s="991" t="str">
        <f>IFERROR(INDEX(Produccion_Lecheria_Cuentas[],MATCH(Producción_Lecheria[[#This Row],[Cuenta Contable]],Produccion_Lecheria_Cuentas[Cuenta Contable],0),2),0)</f>
        <v>Egreso Cesión</v>
      </c>
      <c r="AF265" s="992">
        <f>IF(Producción_Lecheria[[#This Row],[Mov. Stock]]="(+)",Producción_Lecheria[[#This Row],[Cabezas]],IF(Producción_Lecheria[[#This Row],[Mov. Stock]]="(-)",-Producción_Lecheria[[#This Row],[Cabezas]],0))</f>
        <v>0</v>
      </c>
      <c r="AG265" s="993">
        <f>IFERROR(INDEX(Produccion_Lecheria_Cuentas[],MATCH(Producción_Lecheria[[#This Row],[Cuenta Contable]],Produccion_Lecheria_Cuentas[Cuenta Contable],0),5),0)</f>
        <v>0</v>
      </c>
      <c r="AH265" s="985" t="str">
        <f>IF(Producción_Lecheria[[#This Row],[Cuenta Contable]]=Configuración!$AC$9,"Si","No")</f>
        <v>No</v>
      </c>
      <c r="AI265" s="983" t="str">
        <f>IFERROR(INDEX(Tabla9[],MATCH(Producción_Lecheria[[#This Row],[Movimiento]],Tabla9[Movimientos],0),2),0)</f>
        <v>No</v>
      </c>
      <c r="AJ265" s="984" t="str">
        <f>IFERROR(INDEX(Tabla9[],MATCH(Producción_Lecheria[[#This Row],[Movimiento]],Tabla9[Movimientos],0),3),0)</f>
        <v>(-)</v>
      </c>
      <c r="AK265" s="986">
        <f>IF(Producción_Lecheria[[#This Row],[Fecha Económico]]=0,0,MONTH(Producción_Lecheria[[#This Row],[Fecha Económico]]))</f>
        <v>0</v>
      </c>
      <c r="AL265" s="986">
        <f>IF(Producción_Lecheria[[#This Row],[Fecha Económico]]=0,0,YEAR(Producción_Lecheria[[#This Row],[Fecha Económico]]))</f>
        <v>0</v>
      </c>
      <c r="AM265" s="987">
        <f>SUMPRODUCT((Producción_Lecheria[[#This Row],[Mes Económico]]=Tipo_Cambio[Mes])*(Producción_Lecheria[[#This Row],[Año Económico]]=Tipo_Cambio[Año])*(Tipo_Cambio[$/U$S]))</f>
        <v>0</v>
      </c>
      <c r="AN265" s="987">
        <f>SUMPRODUCT((Producción_Lecheria[[#This Row],[Mes Económico]]=Tipo_Cambio[Mes])*(Producción_Lecheria[[#This Row],[Año Económico]]=Tipo_Cambio[Año])*(Tipo_Cambio[Actualización]))</f>
        <v>0</v>
      </c>
      <c r="AO265" s="986">
        <f>IF(ISNUMBER(Producción_Lecheria[[#This Row],[Fecha Financiero]])=TRUE,MONTH(Producción_Lecheria[[#This Row],[Fecha Financiero]]),0)</f>
        <v>0</v>
      </c>
      <c r="AP265" s="986">
        <f>IF(ISNUMBER(Producción_Lecheria[[#This Row],[Fecha Financiero]])=TRUE,YEAR(Producción_Lecheria[[#This Row],[Fecha Financiero]]),0)</f>
        <v>0</v>
      </c>
      <c r="AQ265" s="987">
        <f>SUMPRODUCT((Producción_Lecheria[[#This Row],[Mes Financiero]]=Tipo_Cambio[Mes])*(Producción_Lecheria[[#This Row],[Año Financiero]]=Tipo_Cambio[Año])*(Tipo_Cambio[$/U$S]))</f>
        <v>0</v>
      </c>
      <c r="AR265" s="987">
        <f>SUMPRODUCT((Producción_Lecheria[[#This Row],[Mes Financiero]]=Tipo_Cambio[Mes])*(Producción_Lecheria[[#This Row],[Año Financiero]]=Tipo_Cambio[Año])*(Tipo_Cambio[Actualización]))</f>
        <v>0</v>
      </c>
      <c r="AS265" s="1009">
        <f>SUMPRODUCT((Producción_Lecheria[[#This Row],[Centro de Costo]]=Tabla1924[Centro de Costo])*(Tabla19[Superficie]))</f>
        <v>2356</v>
      </c>
      <c r="AT265" s="1010">
        <f>IFERROR(Producción_Lecheria[[#This Row],[Económico $Corrientes]]/Producción_Lecheria[[#This Row],[Superficie]],0)</f>
        <v>0</v>
      </c>
      <c r="AU265" s="1010">
        <f>IFERROR(Producción_Lecheria[[#This Row],[Económico $Constantes]]/Producción_Lecheria[[#This Row],[Superficie]],0)</f>
        <v>0</v>
      </c>
      <c r="AV265" s="1010">
        <f>IFERROR(Producción_Lecheria[[#This Row],[Económico U$S Dólares]]/Producción_Lecheria[[#This Row],[Superficie]],0)</f>
        <v>0</v>
      </c>
      <c r="AW265" s="992" t="str">
        <f>IF(Económico!$F$4=0,0,Producción_Lecheria[Centro de Costo])</f>
        <v>Campo 1</v>
      </c>
    </row>
    <row r="266" spans="1:49" x14ac:dyDescent="0.25">
      <c r="A266" s="86"/>
      <c r="D266" s="548"/>
      <c r="E266" s="493"/>
      <c r="F266" s="479" t="str">
        <f t="shared" si="25"/>
        <v>2018-2019</v>
      </c>
      <c r="G266" s="597" t="s">
        <v>201</v>
      </c>
      <c r="H266" s="481" t="s">
        <v>2</v>
      </c>
      <c r="I266" s="491"/>
      <c r="J266" s="549"/>
      <c r="K266" s="484"/>
      <c r="L26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6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66" s="520"/>
      <c r="O26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66" s="563"/>
      <c r="Q266" s="491"/>
      <c r="R266" s="875">
        <f>IF(ISNUMBER(Producción_Lecheria[[#This Row],[Cabezas]])=TRUE,Producción_Lecheria[[#This Row],[Cabezas]]*Producción_Lecheria[[#This Row],[Cantidad]],Producción_Lecheria[[#This Row],[Cantidad]])</f>
        <v>0</v>
      </c>
      <c r="S266" s="491"/>
      <c r="T266" s="552"/>
      <c r="U266" s="553"/>
      <c r="V26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66" s="977">
        <f>IFERROR(Producción_Lecheria[[#This Row],[Económico $Corrientes]]/Producción_Lecheria[[#This Row],[Indexación Económico]],0)</f>
        <v>0</v>
      </c>
      <c r="X26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6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66" s="977">
        <f>IFERROR(Producción_Lecheria[[#This Row],[Financiero $Corrientes]]/Producción_Lecheria[[#This Row],[Indexación Financiero]],0)</f>
        <v>0</v>
      </c>
      <c r="AA26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6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66" s="981">
        <f>IFERROR(Producción_Lecheria[[#This Row],[Intereses $Corrientes]]/Producción_Lecheria[[#This Row],[Indexación Financiero]],0)</f>
        <v>0</v>
      </c>
      <c r="AD26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66" s="991" t="str">
        <f>IFERROR(INDEX(Produccion_Lecheria_Cuentas[],MATCH(Producción_Lecheria[[#This Row],[Cuenta Contable]],Produccion_Lecheria_Cuentas[Cuenta Contable],0),2),0)</f>
        <v>Egreso Cesión</v>
      </c>
      <c r="AF266" s="992">
        <f>IF(Producción_Lecheria[[#This Row],[Mov. Stock]]="(+)",Producción_Lecheria[[#This Row],[Cabezas]],IF(Producción_Lecheria[[#This Row],[Mov. Stock]]="(-)",-Producción_Lecheria[[#This Row],[Cabezas]],0))</f>
        <v>0</v>
      </c>
      <c r="AG266" s="993">
        <f>IFERROR(INDEX(Produccion_Lecheria_Cuentas[],MATCH(Producción_Lecheria[[#This Row],[Cuenta Contable]],Produccion_Lecheria_Cuentas[Cuenta Contable],0),5),0)</f>
        <v>0</v>
      </c>
      <c r="AH266" s="985" t="str">
        <f>IF(Producción_Lecheria[[#This Row],[Cuenta Contable]]=Configuración!$AC$9,"Si","No")</f>
        <v>No</v>
      </c>
      <c r="AI266" s="983" t="str">
        <f>IFERROR(INDEX(Tabla9[],MATCH(Producción_Lecheria[[#This Row],[Movimiento]],Tabla9[Movimientos],0),2),0)</f>
        <v>No</v>
      </c>
      <c r="AJ266" s="984" t="str">
        <f>IFERROR(INDEX(Tabla9[],MATCH(Producción_Lecheria[[#This Row],[Movimiento]],Tabla9[Movimientos],0),3),0)</f>
        <v>(-)</v>
      </c>
      <c r="AK266" s="986">
        <f>IF(Producción_Lecheria[[#This Row],[Fecha Económico]]=0,0,MONTH(Producción_Lecheria[[#This Row],[Fecha Económico]]))</f>
        <v>0</v>
      </c>
      <c r="AL266" s="986">
        <f>IF(Producción_Lecheria[[#This Row],[Fecha Económico]]=0,0,YEAR(Producción_Lecheria[[#This Row],[Fecha Económico]]))</f>
        <v>0</v>
      </c>
      <c r="AM266" s="987">
        <f>SUMPRODUCT((Producción_Lecheria[[#This Row],[Mes Económico]]=Tipo_Cambio[Mes])*(Producción_Lecheria[[#This Row],[Año Económico]]=Tipo_Cambio[Año])*(Tipo_Cambio[$/U$S]))</f>
        <v>0</v>
      </c>
      <c r="AN266" s="987">
        <f>SUMPRODUCT((Producción_Lecheria[[#This Row],[Mes Económico]]=Tipo_Cambio[Mes])*(Producción_Lecheria[[#This Row],[Año Económico]]=Tipo_Cambio[Año])*(Tipo_Cambio[Actualización]))</f>
        <v>0</v>
      </c>
      <c r="AO266" s="986">
        <f>IF(ISNUMBER(Producción_Lecheria[[#This Row],[Fecha Financiero]])=TRUE,MONTH(Producción_Lecheria[[#This Row],[Fecha Financiero]]),0)</f>
        <v>0</v>
      </c>
      <c r="AP266" s="986">
        <f>IF(ISNUMBER(Producción_Lecheria[[#This Row],[Fecha Financiero]])=TRUE,YEAR(Producción_Lecheria[[#This Row],[Fecha Financiero]]),0)</f>
        <v>0</v>
      </c>
      <c r="AQ266" s="987">
        <f>SUMPRODUCT((Producción_Lecheria[[#This Row],[Mes Financiero]]=Tipo_Cambio[Mes])*(Producción_Lecheria[[#This Row],[Año Financiero]]=Tipo_Cambio[Año])*(Tipo_Cambio[$/U$S]))</f>
        <v>0</v>
      </c>
      <c r="AR266" s="987">
        <f>SUMPRODUCT((Producción_Lecheria[[#This Row],[Mes Financiero]]=Tipo_Cambio[Mes])*(Producción_Lecheria[[#This Row],[Año Financiero]]=Tipo_Cambio[Año])*(Tipo_Cambio[Actualización]))</f>
        <v>0</v>
      </c>
      <c r="AS266" s="1009">
        <f>SUMPRODUCT((Producción_Lecheria[[#This Row],[Centro de Costo]]=Tabla1924[Centro de Costo])*(Tabla19[Superficie]))</f>
        <v>2356</v>
      </c>
      <c r="AT266" s="1010">
        <f>IFERROR(Producción_Lecheria[[#This Row],[Económico $Corrientes]]/Producción_Lecheria[[#This Row],[Superficie]],0)</f>
        <v>0</v>
      </c>
      <c r="AU266" s="1010">
        <f>IFERROR(Producción_Lecheria[[#This Row],[Económico $Constantes]]/Producción_Lecheria[[#This Row],[Superficie]],0)</f>
        <v>0</v>
      </c>
      <c r="AV266" s="1010">
        <f>IFERROR(Producción_Lecheria[[#This Row],[Económico U$S Dólares]]/Producción_Lecheria[[#This Row],[Superficie]],0)</f>
        <v>0</v>
      </c>
      <c r="AW266" s="992" t="str">
        <f>IF(Económico!$F$4=0,0,Producción_Lecheria[Centro de Costo])</f>
        <v>Campo 1</v>
      </c>
    </row>
    <row r="267" spans="1:49" x14ac:dyDescent="0.25">
      <c r="A267" s="86"/>
      <c r="D267" s="548"/>
      <c r="E267" s="493"/>
      <c r="F267" s="479" t="str">
        <f t="shared" si="25"/>
        <v>2018-2019</v>
      </c>
      <c r="G267" s="597" t="s">
        <v>201</v>
      </c>
      <c r="H267" s="481" t="s">
        <v>2</v>
      </c>
      <c r="I267" s="491"/>
      <c r="J267" s="549"/>
      <c r="K267" s="484"/>
      <c r="L26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6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67" s="520"/>
      <c r="O26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67" s="563"/>
      <c r="Q267" s="491"/>
      <c r="R267" s="875">
        <f>IF(ISNUMBER(Producción_Lecheria[[#This Row],[Cabezas]])=TRUE,Producción_Lecheria[[#This Row],[Cabezas]]*Producción_Lecheria[[#This Row],[Cantidad]],Producción_Lecheria[[#This Row],[Cantidad]])</f>
        <v>0</v>
      </c>
      <c r="S267" s="491"/>
      <c r="T267" s="552"/>
      <c r="U267" s="553"/>
      <c r="V26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67" s="977">
        <f>IFERROR(Producción_Lecheria[[#This Row],[Económico $Corrientes]]/Producción_Lecheria[[#This Row],[Indexación Económico]],0)</f>
        <v>0</v>
      </c>
      <c r="X26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6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67" s="977">
        <f>IFERROR(Producción_Lecheria[[#This Row],[Financiero $Corrientes]]/Producción_Lecheria[[#This Row],[Indexación Financiero]],0)</f>
        <v>0</v>
      </c>
      <c r="AA26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6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67" s="981">
        <f>IFERROR(Producción_Lecheria[[#This Row],[Intereses $Corrientes]]/Producción_Lecheria[[#This Row],[Indexación Financiero]],0)</f>
        <v>0</v>
      </c>
      <c r="AD26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67" s="991" t="str">
        <f>IFERROR(INDEX(Produccion_Lecheria_Cuentas[],MATCH(Producción_Lecheria[[#This Row],[Cuenta Contable]],Produccion_Lecheria_Cuentas[Cuenta Contable],0),2),0)</f>
        <v>Egreso Cesión</v>
      </c>
      <c r="AF267" s="992">
        <f>IF(Producción_Lecheria[[#This Row],[Mov. Stock]]="(+)",Producción_Lecheria[[#This Row],[Cabezas]],IF(Producción_Lecheria[[#This Row],[Mov. Stock]]="(-)",-Producción_Lecheria[[#This Row],[Cabezas]],0))</f>
        <v>0</v>
      </c>
      <c r="AG267" s="993">
        <f>IFERROR(INDEX(Produccion_Lecheria_Cuentas[],MATCH(Producción_Lecheria[[#This Row],[Cuenta Contable]],Produccion_Lecheria_Cuentas[Cuenta Contable],0),5),0)</f>
        <v>0</v>
      </c>
      <c r="AH267" s="985" t="str">
        <f>IF(Producción_Lecheria[[#This Row],[Cuenta Contable]]=Configuración!$AC$9,"Si","No")</f>
        <v>No</v>
      </c>
      <c r="AI267" s="983" t="str">
        <f>IFERROR(INDEX(Tabla9[],MATCH(Producción_Lecheria[[#This Row],[Movimiento]],Tabla9[Movimientos],0),2),0)</f>
        <v>No</v>
      </c>
      <c r="AJ267" s="984" t="str">
        <f>IFERROR(INDEX(Tabla9[],MATCH(Producción_Lecheria[[#This Row],[Movimiento]],Tabla9[Movimientos],0),3),0)</f>
        <v>(-)</v>
      </c>
      <c r="AK267" s="986">
        <f>IF(Producción_Lecheria[[#This Row],[Fecha Económico]]=0,0,MONTH(Producción_Lecheria[[#This Row],[Fecha Económico]]))</f>
        <v>0</v>
      </c>
      <c r="AL267" s="986">
        <f>IF(Producción_Lecheria[[#This Row],[Fecha Económico]]=0,0,YEAR(Producción_Lecheria[[#This Row],[Fecha Económico]]))</f>
        <v>0</v>
      </c>
      <c r="AM267" s="987">
        <f>SUMPRODUCT((Producción_Lecheria[[#This Row],[Mes Económico]]=Tipo_Cambio[Mes])*(Producción_Lecheria[[#This Row],[Año Económico]]=Tipo_Cambio[Año])*(Tipo_Cambio[$/U$S]))</f>
        <v>0</v>
      </c>
      <c r="AN267" s="987">
        <f>SUMPRODUCT((Producción_Lecheria[[#This Row],[Mes Económico]]=Tipo_Cambio[Mes])*(Producción_Lecheria[[#This Row],[Año Económico]]=Tipo_Cambio[Año])*(Tipo_Cambio[Actualización]))</f>
        <v>0</v>
      </c>
      <c r="AO267" s="986">
        <f>IF(ISNUMBER(Producción_Lecheria[[#This Row],[Fecha Financiero]])=TRUE,MONTH(Producción_Lecheria[[#This Row],[Fecha Financiero]]),0)</f>
        <v>0</v>
      </c>
      <c r="AP267" s="986">
        <f>IF(ISNUMBER(Producción_Lecheria[[#This Row],[Fecha Financiero]])=TRUE,YEAR(Producción_Lecheria[[#This Row],[Fecha Financiero]]),0)</f>
        <v>0</v>
      </c>
      <c r="AQ267" s="987">
        <f>SUMPRODUCT((Producción_Lecheria[[#This Row],[Mes Financiero]]=Tipo_Cambio[Mes])*(Producción_Lecheria[[#This Row],[Año Financiero]]=Tipo_Cambio[Año])*(Tipo_Cambio[$/U$S]))</f>
        <v>0</v>
      </c>
      <c r="AR267" s="987">
        <f>SUMPRODUCT((Producción_Lecheria[[#This Row],[Mes Financiero]]=Tipo_Cambio[Mes])*(Producción_Lecheria[[#This Row],[Año Financiero]]=Tipo_Cambio[Año])*(Tipo_Cambio[Actualización]))</f>
        <v>0</v>
      </c>
      <c r="AS267" s="1009">
        <f>SUMPRODUCT((Producción_Lecheria[[#This Row],[Centro de Costo]]=Tabla1924[Centro de Costo])*(Tabla19[Superficie]))</f>
        <v>2356</v>
      </c>
      <c r="AT267" s="1010">
        <f>IFERROR(Producción_Lecheria[[#This Row],[Económico $Corrientes]]/Producción_Lecheria[[#This Row],[Superficie]],0)</f>
        <v>0</v>
      </c>
      <c r="AU267" s="1010">
        <f>IFERROR(Producción_Lecheria[[#This Row],[Económico $Constantes]]/Producción_Lecheria[[#This Row],[Superficie]],0)</f>
        <v>0</v>
      </c>
      <c r="AV267" s="1010">
        <f>IFERROR(Producción_Lecheria[[#This Row],[Económico U$S Dólares]]/Producción_Lecheria[[#This Row],[Superficie]],0)</f>
        <v>0</v>
      </c>
      <c r="AW267" s="992" t="str">
        <f>IF(Económico!$F$4=0,0,Producción_Lecheria[Centro de Costo])</f>
        <v>Campo 1</v>
      </c>
    </row>
    <row r="268" spans="1:49" x14ac:dyDescent="0.25">
      <c r="A268" s="86"/>
      <c r="D268" s="548"/>
      <c r="E268" s="493"/>
      <c r="F268" s="479" t="str">
        <f t="shared" si="25"/>
        <v>2018-2019</v>
      </c>
      <c r="G268" s="576"/>
      <c r="H268" s="481"/>
      <c r="I268" s="491"/>
      <c r="J268" s="549"/>
      <c r="K268" s="484"/>
      <c r="L26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6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68" s="520"/>
      <c r="O26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68" s="563"/>
      <c r="Q268" s="491"/>
      <c r="R268" s="875">
        <f>IF(ISNUMBER(Producción_Lecheria[[#This Row],[Cabezas]])=TRUE,Producción_Lecheria[[#This Row],[Cabezas]]*Producción_Lecheria[[#This Row],[Cantidad]],Producción_Lecheria[[#This Row],[Cantidad]])</f>
        <v>0</v>
      </c>
      <c r="S268" s="491"/>
      <c r="T268" s="552"/>
      <c r="U268" s="553"/>
      <c r="V26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68" s="977">
        <f>IFERROR(Producción_Lecheria[[#This Row],[Económico $Corrientes]]/Producción_Lecheria[[#This Row],[Indexación Económico]],0)</f>
        <v>0</v>
      </c>
      <c r="X26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6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68" s="977">
        <f>IFERROR(Producción_Lecheria[[#This Row],[Financiero $Corrientes]]/Producción_Lecheria[[#This Row],[Indexación Financiero]],0)</f>
        <v>0</v>
      </c>
      <c r="AA26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6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68" s="981">
        <f>IFERROR(Producción_Lecheria[[#This Row],[Intereses $Corrientes]]/Producción_Lecheria[[#This Row],[Indexación Financiero]],0)</f>
        <v>0</v>
      </c>
      <c r="AD26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68" s="991">
        <f>IFERROR(INDEX(Produccion_Lecheria_Cuentas[],MATCH(Producción_Lecheria[[#This Row],[Cuenta Contable]],Produccion_Lecheria_Cuentas[Cuenta Contable],0),2),0)</f>
        <v>0</v>
      </c>
      <c r="AF268" s="992">
        <f>IF(Producción_Lecheria[[#This Row],[Mov. Stock]]="(+)",Producción_Lecheria[[#This Row],[Cabezas]],IF(Producción_Lecheria[[#This Row],[Mov. Stock]]="(-)",-Producción_Lecheria[[#This Row],[Cabezas]],0))</f>
        <v>0</v>
      </c>
      <c r="AG268" s="993">
        <f>IFERROR(INDEX(Produccion_Lecheria_Cuentas[],MATCH(Producción_Lecheria[[#This Row],[Cuenta Contable]],Produccion_Lecheria_Cuentas[Cuenta Contable],0),5),0)</f>
        <v>0</v>
      </c>
      <c r="AH268" s="985" t="str">
        <f>IF(Producción_Lecheria[[#This Row],[Cuenta Contable]]=Configuración!$AC$9,"Si","No")</f>
        <v>No</v>
      </c>
      <c r="AI268" s="983">
        <f>IFERROR(INDEX(Tabla9[],MATCH(Producción_Lecheria[[#This Row],[Movimiento]],Tabla9[Movimientos],0),2),0)</f>
        <v>0</v>
      </c>
      <c r="AJ268" s="984">
        <f>IFERROR(INDEX(Tabla9[],MATCH(Producción_Lecheria[[#This Row],[Movimiento]],Tabla9[Movimientos],0),3),0)</f>
        <v>0</v>
      </c>
      <c r="AK268" s="986">
        <f>IF(Producción_Lecheria[[#This Row],[Fecha Económico]]=0,0,MONTH(Producción_Lecheria[[#This Row],[Fecha Económico]]))</f>
        <v>0</v>
      </c>
      <c r="AL268" s="986">
        <f>IF(Producción_Lecheria[[#This Row],[Fecha Económico]]=0,0,YEAR(Producción_Lecheria[[#This Row],[Fecha Económico]]))</f>
        <v>0</v>
      </c>
      <c r="AM268" s="987">
        <f>SUMPRODUCT((Producción_Lecheria[[#This Row],[Mes Económico]]=Tipo_Cambio[Mes])*(Producción_Lecheria[[#This Row],[Año Económico]]=Tipo_Cambio[Año])*(Tipo_Cambio[$/U$S]))</f>
        <v>0</v>
      </c>
      <c r="AN268" s="987">
        <f>SUMPRODUCT((Producción_Lecheria[[#This Row],[Mes Económico]]=Tipo_Cambio[Mes])*(Producción_Lecheria[[#This Row],[Año Económico]]=Tipo_Cambio[Año])*(Tipo_Cambio[Actualización]))</f>
        <v>0</v>
      </c>
      <c r="AO268" s="986">
        <f>IF(ISNUMBER(Producción_Lecheria[[#This Row],[Fecha Financiero]])=TRUE,MONTH(Producción_Lecheria[[#This Row],[Fecha Financiero]]),0)</f>
        <v>0</v>
      </c>
      <c r="AP268" s="986">
        <f>IF(ISNUMBER(Producción_Lecheria[[#This Row],[Fecha Financiero]])=TRUE,YEAR(Producción_Lecheria[[#This Row],[Fecha Financiero]]),0)</f>
        <v>0</v>
      </c>
      <c r="AQ268" s="987">
        <f>SUMPRODUCT((Producción_Lecheria[[#This Row],[Mes Financiero]]=Tipo_Cambio[Mes])*(Producción_Lecheria[[#This Row],[Año Financiero]]=Tipo_Cambio[Año])*(Tipo_Cambio[$/U$S]))</f>
        <v>0</v>
      </c>
      <c r="AR268" s="987">
        <f>SUMPRODUCT((Producción_Lecheria[[#This Row],[Mes Financiero]]=Tipo_Cambio[Mes])*(Producción_Lecheria[[#This Row],[Año Financiero]]=Tipo_Cambio[Año])*(Tipo_Cambio[Actualización]))</f>
        <v>0</v>
      </c>
      <c r="AS268" s="1009">
        <f>SUMPRODUCT((Producción_Lecheria[[#This Row],[Centro de Costo]]=Tabla1924[Centro de Costo])*(Tabla19[Superficie]))</f>
        <v>0</v>
      </c>
      <c r="AT268" s="1010">
        <f>IFERROR(Producción_Lecheria[[#This Row],[Económico $Corrientes]]/Producción_Lecheria[[#This Row],[Superficie]],0)</f>
        <v>0</v>
      </c>
      <c r="AU268" s="1010">
        <f>IFERROR(Producción_Lecheria[[#This Row],[Económico $Constantes]]/Producción_Lecheria[[#This Row],[Superficie]],0)</f>
        <v>0</v>
      </c>
      <c r="AV268" s="1010">
        <f>IFERROR(Producción_Lecheria[[#This Row],[Económico U$S Dólares]]/Producción_Lecheria[[#This Row],[Superficie]],0)</f>
        <v>0</v>
      </c>
      <c r="AW268" s="992">
        <f>IF(Económico!$F$4=0,0,Producción_Lecheria[Centro de Costo])</f>
        <v>0</v>
      </c>
    </row>
    <row r="269" spans="1:49" ht="15.75" thickBot="1" x14ac:dyDescent="0.3">
      <c r="A269" s="86"/>
      <c r="B269" s="373" t="s">
        <v>101</v>
      </c>
      <c r="D269" s="548"/>
      <c r="E269" s="493"/>
      <c r="F269" s="479" t="str">
        <f t="shared" si="25"/>
        <v>2018-2019</v>
      </c>
      <c r="G269" s="576"/>
      <c r="H269" s="481"/>
      <c r="I269" s="491"/>
      <c r="J269" s="549"/>
      <c r="K269" s="484"/>
      <c r="L26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6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69" s="520"/>
      <c r="O26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69" s="563"/>
      <c r="Q269" s="491"/>
      <c r="R269" s="875">
        <f>IF(ISNUMBER(Producción_Lecheria[[#This Row],[Cabezas]])=TRUE,Producción_Lecheria[[#This Row],[Cabezas]]*Producción_Lecheria[[#This Row],[Cantidad]],Producción_Lecheria[[#This Row],[Cantidad]])</f>
        <v>0</v>
      </c>
      <c r="S269" s="491"/>
      <c r="T269" s="552"/>
      <c r="U269" s="553"/>
      <c r="V26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69" s="977">
        <f>IFERROR(Producción_Lecheria[[#This Row],[Económico $Corrientes]]/Producción_Lecheria[[#This Row],[Indexación Económico]],0)</f>
        <v>0</v>
      </c>
      <c r="X26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6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69" s="977">
        <f>IFERROR(Producción_Lecheria[[#This Row],[Financiero $Corrientes]]/Producción_Lecheria[[#This Row],[Indexación Financiero]],0)</f>
        <v>0</v>
      </c>
      <c r="AA26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6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69" s="981">
        <f>IFERROR(Producción_Lecheria[[#This Row],[Intereses $Corrientes]]/Producción_Lecheria[[#This Row],[Indexación Financiero]],0)</f>
        <v>0</v>
      </c>
      <c r="AD26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69" s="991">
        <f>IFERROR(INDEX(Produccion_Lecheria_Cuentas[],MATCH(Producción_Lecheria[[#This Row],[Cuenta Contable]],Produccion_Lecheria_Cuentas[Cuenta Contable],0),2),0)</f>
        <v>0</v>
      </c>
      <c r="AF269" s="992">
        <f>IF(Producción_Lecheria[[#This Row],[Mov. Stock]]="(+)",Producción_Lecheria[[#This Row],[Cabezas]],IF(Producción_Lecheria[[#This Row],[Mov. Stock]]="(-)",-Producción_Lecheria[[#This Row],[Cabezas]],0))</f>
        <v>0</v>
      </c>
      <c r="AG269" s="993">
        <f>IFERROR(INDEX(Produccion_Lecheria_Cuentas[],MATCH(Producción_Lecheria[[#This Row],[Cuenta Contable]],Produccion_Lecheria_Cuentas[Cuenta Contable],0),5),0)</f>
        <v>0</v>
      </c>
      <c r="AH269" s="985" t="str">
        <f>IF(Producción_Lecheria[[#This Row],[Cuenta Contable]]=Configuración!$AC$9,"Si","No")</f>
        <v>No</v>
      </c>
      <c r="AI269" s="983">
        <f>IFERROR(INDEX(Tabla9[],MATCH(Producción_Lecheria[[#This Row],[Movimiento]],Tabla9[Movimientos],0),2),0)</f>
        <v>0</v>
      </c>
      <c r="AJ269" s="984">
        <f>IFERROR(INDEX(Tabla9[],MATCH(Producción_Lecheria[[#This Row],[Movimiento]],Tabla9[Movimientos],0),3),0)</f>
        <v>0</v>
      </c>
      <c r="AK269" s="986">
        <f>IF(Producción_Lecheria[[#This Row],[Fecha Económico]]=0,0,MONTH(Producción_Lecheria[[#This Row],[Fecha Económico]]))</f>
        <v>0</v>
      </c>
      <c r="AL269" s="986">
        <f>IF(Producción_Lecheria[[#This Row],[Fecha Económico]]=0,0,YEAR(Producción_Lecheria[[#This Row],[Fecha Económico]]))</f>
        <v>0</v>
      </c>
      <c r="AM269" s="987">
        <f>SUMPRODUCT((Producción_Lecheria[[#This Row],[Mes Económico]]=Tipo_Cambio[Mes])*(Producción_Lecheria[[#This Row],[Año Económico]]=Tipo_Cambio[Año])*(Tipo_Cambio[$/U$S]))</f>
        <v>0</v>
      </c>
      <c r="AN269" s="987">
        <f>SUMPRODUCT((Producción_Lecheria[[#This Row],[Mes Económico]]=Tipo_Cambio[Mes])*(Producción_Lecheria[[#This Row],[Año Económico]]=Tipo_Cambio[Año])*(Tipo_Cambio[Actualización]))</f>
        <v>0</v>
      </c>
      <c r="AO269" s="986">
        <f>IF(ISNUMBER(Producción_Lecheria[[#This Row],[Fecha Financiero]])=TRUE,MONTH(Producción_Lecheria[[#This Row],[Fecha Financiero]]),0)</f>
        <v>0</v>
      </c>
      <c r="AP269" s="986">
        <f>IF(ISNUMBER(Producción_Lecheria[[#This Row],[Fecha Financiero]])=TRUE,YEAR(Producción_Lecheria[[#This Row],[Fecha Financiero]]),0)</f>
        <v>0</v>
      </c>
      <c r="AQ269" s="987">
        <f>SUMPRODUCT((Producción_Lecheria[[#This Row],[Mes Financiero]]=Tipo_Cambio[Mes])*(Producción_Lecheria[[#This Row],[Año Financiero]]=Tipo_Cambio[Año])*(Tipo_Cambio[$/U$S]))</f>
        <v>0</v>
      </c>
      <c r="AR269" s="987">
        <f>SUMPRODUCT((Producción_Lecheria[[#This Row],[Mes Financiero]]=Tipo_Cambio[Mes])*(Producción_Lecheria[[#This Row],[Año Financiero]]=Tipo_Cambio[Año])*(Tipo_Cambio[Actualización]))</f>
        <v>0</v>
      </c>
      <c r="AS269" s="1009">
        <f>SUMPRODUCT((Producción_Lecheria[[#This Row],[Centro de Costo]]=Tabla1924[Centro de Costo])*(Tabla19[Superficie]))</f>
        <v>0</v>
      </c>
      <c r="AT269" s="1010">
        <f>IFERROR(Producción_Lecheria[[#This Row],[Económico $Corrientes]]/Producción_Lecheria[[#This Row],[Superficie]],0)</f>
        <v>0</v>
      </c>
      <c r="AU269" s="1010">
        <f>IFERROR(Producción_Lecheria[[#This Row],[Económico $Constantes]]/Producción_Lecheria[[#This Row],[Superficie]],0)</f>
        <v>0</v>
      </c>
      <c r="AV269" s="1010">
        <f>IFERROR(Producción_Lecheria[[#This Row],[Económico U$S Dólares]]/Producción_Lecheria[[#This Row],[Superficie]],0)</f>
        <v>0</v>
      </c>
      <c r="AW269" s="992">
        <f>IF(Económico!$F$4=0,0,Producción_Lecheria[Centro de Costo])</f>
        <v>0</v>
      </c>
    </row>
    <row r="270" spans="1:49" ht="15.75" thickTop="1" x14ac:dyDescent="0.25">
      <c r="A270" s="86"/>
      <c r="B270" s="1136" t="s">
        <v>124</v>
      </c>
      <c r="D270" s="579">
        <f>DATE(LEFT(Producción_Lecheria[[#This Row],[Campaña]],4),7,1)</f>
        <v>43282</v>
      </c>
      <c r="E270" s="580"/>
      <c r="F270" s="556" t="str">
        <f t="shared" si="25"/>
        <v>2018-2019</v>
      </c>
      <c r="G270" s="598" t="s">
        <v>124</v>
      </c>
      <c r="H270" s="551" t="s">
        <v>2</v>
      </c>
      <c r="I270" s="551"/>
      <c r="J270" s="558"/>
      <c r="K270" s="577"/>
      <c r="L270" s="964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70" s="961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70" s="559"/>
      <c r="O270" s="972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70" s="578"/>
      <c r="Q270" s="551"/>
      <c r="R270" s="975">
        <f>IF(ISNUMBER(Producción_Lecheria[[#This Row],[Cabezas]])=TRUE,Producción_Lecheria[[#This Row],[Cabezas]]*Producción_Lecheria[[#This Row],[Cantidad]],Producción_Lecheria[[#This Row],[Cantidad]])</f>
        <v>0</v>
      </c>
      <c r="S270" s="551"/>
      <c r="T270" s="561"/>
      <c r="U270" s="562"/>
      <c r="V270" s="995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70" s="996">
        <f>IFERROR(Producción_Lecheria[[#This Row],[Económico $Corrientes]]/Producción_Lecheria[[#This Row],[Indexación Económico]],0)</f>
        <v>0</v>
      </c>
      <c r="X270" s="997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70" s="995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70" s="996">
        <f>IFERROR(Producción_Lecheria[[#This Row],[Financiero $Corrientes]]/Producción_Lecheria[[#This Row],[Indexación Financiero]],0)</f>
        <v>0</v>
      </c>
      <c r="AA270" s="998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70" s="999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70" s="1000">
        <f>IFERROR(Producción_Lecheria[[#This Row],[Intereses $Corrientes]]/Producción_Lecheria[[#This Row],[Indexación Financiero]],0)</f>
        <v>0</v>
      </c>
      <c r="AD270" s="1000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70" s="1001" t="str">
        <f>IFERROR(INDEX(Produccion_Lecheria_Cuentas[],MATCH(Producción_Lecheria[[#This Row],[Cuenta Contable]],Produccion_Lecheria_Cuentas[Cuenta Contable],0),2),0)</f>
        <v>Egreso</v>
      </c>
      <c r="AF270" s="1002">
        <f>IF(Producción_Lecheria[[#This Row],[Mov. Stock]]="(+)",Producción_Lecheria[[#This Row],[Cabezas]],IF(Producción_Lecheria[[#This Row],[Mov. Stock]]="(-)",-Producción_Lecheria[[#This Row],[Cabezas]],0))</f>
        <v>0</v>
      </c>
      <c r="AG270" s="1003">
        <f>IFERROR(INDEX(Produccion_Lecheria_Cuentas[],MATCH(Producción_Lecheria[[#This Row],[Cuenta Contable]],Produccion_Lecheria_Cuentas[Cuenta Contable],0),5),0)</f>
        <v>0</v>
      </c>
      <c r="AH270" s="1007" t="str">
        <f>IF(Producción_Lecheria[[#This Row],[Cuenta Contable]]=Configuración!$AC$9,"Si","No")</f>
        <v>No</v>
      </c>
      <c r="AI270" s="1005" t="str">
        <f>IFERROR(INDEX(Tabla9[],MATCH(Producción_Lecheria[[#This Row],[Movimiento]],Tabla9[Movimientos],0),2),0)</f>
        <v>Si</v>
      </c>
      <c r="AJ270" s="1006" t="str">
        <f>IFERROR(INDEX(Tabla9[],MATCH(Producción_Lecheria[[#This Row],[Movimiento]],Tabla9[Movimientos],0),3),0)</f>
        <v>(-)</v>
      </c>
      <c r="AK270" s="1000">
        <f>IF(Producción_Lecheria[[#This Row],[Fecha Económico]]=0,0,MONTH(Producción_Lecheria[[#This Row],[Fecha Económico]]))</f>
        <v>7</v>
      </c>
      <c r="AL270" s="1000">
        <f>IF(Producción_Lecheria[[#This Row],[Fecha Económico]]=0,0,YEAR(Producción_Lecheria[[#This Row],[Fecha Económico]]))</f>
        <v>2018</v>
      </c>
      <c r="AM270" s="1007">
        <f>SUMPRODUCT((Producción_Lecheria[[#This Row],[Mes Económico]]=Tipo_Cambio[Mes])*(Producción_Lecheria[[#This Row],[Año Económico]]=Tipo_Cambio[Año])*(Tipo_Cambio[$/U$S]))</f>
        <v>22</v>
      </c>
      <c r="AN270" s="1007">
        <f>SUMPRODUCT((Producción_Lecheria[[#This Row],[Mes Económico]]=Tipo_Cambio[Mes])*(Producción_Lecheria[[#This Row],[Año Económico]]=Tipo_Cambio[Año])*(Tipo_Cambio[Actualización]))</f>
        <v>1</v>
      </c>
      <c r="AO270" s="1000">
        <f>IF(ISNUMBER(Producción_Lecheria[[#This Row],[Fecha Financiero]])=TRUE,MONTH(Producción_Lecheria[[#This Row],[Fecha Financiero]]),0)</f>
        <v>0</v>
      </c>
      <c r="AP270" s="1000">
        <f>IF(ISNUMBER(Producción_Lecheria[[#This Row],[Fecha Financiero]])=TRUE,YEAR(Producción_Lecheria[[#This Row],[Fecha Financiero]]),0)</f>
        <v>0</v>
      </c>
      <c r="AQ270" s="1007">
        <f>SUMPRODUCT((Producción_Lecheria[[#This Row],[Mes Financiero]]=Tipo_Cambio[Mes])*(Producción_Lecheria[[#This Row],[Año Financiero]]=Tipo_Cambio[Año])*(Tipo_Cambio[$/U$S]))</f>
        <v>0</v>
      </c>
      <c r="AR270" s="1007">
        <f>SUMPRODUCT((Producción_Lecheria[[#This Row],[Mes Financiero]]=Tipo_Cambio[Mes])*(Producción_Lecheria[[#This Row],[Año Financiero]]=Tipo_Cambio[Año])*(Tipo_Cambio[Actualización]))</f>
        <v>0</v>
      </c>
      <c r="AS270" s="1027">
        <f>SUMPRODUCT((Producción_Lecheria[[#This Row],[Centro de Costo]]=Tabla1924[Centro de Costo])*(Tabla19[Superficie]))</f>
        <v>2356</v>
      </c>
      <c r="AT270" s="1004">
        <f>IFERROR(Producción_Lecheria[[#This Row],[Económico $Corrientes]]/Producción_Lecheria[[#This Row],[Superficie]],0)</f>
        <v>0</v>
      </c>
      <c r="AU270" s="1004">
        <f>IFERROR(Producción_Lecheria[[#This Row],[Económico $Constantes]]/Producción_Lecheria[[#This Row],[Superficie]],0)</f>
        <v>0</v>
      </c>
      <c r="AV270" s="1004">
        <f>IFERROR(Producción_Lecheria[[#This Row],[Económico U$S Dólares]]/Producción_Lecheria[[#This Row],[Superficie]],0)</f>
        <v>0</v>
      </c>
      <c r="AW270" s="1002" t="str">
        <f>IF(Económico!$F$4=0,0,Producción_Lecheria[Centro de Costo])</f>
        <v>Campo 1</v>
      </c>
    </row>
    <row r="271" spans="1:49" x14ac:dyDescent="0.25">
      <c r="A271" s="86"/>
      <c r="B271" s="1136"/>
      <c r="D271" s="548">
        <f>DATE(IF(MONTH(D270)=1,YEAR(D270+1),YEAR(D270)),MONTH(D270)+1,1)</f>
        <v>43313</v>
      </c>
      <c r="E271" s="493"/>
      <c r="F271" s="479" t="str">
        <f t="shared" si="25"/>
        <v>2018-2019</v>
      </c>
      <c r="G271" s="597" t="s">
        <v>124</v>
      </c>
      <c r="H271" s="481" t="s">
        <v>2</v>
      </c>
      <c r="I271" s="491"/>
      <c r="J271" s="549"/>
      <c r="K271" s="484"/>
      <c r="L27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7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71" s="520"/>
      <c r="O27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71" s="563"/>
      <c r="Q271" s="491"/>
      <c r="R271" s="875">
        <f>IF(ISNUMBER(Producción_Lecheria[[#This Row],[Cabezas]])=TRUE,Producción_Lecheria[[#This Row],[Cabezas]]*Producción_Lecheria[[#This Row],[Cantidad]],Producción_Lecheria[[#This Row],[Cantidad]])</f>
        <v>0</v>
      </c>
      <c r="S271" s="491"/>
      <c r="T271" s="552"/>
      <c r="U271" s="553"/>
      <c r="V27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71" s="977">
        <f>IFERROR(Producción_Lecheria[[#This Row],[Económico $Corrientes]]/Producción_Lecheria[[#This Row],[Indexación Económico]],0)</f>
        <v>0</v>
      </c>
      <c r="X27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7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71" s="977">
        <f>IFERROR(Producción_Lecheria[[#This Row],[Financiero $Corrientes]]/Producción_Lecheria[[#This Row],[Indexación Financiero]],0)</f>
        <v>0</v>
      </c>
      <c r="AA27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7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71" s="981">
        <f>IFERROR(Producción_Lecheria[[#This Row],[Intereses $Corrientes]]/Producción_Lecheria[[#This Row],[Indexación Financiero]],0)</f>
        <v>0</v>
      </c>
      <c r="AD27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71" s="991" t="str">
        <f>IFERROR(INDEX(Produccion_Lecheria_Cuentas[],MATCH(Producción_Lecheria[[#This Row],[Cuenta Contable]],Produccion_Lecheria_Cuentas[Cuenta Contable],0),2),0)</f>
        <v>Egreso</v>
      </c>
      <c r="AF271" s="992">
        <f>IF(Producción_Lecheria[[#This Row],[Mov. Stock]]="(+)",Producción_Lecheria[[#This Row],[Cabezas]],IF(Producción_Lecheria[[#This Row],[Mov. Stock]]="(-)",-Producción_Lecheria[[#This Row],[Cabezas]],0))</f>
        <v>0</v>
      </c>
      <c r="AG271" s="993">
        <f>IFERROR(INDEX(Produccion_Lecheria_Cuentas[],MATCH(Producción_Lecheria[[#This Row],[Cuenta Contable]],Produccion_Lecheria_Cuentas[Cuenta Contable],0),5),0)</f>
        <v>0</v>
      </c>
      <c r="AH271" s="985" t="str">
        <f>IF(Producción_Lecheria[[#This Row],[Cuenta Contable]]=Configuración!$AC$9,"Si","No")</f>
        <v>No</v>
      </c>
      <c r="AI271" s="983" t="str">
        <f>IFERROR(INDEX(Tabla9[],MATCH(Producción_Lecheria[[#This Row],[Movimiento]],Tabla9[Movimientos],0),2),0)</f>
        <v>Si</v>
      </c>
      <c r="AJ271" s="984" t="str">
        <f>IFERROR(INDEX(Tabla9[],MATCH(Producción_Lecheria[[#This Row],[Movimiento]],Tabla9[Movimientos],0),3),0)</f>
        <v>(-)</v>
      </c>
      <c r="AK271" s="986">
        <f>IF(Producción_Lecheria[[#This Row],[Fecha Económico]]=0,0,MONTH(Producción_Lecheria[[#This Row],[Fecha Económico]]))</f>
        <v>8</v>
      </c>
      <c r="AL271" s="986">
        <f>IF(Producción_Lecheria[[#This Row],[Fecha Económico]]=0,0,YEAR(Producción_Lecheria[[#This Row],[Fecha Económico]]))</f>
        <v>2018</v>
      </c>
      <c r="AM271" s="987">
        <f>SUMPRODUCT((Producción_Lecheria[[#This Row],[Mes Económico]]=Tipo_Cambio[Mes])*(Producción_Lecheria[[#This Row],[Año Económico]]=Tipo_Cambio[Año])*(Tipo_Cambio[$/U$S]))</f>
        <v>22.22</v>
      </c>
      <c r="AN271" s="987">
        <f>SUMPRODUCT((Producción_Lecheria[[#This Row],[Mes Económico]]=Tipo_Cambio[Mes])*(Producción_Lecheria[[#This Row],[Año Económico]]=Tipo_Cambio[Año])*(Tipo_Cambio[Actualización]))</f>
        <v>1.02</v>
      </c>
      <c r="AO271" s="986">
        <f>IF(ISNUMBER(Producción_Lecheria[[#This Row],[Fecha Financiero]])=TRUE,MONTH(Producción_Lecheria[[#This Row],[Fecha Financiero]]),0)</f>
        <v>0</v>
      </c>
      <c r="AP271" s="986">
        <f>IF(ISNUMBER(Producción_Lecheria[[#This Row],[Fecha Financiero]])=TRUE,YEAR(Producción_Lecheria[[#This Row],[Fecha Financiero]]),0)</f>
        <v>0</v>
      </c>
      <c r="AQ271" s="987">
        <f>SUMPRODUCT((Producción_Lecheria[[#This Row],[Mes Financiero]]=Tipo_Cambio[Mes])*(Producción_Lecheria[[#This Row],[Año Financiero]]=Tipo_Cambio[Año])*(Tipo_Cambio[$/U$S]))</f>
        <v>0</v>
      </c>
      <c r="AR271" s="987">
        <f>SUMPRODUCT((Producción_Lecheria[[#This Row],[Mes Financiero]]=Tipo_Cambio[Mes])*(Producción_Lecheria[[#This Row],[Año Financiero]]=Tipo_Cambio[Año])*(Tipo_Cambio[Actualización]))</f>
        <v>0</v>
      </c>
      <c r="AS271" s="1009">
        <f>SUMPRODUCT((Producción_Lecheria[[#This Row],[Centro de Costo]]=Tabla1924[Centro de Costo])*(Tabla19[Superficie]))</f>
        <v>2356</v>
      </c>
      <c r="AT271" s="1010">
        <f>IFERROR(Producción_Lecheria[[#This Row],[Económico $Corrientes]]/Producción_Lecheria[[#This Row],[Superficie]],0)</f>
        <v>0</v>
      </c>
      <c r="AU271" s="1010">
        <f>IFERROR(Producción_Lecheria[[#This Row],[Económico $Constantes]]/Producción_Lecheria[[#This Row],[Superficie]],0)</f>
        <v>0</v>
      </c>
      <c r="AV271" s="1010">
        <f>IFERROR(Producción_Lecheria[[#This Row],[Económico U$S Dólares]]/Producción_Lecheria[[#This Row],[Superficie]],0)</f>
        <v>0</v>
      </c>
      <c r="AW271" s="992" t="str">
        <f>IF(Económico!$F$4=0,0,Producción_Lecheria[Centro de Costo])</f>
        <v>Campo 1</v>
      </c>
    </row>
    <row r="272" spans="1:49" x14ac:dyDescent="0.25">
      <c r="A272" s="86"/>
      <c r="B272" s="1136"/>
      <c r="D272" s="548">
        <f t="shared" ref="D272:D281" si="26">DATE(IF(MONTH(D271)=1,YEAR(D271+1),YEAR(D271)),MONTH(D271)+1,1)</f>
        <v>43344</v>
      </c>
      <c r="E272" s="493"/>
      <c r="F272" s="479" t="str">
        <f t="shared" si="25"/>
        <v>2018-2019</v>
      </c>
      <c r="G272" s="597" t="s">
        <v>124</v>
      </c>
      <c r="H272" s="481" t="s">
        <v>2</v>
      </c>
      <c r="I272" s="491"/>
      <c r="J272" s="549"/>
      <c r="K272" s="484"/>
      <c r="L27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7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72" s="520"/>
      <c r="O27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72" s="563"/>
      <c r="Q272" s="491"/>
      <c r="R272" s="875">
        <f>IF(ISNUMBER(Producción_Lecheria[[#This Row],[Cabezas]])=TRUE,Producción_Lecheria[[#This Row],[Cabezas]]*Producción_Lecheria[[#This Row],[Cantidad]],Producción_Lecheria[[#This Row],[Cantidad]])</f>
        <v>0</v>
      </c>
      <c r="S272" s="491"/>
      <c r="T272" s="552"/>
      <c r="U272" s="553"/>
      <c r="V27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72" s="977">
        <f>IFERROR(Producción_Lecheria[[#This Row],[Económico $Corrientes]]/Producción_Lecheria[[#This Row],[Indexación Económico]],0)</f>
        <v>0</v>
      </c>
      <c r="X27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7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72" s="977">
        <f>IFERROR(Producción_Lecheria[[#This Row],[Financiero $Corrientes]]/Producción_Lecheria[[#This Row],[Indexación Financiero]],0)</f>
        <v>0</v>
      </c>
      <c r="AA27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7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72" s="981">
        <f>IFERROR(Producción_Lecheria[[#This Row],[Intereses $Corrientes]]/Producción_Lecheria[[#This Row],[Indexación Financiero]],0)</f>
        <v>0</v>
      </c>
      <c r="AD27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72" s="991" t="str">
        <f>IFERROR(INDEX(Produccion_Lecheria_Cuentas[],MATCH(Producción_Lecheria[[#This Row],[Cuenta Contable]],Produccion_Lecheria_Cuentas[Cuenta Contable],0),2),0)</f>
        <v>Egreso</v>
      </c>
      <c r="AF272" s="992">
        <f>IF(Producción_Lecheria[[#This Row],[Mov. Stock]]="(+)",Producción_Lecheria[[#This Row],[Cabezas]],IF(Producción_Lecheria[[#This Row],[Mov. Stock]]="(-)",-Producción_Lecheria[[#This Row],[Cabezas]],0))</f>
        <v>0</v>
      </c>
      <c r="AG272" s="993">
        <f>IFERROR(INDEX(Produccion_Lecheria_Cuentas[],MATCH(Producción_Lecheria[[#This Row],[Cuenta Contable]],Produccion_Lecheria_Cuentas[Cuenta Contable],0),5),0)</f>
        <v>0</v>
      </c>
      <c r="AH272" s="985" t="str">
        <f>IF(Producción_Lecheria[[#This Row],[Cuenta Contable]]=Configuración!$AC$9,"Si","No")</f>
        <v>No</v>
      </c>
      <c r="AI272" s="983" t="str">
        <f>IFERROR(INDEX(Tabla9[],MATCH(Producción_Lecheria[[#This Row],[Movimiento]],Tabla9[Movimientos],0),2),0)</f>
        <v>Si</v>
      </c>
      <c r="AJ272" s="984" t="str">
        <f>IFERROR(INDEX(Tabla9[],MATCH(Producción_Lecheria[[#This Row],[Movimiento]],Tabla9[Movimientos],0),3),0)</f>
        <v>(-)</v>
      </c>
      <c r="AK272" s="986">
        <f>IF(Producción_Lecheria[[#This Row],[Fecha Económico]]=0,0,MONTH(Producción_Lecheria[[#This Row],[Fecha Económico]]))</f>
        <v>9</v>
      </c>
      <c r="AL272" s="986">
        <f>IF(Producción_Lecheria[[#This Row],[Fecha Económico]]=0,0,YEAR(Producción_Lecheria[[#This Row],[Fecha Económico]]))</f>
        <v>2018</v>
      </c>
      <c r="AM272" s="987">
        <f>SUMPRODUCT((Producción_Lecheria[[#This Row],[Mes Económico]]=Tipo_Cambio[Mes])*(Producción_Lecheria[[#This Row],[Año Económico]]=Tipo_Cambio[Año])*(Tipo_Cambio[$/U$S]))</f>
        <v>22.4422</v>
      </c>
      <c r="AN272" s="987">
        <f>SUMPRODUCT((Producción_Lecheria[[#This Row],[Mes Económico]]=Tipo_Cambio[Mes])*(Producción_Lecheria[[#This Row],[Año Económico]]=Tipo_Cambio[Año])*(Tipo_Cambio[Actualización]))</f>
        <v>1.0404</v>
      </c>
      <c r="AO272" s="986">
        <f>IF(ISNUMBER(Producción_Lecheria[[#This Row],[Fecha Financiero]])=TRUE,MONTH(Producción_Lecheria[[#This Row],[Fecha Financiero]]),0)</f>
        <v>0</v>
      </c>
      <c r="AP272" s="986">
        <f>IF(ISNUMBER(Producción_Lecheria[[#This Row],[Fecha Financiero]])=TRUE,YEAR(Producción_Lecheria[[#This Row],[Fecha Financiero]]),0)</f>
        <v>0</v>
      </c>
      <c r="AQ272" s="987">
        <f>SUMPRODUCT((Producción_Lecheria[[#This Row],[Mes Financiero]]=Tipo_Cambio[Mes])*(Producción_Lecheria[[#This Row],[Año Financiero]]=Tipo_Cambio[Año])*(Tipo_Cambio[$/U$S]))</f>
        <v>0</v>
      </c>
      <c r="AR272" s="987">
        <f>SUMPRODUCT((Producción_Lecheria[[#This Row],[Mes Financiero]]=Tipo_Cambio[Mes])*(Producción_Lecheria[[#This Row],[Año Financiero]]=Tipo_Cambio[Año])*(Tipo_Cambio[Actualización]))</f>
        <v>0</v>
      </c>
      <c r="AS272" s="1009">
        <f>SUMPRODUCT((Producción_Lecheria[[#This Row],[Centro de Costo]]=Tabla1924[Centro de Costo])*(Tabla19[Superficie]))</f>
        <v>2356</v>
      </c>
      <c r="AT272" s="1010">
        <f>IFERROR(Producción_Lecheria[[#This Row],[Económico $Corrientes]]/Producción_Lecheria[[#This Row],[Superficie]],0)</f>
        <v>0</v>
      </c>
      <c r="AU272" s="1010">
        <f>IFERROR(Producción_Lecheria[[#This Row],[Económico $Constantes]]/Producción_Lecheria[[#This Row],[Superficie]],0)</f>
        <v>0</v>
      </c>
      <c r="AV272" s="1010">
        <f>IFERROR(Producción_Lecheria[[#This Row],[Económico U$S Dólares]]/Producción_Lecheria[[#This Row],[Superficie]],0)</f>
        <v>0</v>
      </c>
      <c r="AW272" s="992" t="str">
        <f>IF(Económico!$F$4=0,0,Producción_Lecheria[Centro de Costo])</f>
        <v>Campo 1</v>
      </c>
    </row>
    <row r="273" spans="1:49" x14ac:dyDescent="0.25">
      <c r="A273" s="86"/>
      <c r="D273" s="548">
        <f t="shared" si="26"/>
        <v>43374</v>
      </c>
      <c r="E273" s="493"/>
      <c r="F273" s="479" t="str">
        <f t="shared" si="25"/>
        <v>2018-2019</v>
      </c>
      <c r="G273" s="597" t="s">
        <v>124</v>
      </c>
      <c r="H273" s="481" t="s">
        <v>2</v>
      </c>
      <c r="I273" s="491"/>
      <c r="J273" s="549"/>
      <c r="K273" s="484"/>
      <c r="L27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7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73" s="520"/>
      <c r="O27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73" s="563"/>
      <c r="Q273" s="491"/>
      <c r="R273" s="875">
        <f>IF(ISNUMBER(Producción_Lecheria[[#This Row],[Cabezas]])=TRUE,Producción_Lecheria[[#This Row],[Cabezas]]*Producción_Lecheria[[#This Row],[Cantidad]],Producción_Lecheria[[#This Row],[Cantidad]])</f>
        <v>0</v>
      </c>
      <c r="S273" s="491"/>
      <c r="T273" s="552"/>
      <c r="U273" s="553"/>
      <c r="V27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73" s="977">
        <f>IFERROR(Producción_Lecheria[[#This Row],[Económico $Corrientes]]/Producción_Lecheria[[#This Row],[Indexación Económico]],0)</f>
        <v>0</v>
      </c>
      <c r="X27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7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73" s="977">
        <f>IFERROR(Producción_Lecheria[[#This Row],[Financiero $Corrientes]]/Producción_Lecheria[[#This Row],[Indexación Financiero]],0)</f>
        <v>0</v>
      </c>
      <c r="AA27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7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73" s="981">
        <f>IFERROR(Producción_Lecheria[[#This Row],[Intereses $Corrientes]]/Producción_Lecheria[[#This Row],[Indexación Financiero]],0)</f>
        <v>0</v>
      </c>
      <c r="AD27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73" s="991" t="str">
        <f>IFERROR(INDEX(Produccion_Lecheria_Cuentas[],MATCH(Producción_Lecheria[[#This Row],[Cuenta Contable]],Produccion_Lecheria_Cuentas[Cuenta Contable],0),2),0)</f>
        <v>Egreso</v>
      </c>
      <c r="AF273" s="992">
        <f>IF(Producción_Lecheria[[#This Row],[Mov. Stock]]="(+)",Producción_Lecheria[[#This Row],[Cabezas]],IF(Producción_Lecheria[[#This Row],[Mov. Stock]]="(-)",-Producción_Lecheria[[#This Row],[Cabezas]],0))</f>
        <v>0</v>
      </c>
      <c r="AG273" s="993">
        <f>IFERROR(INDEX(Produccion_Lecheria_Cuentas[],MATCH(Producción_Lecheria[[#This Row],[Cuenta Contable]],Produccion_Lecheria_Cuentas[Cuenta Contable],0),5),0)</f>
        <v>0</v>
      </c>
      <c r="AH273" s="985" t="str">
        <f>IF(Producción_Lecheria[[#This Row],[Cuenta Contable]]=Configuración!$AC$9,"Si","No")</f>
        <v>No</v>
      </c>
      <c r="AI273" s="983" t="str">
        <f>IFERROR(INDEX(Tabla9[],MATCH(Producción_Lecheria[[#This Row],[Movimiento]],Tabla9[Movimientos],0),2),0)</f>
        <v>Si</v>
      </c>
      <c r="AJ273" s="984" t="str">
        <f>IFERROR(INDEX(Tabla9[],MATCH(Producción_Lecheria[[#This Row],[Movimiento]],Tabla9[Movimientos],0),3),0)</f>
        <v>(-)</v>
      </c>
      <c r="AK273" s="986">
        <f>IF(Producción_Lecheria[[#This Row],[Fecha Económico]]=0,0,MONTH(Producción_Lecheria[[#This Row],[Fecha Económico]]))</f>
        <v>10</v>
      </c>
      <c r="AL273" s="986">
        <f>IF(Producción_Lecheria[[#This Row],[Fecha Económico]]=0,0,YEAR(Producción_Lecheria[[#This Row],[Fecha Económico]]))</f>
        <v>2018</v>
      </c>
      <c r="AM273" s="987">
        <f>SUMPRODUCT((Producción_Lecheria[[#This Row],[Mes Económico]]=Tipo_Cambio[Mes])*(Producción_Lecheria[[#This Row],[Año Económico]]=Tipo_Cambio[Año])*(Tipo_Cambio[$/U$S]))</f>
        <v>22.666622</v>
      </c>
      <c r="AN273" s="987">
        <f>SUMPRODUCT((Producción_Lecheria[[#This Row],[Mes Económico]]=Tipo_Cambio[Mes])*(Producción_Lecheria[[#This Row],[Año Económico]]=Tipo_Cambio[Año])*(Tipo_Cambio[Actualización]))</f>
        <v>1.0612079999999999</v>
      </c>
      <c r="AO273" s="986">
        <f>IF(ISNUMBER(Producción_Lecheria[[#This Row],[Fecha Financiero]])=TRUE,MONTH(Producción_Lecheria[[#This Row],[Fecha Financiero]]),0)</f>
        <v>0</v>
      </c>
      <c r="AP273" s="986">
        <f>IF(ISNUMBER(Producción_Lecheria[[#This Row],[Fecha Financiero]])=TRUE,YEAR(Producción_Lecheria[[#This Row],[Fecha Financiero]]),0)</f>
        <v>0</v>
      </c>
      <c r="AQ273" s="987">
        <f>SUMPRODUCT((Producción_Lecheria[[#This Row],[Mes Financiero]]=Tipo_Cambio[Mes])*(Producción_Lecheria[[#This Row],[Año Financiero]]=Tipo_Cambio[Año])*(Tipo_Cambio[$/U$S]))</f>
        <v>0</v>
      </c>
      <c r="AR273" s="987">
        <f>SUMPRODUCT((Producción_Lecheria[[#This Row],[Mes Financiero]]=Tipo_Cambio[Mes])*(Producción_Lecheria[[#This Row],[Año Financiero]]=Tipo_Cambio[Año])*(Tipo_Cambio[Actualización]))</f>
        <v>0</v>
      </c>
      <c r="AS273" s="1009">
        <f>SUMPRODUCT((Producción_Lecheria[[#This Row],[Centro de Costo]]=Tabla1924[Centro de Costo])*(Tabla19[Superficie]))</f>
        <v>2356</v>
      </c>
      <c r="AT273" s="1010">
        <f>IFERROR(Producción_Lecheria[[#This Row],[Económico $Corrientes]]/Producción_Lecheria[[#This Row],[Superficie]],0)</f>
        <v>0</v>
      </c>
      <c r="AU273" s="1010">
        <f>IFERROR(Producción_Lecheria[[#This Row],[Económico $Constantes]]/Producción_Lecheria[[#This Row],[Superficie]],0)</f>
        <v>0</v>
      </c>
      <c r="AV273" s="1010">
        <f>IFERROR(Producción_Lecheria[[#This Row],[Económico U$S Dólares]]/Producción_Lecheria[[#This Row],[Superficie]],0)</f>
        <v>0</v>
      </c>
      <c r="AW273" s="992" t="str">
        <f>IF(Económico!$F$4=0,0,Producción_Lecheria[Centro de Costo])</f>
        <v>Campo 1</v>
      </c>
    </row>
    <row r="274" spans="1:49" x14ac:dyDescent="0.25">
      <c r="A274" s="86"/>
      <c r="D274" s="548">
        <f t="shared" si="26"/>
        <v>43405</v>
      </c>
      <c r="E274" s="493"/>
      <c r="F274" s="479" t="str">
        <f t="shared" si="25"/>
        <v>2018-2019</v>
      </c>
      <c r="G274" s="597" t="s">
        <v>124</v>
      </c>
      <c r="H274" s="481" t="s">
        <v>2</v>
      </c>
      <c r="I274" s="491"/>
      <c r="J274" s="549"/>
      <c r="K274" s="484"/>
      <c r="L27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7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74" s="520"/>
      <c r="O27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74" s="563"/>
      <c r="Q274" s="491"/>
      <c r="R274" s="875">
        <f>IF(ISNUMBER(Producción_Lecheria[[#This Row],[Cabezas]])=TRUE,Producción_Lecheria[[#This Row],[Cabezas]]*Producción_Lecheria[[#This Row],[Cantidad]],Producción_Lecheria[[#This Row],[Cantidad]])</f>
        <v>0</v>
      </c>
      <c r="S274" s="491"/>
      <c r="T274" s="552"/>
      <c r="U274" s="553"/>
      <c r="V27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74" s="977">
        <f>IFERROR(Producción_Lecheria[[#This Row],[Económico $Corrientes]]/Producción_Lecheria[[#This Row],[Indexación Económico]],0)</f>
        <v>0</v>
      </c>
      <c r="X27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7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74" s="977">
        <f>IFERROR(Producción_Lecheria[[#This Row],[Financiero $Corrientes]]/Producción_Lecheria[[#This Row],[Indexación Financiero]],0)</f>
        <v>0</v>
      </c>
      <c r="AA27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7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74" s="981">
        <f>IFERROR(Producción_Lecheria[[#This Row],[Intereses $Corrientes]]/Producción_Lecheria[[#This Row],[Indexación Financiero]],0)</f>
        <v>0</v>
      </c>
      <c r="AD27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74" s="991" t="str">
        <f>IFERROR(INDEX(Produccion_Lecheria_Cuentas[],MATCH(Producción_Lecheria[[#This Row],[Cuenta Contable]],Produccion_Lecheria_Cuentas[Cuenta Contable],0),2),0)</f>
        <v>Egreso</v>
      </c>
      <c r="AF274" s="992">
        <f>IF(Producción_Lecheria[[#This Row],[Mov. Stock]]="(+)",Producción_Lecheria[[#This Row],[Cabezas]],IF(Producción_Lecheria[[#This Row],[Mov. Stock]]="(-)",-Producción_Lecheria[[#This Row],[Cabezas]],0))</f>
        <v>0</v>
      </c>
      <c r="AG274" s="993">
        <f>IFERROR(INDEX(Produccion_Lecheria_Cuentas[],MATCH(Producción_Lecheria[[#This Row],[Cuenta Contable]],Produccion_Lecheria_Cuentas[Cuenta Contable],0),5),0)</f>
        <v>0</v>
      </c>
      <c r="AH274" s="985" t="str">
        <f>IF(Producción_Lecheria[[#This Row],[Cuenta Contable]]=Configuración!$AC$9,"Si","No")</f>
        <v>No</v>
      </c>
      <c r="AI274" s="983" t="str">
        <f>IFERROR(INDEX(Tabla9[],MATCH(Producción_Lecheria[[#This Row],[Movimiento]],Tabla9[Movimientos],0),2),0)</f>
        <v>Si</v>
      </c>
      <c r="AJ274" s="984" t="str">
        <f>IFERROR(INDEX(Tabla9[],MATCH(Producción_Lecheria[[#This Row],[Movimiento]],Tabla9[Movimientos],0),3),0)</f>
        <v>(-)</v>
      </c>
      <c r="AK274" s="986">
        <f>IF(Producción_Lecheria[[#This Row],[Fecha Económico]]=0,0,MONTH(Producción_Lecheria[[#This Row],[Fecha Económico]]))</f>
        <v>11</v>
      </c>
      <c r="AL274" s="986">
        <f>IF(Producción_Lecheria[[#This Row],[Fecha Económico]]=0,0,YEAR(Producción_Lecheria[[#This Row],[Fecha Económico]]))</f>
        <v>2018</v>
      </c>
      <c r="AM274" s="987">
        <f>SUMPRODUCT((Producción_Lecheria[[#This Row],[Mes Económico]]=Tipo_Cambio[Mes])*(Producción_Lecheria[[#This Row],[Año Económico]]=Tipo_Cambio[Año])*(Tipo_Cambio[$/U$S]))</f>
        <v>22.893288219999999</v>
      </c>
      <c r="AN274" s="987">
        <f>SUMPRODUCT((Producción_Lecheria[[#This Row],[Mes Económico]]=Tipo_Cambio[Mes])*(Producción_Lecheria[[#This Row],[Año Económico]]=Tipo_Cambio[Año])*(Tipo_Cambio[Actualización]))</f>
        <v>1.08243216</v>
      </c>
      <c r="AO274" s="986">
        <f>IF(ISNUMBER(Producción_Lecheria[[#This Row],[Fecha Financiero]])=TRUE,MONTH(Producción_Lecheria[[#This Row],[Fecha Financiero]]),0)</f>
        <v>0</v>
      </c>
      <c r="AP274" s="986">
        <f>IF(ISNUMBER(Producción_Lecheria[[#This Row],[Fecha Financiero]])=TRUE,YEAR(Producción_Lecheria[[#This Row],[Fecha Financiero]]),0)</f>
        <v>0</v>
      </c>
      <c r="AQ274" s="987">
        <f>SUMPRODUCT((Producción_Lecheria[[#This Row],[Mes Financiero]]=Tipo_Cambio[Mes])*(Producción_Lecheria[[#This Row],[Año Financiero]]=Tipo_Cambio[Año])*(Tipo_Cambio[$/U$S]))</f>
        <v>0</v>
      </c>
      <c r="AR274" s="987">
        <f>SUMPRODUCT((Producción_Lecheria[[#This Row],[Mes Financiero]]=Tipo_Cambio[Mes])*(Producción_Lecheria[[#This Row],[Año Financiero]]=Tipo_Cambio[Año])*(Tipo_Cambio[Actualización]))</f>
        <v>0</v>
      </c>
      <c r="AS274" s="1009">
        <f>SUMPRODUCT((Producción_Lecheria[[#This Row],[Centro de Costo]]=Tabla1924[Centro de Costo])*(Tabla19[Superficie]))</f>
        <v>2356</v>
      </c>
      <c r="AT274" s="1010">
        <f>IFERROR(Producción_Lecheria[[#This Row],[Económico $Corrientes]]/Producción_Lecheria[[#This Row],[Superficie]],0)</f>
        <v>0</v>
      </c>
      <c r="AU274" s="1010">
        <f>IFERROR(Producción_Lecheria[[#This Row],[Económico $Constantes]]/Producción_Lecheria[[#This Row],[Superficie]],0)</f>
        <v>0</v>
      </c>
      <c r="AV274" s="1010">
        <f>IFERROR(Producción_Lecheria[[#This Row],[Económico U$S Dólares]]/Producción_Lecheria[[#This Row],[Superficie]],0)</f>
        <v>0</v>
      </c>
      <c r="AW274" s="992" t="str">
        <f>IF(Económico!$F$4=0,0,Producción_Lecheria[Centro de Costo])</f>
        <v>Campo 1</v>
      </c>
    </row>
    <row r="275" spans="1:49" x14ac:dyDescent="0.25">
      <c r="A275" s="86"/>
      <c r="D275" s="548">
        <f t="shared" si="26"/>
        <v>43435</v>
      </c>
      <c r="E275" s="493"/>
      <c r="F275" s="479" t="str">
        <f t="shared" si="25"/>
        <v>2018-2019</v>
      </c>
      <c r="G275" s="597" t="s">
        <v>124</v>
      </c>
      <c r="H275" s="481" t="s">
        <v>2</v>
      </c>
      <c r="I275" s="491"/>
      <c r="J275" s="549"/>
      <c r="K275" s="484"/>
      <c r="L27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7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75" s="520"/>
      <c r="O27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75" s="563"/>
      <c r="Q275" s="491"/>
      <c r="R275" s="875">
        <f>IF(ISNUMBER(Producción_Lecheria[[#This Row],[Cabezas]])=TRUE,Producción_Lecheria[[#This Row],[Cabezas]]*Producción_Lecheria[[#This Row],[Cantidad]],Producción_Lecheria[[#This Row],[Cantidad]])</f>
        <v>0</v>
      </c>
      <c r="S275" s="491"/>
      <c r="T275" s="552"/>
      <c r="U275" s="553"/>
      <c r="V27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75" s="977">
        <f>IFERROR(Producción_Lecheria[[#This Row],[Económico $Corrientes]]/Producción_Lecheria[[#This Row],[Indexación Económico]],0)</f>
        <v>0</v>
      </c>
      <c r="X27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7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75" s="977">
        <f>IFERROR(Producción_Lecheria[[#This Row],[Financiero $Corrientes]]/Producción_Lecheria[[#This Row],[Indexación Financiero]],0)</f>
        <v>0</v>
      </c>
      <c r="AA27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7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75" s="981">
        <f>IFERROR(Producción_Lecheria[[#This Row],[Intereses $Corrientes]]/Producción_Lecheria[[#This Row],[Indexación Financiero]],0)</f>
        <v>0</v>
      </c>
      <c r="AD27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75" s="991" t="str">
        <f>IFERROR(INDEX(Produccion_Lecheria_Cuentas[],MATCH(Producción_Lecheria[[#This Row],[Cuenta Contable]],Produccion_Lecheria_Cuentas[Cuenta Contable],0),2),0)</f>
        <v>Egreso</v>
      </c>
      <c r="AF275" s="992">
        <f>IF(Producción_Lecheria[[#This Row],[Mov. Stock]]="(+)",Producción_Lecheria[[#This Row],[Cabezas]],IF(Producción_Lecheria[[#This Row],[Mov. Stock]]="(-)",-Producción_Lecheria[[#This Row],[Cabezas]],0))</f>
        <v>0</v>
      </c>
      <c r="AG275" s="993">
        <f>IFERROR(INDEX(Produccion_Lecheria_Cuentas[],MATCH(Producción_Lecheria[[#This Row],[Cuenta Contable]],Produccion_Lecheria_Cuentas[Cuenta Contable],0),5),0)</f>
        <v>0</v>
      </c>
      <c r="AH275" s="985" t="str">
        <f>IF(Producción_Lecheria[[#This Row],[Cuenta Contable]]=Configuración!$AC$9,"Si","No")</f>
        <v>No</v>
      </c>
      <c r="AI275" s="983" t="str">
        <f>IFERROR(INDEX(Tabla9[],MATCH(Producción_Lecheria[[#This Row],[Movimiento]],Tabla9[Movimientos],0),2),0)</f>
        <v>Si</v>
      </c>
      <c r="AJ275" s="984" t="str">
        <f>IFERROR(INDEX(Tabla9[],MATCH(Producción_Lecheria[[#This Row],[Movimiento]],Tabla9[Movimientos],0),3),0)</f>
        <v>(-)</v>
      </c>
      <c r="AK275" s="986">
        <f>IF(Producción_Lecheria[[#This Row],[Fecha Económico]]=0,0,MONTH(Producción_Lecheria[[#This Row],[Fecha Económico]]))</f>
        <v>12</v>
      </c>
      <c r="AL275" s="986">
        <f>IF(Producción_Lecheria[[#This Row],[Fecha Económico]]=0,0,YEAR(Producción_Lecheria[[#This Row],[Fecha Económico]]))</f>
        <v>2018</v>
      </c>
      <c r="AM275" s="987">
        <f>SUMPRODUCT((Producción_Lecheria[[#This Row],[Mes Económico]]=Tipo_Cambio[Mes])*(Producción_Lecheria[[#This Row],[Año Económico]]=Tipo_Cambio[Año])*(Tipo_Cambio[$/U$S]))</f>
        <v>23.122221102199997</v>
      </c>
      <c r="AN275" s="987">
        <f>SUMPRODUCT((Producción_Lecheria[[#This Row],[Mes Económico]]=Tipo_Cambio[Mes])*(Producción_Lecheria[[#This Row],[Año Económico]]=Tipo_Cambio[Año])*(Tipo_Cambio[Actualización]))</f>
        <v>1.1040808032</v>
      </c>
      <c r="AO275" s="986">
        <f>IF(ISNUMBER(Producción_Lecheria[[#This Row],[Fecha Financiero]])=TRUE,MONTH(Producción_Lecheria[[#This Row],[Fecha Financiero]]),0)</f>
        <v>0</v>
      </c>
      <c r="AP275" s="986">
        <f>IF(ISNUMBER(Producción_Lecheria[[#This Row],[Fecha Financiero]])=TRUE,YEAR(Producción_Lecheria[[#This Row],[Fecha Financiero]]),0)</f>
        <v>0</v>
      </c>
      <c r="AQ275" s="987">
        <f>SUMPRODUCT((Producción_Lecheria[[#This Row],[Mes Financiero]]=Tipo_Cambio[Mes])*(Producción_Lecheria[[#This Row],[Año Financiero]]=Tipo_Cambio[Año])*(Tipo_Cambio[$/U$S]))</f>
        <v>0</v>
      </c>
      <c r="AR275" s="987">
        <f>SUMPRODUCT((Producción_Lecheria[[#This Row],[Mes Financiero]]=Tipo_Cambio[Mes])*(Producción_Lecheria[[#This Row],[Año Financiero]]=Tipo_Cambio[Año])*(Tipo_Cambio[Actualización]))</f>
        <v>0</v>
      </c>
      <c r="AS275" s="1009">
        <f>SUMPRODUCT((Producción_Lecheria[[#This Row],[Centro de Costo]]=Tabla1924[Centro de Costo])*(Tabla19[Superficie]))</f>
        <v>2356</v>
      </c>
      <c r="AT275" s="1010">
        <f>IFERROR(Producción_Lecheria[[#This Row],[Económico $Corrientes]]/Producción_Lecheria[[#This Row],[Superficie]],0)</f>
        <v>0</v>
      </c>
      <c r="AU275" s="1010">
        <f>IFERROR(Producción_Lecheria[[#This Row],[Económico $Constantes]]/Producción_Lecheria[[#This Row],[Superficie]],0)</f>
        <v>0</v>
      </c>
      <c r="AV275" s="1010">
        <f>IFERROR(Producción_Lecheria[[#This Row],[Económico U$S Dólares]]/Producción_Lecheria[[#This Row],[Superficie]],0)</f>
        <v>0</v>
      </c>
      <c r="AW275" s="992" t="str">
        <f>IF(Económico!$F$4=0,0,Producción_Lecheria[Centro de Costo])</f>
        <v>Campo 1</v>
      </c>
    </row>
    <row r="276" spans="1:49" x14ac:dyDescent="0.25">
      <c r="A276" s="86"/>
      <c r="D276" s="548">
        <f t="shared" si="26"/>
        <v>43466</v>
      </c>
      <c r="E276" s="493"/>
      <c r="F276" s="479" t="str">
        <f t="shared" si="25"/>
        <v>2018-2019</v>
      </c>
      <c r="G276" s="597" t="s">
        <v>124</v>
      </c>
      <c r="H276" s="481" t="s">
        <v>2</v>
      </c>
      <c r="I276" s="491"/>
      <c r="J276" s="549"/>
      <c r="K276" s="484"/>
      <c r="L27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7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76" s="520"/>
      <c r="O27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76" s="563"/>
      <c r="Q276" s="491"/>
      <c r="R276" s="875">
        <f>IF(ISNUMBER(Producción_Lecheria[[#This Row],[Cabezas]])=TRUE,Producción_Lecheria[[#This Row],[Cabezas]]*Producción_Lecheria[[#This Row],[Cantidad]],Producción_Lecheria[[#This Row],[Cantidad]])</f>
        <v>0</v>
      </c>
      <c r="S276" s="491"/>
      <c r="T276" s="552"/>
      <c r="U276" s="553"/>
      <c r="V27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76" s="977">
        <f>IFERROR(Producción_Lecheria[[#This Row],[Económico $Corrientes]]/Producción_Lecheria[[#This Row],[Indexación Económico]],0)</f>
        <v>0</v>
      </c>
      <c r="X27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7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76" s="977">
        <f>IFERROR(Producción_Lecheria[[#This Row],[Financiero $Corrientes]]/Producción_Lecheria[[#This Row],[Indexación Financiero]],0)</f>
        <v>0</v>
      </c>
      <c r="AA27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7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76" s="981">
        <f>IFERROR(Producción_Lecheria[[#This Row],[Intereses $Corrientes]]/Producción_Lecheria[[#This Row],[Indexación Financiero]],0)</f>
        <v>0</v>
      </c>
      <c r="AD27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76" s="991" t="str">
        <f>IFERROR(INDEX(Produccion_Lecheria_Cuentas[],MATCH(Producción_Lecheria[[#This Row],[Cuenta Contable]],Produccion_Lecheria_Cuentas[Cuenta Contable],0),2),0)</f>
        <v>Egreso</v>
      </c>
      <c r="AF276" s="992">
        <f>IF(Producción_Lecheria[[#This Row],[Mov. Stock]]="(+)",Producción_Lecheria[[#This Row],[Cabezas]],IF(Producción_Lecheria[[#This Row],[Mov. Stock]]="(-)",-Producción_Lecheria[[#This Row],[Cabezas]],0))</f>
        <v>0</v>
      </c>
      <c r="AG276" s="993">
        <f>IFERROR(INDEX(Produccion_Lecheria_Cuentas[],MATCH(Producción_Lecheria[[#This Row],[Cuenta Contable]],Produccion_Lecheria_Cuentas[Cuenta Contable],0),5),0)</f>
        <v>0</v>
      </c>
      <c r="AH276" s="985" t="str">
        <f>IF(Producción_Lecheria[[#This Row],[Cuenta Contable]]=Configuración!$AC$9,"Si","No")</f>
        <v>No</v>
      </c>
      <c r="AI276" s="983" t="str">
        <f>IFERROR(INDEX(Tabla9[],MATCH(Producción_Lecheria[[#This Row],[Movimiento]],Tabla9[Movimientos],0),2),0)</f>
        <v>Si</v>
      </c>
      <c r="AJ276" s="984" t="str">
        <f>IFERROR(INDEX(Tabla9[],MATCH(Producción_Lecheria[[#This Row],[Movimiento]],Tabla9[Movimientos],0),3),0)</f>
        <v>(-)</v>
      </c>
      <c r="AK276" s="986">
        <f>IF(Producción_Lecheria[[#This Row],[Fecha Económico]]=0,0,MONTH(Producción_Lecheria[[#This Row],[Fecha Económico]]))</f>
        <v>1</v>
      </c>
      <c r="AL276" s="986">
        <f>IF(Producción_Lecheria[[#This Row],[Fecha Económico]]=0,0,YEAR(Producción_Lecheria[[#This Row],[Fecha Económico]]))</f>
        <v>2019</v>
      </c>
      <c r="AM276" s="987">
        <f>SUMPRODUCT((Producción_Lecheria[[#This Row],[Mes Económico]]=Tipo_Cambio[Mes])*(Producción_Lecheria[[#This Row],[Año Económico]]=Tipo_Cambio[Año])*(Tipo_Cambio[$/U$S]))</f>
        <v>23.353443313221998</v>
      </c>
      <c r="AN276" s="987">
        <f>SUMPRODUCT((Producción_Lecheria[[#This Row],[Mes Económico]]=Tipo_Cambio[Mes])*(Producción_Lecheria[[#This Row],[Año Económico]]=Tipo_Cambio[Año])*(Tipo_Cambio[Actualización]))</f>
        <v>1.1261624192640001</v>
      </c>
      <c r="AO276" s="986">
        <f>IF(ISNUMBER(Producción_Lecheria[[#This Row],[Fecha Financiero]])=TRUE,MONTH(Producción_Lecheria[[#This Row],[Fecha Financiero]]),0)</f>
        <v>0</v>
      </c>
      <c r="AP276" s="986">
        <f>IF(ISNUMBER(Producción_Lecheria[[#This Row],[Fecha Financiero]])=TRUE,YEAR(Producción_Lecheria[[#This Row],[Fecha Financiero]]),0)</f>
        <v>0</v>
      </c>
      <c r="AQ276" s="987">
        <f>SUMPRODUCT((Producción_Lecheria[[#This Row],[Mes Financiero]]=Tipo_Cambio[Mes])*(Producción_Lecheria[[#This Row],[Año Financiero]]=Tipo_Cambio[Año])*(Tipo_Cambio[$/U$S]))</f>
        <v>0</v>
      </c>
      <c r="AR276" s="987">
        <f>SUMPRODUCT((Producción_Lecheria[[#This Row],[Mes Financiero]]=Tipo_Cambio[Mes])*(Producción_Lecheria[[#This Row],[Año Financiero]]=Tipo_Cambio[Año])*(Tipo_Cambio[Actualización]))</f>
        <v>0</v>
      </c>
      <c r="AS276" s="1009">
        <f>SUMPRODUCT((Producción_Lecheria[[#This Row],[Centro de Costo]]=Tabla1924[Centro de Costo])*(Tabla19[Superficie]))</f>
        <v>2356</v>
      </c>
      <c r="AT276" s="1010">
        <f>IFERROR(Producción_Lecheria[[#This Row],[Económico $Corrientes]]/Producción_Lecheria[[#This Row],[Superficie]],0)</f>
        <v>0</v>
      </c>
      <c r="AU276" s="1010">
        <f>IFERROR(Producción_Lecheria[[#This Row],[Económico $Constantes]]/Producción_Lecheria[[#This Row],[Superficie]],0)</f>
        <v>0</v>
      </c>
      <c r="AV276" s="1010">
        <f>IFERROR(Producción_Lecheria[[#This Row],[Económico U$S Dólares]]/Producción_Lecheria[[#This Row],[Superficie]],0)</f>
        <v>0</v>
      </c>
      <c r="AW276" s="992" t="str">
        <f>IF(Económico!$F$4=0,0,Producción_Lecheria[Centro de Costo])</f>
        <v>Campo 1</v>
      </c>
    </row>
    <row r="277" spans="1:49" x14ac:dyDescent="0.25">
      <c r="A277" s="86"/>
      <c r="D277" s="548">
        <f t="shared" si="26"/>
        <v>43497</v>
      </c>
      <c r="E277" s="493"/>
      <c r="F277" s="479" t="str">
        <f t="shared" si="25"/>
        <v>2018-2019</v>
      </c>
      <c r="G277" s="597" t="s">
        <v>124</v>
      </c>
      <c r="H277" s="481" t="s">
        <v>2</v>
      </c>
      <c r="I277" s="491"/>
      <c r="J277" s="549"/>
      <c r="K277" s="484"/>
      <c r="L27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7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77" s="520"/>
      <c r="O27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77" s="563"/>
      <c r="Q277" s="491"/>
      <c r="R277" s="875">
        <f>IF(ISNUMBER(Producción_Lecheria[[#This Row],[Cabezas]])=TRUE,Producción_Lecheria[[#This Row],[Cabezas]]*Producción_Lecheria[[#This Row],[Cantidad]],Producción_Lecheria[[#This Row],[Cantidad]])</f>
        <v>0</v>
      </c>
      <c r="S277" s="491"/>
      <c r="T277" s="552"/>
      <c r="U277" s="553"/>
      <c r="V27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77" s="977">
        <f>IFERROR(Producción_Lecheria[[#This Row],[Económico $Corrientes]]/Producción_Lecheria[[#This Row],[Indexación Económico]],0)</f>
        <v>0</v>
      </c>
      <c r="X27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7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77" s="977">
        <f>IFERROR(Producción_Lecheria[[#This Row],[Financiero $Corrientes]]/Producción_Lecheria[[#This Row],[Indexación Financiero]],0)</f>
        <v>0</v>
      </c>
      <c r="AA27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7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77" s="981">
        <f>IFERROR(Producción_Lecheria[[#This Row],[Intereses $Corrientes]]/Producción_Lecheria[[#This Row],[Indexación Financiero]],0)</f>
        <v>0</v>
      </c>
      <c r="AD27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77" s="991" t="str">
        <f>IFERROR(INDEX(Produccion_Lecheria_Cuentas[],MATCH(Producción_Lecheria[[#This Row],[Cuenta Contable]],Produccion_Lecheria_Cuentas[Cuenta Contable],0),2),0)</f>
        <v>Egreso</v>
      </c>
      <c r="AF277" s="992">
        <f>IF(Producción_Lecheria[[#This Row],[Mov. Stock]]="(+)",Producción_Lecheria[[#This Row],[Cabezas]],IF(Producción_Lecheria[[#This Row],[Mov. Stock]]="(-)",-Producción_Lecheria[[#This Row],[Cabezas]],0))</f>
        <v>0</v>
      </c>
      <c r="AG277" s="993">
        <f>IFERROR(INDEX(Produccion_Lecheria_Cuentas[],MATCH(Producción_Lecheria[[#This Row],[Cuenta Contable]],Produccion_Lecheria_Cuentas[Cuenta Contable],0),5),0)</f>
        <v>0</v>
      </c>
      <c r="AH277" s="985" t="str">
        <f>IF(Producción_Lecheria[[#This Row],[Cuenta Contable]]=Configuración!$AC$9,"Si","No")</f>
        <v>No</v>
      </c>
      <c r="AI277" s="983" t="str">
        <f>IFERROR(INDEX(Tabla9[],MATCH(Producción_Lecheria[[#This Row],[Movimiento]],Tabla9[Movimientos],0),2),0)</f>
        <v>Si</v>
      </c>
      <c r="AJ277" s="984" t="str">
        <f>IFERROR(INDEX(Tabla9[],MATCH(Producción_Lecheria[[#This Row],[Movimiento]],Tabla9[Movimientos],0),3),0)</f>
        <v>(-)</v>
      </c>
      <c r="AK277" s="986">
        <f>IF(Producción_Lecheria[[#This Row],[Fecha Económico]]=0,0,MONTH(Producción_Lecheria[[#This Row],[Fecha Económico]]))</f>
        <v>2</v>
      </c>
      <c r="AL277" s="986">
        <f>IF(Producción_Lecheria[[#This Row],[Fecha Económico]]=0,0,YEAR(Producción_Lecheria[[#This Row],[Fecha Económico]]))</f>
        <v>2019</v>
      </c>
      <c r="AM277" s="987">
        <f>SUMPRODUCT((Producción_Lecheria[[#This Row],[Mes Económico]]=Tipo_Cambio[Mes])*(Producción_Lecheria[[#This Row],[Año Económico]]=Tipo_Cambio[Año])*(Tipo_Cambio[$/U$S]))</f>
        <v>23.586977746354219</v>
      </c>
      <c r="AN277" s="987">
        <f>SUMPRODUCT((Producción_Lecheria[[#This Row],[Mes Económico]]=Tipo_Cambio[Mes])*(Producción_Lecheria[[#This Row],[Año Económico]]=Tipo_Cambio[Año])*(Tipo_Cambio[Actualización]))</f>
        <v>1.14868566764928</v>
      </c>
      <c r="AO277" s="986">
        <f>IF(ISNUMBER(Producción_Lecheria[[#This Row],[Fecha Financiero]])=TRUE,MONTH(Producción_Lecheria[[#This Row],[Fecha Financiero]]),0)</f>
        <v>0</v>
      </c>
      <c r="AP277" s="986">
        <f>IF(ISNUMBER(Producción_Lecheria[[#This Row],[Fecha Financiero]])=TRUE,YEAR(Producción_Lecheria[[#This Row],[Fecha Financiero]]),0)</f>
        <v>0</v>
      </c>
      <c r="AQ277" s="987">
        <f>SUMPRODUCT((Producción_Lecheria[[#This Row],[Mes Financiero]]=Tipo_Cambio[Mes])*(Producción_Lecheria[[#This Row],[Año Financiero]]=Tipo_Cambio[Año])*(Tipo_Cambio[$/U$S]))</f>
        <v>0</v>
      </c>
      <c r="AR277" s="987">
        <f>SUMPRODUCT((Producción_Lecheria[[#This Row],[Mes Financiero]]=Tipo_Cambio[Mes])*(Producción_Lecheria[[#This Row],[Año Financiero]]=Tipo_Cambio[Año])*(Tipo_Cambio[Actualización]))</f>
        <v>0</v>
      </c>
      <c r="AS277" s="1009">
        <f>SUMPRODUCT((Producción_Lecheria[[#This Row],[Centro de Costo]]=Tabla1924[Centro de Costo])*(Tabla19[Superficie]))</f>
        <v>2356</v>
      </c>
      <c r="AT277" s="1010">
        <f>IFERROR(Producción_Lecheria[[#This Row],[Económico $Corrientes]]/Producción_Lecheria[[#This Row],[Superficie]],0)</f>
        <v>0</v>
      </c>
      <c r="AU277" s="1010">
        <f>IFERROR(Producción_Lecheria[[#This Row],[Económico $Constantes]]/Producción_Lecheria[[#This Row],[Superficie]],0)</f>
        <v>0</v>
      </c>
      <c r="AV277" s="1010">
        <f>IFERROR(Producción_Lecheria[[#This Row],[Económico U$S Dólares]]/Producción_Lecheria[[#This Row],[Superficie]],0)</f>
        <v>0</v>
      </c>
      <c r="AW277" s="992" t="str">
        <f>IF(Económico!$F$4=0,0,Producción_Lecheria[Centro de Costo])</f>
        <v>Campo 1</v>
      </c>
    </row>
    <row r="278" spans="1:49" x14ac:dyDescent="0.25">
      <c r="A278" s="86"/>
      <c r="D278" s="548">
        <f t="shared" si="26"/>
        <v>43525</v>
      </c>
      <c r="E278" s="493"/>
      <c r="F278" s="479" t="str">
        <f t="shared" si="25"/>
        <v>2018-2019</v>
      </c>
      <c r="G278" s="597" t="s">
        <v>124</v>
      </c>
      <c r="H278" s="481" t="s">
        <v>2</v>
      </c>
      <c r="I278" s="491"/>
      <c r="J278" s="549"/>
      <c r="K278" s="484"/>
      <c r="L27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7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78" s="520"/>
      <c r="O27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78" s="563"/>
      <c r="Q278" s="491"/>
      <c r="R278" s="875">
        <f>IF(ISNUMBER(Producción_Lecheria[[#This Row],[Cabezas]])=TRUE,Producción_Lecheria[[#This Row],[Cabezas]]*Producción_Lecheria[[#This Row],[Cantidad]],Producción_Lecheria[[#This Row],[Cantidad]])</f>
        <v>0</v>
      </c>
      <c r="S278" s="491"/>
      <c r="T278" s="552"/>
      <c r="U278" s="553"/>
      <c r="V27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78" s="977">
        <f>IFERROR(Producción_Lecheria[[#This Row],[Económico $Corrientes]]/Producción_Lecheria[[#This Row],[Indexación Económico]],0)</f>
        <v>0</v>
      </c>
      <c r="X27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7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78" s="977">
        <f>IFERROR(Producción_Lecheria[[#This Row],[Financiero $Corrientes]]/Producción_Lecheria[[#This Row],[Indexación Financiero]],0)</f>
        <v>0</v>
      </c>
      <c r="AA27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7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78" s="981">
        <f>IFERROR(Producción_Lecheria[[#This Row],[Intereses $Corrientes]]/Producción_Lecheria[[#This Row],[Indexación Financiero]],0)</f>
        <v>0</v>
      </c>
      <c r="AD27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78" s="991" t="str">
        <f>IFERROR(INDEX(Produccion_Lecheria_Cuentas[],MATCH(Producción_Lecheria[[#This Row],[Cuenta Contable]],Produccion_Lecheria_Cuentas[Cuenta Contable],0),2),0)</f>
        <v>Egreso</v>
      </c>
      <c r="AF278" s="992">
        <f>IF(Producción_Lecheria[[#This Row],[Mov. Stock]]="(+)",Producción_Lecheria[[#This Row],[Cabezas]],IF(Producción_Lecheria[[#This Row],[Mov. Stock]]="(-)",-Producción_Lecheria[[#This Row],[Cabezas]],0))</f>
        <v>0</v>
      </c>
      <c r="AG278" s="993">
        <f>IFERROR(INDEX(Produccion_Lecheria_Cuentas[],MATCH(Producción_Lecheria[[#This Row],[Cuenta Contable]],Produccion_Lecheria_Cuentas[Cuenta Contable],0),5),0)</f>
        <v>0</v>
      </c>
      <c r="AH278" s="985" t="str">
        <f>IF(Producción_Lecheria[[#This Row],[Cuenta Contable]]=Configuración!$AC$9,"Si","No")</f>
        <v>No</v>
      </c>
      <c r="AI278" s="983" t="str">
        <f>IFERROR(INDEX(Tabla9[],MATCH(Producción_Lecheria[[#This Row],[Movimiento]],Tabla9[Movimientos],0),2),0)</f>
        <v>Si</v>
      </c>
      <c r="AJ278" s="984" t="str">
        <f>IFERROR(INDEX(Tabla9[],MATCH(Producción_Lecheria[[#This Row],[Movimiento]],Tabla9[Movimientos],0),3),0)</f>
        <v>(-)</v>
      </c>
      <c r="AK278" s="986">
        <f>IF(Producción_Lecheria[[#This Row],[Fecha Económico]]=0,0,MONTH(Producción_Lecheria[[#This Row],[Fecha Económico]]))</f>
        <v>3</v>
      </c>
      <c r="AL278" s="986">
        <f>IF(Producción_Lecheria[[#This Row],[Fecha Económico]]=0,0,YEAR(Producción_Lecheria[[#This Row],[Fecha Económico]]))</f>
        <v>2019</v>
      </c>
      <c r="AM278" s="987">
        <f>SUMPRODUCT((Producción_Lecheria[[#This Row],[Mes Económico]]=Tipo_Cambio[Mes])*(Producción_Lecheria[[#This Row],[Año Económico]]=Tipo_Cambio[Año])*(Tipo_Cambio[$/U$S]))</f>
        <v>23.82284752381776</v>
      </c>
      <c r="AN278" s="987">
        <f>SUMPRODUCT((Producción_Lecheria[[#This Row],[Mes Económico]]=Tipo_Cambio[Mes])*(Producción_Lecheria[[#This Row],[Año Económico]]=Tipo_Cambio[Año])*(Tipo_Cambio[Actualización]))</f>
        <v>1.1716593810022657</v>
      </c>
      <c r="AO278" s="986">
        <f>IF(ISNUMBER(Producción_Lecheria[[#This Row],[Fecha Financiero]])=TRUE,MONTH(Producción_Lecheria[[#This Row],[Fecha Financiero]]),0)</f>
        <v>0</v>
      </c>
      <c r="AP278" s="986">
        <f>IF(ISNUMBER(Producción_Lecheria[[#This Row],[Fecha Financiero]])=TRUE,YEAR(Producción_Lecheria[[#This Row],[Fecha Financiero]]),0)</f>
        <v>0</v>
      </c>
      <c r="AQ278" s="987">
        <f>SUMPRODUCT((Producción_Lecheria[[#This Row],[Mes Financiero]]=Tipo_Cambio[Mes])*(Producción_Lecheria[[#This Row],[Año Financiero]]=Tipo_Cambio[Año])*(Tipo_Cambio[$/U$S]))</f>
        <v>0</v>
      </c>
      <c r="AR278" s="987">
        <f>SUMPRODUCT((Producción_Lecheria[[#This Row],[Mes Financiero]]=Tipo_Cambio[Mes])*(Producción_Lecheria[[#This Row],[Año Financiero]]=Tipo_Cambio[Año])*(Tipo_Cambio[Actualización]))</f>
        <v>0</v>
      </c>
      <c r="AS278" s="1009">
        <f>SUMPRODUCT((Producción_Lecheria[[#This Row],[Centro de Costo]]=Tabla1924[Centro de Costo])*(Tabla19[Superficie]))</f>
        <v>2356</v>
      </c>
      <c r="AT278" s="1010">
        <f>IFERROR(Producción_Lecheria[[#This Row],[Económico $Corrientes]]/Producción_Lecheria[[#This Row],[Superficie]],0)</f>
        <v>0</v>
      </c>
      <c r="AU278" s="1010">
        <f>IFERROR(Producción_Lecheria[[#This Row],[Económico $Constantes]]/Producción_Lecheria[[#This Row],[Superficie]],0)</f>
        <v>0</v>
      </c>
      <c r="AV278" s="1010">
        <f>IFERROR(Producción_Lecheria[[#This Row],[Económico U$S Dólares]]/Producción_Lecheria[[#This Row],[Superficie]],0)</f>
        <v>0</v>
      </c>
      <c r="AW278" s="992" t="str">
        <f>IF(Económico!$F$4=0,0,Producción_Lecheria[Centro de Costo])</f>
        <v>Campo 1</v>
      </c>
    </row>
    <row r="279" spans="1:49" x14ac:dyDescent="0.25">
      <c r="A279" s="86"/>
      <c r="D279" s="548">
        <f t="shared" si="26"/>
        <v>43556</v>
      </c>
      <c r="E279" s="493"/>
      <c r="F279" s="479" t="str">
        <f t="shared" si="25"/>
        <v>2018-2019</v>
      </c>
      <c r="G279" s="597" t="s">
        <v>124</v>
      </c>
      <c r="H279" s="481" t="s">
        <v>2</v>
      </c>
      <c r="I279" s="491"/>
      <c r="J279" s="549"/>
      <c r="K279" s="484"/>
      <c r="L27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7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79" s="520"/>
      <c r="O27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79" s="563"/>
      <c r="Q279" s="491"/>
      <c r="R279" s="875">
        <f>IF(ISNUMBER(Producción_Lecheria[[#This Row],[Cabezas]])=TRUE,Producción_Lecheria[[#This Row],[Cabezas]]*Producción_Lecheria[[#This Row],[Cantidad]],Producción_Lecheria[[#This Row],[Cantidad]])</f>
        <v>0</v>
      </c>
      <c r="S279" s="491"/>
      <c r="T279" s="552"/>
      <c r="U279" s="553"/>
      <c r="V27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79" s="977">
        <f>IFERROR(Producción_Lecheria[[#This Row],[Económico $Corrientes]]/Producción_Lecheria[[#This Row],[Indexación Económico]],0)</f>
        <v>0</v>
      </c>
      <c r="X27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7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79" s="977">
        <f>IFERROR(Producción_Lecheria[[#This Row],[Financiero $Corrientes]]/Producción_Lecheria[[#This Row],[Indexación Financiero]],0)</f>
        <v>0</v>
      </c>
      <c r="AA27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7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79" s="981">
        <f>IFERROR(Producción_Lecheria[[#This Row],[Intereses $Corrientes]]/Producción_Lecheria[[#This Row],[Indexación Financiero]],0)</f>
        <v>0</v>
      </c>
      <c r="AD27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79" s="991" t="str">
        <f>IFERROR(INDEX(Produccion_Lecheria_Cuentas[],MATCH(Producción_Lecheria[[#This Row],[Cuenta Contable]],Produccion_Lecheria_Cuentas[Cuenta Contable],0),2),0)</f>
        <v>Egreso</v>
      </c>
      <c r="AF279" s="992">
        <f>IF(Producción_Lecheria[[#This Row],[Mov. Stock]]="(+)",Producción_Lecheria[[#This Row],[Cabezas]],IF(Producción_Lecheria[[#This Row],[Mov. Stock]]="(-)",-Producción_Lecheria[[#This Row],[Cabezas]],0))</f>
        <v>0</v>
      </c>
      <c r="AG279" s="993">
        <f>IFERROR(INDEX(Produccion_Lecheria_Cuentas[],MATCH(Producción_Lecheria[[#This Row],[Cuenta Contable]],Produccion_Lecheria_Cuentas[Cuenta Contable],0),5),0)</f>
        <v>0</v>
      </c>
      <c r="AH279" s="985" t="str">
        <f>IF(Producción_Lecheria[[#This Row],[Cuenta Contable]]=Configuración!$AC$9,"Si","No")</f>
        <v>No</v>
      </c>
      <c r="AI279" s="983" t="str">
        <f>IFERROR(INDEX(Tabla9[],MATCH(Producción_Lecheria[[#This Row],[Movimiento]],Tabla9[Movimientos],0),2),0)</f>
        <v>Si</v>
      </c>
      <c r="AJ279" s="984" t="str">
        <f>IFERROR(INDEX(Tabla9[],MATCH(Producción_Lecheria[[#This Row],[Movimiento]],Tabla9[Movimientos],0),3),0)</f>
        <v>(-)</v>
      </c>
      <c r="AK279" s="986">
        <f>IF(Producción_Lecheria[[#This Row],[Fecha Económico]]=0,0,MONTH(Producción_Lecheria[[#This Row],[Fecha Económico]]))</f>
        <v>4</v>
      </c>
      <c r="AL279" s="986">
        <f>IF(Producción_Lecheria[[#This Row],[Fecha Económico]]=0,0,YEAR(Producción_Lecheria[[#This Row],[Fecha Económico]]))</f>
        <v>2019</v>
      </c>
      <c r="AM279" s="987">
        <f>SUMPRODUCT((Producción_Lecheria[[#This Row],[Mes Económico]]=Tipo_Cambio[Mes])*(Producción_Lecheria[[#This Row],[Año Económico]]=Tipo_Cambio[Año])*(Tipo_Cambio[$/U$S]))</f>
        <v>24.061075999055937</v>
      </c>
      <c r="AN279" s="987">
        <f>SUMPRODUCT((Producción_Lecheria[[#This Row],[Mes Económico]]=Tipo_Cambio[Mes])*(Producción_Lecheria[[#This Row],[Año Económico]]=Tipo_Cambio[Año])*(Tipo_Cambio[Actualización]))</f>
        <v>1.1950925686223111</v>
      </c>
      <c r="AO279" s="986">
        <f>IF(ISNUMBER(Producción_Lecheria[[#This Row],[Fecha Financiero]])=TRUE,MONTH(Producción_Lecheria[[#This Row],[Fecha Financiero]]),0)</f>
        <v>0</v>
      </c>
      <c r="AP279" s="986">
        <f>IF(ISNUMBER(Producción_Lecheria[[#This Row],[Fecha Financiero]])=TRUE,YEAR(Producción_Lecheria[[#This Row],[Fecha Financiero]]),0)</f>
        <v>0</v>
      </c>
      <c r="AQ279" s="987">
        <f>SUMPRODUCT((Producción_Lecheria[[#This Row],[Mes Financiero]]=Tipo_Cambio[Mes])*(Producción_Lecheria[[#This Row],[Año Financiero]]=Tipo_Cambio[Año])*(Tipo_Cambio[$/U$S]))</f>
        <v>0</v>
      </c>
      <c r="AR279" s="987">
        <f>SUMPRODUCT((Producción_Lecheria[[#This Row],[Mes Financiero]]=Tipo_Cambio[Mes])*(Producción_Lecheria[[#This Row],[Año Financiero]]=Tipo_Cambio[Año])*(Tipo_Cambio[Actualización]))</f>
        <v>0</v>
      </c>
      <c r="AS279" s="1009">
        <f>SUMPRODUCT((Producción_Lecheria[[#This Row],[Centro de Costo]]=Tabla1924[Centro de Costo])*(Tabla19[Superficie]))</f>
        <v>2356</v>
      </c>
      <c r="AT279" s="1010">
        <f>IFERROR(Producción_Lecheria[[#This Row],[Económico $Corrientes]]/Producción_Lecheria[[#This Row],[Superficie]],0)</f>
        <v>0</v>
      </c>
      <c r="AU279" s="1010">
        <f>IFERROR(Producción_Lecheria[[#This Row],[Económico $Constantes]]/Producción_Lecheria[[#This Row],[Superficie]],0)</f>
        <v>0</v>
      </c>
      <c r="AV279" s="1010">
        <f>IFERROR(Producción_Lecheria[[#This Row],[Económico U$S Dólares]]/Producción_Lecheria[[#This Row],[Superficie]],0)</f>
        <v>0</v>
      </c>
      <c r="AW279" s="992" t="str">
        <f>IF(Económico!$F$4=0,0,Producción_Lecheria[Centro de Costo])</f>
        <v>Campo 1</v>
      </c>
    </row>
    <row r="280" spans="1:49" x14ac:dyDescent="0.25">
      <c r="A280" s="86"/>
      <c r="D280" s="548">
        <f t="shared" si="26"/>
        <v>43586</v>
      </c>
      <c r="E280" s="493"/>
      <c r="F280" s="479" t="str">
        <f t="shared" si="25"/>
        <v>2018-2019</v>
      </c>
      <c r="G280" s="597" t="s">
        <v>124</v>
      </c>
      <c r="H280" s="481" t="s">
        <v>2</v>
      </c>
      <c r="I280" s="491"/>
      <c r="J280" s="549"/>
      <c r="K280" s="484"/>
      <c r="L28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8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80" s="520"/>
      <c r="O28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80" s="563"/>
      <c r="Q280" s="491"/>
      <c r="R280" s="875">
        <f>IF(ISNUMBER(Producción_Lecheria[[#This Row],[Cabezas]])=TRUE,Producción_Lecheria[[#This Row],[Cabezas]]*Producción_Lecheria[[#This Row],[Cantidad]],Producción_Lecheria[[#This Row],[Cantidad]])</f>
        <v>0</v>
      </c>
      <c r="S280" s="491"/>
      <c r="T280" s="552"/>
      <c r="U280" s="553"/>
      <c r="V28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80" s="977">
        <f>IFERROR(Producción_Lecheria[[#This Row],[Económico $Corrientes]]/Producción_Lecheria[[#This Row],[Indexación Económico]],0)</f>
        <v>0</v>
      </c>
      <c r="X28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8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80" s="977">
        <f>IFERROR(Producción_Lecheria[[#This Row],[Financiero $Corrientes]]/Producción_Lecheria[[#This Row],[Indexación Financiero]],0)</f>
        <v>0</v>
      </c>
      <c r="AA28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8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80" s="981">
        <f>IFERROR(Producción_Lecheria[[#This Row],[Intereses $Corrientes]]/Producción_Lecheria[[#This Row],[Indexación Financiero]],0)</f>
        <v>0</v>
      </c>
      <c r="AD28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80" s="991" t="str">
        <f>IFERROR(INDEX(Produccion_Lecheria_Cuentas[],MATCH(Producción_Lecheria[[#This Row],[Cuenta Contable]],Produccion_Lecheria_Cuentas[Cuenta Contable],0),2),0)</f>
        <v>Egreso</v>
      </c>
      <c r="AF280" s="992">
        <f>IF(Producción_Lecheria[[#This Row],[Mov. Stock]]="(+)",Producción_Lecheria[[#This Row],[Cabezas]],IF(Producción_Lecheria[[#This Row],[Mov. Stock]]="(-)",-Producción_Lecheria[[#This Row],[Cabezas]],0))</f>
        <v>0</v>
      </c>
      <c r="AG280" s="993">
        <f>IFERROR(INDEX(Produccion_Lecheria_Cuentas[],MATCH(Producción_Lecheria[[#This Row],[Cuenta Contable]],Produccion_Lecheria_Cuentas[Cuenta Contable],0),5),0)</f>
        <v>0</v>
      </c>
      <c r="AH280" s="985" t="str">
        <f>IF(Producción_Lecheria[[#This Row],[Cuenta Contable]]=Configuración!$AC$9,"Si","No")</f>
        <v>No</v>
      </c>
      <c r="AI280" s="983" t="str">
        <f>IFERROR(INDEX(Tabla9[],MATCH(Producción_Lecheria[[#This Row],[Movimiento]],Tabla9[Movimientos],0),2),0)</f>
        <v>Si</v>
      </c>
      <c r="AJ280" s="984" t="str">
        <f>IFERROR(INDEX(Tabla9[],MATCH(Producción_Lecheria[[#This Row],[Movimiento]],Tabla9[Movimientos],0),3),0)</f>
        <v>(-)</v>
      </c>
      <c r="AK280" s="986">
        <f>IF(Producción_Lecheria[[#This Row],[Fecha Económico]]=0,0,MONTH(Producción_Lecheria[[#This Row],[Fecha Económico]]))</f>
        <v>5</v>
      </c>
      <c r="AL280" s="986">
        <f>IF(Producción_Lecheria[[#This Row],[Fecha Económico]]=0,0,YEAR(Producción_Lecheria[[#This Row],[Fecha Económico]]))</f>
        <v>2019</v>
      </c>
      <c r="AM280" s="987">
        <f>SUMPRODUCT((Producción_Lecheria[[#This Row],[Mes Económico]]=Tipo_Cambio[Mes])*(Producción_Lecheria[[#This Row],[Año Económico]]=Tipo_Cambio[Año])*(Tipo_Cambio[$/U$S]))</f>
        <v>24.301686759046497</v>
      </c>
      <c r="AN280" s="987">
        <f>SUMPRODUCT((Producción_Lecheria[[#This Row],[Mes Económico]]=Tipo_Cambio[Mes])*(Producción_Lecheria[[#This Row],[Año Económico]]=Tipo_Cambio[Año])*(Tipo_Cambio[Actualización]))</f>
        <v>1.2189944199947573</v>
      </c>
      <c r="AO280" s="986">
        <f>IF(ISNUMBER(Producción_Lecheria[[#This Row],[Fecha Financiero]])=TRUE,MONTH(Producción_Lecheria[[#This Row],[Fecha Financiero]]),0)</f>
        <v>0</v>
      </c>
      <c r="AP280" s="986">
        <f>IF(ISNUMBER(Producción_Lecheria[[#This Row],[Fecha Financiero]])=TRUE,YEAR(Producción_Lecheria[[#This Row],[Fecha Financiero]]),0)</f>
        <v>0</v>
      </c>
      <c r="AQ280" s="987">
        <f>SUMPRODUCT((Producción_Lecheria[[#This Row],[Mes Financiero]]=Tipo_Cambio[Mes])*(Producción_Lecheria[[#This Row],[Año Financiero]]=Tipo_Cambio[Año])*(Tipo_Cambio[$/U$S]))</f>
        <v>0</v>
      </c>
      <c r="AR280" s="987">
        <f>SUMPRODUCT((Producción_Lecheria[[#This Row],[Mes Financiero]]=Tipo_Cambio[Mes])*(Producción_Lecheria[[#This Row],[Año Financiero]]=Tipo_Cambio[Año])*(Tipo_Cambio[Actualización]))</f>
        <v>0</v>
      </c>
      <c r="AS280" s="1009">
        <f>SUMPRODUCT((Producción_Lecheria[[#This Row],[Centro de Costo]]=Tabla1924[Centro de Costo])*(Tabla19[Superficie]))</f>
        <v>2356</v>
      </c>
      <c r="AT280" s="1010">
        <f>IFERROR(Producción_Lecheria[[#This Row],[Económico $Corrientes]]/Producción_Lecheria[[#This Row],[Superficie]],0)</f>
        <v>0</v>
      </c>
      <c r="AU280" s="1010">
        <f>IFERROR(Producción_Lecheria[[#This Row],[Económico $Constantes]]/Producción_Lecheria[[#This Row],[Superficie]],0)</f>
        <v>0</v>
      </c>
      <c r="AV280" s="1010">
        <f>IFERROR(Producción_Lecheria[[#This Row],[Económico U$S Dólares]]/Producción_Lecheria[[#This Row],[Superficie]],0)</f>
        <v>0</v>
      </c>
      <c r="AW280" s="992" t="str">
        <f>IF(Económico!$F$4=0,0,Producción_Lecheria[Centro de Costo])</f>
        <v>Campo 1</v>
      </c>
    </row>
    <row r="281" spans="1:49" x14ac:dyDescent="0.25">
      <c r="A281" s="86"/>
      <c r="D281" s="548">
        <f t="shared" si="26"/>
        <v>43617</v>
      </c>
      <c r="E281" s="493"/>
      <c r="F281" s="479" t="str">
        <f t="shared" si="25"/>
        <v>2018-2019</v>
      </c>
      <c r="G281" s="597" t="s">
        <v>124</v>
      </c>
      <c r="H281" s="481" t="s">
        <v>2</v>
      </c>
      <c r="I281" s="491"/>
      <c r="J281" s="549"/>
      <c r="K281" s="484"/>
      <c r="L28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8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81" s="520"/>
      <c r="O28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81" s="563"/>
      <c r="Q281" s="491"/>
      <c r="R281" s="875">
        <f>IF(ISNUMBER(Producción_Lecheria[[#This Row],[Cabezas]])=TRUE,Producción_Lecheria[[#This Row],[Cabezas]]*Producción_Lecheria[[#This Row],[Cantidad]],Producción_Lecheria[[#This Row],[Cantidad]])</f>
        <v>0</v>
      </c>
      <c r="S281" s="491"/>
      <c r="T281" s="552"/>
      <c r="U281" s="553"/>
      <c r="V28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81" s="977">
        <f>IFERROR(Producción_Lecheria[[#This Row],[Económico $Corrientes]]/Producción_Lecheria[[#This Row],[Indexación Económico]],0)</f>
        <v>0</v>
      </c>
      <c r="X28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8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81" s="977">
        <f>IFERROR(Producción_Lecheria[[#This Row],[Financiero $Corrientes]]/Producción_Lecheria[[#This Row],[Indexación Financiero]],0)</f>
        <v>0</v>
      </c>
      <c r="AA28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8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81" s="981">
        <f>IFERROR(Producción_Lecheria[[#This Row],[Intereses $Corrientes]]/Producción_Lecheria[[#This Row],[Indexación Financiero]],0)</f>
        <v>0</v>
      </c>
      <c r="AD28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81" s="991" t="str">
        <f>IFERROR(INDEX(Produccion_Lecheria_Cuentas[],MATCH(Producción_Lecheria[[#This Row],[Cuenta Contable]],Produccion_Lecheria_Cuentas[Cuenta Contable],0),2),0)</f>
        <v>Egreso</v>
      </c>
      <c r="AF281" s="992">
        <f>IF(Producción_Lecheria[[#This Row],[Mov. Stock]]="(+)",Producción_Lecheria[[#This Row],[Cabezas]],IF(Producción_Lecheria[[#This Row],[Mov. Stock]]="(-)",-Producción_Lecheria[[#This Row],[Cabezas]],0))</f>
        <v>0</v>
      </c>
      <c r="AG281" s="993">
        <f>IFERROR(INDEX(Produccion_Lecheria_Cuentas[],MATCH(Producción_Lecheria[[#This Row],[Cuenta Contable]],Produccion_Lecheria_Cuentas[Cuenta Contable],0),5),0)</f>
        <v>0</v>
      </c>
      <c r="AH281" s="985" t="str">
        <f>IF(Producción_Lecheria[[#This Row],[Cuenta Contable]]=Configuración!$AC$9,"Si","No")</f>
        <v>No</v>
      </c>
      <c r="AI281" s="983" t="str">
        <f>IFERROR(INDEX(Tabla9[],MATCH(Producción_Lecheria[[#This Row],[Movimiento]],Tabla9[Movimientos],0),2),0)</f>
        <v>Si</v>
      </c>
      <c r="AJ281" s="984" t="str">
        <f>IFERROR(INDEX(Tabla9[],MATCH(Producción_Lecheria[[#This Row],[Movimiento]],Tabla9[Movimientos],0),3),0)</f>
        <v>(-)</v>
      </c>
      <c r="AK281" s="986">
        <f>IF(Producción_Lecheria[[#This Row],[Fecha Económico]]=0,0,MONTH(Producción_Lecheria[[#This Row],[Fecha Económico]]))</f>
        <v>6</v>
      </c>
      <c r="AL281" s="986">
        <f>IF(Producción_Lecheria[[#This Row],[Fecha Económico]]=0,0,YEAR(Producción_Lecheria[[#This Row],[Fecha Económico]]))</f>
        <v>2019</v>
      </c>
      <c r="AM281" s="987">
        <f>SUMPRODUCT((Producción_Lecheria[[#This Row],[Mes Económico]]=Tipo_Cambio[Mes])*(Producción_Lecheria[[#This Row],[Año Económico]]=Tipo_Cambio[Año])*(Tipo_Cambio[$/U$S]))</f>
        <v>24.544703626636963</v>
      </c>
      <c r="AN281" s="987">
        <f>SUMPRODUCT((Producción_Lecheria[[#This Row],[Mes Económico]]=Tipo_Cambio[Mes])*(Producción_Lecheria[[#This Row],[Año Económico]]=Tipo_Cambio[Año])*(Tipo_Cambio[Actualización]))</f>
        <v>1.2433743083946525</v>
      </c>
      <c r="AO281" s="986">
        <f>IF(ISNUMBER(Producción_Lecheria[[#This Row],[Fecha Financiero]])=TRUE,MONTH(Producción_Lecheria[[#This Row],[Fecha Financiero]]),0)</f>
        <v>0</v>
      </c>
      <c r="AP281" s="986">
        <f>IF(ISNUMBER(Producción_Lecheria[[#This Row],[Fecha Financiero]])=TRUE,YEAR(Producción_Lecheria[[#This Row],[Fecha Financiero]]),0)</f>
        <v>0</v>
      </c>
      <c r="AQ281" s="987">
        <f>SUMPRODUCT((Producción_Lecheria[[#This Row],[Mes Financiero]]=Tipo_Cambio[Mes])*(Producción_Lecheria[[#This Row],[Año Financiero]]=Tipo_Cambio[Año])*(Tipo_Cambio[$/U$S]))</f>
        <v>0</v>
      </c>
      <c r="AR281" s="987">
        <f>SUMPRODUCT((Producción_Lecheria[[#This Row],[Mes Financiero]]=Tipo_Cambio[Mes])*(Producción_Lecheria[[#This Row],[Año Financiero]]=Tipo_Cambio[Año])*(Tipo_Cambio[Actualización]))</f>
        <v>0</v>
      </c>
      <c r="AS281" s="1009">
        <f>SUMPRODUCT((Producción_Lecheria[[#This Row],[Centro de Costo]]=Tabla1924[Centro de Costo])*(Tabla19[Superficie]))</f>
        <v>2356</v>
      </c>
      <c r="AT281" s="1010">
        <f>IFERROR(Producción_Lecheria[[#This Row],[Económico $Corrientes]]/Producción_Lecheria[[#This Row],[Superficie]],0)</f>
        <v>0</v>
      </c>
      <c r="AU281" s="1010">
        <f>IFERROR(Producción_Lecheria[[#This Row],[Económico $Constantes]]/Producción_Lecheria[[#This Row],[Superficie]],0)</f>
        <v>0</v>
      </c>
      <c r="AV281" s="1010">
        <f>IFERROR(Producción_Lecheria[[#This Row],[Económico U$S Dólares]]/Producción_Lecheria[[#This Row],[Superficie]],0)</f>
        <v>0</v>
      </c>
      <c r="AW281" s="992" t="str">
        <f>IF(Económico!$F$4=0,0,Producción_Lecheria[Centro de Costo])</f>
        <v>Campo 1</v>
      </c>
    </row>
    <row r="282" spans="1:49" x14ac:dyDescent="0.25">
      <c r="A282" s="86"/>
      <c r="D282" s="548"/>
      <c r="E282" s="493"/>
      <c r="F282" s="479" t="str">
        <f t="shared" si="25"/>
        <v>2018-2019</v>
      </c>
      <c r="G282" s="576"/>
      <c r="H282" s="481"/>
      <c r="I282" s="491"/>
      <c r="J282" s="549"/>
      <c r="K282" s="484"/>
      <c r="L28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8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82" s="520"/>
      <c r="O28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82" s="563"/>
      <c r="Q282" s="491"/>
      <c r="R282" s="875">
        <f>IF(ISNUMBER(Producción_Lecheria[[#This Row],[Cabezas]])=TRUE,Producción_Lecheria[[#This Row],[Cabezas]]*Producción_Lecheria[[#This Row],[Cantidad]],Producción_Lecheria[[#This Row],[Cantidad]])</f>
        <v>0</v>
      </c>
      <c r="S282" s="491"/>
      <c r="T282" s="552"/>
      <c r="U282" s="553"/>
      <c r="V28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82" s="977">
        <f>IFERROR(Producción_Lecheria[[#This Row],[Económico $Corrientes]]/Producción_Lecheria[[#This Row],[Indexación Económico]],0)</f>
        <v>0</v>
      </c>
      <c r="X28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8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82" s="977">
        <f>IFERROR(Producción_Lecheria[[#This Row],[Financiero $Corrientes]]/Producción_Lecheria[[#This Row],[Indexación Financiero]],0)</f>
        <v>0</v>
      </c>
      <c r="AA28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8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82" s="981">
        <f>IFERROR(Producción_Lecheria[[#This Row],[Intereses $Corrientes]]/Producción_Lecheria[[#This Row],[Indexación Financiero]],0)</f>
        <v>0</v>
      </c>
      <c r="AD28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82" s="991">
        <f>IFERROR(INDEX(Produccion_Lecheria_Cuentas[],MATCH(Producción_Lecheria[[#This Row],[Cuenta Contable]],Produccion_Lecheria_Cuentas[Cuenta Contable],0),2),0)</f>
        <v>0</v>
      </c>
      <c r="AF282" s="992">
        <f>IF(Producción_Lecheria[[#This Row],[Mov. Stock]]="(+)",Producción_Lecheria[[#This Row],[Cabezas]],IF(Producción_Lecheria[[#This Row],[Mov. Stock]]="(-)",-Producción_Lecheria[[#This Row],[Cabezas]],0))</f>
        <v>0</v>
      </c>
      <c r="AG282" s="993">
        <f>IFERROR(INDEX(Produccion_Lecheria_Cuentas[],MATCH(Producción_Lecheria[[#This Row],[Cuenta Contable]],Produccion_Lecheria_Cuentas[Cuenta Contable],0),5),0)</f>
        <v>0</v>
      </c>
      <c r="AH282" s="985" t="str">
        <f>IF(Producción_Lecheria[[#This Row],[Cuenta Contable]]=Configuración!$AC$9,"Si","No")</f>
        <v>No</v>
      </c>
      <c r="AI282" s="983">
        <f>IFERROR(INDEX(Tabla9[],MATCH(Producción_Lecheria[[#This Row],[Movimiento]],Tabla9[Movimientos],0),2),0)</f>
        <v>0</v>
      </c>
      <c r="AJ282" s="984">
        <f>IFERROR(INDEX(Tabla9[],MATCH(Producción_Lecheria[[#This Row],[Movimiento]],Tabla9[Movimientos],0),3),0)</f>
        <v>0</v>
      </c>
      <c r="AK282" s="986">
        <f>IF(Producción_Lecheria[[#This Row],[Fecha Económico]]=0,0,MONTH(Producción_Lecheria[[#This Row],[Fecha Económico]]))</f>
        <v>0</v>
      </c>
      <c r="AL282" s="986">
        <f>IF(Producción_Lecheria[[#This Row],[Fecha Económico]]=0,0,YEAR(Producción_Lecheria[[#This Row],[Fecha Económico]]))</f>
        <v>0</v>
      </c>
      <c r="AM282" s="987">
        <f>SUMPRODUCT((Producción_Lecheria[[#This Row],[Mes Económico]]=Tipo_Cambio[Mes])*(Producción_Lecheria[[#This Row],[Año Económico]]=Tipo_Cambio[Año])*(Tipo_Cambio[$/U$S]))</f>
        <v>0</v>
      </c>
      <c r="AN282" s="987">
        <f>SUMPRODUCT((Producción_Lecheria[[#This Row],[Mes Económico]]=Tipo_Cambio[Mes])*(Producción_Lecheria[[#This Row],[Año Económico]]=Tipo_Cambio[Año])*(Tipo_Cambio[Actualización]))</f>
        <v>0</v>
      </c>
      <c r="AO282" s="986">
        <f>IF(ISNUMBER(Producción_Lecheria[[#This Row],[Fecha Financiero]])=TRUE,MONTH(Producción_Lecheria[[#This Row],[Fecha Financiero]]),0)</f>
        <v>0</v>
      </c>
      <c r="AP282" s="986">
        <f>IF(ISNUMBER(Producción_Lecheria[[#This Row],[Fecha Financiero]])=TRUE,YEAR(Producción_Lecheria[[#This Row],[Fecha Financiero]]),0)</f>
        <v>0</v>
      </c>
      <c r="AQ282" s="987">
        <f>SUMPRODUCT((Producción_Lecheria[[#This Row],[Mes Financiero]]=Tipo_Cambio[Mes])*(Producción_Lecheria[[#This Row],[Año Financiero]]=Tipo_Cambio[Año])*(Tipo_Cambio[$/U$S]))</f>
        <v>0</v>
      </c>
      <c r="AR282" s="987">
        <f>SUMPRODUCT((Producción_Lecheria[[#This Row],[Mes Financiero]]=Tipo_Cambio[Mes])*(Producción_Lecheria[[#This Row],[Año Financiero]]=Tipo_Cambio[Año])*(Tipo_Cambio[Actualización]))</f>
        <v>0</v>
      </c>
      <c r="AS282" s="1009">
        <f>SUMPRODUCT((Producción_Lecheria[[#This Row],[Centro de Costo]]=Tabla1924[Centro de Costo])*(Tabla19[Superficie]))</f>
        <v>0</v>
      </c>
      <c r="AT282" s="1010">
        <f>IFERROR(Producción_Lecheria[[#This Row],[Económico $Corrientes]]/Producción_Lecheria[[#This Row],[Superficie]],0)</f>
        <v>0</v>
      </c>
      <c r="AU282" s="1010">
        <f>IFERROR(Producción_Lecheria[[#This Row],[Económico $Constantes]]/Producción_Lecheria[[#This Row],[Superficie]],0)</f>
        <v>0</v>
      </c>
      <c r="AV282" s="1010">
        <f>IFERROR(Producción_Lecheria[[#This Row],[Económico U$S Dólares]]/Producción_Lecheria[[#This Row],[Superficie]],0)</f>
        <v>0</v>
      </c>
      <c r="AW282" s="992">
        <f>IF(Económico!$F$4=0,0,Producción_Lecheria[Centro de Costo])</f>
        <v>0</v>
      </c>
    </row>
    <row r="283" spans="1:49" x14ac:dyDescent="0.25">
      <c r="A283" s="86"/>
      <c r="D283" s="548"/>
      <c r="E283" s="493"/>
      <c r="F283" s="479" t="str">
        <f t="shared" si="25"/>
        <v>2018-2019</v>
      </c>
      <c r="G283" s="576"/>
      <c r="H283" s="481"/>
      <c r="I283" s="491"/>
      <c r="J283" s="549"/>
      <c r="K283" s="484"/>
      <c r="L28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8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83" s="520"/>
      <c r="O28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83" s="563"/>
      <c r="Q283" s="491"/>
      <c r="R283" s="875">
        <f>IF(ISNUMBER(Producción_Lecheria[[#This Row],[Cabezas]])=TRUE,Producción_Lecheria[[#This Row],[Cabezas]]*Producción_Lecheria[[#This Row],[Cantidad]],Producción_Lecheria[[#This Row],[Cantidad]])</f>
        <v>0</v>
      </c>
      <c r="S283" s="491"/>
      <c r="T283" s="552"/>
      <c r="U283" s="553"/>
      <c r="V28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83" s="977">
        <f>IFERROR(Producción_Lecheria[[#This Row],[Económico $Corrientes]]/Producción_Lecheria[[#This Row],[Indexación Económico]],0)</f>
        <v>0</v>
      </c>
      <c r="X28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8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83" s="977">
        <f>IFERROR(Producción_Lecheria[[#This Row],[Financiero $Corrientes]]/Producción_Lecheria[[#This Row],[Indexación Financiero]],0)</f>
        <v>0</v>
      </c>
      <c r="AA28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8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83" s="981">
        <f>IFERROR(Producción_Lecheria[[#This Row],[Intereses $Corrientes]]/Producción_Lecheria[[#This Row],[Indexación Financiero]],0)</f>
        <v>0</v>
      </c>
      <c r="AD28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83" s="991">
        <f>IFERROR(INDEX(Produccion_Lecheria_Cuentas[],MATCH(Producción_Lecheria[[#This Row],[Cuenta Contable]],Produccion_Lecheria_Cuentas[Cuenta Contable],0),2),0)</f>
        <v>0</v>
      </c>
      <c r="AF283" s="992">
        <f>IF(Producción_Lecheria[[#This Row],[Mov. Stock]]="(+)",Producción_Lecheria[[#This Row],[Cabezas]],IF(Producción_Lecheria[[#This Row],[Mov. Stock]]="(-)",-Producción_Lecheria[[#This Row],[Cabezas]],0))</f>
        <v>0</v>
      </c>
      <c r="AG283" s="993">
        <f>IFERROR(INDEX(Produccion_Lecheria_Cuentas[],MATCH(Producción_Lecheria[[#This Row],[Cuenta Contable]],Produccion_Lecheria_Cuentas[Cuenta Contable],0),5),0)</f>
        <v>0</v>
      </c>
      <c r="AH283" s="985" t="str">
        <f>IF(Producción_Lecheria[[#This Row],[Cuenta Contable]]=Configuración!$AC$9,"Si","No")</f>
        <v>No</v>
      </c>
      <c r="AI283" s="983">
        <f>IFERROR(INDEX(Tabla9[],MATCH(Producción_Lecheria[[#This Row],[Movimiento]],Tabla9[Movimientos],0),2),0)</f>
        <v>0</v>
      </c>
      <c r="AJ283" s="984">
        <f>IFERROR(INDEX(Tabla9[],MATCH(Producción_Lecheria[[#This Row],[Movimiento]],Tabla9[Movimientos],0),3),0)</f>
        <v>0</v>
      </c>
      <c r="AK283" s="986">
        <f>IF(Producción_Lecheria[[#This Row],[Fecha Económico]]=0,0,MONTH(Producción_Lecheria[[#This Row],[Fecha Económico]]))</f>
        <v>0</v>
      </c>
      <c r="AL283" s="986">
        <f>IF(Producción_Lecheria[[#This Row],[Fecha Económico]]=0,0,YEAR(Producción_Lecheria[[#This Row],[Fecha Económico]]))</f>
        <v>0</v>
      </c>
      <c r="AM283" s="987">
        <f>SUMPRODUCT((Producción_Lecheria[[#This Row],[Mes Económico]]=Tipo_Cambio[Mes])*(Producción_Lecheria[[#This Row],[Año Económico]]=Tipo_Cambio[Año])*(Tipo_Cambio[$/U$S]))</f>
        <v>0</v>
      </c>
      <c r="AN283" s="987">
        <f>SUMPRODUCT((Producción_Lecheria[[#This Row],[Mes Económico]]=Tipo_Cambio[Mes])*(Producción_Lecheria[[#This Row],[Año Económico]]=Tipo_Cambio[Año])*(Tipo_Cambio[Actualización]))</f>
        <v>0</v>
      </c>
      <c r="AO283" s="986">
        <f>IF(ISNUMBER(Producción_Lecheria[[#This Row],[Fecha Financiero]])=TRUE,MONTH(Producción_Lecheria[[#This Row],[Fecha Financiero]]),0)</f>
        <v>0</v>
      </c>
      <c r="AP283" s="986">
        <f>IF(ISNUMBER(Producción_Lecheria[[#This Row],[Fecha Financiero]])=TRUE,YEAR(Producción_Lecheria[[#This Row],[Fecha Financiero]]),0)</f>
        <v>0</v>
      </c>
      <c r="AQ283" s="987">
        <f>SUMPRODUCT((Producción_Lecheria[[#This Row],[Mes Financiero]]=Tipo_Cambio[Mes])*(Producción_Lecheria[[#This Row],[Año Financiero]]=Tipo_Cambio[Año])*(Tipo_Cambio[$/U$S]))</f>
        <v>0</v>
      </c>
      <c r="AR283" s="987">
        <f>SUMPRODUCT((Producción_Lecheria[[#This Row],[Mes Financiero]]=Tipo_Cambio[Mes])*(Producción_Lecheria[[#This Row],[Año Financiero]]=Tipo_Cambio[Año])*(Tipo_Cambio[Actualización]))</f>
        <v>0</v>
      </c>
      <c r="AS283" s="1009">
        <f>SUMPRODUCT((Producción_Lecheria[[#This Row],[Centro de Costo]]=Tabla1924[Centro de Costo])*(Tabla19[Superficie]))</f>
        <v>0</v>
      </c>
      <c r="AT283" s="1010">
        <f>IFERROR(Producción_Lecheria[[#This Row],[Económico $Corrientes]]/Producción_Lecheria[[#This Row],[Superficie]],0)</f>
        <v>0</v>
      </c>
      <c r="AU283" s="1010">
        <f>IFERROR(Producción_Lecheria[[#This Row],[Económico $Constantes]]/Producción_Lecheria[[#This Row],[Superficie]],0)</f>
        <v>0</v>
      </c>
      <c r="AV283" s="1010">
        <f>IFERROR(Producción_Lecheria[[#This Row],[Económico U$S Dólares]]/Producción_Lecheria[[#This Row],[Superficie]],0)</f>
        <v>0</v>
      </c>
      <c r="AW283" s="992">
        <f>IF(Económico!$F$4=0,0,Producción_Lecheria[Centro de Costo])</f>
        <v>0</v>
      </c>
    </row>
    <row r="284" spans="1:49" x14ac:dyDescent="0.25">
      <c r="A284" s="86"/>
      <c r="D284" s="548">
        <f>DATE(LEFT(Producción_Lecheria[[#This Row],[Campaña]],4),7,1)</f>
        <v>43282</v>
      </c>
      <c r="E284" s="493"/>
      <c r="F284" s="479" t="str">
        <f t="shared" si="25"/>
        <v>2018-2019</v>
      </c>
      <c r="G284" s="597" t="s">
        <v>172</v>
      </c>
      <c r="H284" s="481" t="s">
        <v>2</v>
      </c>
      <c r="I284" s="491"/>
      <c r="J284" s="549" t="s">
        <v>488</v>
      </c>
      <c r="K284" s="484"/>
      <c r="L28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8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84" s="520"/>
      <c r="O28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84" s="563"/>
      <c r="Q284" s="491"/>
      <c r="R284" s="875">
        <f>IF(ISNUMBER(Producción_Lecheria[[#This Row],[Cabezas]])=TRUE,Producción_Lecheria[[#This Row],[Cabezas]]*Producción_Lecheria[[#This Row],[Cantidad]],Producción_Lecheria[[#This Row],[Cantidad]])</f>
        <v>0</v>
      </c>
      <c r="S284" s="491"/>
      <c r="T284" s="552"/>
      <c r="U284" s="553"/>
      <c r="V28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84" s="977">
        <f>IFERROR(Producción_Lecheria[[#This Row],[Económico $Corrientes]]/Producción_Lecheria[[#This Row],[Indexación Económico]],0)</f>
        <v>0</v>
      </c>
      <c r="X28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8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84" s="977">
        <f>IFERROR(Producción_Lecheria[[#This Row],[Financiero $Corrientes]]/Producción_Lecheria[[#This Row],[Indexación Financiero]],0)</f>
        <v>0</v>
      </c>
      <c r="AA28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8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84" s="981">
        <f>IFERROR(Producción_Lecheria[[#This Row],[Intereses $Corrientes]]/Producción_Lecheria[[#This Row],[Indexación Financiero]],0)</f>
        <v>0</v>
      </c>
      <c r="AD28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84" s="991" t="str">
        <f>IFERROR(INDEX(Produccion_Lecheria_Cuentas[],MATCH(Producción_Lecheria[[#This Row],[Cuenta Contable]],Produccion_Lecheria_Cuentas[Cuenta Contable],0),2),0)</f>
        <v>Egreso Cesión</v>
      </c>
      <c r="AF284" s="992">
        <f>IF(Producción_Lecheria[[#This Row],[Mov. Stock]]="(+)",Producción_Lecheria[[#This Row],[Cabezas]],IF(Producción_Lecheria[[#This Row],[Mov. Stock]]="(-)",-Producción_Lecheria[[#This Row],[Cabezas]],0))</f>
        <v>0</v>
      </c>
      <c r="AG284" s="993">
        <f>IFERROR(INDEX(Produccion_Lecheria_Cuentas[],MATCH(Producción_Lecheria[[#This Row],[Cuenta Contable]],Produccion_Lecheria_Cuentas[Cuenta Contable],0),5),0)</f>
        <v>0</v>
      </c>
      <c r="AH284" s="985" t="str">
        <f>IF(Producción_Lecheria[[#This Row],[Cuenta Contable]]=Configuración!$AC$9,"Si","No")</f>
        <v>Si</v>
      </c>
      <c r="AI284" s="983" t="str">
        <f>IFERROR(INDEX(Tabla9[],MATCH(Producción_Lecheria[[#This Row],[Movimiento]],Tabla9[Movimientos],0),2),0)</f>
        <v>No</v>
      </c>
      <c r="AJ284" s="984" t="str">
        <f>IFERROR(INDEX(Tabla9[],MATCH(Producción_Lecheria[[#This Row],[Movimiento]],Tabla9[Movimientos],0),3),0)</f>
        <v>(-)</v>
      </c>
      <c r="AK284" s="986">
        <f>IF(Producción_Lecheria[[#This Row],[Fecha Económico]]=0,0,MONTH(Producción_Lecheria[[#This Row],[Fecha Económico]]))</f>
        <v>7</v>
      </c>
      <c r="AL284" s="986">
        <f>IF(Producción_Lecheria[[#This Row],[Fecha Económico]]=0,0,YEAR(Producción_Lecheria[[#This Row],[Fecha Económico]]))</f>
        <v>2018</v>
      </c>
      <c r="AM284" s="987">
        <f>SUMPRODUCT((Producción_Lecheria[[#This Row],[Mes Económico]]=Tipo_Cambio[Mes])*(Producción_Lecheria[[#This Row],[Año Económico]]=Tipo_Cambio[Año])*(Tipo_Cambio[$/U$S]))</f>
        <v>22</v>
      </c>
      <c r="AN284" s="987">
        <f>SUMPRODUCT((Producción_Lecheria[[#This Row],[Mes Económico]]=Tipo_Cambio[Mes])*(Producción_Lecheria[[#This Row],[Año Económico]]=Tipo_Cambio[Año])*(Tipo_Cambio[Actualización]))</f>
        <v>1</v>
      </c>
      <c r="AO284" s="986">
        <f>IF(ISNUMBER(Producción_Lecheria[[#This Row],[Fecha Financiero]])=TRUE,MONTH(Producción_Lecheria[[#This Row],[Fecha Financiero]]),0)</f>
        <v>0</v>
      </c>
      <c r="AP284" s="986">
        <f>IF(ISNUMBER(Producción_Lecheria[[#This Row],[Fecha Financiero]])=TRUE,YEAR(Producción_Lecheria[[#This Row],[Fecha Financiero]]),0)</f>
        <v>0</v>
      </c>
      <c r="AQ284" s="987">
        <f>SUMPRODUCT((Producción_Lecheria[[#This Row],[Mes Financiero]]=Tipo_Cambio[Mes])*(Producción_Lecheria[[#This Row],[Año Financiero]]=Tipo_Cambio[Año])*(Tipo_Cambio[$/U$S]))</f>
        <v>0</v>
      </c>
      <c r="AR284" s="987">
        <f>SUMPRODUCT((Producción_Lecheria[[#This Row],[Mes Financiero]]=Tipo_Cambio[Mes])*(Producción_Lecheria[[#This Row],[Año Financiero]]=Tipo_Cambio[Año])*(Tipo_Cambio[Actualización]))</f>
        <v>0</v>
      </c>
      <c r="AS284" s="1009">
        <f>SUMPRODUCT((Producción_Lecheria[[#This Row],[Centro de Costo]]=Tabla1924[Centro de Costo])*(Tabla19[Superficie]))</f>
        <v>2356</v>
      </c>
      <c r="AT284" s="1010">
        <f>IFERROR(Producción_Lecheria[[#This Row],[Económico $Corrientes]]/Producción_Lecheria[[#This Row],[Superficie]],0)</f>
        <v>0</v>
      </c>
      <c r="AU284" s="1010">
        <f>IFERROR(Producción_Lecheria[[#This Row],[Económico $Constantes]]/Producción_Lecheria[[#This Row],[Superficie]],0)</f>
        <v>0</v>
      </c>
      <c r="AV284" s="1010">
        <f>IFERROR(Producción_Lecheria[[#This Row],[Económico U$S Dólares]]/Producción_Lecheria[[#This Row],[Superficie]],0)</f>
        <v>0</v>
      </c>
      <c r="AW284" s="992" t="str">
        <f>IF(Económico!$F$4=0,0,Producción_Lecheria[Centro de Costo])</f>
        <v>Campo 1</v>
      </c>
    </row>
    <row r="285" spans="1:49" x14ac:dyDescent="0.25">
      <c r="A285" s="86"/>
      <c r="D285" s="548">
        <f>DATE(IF(MONTH(D284)=1,YEAR(D284+1),YEAR(D284)),MONTH(D284)+1,1)</f>
        <v>43313</v>
      </c>
      <c r="E285" s="493"/>
      <c r="F285" s="479" t="str">
        <f t="shared" si="25"/>
        <v>2018-2019</v>
      </c>
      <c r="G285" s="597" t="s">
        <v>172</v>
      </c>
      <c r="H285" s="481" t="s">
        <v>2</v>
      </c>
      <c r="I285" s="491"/>
      <c r="J285" s="549" t="s">
        <v>488</v>
      </c>
      <c r="K285" s="484"/>
      <c r="L28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8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85" s="520"/>
      <c r="O28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85" s="563"/>
      <c r="Q285" s="491"/>
      <c r="R285" s="875">
        <f>IF(ISNUMBER(Producción_Lecheria[[#This Row],[Cabezas]])=TRUE,Producción_Lecheria[[#This Row],[Cabezas]]*Producción_Lecheria[[#This Row],[Cantidad]],Producción_Lecheria[[#This Row],[Cantidad]])</f>
        <v>0</v>
      </c>
      <c r="S285" s="491"/>
      <c r="T285" s="552"/>
      <c r="U285" s="553"/>
      <c r="V28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85" s="977">
        <f>IFERROR(Producción_Lecheria[[#This Row],[Económico $Corrientes]]/Producción_Lecheria[[#This Row],[Indexación Económico]],0)</f>
        <v>0</v>
      </c>
      <c r="X28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8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85" s="977">
        <f>IFERROR(Producción_Lecheria[[#This Row],[Financiero $Corrientes]]/Producción_Lecheria[[#This Row],[Indexación Financiero]],0)</f>
        <v>0</v>
      </c>
      <c r="AA28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8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85" s="981">
        <f>IFERROR(Producción_Lecheria[[#This Row],[Intereses $Corrientes]]/Producción_Lecheria[[#This Row],[Indexación Financiero]],0)</f>
        <v>0</v>
      </c>
      <c r="AD28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85" s="991" t="str">
        <f>IFERROR(INDEX(Produccion_Lecheria_Cuentas[],MATCH(Producción_Lecheria[[#This Row],[Cuenta Contable]],Produccion_Lecheria_Cuentas[Cuenta Contable],0),2),0)</f>
        <v>Egreso Cesión</v>
      </c>
      <c r="AF285" s="992">
        <f>IF(Producción_Lecheria[[#This Row],[Mov. Stock]]="(+)",Producción_Lecheria[[#This Row],[Cabezas]],IF(Producción_Lecheria[[#This Row],[Mov. Stock]]="(-)",-Producción_Lecheria[[#This Row],[Cabezas]],0))</f>
        <v>0</v>
      </c>
      <c r="AG285" s="993">
        <f>IFERROR(INDEX(Produccion_Lecheria_Cuentas[],MATCH(Producción_Lecheria[[#This Row],[Cuenta Contable]],Produccion_Lecheria_Cuentas[Cuenta Contable],0),5),0)</f>
        <v>0</v>
      </c>
      <c r="AH285" s="985" t="str">
        <f>IF(Producción_Lecheria[[#This Row],[Cuenta Contable]]=Configuración!$AC$9,"Si","No")</f>
        <v>Si</v>
      </c>
      <c r="AI285" s="983" t="str">
        <f>IFERROR(INDEX(Tabla9[],MATCH(Producción_Lecheria[[#This Row],[Movimiento]],Tabla9[Movimientos],0),2),0)</f>
        <v>No</v>
      </c>
      <c r="AJ285" s="984" t="str">
        <f>IFERROR(INDEX(Tabla9[],MATCH(Producción_Lecheria[[#This Row],[Movimiento]],Tabla9[Movimientos],0),3),0)</f>
        <v>(-)</v>
      </c>
      <c r="AK285" s="986">
        <f>IF(Producción_Lecheria[[#This Row],[Fecha Económico]]=0,0,MONTH(Producción_Lecheria[[#This Row],[Fecha Económico]]))</f>
        <v>8</v>
      </c>
      <c r="AL285" s="986">
        <f>IF(Producción_Lecheria[[#This Row],[Fecha Económico]]=0,0,YEAR(Producción_Lecheria[[#This Row],[Fecha Económico]]))</f>
        <v>2018</v>
      </c>
      <c r="AM285" s="987">
        <f>SUMPRODUCT((Producción_Lecheria[[#This Row],[Mes Económico]]=Tipo_Cambio[Mes])*(Producción_Lecheria[[#This Row],[Año Económico]]=Tipo_Cambio[Año])*(Tipo_Cambio[$/U$S]))</f>
        <v>22.22</v>
      </c>
      <c r="AN285" s="987">
        <f>SUMPRODUCT((Producción_Lecheria[[#This Row],[Mes Económico]]=Tipo_Cambio[Mes])*(Producción_Lecheria[[#This Row],[Año Económico]]=Tipo_Cambio[Año])*(Tipo_Cambio[Actualización]))</f>
        <v>1.02</v>
      </c>
      <c r="AO285" s="986">
        <f>IF(ISNUMBER(Producción_Lecheria[[#This Row],[Fecha Financiero]])=TRUE,MONTH(Producción_Lecheria[[#This Row],[Fecha Financiero]]),0)</f>
        <v>0</v>
      </c>
      <c r="AP285" s="986">
        <f>IF(ISNUMBER(Producción_Lecheria[[#This Row],[Fecha Financiero]])=TRUE,YEAR(Producción_Lecheria[[#This Row],[Fecha Financiero]]),0)</f>
        <v>0</v>
      </c>
      <c r="AQ285" s="987">
        <f>SUMPRODUCT((Producción_Lecheria[[#This Row],[Mes Financiero]]=Tipo_Cambio[Mes])*(Producción_Lecheria[[#This Row],[Año Financiero]]=Tipo_Cambio[Año])*(Tipo_Cambio[$/U$S]))</f>
        <v>0</v>
      </c>
      <c r="AR285" s="987">
        <f>SUMPRODUCT((Producción_Lecheria[[#This Row],[Mes Financiero]]=Tipo_Cambio[Mes])*(Producción_Lecheria[[#This Row],[Año Financiero]]=Tipo_Cambio[Año])*(Tipo_Cambio[Actualización]))</f>
        <v>0</v>
      </c>
      <c r="AS285" s="1009">
        <f>SUMPRODUCT((Producción_Lecheria[[#This Row],[Centro de Costo]]=Tabla1924[Centro de Costo])*(Tabla19[Superficie]))</f>
        <v>2356</v>
      </c>
      <c r="AT285" s="1010">
        <f>IFERROR(Producción_Lecheria[[#This Row],[Económico $Corrientes]]/Producción_Lecheria[[#This Row],[Superficie]],0)</f>
        <v>0</v>
      </c>
      <c r="AU285" s="1010">
        <f>IFERROR(Producción_Lecheria[[#This Row],[Económico $Constantes]]/Producción_Lecheria[[#This Row],[Superficie]],0)</f>
        <v>0</v>
      </c>
      <c r="AV285" s="1010">
        <f>IFERROR(Producción_Lecheria[[#This Row],[Económico U$S Dólares]]/Producción_Lecheria[[#This Row],[Superficie]],0)</f>
        <v>0</v>
      </c>
      <c r="AW285" s="992" t="str">
        <f>IF(Económico!$F$4=0,0,Producción_Lecheria[Centro de Costo])</f>
        <v>Campo 1</v>
      </c>
    </row>
    <row r="286" spans="1:49" x14ac:dyDescent="0.25">
      <c r="A286" s="86"/>
      <c r="D286" s="548">
        <f t="shared" ref="D286:D295" si="27">DATE(IF(MONTH(D285)=1,YEAR(D285+1),YEAR(D285)),MONTH(D285)+1,1)</f>
        <v>43344</v>
      </c>
      <c r="E286" s="493"/>
      <c r="F286" s="479" t="str">
        <f t="shared" si="25"/>
        <v>2018-2019</v>
      </c>
      <c r="G286" s="597" t="s">
        <v>172</v>
      </c>
      <c r="H286" s="481" t="s">
        <v>2</v>
      </c>
      <c r="I286" s="491"/>
      <c r="J286" s="549" t="s">
        <v>488</v>
      </c>
      <c r="K286" s="484"/>
      <c r="L28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8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86" s="520"/>
      <c r="O28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86" s="563"/>
      <c r="Q286" s="491"/>
      <c r="R286" s="875">
        <f>IF(ISNUMBER(Producción_Lecheria[[#This Row],[Cabezas]])=TRUE,Producción_Lecheria[[#This Row],[Cabezas]]*Producción_Lecheria[[#This Row],[Cantidad]],Producción_Lecheria[[#This Row],[Cantidad]])</f>
        <v>0</v>
      </c>
      <c r="S286" s="491"/>
      <c r="T286" s="552"/>
      <c r="U286" s="553"/>
      <c r="V28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86" s="977">
        <f>IFERROR(Producción_Lecheria[[#This Row],[Económico $Corrientes]]/Producción_Lecheria[[#This Row],[Indexación Económico]],0)</f>
        <v>0</v>
      </c>
      <c r="X28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8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86" s="977">
        <f>IFERROR(Producción_Lecheria[[#This Row],[Financiero $Corrientes]]/Producción_Lecheria[[#This Row],[Indexación Financiero]],0)</f>
        <v>0</v>
      </c>
      <c r="AA28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8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86" s="981">
        <f>IFERROR(Producción_Lecheria[[#This Row],[Intereses $Corrientes]]/Producción_Lecheria[[#This Row],[Indexación Financiero]],0)</f>
        <v>0</v>
      </c>
      <c r="AD28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86" s="991" t="str">
        <f>IFERROR(INDEX(Produccion_Lecheria_Cuentas[],MATCH(Producción_Lecheria[[#This Row],[Cuenta Contable]],Produccion_Lecheria_Cuentas[Cuenta Contable],0),2),0)</f>
        <v>Egreso Cesión</v>
      </c>
      <c r="AF286" s="992">
        <f>IF(Producción_Lecheria[[#This Row],[Mov. Stock]]="(+)",Producción_Lecheria[[#This Row],[Cabezas]],IF(Producción_Lecheria[[#This Row],[Mov. Stock]]="(-)",-Producción_Lecheria[[#This Row],[Cabezas]],0))</f>
        <v>0</v>
      </c>
      <c r="AG286" s="993">
        <f>IFERROR(INDEX(Produccion_Lecheria_Cuentas[],MATCH(Producción_Lecheria[[#This Row],[Cuenta Contable]],Produccion_Lecheria_Cuentas[Cuenta Contable],0),5),0)</f>
        <v>0</v>
      </c>
      <c r="AH286" s="985" t="str">
        <f>IF(Producción_Lecheria[[#This Row],[Cuenta Contable]]=Configuración!$AC$9,"Si","No")</f>
        <v>Si</v>
      </c>
      <c r="AI286" s="983" t="str">
        <f>IFERROR(INDEX(Tabla9[],MATCH(Producción_Lecheria[[#This Row],[Movimiento]],Tabla9[Movimientos],0),2),0)</f>
        <v>No</v>
      </c>
      <c r="AJ286" s="984" t="str">
        <f>IFERROR(INDEX(Tabla9[],MATCH(Producción_Lecheria[[#This Row],[Movimiento]],Tabla9[Movimientos],0),3),0)</f>
        <v>(-)</v>
      </c>
      <c r="AK286" s="986">
        <f>IF(Producción_Lecheria[[#This Row],[Fecha Económico]]=0,0,MONTH(Producción_Lecheria[[#This Row],[Fecha Económico]]))</f>
        <v>9</v>
      </c>
      <c r="AL286" s="986">
        <f>IF(Producción_Lecheria[[#This Row],[Fecha Económico]]=0,0,YEAR(Producción_Lecheria[[#This Row],[Fecha Económico]]))</f>
        <v>2018</v>
      </c>
      <c r="AM286" s="987">
        <f>SUMPRODUCT((Producción_Lecheria[[#This Row],[Mes Económico]]=Tipo_Cambio[Mes])*(Producción_Lecheria[[#This Row],[Año Económico]]=Tipo_Cambio[Año])*(Tipo_Cambio[$/U$S]))</f>
        <v>22.4422</v>
      </c>
      <c r="AN286" s="987">
        <f>SUMPRODUCT((Producción_Lecheria[[#This Row],[Mes Económico]]=Tipo_Cambio[Mes])*(Producción_Lecheria[[#This Row],[Año Económico]]=Tipo_Cambio[Año])*(Tipo_Cambio[Actualización]))</f>
        <v>1.0404</v>
      </c>
      <c r="AO286" s="986">
        <f>IF(ISNUMBER(Producción_Lecheria[[#This Row],[Fecha Financiero]])=TRUE,MONTH(Producción_Lecheria[[#This Row],[Fecha Financiero]]),0)</f>
        <v>0</v>
      </c>
      <c r="AP286" s="986">
        <f>IF(ISNUMBER(Producción_Lecheria[[#This Row],[Fecha Financiero]])=TRUE,YEAR(Producción_Lecheria[[#This Row],[Fecha Financiero]]),0)</f>
        <v>0</v>
      </c>
      <c r="AQ286" s="987">
        <f>SUMPRODUCT((Producción_Lecheria[[#This Row],[Mes Financiero]]=Tipo_Cambio[Mes])*(Producción_Lecheria[[#This Row],[Año Financiero]]=Tipo_Cambio[Año])*(Tipo_Cambio[$/U$S]))</f>
        <v>0</v>
      </c>
      <c r="AR286" s="987">
        <f>SUMPRODUCT((Producción_Lecheria[[#This Row],[Mes Financiero]]=Tipo_Cambio[Mes])*(Producción_Lecheria[[#This Row],[Año Financiero]]=Tipo_Cambio[Año])*(Tipo_Cambio[Actualización]))</f>
        <v>0</v>
      </c>
      <c r="AS286" s="1009">
        <f>SUMPRODUCT((Producción_Lecheria[[#This Row],[Centro de Costo]]=Tabla1924[Centro de Costo])*(Tabla19[Superficie]))</f>
        <v>2356</v>
      </c>
      <c r="AT286" s="1010">
        <f>IFERROR(Producción_Lecheria[[#This Row],[Económico $Corrientes]]/Producción_Lecheria[[#This Row],[Superficie]],0)</f>
        <v>0</v>
      </c>
      <c r="AU286" s="1010">
        <f>IFERROR(Producción_Lecheria[[#This Row],[Económico $Constantes]]/Producción_Lecheria[[#This Row],[Superficie]],0)</f>
        <v>0</v>
      </c>
      <c r="AV286" s="1010">
        <f>IFERROR(Producción_Lecheria[[#This Row],[Económico U$S Dólares]]/Producción_Lecheria[[#This Row],[Superficie]],0)</f>
        <v>0</v>
      </c>
      <c r="AW286" s="992" t="str">
        <f>IF(Económico!$F$4=0,0,Producción_Lecheria[Centro de Costo])</f>
        <v>Campo 1</v>
      </c>
    </row>
    <row r="287" spans="1:49" x14ac:dyDescent="0.25">
      <c r="A287" s="86"/>
      <c r="D287" s="548">
        <f t="shared" si="27"/>
        <v>43374</v>
      </c>
      <c r="E287" s="493"/>
      <c r="F287" s="479" t="str">
        <f t="shared" si="25"/>
        <v>2018-2019</v>
      </c>
      <c r="G287" s="597" t="s">
        <v>172</v>
      </c>
      <c r="H287" s="481" t="s">
        <v>2</v>
      </c>
      <c r="I287" s="491"/>
      <c r="J287" s="549" t="s">
        <v>488</v>
      </c>
      <c r="K287" s="484"/>
      <c r="L28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8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87" s="520"/>
      <c r="O28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87" s="563"/>
      <c r="Q287" s="491"/>
      <c r="R287" s="875">
        <f>IF(ISNUMBER(Producción_Lecheria[[#This Row],[Cabezas]])=TRUE,Producción_Lecheria[[#This Row],[Cabezas]]*Producción_Lecheria[[#This Row],[Cantidad]],Producción_Lecheria[[#This Row],[Cantidad]])</f>
        <v>0</v>
      </c>
      <c r="S287" s="491"/>
      <c r="T287" s="552"/>
      <c r="U287" s="553"/>
      <c r="V28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87" s="977">
        <f>IFERROR(Producción_Lecheria[[#This Row],[Económico $Corrientes]]/Producción_Lecheria[[#This Row],[Indexación Económico]],0)</f>
        <v>0</v>
      </c>
      <c r="X28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8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87" s="977">
        <f>IFERROR(Producción_Lecheria[[#This Row],[Financiero $Corrientes]]/Producción_Lecheria[[#This Row],[Indexación Financiero]],0)</f>
        <v>0</v>
      </c>
      <c r="AA28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8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87" s="981">
        <f>IFERROR(Producción_Lecheria[[#This Row],[Intereses $Corrientes]]/Producción_Lecheria[[#This Row],[Indexación Financiero]],0)</f>
        <v>0</v>
      </c>
      <c r="AD28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87" s="991" t="str">
        <f>IFERROR(INDEX(Produccion_Lecheria_Cuentas[],MATCH(Producción_Lecheria[[#This Row],[Cuenta Contable]],Produccion_Lecheria_Cuentas[Cuenta Contable],0),2),0)</f>
        <v>Egreso Cesión</v>
      </c>
      <c r="AF287" s="992">
        <f>IF(Producción_Lecheria[[#This Row],[Mov. Stock]]="(+)",Producción_Lecheria[[#This Row],[Cabezas]],IF(Producción_Lecheria[[#This Row],[Mov. Stock]]="(-)",-Producción_Lecheria[[#This Row],[Cabezas]],0))</f>
        <v>0</v>
      </c>
      <c r="AG287" s="993">
        <f>IFERROR(INDEX(Produccion_Lecheria_Cuentas[],MATCH(Producción_Lecheria[[#This Row],[Cuenta Contable]],Produccion_Lecheria_Cuentas[Cuenta Contable],0),5),0)</f>
        <v>0</v>
      </c>
      <c r="AH287" s="985" t="str">
        <f>IF(Producción_Lecheria[[#This Row],[Cuenta Contable]]=Configuración!$AC$9,"Si","No")</f>
        <v>Si</v>
      </c>
      <c r="AI287" s="983" t="str">
        <f>IFERROR(INDEX(Tabla9[],MATCH(Producción_Lecheria[[#This Row],[Movimiento]],Tabla9[Movimientos],0),2),0)</f>
        <v>No</v>
      </c>
      <c r="AJ287" s="984" t="str">
        <f>IFERROR(INDEX(Tabla9[],MATCH(Producción_Lecheria[[#This Row],[Movimiento]],Tabla9[Movimientos],0),3),0)</f>
        <v>(-)</v>
      </c>
      <c r="AK287" s="986">
        <f>IF(Producción_Lecheria[[#This Row],[Fecha Económico]]=0,0,MONTH(Producción_Lecheria[[#This Row],[Fecha Económico]]))</f>
        <v>10</v>
      </c>
      <c r="AL287" s="986">
        <f>IF(Producción_Lecheria[[#This Row],[Fecha Económico]]=0,0,YEAR(Producción_Lecheria[[#This Row],[Fecha Económico]]))</f>
        <v>2018</v>
      </c>
      <c r="AM287" s="987">
        <f>SUMPRODUCT((Producción_Lecheria[[#This Row],[Mes Económico]]=Tipo_Cambio[Mes])*(Producción_Lecheria[[#This Row],[Año Económico]]=Tipo_Cambio[Año])*(Tipo_Cambio[$/U$S]))</f>
        <v>22.666622</v>
      </c>
      <c r="AN287" s="987">
        <f>SUMPRODUCT((Producción_Lecheria[[#This Row],[Mes Económico]]=Tipo_Cambio[Mes])*(Producción_Lecheria[[#This Row],[Año Económico]]=Tipo_Cambio[Año])*(Tipo_Cambio[Actualización]))</f>
        <v>1.0612079999999999</v>
      </c>
      <c r="AO287" s="986">
        <f>IF(ISNUMBER(Producción_Lecheria[[#This Row],[Fecha Financiero]])=TRUE,MONTH(Producción_Lecheria[[#This Row],[Fecha Financiero]]),0)</f>
        <v>0</v>
      </c>
      <c r="AP287" s="986">
        <f>IF(ISNUMBER(Producción_Lecheria[[#This Row],[Fecha Financiero]])=TRUE,YEAR(Producción_Lecheria[[#This Row],[Fecha Financiero]]),0)</f>
        <v>0</v>
      </c>
      <c r="AQ287" s="987">
        <f>SUMPRODUCT((Producción_Lecheria[[#This Row],[Mes Financiero]]=Tipo_Cambio[Mes])*(Producción_Lecheria[[#This Row],[Año Financiero]]=Tipo_Cambio[Año])*(Tipo_Cambio[$/U$S]))</f>
        <v>0</v>
      </c>
      <c r="AR287" s="987">
        <f>SUMPRODUCT((Producción_Lecheria[[#This Row],[Mes Financiero]]=Tipo_Cambio[Mes])*(Producción_Lecheria[[#This Row],[Año Financiero]]=Tipo_Cambio[Año])*(Tipo_Cambio[Actualización]))</f>
        <v>0</v>
      </c>
      <c r="AS287" s="1009">
        <f>SUMPRODUCT((Producción_Lecheria[[#This Row],[Centro de Costo]]=Tabla1924[Centro de Costo])*(Tabla19[Superficie]))</f>
        <v>2356</v>
      </c>
      <c r="AT287" s="1010">
        <f>IFERROR(Producción_Lecheria[[#This Row],[Económico $Corrientes]]/Producción_Lecheria[[#This Row],[Superficie]],0)</f>
        <v>0</v>
      </c>
      <c r="AU287" s="1010">
        <f>IFERROR(Producción_Lecheria[[#This Row],[Económico $Constantes]]/Producción_Lecheria[[#This Row],[Superficie]],0)</f>
        <v>0</v>
      </c>
      <c r="AV287" s="1010">
        <f>IFERROR(Producción_Lecheria[[#This Row],[Económico U$S Dólares]]/Producción_Lecheria[[#This Row],[Superficie]],0)</f>
        <v>0</v>
      </c>
      <c r="AW287" s="992" t="str">
        <f>IF(Económico!$F$4=0,0,Producción_Lecheria[Centro de Costo])</f>
        <v>Campo 1</v>
      </c>
    </row>
    <row r="288" spans="1:49" x14ac:dyDescent="0.25">
      <c r="A288" s="86"/>
      <c r="D288" s="548">
        <f t="shared" si="27"/>
        <v>43405</v>
      </c>
      <c r="E288" s="493"/>
      <c r="F288" s="479" t="str">
        <f t="shared" ref="F288:F319" si="28">Campaña_Actual</f>
        <v>2018-2019</v>
      </c>
      <c r="G288" s="597" t="s">
        <v>172</v>
      </c>
      <c r="H288" s="481" t="s">
        <v>2</v>
      </c>
      <c r="I288" s="491"/>
      <c r="J288" s="549" t="s">
        <v>488</v>
      </c>
      <c r="K288" s="484"/>
      <c r="L28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8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88" s="520"/>
      <c r="O28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88" s="563"/>
      <c r="Q288" s="491"/>
      <c r="R288" s="875">
        <f>IF(ISNUMBER(Producción_Lecheria[[#This Row],[Cabezas]])=TRUE,Producción_Lecheria[[#This Row],[Cabezas]]*Producción_Lecheria[[#This Row],[Cantidad]],Producción_Lecheria[[#This Row],[Cantidad]])</f>
        <v>0</v>
      </c>
      <c r="S288" s="491"/>
      <c r="T288" s="552"/>
      <c r="U288" s="553"/>
      <c r="V28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88" s="977">
        <f>IFERROR(Producción_Lecheria[[#This Row],[Económico $Corrientes]]/Producción_Lecheria[[#This Row],[Indexación Económico]],0)</f>
        <v>0</v>
      </c>
      <c r="X28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8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88" s="977">
        <f>IFERROR(Producción_Lecheria[[#This Row],[Financiero $Corrientes]]/Producción_Lecheria[[#This Row],[Indexación Financiero]],0)</f>
        <v>0</v>
      </c>
      <c r="AA28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8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88" s="981">
        <f>IFERROR(Producción_Lecheria[[#This Row],[Intereses $Corrientes]]/Producción_Lecheria[[#This Row],[Indexación Financiero]],0)</f>
        <v>0</v>
      </c>
      <c r="AD28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88" s="991" t="str">
        <f>IFERROR(INDEX(Produccion_Lecheria_Cuentas[],MATCH(Producción_Lecheria[[#This Row],[Cuenta Contable]],Produccion_Lecheria_Cuentas[Cuenta Contable],0),2),0)</f>
        <v>Egreso Cesión</v>
      </c>
      <c r="AF288" s="992">
        <f>IF(Producción_Lecheria[[#This Row],[Mov. Stock]]="(+)",Producción_Lecheria[[#This Row],[Cabezas]],IF(Producción_Lecheria[[#This Row],[Mov. Stock]]="(-)",-Producción_Lecheria[[#This Row],[Cabezas]],0))</f>
        <v>0</v>
      </c>
      <c r="AG288" s="993">
        <f>IFERROR(INDEX(Produccion_Lecheria_Cuentas[],MATCH(Producción_Lecheria[[#This Row],[Cuenta Contable]],Produccion_Lecheria_Cuentas[Cuenta Contable],0),5),0)</f>
        <v>0</v>
      </c>
      <c r="AH288" s="985" t="str">
        <f>IF(Producción_Lecheria[[#This Row],[Cuenta Contable]]=Configuración!$AC$9,"Si","No")</f>
        <v>Si</v>
      </c>
      <c r="AI288" s="983" t="str">
        <f>IFERROR(INDEX(Tabla9[],MATCH(Producción_Lecheria[[#This Row],[Movimiento]],Tabla9[Movimientos],0),2),0)</f>
        <v>No</v>
      </c>
      <c r="AJ288" s="984" t="str">
        <f>IFERROR(INDEX(Tabla9[],MATCH(Producción_Lecheria[[#This Row],[Movimiento]],Tabla9[Movimientos],0),3),0)</f>
        <v>(-)</v>
      </c>
      <c r="AK288" s="986">
        <f>IF(Producción_Lecheria[[#This Row],[Fecha Económico]]=0,0,MONTH(Producción_Lecheria[[#This Row],[Fecha Económico]]))</f>
        <v>11</v>
      </c>
      <c r="AL288" s="986">
        <f>IF(Producción_Lecheria[[#This Row],[Fecha Económico]]=0,0,YEAR(Producción_Lecheria[[#This Row],[Fecha Económico]]))</f>
        <v>2018</v>
      </c>
      <c r="AM288" s="987">
        <f>SUMPRODUCT((Producción_Lecheria[[#This Row],[Mes Económico]]=Tipo_Cambio[Mes])*(Producción_Lecheria[[#This Row],[Año Económico]]=Tipo_Cambio[Año])*(Tipo_Cambio[$/U$S]))</f>
        <v>22.893288219999999</v>
      </c>
      <c r="AN288" s="987">
        <f>SUMPRODUCT((Producción_Lecheria[[#This Row],[Mes Económico]]=Tipo_Cambio[Mes])*(Producción_Lecheria[[#This Row],[Año Económico]]=Tipo_Cambio[Año])*(Tipo_Cambio[Actualización]))</f>
        <v>1.08243216</v>
      </c>
      <c r="AO288" s="986">
        <f>IF(ISNUMBER(Producción_Lecheria[[#This Row],[Fecha Financiero]])=TRUE,MONTH(Producción_Lecheria[[#This Row],[Fecha Financiero]]),0)</f>
        <v>0</v>
      </c>
      <c r="AP288" s="986">
        <f>IF(ISNUMBER(Producción_Lecheria[[#This Row],[Fecha Financiero]])=TRUE,YEAR(Producción_Lecheria[[#This Row],[Fecha Financiero]]),0)</f>
        <v>0</v>
      </c>
      <c r="AQ288" s="987">
        <f>SUMPRODUCT((Producción_Lecheria[[#This Row],[Mes Financiero]]=Tipo_Cambio[Mes])*(Producción_Lecheria[[#This Row],[Año Financiero]]=Tipo_Cambio[Año])*(Tipo_Cambio[$/U$S]))</f>
        <v>0</v>
      </c>
      <c r="AR288" s="987">
        <f>SUMPRODUCT((Producción_Lecheria[[#This Row],[Mes Financiero]]=Tipo_Cambio[Mes])*(Producción_Lecheria[[#This Row],[Año Financiero]]=Tipo_Cambio[Año])*(Tipo_Cambio[Actualización]))</f>
        <v>0</v>
      </c>
      <c r="AS288" s="1009">
        <f>SUMPRODUCT((Producción_Lecheria[[#This Row],[Centro de Costo]]=Tabla1924[Centro de Costo])*(Tabla19[Superficie]))</f>
        <v>2356</v>
      </c>
      <c r="AT288" s="1010">
        <f>IFERROR(Producción_Lecheria[[#This Row],[Económico $Corrientes]]/Producción_Lecheria[[#This Row],[Superficie]],0)</f>
        <v>0</v>
      </c>
      <c r="AU288" s="1010">
        <f>IFERROR(Producción_Lecheria[[#This Row],[Económico $Constantes]]/Producción_Lecheria[[#This Row],[Superficie]],0)</f>
        <v>0</v>
      </c>
      <c r="AV288" s="1010">
        <f>IFERROR(Producción_Lecheria[[#This Row],[Económico U$S Dólares]]/Producción_Lecheria[[#This Row],[Superficie]],0)</f>
        <v>0</v>
      </c>
      <c r="AW288" s="992" t="str">
        <f>IF(Económico!$F$4=0,0,Producción_Lecheria[Centro de Costo])</f>
        <v>Campo 1</v>
      </c>
    </row>
    <row r="289" spans="1:49" x14ac:dyDescent="0.25">
      <c r="A289" s="86"/>
      <c r="D289" s="548">
        <f t="shared" si="27"/>
        <v>43435</v>
      </c>
      <c r="E289" s="493"/>
      <c r="F289" s="479" t="str">
        <f t="shared" si="28"/>
        <v>2018-2019</v>
      </c>
      <c r="G289" s="597" t="s">
        <v>172</v>
      </c>
      <c r="H289" s="481" t="s">
        <v>2</v>
      </c>
      <c r="I289" s="491"/>
      <c r="J289" s="549" t="s">
        <v>488</v>
      </c>
      <c r="K289" s="484"/>
      <c r="L28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8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89" s="520"/>
      <c r="O28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89" s="563"/>
      <c r="Q289" s="491"/>
      <c r="R289" s="875">
        <f>IF(ISNUMBER(Producción_Lecheria[[#This Row],[Cabezas]])=TRUE,Producción_Lecheria[[#This Row],[Cabezas]]*Producción_Lecheria[[#This Row],[Cantidad]],Producción_Lecheria[[#This Row],[Cantidad]])</f>
        <v>0</v>
      </c>
      <c r="S289" s="491"/>
      <c r="T289" s="552"/>
      <c r="U289" s="553"/>
      <c r="V28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89" s="977">
        <f>IFERROR(Producción_Lecheria[[#This Row],[Económico $Corrientes]]/Producción_Lecheria[[#This Row],[Indexación Económico]],0)</f>
        <v>0</v>
      </c>
      <c r="X28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8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89" s="977">
        <f>IFERROR(Producción_Lecheria[[#This Row],[Financiero $Corrientes]]/Producción_Lecheria[[#This Row],[Indexación Financiero]],0)</f>
        <v>0</v>
      </c>
      <c r="AA28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8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89" s="981">
        <f>IFERROR(Producción_Lecheria[[#This Row],[Intereses $Corrientes]]/Producción_Lecheria[[#This Row],[Indexación Financiero]],0)</f>
        <v>0</v>
      </c>
      <c r="AD28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89" s="991" t="str">
        <f>IFERROR(INDEX(Produccion_Lecheria_Cuentas[],MATCH(Producción_Lecheria[[#This Row],[Cuenta Contable]],Produccion_Lecheria_Cuentas[Cuenta Contable],0),2),0)</f>
        <v>Egreso Cesión</v>
      </c>
      <c r="AF289" s="992">
        <f>IF(Producción_Lecheria[[#This Row],[Mov. Stock]]="(+)",Producción_Lecheria[[#This Row],[Cabezas]],IF(Producción_Lecheria[[#This Row],[Mov. Stock]]="(-)",-Producción_Lecheria[[#This Row],[Cabezas]],0))</f>
        <v>0</v>
      </c>
      <c r="AG289" s="993">
        <f>IFERROR(INDEX(Produccion_Lecheria_Cuentas[],MATCH(Producción_Lecheria[[#This Row],[Cuenta Contable]],Produccion_Lecheria_Cuentas[Cuenta Contable],0),5),0)</f>
        <v>0</v>
      </c>
      <c r="AH289" s="985" t="str">
        <f>IF(Producción_Lecheria[[#This Row],[Cuenta Contable]]=Configuración!$AC$9,"Si","No")</f>
        <v>Si</v>
      </c>
      <c r="AI289" s="983" t="str">
        <f>IFERROR(INDEX(Tabla9[],MATCH(Producción_Lecheria[[#This Row],[Movimiento]],Tabla9[Movimientos],0),2),0)</f>
        <v>No</v>
      </c>
      <c r="AJ289" s="984" t="str">
        <f>IFERROR(INDEX(Tabla9[],MATCH(Producción_Lecheria[[#This Row],[Movimiento]],Tabla9[Movimientos],0),3),0)</f>
        <v>(-)</v>
      </c>
      <c r="AK289" s="986">
        <f>IF(Producción_Lecheria[[#This Row],[Fecha Económico]]=0,0,MONTH(Producción_Lecheria[[#This Row],[Fecha Económico]]))</f>
        <v>12</v>
      </c>
      <c r="AL289" s="986">
        <f>IF(Producción_Lecheria[[#This Row],[Fecha Económico]]=0,0,YEAR(Producción_Lecheria[[#This Row],[Fecha Económico]]))</f>
        <v>2018</v>
      </c>
      <c r="AM289" s="987">
        <f>SUMPRODUCT((Producción_Lecheria[[#This Row],[Mes Económico]]=Tipo_Cambio[Mes])*(Producción_Lecheria[[#This Row],[Año Económico]]=Tipo_Cambio[Año])*(Tipo_Cambio[$/U$S]))</f>
        <v>23.122221102199997</v>
      </c>
      <c r="AN289" s="987">
        <f>SUMPRODUCT((Producción_Lecheria[[#This Row],[Mes Económico]]=Tipo_Cambio[Mes])*(Producción_Lecheria[[#This Row],[Año Económico]]=Tipo_Cambio[Año])*(Tipo_Cambio[Actualización]))</f>
        <v>1.1040808032</v>
      </c>
      <c r="AO289" s="986">
        <f>IF(ISNUMBER(Producción_Lecheria[[#This Row],[Fecha Financiero]])=TRUE,MONTH(Producción_Lecheria[[#This Row],[Fecha Financiero]]),0)</f>
        <v>0</v>
      </c>
      <c r="AP289" s="986">
        <f>IF(ISNUMBER(Producción_Lecheria[[#This Row],[Fecha Financiero]])=TRUE,YEAR(Producción_Lecheria[[#This Row],[Fecha Financiero]]),0)</f>
        <v>0</v>
      </c>
      <c r="AQ289" s="987">
        <f>SUMPRODUCT((Producción_Lecheria[[#This Row],[Mes Financiero]]=Tipo_Cambio[Mes])*(Producción_Lecheria[[#This Row],[Año Financiero]]=Tipo_Cambio[Año])*(Tipo_Cambio[$/U$S]))</f>
        <v>0</v>
      </c>
      <c r="AR289" s="987">
        <f>SUMPRODUCT((Producción_Lecheria[[#This Row],[Mes Financiero]]=Tipo_Cambio[Mes])*(Producción_Lecheria[[#This Row],[Año Financiero]]=Tipo_Cambio[Año])*(Tipo_Cambio[Actualización]))</f>
        <v>0</v>
      </c>
      <c r="AS289" s="1009">
        <f>SUMPRODUCT((Producción_Lecheria[[#This Row],[Centro de Costo]]=Tabla1924[Centro de Costo])*(Tabla19[Superficie]))</f>
        <v>2356</v>
      </c>
      <c r="AT289" s="1010">
        <f>IFERROR(Producción_Lecheria[[#This Row],[Económico $Corrientes]]/Producción_Lecheria[[#This Row],[Superficie]],0)</f>
        <v>0</v>
      </c>
      <c r="AU289" s="1010">
        <f>IFERROR(Producción_Lecheria[[#This Row],[Económico $Constantes]]/Producción_Lecheria[[#This Row],[Superficie]],0)</f>
        <v>0</v>
      </c>
      <c r="AV289" s="1010">
        <f>IFERROR(Producción_Lecheria[[#This Row],[Económico U$S Dólares]]/Producción_Lecheria[[#This Row],[Superficie]],0)</f>
        <v>0</v>
      </c>
      <c r="AW289" s="992" t="str">
        <f>IF(Económico!$F$4=0,0,Producción_Lecheria[Centro de Costo])</f>
        <v>Campo 1</v>
      </c>
    </row>
    <row r="290" spans="1:49" x14ac:dyDescent="0.25">
      <c r="A290" s="86"/>
      <c r="D290" s="548">
        <f t="shared" si="27"/>
        <v>43466</v>
      </c>
      <c r="E290" s="493"/>
      <c r="F290" s="479" t="str">
        <f t="shared" si="28"/>
        <v>2018-2019</v>
      </c>
      <c r="G290" s="597" t="s">
        <v>172</v>
      </c>
      <c r="H290" s="481" t="s">
        <v>2</v>
      </c>
      <c r="I290" s="491"/>
      <c r="J290" s="549" t="s">
        <v>488</v>
      </c>
      <c r="K290" s="484"/>
      <c r="L29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9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90" s="520"/>
      <c r="O29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90" s="563"/>
      <c r="Q290" s="491"/>
      <c r="R290" s="875">
        <f>IF(ISNUMBER(Producción_Lecheria[[#This Row],[Cabezas]])=TRUE,Producción_Lecheria[[#This Row],[Cabezas]]*Producción_Lecheria[[#This Row],[Cantidad]],Producción_Lecheria[[#This Row],[Cantidad]])</f>
        <v>0</v>
      </c>
      <c r="S290" s="491"/>
      <c r="T290" s="552"/>
      <c r="U290" s="553"/>
      <c r="V29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90" s="977">
        <f>IFERROR(Producción_Lecheria[[#This Row],[Económico $Corrientes]]/Producción_Lecheria[[#This Row],[Indexación Económico]],0)</f>
        <v>0</v>
      </c>
      <c r="X29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9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90" s="977">
        <f>IFERROR(Producción_Lecheria[[#This Row],[Financiero $Corrientes]]/Producción_Lecheria[[#This Row],[Indexación Financiero]],0)</f>
        <v>0</v>
      </c>
      <c r="AA29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9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90" s="981">
        <f>IFERROR(Producción_Lecheria[[#This Row],[Intereses $Corrientes]]/Producción_Lecheria[[#This Row],[Indexación Financiero]],0)</f>
        <v>0</v>
      </c>
      <c r="AD29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90" s="991" t="str">
        <f>IFERROR(INDEX(Produccion_Lecheria_Cuentas[],MATCH(Producción_Lecheria[[#This Row],[Cuenta Contable]],Produccion_Lecheria_Cuentas[Cuenta Contable],0),2),0)</f>
        <v>Egreso Cesión</v>
      </c>
      <c r="AF290" s="992">
        <f>IF(Producción_Lecheria[[#This Row],[Mov. Stock]]="(+)",Producción_Lecheria[[#This Row],[Cabezas]],IF(Producción_Lecheria[[#This Row],[Mov. Stock]]="(-)",-Producción_Lecheria[[#This Row],[Cabezas]],0))</f>
        <v>0</v>
      </c>
      <c r="AG290" s="993">
        <f>IFERROR(INDEX(Produccion_Lecheria_Cuentas[],MATCH(Producción_Lecheria[[#This Row],[Cuenta Contable]],Produccion_Lecheria_Cuentas[Cuenta Contable],0),5),0)</f>
        <v>0</v>
      </c>
      <c r="AH290" s="985" t="str">
        <f>IF(Producción_Lecheria[[#This Row],[Cuenta Contable]]=Configuración!$AC$9,"Si","No")</f>
        <v>Si</v>
      </c>
      <c r="AI290" s="983" t="str">
        <f>IFERROR(INDEX(Tabla9[],MATCH(Producción_Lecheria[[#This Row],[Movimiento]],Tabla9[Movimientos],0),2),0)</f>
        <v>No</v>
      </c>
      <c r="AJ290" s="984" t="str">
        <f>IFERROR(INDEX(Tabla9[],MATCH(Producción_Lecheria[[#This Row],[Movimiento]],Tabla9[Movimientos],0),3),0)</f>
        <v>(-)</v>
      </c>
      <c r="AK290" s="986">
        <f>IF(Producción_Lecheria[[#This Row],[Fecha Económico]]=0,0,MONTH(Producción_Lecheria[[#This Row],[Fecha Económico]]))</f>
        <v>1</v>
      </c>
      <c r="AL290" s="986">
        <f>IF(Producción_Lecheria[[#This Row],[Fecha Económico]]=0,0,YEAR(Producción_Lecheria[[#This Row],[Fecha Económico]]))</f>
        <v>2019</v>
      </c>
      <c r="AM290" s="987">
        <f>SUMPRODUCT((Producción_Lecheria[[#This Row],[Mes Económico]]=Tipo_Cambio[Mes])*(Producción_Lecheria[[#This Row],[Año Económico]]=Tipo_Cambio[Año])*(Tipo_Cambio[$/U$S]))</f>
        <v>23.353443313221998</v>
      </c>
      <c r="AN290" s="987">
        <f>SUMPRODUCT((Producción_Lecheria[[#This Row],[Mes Económico]]=Tipo_Cambio[Mes])*(Producción_Lecheria[[#This Row],[Año Económico]]=Tipo_Cambio[Año])*(Tipo_Cambio[Actualización]))</f>
        <v>1.1261624192640001</v>
      </c>
      <c r="AO290" s="986">
        <f>IF(ISNUMBER(Producción_Lecheria[[#This Row],[Fecha Financiero]])=TRUE,MONTH(Producción_Lecheria[[#This Row],[Fecha Financiero]]),0)</f>
        <v>0</v>
      </c>
      <c r="AP290" s="986">
        <f>IF(ISNUMBER(Producción_Lecheria[[#This Row],[Fecha Financiero]])=TRUE,YEAR(Producción_Lecheria[[#This Row],[Fecha Financiero]]),0)</f>
        <v>0</v>
      </c>
      <c r="AQ290" s="987">
        <f>SUMPRODUCT((Producción_Lecheria[[#This Row],[Mes Financiero]]=Tipo_Cambio[Mes])*(Producción_Lecheria[[#This Row],[Año Financiero]]=Tipo_Cambio[Año])*(Tipo_Cambio[$/U$S]))</f>
        <v>0</v>
      </c>
      <c r="AR290" s="987">
        <f>SUMPRODUCT((Producción_Lecheria[[#This Row],[Mes Financiero]]=Tipo_Cambio[Mes])*(Producción_Lecheria[[#This Row],[Año Financiero]]=Tipo_Cambio[Año])*(Tipo_Cambio[Actualización]))</f>
        <v>0</v>
      </c>
      <c r="AS290" s="1009">
        <f>SUMPRODUCT((Producción_Lecheria[[#This Row],[Centro de Costo]]=Tabla1924[Centro de Costo])*(Tabla19[Superficie]))</f>
        <v>2356</v>
      </c>
      <c r="AT290" s="1010">
        <f>IFERROR(Producción_Lecheria[[#This Row],[Económico $Corrientes]]/Producción_Lecheria[[#This Row],[Superficie]],0)</f>
        <v>0</v>
      </c>
      <c r="AU290" s="1010">
        <f>IFERROR(Producción_Lecheria[[#This Row],[Económico $Constantes]]/Producción_Lecheria[[#This Row],[Superficie]],0)</f>
        <v>0</v>
      </c>
      <c r="AV290" s="1010">
        <f>IFERROR(Producción_Lecheria[[#This Row],[Económico U$S Dólares]]/Producción_Lecheria[[#This Row],[Superficie]],0)</f>
        <v>0</v>
      </c>
      <c r="AW290" s="992" t="str">
        <f>IF(Económico!$F$4=0,0,Producción_Lecheria[Centro de Costo])</f>
        <v>Campo 1</v>
      </c>
    </row>
    <row r="291" spans="1:49" x14ac:dyDescent="0.25">
      <c r="A291" s="86"/>
      <c r="D291" s="548">
        <f t="shared" si="27"/>
        <v>43497</v>
      </c>
      <c r="E291" s="493"/>
      <c r="F291" s="479" t="str">
        <f t="shared" si="28"/>
        <v>2018-2019</v>
      </c>
      <c r="G291" s="597" t="s">
        <v>172</v>
      </c>
      <c r="H291" s="481" t="s">
        <v>2</v>
      </c>
      <c r="I291" s="491"/>
      <c r="J291" s="549" t="s">
        <v>488</v>
      </c>
      <c r="K291" s="484"/>
      <c r="L29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9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91" s="520"/>
      <c r="O29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91" s="563"/>
      <c r="Q291" s="491"/>
      <c r="R291" s="875">
        <f>IF(ISNUMBER(Producción_Lecheria[[#This Row],[Cabezas]])=TRUE,Producción_Lecheria[[#This Row],[Cabezas]]*Producción_Lecheria[[#This Row],[Cantidad]],Producción_Lecheria[[#This Row],[Cantidad]])</f>
        <v>0</v>
      </c>
      <c r="S291" s="491"/>
      <c r="T291" s="552"/>
      <c r="U291" s="553"/>
      <c r="V29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91" s="977">
        <f>IFERROR(Producción_Lecheria[[#This Row],[Económico $Corrientes]]/Producción_Lecheria[[#This Row],[Indexación Económico]],0)</f>
        <v>0</v>
      </c>
      <c r="X29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9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91" s="977">
        <f>IFERROR(Producción_Lecheria[[#This Row],[Financiero $Corrientes]]/Producción_Lecheria[[#This Row],[Indexación Financiero]],0)</f>
        <v>0</v>
      </c>
      <c r="AA29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9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91" s="981">
        <f>IFERROR(Producción_Lecheria[[#This Row],[Intereses $Corrientes]]/Producción_Lecheria[[#This Row],[Indexación Financiero]],0)</f>
        <v>0</v>
      </c>
      <c r="AD29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91" s="991" t="str">
        <f>IFERROR(INDEX(Produccion_Lecheria_Cuentas[],MATCH(Producción_Lecheria[[#This Row],[Cuenta Contable]],Produccion_Lecheria_Cuentas[Cuenta Contable],0),2),0)</f>
        <v>Egreso Cesión</v>
      </c>
      <c r="AF291" s="992">
        <f>IF(Producción_Lecheria[[#This Row],[Mov. Stock]]="(+)",Producción_Lecheria[[#This Row],[Cabezas]],IF(Producción_Lecheria[[#This Row],[Mov. Stock]]="(-)",-Producción_Lecheria[[#This Row],[Cabezas]],0))</f>
        <v>0</v>
      </c>
      <c r="AG291" s="993">
        <f>IFERROR(INDEX(Produccion_Lecheria_Cuentas[],MATCH(Producción_Lecheria[[#This Row],[Cuenta Contable]],Produccion_Lecheria_Cuentas[Cuenta Contable],0),5),0)</f>
        <v>0</v>
      </c>
      <c r="AH291" s="985" t="str">
        <f>IF(Producción_Lecheria[[#This Row],[Cuenta Contable]]=Configuración!$AC$9,"Si","No")</f>
        <v>Si</v>
      </c>
      <c r="AI291" s="983" t="str">
        <f>IFERROR(INDEX(Tabla9[],MATCH(Producción_Lecheria[[#This Row],[Movimiento]],Tabla9[Movimientos],0),2),0)</f>
        <v>No</v>
      </c>
      <c r="AJ291" s="984" t="str">
        <f>IFERROR(INDEX(Tabla9[],MATCH(Producción_Lecheria[[#This Row],[Movimiento]],Tabla9[Movimientos],0),3),0)</f>
        <v>(-)</v>
      </c>
      <c r="AK291" s="986">
        <f>IF(Producción_Lecheria[[#This Row],[Fecha Económico]]=0,0,MONTH(Producción_Lecheria[[#This Row],[Fecha Económico]]))</f>
        <v>2</v>
      </c>
      <c r="AL291" s="986">
        <f>IF(Producción_Lecheria[[#This Row],[Fecha Económico]]=0,0,YEAR(Producción_Lecheria[[#This Row],[Fecha Económico]]))</f>
        <v>2019</v>
      </c>
      <c r="AM291" s="987">
        <f>SUMPRODUCT((Producción_Lecheria[[#This Row],[Mes Económico]]=Tipo_Cambio[Mes])*(Producción_Lecheria[[#This Row],[Año Económico]]=Tipo_Cambio[Año])*(Tipo_Cambio[$/U$S]))</f>
        <v>23.586977746354219</v>
      </c>
      <c r="AN291" s="987">
        <f>SUMPRODUCT((Producción_Lecheria[[#This Row],[Mes Económico]]=Tipo_Cambio[Mes])*(Producción_Lecheria[[#This Row],[Año Económico]]=Tipo_Cambio[Año])*(Tipo_Cambio[Actualización]))</f>
        <v>1.14868566764928</v>
      </c>
      <c r="AO291" s="986">
        <f>IF(ISNUMBER(Producción_Lecheria[[#This Row],[Fecha Financiero]])=TRUE,MONTH(Producción_Lecheria[[#This Row],[Fecha Financiero]]),0)</f>
        <v>0</v>
      </c>
      <c r="AP291" s="986">
        <f>IF(ISNUMBER(Producción_Lecheria[[#This Row],[Fecha Financiero]])=TRUE,YEAR(Producción_Lecheria[[#This Row],[Fecha Financiero]]),0)</f>
        <v>0</v>
      </c>
      <c r="AQ291" s="987">
        <f>SUMPRODUCT((Producción_Lecheria[[#This Row],[Mes Financiero]]=Tipo_Cambio[Mes])*(Producción_Lecheria[[#This Row],[Año Financiero]]=Tipo_Cambio[Año])*(Tipo_Cambio[$/U$S]))</f>
        <v>0</v>
      </c>
      <c r="AR291" s="987">
        <f>SUMPRODUCT((Producción_Lecheria[[#This Row],[Mes Financiero]]=Tipo_Cambio[Mes])*(Producción_Lecheria[[#This Row],[Año Financiero]]=Tipo_Cambio[Año])*(Tipo_Cambio[Actualización]))</f>
        <v>0</v>
      </c>
      <c r="AS291" s="1009">
        <f>SUMPRODUCT((Producción_Lecheria[[#This Row],[Centro de Costo]]=Tabla1924[Centro de Costo])*(Tabla19[Superficie]))</f>
        <v>2356</v>
      </c>
      <c r="AT291" s="1010">
        <f>IFERROR(Producción_Lecheria[[#This Row],[Económico $Corrientes]]/Producción_Lecheria[[#This Row],[Superficie]],0)</f>
        <v>0</v>
      </c>
      <c r="AU291" s="1010">
        <f>IFERROR(Producción_Lecheria[[#This Row],[Económico $Constantes]]/Producción_Lecheria[[#This Row],[Superficie]],0)</f>
        <v>0</v>
      </c>
      <c r="AV291" s="1010">
        <f>IFERROR(Producción_Lecheria[[#This Row],[Económico U$S Dólares]]/Producción_Lecheria[[#This Row],[Superficie]],0)</f>
        <v>0</v>
      </c>
      <c r="AW291" s="992" t="str">
        <f>IF(Económico!$F$4=0,0,Producción_Lecheria[Centro de Costo])</f>
        <v>Campo 1</v>
      </c>
    </row>
    <row r="292" spans="1:49" x14ac:dyDescent="0.25">
      <c r="A292" s="86"/>
      <c r="D292" s="548">
        <f t="shared" si="27"/>
        <v>43525</v>
      </c>
      <c r="E292" s="493"/>
      <c r="F292" s="479" t="str">
        <f t="shared" si="28"/>
        <v>2018-2019</v>
      </c>
      <c r="G292" s="597" t="s">
        <v>172</v>
      </c>
      <c r="H292" s="481" t="s">
        <v>2</v>
      </c>
      <c r="I292" s="491"/>
      <c r="J292" s="549" t="s">
        <v>488</v>
      </c>
      <c r="K292" s="484"/>
      <c r="L29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9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92" s="520"/>
      <c r="O29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92" s="563"/>
      <c r="Q292" s="491"/>
      <c r="R292" s="875">
        <f>IF(ISNUMBER(Producción_Lecheria[[#This Row],[Cabezas]])=TRUE,Producción_Lecheria[[#This Row],[Cabezas]]*Producción_Lecheria[[#This Row],[Cantidad]],Producción_Lecheria[[#This Row],[Cantidad]])</f>
        <v>0</v>
      </c>
      <c r="S292" s="491"/>
      <c r="T292" s="552"/>
      <c r="U292" s="553"/>
      <c r="V29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92" s="977">
        <f>IFERROR(Producción_Lecheria[[#This Row],[Económico $Corrientes]]/Producción_Lecheria[[#This Row],[Indexación Económico]],0)</f>
        <v>0</v>
      </c>
      <c r="X29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9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92" s="977">
        <f>IFERROR(Producción_Lecheria[[#This Row],[Financiero $Corrientes]]/Producción_Lecheria[[#This Row],[Indexación Financiero]],0)</f>
        <v>0</v>
      </c>
      <c r="AA29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9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92" s="981">
        <f>IFERROR(Producción_Lecheria[[#This Row],[Intereses $Corrientes]]/Producción_Lecheria[[#This Row],[Indexación Financiero]],0)</f>
        <v>0</v>
      </c>
      <c r="AD29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92" s="991" t="str">
        <f>IFERROR(INDEX(Produccion_Lecheria_Cuentas[],MATCH(Producción_Lecheria[[#This Row],[Cuenta Contable]],Produccion_Lecheria_Cuentas[Cuenta Contable],0),2),0)</f>
        <v>Egreso Cesión</v>
      </c>
      <c r="AF292" s="992">
        <f>IF(Producción_Lecheria[[#This Row],[Mov. Stock]]="(+)",Producción_Lecheria[[#This Row],[Cabezas]],IF(Producción_Lecheria[[#This Row],[Mov. Stock]]="(-)",-Producción_Lecheria[[#This Row],[Cabezas]],0))</f>
        <v>0</v>
      </c>
      <c r="AG292" s="993">
        <f>IFERROR(INDEX(Produccion_Lecheria_Cuentas[],MATCH(Producción_Lecheria[[#This Row],[Cuenta Contable]],Produccion_Lecheria_Cuentas[Cuenta Contable],0),5),0)</f>
        <v>0</v>
      </c>
      <c r="AH292" s="985" t="str">
        <f>IF(Producción_Lecheria[[#This Row],[Cuenta Contable]]=Configuración!$AC$9,"Si","No")</f>
        <v>Si</v>
      </c>
      <c r="AI292" s="983" t="str">
        <f>IFERROR(INDEX(Tabla9[],MATCH(Producción_Lecheria[[#This Row],[Movimiento]],Tabla9[Movimientos],0),2),0)</f>
        <v>No</v>
      </c>
      <c r="AJ292" s="984" t="str">
        <f>IFERROR(INDEX(Tabla9[],MATCH(Producción_Lecheria[[#This Row],[Movimiento]],Tabla9[Movimientos],0),3),0)</f>
        <v>(-)</v>
      </c>
      <c r="AK292" s="986">
        <f>IF(Producción_Lecheria[[#This Row],[Fecha Económico]]=0,0,MONTH(Producción_Lecheria[[#This Row],[Fecha Económico]]))</f>
        <v>3</v>
      </c>
      <c r="AL292" s="986">
        <f>IF(Producción_Lecheria[[#This Row],[Fecha Económico]]=0,0,YEAR(Producción_Lecheria[[#This Row],[Fecha Económico]]))</f>
        <v>2019</v>
      </c>
      <c r="AM292" s="987">
        <f>SUMPRODUCT((Producción_Lecheria[[#This Row],[Mes Económico]]=Tipo_Cambio[Mes])*(Producción_Lecheria[[#This Row],[Año Económico]]=Tipo_Cambio[Año])*(Tipo_Cambio[$/U$S]))</f>
        <v>23.82284752381776</v>
      </c>
      <c r="AN292" s="987">
        <f>SUMPRODUCT((Producción_Lecheria[[#This Row],[Mes Económico]]=Tipo_Cambio[Mes])*(Producción_Lecheria[[#This Row],[Año Económico]]=Tipo_Cambio[Año])*(Tipo_Cambio[Actualización]))</f>
        <v>1.1716593810022657</v>
      </c>
      <c r="AO292" s="986">
        <f>IF(ISNUMBER(Producción_Lecheria[[#This Row],[Fecha Financiero]])=TRUE,MONTH(Producción_Lecheria[[#This Row],[Fecha Financiero]]),0)</f>
        <v>0</v>
      </c>
      <c r="AP292" s="986">
        <f>IF(ISNUMBER(Producción_Lecheria[[#This Row],[Fecha Financiero]])=TRUE,YEAR(Producción_Lecheria[[#This Row],[Fecha Financiero]]),0)</f>
        <v>0</v>
      </c>
      <c r="AQ292" s="987">
        <f>SUMPRODUCT((Producción_Lecheria[[#This Row],[Mes Financiero]]=Tipo_Cambio[Mes])*(Producción_Lecheria[[#This Row],[Año Financiero]]=Tipo_Cambio[Año])*(Tipo_Cambio[$/U$S]))</f>
        <v>0</v>
      </c>
      <c r="AR292" s="987">
        <f>SUMPRODUCT((Producción_Lecheria[[#This Row],[Mes Financiero]]=Tipo_Cambio[Mes])*(Producción_Lecheria[[#This Row],[Año Financiero]]=Tipo_Cambio[Año])*(Tipo_Cambio[Actualización]))</f>
        <v>0</v>
      </c>
      <c r="AS292" s="1009">
        <f>SUMPRODUCT((Producción_Lecheria[[#This Row],[Centro de Costo]]=Tabla1924[Centro de Costo])*(Tabla19[Superficie]))</f>
        <v>2356</v>
      </c>
      <c r="AT292" s="1010">
        <f>IFERROR(Producción_Lecheria[[#This Row],[Económico $Corrientes]]/Producción_Lecheria[[#This Row],[Superficie]],0)</f>
        <v>0</v>
      </c>
      <c r="AU292" s="1010">
        <f>IFERROR(Producción_Lecheria[[#This Row],[Económico $Constantes]]/Producción_Lecheria[[#This Row],[Superficie]],0)</f>
        <v>0</v>
      </c>
      <c r="AV292" s="1010">
        <f>IFERROR(Producción_Lecheria[[#This Row],[Económico U$S Dólares]]/Producción_Lecheria[[#This Row],[Superficie]],0)</f>
        <v>0</v>
      </c>
      <c r="AW292" s="992" t="str">
        <f>IF(Económico!$F$4=0,0,Producción_Lecheria[Centro de Costo])</f>
        <v>Campo 1</v>
      </c>
    </row>
    <row r="293" spans="1:49" x14ac:dyDescent="0.25">
      <c r="A293" s="86"/>
      <c r="D293" s="548">
        <f t="shared" si="27"/>
        <v>43556</v>
      </c>
      <c r="E293" s="493"/>
      <c r="F293" s="479" t="str">
        <f t="shared" si="28"/>
        <v>2018-2019</v>
      </c>
      <c r="G293" s="597" t="s">
        <v>172</v>
      </c>
      <c r="H293" s="481" t="s">
        <v>2</v>
      </c>
      <c r="I293" s="491"/>
      <c r="J293" s="549" t="s">
        <v>488</v>
      </c>
      <c r="K293" s="484"/>
      <c r="L29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9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93" s="520"/>
      <c r="O29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93" s="563"/>
      <c r="Q293" s="491"/>
      <c r="R293" s="875">
        <f>IF(ISNUMBER(Producción_Lecheria[[#This Row],[Cabezas]])=TRUE,Producción_Lecheria[[#This Row],[Cabezas]]*Producción_Lecheria[[#This Row],[Cantidad]],Producción_Lecheria[[#This Row],[Cantidad]])</f>
        <v>0</v>
      </c>
      <c r="S293" s="491"/>
      <c r="T293" s="552"/>
      <c r="U293" s="553"/>
      <c r="V29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93" s="977">
        <f>IFERROR(Producción_Lecheria[[#This Row],[Económico $Corrientes]]/Producción_Lecheria[[#This Row],[Indexación Económico]],0)</f>
        <v>0</v>
      </c>
      <c r="X29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9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93" s="977">
        <f>IFERROR(Producción_Lecheria[[#This Row],[Financiero $Corrientes]]/Producción_Lecheria[[#This Row],[Indexación Financiero]],0)</f>
        <v>0</v>
      </c>
      <c r="AA29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9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93" s="981">
        <f>IFERROR(Producción_Lecheria[[#This Row],[Intereses $Corrientes]]/Producción_Lecheria[[#This Row],[Indexación Financiero]],0)</f>
        <v>0</v>
      </c>
      <c r="AD29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93" s="991" t="str">
        <f>IFERROR(INDEX(Produccion_Lecheria_Cuentas[],MATCH(Producción_Lecheria[[#This Row],[Cuenta Contable]],Produccion_Lecheria_Cuentas[Cuenta Contable],0),2),0)</f>
        <v>Egreso Cesión</v>
      </c>
      <c r="AF293" s="992">
        <f>IF(Producción_Lecheria[[#This Row],[Mov. Stock]]="(+)",Producción_Lecheria[[#This Row],[Cabezas]],IF(Producción_Lecheria[[#This Row],[Mov. Stock]]="(-)",-Producción_Lecheria[[#This Row],[Cabezas]],0))</f>
        <v>0</v>
      </c>
      <c r="AG293" s="993">
        <f>IFERROR(INDEX(Produccion_Lecheria_Cuentas[],MATCH(Producción_Lecheria[[#This Row],[Cuenta Contable]],Produccion_Lecheria_Cuentas[Cuenta Contable],0),5),0)</f>
        <v>0</v>
      </c>
      <c r="AH293" s="985" t="str">
        <f>IF(Producción_Lecheria[[#This Row],[Cuenta Contable]]=Configuración!$AC$9,"Si","No")</f>
        <v>Si</v>
      </c>
      <c r="AI293" s="983" t="str">
        <f>IFERROR(INDEX(Tabla9[],MATCH(Producción_Lecheria[[#This Row],[Movimiento]],Tabla9[Movimientos],0),2),0)</f>
        <v>No</v>
      </c>
      <c r="AJ293" s="984" t="str">
        <f>IFERROR(INDEX(Tabla9[],MATCH(Producción_Lecheria[[#This Row],[Movimiento]],Tabla9[Movimientos],0),3),0)</f>
        <v>(-)</v>
      </c>
      <c r="AK293" s="986">
        <f>IF(Producción_Lecheria[[#This Row],[Fecha Económico]]=0,0,MONTH(Producción_Lecheria[[#This Row],[Fecha Económico]]))</f>
        <v>4</v>
      </c>
      <c r="AL293" s="986">
        <f>IF(Producción_Lecheria[[#This Row],[Fecha Económico]]=0,0,YEAR(Producción_Lecheria[[#This Row],[Fecha Económico]]))</f>
        <v>2019</v>
      </c>
      <c r="AM293" s="987">
        <f>SUMPRODUCT((Producción_Lecheria[[#This Row],[Mes Económico]]=Tipo_Cambio[Mes])*(Producción_Lecheria[[#This Row],[Año Económico]]=Tipo_Cambio[Año])*(Tipo_Cambio[$/U$S]))</f>
        <v>24.061075999055937</v>
      </c>
      <c r="AN293" s="987">
        <f>SUMPRODUCT((Producción_Lecheria[[#This Row],[Mes Económico]]=Tipo_Cambio[Mes])*(Producción_Lecheria[[#This Row],[Año Económico]]=Tipo_Cambio[Año])*(Tipo_Cambio[Actualización]))</f>
        <v>1.1950925686223111</v>
      </c>
      <c r="AO293" s="986">
        <f>IF(ISNUMBER(Producción_Lecheria[[#This Row],[Fecha Financiero]])=TRUE,MONTH(Producción_Lecheria[[#This Row],[Fecha Financiero]]),0)</f>
        <v>0</v>
      </c>
      <c r="AP293" s="986">
        <f>IF(ISNUMBER(Producción_Lecheria[[#This Row],[Fecha Financiero]])=TRUE,YEAR(Producción_Lecheria[[#This Row],[Fecha Financiero]]),0)</f>
        <v>0</v>
      </c>
      <c r="AQ293" s="987">
        <f>SUMPRODUCT((Producción_Lecheria[[#This Row],[Mes Financiero]]=Tipo_Cambio[Mes])*(Producción_Lecheria[[#This Row],[Año Financiero]]=Tipo_Cambio[Año])*(Tipo_Cambio[$/U$S]))</f>
        <v>0</v>
      </c>
      <c r="AR293" s="987">
        <f>SUMPRODUCT((Producción_Lecheria[[#This Row],[Mes Financiero]]=Tipo_Cambio[Mes])*(Producción_Lecheria[[#This Row],[Año Financiero]]=Tipo_Cambio[Año])*(Tipo_Cambio[Actualización]))</f>
        <v>0</v>
      </c>
      <c r="AS293" s="1009">
        <f>SUMPRODUCT((Producción_Lecheria[[#This Row],[Centro de Costo]]=Tabla1924[Centro de Costo])*(Tabla19[Superficie]))</f>
        <v>2356</v>
      </c>
      <c r="AT293" s="1010">
        <f>IFERROR(Producción_Lecheria[[#This Row],[Económico $Corrientes]]/Producción_Lecheria[[#This Row],[Superficie]],0)</f>
        <v>0</v>
      </c>
      <c r="AU293" s="1010">
        <f>IFERROR(Producción_Lecheria[[#This Row],[Económico $Constantes]]/Producción_Lecheria[[#This Row],[Superficie]],0)</f>
        <v>0</v>
      </c>
      <c r="AV293" s="1010">
        <f>IFERROR(Producción_Lecheria[[#This Row],[Económico U$S Dólares]]/Producción_Lecheria[[#This Row],[Superficie]],0)</f>
        <v>0</v>
      </c>
      <c r="AW293" s="992" t="str">
        <f>IF(Económico!$F$4=0,0,Producción_Lecheria[Centro de Costo])</f>
        <v>Campo 1</v>
      </c>
    </row>
    <row r="294" spans="1:49" x14ac:dyDescent="0.25">
      <c r="A294" s="86"/>
      <c r="D294" s="548">
        <f t="shared" si="27"/>
        <v>43586</v>
      </c>
      <c r="E294" s="493"/>
      <c r="F294" s="479" t="str">
        <f t="shared" si="28"/>
        <v>2018-2019</v>
      </c>
      <c r="G294" s="597" t="s">
        <v>172</v>
      </c>
      <c r="H294" s="481" t="s">
        <v>2</v>
      </c>
      <c r="I294" s="491"/>
      <c r="J294" s="549" t="s">
        <v>488</v>
      </c>
      <c r="K294" s="484"/>
      <c r="L29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9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94" s="520"/>
      <c r="O29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94" s="563"/>
      <c r="Q294" s="491"/>
      <c r="R294" s="875">
        <f>IF(ISNUMBER(Producción_Lecheria[[#This Row],[Cabezas]])=TRUE,Producción_Lecheria[[#This Row],[Cabezas]]*Producción_Lecheria[[#This Row],[Cantidad]],Producción_Lecheria[[#This Row],[Cantidad]])</f>
        <v>0</v>
      </c>
      <c r="S294" s="491"/>
      <c r="T294" s="552"/>
      <c r="U294" s="553"/>
      <c r="V29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94" s="977">
        <f>IFERROR(Producción_Lecheria[[#This Row],[Económico $Corrientes]]/Producción_Lecheria[[#This Row],[Indexación Económico]],0)</f>
        <v>0</v>
      </c>
      <c r="X29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9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94" s="977">
        <f>IFERROR(Producción_Lecheria[[#This Row],[Financiero $Corrientes]]/Producción_Lecheria[[#This Row],[Indexación Financiero]],0)</f>
        <v>0</v>
      </c>
      <c r="AA29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9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94" s="981">
        <f>IFERROR(Producción_Lecheria[[#This Row],[Intereses $Corrientes]]/Producción_Lecheria[[#This Row],[Indexación Financiero]],0)</f>
        <v>0</v>
      </c>
      <c r="AD29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94" s="991" t="str">
        <f>IFERROR(INDEX(Produccion_Lecheria_Cuentas[],MATCH(Producción_Lecheria[[#This Row],[Cuenta Contable]],Produccion_Lecheria_Cuentas[Cuenta Contable],0),2),0)</f>
        <v>Egreso Cesión</v>
      </c>
      <c r="AF294" s="992">
        <f>IF(Producción_Lecheria[[#This Row],[Mov. Stock]]="(+)",Producción_Lecheria[[#This Row],[Cabezas]],IF(Producción_Lecheria[[#This Row],[Mov. Stock]]="(-)",-Producción_Lecheria[[#This Row],[Cabezas]],0))</f>
        <v>0</v>
      </c>
      <c r="AG294" s="993">
        <f>IFERROR(INDEX(Produccion_Lecheria_Cuentas[],MATCH(Producción_Lecheria[[#This Row],[Cuenta Contable]],Produccion_Lecheria_Cuentas[Cuenta Contable],0),5),0)</f>
        <v>0</v>
      </c>
      <c r="AH294" s="985" t="str">
        <f>IF(Producción_Lecheria[[#This Row],[Cuenta Contable]]=Configuración!$AC$9,"Si","No")</f>
        <v>Si</v>
      </c>
      <c r="AI294" s="983" t="str">
        <f>IFERROR(INDEX(Tabla9[],MATCH(Producción_Lecheria[[#This Row],[Movimiento]],Tabla9[Movimientos],0),2),0)</f>
        <v>No</v>
      </c>
      <c r="AJ294" s="984" t="str">
        <f>IFERROR(INDEX(Tabla9[],MATCH(Producción_Lecheria[[#This Row],[Movimiento]],Tabla9[Movimientos],0),3),0)</f>
        <v>(-)</v>
      </c>
      <c r="AK294" s="986">
        <f>IF(Producción_Lecheria[[#This Row],[Fecha Económico]]=0,0,MONTH(Producción_Lecheria[[#This Row],[Fecha Económico]]))</f>
        <v>5</v>
      </c>
      <c r="AL294" s="986">
        <f>IF(Producción_Lecheria[[#This Row],[Fecha Económico]]=0,0,YEAR(Producción_Lecheria[[#This Row],[Fecha Económico]]))</f>
        <v>2019</v>
      </c>
      <c r="AM294" s="987">
        <f>SUMPRODUCT((Producción_Lecheria[[#This Row],[Mes Económico]]=Tipo_Cambio[Mes])*(Producción_Lecheria[[#This Row],[Año Económico]]=Tipo_Cambio[Año])*(Tipo_Cambio[$/U$S]))</f>
        <v>24.301686759046497</v>
      </c>
      <c r="AN294" s="987">
        <f>SUMPRODUCT((Producción_Lecheria[[#This Row],[Mes Económico]]=Tipo_Cambio[Mes])*(Producción_Lecheria[[#This Row],[Año Económico]]=Tipo_Cambio[Año])*(Tipo_Cambio[Actualización]))</f>
        <v>1.2189944199947573</v>
      </c>
      <c r="AO294" s="986">
        <f>IF(ISNUMBER(Producción_Lecheria[[#This Row],[Fecha Financiero]])=TRUE,MONTH(Producción_Lecheria[[#This Row],[Fecha Financiero]]),0)</f>
        <v>0</v>
      </c>
      <c r="AP294" s="986">
        <f>IF(ISNUMBER(Producción_Lecheria[[#This Row],[Fecha Financiero]])=TRUE,YEAR(Producción_Lecheria[[#This Row],[Fecha Financiero]]),0)</f>
        <v>0</v>
      </c>
      <c r="AQ294" s="987">
        <f>SUMPRODUCT((Producción_Lecheria[[#This Row],[Mes Financiero]]=Tipo_Cambio[Mes])*(Producción_Lecheria[[#This Row],[Año Financiero]]=Tipo_Cambio[Año])*(Tipo_Cambio[$/U$S]))</f>
        <v>0</v>
      </c>
      <c r="AR294" s="987">
        <f>SUMPRODUCT((Producción_Lecheria[[#This Row],[Mes Financiero]]=Tipo_Cambio[Mes])*(Producción_Lecheria[[#This Row],[Año Financiero]]=Tipo_Cambio[Año])*(Tipo_Cambio[Actualización]))</f>
        <v>0</v>
      </c>
      <c r="AS294" s="1009">
        <f>SUMPRODUCT((Producción_Lecheria[[#This Row],[Centro de Costo]]=Tabla1924[Centro de Costo])*(Tabla19[Superficie]))</f>
        <v>2356</v>
      </c>
      <c r="AT294" s="1010">
        <f>IFERROR(Producción_Lecheria[[#This Row],[Económico $Corrientes]]/Producción_Lecheria[[#This Row],[Superficie]],0)</f>
        <v>0</v>
      </c>
      <c r="AU294" s="1010">
        <f>IFERROR(Producción_Lecheria[[#This Row],[Económico $Constantes]]/Producción_Lecheria[[#This Row],[Superficie]],0)</f>
        <v>0</v>
      </c>
      <c r="AV294" s="1010">
        <f>IFERROR(Producción_Lecheria[[#This Row],[Económico U$S Dólares]]/Producción_Lecheria[[#This Row],[Superficie]],0)</f>
        <v>0</v>
      </c>
      <c r="AW294" s="992" t="str">
        <f>IF(Económico!$F$4=0,0,Producción_Lecheria[Centro de Costo])</f>
        <v>Campo 1</v>
      </c>
    </row>
    <row r="295" spans="1:49" x14ac:dyDescent="0.25">
      <c r="A295" s="86"/>
      <c r="D295" s="548">
        <f t="shared" si="27"/>
        <v>43617</v>
      </c>
      <c r="E295" s="493"/>
      <c r="F295" s="479" t="str">
        <f t="shared" si="28"/>
        <v>2018-2019</v>
      </c>
      <c r="G295" s="597" t="s">
        <v>172</v>
      </c>
      <c r="H295" s="481" t="s">
        <v>2</v>
      </c>
      <c r="I295" s="491"/>
      <c r="J295" s="549" t="s">
        <v>488</v>
      </c>
      <c r="K295" s="484"/>
      <c r="L29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9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95" s="520"/>
      <c r="O29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95" s="563"/>
      <c r="Q295" s="491"/>
      <c r="R295" s="875">
        <f>IF(ISNUMBER(Producción_Lecheria[[#This Row],[Cabezas]])=TRUE,Producción_Lecheria[[#This Row],[Cabezas]]*Producción_Lecheria[[#This Row],[Cantidad]],Producción_Lecheria[[#This Row],[Cantidad]])</f>
        <v>0</v>
      </c>
      <c r="S295" s="491"/>
      <c r="T295" s="552"/>
      <c r="U295" s="553"/>
      <c r="V29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95" s="977">
        <f>IFERROR(Producción_Lecheria[[#This Row],[Económico $Corrientes]]/Producción_Lecheria[[#This Row],[Indexación Económico]],0)</f>
        <v>0</v>
      </c>
      <c r="X29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9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95" s="977">
        <f>IFERROR(Producción_Lecheria[[#This Row],[Financiero $Corrientes]]/Producción_Lecheria[[#This Row],[Indexación Financiero]],0)</f>
        <v>0</v>
      </c>
      <c r="AA29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9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95" s="981">
        <f>IFERROR(Producción_Lecheria[[#This Row],[Intereses $Corrientes]]/Producción_Lecheria[[#This Row],[Indexación Financiero]],0)</f>
        <v>0</v>
      </c>
      <c r="AD29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95" s="991" t="str">
        <f>IFERROR(INDEX(Produccion_Lecheria_Cuentas[],MATCH(Producción_Lecheria[[#This Row],[Cuenta Contable]],Produccion_Lecheria_Cuentas[Cuenta Contable],0),2),0)</f>
        <v>Egreso Cesión</v>
      </c>
      <c r="AF295" s="992">
        <f>IF(Producción_Lecheria[[#This Row],[Mov. Stock]]="(+)",Producción_Lecheria[[#This Row],[Cabezas]],IF(Producción_Lecheria[[#This Row],[Mov. Stock]]="(-)",-Producción_Lecheria[[#This Row],[Cabezas]],0))</f>
        <v>0</v>
      </c>
      <c r="AG295" s="993">
        <f>IFERROR(INDEX(Produccion_Lecheria_Cuentas[],MATCH(Producción_Lecheria[[#This Row],[Cuenta Contable]],Produccion_Lecheria_Cuentas[Cuenta Contable],0),5),0)</f>
        <v>0</v>
      </c>
      <c r="AH295" s="985" t="str">
        <f>IF(Producción_Lecheria[[#This Row],[Cuenta Contable]]=Configuración!$AC$9,"Si","No")</f>
        <v>Si</v>
      </c>
      <c r="AI295" s="983" t="str">
        <f>IFERROR(INDEX(Tabla9[],MATCH(Producción_Lecheria[[#This Row],[Movimiento]],Tabla9[Movimientos],0),2),0)</f>
        <v>No</v>
      </c>
      <c r="AJ295" s="984" t="str">
        <f>IFERROR(INDEX(Tabla9[],MATCH(Producción_Lecheria[[#This Row],[Movimiento]],Tabla9[Movimientos],0),3),0)</f>
        <v>(-)</v>
      </c>
      <c r="AK295" s="986">
        <f>IF(Producción_Lecheria[[#This Row],[Fecha Económico]]=0,0,MONTH(Producción_Lecheria[[#This Row],[Fecha Económico]]))</f>
        <v>6</v>
      </c>
      <c r="AL295" s="986">
        <f>IF(Producción_Lecheria[[#This Row],[Fecha Económico]]=0,0,YEAR(Producción_Lecheria[[#This Row],[Fecha Económico]]))</f>
        <v>2019</v>
      </c>
      <c r="AM295" s="987">
        <f>SUMPRODUCT((Producción_Lecheria[[#This Row],[Mes Económico]]=Tipo_Cambio[Mes])*(Producción_Lecheria[[#This Row],[Año Económico]]=Tipo_Cambio[Año])*(Tipo_Cambio[$/U$S]))</f>
        <v>24.544703626636963</v>
      </c>
      <c r="AN295" s="987">
        <f>SUMPRODUCT((Producción_Lecheria[[#This Row],[Mes Económico]]=Tipo_Cambio[Mes])*(Producción_Lecheria[[#This Row],[Año Económico]]=Tipo_Cambio[Año])*(Tipo_Cambio[Actualización]))</f>
        <v>1.2433743083946525</v>
      </c>
      <c r="AO295" s="986">
        <f>IF(ISNUMBER(Producción_Lecheria[[#This Row],[Fecha Financiero]])=TRUE,MONTH(Producción_Lecheria[[#This Row],[Fecha Financiero]]),0)</f>
        <v>0</v>
      </c>
      <c r="AP295" s="986">
        <f>IF(ISNUMBER(Producción_Lecheria[[#This Row],[Fecha Financiero]])=TRUE,YEAR(Producción_Lecheria[[#This Row],[Fecha Financiero]]),0)</f>
        <v>0</v>
      </c>
      <c r="AQ295" s="987">
        <f>SUMPRODUCT((Producción_Lecheria[[#This Row],[Mes Financiero]]=Tipo_Cambio[Mes])*(Producción_Lecheria[[#This Row],[Año Financiero]]=Tipo_Cambio[Año])*(Tipo_Cambio[$/U$S]))</f>
        <v>0</v>
      </c>
      <c r="AR295" s="987">
        <f>SUMPRODUCT((Producción_Lecheria[[#This Row],[Mes Financiero]]=Tipo_Cambio[Mes])*(Producción_Lecheria[[#This Row],[Año Financiero]]=Tipo_Cambio[Año])*(Tipo_Cambio[Actualización]))</f>
        <v>0</v>
      </c>
      <c r="AS295" s="1009">
        <f>SUMPRODUCT((Producción_Lecheria[[#This Row],[Centro de Costo]]=Tabla1924[Centro de Costo])*(Tabla19[Superficie]))</f>
        <v>2356</v>
      </c>
      <c r="AT295" s="1010">
        <f>IFERROR(Producción_Lecheria[[#This Row],[Económico $Corrientes]]/Producción_Lecheria[[#This Row],[Superficie]],0)</f>
        <v>0</v>
      </c>
      <c r="AU295" s="1010">
        <f>IFERROR(Producción_Lecheria[[#This Row],[Económico $Constantes]]/Producción_Lecheria[[#This Row],[Superficie]],0)</f>
        <v>0</v>
      </c>
      <c r="AV295" s="1010">
        <f>IFERROR(Producción_Lecheria[[#This Row],[Económico U$S Dólares]]/Producción_Lecheria[[#This Row],[Superficie]],0)</f>
        <v>0</v>
      </c>
      <c r="AW295" s="992" t="str">
        <f>IF(Económico!$F$4=0,0,Producción_Lecheria[Centro de Costo])</f>
        <v>Campo 1</v>
      </c>
    </row>
    <row r="296" spans="1:49" x14ac:dyDescent="0.25">
      <c r="A296" s="86"/>
      <c r="D296" s="548"/>
      <c r="E296" s="493"/>
      <c r="F296" s="479" t="str">
        <f t="shared" si="28"/>
        <v>2018-2019</v>
      </c>
      <c r="G296" s="576"/>
      <c r="H296" s="481"/>
      <c r="I296" s="491"/>
      <c r="J296" s="549"/>
      <c r="K296" s="484"/>
      <c r="L29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9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96" s="520"/>
      <c r="O29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96" s="563"/>
      <c r="Q296" s="491"/>
      <c r="R296" s="875">
        <f>IF(ISNUMBER(Producción_Lecheria[[#This Row],[Cabezas]])=TRUE,Producción_Lecheria[[#This Row],[Cabezas]]*Producción_Lecheria[[#This Row],[Cantidad]],Producción_Lecheria[[#This Row],[Cantidad]])</f>
        <v>0</v>
      </c>
      <c r="S296" s="491"/>
      <c r="T296" s="552"/>
      <c r="U296" s="553"/>
      <c r="V29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96" s="977">
        <f>IFERROR(Producción_Lecheria[[#This Row],[Económico $Corrientes]]/Producción_Lecheria[[#This Row],[Indexación Económico]],0)</f>
        <v>0</v>
      </c>
      <c r="X29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9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96" s="977">
        <f>IFERROR(Producción_Lecheria[[#This Row],[Financiero $Corrientes]]/Producción_Lecheria[[#This Row],[Indexación Financiero]],0)</f>
        <v>0</v>
      </c>
      <c r="AA29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9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96" s="981">
        <f>IFERROR(Producción_Lecheria[[#This Row],[Intereses $Corrientes]]/Producción_Lecheria[[#This Row],[Indexación Financiero]],0)</f>
        <v>0</v>
      </c>
      <c r="AD29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96" s="991">
        <f>IFERROR(INDEX(Produccion_Lecheria_Cuentas[],MATCH(Producción_Lecheria[[#This Row],[Cuenta Contable]],Produccion_Lecheria_Cuentas[Cuenta Contable],0),2),0)</f>
        <v>0</v>
      </c>
      <c r="AF296" s="992">
        <f>IF(Producción_Lecheria[[#This Row],[Mov. Stock]]="(+)",Producción_Lecheria[[#This Row],[Cabezas]],IF(Producción_Lecheria[[#This Row],[Mov. Stock]]="(-)",-Producción_Lecheria[[#This Row],[Cabezas]],0))</f>
        <v>0</v>
      </c>
      <c r="AG296" s="993">
        <f>IFERROR(INDEX(Produccion_Lecheria_Cuentas[],MATCH(Producción_Lecheria[[#This Row],[Cuenta Contable]],Produccion_Lecheria_Cuentas[Cuenta Contable],0),5),0)</f>
        <v>0</v>
      </c>
      <c r="AH296" s="985" t="str">
        <f>IF(Producción_Lecheria[[#This Row],[Cuenta Contable]]=Configuración!$AC$9,"Si","No")</f>
        <v>No</v>
      </c>
      <c r="AI296" s="983">
        <f>IFERROR(INDEX(Tabla9[],MATCH(Producción_Lecheria[[#This Row],[Movimiento]],Tabla9[Movimientos],0),2),0)</f>
        <v>0</v>
      </c>
      <c r="AJ296" s="984">
        <f>IFERROR(INDEX(Tabla9[],MATCH(Producción_Lecheria[[#This Row],[Movimiento]],Tabla9[Movimientos],0),3),0)</f>
        <v>0</v>
      </c>
      <c r="AK296" s="986">
        <f>IF(Producción_Lecheria[[#This Row],[Fecha Económico]]=0,0,MONTH(Producción_Lecheria[[#This Row],[Fecha Económico]]))</f>
        <v>0</v>
      </c>
      <c r="AL296" s="986">
        <f>IF(Producción_Lecheria[[#This Row],[Fecha Económico]]=0,0,YEAR(Producción_Lecheria[[#This Row],[Fecha Económico]]))</f>
        <v>0</v>
      </c>
      <c r="AM296" s="987">
        <f>SUMPRODUCT((Producción_Lecheria[[#This Row],[Mes Económico]]=Tipo_Cambio[Mes])*(Producción_Lecheria[[#This Row],[Año Económico]]=Tipo_Cambio[Año])*(Tipo_Cambio[$/U$S]))</f>
        <v>0</v>
      </c>
      <c r="AN296" s="987">
        <f>SUMPRODUCT((Producción_Lecheria[[#This Row],[Mes Económico]]=Tipo_Cambio[Mes])*(Producción_Lecheria[[#This Row],[Año Económico]]=Tipo_Cambio[Año])*(Tipo_Cambio[Actualización]))</f>
        <v>0</v>
      </c>
      <c r="AO296" s="986">
        <f>IF(ISNUMBER(Producción_Lecheria[[#This Row],[Fecha Financiero]])=TRUE,MONTH(Producción_Lecheria[[#This Row],[Fecha Financiero]]),0)</f>
        <v>0</v>
      </c>
      <c r="AP296" s="986">
        <f>IF(ISNUMBER(Producción_Lecheria[[#This Row],[Fecha Financiero]])=TRUE,YEAR(Producción_Lecheria[[#This Row],[Fecha Financiero]]),0)</f>
        <v>0</v>
      </c>
      <c r="AQ296" s="987">
        <f>SUMPRODUCT((Producción_Lecheria[[#This Row],[Mes Financiero]]=Tipo_Cambio[Mes])*(Producción_Lecheria[[#This Row],[Año Financiero]]=Tipo_Cambio[Año])*(Tipo_Cambio[$/U$S]))</f>
        <v>0</v>
      </c>
      <c r="AR296" s="987">
        <f>SUMPRODUCT((Producción_Lecheria[[#This Row],[Mes Financiero]]=Tipo_Cambio[Mes])*(Producción_Lecheria[[#This Row],[Año Financiero]]=Tipo_Cambio[Año])*(Tipo_Cambio[Actualización]))</f>
        <v>0</v>
      </c>
      <c r="AS296" s="1009">
        <f>SUMPRODUCT((Producción_Lecheria[[#This Row],[Centro de Costo]]=Tabla1924[Centro de Costo])*(Tabla19[Superficie]))</f>
        <v>0</v>
      </c>
      <c r="AT296" s="1010">
        <f>IFERROR(Producción_Lecheria[[#This Row],[Económico $Corrientes]]/Producción_Lecheria[[#This Row],[Superficie]],0)</f>
        <v>0</v>
      </c>
      <c r="AU296" s="1010">
        <f>IFERROR(Producción_Lecheria[[#This Row],[Económico $Constantes]]/Producción_Lecheria[[#This Row],[Superficie]],0)</f>
        <v>0</v>
      </c>
      <c r="AV296" s="1010">
        <f>IFERROR(Producción_Lecheria[[#This Row],[Económico U$S Dólares]]/Producción_Lecheria[[#This Row],[Superficie]],0)</f>
        <v>0</v>
      </c>
      <c r="AW296" s="992">
        <f>IF(Económico!$F$4=0,0,Producción_Lecheria[Centro de Costo])</f>
        <v>0</v>
      </c>
    </row>
    <row r="297" spans="1:49" x14ac:dyDescent="0.25">
      <c r="A297" s="86"/>
      <c r="D297" s="548"/>
      <c r="E297" s="493"/>
      <c r="F297" s="479" t="str">
        <f t="shared" si="28"/>
        <v>2018-2019</v>
      </c>
      <c r="G297" s="576"/>
      <c r="H297" s="481"/>
      <c r="I297" s="491"/>
      <c r="J297" s="549"/>
      <c r="K297" s="484"/>
      <c r="L29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9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97" s="520"/>
      <c r="O29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97" s="563"/>
      <c r="Q297" s="491"/>
      <c r="R297" s="875">
        <f>IF(ISNUMBER(Producción_Lecheria[[#This Row],[Cabezas]])=TRUE,Producción_Lecheria[[#This Row],[Cabezas]]*Producción_Lecheria[[#This Row],[Cantidad]],Producción_Lecheria[[#This Row],[Cantidad]])</f>
        <v>0</v>
      </c>
      <c r="S297" s="491"/>
      <c r="T297" s="552"/>
      <c r="U297" s="553"/>
      <c r="V29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97" s="977">
        <f>IFERROR(Producción_Lecheria[[#This Row],[Económico $Corrientes]]/Producción_Lecheria[[#This Row],[Indexación Económico]],0)</f>
        <v>0</v>
      </c>
      <c r="X29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9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97" s="977">
        <f>IFERROR(Producción_Lecheria[[#This Row],[Financiero $Corrientes]]/Producción_Lecheria[[#This Row],[Indexación Financiero]],0)</f>
        <v>0</v>
      </c>
      <c r="AA29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9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97" s="981">
        <f>IFERROR(Producción_Lecheria[[#This Row],[Intereses $Corrientes]]/Producción_Lecheria[[#This Row],[Indexación Financiero]],0)</f>
        <v>0</v>
      </c>
      <c r="AD29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97" s="991">
        <f>IFERROR(INDEX(Produccion_Lecheria_Cuentas[],MATCH(Producción_Lecheria[[#This Row],[Cuenta Contable]],Produccion_Lecheria_Cuentas[Cuenta Contable],0),2),0)</f>
        <v>0</v>
      </c>
      <c r="AF297" s="992">
        <f>IF(Producción_Lecheria[[#This Row],[Mov. Stock]]="(+)",Producción_Lecheria[[#This Row],[Cabezas]],IF(Producción_Lecheria[[#This Row],[Mov. Stock]]="(-)",-Producción_Lecheria[[#This Row],[Cabezas]],0))</f>
        <v>0</v>
      </c>
      <c r="AG297" s="993">
        <f>IFERROR(INDEX(Produccion_Lecheria_Cuentas[],MATCH(Producción_Lecheria[[#This Row],[Cuenta Contable]],Produccion_Lecheria_Cuentas[Cuenta Contable],0),5),0)</f>
        <v>0</v>
      </c>
      <c r="AH297" s="985" t="str">
        <f>IF(Producción_Lecheria[[#This Row],[Cuenta Contable]]=Configuración!$AC$9,"Si","No")</f>
        <v>No</v>
      </c>
      <c r="AI297" s="983">
        <f>IFERROR(INDEX(Tabla9[],MATCH(Producción_Lecheria[[#This Row],[Movimiento]],Tabla9[Movimientos],0),2),0)</f>
        <v>0</v>
      </c>
      <c r="AJ297" s="984">
        <f>IFERROR(INDEX(Tabla9[],MATCH(Producción_Lecheria[[#This Row],[Movimiento]],Tabla9[Movimientos],0),3),0)</f>
        <v>0</v>
      </c>
      <c r="AK297" s="986">
        <f>IF(Producción_Lecheria[[#This Row],[Fecha Económico]]=0,0,MONTH(Producción_Lecheria[[#This Row],[Fecha Económico]]))</f>
        <v>0</v>
      </c>
      <c r="AL297" s="986">
        <f>IF(Producción_Lecheria[[#This Row],[Fecha Económico]]=0,0,YEAR(Producción_Lecheria[[#This Row],[Fecha Económico]]))</f>
        <v>0</v>
      </c>
      <c r="AM297" s="987">
        <f>SUMPRODUCT((Producción_Lecheria[[#This Row],[Mes Económico]]=Tipo_Cambio[Mes])*(Producción_Lecheria[[#This Row],[Año Económico]]=Tipo_Cambio[Año])*(Tipo_Cambio[$/U$S]))</f>
        <v>0</v>
      </c>
      <c r="AN297" s="987">
        <f>SUMPRODUCT((Producción_Lecheria[[#This Row],[Mes Económico]]=Tipo_Cambio[Mes])*(Producción_Lecheria[[#This Row],[Año Económico]]=Tipo_Cambio[Año])*(Tipo_Cambio[Actualización]))</f>
        <v>0</v>
      </c>
      <c r="AO297" s="986">
        <f>IF(ISNUMBER(Producción_Lecheria[[#This Row],[Fecha Financiero]])=TRUE,MONTH(Producción_Lecheria[[#This Row],[Fecha Financiero]]),0)</f>
        <v>0</v>
      </c>
      <c r="AP297" s="986">
        <f>IF(ISNUMBER(Producción_Lecheria[[#This Row],[Fecha Financiero]])=TRUE,YEAR(Producción_Lecheria[[#This Row],[Fecha Financiero]]),0)</f>
        <v>0</v>
      </c>
      <c r="AQ297" s="987">
        <f>SUMPRODUCT((Producción_Lecheria[[#This Row],[Mes Financiero]]=Tipo_Cambio[Mes])*(Producción_Lecheria[[#This Row],[Año Financiero]]=Tipo_Cambio[Año])*(Tipo_Cambio[$/U$S]))</f>
        <v>0</v>
      </c>
      <c r="AR297" s="987">
        <f>SUMPRODUCT((Producción_Lecheria[[#This Row],[Mes Financiero]]=Tipo_Cambio[Mes])*(Producción_Lecheria[[#This Row],[Año Financiero]]=Tipo_Cambio[Año])*(Tipo_Cambio[Actualización]))</f>
        <v>0</v>
      </c>
      <c r="AS297" s="1009">
        <f>SUMPRODUCT((Producción_Lecheria[[#This Row],[Centro de Costo]]=Tabla1924[Centro de Costo])*(Tabla19[Superficie]))</f>
        <v>0</v>
      </c>
      <c r="AT297" s="1010">
        <f>IFERROR(Producción_Lecheria[[#This Row],[Económico $Corrientes]]/Producción_Lecheria[[#This Row],[Superficie]],0)</f>
        <v>0</v>
      </c>
      <c r="AU297" s="1010">
        <f>IFERROR(Producción_Lecheria[[#This Row],[Económico $Constantes]]/Producción_Lecheria[[#This Row],[Superficie]],0)</f>
        <v>0</v>
      </c>
      <c r="AV297" s="1010">
        <f>IFERROR(Producción_Lecheria[[#This Row],[Económico U$S Dólares]]/Producción_Lecheria[[#This Row],[Superficie]],0)</f>
        <v>0</v>
      </c>
      <c r="AW297" s="992">
        <f>IF(Económico!$F$4=0,0,Producción_Lecheria[Centro de Costo])</f>
        <v>0</v>
      </c>
    </row>
    <row r="298" spans="1:49" ht="15.75" thickBot="1" x14ac:dyDescent="0.3">
      <c r="A298" s="86"/>
      <c r="B298" s="373" t="s">
        <v>101</v>
      </c>
      <c r="D298" s="548"/>
      <c r="E298" s="493"/>
      <c r="F298" s="479" t="str">
        <f t="shared" si="28"/>
        <v>2018-2019</v>
      </c>
      <c r="G298" s="576"/>
      <c r="H298" s="481"/>
      <c r="I298" s="491"/>
      <c r="J298" s="549"/>
      <c r="K298" s="484"/>
      <c r="L29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9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98" s="520"/>
      <c r="O29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98" s="563"/>
      <c r="Q298" s="491"/>
      <c r="R298" s="875">
        <f>IF(ISNUMBER(Producción_Lecheria[[#This Row],[Cabezas]])=TRUE,Producción_Lecheria[[#This Row],[Cabezas]]*Producción_Lecheria[[#This Row],[Cantidad]],Producción_Lecheria[[#This Row],[Cantidad]])</f>
        <v>0</v>
      </c>
      <c r="S298" s="491"/>
      <c r="T298" s="552"/>
      <c r="U298" s="553"/>
      <c r="V29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98" s="977">
        <f>IFERROR(Producción_Lecheria[[#This Row],[Económico $Corrientes]]/Producción_Lecheria[[#This Row],[Indexación Económico]],0)</f>
        <v>0</v>
      </c>
      <c r="X29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9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98" s="977">
        <f>IFERROR(Producción_Lecheria[[#This Row],[Financiero $Corrientes]]/Producción_Lecheria[[#This Row],[Indexación Financiero]],0)</f>
        <v>0</v>
      </c>
      <c r="AA29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9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98" s="981">
        <f>IFERROR(Producción_Lecheria[[#This Row],[Intereses $Corrientes]]/Producción_Lecheria[[#This Row],[Indexación Financiero]],0)</f>
        <v>0</v>
      </c>
      <c r="AD29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98" s="991">
        <f>IFERROR(INDEX(Produccion_Lecheria_Cuentas[],MATCH(Producción_Lecheria[[#This Row],[Cuenta Contable]],Produccion_Lecheria_Cuentas[Cuenta Contable],0),2),0)</f>
        <v>0</v>
      </c>
      <c r="AF298" s="992">
        <f>IF(Producción_Lecheria[[#This Row],[Mov. Stock]]="(+)",Producción_Lecheria[[#This Row],[Cabezas]],IF(Producción_Lecheria[[#This Row],[Mov. Stock]]="(-)",-Producción_Lecheria[[#This Row],[Cabezas]],0))</f>
        <v>0</v>
      </c>
      <c r="AG298" s="993">
        <f>IFERROR(INDEX(Produccion_Lecheria_Cuentas[],MATCH(Producción_Lecheria[[#This Row],[Cuenta Contable]],Produccion_Lecheria_Cuentas[Cuenta Contable],0),5),0)</f>
        <v>0</v>
      </c>
      <c r="AH298" s="985" t="str">
        <f>IF(Producción_Lecheria[[#This Row],[Cuenta Contable]]=Configuración!$AC$9,"Si","No")</f>
        <v>No</v>
      </c>
      <c r="AI298" s="983">
        <f>IFERROR(INDEX(Tabla9[],MATCH(Producción_Lecheria[[#This Row],[Movimiento]],Tabla9[Movimientos],0),2),0)</f>
        <v>0</v>
      </c>
      <c r="AJ298" s="984">
        <f>IFERROR(INDEX(Tabla9[],MATCH(Producción_Lecheria[[#This Row],[Movimiento]],Tabla9[Movimientos],0),3),0)</f>
        <v>0</v>
      </c>
      <c r="AK298" s="986">
        <f>IF(Producción_Lecheria[[#This Row],[Fecha Económico]]=0,0,MONTH(Producción_Lecheria[[#This Row],[Fecha Económico]]))</f>
        <v>0</v>
      </c>
      <c r="AL298" s="986">
        <f>IF(Producción_Lecheria[[#This Row],[Fecha Económico]]=0,0,YEAR(Producción_Lecheria[[#This Row],[Fecha Económico]]))</f>
        <v>0</v>
      </c>
      <c r="AM298" s="987">
        <f>SUMPRODUCT((Producción_Lecheria[[#This Row],[Mes Económico]]=Tipo_Cambio[Mes])*(Producción_Lecheria[[#This Row],[Año Económico]]=Tipo_Cambio[Año])*(Tipo_Cambio[$/U$S]))</f>
        <v>0</v>
      </c>
      <c r="AN298" s="987">
        <f>SUMPRODUCT((Producción_Lecheria[[#This Row],[Mes Económico]]=Tipo_Cambio[Mes])*(Producción_Lecheria[[#This Row],[Año Económico]]=Tipo_Cambio[Año])*(Tipo_Cambio[Actualización]))</f>
        <v>0</v>
      </c>
      <c r="AO298" s="986">
        <f>IF(ISNUMBER(Producción_Lecheria[[#This Row],[Fecha Financiero]])=TRUE,MONTH(Producción_Lecheria[[#This Row],[Fecha Financiero]]),0)</f>
        <v>0</v>
      </c>
      <c r="AP298" s="986">
        <f>IF(ISNUMBER(Producción_Lecheria[[#This Row],[Fecha Financiero]])=TRUE,YEAR(Producción_Lecheria[[#This Row],[Fecha Financiero]]),0)</f>
        <v>0</v>
      </c>
      <c r="AQ298" s="987">
        <f>SUMPRODUCT((Producción_Lecheria[[#This Row],[Mes Financiero]]=Tipo_Cambio[Mes])*(Producción_Lecheria[[#This Row],[Año Financiero]]=Tipo_Cambio[Año])*(Tipo_Cambio[$/U$S]))</f>
        <v>0</v>
      </c>
      <c r="AR298" s="987">
        <f>SUMPRODUCT((Producción_Lecheria[[#This Row],[Mes Financiero]]=Tipo_Cambio[Mes])*(Producción_Lecheria[[#This Row],[Año Financiero]]=Tipo_Cambio[Año])*(Tipo_Cambio[Actualización]))</f>
        <v>0</v>
      </c>
      <c r="AS298" s="1009">
        <f>SUMPRODUCT((Producción_Lecheria[[#This Row],[Centro de Costo]]=Tabla1924[Centro de Costo])*(Tabla19[Superficie]))</f>
        <v>0</v>
      </c>
      <c r="AT298" s="1010">
        <f>IFERROR(Producción_Lecheria[[#This Row],[Económico $Corrientes]]/Producción_Lecheria[[#This Row],[Superficie]],0)</f>
        <v>0</v>
      </c>
      <c r="AU298" s="1010">
        <f>IFERROR(Producción_Lecheria[[#This Row],[Económico $Constantes]]/Producción_Lecheria[[#This Row],[Superficie]],0)</f>
        <v>0</v>
      </c>
      <c r="AV298" s="1010">
        <f>IFERROR(Producción_Lecheria[[#This Row],[Económico U$S Dólares]]/Producción_Lecheria[[#This Row],[Superficie]],0)</f>
        <v>0</v>
      </c>
      <c r="AW298" s="992">
        <f>IF(Económico!$F$4=0,0,Producción_Lecheria[Centro de Costo])</f>
        <v>0</v>
      </c>
    </row>
    <row r="299" spans="1:49" ht="15.75" thickTop="1" x14ac:dyDescent="0.25">
      <c r="A299" s="86"/>
      <c r="B299" s="1136" t="s">
        <v>53</v>
      </c>
      <c r="D299" s="579">
        <f>DATE(LEFT(Producción_Lecheria[[#This Row],[Campaña]],4),7,1)</f>
        <v>43282</v>
      </c>
      <c r="E299" s="580"/>
      <c r="F299" s="556" t="str">
        <f t="shared" si="28"/>
        <v>2018-2019</v>
      </c>
      <c r="G299" s="581" t="str">
        <f t="shared" ref="G299:G310" si="29">LCH_Gerenciameinto</f>
        <v>Gerenciamiento</v>
      </c>
      <c r="H299" s="551" t="s">
        <v>2</v>
      </c>
      <c r="I299" s="551"/>
      <c r="J299" s="558"/>
      <c r="K299" s="577"/>
      <c r="L299" s="964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299" s="961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299" s="559"/>
      <c r="O299" s="972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299" s="578"/>
      <c r="Q299" s="551"/>
      <c r="R299" s="975">
        <f>IF(ISNUMBER(Producción_Lecheria[[#This Row],[Cabezas]])=TRUE,Producción_Lecheria[[#This Row],[Cabezas]]*Producción_Lecheria[[#This Row],[Cantidad]],Producción_Lecheria[[#This Row],[Cantidad]])</f>
        <v>0</v>
      </c>
      <c r="S299" s="551"/>
      <c r="T299" s="561"/>
      <c r="U299" s="562"/>
      <c r="V299" s="995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299" s="996">
        <f>IFERROR(Producción_Lecheria[[#This Row],[Económico $Corrientes]]/Producción_Lecheria[[#This Row],[Indexación Económico]],0)</f>
        <v>0</v>
      </c>
      <c r="X299" s="997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299" s="995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299" s="996">
        <f>IFERROR(Producción_Lecheria[[#This Row],[Financiero $Corrientes]]/Producción_Lecheria[[#This Row],[Indexación Financiero]],0)</f>
        <v>0</v>
      </c>
      <c r="AA299" s="998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299" s="999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299" s="1000">
        <f>IFERROR(Producción_Lecheria[[#This Row],[Intereses $Corrientes]]/Producción_Lecheria[[#This Row],[Indexación Financiero]],0)</f>
        <v>0</v>
      </c>
      <c r="AD299" s="1000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299" s="1001" t="str">
        <f>IFERROR(INDEX(Produccion_Lecheria_Cuentas[],MATCH(Producción_Lecheria[[#This Row],[Cuenta Contable]],Produccion_Lecheria_Cuentas[Cuenta Contable],0),2),0)</f>
        <v>Egreso</v>
      </c>
      <c r="AF299" s="1002">
        <f>IF(Producción_Lecheria[[#This Row],[Mov. Stock]]="(+)",Producción_Lecheria[[#This Row],[Cabezas]],IF(Producción_Lecheria[[#This Row],[Mov. Stock]]="(-)",-Producción_Lecheria[[#This Row],[Cabezas]],0))</f>
        <v>0</v>
      </c>
      <c r="AG299" s="1003">
        <f>IFERROR(INDEX(Produccion_Lecheria_Cuentas[],MATCH(Producción_Lecheria[[#This Row],[Cuenta Contable]],Produccion_Lecheria_Cuentas[Cuenta Contable],0),5),0)</f>
        <v>0</v>
      </c>
      <c r="AH299" s="1007" t="str">
        <f>IF(Producción_Lecheria[[#This Row],[Cuenta Contable]]=Configuración!$AC$9,"Si","No")</f>
        <v>No</v>
      </c>
      <c r="AI299" s="1005" t="str">
        <f>IFERROR(INDEX(Tabla9[],MATCH(Producción_Lecheria[[#This Row],[Movimiento]],Tabla9[Movimientos],0),2),0)</f>
        <v>Si</v>
      </c>
      <c r="AJ299" s="1006" t="str">
        <f>IFERROR(INDEX(Tabla9[],MATCH(Producción_Lecheria[[#This Row],[Movimiento]],Tabla9[Movimientos],0),3),0)</f>
        <v>(-)</v>
      </c>
      <c r="AK299" s="1000">
        <f>IF(Producción_Lecheria[[#This Row],[Fecha Económico]]=0,0,MONTH(Producción_Lecheria[[#This Row],[Fecha Económico]]))</f>
        <v>7</v>
      </c>
      <c r="AL299" s="1000">
        <f>IF(Producción_Lecheria[[#This Row],[Fecha Económico]]=0,0,YEAR(Producción_Lecheria[[#This Row],[Fecha Económico]]))</f>
        <v>2018</v>
      </c>
      <c r="AM299" s="1007">
        <f>SUMPRODUCT((Producción_Lecheria[[#This Row],[Mes Económico]]=Tipo_Cambio[Mes])*(Producción_Lecheria[[#This Row],[Año Económico]]=Tipo_Cambio[Año])*(Tipo_Cambio[$/U$S]))</f>
        <v>22</v>
      </c>
      <c r="AN299" s="1007">
        <f>SUMPRODUCT((Producción_Lecheria[[#This Row],[Mes Económico]]=Tipo_Cambio[Mes])*(Producción_Lecheria[[#This Row],[Año Económico]]=Tipo_Cambio[Año])*(Tipo_Cambio[Actualización]))</f>
        <v>1</v>
      </c>
      <c r="AO299" s="1000">
        <f>IF(ISNUMBER(Producción_Lecheria[[#This Row],[Fecha Financiero]])=TRUE,MONTH(Producción_Lecheria[[#This Row],[Fecha Financiero]]),0)</f>
        <v>0</v>
      </c>
      <c r="AP299" s="1000">
        <f>IF(ISNUMBER(Producción_Lecheria[[#This Row],[Fecha Financiero]])=TRUE,YEAR(Producción_Lecheria[[#This Row],[Fecha Financiero]]),0)</f>
        <v>0</v>
      </c>
      <c r="AQ299" s="1007">
        <f>SUMPRODUCT((Producción_Lecheria[[#This Row],[Mes Financiero]]=Tipo_Cambio[Mes])*(Producción_Lecheria[[#This Row],[Año Financiero]]=Tipo_Cambio[Año])*(Tipo_Cambio[$/U$S]))</f>
        <v>0</v>
      </c>
      <c r="AR299" s="1007">
        <f>SUMPRODUCT((Producción_Lecheria[[#This Row],[Mes Financiero]]=Tipo_Cambio[Mes])*(Producción_Lecheria[[#This Row],[Año Financiero]]=Tipo_Cambio[Año])*(Tipo_Cambio[Actualización]))</f>
        <v>0</v>
      </c>
      <c r="AS299" s="1027">
        <f>SUMPRODUCT((Producción_Lecheria[[#This Row],[Centro de Costo]]=Tabla1924[Centro de Costo])*(Tabla19[Superficie]))</f>
        <v>2356</v>
      </c>
      <c r="AT299" s="1004">
        <f>IFERROR(Producción_Lecheria[[#This Row],[Económico $Corrientes]]/Producción_Lecheria[[#This Row],[Superficie]],0)</f>
        <v>0</v>
      </c>
      <c r="AU299" s="1004">
        <f>IFERROR(Producción_Lecheria[[#This Row],[Económico $Constantes]]/Producción_Lecheria[[#This Row],[Superficie]],0)</f>
        <v>0</v>
      </c>
      <c r="AV299" s="1004">
        <f>IFERROR(Producción_Lecheria[[#This Row],[Económico U$S Dólares]]/Producción_Lecheria[[#This Row],[Superficie]],0)</f>
        <v>0</v>
      </c>
      <c r="AW299" s="1002" t="str">
        <f>IF(Económico!$F$4=0,0,Producción_Lecheria[Centro de Costo])</f>
        <v>Campo 1</v>
      </c>
    </row>
    <row r="300" spans="1:49" x14ac:dyDescent="0.25">
      <c r="A300" s="86"/>
      <c r="B300" s="1136"/>
      <c r="D300" s="548">
        <f>DATE(IF(MONTH(D299)=1,YEAR(D299+1),YEAR(D299)),MONTH(D299)+1,1)</f>
        <v>43313</v>
      </c>
      <c r="E300" s="493"/>
      <c r="F300" s="479" t="str">
        <f t="shared" si="28"/>
        <v>2018-2019</v>
      </c>
      <c r="G300" s="576" t="str">
        <f t="shared" si="29"/>
        <v>Gerenciamiento</v>
      </c>
      <c r="H300" s="481" t="s">
        <v>2</v>
      </c>
      <c r="I300" s="491"/>
      <c r="J300" s="549"/>
      <c r="K300" s="484"/>
      <c r="L30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0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00" s="520"/>
      <c r="O30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00" s="563"/>
      <c r="Q300" s="491"/>
      <c r="R300" s="875">
        <f>IF(ISNUMBER(Producción_Lecheria[[#This Row],[Cabezas]])=TRUE,Producción_Lecheria[[#This Row],[Cabezas]]*Producción_Lecheria[[#This Row],[Cantidad]],Producción_Lecheria[[#This Row],[Cantidad]])</f>
        <v>0</v>
      </c>
      <c r="S300" s="491"/>
      <c r="T300" s="552"/>
      <c r="U300" s="553"/>
      <c r="V30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00" s="977">
        <f>IFERROR(Producción_Lecheria[[#This Row],[Económico $Corrientes]]/Producción_Lecheria[[#This Row],[Indexación Económico]],0)</f>
        <v>0</v>
      </c>
      <c r="X30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0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00" s="977">
        <f>IFERROR(Producción_Lecheria[[#This Row],[Financiero $Corrientes]]/Producción_Lecheria[[#This Row],[Indexación Financiero]],0)</f>
        <v>0</v>
      </c>
      <c r="AA30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0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00" s="981">
        <f>IFERROR(Producción_Lecheria[[#This Row],[Intereses $Corrientes]]/Producción_Lecheria[[#This Row],[Indexación Financiero]],0)</f>
        <v>0</v>
      </c>
      <c r="AD30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00" s="991" t="str">
        <f>IFERROR(INDEX(Produccion_Lecheria_Cuentas[],MATCH(Producción_Lecheria[[#This Row],[Cuenta Contable]],Produccion_Lecheria_Cuentas[Cuenta Contable],0),2),0)</f>
        <v>Egreso</v>
      </c>
      <c r="AF300" s="992">
        <f>IF(Producción_Lecheria[[#This Row],[Mov. Stock]]="(+)",Producción_Lecheria[[#This Row],[Cabezas]],IF(Producción_Lecheria[[#This Row],[Mov. Stock]]="(-)",-Producción_Lecheria[[#This Row],[Cabezas]],0))</f>
        <v>0</v>
      </c>
      <c r="AG300" s="993">
        <f>IFERROR(INDEX(Produccion_Lecheria_Cuentas[],MATCH(Producción_Lecheria[[#This Row],[Cuenta Contable]],Produccion_Lecheria_Cuentas[Cuenta Contable],0),5),0)</f>
        <v>0</v>
      </c>
      <c r="AH300" s="985" t="str">
        <f>IF(Producción_Lecheria[[#This Row],[Cuenta Contable]]=Configuración!$AC$9,"Si","No")</f>
        <v>No</v>
      </c>
      <c r="AI300" s="983" t="str">
        <f>IFERROR(INDEX(Tabla9[],MATCH(Producción_Lecheria[[#This Row],[Movimiento]],Tabla9[Movimientos],0),2),0)</f>
        <v>Si</v>
      </c>
      <c r="AJ300" s="984" t="str">
        <f>IFERROR(INDEX(Tabla9[],MATCH(Producción_Lecheria[[#This Row],[Movimiento]],Tabla9[Movimientos],0),3),0)</f>
        <v>(-)</v>
      </c>
      <c r="AK300" s="986">
        <f>IF(Producción_Lecheria[[#This Row],[Fecha Económico]]=0,0,MONTH(Producción_Lecheria[[#This Row],[Fecha Económico]]))</f>
        <v>8</v>
      </c>
      <c r="AL300" s="986">
        <f>IF(Producción_Lecheria[[#This Row],[Fecha Económico]]=0,0,YEAR(Producción_Lecheria[[#This Row],[Fecha Económico]]))</f>
        <v>2018</v>
      </c>
      <c r="AM300" s="987">
        <f>SUMPRODUCT((Producción_Lecheria[[#This Row],[Mes Económico]]=Tipo_Cambio[Mes])*(Producción_Lecheria[[#This Row],[Año Económico]]=Tipo_Cambio[Año])*(Tipo_Cambio[$/U$S]))</f>
        <v>22.22</v>
      </c>
      <c r="AN300" s="987">
        <f>SUMPRODUCT((Producción_Lecheria[[#This Row],[Mes Económico]]=Tipo_Cambio[Mes])*(Producción_Lecheria[[#This Row],[Año Económico]]=Tipo_Cambio[Año])*(Tipo_Cambio[Actualización]))</f>
        <v>1.02</v>
      </c>
      <c r="AO300" s="986">
        <f>IF(ISNUMBER(Producción_Lecheria[[#This Row],[Fecha Financiero]])=TRUE,MONTH(Producción_Lecheria[[#This Row],[Fecha Financiero]]),0)</f>
        <v>0</v>
      </c>
      <c r="AP300" s="986">
        <f>IF(ISNUMBER(Producción_Lecheria[[#This Row],[Fecha Financiero]])=TRUE,YEAR(Producción_Lecheria[[#This Row],[Fecha Financiero]]),0)</f>
        <v>0</v>
      </c>
      <c r="AQ300" s="987">
        <f>SUMPRODUCT((Producción_Lecheria[[#This Row],[Mes Financiero]]=Tipo_Cambio[Mes])*(Producción_Lecheria[[#This Row],[Año Financiero]]=Tipo_Cambio[Año])*(Tipo_Cambio[$/U$S]))</f>
        <v>0</v>
      </c>
      <c r="AR300" s="987">
        <f>SUMPRODUCT((Producción_Lecheria[[#This Row],[Mes Financiero]]=Tipo_Cambio[Mes])*(Producción_Lecheria[[#This Row],[Año Financiero]]=Tipo_Cambio[Año])*(Tipo_Cambio[Actualización]))</f>
        <v>0</v>
      </c>
      <c r="AS300" s="1009">
        <f>SUMPRODUCT((Producción_Lecheria[[#This Row],[Centro de Costo]]=Tabla1924[Centro de Costo])*(Tabla19[Superficie]))</f>
        <v>2356</v>
      </c>
      <c r="AT300" s="1010">
        <f>IFERROR(Producción_Lecheria[[#This Row],[Económico $Corrientes]]/Producción_Lecheria[[#This Row],[Superficie]],0)</f>
        <v>0</v>
      </c>
      <c r="AU300" s="1010">
        <f>IFERROR(Producción_Lecheria[[#This Row],[Económico $Constantes]]/Producción_Lecheria[[#This Row],[Superficie]],0)</f>
        <v>0</v>
      </c>
      <c r="AV300" s="1010">
        <f>IFERROR(Producción_Lecheria[[#This Row],[Económico U$S Dólares]]/Producción_Lecheria[[#This Row],[Superficie]],0)</f>
        <v>0</v>
      </c>
      <c r="AW300" s="992" t="str">
        <f>IF(Económico!$F$4=0,0,Producción_Lecheria[Centro de Costo])</f>
        <v>Campo 1</v>
      </c>
    </row>
    <row r="301" spans="1:49" x14ac:dyDescent="0.25">
      <c r="A301" s="86"/>
      <c r="B301" s="1136"/>
      <c r="D301" s="548">
        <f t="shared" ref="D301:D310" si="30">DATE(IF(MONTH(D300)=1,YEAR(D300+1),YEAR(D300)),MONTH(D300)+1,1)</f>
        <v>43344</v>
      </c>
      <c r="E301" s="493"/>
      <c r="F301" s="479" t="str">
        <f t="shared" si="28"/>
        <v>2018-2019</v>
      </c>
      <c r="G301" s="576" t="str">
        <f t="shared" si="29"/>
        <v>Gerenciamiento</v>
      </c>
      <c r="H301" s="481" t="s">
        <v>2</v>
      </c>
      <c r="I301" s="491"/>
      <c r="J301" s="549"/>
      <c r="K301" s="484"/>
      <c r="L30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0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01" s="520"/>
      <c r="O30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01" s="563"/>
      <c r="Q301" s="491"/>
      <c r="R301" s="875">
        <f>IF(ISNUMBER(Producción_Lecheria[[#This Row],[Cabezas]])=TRUE,Producción_Lecheria[[#This Row],[Cabezas]]*Producción_Lecheria[[#This Row],[Cantidad]],Producción_Lecheria[[#This Row],[Cantidad]])</f>
        <v>0</v>
      </c>
      <c r="S301" s="491"/>
      <c r="T301" s="552"/>
      <c r="U301" s="553"/>
      <c r="V30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01" s="977">
        <f>IFERROR(Producción_Lecheria[[#This Row],[Económico $Corrientes]]/Producción_Lecheria[[#This Row],[Indexación Económico]],0)</f>
        <v>0</v>
      </c>
      <c r="X30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0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01" s="977">
        <f>IFERROR(Producción_Lecheria[[#This Row],[Financiero $Corrientes]]/Producción_Lecheria[[#This Row],[Indexación Financiero]],0)</f>
        <v>0</v>
      </c>
      <c r="AA30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0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01" s="981">
        <f>IFERROR(Producción_Lecheria[[#This Row],[Intereses $Corrientes]]/Producción_Lecheria[[#This Row],[Indexación Financiero]],0)</f>
        <v>0</v>
      </c>
      <c r="AD30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01" s="991" t="str">
        <f>IFERROR(INDEX(Produccion_Lecheria_Cuentas[],MATCH(Producción_Lecheria[[#This Row],[Cuenta Contable]],Produccion_Lecheria_Cuentas[Cuenta Contable],0),2),0)</f>
        <v>Egreso</v>
      </c>
      <c r="AF301" s="992">
        <f>IF(Producción_Lecheria[[#This Row],[Mov. Stock]]="(+)",Producción_Lecheria[[#This Row],[Cabezas]],IF(Producción_Lecheria[[#This Row],[Mov. Stock]]="(-)",-Producción_Lecheria[[#This Row],[Cabezas]],0))</f>
        <v>0</v>
      </c>
      <c r="AG301" s="993">
        <f>IFERROR(INDEX(Produccion_Lecheria_Cuentas[],MATCH(Producción_Lecheria[[#This Row],[Cuenta Contable]],Produccion_Lecheria_Cuentas[Cuenta Contable],0),5),0)</f>
        <v>0</v>
      </c>
      <c r="AH301" s="985" t="str">
        <f>IF(Producción_Lecheria[[#This Row],[Cuenta Contable]]=Configuración!$AC$9,"Si","No")</f>
        <v>No</v>
      </c>
      <c r="AI301" s="983" t="str">
        <f>IFERROR(INDEX(Tabla9[],MATCH(Producción_Lecheria[[#This Row],[Movimiento]],Tabla9[Movimientos],0),2),0)</f>
        <v>Si</v>
      </c>
      <c r="AJ301" s="984" t="str">
        <f>IFERROR(INDEX(Tabla9[],MATCH(Producción_Lecheria[[#This Row],[Movimiento]],Tabla9[Movimientos],0),3),0)</f>
        <v>(-)</v>
      </c>
      <c r="AK301" s="986">
        <f>IF(Producción_Lecheria[[#This Row],[Fecha Económico]]=0,0,MONTH(Producción_Lecheria[[#This Row],[Fecha Económico]]))</f>
        <v>9</v>
      </c>
      <c r="AL301" s="986">
        <f>IF(Producción_Lecheria[[#This Row],[Fecha Económico]]=0,0,YEAR(Producción_Lecheria[[#This Row],[Fecha Económico]]))</f>
        <v>2018</v>
      </c>
      <c r="AM301" s="987">
        <f>SUMPRODUCT((Producción_Lecheria[[#This Row],[Mes Económico]]=Tipo_Cambio[Mes])*(Producción_Lecheria[[#This Row],[Año Económico]]=Tipo_Cambio[Año])*(Tipo_Cambio[$/U$S]))</f>
        <v>22.4422</v>
      </c>
      <c r="AN301" s="987">
        <f>SUMPRODUCT((Producción_Lecheria[[#This Row],[Mes Económico]]=Tipo_Cambio[Mes])*(Producción_Lecheria[[#This Row],[Año Económico]]=Tipo_Cambio[Año])*(Tipo_Cambio[Actualización]))</f>
        <v>1.0404</v>
      </c>
      <c r="AO301" s="986">
        <f>IF(ISNUMBER(Producción_Lecheria[[#This Row],[Fecha Financiero]])=TRUE,MONTH(Producción_Lecheria[[#This Row],[Fecha Financiero]]),0)</f>
        <v>0</v>
      </c>
      <c r="AP301" s="986">
        <f>IF(ISNUMBER(Producción_Lecheria[[#This Row],[Fecha Financiero]])=TRUE,YEAR(Producción_Lecheria[[#This Row],[Fecha Financiero]]),0)</f>
        <v>0</v>
      </c>
      <c r="AQ301" s="987">
        <f>SUMPRODUCT((Producción_Lecheria[[#This Row],[Mes Financiero]]=Tipo_Cambio[Mes])*(Producción_Lecheria[[#This Row],[Año Financiero]]=Tipo_Cambio[Año])*(Tipo_Cambio[$/U$S]))</f>
        <v>0</v>
      </c>
      <c r="AR301" s="987">
        <f>SUMPRODUCT((Producción_Lecheria[[#This Row],[Mes Financiero]]=Tipo_Cambio[Mes])*(Producción_Lecheria[[#This Row],[Año Financiero]]=Tipo_Cambio[Año])*(Tipo_Cambio[Actualización]))</f>
        <v>0</v>
      </c>
      <c r="AS301" s="1009">
        <f>SUMPRODUCT((Producción_Lecheria[[#This Row],[Centro de Costo]]=Tabla1924[Centro de Costo])*(Tabla19[Superficie]))</f>
        <v>2356</v>
      </c>
      <c r="AT301" s="1010">
        <f>IFERROR(Producción_Lecheria[[#This Row],[Económico $Corrientes]]/Producción_Lecheria[[#This Row],[Superficie]],0)</f>
        <v>0</v>
      </c>
      <c r="AU301" s="1010">
        <f>IFERROR(Producción_Lecheria[[#This Row],[Económico $Constantes]]/Producción_Lecheria[[#This Row],[Superficie]],0)</f>
        <v>0</v>
      </c>
      <c r="AV301" s="1010">
        <f>IFERROR(Producción_Lecheria[[#This Row],[Económico U$S Dólares]]/Producción_Lecheria[[#This Row],[Superficie]],0)</f>
        <v>0</v>
      </c>
      <c r="AW301" s="992" t="str">
        <f>IF(Económico!$F$4=0,0,Producción_Lecheria[Centro de Costo])</f>
        <v>Campo 1</v>
      </c>
    </row>
    <row r="302" spans="1:49" x14ac:dyDescent="0.25">
      <c r="A302" s="86"/>
      <c r="D302" s="548">
        <f t="shared" si="30"/>
        <v>43374</v>
      </c>
      <c r="E302" s="493"/>
      <c r="F302" s="479" t="str">
        <f t="shared" si="28"/>
        <v>2018-2019</v>
      </c>
      <c r="G302" s="576" t="str">
        <f t="shared" si="29"/>
        <v>Gerenciamiento</v>
      </c>
      <c r="H302" s="481" t="s">
        <v>2</v>
      </c>
      <c r="I302" s="491"/>
      <c r="J302" s="549"/>
      <c r="K302" s="484"/>
      <c r="L30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0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02" s="520"/>
      <c r="O30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02" s="563"/>
      <c r="Q302" s="491"/>
      <c r="R302" s="875">
        <f>IF(ISNUMBER(Producción_Lecheria[[#This Row],[Cabezas]])=TRUE,Producción_Lecheria[[#This Row],[Cabezas]]*Producción_Lecheria[[#This Row],[Cantidad]],Producción_Lecheria[[#This Row],[Cantidad]])</f>
        <v>0</v>
      </c>
      <c r="S302" s="491"/>
      <c r="T302" s="552"/>
      <c r="U302" s="553"/>
      <c r="V30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02" s="977">
        <f>IFERROR(Producción_Lecheria[[#This Row],[Económico $Corrientes]]/Producción_Lecheria[[#This Row],[Indexación Económico]],0)</f>
        <v>0</v>
      </c>
      <c r="X30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0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02" s="977">
        <f>IFERROR(Producción_Lecheria[[#This Row],[Financiero $Corrientes]]/Producción_Lecheria[[#This Row],[Indexación Financiero]],0)</f>
        <v>0</v>
      </c>
      <c r="AA30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0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02" s="981">
        <f>IFERROR(Producción_Lecheria[[#This Row],[Intereses $Corrientes]]/Producción_Lecheria[[#This Row],[Indexación Financiero]],0)</f>
        <v>0</v>
      </c>
      <c r="AD30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02" s="991" t="str">
        <f>IFERROR(INDEX(Produccion_Lecheria_Cuentas[],MATCH(Producción_Lecheria[[#This Row],[Cuenta Contable]],Produccion_Lecheria_Cuentas[Cuenta Contable],0),2),0)</f>
        <v>Egreso</v>
      </c>
      <c r="AF302" s="992">
        <f>IF(Producción_Lecheria[[#This Row],[Mov. Stock]]="(+)",Producción_Lecheria[[#This Row],[Cabezas]],IF(Producción_Lecheria[[#This Row],[Mov. Stock]]="(-)",-Producción_Lecheria[[#This Row],[Cabezas]],0))</f>
        <v>0</v>
      </c>
      <c r="AG302" s="993">
        <f>IFERROR(INDEX(Produccion_Lecheria_Cuentas[],MATCH(Producción_Lecheria[[#This Row],[Cuenta Contable]],Produccion_Lecheria_Cuentas[Cuenta Contable],0),5),0)</f>
        <v>0</v>
      </c>
      <c r="AH302" s="985" t="str">
        <f>IF(Producción_Lecheria[[#This Row],[Cuenta Contable]]=Configuración!$AC$9,"Si","No")</f>
        <v>No</v>
      </c>
      <c r="AI302" s="983" t="str">
        <f>IFERROR(INDEX(Tabla9[],MATCH(Producción_Lecheria[[#This Row],[Movimiento]],Tabla9[Movimientos],0),2),0)</f>
        <v>Si</v>
      </c>
      <c r="AJ302" s="984" t="str">
        <f>IFERROR(INDEX(Tabla9[],MATCH(Producción_Lecheria[[#This Row],[Movimiento]],Tabla9[Movimientos],0),3),0)</f>
        <v>(-)</v>
      </c>
      <c r="AK302" s="986">
        <f>IF(Producción_Lecheria[[#This Row],[Fecha Económico]]=0,0,MONTH(Producción_Lecheria[[#This Row],[Fecha Económico]]))</f>
        <v>10</v>
      </c>
      <c r="AL302" s="986">
        <f>IF(Producción_Lecheria[[#This Row],[Fecha Económico]]=0,0,YEAR(Producción_Lecheria[[#This Row],[Fecha Económico]]))</f>
        <v>2018</v>
      </c>
      <c r="AM302" s="987">
        <f>SUMPRODUCT((Producción_Lecheria[[#This Row],[Mes Económico]]=Tipo_Cambio[Mes])*(Producción_Lecheria[[#This Row],[Año Económico]]=Tipo_Cambio[Año])*(Tipo_Cambio[$/U$S]))</f>
        <v>22.666622</v>
      </c>
      <c r="AN302" s="987">
        <f>SUMPRODUCT((Producción_Lecheria[[#This Row],[Mes Económico]]=Tipo_Cambio[Mes])*(Producción_Lecheria[[#This Row],[Año Económico]]=Tipo_Cambio[Año])*(Tipo_Cambio[Actualización]))</f>
        <v>1.0612079999999999</v>
      </c>
      <c r="AO302" s="986">
        <f>IF(ISNUMBER(Producción_Lecheria[[#This Row],[Fecha Financiero]])=TRUE,MONTH(Producción_Lecheria[[#This Row],[Fecha Financiero]]),0)</f>
        <v>0</v>
      </c>
      <c r="AP302" s="986">
        <f>IF(ISNUMBER(Producción_Lecheria[[#This Row],[Fecha Financiero]])=TRUE,YEAR(Producción_Lecheria[[#This Row],[Fecha Financiero]]),0)</f>
        <v>0</v>
      </c>
      <c r="AQ302" s="987">
        <f>SUMPRODUCT((Producción_Lecheria[[#This Row],[Mes Financiero]]=Tipo_Cambio[Mes])*(Producción_Lecheria[[#This Row],[Año Financiero]]=Tipo_Cambio[Año])*(Tipo_Cambio[$/U$S]))</f>
        <v>0</v>
      </c>
      <c r="AR302" s="987">
        <f>SUMPRODUCT((Producción_Lecheria[[#This Row],[Mes Financiero]]=Tipo_Cambio[Mes])*(Producción_Lecheria[[#This Row],[Año Financiero]]=Tipo_Cambio[Año])*(Tipo_Cambio[Actualización]))</f>
        <v>0</v>
      </c>
      <c r="AS302" s="1009">
        <f>SUMPRODUCT((Producción_Lecheria[[#This Row],[Centro de Costo]]=Tabla1924[Centro de Costo])*(Tabla19[Superficie]))</f>
        <v>2356</v>
      </c>
      <c r="AT302" s="1010">
        <f>IFERROR(Producción_Lecheria[[#This Row],[Económico $Corrientes]]/Producción_Lecheria[[#This Row],[Superficie]],0)</f>
        <v>0</v>
      </c>
      <c r="AU302" s="1010">
        <f>IFERROR(Producción_Lecheria[[#This Row],[Económico $Constantes]]/Producción_Lecheria[[#This Row],[Superficie]],0)</f>
        <v>0</v>
      </c>
      <c r="AV302" s="1010">
        <f>IFERROR(Producción_Lecheria[[#This Row],[Económico U$S Dólares]]/Producción_Lecheria[[#This Row],[Superficie]],0)</f>
        <v>0</v>
      </c>
      <c r="AW302" s="992" t="str">
        <f>IF(Económico!$F$4=0,0,Producción_Lecheria[Centro de Costo])</f>
        <v>Campo 1</v>
      </c>
    </row>
    <row r="303" spans="1:49" x14ac:dyDescent="0.25">
      <c r="A303" s="86"/>
      <c r="D303" s="548">
        <f t="shared" si="30"/>
        <v>43405</v>
      </c>
      <c r="E303" s="493"/>
      <c r="F303" s="479" t="str">
        <f t="shared" si="28"/>
        <v>2018-2019</v>
      </c>
      <c r="G303" s="576" t="str">
        <f t="shared" si="29"/>
        <v>Gerenciamiento</v>
      </c>
      <c r="H303" s="481" t="s">
        <v>2</v>
      </c>
      <c r="I303" s="491"/>
      <c r="J303" s="549"/>
      <c r="K303" s="484"/>
      <c r="L30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0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03" s="520"/>
      <c r="O30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03" s="563"/>
      <c r="Q303" s="491"/>
      <c r="R303" s="875">
        <f>IF(ISNUMBER(Producción_Lecheria[[#This Row],[Cabezas]])=TRUE,Producción_Lecheria[[#This Row],[Cabezas]]*Producción_Lecheria[[#This Row],[Cantidad]],Producción_Lecheria[[#This Row],[Cantidad]])</f>
        <v>0</v>
      </c>
      <c r="S303" s="491"/>
      <c r="T303" s="552"/>
      <c r="U303" s="553"/>
      <c r="V30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03" s="977">
        <f>IFERROR(Producción_Lecheria[[#This Row],[Económico $Corrientes]]/Producción_Lecheria[[#This Row],[Indexación Económico]],0)</f>
        <v>0</v>
      </c>
      <c r="X30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0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03" s="977">
        <f>IFERROR(Producción_Lecheria[[#This Row],[Financiero $Corrientes]]/Producción_Lecheria[[#This Row],[Indexación Financiero]],0)</f>
        <v>0</v>
      </c>
      <c r="AA30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0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03" s="981">
        <f>IFERROR(Producción_Lecheria[[#This Row],[Intereses $Corrientes]]/Producción_Lecheria[[#This Row],[Indexación Financiero]],0)</f>
        <v>0</v>
      </c>
      <c r="AD303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03" s="991" t="str">
        <f>IFERROR(INDEX(Produccion_Lecheria_Cuentas[],MATCH(Producción_Lecheria[[#This Row],[Cuenta Contable]],Produccion_Lecheria_Cuentas[Cuenta Contable],0),2),0)</f>
        <v>Egreso</v>
      </c>
      <c r="AF303" s="992">
        <f>IF(Producción_Lecheria[[#This Row],[Mov. Stock]]="(+)",Producción_Lecheria[[#This Row],[Cabezas]],IF(Producción_Lecheria[[#This Row],[Mov. Stock]]="(-)",-Producción_Lecheria[[#This Row],[Cabezas]],0))</f>
        <v>0</v>
      </c>
      <c r="AG303" s="993">
        <f>IFERROR(INDEX(Produccion_Lecheria_Cuentas[],MATCH(Producción_Lecheria[[#This Row],[Cuenta Contable]],Produccion_Lecheria_Cuentas[Cuenta Contable],0),5),0)</f>
        <v>0</v>
      </c>
      <c r="AH303" s="985" t="str">
        <f>IF(Producción_Lecheria[[#This Row],[Cuenta Contable]]=Configuración!$AC$9,"Si","No")</f>
        <v>No</v>
      </c>
      <c r="AI303" s="983" t="str">
        <f>IFERROR(INDEX(Tabla9[],MATCH(Producción_Lecheria[[#This Row],[Movimiento]],Tabla9[Movimientos],0),2),0)</f>
        <v>Si</v>
      </c>
      <c r="AJ303" s="984" t="str">
        <f>IFERROR(INDEX(Tabla9[],MATCH(Producción_Lecheria[[#This Row],[Movimiento]],Tabla9[Movimientos],0),3),0)</f>
        <v>(-)</v>
      </c>
      <c r="AK303" s="986">
        <f>IF(Producción_Lecheria[[#This Row],[Fecha Económico]]=0,0,MONTH(Producción_Lecheria[[#This Row],[Fecha Económico]]))</f>
        <v>11</v>
      </c>
      <c r="AL303" s="986">
        <f>IF(Producción_Lecheria[[#This Row],[Fecha Económico]]=0,0,YEAR(Producción_Lecheria[[#This Row],[Fecha Económico]]))</f>
        <v>2018</v>
      </c>
      <c r="AM303" s="987">
        <f>SUMPRODUCT((Producción_Lecheria[[#This Row],[Mes Económico]]=Tipo_Cambio[Mes])*(Producción_Lecheria[[#This Row],[Año Económico]]=Tipo_Cambio[Año])*(Tipo_Cambio[$/U$S]))</f>
        <v>22.893288219999999</v>
      </c>
      <c r="AN303" s="987">
        <f>SUMPRODUCT((Producción_Lecheria[[#This Row],[Mes Económico]]=Tipo_Cambio[Mes])*(Producción_Lecheria[[#This Row],[Año Económico]]=Tipo_Cambio[Año])*(Tipo_Cambio[Actualización]))</f>
        <v>1.08243216</v>
      </c>
      <c r="AO303" s="986">
        <f>IF(ISNUMBER(Producción_Lecheria[[#This Row],[Fecha Financiero]])=TRUE,MONTH(Producción_Lecheria[[#This Row],[Fecha Financiero]]),0)</f>
        <v>0</v>
      </c>
      <c r="AP303" s="986">
        <f>IF(ISNUMBER(Producción_Lecheria[[#This Row],[Fecha Financiero]])=TRUE,YEAR(Producción_Lecheria[[#This Row],[Fecha Financiero]]),0)</f>
        <v>0</v>
      </c>
      <c r="AQ303" s="987">
        <f>SUMPRODUCT((Producción_Lecheria[[#This Row],[Mes Financiero]]=Tipo_Cambio[Mes])*(Producción_Lecheria[[#This Row],[Año Financiero]]=Tipo_Cambio[Año])*(Tipo_Cambio[$/U$S]))</f>
        <v>0</v>
      </c>
      <c r="AR303" s="987">
        <f>SUMPRODUCT((Producción_Lecheria[[#This Row],[Mes Financiero]]=Tipo_Cambio[Mes])*(Producción_Lecheria[[#This Row],[Año Financiero]]=Tipo_Cambio[Año])*(Tipo_Cambio[Actualización]))</f>
        <v>0</v>
      </c>
      <c r="AS303" s="1009">
        <f>SUMPRODUCT((Producción_Lecheria[[#This Row],[Centro de Costo]]=Tabla1924[Centro de Costo])*(Tabla19[Superficie]))</f>
        <v>2356</v>
      </c>
      <c r="AT303" s="1010">
        <f>IFERROR(Producción_Lecheria[[#This Row],[Económico $Corrientes]]/Producción_Lecheria[[#This Row],[Superficie]],0)</f>
        <v>0</v>
      </c>
      <c r="AU303" s="1010">
        <f>IFERROR(Producción_Lecheria[[#This Row],[Económico $Constantes]]/Producción_Lecheria[[#This Row],[Superficie]],0)</f>
        <v>0</v>
      </c>
      <c r="AV303" s="1010">
        <f>IFERROR(Producción_Lecheria[[#This Row],[Económico U$S Dólares]]/Producción_Lecheria[[#This Row],[Superficie]],0)</f>
        <v>0</v>
      </c>
      <c r="AW303" s="992" t="str">
        <f>IF(Económico!$F$4=0,0,Producción_Lecheria[Centro de Costo])</f>
        <v>Campo 1</v>
      </c>
    </row>
    <row r="304" spans="1:49" x14ac:dyDescent="0.25">
      <c r="A304" s="86"/>
      <c r="D304" s="548">
        <f t="shared" si="30"/>
        <v>43435</v>
      </c>
      <c r="E304" s="493"/>
      <c r="F304" s="479" t="str">
        <f t="shared" si="28"/>
        <v>2018-2019</v>
      </c>
      <c r="G304" s="576" t="str">
        <f t="shared" si="29"/>
        <v>Gerenciamiento</v>
      </c>
      <c r="H304" s="481" t="s">
        <v>2</v>
      </c>
      <c r="I304" s="491"/>
      <c r="J304" s="549"/>
      <c r="K304" s="484"/>
      <c r="L30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0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04" s="520"/>
      <c r="O30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04" s="563"/>
      <c r="Q304" s="491"/>
      <c r="R304" s="875">
        <f>IF(ISNUMBER(Producción_Lecheria[[#This Row],[Cabezas]])=TRUE,Producción_Lecheria[[#This Row],[Cabezas]]*Producción_Lecheria[[#This Row],[Cantidad]],Producción_Lecheria[[#This Row],[Cantidad]])</f>
        <v>0</v>
      </c>
      <c r="S304" s="491"/>
      <c r="T304" s="552"/>
      <c r="U304" s="553"/>
      <c r="V30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04" s="977">
        <f>IFERROR(Producción_Lecheria[[#This Row],[Económico $Corrientes]]/Producción_Lecheria[[#This Row],[Indexación Económico]],0)</f>
        <v>0</v>
      </c>
      <c r="X30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0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04" s="977">
        <f>IFERROR(Producción_Lecheria[[#This Row],[Financiero $Corrientes]]/Producción_Lecheria[[#This Row],[Indexación Financiero]],0)</f>
        <v>0</v>
      </c>
      <c r="AA30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0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04" s="981">
        <f>IFERROR(Producción_Lecheria[[#This Row],[Intereses $Corrientes]]/Producción_Lecheria[[#This Row],[Indexación Financiero]],0)</f>
        <v>0</v>
      </c>
      <c r="AD304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04" s="991" t="str">
        <f>IFERROR(INDEX(Produccion_Lecheria_Cuentas[],MATCH(Producción_Lecheria[[#This Row],[Cuenta Contable]],Produccion_Lecheria_Cuentas[Cuenta Contable],0),2),0)</f>
        <v>Egreso</v>
      </c>
      <c r="AF304" s="992">
        <f>IF(Producción_Lecheria[[#This Row],[Mov. Stock]]="(+)",Producción_Lecheria[[#This Row],[Cabezas]],IF(Producción_Lecheria[[#This Row],[Mov. Stock]]="(-)",-Producción_Lecheria[[#This Row],[Cabezas]],0))</f>
        <v>0</v>
      </c>
      <c r="AG304" s="993">
        <f>IFERROR(INDEX(Produccion_Lecheria_Cuentas[],MATCH(Producción_Lecheria[[#This Row],[Cuenta Contable]],Produccion_Lecheria_Cuentas[Cuenta Contable],0),5),0)</f>
        <v>0</v>
      </c>
      <c r="AH304" s="985" t="str">
        <f>IF(Producción_Lecheria[[#This Row],[Cuenta Contable]]=Configuración!$AC$9,"Si","No")</f>
        <v>No</v>
      </c>
      <c r="AI304" s="983" t="str">
        <f>IFERROR(INDEX(Tabla9[],MATCH(Producción_Lecheria[[#This Row],[Movimiento]],Tabla9[Movimientos],0),2),0)</f>
        <v>Si</v>
      </c>
      <c r="AJ304" s="984" t="str">
        <f>IFERROR(INDEX(Tabla9[],MATCH(Producción_Lecheria[[#This Row],[Movimiento]],Tabla9[Movimientos],0),3),0)</f>
        <v>(-)</v>
      </c>
      <c r="AK304" s="986">
        <f>IF(Producción_Lecheria[[#This Row],[Fecha Económico]]=0,0,MONTH(Producción_Lecheria[[#This Row],[Fecha Económico]]))</f>
        <v>12</v>
      </c>
      <c r="AL304" s="986">
        <f>IF(Producción_Lecheria[[#This Row],[Fecha Económico]]=0,0,YEAR(Producción_Lecheria[[#This Row],[Fecha Económico]]))</f>
        <v>2018</v>
      </c>
      <c r="AM304" s="987">
        <f>SUMPRODUCT((Producción_Lecheria[[#This Row],[Mes Económico]]=Tipo_Cambio[Mes])*(Producción_Lecheria[[#This Row],[Año Económico]]=Tipo_Cambio[Año])*(Tipo_Cambio[$/U$S]))</f>
        <v>23.122221102199997</v>
      </c>
      <c r="AN304" s="987">
        <f>SUMPRODUCT((Producción_Lecheria[[#This Row],[Mes Económico]]=Tipo_Cambio[Mes])*(Producción_Lecheria[[#This Row],[Año Económico]]=Tipo_Cambio[Año])*(Tipo_Cambio[Actualización]))</f>
        <v>1.1040808032</v>
      </c>
      <c r="AO304" s="986">
        <f>IF(ISNUMBER(Producción_Lecheria[[#This Row],[Fecha Financiero]])=TRUE,MONTH(Producción_Lecheria[[#This Row],[Fecha Financiero]]),0)</f>
        <v>0</v>
      </c>
      <c r="AP304" s="986">
        <f>IF(ISNUMBER(Producción_Lecheria[[#This Row],[Fecha Financiero]])=TRUE,YEAR(Producción_Lecheria[[#This Row],[Fecha Financiero]]),0)</f>
        <v>0</v>
      </c>
      <c r="AQ304" s="987">
        <f>SUMPRODUCT((Producción_Lecheria[[#This Row],[Mes Financiero]]=Tipo_Cambio[Mes])*(Producción_Lecheria[[#This Row],[Año Financiero]]=Tipo_Cambio[Año])*(Tipo_Cambio[$/U$S]))</f>
        <v>0</v>
      </c>
      <c r="AR304" s="987">
        <f>SUMPRODUCT((Producción_Lecheria[[#This Row],[Mes Financiero]]=Tipo_Cambio[Mes])*(Producción_Lecheria[[#This Row],[Año Financiero]]=Tipo_Cambio[Año])*(Tipo_Cambio[Actualización]))</f>
        <v>0</v>
      </c>
      <c r="AS304" s="1009">
        <f>SUMPRODUCT((Producción_Lecheria[[#This Row],[Centro de Costo]]=Tabla1924[Centro de Costo])*(Tabla19[Superficie]))</f>
        <v>2356</v>
      </c>
      <c r="AT304" s="1010">
        <f>IFERROR(Producción_Lecheria[[#This Row],[Económico $Corrientes]]/Producción_Lecheria[[#This Row],[Superficie]],0)</f>
        <v>0</v>
      </c>
      <c r="AU304" s="1010">
        <f>IFERROR(Producción_Lecheria[[#This Row],[Económico $Constantes]]/Producción_Lecheria[[#This Row],[Superficie]],0)</f>
        <v>0</v>
      </c>
      <c r="AV304" s="1010">
        <f>IFERROR(Producción_Lecheria[[#This Row],[Económico U$S Dólares]]/Producción_Lecheria[[#This Row],[Superficie]],0)</f>
        <v>0</v>
      </c>
      <c r="AW304" s="992" t="str">
        <f>IF(Económico!$F$4=0,0,Producción_Lecheria[Centro de Costo])</f>
        <v>Campo 1</v>
      </c>
    </row>
    <row r="305" spans="1:49" x14ac:dyDescent="0.25">
      <c r="A305" s="86"/>
      <c r="D305" s="548">
        <f t="shared" si="30"/>
        <v>43466</v>
      </c>
      <c r="E305" s="493"/>
      <c r="F305" s="479" t="str">
        <f t="shared" si="28"/>
        <v>2018-2019</v>
      </c>
      <c r="G305" s="576" t="str">
        <f t="shared" si="29"/>
        <v>Gerenciamiento</v>
      </c>
      <c r="H305" s="481" t="s">
        <v>2</v>
      </c>
      <c r="I305" s="491"/>
      <c r="J305" s="549"/>
      <c r="K305" s="484"/>
      <c r="L30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0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05" s="520"/>
      <c r="O30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05" s="563"/>
      <c r="Q305" s="491"/>
      <c r="R305" s="875">
        <f>IF(ISNUMBER(Producción_Lecheria[[#This Row],[Cabezas]])=TRUE,Producción_Lecheria[[#This Row],[Cabezas]]*Producción_Lecheria[[#This Row],[Cantidad]],Producción_Lecheria[[#This Row],[Cantidad]])</f>
        <v>0</v>
      </c>
      <c r="S305" s="491"/>
      <c r="T305" s="552"/>
      <c r="U305" s="553"/>
      <c r="V30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05" s="977">
        <f>IFERROR(Producción_Lecheria[[#This Row],[Económico $Corrientes]]/Producción_Lecheria[[#This Row],[Indexación Económico]],0)</f>
        <v>0</v>
      </c>
      <c r="X30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0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05" s="977">
        <f>IFERROR(Producción_Lecheria[[#This Row],[Financiero $Corrientes]]/Producción_Lecheria[[#This Row],[Indexación Financiero]],0)</f>
        <v>0</v>
      </c>
      <c r="AA30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0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05" s="981">
        <f>IFERROR(Producción_Lecheria[[#This Row],[Intereses $Corrientes]]/Producción_Lecheria[[#This Row],[Indexación Financiero]],0)</f>
        <v>0</v>
      </c>
      <c r="AD305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05" s="991" t="str">
        <f>IFERROR(INDEX(Produccion_Lecheria_Cuentas[],MATCH(Producción_Lecheria[[#This Row],[Cuenta Contable]],Produccion_Lecheria_Cuentas[Cuenta Contable],0),2),0)</f>
        <v>Egreso</v>
      </c>
      <c r="AF305" s="992">
        <f>IF(Producción_Lecheria[[#This Row],[Mov. Stock]]="(+)",Producción_Lecheria[[#This Row],[Cabezas]],IF(Producción_Lecheria[[#This Row],[Mov. Stock]]="(-)",-Producción_Lecheria[[#This Row],[Cabezas]],0))</f>
        <v>0</v>
      </c>
      <c r="AG305" s="993">
        <f>IFERROR(INDEX(Produccion_Lecheria_Cuentas[],MATCH(Producción_Lecheria[[#This Row],[Cuenta Contable]],Produccion_Lecheria_Cuentas[Cuenta Contable],0),5),0)</f>
        <v>0</v>
      </c>
      <c r="AH305" s="985" t="str">
        <f>IF(Producción_Lecheria[[#This Row],[Cuenta Contable]]=Configuración!$AC$9,"Si","No")</f>
        <v>No</v>
      </c>
      <c r="AI305" s="983" t="str">
        <f>IFERROR(INDEX(Tabla9[],MATCH(Producción_Lecheria[[#This Row],[Movimiento]],Tabla9[Movimientos],0),2),0)</f>
        <v>Si</v>
      </c>
      <c r="AJ305" s="984" t="str">
        <f>IFERROR(INDEX(Tabla9[],MATCH(Producción_Lecheria[[#This Row],[Movimiento]],Tabla9[Movimientos],0),3),0)</f>
        <v>(-)</v>
      </c>
      <c r="AK305" s="986">
        <f>IF(Producción_Lecheria[[#This Row],[Fecha Económico]]=0,0,MONTH(Producción_Lecheria[[#This Row],[Fecha Económico]]))</f>
        <v>1</v>
      </c>
      <c r="AL305" s="986">
        <f>IF(Producción_Lecheria[[#This Row],[Fecha Económico]]=0,0,YEAR(Producción_Lecheria[[#This Row],[Fecha Económico]]))</f>
        <v>2019</v>
      </c>
      <c r="AM305" s="987">
        <f>SUMPRODUCT((Producción_Lecheria[[#This Row],[Mes Económico]]=Tipo_Cambio[Mes])*(Producción_Lecheria[[#This Row],[Año Económico]]=Tipo_Cambio[Año])*(Tipo_Cambio[$/U$S]))</f>
        <v>23.353443313221998</v>
      </c>
      <c r="AN305" s="987">
        <f>SUMPRODUCT((Producción_Lecheria[[#This Row],[Mes Económico]]=Tipo_Cambio[Mes])*(Producción_Lecheria[[#This Row],[Año Económico]]=Tipo_Cambio[Año])*(Tipo_Cambio[Actualización]))</f>
        <v>1.1261624192640001</v>
      </c>
      <c r="AO305" s="986">
        <f>IF(ISNUMBER(Producción_Lecheria[[#This Row],[Fecha Financiero]])=TRUE,MONTH(Producción_Lecheria[[#This Row],[Fecha Financiero]]),0)</f>
        <v>0</v>
      </c>
      <c r="AP305" s="986">
        <f>IF(ISNUMBER(Producción_Lecheria[[#This Row],[Fecha Financiero]])=TRUE,YEAR(Producción_Lecheria[[#This Row],[Fecha Financiero]]),0)</f>
        <v>0</v>
      </c>
      <c r="AQ305" s="987">
        <f>SUMPRODUCT((Producción_Lecheria[[#This Row],[Mes Financiero]]=Tipo_Cambio[Mes])*(Producción_Lecheria[[#This Row],[Año Financiero]]=Tipo_Cambio[Año])*(Tipo_Cambio[$/U$S]))</f>
        <v>0</v>
      </c>
      <c r="AR305" s="987">
        <f>SUMPRODUCT((Producción_Lecheria[[#This Row],[Mes Financiero]]=Tipo_Cambio[Mes])*(Producción_Lecheria[[#This Row],[Año Financiero]]=Tipo_Cambio[Año])*(Tipo_Cambio[Actualización]))</f>
        <v>0</v>
      </c>
      <c r="AS305" s="1009">
        <f>SUMPRODUCT((Producción_Lecheria[[#This Row],[Centro de Costo]]=Tabla1924[Centro de Costo])*(Tabla19[Superficie]))</f>
        <v>2356</v>
      </c>
      <c r="AT305" s="1010">
        <f>IFERROR(Producción_Lecheria[[#This Row],[Económico $Corrientes]]/Producción_Lecheria[[#This Row],[Superficie]],0)</f>
        <v>0</v>
      </c>
      <c r="AU305" s="1010">
        <f>IFERROR(Producción_Lecheria[[#This Row],[Económico $Constantes]]/Producción_Lecheria[[#This Row],[Superficie]],0)</f>
        <v>0</v>
      </c>
      <c r="AV305" s="1010">
        <f>IFERROR(Producción_Lecheria[[#This Row],[Económico U$S Dólares]]/Producción_Lecheria[[#This Row],[Superficie]],0)</f>
        <v>0</v>
      </c>
      <c r="AW305" s="992" t="str">
        <f>IF(Económico!$F$4=0,0,Producción_Lecheria[Centro de Costo])</f>
        <v>Campo 1</v>
      </c>
    </row>
    <row r="306" spans="1:49" x14ac:dyDescent="0.25">
      <c r="A306" s="86"/>
      <c r="D306" s="548">
        <f t="shared" si="30"/>
        <v>43497</v>
      </c>
      <c r="E306" s="493"/>
      <c r="F306" s="479" t="str">
        <f t="shared" si="28"/>
        <v>2018-2019</v>
      </c>
      <c r="G306" s="576" t="str">
        <f t="shared" si="29"/>
        <v>Gerenciamiento</v>
      </c>
      <c r="H306" s="481" t="s">
        <v>2</v>
      </c>
      <c r="I306" s="491"/>
      <c r="J306" s="549"/>
      <c r="K306" s="484"/>
      <c r="L30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0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06" s="520"/>
      <c r="O30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06" s="563"/>
      <c r="Q306" s="491"/>
      <c r="R306" s="875">
        <f>IF(ISNUMBER(Producción_Lecheria[[#This Row],[Cabezas]])=TRUE,Producción_Lecheria[[#This Row],[Cabezas]]*Producción_Lecheria[[#This Row],[Cantidad]],Producción_Lecheria[[#This Row],[Cantidad]])</f>
        <v>0</v>
      </c>
      <c r="S306" s="491"/>
      <c r="T306" s="552"/>
      <c r="U306" s="553"/>
      <c r="V30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06" s="977">
        <f>IFERROR(Producción_Lecheria[[#This Row],[Económico $Corrientes]]/Producción_Lecheria[[#This Row],[Indexación Económico]],0)</f>
        <v>0</v>
      </c>
      <c r="X30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0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06" s="977">
        <f>IFERROR(Producción_Lecheria[[#This Row],[Financiero $Corrientes]]/Producción_Lecheria[[#This Row],[Indexación Financiero]],0)</f>
        <v>0</v>
      </c>
      <c r="AA30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0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06" s="981">
        <f>IFERROR(Producción_Lecheria[[#This Row],[Intereses $Corrientes]]/Producción_Lecheria[[#This Row],[Indexación Financiero]],0)</f>
        <v>0</v>
      </c>
      <c r="AD306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06" s="991" t="str">
        <f>IFERROR(INDEX(Produccion_Lecheria_Cuentas[],MATCH(Producción_Lecheria[[#This Row],[Cuenta Contable]],Produccion_Lecheria_Cuentas[Cuenta Contable],0),2),0)</f>
        <v>Egreso</v>
      </c>
      <c r="AF306" s="992">
        <f>IF(Producción_Lecheria[[#This Row],[Mov. Stock]]="(+)",Producción_Lecheria[[#This Row],[Cabezas]],IF(Producción_Lecheria[[#This Row],[Mov. Stock]]="(-)",-Producción_Lecheria[[#This Row],[Cabezas]],0))</f>
        <v>0</v>
      </c>
      <c r="AG306" s="993">
        <f>IFERROR(INDEX(Produccion_Lecheria_Cuentas[],MATCH(Producción_Lecheria[[#This Row],[Cuenta Contable]],Produccion_Lecheria_Cuentas[Cuenta Contable],0),5),0)</f>
        <v>0</v>
      </c>
      <c r="AH306" s="985" t="str">
        <f>IF(Producción_Lecheria[[#This Row],[Cuenta Contable]]=Configuración!$AC$9,"Si","No")</f>
        <v>No</v>
      </c>
      <c r="AI306" s="983" t="str">
        <f>IFERROR(INDEX(Tabla9[],MATCH(Producción_Lecheria[[#This Row],[Movimiento]],Tabla9[Movimientos],0),2),0)</f>
        <v>Si</v>
      </c>
      <c r="AJ306" s="984" t="str">
        <f>IFERROR(INDEX(Tabla9[],MATCH(Producción_Lecheria[[#This Row],[Movimiento]],Tabla9[Movimientos],0),3),0)</f>
        <v>(-)</v>
      </c>
      <c r="AK306" s="986">
        <f>IF(Producción_Lecheria[[#This Row],[Fecha Económico]]=0,0,MONTH(Producción_Lecheria[[#This Row],[Fecha Económico]]))</f>
        <v>2</v>
      </c>
      <c r="AL306" s="986">
        <f>IF(Producción_Lecheria[[#This Row],[Fecha Económico]]=0,0,YEAR(Producción_Lecheria[[#This Row],[Fecha Económico]]))</f>
        <v>2019</v>
      </c>
      <c r="AM306" s="987">
        <f>SUMPRODUCT((Producción_Lecheria[[#This Row],[Mes Económico]]=Tipo_Cambio[Mes])*(Producción_Lecheria[[#This Row],[Año Económico]]=Tipo_Cambio[Año])*(Tipo_Cambio[$/U$S]))</f>
        <v>23.586977746354219</v>
      </c>
      <c r="AN306" s="987">
        <f>SUMPRODUCT((Producción_Lecheria[[#This Row],[Mes Económico]]=Tipo_Cambio[Mes])*(Producción_Lecheria[[#This Row],[Año Económico]]=Tipo_Cambio[Año])*(Tipo_Cambio[Actualización]))</f>
        <v>1.14868566764928</v>
      </c>
      <c r="AO306" s="986">
        <f>IF(ISNUMBER(Producción_Lecheria[[#This Row],[Fecha Financiero]])=TRUE,MONTH(Producción_Lecheria[[#This Row],[Fecha Financiero]]),0)</f>
        <v>0</v>
      </c>
      <c r="AP306" s="986">
        <f>IF(ISNUMBER(Producción_Lecheria[[#This Row],[Fecha Financiero]])=TRUE,YEAR(Producción_Lecheria[[#This Row],[Fecha Financiero]]),0)</f>
        <v>0</v>
      </c>
      <c r="AQ306" s="987">
        <f>SUMPRODUCT((Producción_Lecheria[[#This Row],[Mes Financiero]]=Tipo_Cambio[Mes])*(Producción_Lecheria[[#This Row],[Año Financiero]]=Tipo_Cambio[Año])*(Tipo_Cambio[$/U$S]))</f>
        <v>0</v>
      </c>
      <c r="AR306" s="987">
        <f>SUMPRODUCT((Producción_Lecheria[[#This Row],[Mes Financiero]]=Tipo_Cambio[Mes])*(Producción_Lecheria[[#This Row],[Año Financiero]]=Tipo_Cambio[Año])*(Tipo_Cambio[Actualización]))</f>
        <v>0</v>
      </c>
      <c r="AS306" s="1009">
        <f>SUMPRODUCT((Producción_Lecheria[[#This Row],[Centro de Costo]]=Tabla1924[Centro de Costo])*(Tabla19[Superficie]))</f>
        <v>2356</v>
      </c>
      <c r="AT306" s="1010">
        <f>IFERROR(Producción_Lecheria[[#This Row],[Económico $Corrientes]]/Producción_Lecheria[[#This Row],[Superficie]],0)</f>
        <v>0</v>
      </c>
      <c r="AU306" s="1010">
        <f>IFERROR(Producción_Lecheria[[#This Row],[Económico $Constantes]]/Producción_Lecheria[[#This Row],[Superficie]],0)</f>
        <v>0</v>
      </c>
      <c r="AV306" s="1010">
        <f>IFERROR(Producción_Lecheria[[#This Row],[Económico U$S Dólares]]/Producción_Lecheria[[#This Row],[Superficie]],0)</f>
        <v>0</v>
      </c>
      <c r="AW306" s="992" t="str">
        <f>IF(Económico!$F$4=0,0,Producción_Lecheria[Centro de Costo])</f>
        <v>Campo 1</v>
      </c>
    </row>
    <row r="307" spans="1:49" x14ac:dyDescent="0.25">
      <c r="A307" s="86"/>
      <c r="D307" s="548">
        <f t="shared" si="30"/>
        <v>43525</v>
      </c>
      <c r="E307" s="493"/>
      <c r="F307" s="479" t="str">
        <f t="shared" si="28"/>
        <v>2018-2019</v>
      </c>
      <c r="G307" s="576" t="str">
        <f t="shared" si="29"/>
        <v>Gerenciamiento</v>
      </c>
      <c r="H307" s="481" t="s">
        <v>2</v>
      </c>
      <c r="I307" s="491"/>
      <c r="J307" s="549"/>
      <c r="K307" s="484"/>
      <c r="L30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0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07" s="520"/>
      <c r="O30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07" s="563"/>
      <c r="Q307" s="491"/>
      <c r="R307" s="875">
        <f>IF(ISNUMBER(Producción_Lecheria[[#This Row],[Cabezas]])=TRUE,Producción_Lecheria[[#This Row],[Cabezas]]*Producción_Lecheria[[#This Row],[Cantidad]],Producción_Lecheria[[#This Row],[Cantidad]])</f>
        <v>0</v>
      </c>
      <c r="S307" s="491"/>
      <c r="T307" s="552"/>
      <c r="U307" s="553"/>
      <c r="V30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07" s="977">
        <f>IFERROR(Producción_Lecheria[[#This Row],[Económico $Corrientes]]/Producción_Lecheria[[#This Row],[Indexación Económico]],0)</f>
        <v>0</v>
      </c>
      <c r="X30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0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07" s="977">
        <f>IFERROR(Producción_Lecheria[[#This Row],[Financiero $Corrientes]]/Producción_Lecheria[[#This Row],[Indexación Financiero]],0)</f>
        <v>0</v>
      </c>
      <c r="AA30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0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07" s="981">
        <f>IFERROR(Producción_Lecheria[[#This Row],[Intereses $Corrientes]]/Producción_Lecheria[[#This Row],[Indexación Financiero]],0)</f>
        <v>0</v>
      </c>
      <c r="AD307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07" s="991" t="str">
        <f>IFERROR(INDEX(Produccion_Lecheria_Cuentas[],MATCH(Producción_Lecheria[[#This Row],[Cuenta Contable]],Produccion_Lecheria_Cuentas[Cuenta Contable],0),2),0)</f>
        <v>Egreso</v>
      </c>
      <c r="AF307" s="992">
        <f>IF(Producción_Lecheria[[#This Row],[Mov. Stock]]="(+)",Producción_Lecheria[[#This Row],[Cabezas]],IF(Producción_Lecheria[[#This Row],[Mov. Stock]]="(-)",-Producción_Lecheria[[#This Row],[Cabezas]],0))</f>
        <v>0</v>
      </c>
      <c r="AG307" s="993">
        <f>IFERROR(INDEX(Produccion_Lecheria_Cuentas[],MATCH(Producción_Lecheria[[#This Row],[Cuenta Contable]],Produccion_Lecheria_Cuentas[Cuenta Contable],0),5),0)</f>
        <v>0</v>
      </c>
      <c r="AH307" s="985" t="str">
        <f>IF(Producción_Lecheria[[#This Row],[Cuenta Contable]]=Configuración!$AC$9,"Si","No")</f>
        <v>No</v>
      </c>
      <c r="AI307" s="983" t="str">
        <f>IFERROR(INDEX(Tabla9[],MATCH(Producción_Lecheria[[#This Row],[Movimiento]],Tabla9[Movimientos],0),2),0)</f>
        <v>Si</v>
      </c>
      <c r="AJ307" s="984" t="str">
        <f>IFERROR(INDEX(Tabla9[],MATCH(Producción_Lecheria[[#This Row],[Movimiento]],Tabla9[Movimientos],0),3),0)</f>
        <v>(-)</v>
      </c>
      <c r="AK307" s="986">
        <f>IF(Producción_Lecheria[[#This Row],[Fecha Económico]]=0,0,MONTH(Producción_Lecheria[[#This Row],[Fecha Económico]]))</f>
        <v>3</v>
      </c>
      <c r="AL307" s="986">
        <f>IF(Producción_Lecheria[[#This Row],[Fecha Económico]]=0,0,YEAR(Producción_Lecheria[[#This Row],[Fecha Económico]]))</f>
        <v>2019</v>
      </c>
      <c r="AM307" s="987">
        <f>SUMPRODUCT((Producción_Lecheria[[#This Row],[Mes Económico]]=Tipo_Cambio[Mes])*(Producción_Lecheria[[#This Row],[Año Económico]]=Tipo_Cambio[Año])*(Tipo_Cambio[$/U$S]))</f>
        <v>23.82284752381776</v>
      </c>
      <c r="AN307" s="987">
        <f>SUMPRODUCT((Producción_Lecheria[[#This Row],[Mes Económico]]=Tipo_Cambio[Mes])*(Producción_Lecheria[[#This Row],[Año Económico]]=Tipo_Cambio[Año])*(Tipo_Cambio[Actualización]))</f>
        <v>1.1716593810022657</v>
      </c>
      <c r="AO307" s="986">
        <f>IF(ISNUMBER(Producción_Lecheria[[#This Row],[Fecha Financiero]])=TRUE,MONTH(Producción_Lecheria[[#This Row],[Fecha Financiero]]),0)</f>
        <v>0</v>
      </c>
      <c r="AP307" s="986">
        <f>IF(ISNUMBER(Producción_Lecheria[[#This Row],[Fecha Financiero]])=TRUE,YEAR(Producción_Lecheria[[#This Row],[Fecha Financiero]]),0)</f>
        <v>0</v>
      </c>
      <c r="AQ307" s="987">
        <f>SUMPRODUCT((Producción_Lecheria[[#This Row],[Mes Financiero]]=Tipo_Cambio[Mes])*(Producción_Lecheria[[#This Row],[Año Financiero]]=Tipo_Cambio[Año])*(Tipo_Cambio[$/U$S]))</f>
        <v>0</v>
      </c>
      <c r="AR307" s="987">
        <f>SUMPRODUCT((Producción_Lecheria[[#This Row],[Mes Financiero]]=Tipo_Cambio[Mes])*(Producción_Lecheria[[#This Row],[Año Financiero]]=Tipo_Cambio[Año])*(Tipo_Cambio[Actualización]))</f>
        <v>0</v>
      </c>
      <c r="AS307" s="1009">
        <f>SUMPRODUCT((Producción_Lecheria[[#This Row],[Centro de Costo]]=Tabla1924[Centro de Costo])*(Tabla19[Superficie]))</f>
        <v>2356</v>
      </c>
      <c r="AT307" s="1010">
        <f>IFERROR(Producción_Lecheria[[#This Row],[Económico $Corrientes]]/Producción_Lecheria[[#This Row],[Superficie]],0)</f>
        <v>0</v>
      </c>
      <c r="AU307" s="1010">
        <f>IFERROR(Producción_Lecheria[[#This Row],[Económico $Constantes]]/Producción_Lecheria[[#This Row],[Superficie]],0)</f>
        <v>0</v>
      </c>
      <c r="AV307" s="1010">
        <f>IFERROR(Producción_Lecheria[[#This Row],[Económico U$S Dólares]]/Producción_Lecheria[[#This Row],[Superficie]],0)</f>
        <v>0</v>
      </c>
      <c r="AW307" s="992" t="str">
        <f>IF(Económico!$F$4=0,0,Producción_Lecheria[Centro de Costo])</f>
        <v>Campo 1</v>
      </c>
    </row>
    <row r="308" spans="1:49" x14ac:dyDescent="0.25">
      <c r="A308" s="86"/>
      <c r="D308" s="548">
        <f t="shared" si="30"/>
        <v>43556</v>
      </c>
      <c r="E308" s="493"/>
      <c r="F308" s="479" t="str">
        <f t="shared" si="28"/>
        <v>2018-2019</v>
      </c>
      <c r="G308" s="576" t="str">
        <f t="shared" si="29"/>
        <v>Gerenciamiento</v>
      </c>
      <c r="H308" s="481" t="s">
        <v>2</v>
      </c>
      <c r="I308" s="491"/>
      <c r="J308" s="549"/>
      <c r="K308" s="484"/>
      <c r="L30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0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08" s="520"/>
      <c r="O30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08" s="563"/>
      <c r="Q308" s="491"/>
      <c r="R308" s="875">
        <f>IF(ISNUMBER(Producción_Lecheria[[#This Row],[Cabezas]])=TRUE,Producción_Lecheria[[#This Row],[Cabezas]]*Producción_Lecheria[[#This Row],[Cantidad]],Producción_Lecheria[[#This Row],[Cantidad]])</f>
        <v>0</v>
      </c>
      <c r="S308" s="491"/>
      <c r="T308" s="552"/>
      <c r="U308" s="553"/>
      <c r="V30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08" s="977">
        <f>IFERROR(Producción_Lecheria[[#This Row],[Económico $Corrientes]]/Producción_Lecheria[[#This Row],[Indexación Económico]],0)</f>
        <v>0</v>
      </c>
      <c r="X30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0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08" s="977">
        <f>IFERROR(Producción_Lecheria[[#This Row],[Financiero $Corrientes]]/Producción_Lecheria[[#This Row],[Indexación Financiero]],0)</f>
        <v>0</v>
      </c>
      <c r="AA30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0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08" s="981">
        <f>IFERROR(Producción_Lecheria[[#This Row],[Intereses $Corrientes]]/Producción_Lecheria[[#This Row],[Indexación Financiero]],0)</f>
        <v>0</v>
      </c>
      <c r="AD308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08" s="991" t="str">
        <f>IFERROR(INDEX(Produccion_Lecheria_Cuentas[],MATCH(Producción_Lecheria[[#This Row],[Cuenta Contable]],Produccion_Lecheria_Cuentas[Cuenta Contable],0),2),0)</f>
        <v>Egreso</v>
      </c>
      <c r="AF308" s="992">
        <f>IF(Producción_Lecheria[[#This Row],[Mov. Stock]]="(+)",Producción_Lecheria[[#This Row],[Cabezas]],IF(Producción_Lecheria[[#This Row],[Mov. Stock]]="(-)",-Producción_Lecheria[[#This Row],[Cabezas]],0))</f>
        <v>0</v>
      </c>
      <c r="AG308" s="993">
        <f>IFERROR(INDEX(Produccion_Lecheria_Cuentas[],MATCH(Producción_Lecheria[[#This Row],[Cuenta Contable]],Produccion_Lecheria_Cuentas[Cuenta Contable],0),5),0)</f>
        <v>0</v>
      </c>
      <c r="AH308" s="985" t="str">
        <f>IF(Producción_Lecheria[[#This Row],[Cuenta Contable]]=Configuración!$AC$9,"Si","No")</f>
        <v>No</v>
      </c>
      <c r="AI308" s="983" t="str">
        <f>IFERROR(INDEX(Tabla9[],MATCH(Producción_Lecheria[[#This Row],[Movimiento]],Tabla9[Movimientos],0),2),0)</f>
        <v>Si</v>
      </c>
      <c r="AJ308" s="984" t="str">
        <f>IFERROR(INDEX(Tabla9[],MATCH(Producción_Lecheria[[#This Row],[Movimiento]],Tabla9[Movimientos],0),3),0)</f>
        <v>(-)</v>
      </c>
      <c r="AK308" s="986">
        <f>IF(Producción_Lecheria[[#This Row],[Fecha Económico]]=0,0,MONTH(Producción_Lecheria[[#This Row],[Fecha Económico]]))</f>
        <v>4</v>
      </c>
      <c r="AL308" s="986">
        <f>IF(Producción_Lecheria[[#This Row],[Fecha Económico]]=0,0,YEAR(Producción_Lecheria[[#This Row],[Fecha Económico]]))</f>
        <v>2019</v>
      </c>
      <c r="AM308" s="987">
        <f>SUMPRODUCT((Producción_Lecheria[[#This Row],[Mes Económico]]=Tipo_Cambio[Mes])*(Producción_Lecheria[[#This Row],[Año Económico]]=Tipo_Cambio[Año])*(Tipo_Cambio[$/U$S]))</f>
        <v>24.061075999055937</v>
      </c>
      <c r="AN308" s="987">
        <f>SUMPRODUCT((Producción_Lecheria[[#This Row],[Mes Económico]]=Tipo_Cambio[Mes])*(Producción_Lecheria[[#This Row],[Año Económico]]=Tipo_Cambio[Año])*(Tipo_Cambio[Actualización]))</f>
        <v>1.1950925686223111</v>
      </c>
      <c r="AO308" s="986">
        <f>IF(ISNUMBER(Producción_Lecheria[[#This Row],[Fecha Financiero]])=TRUE,MONTH(Producción_Lecheria[[#This Row],[Fecha Financiero]]),0)</f>
        <v>0</v>
      </c>
      <c r="AP308" s="986">
        <f>IF(ISNUMBER(Producción_Lecheria[[#This Row],[Fecha Financiero]])=TRUE,YEAR(Producción_Lecheria[[#This Row],[Fecha Financiero]]),0)</f>
        <v>0</v>
      </c>
      <c r="AQ308" s="987">
        <f>SUMPRODUCT((Producción_Lecheria[[#This Row],[Mes Financiero]]=Tipo_Cambio[Mes])*(Producción_Lecheria[[#This Row],[Año Financiero]]=Tipo_Cambio[Año])*(Tipo_Cambio[$/U$S]))</f>
        <v>0</v>
      </c>
      <c r="AR308" s="987">
        <f>SUMPRODUCT((Producción_Lecheria[[#This Row],[Mes Financiero]]=Tipo_Cambio[Mes])*(Producción_Lecheria[[#This Row],[Año Financiero]]=Tipo_Cambio[Año])*(Tipo_Cambio[Actualización]))</f>
        <v>0</v>
      </c>
      <c r="AS308" s="1009">
        <f>SUMPRODUCT((Producción_Lecheria[[#This Row],[Centro de Costo]]=Tabla1924[Centro de Costo])*(Tabla19[Superficie]))</f>
        <v>2356</v>
      </c>
      <c r="AT308" s="1010">
        <f>IFERROR(Producción_Lecheria[[#This Row],[Económico $Corrientes]]/Producción_Lecheria[[#This Row],[Superficie]],0)</f>
        <v>0</v>
      </c>
      <c r="AU308" s="1010">
        <f>IFERROR(Producción_Lecheria[[#This Row],[Económico $Constantes]]/Producción_Lecheria[[#This Row],[Superficie]],0)</f>
        <v>0</v>
      </c>
      <c r="AV308" s="1010">
        <f>IFERROR(Producción_Lecheria[[#This Row],[Económico U$S Dólares]]/Producción_Lecheria[[#This Row],[Superficie]],0)</f>
        <v>0</v>
      </c>
      <c r="AW308" s="992" t="str">
        <f>IF(Económico!$F$4=0,0,Producción_Lecheria[Centro de Costo])</f>
        <v>Campo 1</v>
      </c>
    </row>
    <row r="309" spans="1:49" x14ac:dyDescent="0.25">
      <c r="A309" s="86"/>
      <c r="D309" s="548">
        <f t="shared" si="30"/>
        <v>43586</v>
      </c>
      <c r="E309" s="493"/>
      <c r="F309" s="479" t="str">
        <f t="shared" si="28"/>
        <v>2018-2019</v>
      </c>
      <c r="G309" s="576" t="str">
        <f t="shared" si="29"/>
        <v>Gerenciamiento</v>
      </c>
      <c r="H309" s="481" t="s">
        <v>2</v>
      </c>
      <c r="I309" s="491"/>
      <c r="J309" s="549"/>
      <c r="K309" s="484"/>
      <c r="L30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0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09" s="520"/>
      <c r="O30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09" s="563"/>
      <c r="Q309" s="491"/>
      <c r="R309" s="875">
        <f>IF(ISNUMBER(Producción_Lecheria[[#This Row],[Cabezas]])=TRUE,Producción_Lecheria[[#This Row],[Cabezas]]*Producción_Lecheria[[#This Row],[Cantidad]],Producción_Lecheria[[#This Row],[Cantidad]])</f>
        <v>0</v>
      </c>
      <c r="S309" s="491"/>
      <c r="T309" s="552"/>
      <c r="U309" s="553"/>
      <c r="V30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09" s="977">
        <f>IFERROR(Producción_Lecheria[[#This Row],[Económico $Corrientes]]/Producción_Lecheria[[#This Row],[Indexación Económico]],0)</f>
        <v>0</v>
      </c>
      <c r="X30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0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09" s="977">
        <f>IFERROR(Producción_Lecheria[[#This Row],[Financiero $Corrientes]]/Producción_Lecheria[[#This Row],[Indexación Financiero]],0)</f>
        <v>0</v>
      </c>
      <c r="AA30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0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09" s="981">
        <f>IFERROR(Producción_Lecheria[[#This Row],[Intereses $Corrientes]]/Producción_Lecheria[[#This Row],[Indexación Financiero]],0)</f>
        <v>0</v>
      </c>
      <c r="AD309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09" s="991" t="str">
        <f>IFERROR(INDEX(Produccion_Lecheria_Cuentas[],MATCH(Producción_Lecheria[[#This Row],[Cuenta Contable]],Produccion_Lecheria_Cuentas[Cuenta Contable],0),2),0)</f>
        <v>Egreso</v>
      </c>
      <c r="AF309" s="992">
        <f>IF(Producción_Lecheria[[#This Row],[Mov. Stock]]="(+)",Producción_Lecheria[[#This Row],[Cabezas]],IF(Producción_Lecheria[[#This Row],[Mov. Stock]]="(-)",-Producción_Lecheria[[#This Row],[Cabezas]],0))</f>
        <v>0</v>
      </c>
      <c r="AG309" s="993">
        <f>IFERROR(INDEX(Produccion_Lecheria_Cuentas[],MATCH(Producción_Lecheria[[#This Row],[Cuenta Contable]],Produccion_Lecheria_Cuentas[Cuenta Contable],0),5),0)</f>
        <v>0</v>
      </c>
      <c r="AH309" s="985" t="str">
        <f>IF(Producción_Lecheria[[#This Row],[Cuenta Contable]]=Configuración!$AC$9,"Si","No")</f>
        <v>No</v>
      </c>
      <c r="AI309" s="983" t="str">
        <f>IFERROR(INDEX(Tabla9[],MATCH(Producción_Lecheria[[#This Row],[Movimiento]],Tabla9[Movimientos],0),2),0)</f>
        <v>Si</v>
      </c>
      <c r="AJ309" s="984" t="str">
        <f>IFERROR(INDEX(Tabla9[],MATCH(Producción_Lecheria[[#This Row],[Movimiento]],Tabla9[Movimientos],0),3),0)</f>
        <v>(-)</v>
      </c>
      <c r="AK309" s="986">
        <f>IF(Producción_Lecheria[[#This Row],[Fecha Económico]]=0,0,MONTH(Producción_Lecheria[[#This Row],[Fecha Económico]]))</f>
        <v>5</v>
      </c>
      <c r="AL309" s="986">
        <f>IF(Producción_Lecheria[[#This Row],[Fecha Económico]]=0,0,YEAR(Producción_Lecheria[[#This Row],[Fecha Económico]]))</f>
        <v>2019</v>
      </c>
      <c r="AM309" s="987">
        <f>SUMPRODUCT((Producción_Lecheria[[#This Row],[Mes Económico]]=Tipo_Cambio[Mes])*(Producción_Lecheria[[#This Row],[Año Económico]]=Tipo_Cambio[Año])*(Tipo_Cambio[$/U$S]))</f>
        <v>24.301686759046497</v>
      </c>
      <c r="AN309" s="987">
        <f>SUMPRODUCT((Producción_Lecheria[[#This Row],[Mes Económico]]=Tipo_Cambio[Mes])*(Producción_Lecheria[[#This Row],[Año Económico]]=Tipo_Cambio[Año])*(Tipo_Cambio[Actualización]))</f>
        <v>1.2189944199947573</v>
      </c>
      <c r="AO309" s="986">
        <f>IF(ISNUMBER(Producción_Lecheria[[#This Row],[Fecha Financiero]])=TRUE,MONTH(Producción_Lecheria[[#This Row],[Fecha Financiero]]),0)</f>
        <v>0</v>
      </c>
      <c r="AP309" s="986">
        <f>IF(ISNUMBER(Producción_Lecheria[[#This Row],[Fecha Financiero]])=TRUE,YEAR(Producción_Lecheria[[#This Row],[Fecha Financiero]]),0)</f>
        <v>0</v>
      </c>
      <c r="AQ309" s="987">
        <f>SUMPRODUCT((Producción_Lecheria[[#This Row],[Mes Financiero]]=Tipo_Cambio[Mes])*(Producción_Lecheria[[#This Row],[Año Financiero]]=Tipo_Cambio[Año])*(Tipo_Cambio[$/U$S]))</f>
        <v>0</v>
      </c>
      <c r="AR309" s="987">
        <f>SUMPRODUCT((Producción_Lecheria[[#This Row],[Mes Financiero]]=Tipo_Cambio[Mes])*(Producción_Lecheria[[#This Row],[Año Financiero]]=Tipo_Cambio[Año])*(Tipo_Cambio[Actualización]))</f>
        <v>0</v>
      </c>
      <c r="AS309" s="1009">
        <f>SUMPRODUCT((Producción_Lecheria[[#This Row],[Centro de Costo]]=Tabla1924[Centro de Costo])*(Tabla19[Superficie]))</f>
        <v>2356</v>
      </c>
      <c r="AT309" s="1010">
        <f>IFERROR(Producción_Lecheria[[#This Row],[Económico $Corrientes]]/Producción_Lecheria[[#This Row],[Superficie]],0)</f>
        <v>0</v>
      </c>
      <c r="AU309" s="1010">
        <f>IFERROR(Producción_Lecheria[[#This Row],[Económico $Constantes]]/Producción_Lecheria[[#This Row],[Superficie]],0)</f>
        <v>0</v>
      </c>
      <c r="AV309" s="1010">
        <f>IFERROR(Producción_Lecheria[[#This Row],[Económico U$S Dólares]]/Producción_Lecheria[[#This Row],[Superficie]],0)</f>
        <v>0</v>
      </c>
      <c r="AW309" s="992" t="str">
        <f>IF(Económico!$F$4=0,0,Producción_Lecheria[Centro de Costo])</f>
        <v>Campo 1</v>
      </c>
    </row>
    <row r="310" spans="1:49" x14ac:dyDescent="0.25">
      <c r="A310" s="86"/>
      <c r="D310" s="548">
        <f t="shared" si="30"/>
        <v>43617</v>
      </c>
      <c r="E310" s="493"/>
      <c r="F310" s="479" t="str">
        <f t="shared" si="28"/>
        <v>2018-2019</v>
      </c>
      <c r="G310" s="576" t="str">
        <f t="shared" si="29"/>
        <v>Gerenciamiento</v>
      </c>
      <c r="H310" s="481" t="s">
        <v>2</v>
      </c>
      <c r="I310" s="491"/>
      <c r="J310" s="549"/>
      <c r="K310" s="484"/>
      <c r="L31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1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10" s="520"/>
      <c r="O31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10" s="563"/>
      <c r="Q310" s="491"/>
      <c r="R310" s="875">
        <f>IF(ISNUMBER(Producción_Lecheria[[#This Row],[Cabezas]])=TRUE,Producción_Lecheria[[#This Row],[Cabezas]]*Producción_Lecheria[[#This Row],[Cantidad]],Producción_Lecheria[[#This Row],[Cantidad]])</f>
        <v>0</v>
      </c>
      <c r="S310" s="491"/>
      <c r="T310" s="552"/>
      <c r="U310" s="553"/>
      <c r="V31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10" s="977">
        <f>IFERROR(Producción_Lecheria[[#This Row],[Económico $Corrientes]]/Producción_Lecheria[[#This Row],[Indexación Económico]],0)</f>
        <v>0</v>
      </c>
      <c r="X31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1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10" s="977">
        <f>IFERROR(Producción_Lecheria[[#This Row],[Financiero $Corrientes]]/Producción_Lecheria[[#This Row],[Indexación Financiero]],0)</f>
        <v>0</v>
      </c>
      <c r="AA31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1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10" s="981">
        <f>IFERROR(Producción_Lecheria[[#This Row],[Intereses $Corrientes]]/Producción_Lecheria[[#This Row],[Indexación Financiero]],0)</f>
        <v>0</v>
      </c>
      <c r="AD310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10" s="991" t="str">
        <f>IFERROR(INDEX(Produccion_Lecheria_Cuentas[],MATCH(Producción_Lecheria[[#This Row],[Cuenta Contable]],Produccion_Lecheria_Cuentas[Cuenta Contable],0),2),0)</f>
        <v>Egreso</v>
      </c>
      <c r="AF310" s="992">
        <f>IF(Producción_Lecheria[[#This Row],[Mov. Stock]]="(+)",Producción_Lecheria[[#This Row],[Cabezas]],IF(Producción_Lecheria[[#This Row],[Mov. Stock]]="(-)",-Producción_Lecheria[[#This Row],[Cabezas]],0))</f>
        <v>0</v>
      </c>
      <c r="AG310" s="993">
        <f>IFERROR(INDEX(Produccion_Lecheria_Cuentas[],MATCH(Producción_Lecheria[[#This Row],[Cuenta Contable]],Produccion_Lecheria_Cuentas[Cuenta Contable],0),5),0)</f>
        <v>0</v>
      </c>
      <c r="AH310" s="985" t="str">
        <f>IF(Producción_Lecheria[[#This Row],[Cuenta Contable]]=Configuración!$AC$9,"Si","No")</f>
        <v>No</v>
      </c>
      <c r="AI310" s="983" t="str">
        <f>IFERROR(INDEX(Tabla9[],MATCH(Producción_Lecheria[[#This Row],[Movimiento]],Tabla9[Movimientos],0),2),0)</f>
        <v>Si</v>
      </c>
      <c r="AJ310" s="984" t="str">
        <f>IFERROR(INDEX(Tabla9[],MATCH(Producción_Lecheria[[#This Row],[Movimiento]],Tabla9[Movimientos],0),3),0)</f>
        <v>(-)</v>
      </c>
      <c r="AK310" s="986">
        <f>IF(Producción_Lecheria[[#This Row],[Fecha Económico]]=0,0,MONTH(Producción_Lecheria[[#This Row],[Fecha Económico]]))</f>
        <v>6</v>
      </c>
      <c r="AL310" s="986">
        <f>IF(Producción_Lecheria[[#This Row],[Fecha Económico]]=0,0,YEAR(Producción_Lecheria[[#This Row],[Fecha Económico]]))</f>
        <v>2019</v>
      </c>
      <c r="AM310" s="987">
        <f>SUMPRODUCT((Producción_Lecheria[[#This Row],[Mes Económico]]=Tipo_Cambio[Mes])*(Producción_Lecheria[[#This Row],[Año Económico]]=Tipo_Cambio[Año])*(Tipo_Cambio[$/U$S]))</f>
        <v>24.544703626636963</v>
      </c>
      <c r="AN310" s="987">
        <f>SUMPRODUCT((Producción_Lecheria[[#This Row],[Mes Económico]]=Tipo_Cambio[Mes])*(Producción_Lecheria[[#This Row],[Año Económico]]=Tipo_Cambio[Año])*(Tipo_Cambio[Actualización]))</f>
        <v>1.2433743083946525</v>
      </c>
      <c r="AO310" s="986">
        <f>IF(ISNUMBER(Producción_Lecheria[[#This Row],[Fecha Financiero]])=TRUE,MONTH(Producción_Lecheria[[#This Row],[Fecha Financiero]]),0)</f>
        <v>0</v>
      </c>
      <c r="AP310" s="986">
        <f>IF(ISNUMBER(Producción_Lecheria[[#This Row],[Fecha Financiero]])=TRUE,YEAR(Producción_Lecheria[[#This Row],[Fecha Financiero]]),0)</f>
        <v>0</v>
      </c>
      <c r="AQ310" s="987">
        <f>SUMPRODUCT((Producción_Lecheria[[#This Row],[Mes Financiero]]=Tipo_Cambio[Mes])*(Producción_Lecheria[[#This Row],[Año Financiero]]=Tipo_Cambio[Año])*(Tipo_Cambio[$/U$S]))</f>
        <v>0</v>
      </c>
      <c r="AR310" s="987">
        <f>SUMPRODUCT((Producción_Lecheria[[#This Row],[Mes Financiero]]=Tipo_Cambio[Mes])*(Producción_Lecheria[[#This Row],[Año Financiero]]=Tipo_Cambio[Año])*(Tipo_Cambio[Actualización]))</f>
        <v>0</v>
      </c>
      <c r="AS310" s="1009">
        <f>SUMPRODUCT((Producción_Lecheria[[#This Row],[Centro de Costo]]=Tabla1924[Centro de Costo])*(Tabla19[Superficie]))</f>
        <v>2356</v>
      </c>
      <c r="AT310" s="1010">
        <f>IFERROR(Producción_Lecheria[[#This Row],[Económico $Corrientes]]/Producción_Lecheria[[#This Row],[Superficie]],0)</f>
        <v>0</v>
      </c>
      <c r="AU310" s="1010">
        <f>IFERROR(Producción_Lecheria[[#This Row],[Económico $Constantes]]/Producción_Lecheria[[#This Row],[Superficie]],0)</f>
        <v>0</v>
      </c>
      <c r="AV310" s="1010">
        <f>IFERROR(Producción_Lecheria[[#This Row],[Económico U$S Dólares]]/Producción_Lecheria[[#This Row],[Superficie]],0)</f>
        <v>0</v>
      </c>
      <c r="AW310" s="992" t="str">
        <f>IF(Económico!$F$4=0,0,Producción_Lecheria[Centro de Costo])</f>
        <v>Campo 1</v>
      </c>
    </row>
    <row r="311" spans="1:49" x14ac:dyDescent="0.25">
      <c r="A311" s="86"/>
      <c r="D311" s="548"/>
      <c r="E311" s="493"/>
      <c r="F311" s="479" t="str">
        <f t="shared" si="28"/>
        <v>2018-2019</v>
      </c>
      <c r="G311" s="576"/>
      <c r="H311" s="481"/>
      <c r="I311" s="491"/>
      <c r="J311" s="549"/>
      <c r="K311" s="484"/>
      <c r="L31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1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11" s="520"/>
      <c r="O31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11" s="563"/>
      <c r="Q311" s="491"/>
      <c r="R311" s="875">
        <f>IF(ISNUMBER(Producción_Lecheria[[#This Row],[Cabezas]])=TRUE,Producción_Lecheria[[#This Row],[Cabezas]]*Producción_Lecheria[[#This Row],[Cantidad]],Producción_Lecheria[[#This Row],[Cantidad]])</f>
        <v>0</v>
      </c>
      <c r="S311" s="491"/>
      <c r="T311" s="552"/>
      <c r="U311" s="553"/>
      <c r="V31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11" s="977">
        <f>IFERROR(Producción_Lecheria[[#This Row],[Económico $Corrientes]]/Producción_Lecheria[[#This Row],[Indexación Económico]],0)</f>
        <v>0</v>
      </c>
      <c r="X31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1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11" s="977">
        <f>IFERROR(Producción_Lecheria[[#This Row],[Financiero $Corrientes]]/Producción_Lecheria[[#This Row],[Indexación Financiero]],0)</f>
        <v>0</v>
      </c>
      <c r="AA31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1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11" s="981">
        <f>IFERROR(Producción_Lecheria[[#This Row],[Intereses $Corrientes]]/Producción_Lecheria[[#This Row],[Indexación Financiero]],0)</f>
        <v>0</v>
      </c>
      <c r="AD311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11" s="991">
        <f>IFERROR(INDEX(Produccion_Lecheria_Cuentas[],MATCH(Producción_Lecheria[[#This Row],[Cuenta Contable]],Produccion_Lecheria_Cuentas[Cuenta Contable],0),2),0)</f>
        <v>0</v>
      </c>
      <c r="AF311" s="992">
        <f>IF(Producción_Lecheria[[#This Row],[Mov. Stock]]="(+)",Producción_Lecheria[[#This Row],[Cabezas]],IF(Producción_Lecheria[[#This Row],[Mov. Stock]]="(-)",-Producción_Lecheria[[#This Row],[Cabezas]],0))</f>
        <v>0</v>
      </c>
      <c r="AG311" s="993">
        <f>IFERROR(INDEX(Produccion_Lecheria_Cuentas[],MATCH(Producción_Lecheria[[#This Row],[Cuenta Contable]],Produccion_Lecheria_Cuentas[Cuenta Contable],0),5),0)</f>
        <v>0</v>
      </c>
      <c r="AH311" s="985" t="str">
        <f>IF(Producción_Lecheria[[#This Row],[Cuenta Contable]]=Configuración!$AC$9,"Si","No")</f>
        <v>No</v>
      </c>
      <c r="AI311" s="983">
        <f>IFERROR(INDEX(Tabla9[],MATCH(Producción_Lecheria[[#This Row],[Movimiento]],Tabla9[Movimientos],0),2),0)</f>
        <v>0</v>
      </c>
      <c r="AJ311" s="984">
        <f>IFERROR(INDEX(Tabla9[],MATCH(Producción_Lecheria[[#This Row],[Movimiento]],Tabla9[Movimientos],0),3),0)</f>
        <v>0</v>
      </c>
      <c r="AK311" s="986">
        <f>IF(Producción_Lecheria[[#This Row],[Fecha Económico]]=0,0,MONTH(Producción_Lecheria[[#This Row],[Fecha Económico]]))</f>
        <v>0</v>
      </c>
      <c r="AL311" s="986">
        <f>IF(Producción_Lecheria[[#This Row],[Fecha Económico]]=0,0,YEAR(Producción_Lecheria[[#This Row],[Fecha Económico]]))</f>
        <v>0</v>
      </c>
      <c r="AM311" s="987">
        <f>SUMPRODUCT((Producción_Lecheria[[#This Row],[Mes Económico]]=Tipo_Cambio[Mes])*(Producción_Lecheria[[#This Row],[Año Económico]]=Tipo_Cambio[Año])*(Tipo_Cambio[$/U$S]))</f>
        <v>0</v>
      </c>
      <c r="AN311" s="987">
        <f>SUMPRODUCT((Producción_Lecheria[[#This Row],[Mes Económico]]=Tipo_Cambio[Mes])*(Producción_Lecheria[[#This Row],[Año Económico]]=Tipo_Cambio[Año])*(Tipo_Cambio[Actualización]))</f>
        <v>0</v>
      </c>
      <c r="AO311" s="986">
        <f>IF(ISNUMBER(Producción_Lecheria[[#This Row],[Fecha Financiero]])=TRUE,MONTH(Producción_Lecheria[[#This Row],[Fecha Financiero]]),0)</f>
        <v>0</v>
      </c>
      <c r="AP311" s="986">
        <f>IF(ISNUMBER(Producción_Lecheria[[#This Row],[Fecha Financiero]])=TRUE,YEAR(Producción_Lecheria[[#This Row],[Fecha Financiero]]),0)</f>
        <v>0</v>
      </c>
      <c r="AQ311" s="987">
        <f>SUMPRODUCT((Producción_Lecheria[[#This Row],[Mes Financiero]]=Tipo_Cambio[Mes])*(Producción_Lecheria[[#This Row],[Año Financiero]]=Tipo_Cambio[Año])*(Tipo_Cambio[$/U$S]))</f>
        <v>0</v>
      </c>
      <c r="AR311" s="987">
        <f>SUMPRODUCT((Producción_Lecheria[[#This Row],[Mes Financiero]]=Tipo_Cambio[Mes])*(Producción_Lecheria[[#This Row],[Año Financiero]]=Tipo_Cambio[Año])*(Tipo_Cambio[Actualización]))</f>
        <v>0</v>
      </c>
      <c r="AS311" s="1009">
        <f>SUMPRODUCT((Producción_Lecheria[[#This Row],[Centro de Costo]]=Tabla1924[Centro de Costo])*(Tabla19[Superficie]))</f>
        <v>0</v>
      </c>
      <c r="AT311" s="1010">
        <f>IFERROR(Producción_Lecheria[[#This Row],[Económico $Corrientes]]/Producción_Lecheria[[#This Row],[Superficie]],0)</f>
        <v>0</v>
      </c>
      <c r="AU311" s="1010">
        <f>IFERROR(Producción_Lecheria[[#This Row],[Económico $Constantes]]/Producción_Lecheria[[#This Row],[Superficie]],0)</f>
        <v>0</v>
      </c>
      <c r="AV311" s="1010">
        <f>IFERROR(Producción_Lecheria[[#This Row],[Económico U$S Dólares]]/Producción_Lecheria[[#This Row],[Superficie]],0)</f>
        <v>0</v>
      </c>
      <c r="AW311" s="992">
        <f>IF(Económico!$F$4=0,0,Producción_Lecheria[Centro de Costo])</f>
        <v>0</v>
      </c>
    </row>
    <row r="312" spans="1:49" x14ac:dyDescent="0.25">
      <c r="A312" s="86"/>
      <c r="D312" s="548"/>
      <c r="E312" s="493"/>
      <c r="F312" s="479" t="str">
        <f t="shared" si="28"/>
        <v>2018-2019</v>
      </c>
      <c r="G312" s="576"/>
      <c r="H312" s="481"/>
      <c r="I312" s="491"/>
      <c r="J312" s="549"/>
      <c r="K312" s="484"/>
      <c r="L31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1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12" s="520"/>
      <c r="O31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12" s="563"/>
      <c r="Q312" s="491"/>
      <c r="R312" s="875">
        <f>IF(ISNUMBER(Producción_Lecheria[[#This Row],[Cabezas]])=TRUE,Producción_Lecheria[[#This Row],[Cabezas]]*Producción_Lecheria[[#This Row],[Cantidad]],Producción_Lecheria[[#This Row],[Cantidad]])</f>
        <v>0</v>
      </c>
      <c r="S312" s="491"/>
      <c r="T312" s="552"/>
      <c r="U312" s="553"/>
      <c r="V31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12" s="977">
        <f>IFERROR(Producción_Lecheria[[#This Row],[Económico $Corrientes]]/Producción_Lecheria[[#This Row],[Indexación Económico]],0)</f>
        <v>0</v>
      </c>
      <c r="X31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1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12" s="977">
        <f>IFERROR(Producción_Lecheria[[#This Row],[Financiero $Corrientes]]/Producción_Lecheria[[#This Row],[Indexación Financiero]],0)</f>
        <v>0</v>
      </c>
      <c r="AA31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1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12" s="981">
        <f>IFERROR(Producción_Lecheria[[#This Row],[Intereses $Corrientes]]/Producción_Lecheria[[#This Row],[Indexación Financiero]],0)</f>
        <v>0</v>
      </c>
      <c r="AD312" s="981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12" s="991">
        <f>IFERROR(INDEX(Produccion_Lecheria_Cuentas[],MATCH(Producción_Lecheria[[#This Row],[Cuenta Contable]],Produccion_Lecheria_Cuentas[Cuenta Contable],0),2),0)</f>
        <v>0</v>
      </c>
      <c r="AF312" s="992">
        <f>IF(Producción_Lecheria[[#This Row],[Mov. Stock]]="(+)",Producción_Lecheria[[#This Row],[Cabezas]],IF(Producción_Lecheria[[#This Row],[Mov. Stock]]="(-)",-Producción_Lecheria[[#This Row],[Cabezas]],0))</f>
        <v>0</v>
      </c>
      <c r="AG312" s="993">
        <f>IFERROR(INDEX(Produccion_Lecheria_Cuentas[],MATCH(Producción_Lecheria[[#This Row],[Cuenta Contable]],Produccion_Lecheria_Cuentas[Cuenta Contable],0),5),0)</f>
        <v>0</v>
      </c>
      <c r="AH312" s="985" t="str">
        <f>IF(Producción_Lecheria[[#This Row],[Cuenta Contable]]=Configuración!$AC$9,"Si","No")</f>
        <v>No</v>
      </c>
      <c r="AI312" s="983">
        <f>IFERROR(INDEX(Tabla9[],MATCH(Producción_Lecheria[[#This Row],[Movimiento]],Tabla9[Movimientos],0),2),0)</f>
        <v>0</v>
      </c>
      <c r="AJ312" s="984">
        <f>IFERROR(INDEX(Tabla9[],MATCH(Producción_Lecheria[[#This Row],[Movimiento]],Tabla9[Movimientos],0),3),0)</f>
        <v>0</v>
      </c>
      <c r="AK312" s="986">
        <f>IF(Producción_Lecheria[[#This Row],[Fecha Económico]]=0,0,MONTH(Producción_Lecheria[[#This Row],[Fecha Económico]]))</f>
        <v>0</v>
      </c>
      <c r="AL312" s="986">
        <f>IF(Producción_Lecheria[[#This Row],[Fecha Económico]]=0,0,YEAR(Producción_Lecheria[[#This Row],[Fecha Económico]]))</f>
        <v>0</v>
      </c>
      <c r="AM312" s="987">
        <f>SUMPRODUCT((Producción_Lecheria[[#This Row],[Mes Económico]]=Tipo_Cambio[Mes])*(Producción_Lecheria[[#This Row],[Año Económico]]=Tipo_Cambio[Año])*(Tipo_Cambio[$/U$S]))</f>
        <v>0</v>
      </c>
      <c r="AN312" s="987">
        <f>SUMPRODUCT((Producción_Lecheria[[#This Row],[Mes Económico]]=Tipo_Cambio[Mes])*(Producción_Lecheria[[#This Row],[Año Económico]]=Tipo_Cambio[Año])*(Tipo_Cambio[Actualización]))</f>
        <v>0</v>
      </c>
      <c r="AO312" s="986">
        <f>IF(ISNUMBER(Producción_Lecheria[[#This Row],[Fecha Financiero]])=TRUE,MONTH(Producción_Lecheria[[#This Row],[Fecha Financiero]]),0)</f>
        <v>0</v>
      </c>
      <c r="AP312" s="986">
        <f>IF(ISNUMBER(Producción_Lecheria[[#This Row],[Fecha Financiero]])=TRUE,YEAR(Producción_Lecheria[[#This Row],[Fecha Financiero]]),0)</f>
        <v>0</v>
      </c>
      <c r="AQ312" s="987">
        <f>SUMPRODUCT((Producción_Lecheria[[#This Row],[Mes Financiero]]=Tipo_Cambio[Mes])*(Producción_Lecheria[[#This Row],[Año Financiero]]=Tipo_Cambio[Año])*(Tipo_Cambio[$/U$S]))</f>
        <v>0</v>
      </c>
      <c r="AR312" s="987">
        <f>SUMPRODUCT((Producción_Lecheria[[#This Row],[Mes Financiero]]=Tipo_Cambio[Mes])*(Producción_Lecheria[[#This Row],[Año Financiero]]=Tipo_Cambio[Año])*(Tipo_Cambio[Actualización]))</f>
        <v>0</v>
      </c>
      <c r="AS312" s="1009">
        <f>SUMPRODUCT((Producción_Lecheria[[#This Row],[Centro de Costo]]=Tabla1924[Centro de Costo])*(Tabla19[Superficie]))</f>
        <v>0</v>
      </c>
      <c r="AT312" s="1010">
        <f>IFERROR(Producción_Lecheria[[#This Row],[Económico $Corrientes]]/Producción_Lecheria[[#This Row],[Superficie]],0)</f>
        <v>0</v>
      </c>
      <c r="AU312" s="1010">
        <f>IFERROR(Producción_Lecheria[[#This Row],[Económico $Constantes]]/Producción_Lecheria[[#This Row],[Superficie]],0)</f>
        <v>0</v>
      </c>
      <c r="AV312" s="1010">
        <f>IFERROR(Producción_Lecheria[[#This Row],[Económico U$S Dólares]]/Producción_Lecheria[[#This Row],[Superficie]],0)</f>
        <v>0</v>
      </c>
      <c r="AW312" s="992">
        <f>IF(Económico!$F$4=0,0,Producción_Lecheria[Centro de Costo])</f>
        <v>0</v>
      </c>
    </row>
    <row r="313" spans="1:49" ht="15.75" thickBot="1" x14ac:dyDescent="0.3">
      <c r="A313" s="86"/>
      <c r="B313" s="373" t="s">
        <v>101</v>
      </c>
      <c r="C313" s="70"/>
      <c r="D313" s="548"/>
      <c r="E313" s="593"/>
      <c r="F313" s="566" t="str">
        <f t="shared" si="28"/>
        <v>2018-2019</v>
      </c>
      <c r="G313" s="594"/>
      <c r="H313" s="567"/>
      <c r="I313" s="567"/>
      <c r="J313" s="568"/>
      <c r="K313" s="567"/>
      <c r="L313" s="963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13" s="963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13" s="569"/>
      <c r="O313" s="971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13" s="570"/>
      <c r="Q313" s="567"/>
      <c r="R313" s="976">
        <f>IF(ISNUMBER(Producción_Lecheria[[#This Row],[Cabezas]])=TRUE,Producción_Lecheria[[#This Row],[Cabezas]]*Producción_Lecheria[[#This Row],[Cantidad]],Producción_Lecheria[[#This Row],[Cantidad]])</f>
        <v>0</v>
      </c>
      <c r="S313" s="567"/>
      <c r="T313" s="570"/>
      <c r="U313" s="575"/>
      <c r="V313" s="1012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13" s="1012">
        <f>IFERROR(Producción_Lecheria[[#This Row],[Económico $Corrientes]]/Producción_Lecheria[[#This Row],[Indexación Económico]],0)</f>
        <v>0</v>
      </c>
      <c r="X313" s="1013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13" s="1011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13" s="1012">
        <f>IFERROR(Producción_Lecheria[[#This Row],[Financiero $Corrientes]]/Producción_Lecheria[[#This Row],[Indexación Financiero]],0)</f>
        <v>0</v>
      </c>
      <c r="AA313" s="1012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13" s="1015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13" s="1016">
        <f>IFERROR(Producción_Lecheria[[#This Row],[Intereses $Corrientes]]/Producción_Lecheria[[#This Row],[Indexación Financiero]],0)</f>
        <v>0</v>
      </c>
      <c r="AD313" s="101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13" s="1026">
        <f>IFERROR(INDEX(Produccion_Lecheria_Cuentas[],MATCH(Producción_Lecheria[[#This Row],[Cuenta Contable]],Produccion_Lecheria_Cuentas[Cuenta Contable],0),2),0)</f>
        <v>0</v>
      </c>
      <c r="AF313" s="1021">
        <f>IF(Producción_Lecheria[[#This Row],[Mov. Stock]]="(+)",Producción_Lecheria[[#This Row],[Cabezas]],IF(Producción_Lecheria[[#This Row],[Mov. Stock]]="(-)",-Producción_Lecheria[[#This Row],[Cabezas]],0))</f>
        <v>0</v>
      </c>
      <c r="AG313" s="1022">
        <f>IFERROR(INDEX(Produccion_Lecheria_Cuentas[],MATCH(Producción_Lecheria[[#This Row],[Cuenta Contable]],Produccion_Lecheria_Cuentas[Cuenta Contable],0),5),0)</f>
        <v>0</v>
      </c>
      <c r="AH313" s="1023" t="str">
        <f>IF(Producción_Lecheria[[#This Row],[Cuenta Contable]]=Configuración!$AC$9,"Si","No")</f>
        <v>No</v>
      </c>
      <c r="AI313" s="983">
        <f>IFERROR(INDEX(Tabla9[],MATCH(Producción_Lecheria[[#This Row],[Movimiento]],Tabla9[Movimientos],0),2),0)</f>
        <v>0</v>
      </c>
      <c r="AJ313" s="984">
        <f>IFERROR(INDEX(Tabla9[],MATCH(Producción_Lecheria[[#This Row],[Movimiento]],Tabla9[Movimientos],0),3),0)</f>
        <v>0</v>
      </c>
      <c r="AK313" s="1016">
        <f>IF(Producción_Lecheria[[#This Row],[Fecha Económico]]=0,0,MONTH(Producción_Lecheria[[#This Row],[Fecha Económico]]))</f>
        <v>0</v>
      </c>
      <c r="AL313" s="1016">
        <f>IF(Producción_Lecheria[[#This Row],[Fecha Económico]]=0,0,YEAR(Producción_Lecheria[[#This Row],[Fecha Económico]]))</f>
        <v>0</v>
      </c>
      <c r="AM313" s="1023">
        <f>SUMPRODUCT((Producción_Lecheria[[#This Row],[Mes Económico]]=Tipo_Cambio[Mes])*(Producción_Lecheria[[#This Row],[Año Económico]]=Tipo_Cambio[Año])*(Tipo_Cambio[$/U$S]))</f>
        <v>0</v>
      </c>
      <c r="AN313" s="1023">
        <f>SUMPRODUCT((Producción_Lecheria[[#This Row],[Mes Económico]]=Tipo_Cambio[Mes])*(Producción_Lecheria[[#This Row],[Año Económico]]=Tipo_Cambio[Año])*(Tipo_Cambio[Actualización]))</f>
        <v>0</v>
      </c>
      <c r="AO313" s="1016">
        <f>IF(ISNUMBER(Producción_Lecheria[[#This Row],[Fecha Financiero]])=TRUE,MONTH(Producción_Lecheria[[#This Row],[Fecha Financiero]]),0)</f>
        <v>0</v>
      </c>
      <c r="AP313" s="1016">
        <f>IF(ISNUMBER(Producción_Lecheria[[#This Row],[Fecha Financiero]])=TRUE,YEAR(Producción_Lecheria[[#This Row],[Fecha Financiero]]),0)</f>
        <v>0</v>
      </c>
      <c r="AQ313" s="1023">
        <f>SUMPRODUCT((Producción_Lecheria[[#This Row],[Mes Financiero]]=Tipo_Cambio[Mes])*(Producción_Lecheria[[#This Row],[Año Financiero]]=Tipo_Cambio[Año])*(Tipo_Cambio[$/U$S]))</f>
        <v>0</v>
      </c>
      <c r="AR313" s="1023">
        <f>SUMPRODUCT((Producción_Lecheria[[#This Row],[Mes Financiero]]=Tipo_Cambio[Mes])*(Producción_Lecheria[[#This Row],[Año Financiero]]=Tipo_Cambio[Año])*(Tipo_Cambio[Actualización]))</f>
        <v>0</v>
      </c>
      <c r="AS313" s="1024">
        <f>SUMPRODUCT((Producción_Lecheria[[#This Row],[Centro de Costo]]=Tabla1924[Centro de Costo])*(Tabla19[Superficie]))</f>
        <v>0</v>
      </c>
      <c r="AT313" s="1023">
        <f>IFERROR(Producción_Lecheria[[#This Row],[Económico $Corrientes]]/Producción_Lecheria[[#This Row],[Superficie]],0)</f>
        <v>0</v>
      </c>
      <c r="AU313" s="1023">
        <f>IFERROR(Producción_Lecheria[[#This Row],[Económico $Constantes]]/Producción_Lecheria[[#This Row],[Superficie]],0)</f>
        <v>0</v>
      </c>
      <c r="AV313" s="1023">
        <f>IFERROR(Producción_Lecheria[[#This Row],[Económico U$S Dólares]]/Producción_Lecheria[[#This Row],[Superficie]],0)</f>
        <v>0</v>
      </c>
      <c r="AW313" s="1043">
        <f>IF(Económico!$F$4=0,0,Producción_Lecheria[Centro de Costo])</f>
        <v>0</v>
      </c>
    </row>
    <row r="314" spans="1:49" ht="15.75" thickTop="1" x14ac:dyDescent="0.25">
      <c r="B314" s="378" t="s">
        <v>56</v>
      </c>
      <c r="D314" s="579">
        <f>DATE(LEFT(Producción_Lecheria[[#This Row],[Campaña]],4),7,1)</f>
        <v>43282</v>
      </c>
      <c r="E314" s="493"/>
      <c r="F314" s="479" t="str">
        <f t="shared" si="28"/>
        <v>2018-2019</v>
      </c>
      <c r="G314" s="576" t="str">
        <f t="shared" ref="G314:G325" si="31">LCH_Arrendamiento</f>
        <v>Arrendamiento</v>
      </c>
      <c r="H314" s="481" t="s">
        <v>2</v>
      </c>
      <c r="I314" s="481"/>
      <c r="J314" s="549"/>
      <c r="K314" s="484"/>
      <c r="L31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1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14" s="520"/>
      <c r="O31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14" s="563"/>
      <c r="Q314" s="481"/>
      <c r="R314" s="875">
        <f>IF(ISNUMBER(Producción_Lecheria[[#This Row],[Cabezas]])=TRUE,Producción_Lecheria[[#This Row],[Cabezas]]*Producción_Lecheria[[#This Row],[Cantidad]],Producción_Lecheria[[#This Row],[Cantidad]])</f>
        <v>0</v>
      </c>
      <c r="S314" s="481"/>
      <c r="T314" s="552"/>
      <c r="U314" s="553"/>
      <c r="V31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14" s="989">
        <f>IFERROR(Producción_Lecheria[[#This Row],[Económico $Corrientes]]/Producción_Lecheria[[#This Row],[Indexación Económico]],0)</f>
        <v>0</v>
      </c>
      <c r="X31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1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14" s="989">
        <f>IFERROR(Producción_Lecheria[[#This Row],[Financiero $Corrientes]]/Producción_Lecheria[[#This Row],[Indexación Financiero]],0)</f>
        <v>0</v>
      </c>
      <c r="AA31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1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14" s="986">
        <f>IFERROR(Producción_Lecheria[[#This Row],[Intereses $Corrientes]]/Producción_Lecheria[[#This Row],[Indexación Financiero]],0)</f>
        <v>0</v>
      </c>
      <c r="AD314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14" s="991" t="str">
        <f>IFERROR(INDEX(Produccion_Lecheria_Cuentas[],MATCH(Producción_Lecheria[[#This Row],[Cuenta Contable]],Produccion_Lecheria_Cuentas[Cuenta Contable],0),2),0)</f>
        <v>Egreso</v>
      </c>
      <c r="AF314" s="992">
        <f>IF(Producción_Lecheria[[#This Row],[Mov. Stock]]="(+)",Producción_Lecheria[[#This Row],[Cabezas]],IF(Producción_Lecheria[[#This Row],[Mov. Stock]]="(-)",-Producción_Lecheria[[#This Row],[Cabezas]],0))</f>
        <v>0</v>
      </c>
      <c r="AG314" s="993">
        <f>IFERROR(INDEX(Produccion_Lecheria_Cuentas[],MATCH(Producción_Lecheria[[#This Row],[Cuenta Contable]],Produccion_Lecheria_Cuentas[Cuenta Contable],0),5),0)</f>
        <v>0</v>
      </c>
      <c r="AH314" s="987" t="str">
        <f>IF(Producción_Lecheria[[#This Row],[Cuenta Contable]]=Configuración!$AC$9,"Si","No")</f>
        <v>No</v>
      </c>
      <c r="AI314" s="1005" t="str">
        <f>IFERROR(INDEX(Tabla9[],MATCH(Producción_Lecheria[[#This Row],[Movimiento]],Tabla9[Movimientos],0),2),0)</f>
        <v>Si</v>
      </c>
      <c r="AJ314" s="1006" t="str">
        <f>IFERROR(INDEX(Tabla9[],MATCH(Producción_Lecheria[[#This Row],[Movimiento]],Tabla9[Movimientos],0),3),0)</f>
        <v>(-)</v>
      </c>
      <c r="AK314" s="986">
        <f>IF(Producción_Lecheria[[#This Row],[Fecha Económico]]=0,0,MONTH(Producción_Lecheria[[#This Row],[Fecha Económico]]))</f>
        <v>7</v>
      </c>
      <c r="AL314" s="986">
        <f>IF(Producción_Lecheria[[#This Row],[Fecha Económico]]=0,0,YEAR(Producción_Lecheria[[#This Row],[Fecha Económico]]))</f>
        <v>2018</v>
      </c>
      <c r="AM314" s="987">
        <f>SUMPRODUCT((Producción_Lecheria[[#This Row],[Mes Económico]]=Tipo_Cambio[Mes])*(Producción_Lecheria[[#This Row],[Año Económico]]=Tipo_Cambio[Año])*(Tipo_Cambio[$/U$S]))</f>
        <v>22</v>
      </c>
      <c r="AN314" s="987">
        <f>SUMPRODUCT((Producción_Lecheria[[#This Row],[Mes Económico]]=Tipo_Cambio[Mes])*(Producción_Lecheria[[#This Row],[Año Económico]]=Tipo_Cambio[Año])*(Tipo_Cambio[Actualización]))</f>
        <v>1</v>
      </c>
      <c r="AO314" s="986">
        <f>IF(ISNUMBER(Producción_Lecheria[[#This Row],[Fecha Financiero]])=TRUE,MONTH(Producción_Lecheria[[#This Row],[Fecha Financiero]]),0)</f>
        <v>0</v>
      </c>
      <c r="AP314" s="986">
        <f>IF(ISNUMBER(Producción_Lecheria[[#This Row],[Fecha Financiero]])=TRUE,YEAR(Producción_Lecheria[[#This Row],[Fecha Financiero]]),0)</f>
        <v>0</v>
      </c>
      <c r="AQ314" s="987">
        <f>SUMPRODUCT((Producción_Lecheria[[#This Row],[Mes Financiero]]=Tipo_Cambio[Mes])*(Producción_Lecheria[[#This Row],[Año Financiero]]=Tipo_Cambio[Año])*(Tipo_Cambio[$/U$S]))</f>
        <v>0</v>
      </c>
      <c r="AR314" s="987">
        <f>SUMPRODUCT((Producción_Lecheria[[#This Row],[Mes Financiero]]=Tipo_Cambio[Mes])*(Producción_Lecheria[[#This Row],[Año Financiero]]=Tipo_Cambio[Año])*(Tipo_Cambio[Actualización]))</f>
        <v>0</v>
      </c>
      <c r="AS314" s="1009">
        <f>SUMPRODUCT((Producción_Lecheria[[#This Row],[Centro de Costo]]=Tabla1924[Centro de Costo])*(Tabla19[Superficie]))</f>
        <v>2356</v>
      </c>
      <c r="AT314" s="1010">
        <f>IFERROR(Producción_Lecheria[[#This Row],[Económico $Corrientes]]/Producción_Lecheria[[#This Row],[Superficie]],0)</f>
        <v>0</v>
      </c>
      <c r="AU314" s="1010">
        <f>IFERROR(Producción_Lecheria[[#This Row],[Económico $Constantes]]/Producción_Lecheria[[#This Row],[Superficie]],0)</f>
        <v>0</v>
      </c>
      <c r="AV314" s="1010">
        <f>IFERROR(Producción_Lecheria[[#This Row],[Económico U$S Dólares]]/Producción_Lecheria[[#This Row],[Superficie]],0)</f>
        <v>0</v>
      </c>
      <c r="AW314" s="992" t="str">
        <f>IF(Económico!$F$4=0,0,Producción_Lecheria[Centro de Costo])</f>
        <v>Campo 1</v>
      </c>
    </row>
    <row r="315" spans="1:49" x14ac:dyDescent="0.25">
      <c r="B315" s="1137" t="s">
        <v>57</v>
      </c>
      <c r="D315" s="548">
        <f>DATE(IF(MONTH(D314)=1,YEAR(D314+1),YEAR(D314)),MONTH(D314)+1,1)</f>
        <v>43313</v>
      </c>
      <c r="E315" s="493"/>
      <c r="F315" s="479" t="str">
        <f t="shared" si="28"/>
        <v>2018-2019</v>
      </c>
      <c r="G315" s="576" t="str">
        <f t="shared" si="31"/>
        <v>Arrendamiento</v>
      </c>
      <c r="H315" s="481" t="s">
        <v>2</v>
      </c>
      <c r="I315" s="481"/>
      <c r="J315" s="549"/>
      <c r="K315" s="484"/>
      <c r="L31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1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15" s="520"/>
      <c r="O31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15" s="563"/>
      <c r="Q315" s="481"/>
      <c r="R315" s="875">
        <f>IF(ISNUMBER(Producción_Lecheria[[#This Row],[Cabezas]])=TRUE,Producción_Lecheria[[#This Row],[Cabezas]]*Producción_Lecheria[[#This Row],[Cantidad]],Producción_Lecheria[[#This Row],[Cantidad]])</f>
        <v>0</v>
      </c>
      <c r="S315" s="481"/>
      <c r="T315" s="552"/>
      <c r="U315" s="553"/>
      <c r="V31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15" s="989">
        <f>IFERROR(Producción_Lecheria[[#This Row],[Económico $Corrientes]]/Producción_Lecheria[[#This Row],[Indexación Económico]],0)</f>
        <v>0</v>
      </c>
      <c r="X31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1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15" s="989">
        <f>IFERROR(Producción_Lecheria[[#This Row],[Financiero $Corrientes]]/Producción_Lecheria[[#This Row],[Indexación Financiero]],0)</f>
        <v>0</v>
      </c>
      <c r="AA31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1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15" s="986">
        <f>IFERROR(Producción_Lecheria[[#This Row],[Intereses $Corrientes]]/Producción_Lecheria[[#This Row],[Indexación Financiero]],0)</f>
        <v>0</v>
      </c>
      <c r="AD315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15" s="991" t="str">
        <f>IFERROR(INDEX(Produccion_Lecheria_Cuentas[],MATCH(Producción_Lecheria[[#This Row],[Cuenta Contable]],Produccion_Lecheria_Cuentas[Cuenta Contable],0),2),0)</f>
        <v>Egreso</v>
      </c>
      <c r="AF315" s="992">
        <f>IF(Producción_Lecheria[[#This Row],[Mov. Stock]]="(+)",Producción_Lecheria[[#This Row],[Cabezas]],IF(Producción_Lecheria[[#This Row],[Mov. Stock]]="(-)",-Producción_Lecheria[[#This Row],[Cabezas]],0))</f>
        <v>0</v>
      </c>
      <c r="AG315" s="993">
        <f>IFERROR(INDEX(Produccion_Lecheria_Cuentas[],MATCH(Producción_Lecheria[[#This Row],[Cuenta Contable]],Produccion_Lecheria_Cuentas[Cuenta Contable],0),5),0)</f>
        <v>0</v>
      </c>
      <c r="AH315" s="987" t="str">
        <f>IF(Producción_Lecheria[[#This Row],[Cuenta Contable]]=Configuración!$AC$9,"Si","No")</f>
        <v>No</v>
      </c>
      <c r="AI315" s="983" t="str">
        <f>IFERROR(INDEX(Tabla9[],MATCH(Producción_Lecheria[[#This Row],[Movimiento]],Tabla9[Movimientos],0),2),0)</f>
        <v>Si</v>
      </c>
      <c r="AJ315" s="984" t="str">
        <f>IFERROR(INDEX(Tabla9[],MATCH(Producción_Lecheria[[#This Row],[Movimiento]],Tabla9[Movimientos],0),3),0)</f>
        <v>(-)</v>
      </c>
      <c r="AK315" s="986">
        <f>IF(Producción_Lecheria[[#This Row],[Fecha Económico]]=0,0,MONTH(Producción_Lecheria[[#This Row],[Fecha Económico]]))</f>
        <v>8</v>
      </c>
      <c r="AL315" s="986">
        <f>IF(Producción_Lecheria[[#This Row],[Fecha Económico]]=0,0,YEAR(Producción_Lecheria[[#This Row],[Fecha Económico]]))</f>
        <v>2018</v>
      </c>
      <c r="AM315" s="987">
        <f>SUMPRODUCT((Producción_Lecheria[[#This Row],[Mes Económico]]=Tipo_Cambio[Mes])*(Producción_Lecheria[[#This Row],[Año Económico]]=Tipo_Cambio[Año])*(Tipo_Cambio[$/U$S]))</f>
        <v>22.22</v>
      </c>
      <c r="AN315" s="987">
        <f>SUMPRODUCT((Producción_Lecheria[[#This Row],[Mes Económico]]=Tipo_Cambio[Mes])*(Producción_Lecheria[[#This Row],[Año Económico]]=Tipo_Cambio[Año])*(Tipo_Cambio[Actualización]))</f>
        <v>1.02</v>
      </c>
      <c r="AO315" s="986">
        <f>IF(ISNUMBER(Producción_Lecheria[[#This Row],[Fecha Financiero]])=TRUE,MONTH(Producción_Lecheria[[#This Row],[Fecha Financiero]]),0)</f>
        <v>0</v>
      </c>
      <c r="AP315" s="986">
        <f>IF(ISNUMBER(Producción_Lecheria[[#This Row],[Fecha Financiero]])=TRUE,YEAR(Producción_Lecheria[[#This Row],[Fecha Financiero]]),0)</f>
        <v>0</v>
      </c>
      <c r="AQ315" s="987">
        <f>SUMPRODUCT((Producción_Lecheria[[#This Row],[Mes Financiero]]=Tipo_Cambio[Mes])*(Producción_Lecheria[[#This Row],[Año Financiero]]=Tipo_Cambio[Año])*(Tipo_Cambio[$/U$S]))</f>
        <v>0</v>
      </c>
      <c r="AR315" s="987">
        <f>SUMPRODUCT((Producción_Lecheria[[#This Row],[Mes Financiero]]=Tipo_Cambio[Mes])*(Producción_Lecheria[[#This Row],[Año Financiero]]=Tipo_Cambio[Año])*(Tipo_Cambio[Actualización]))</f>
        <v>0</v>
      </c>
      <c r="AS315" s="1009">
        <f>SUMPRODUCT((Producción_Lecheria[[#This Row],[Centro de Costo]]=Tabla1924[Centro de Costo])*(Tabla19[Superficie]))</f>
        <v>2356</v>
      </c>
      <c r="AT315" s="1010">
        <f>IFERROR(Producción_Lecheria[[#This Row],[Económico $Corrientes]]/Producción_Lecheria[[#This Row],[Superficie]],0)</f>
        <v>0</v>
      </c>
      <c r="AU315" s="1010">
        <f>IFERROR(Producción_Lecheria[[#This Row],[Económico $Constantes]]/Producción_Lecheria[[#This Row],[Superficie]],0)</f>
        <v>0</v>
      </c>
      <c r="AV315" s="1010">
        <f>IFERROR(Producción_Lecheria[[#This Row],[Económico U$S Dólares]]/Producción_Lecheria[[#This Row],[Superficie]],0)</f>
        <v>0</v>
      </c>
      <c r="AW315" s="992" t="str">
        <f>IF(Económico!$F$4=0,0,Producción_Lecheria[Centro de Costo])</f>
        <v>Campo 1</v>
      </c>
    </row>
    <row r="316" spans="1:49" x14ac:dyDescent="0.25">
      <c r="B316" s="1137"/>
      <c r="D316" s="548">
        <f t="shared" ref="D316:D325" si="32">DATE(IF(MONTH(D315)=1,YEAR(D315+1),YEAR(D315)),MONTH(D315)+1,1)</f>
        <v>43344</v>
      </c>
      <c r="E316" s="493"/>
      <c r="F316" s="479" t="str">
        <f t="shared" si="28"/>
        <v>2018-2019</v>
      </c>
      <c r="G316" s="576" t="str">
        <f t="shared" si="31"/>
        <v>Arrendamiento</v>
      </c>
      <c r="H316" s="481" t="s">
        <v>2</v>
      </c>
      <c r="I316" s="481"/>
      <c r="J316" s="549"/>
      <c r="K316" s="484"/>
      <c r="L31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1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16" s="520"/>
      <c r="O31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16" s="563"/>
      <c r="Q316" s="481"/>
      <c r="R316" s="875">
        <f>IF(ISNUMBER(Producción_Lecheria[[#This Row],[Cabezas]])=TRUE,Producción_Lecheria[[#This Row],[Cabezas]]*Producción_Lecheria[[#This Row],[Cantidad]],Producción_Lecheria[[#This Row],[Cantidad]])</f>
        <v>0</v>
      </c>
      <c r="S316" s="481"/>
      <c r="T316" s="552"/>
      <c r="U316" s="553"/>
      <c r="V31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16" s="989">
        <f>IFERROR(Producción_Lecheria[[#This Row],[Económico $Corrientes]]/Producción_Lecheria[[#This Row],[Indexación Económico]],0)</f>
        <v>0</v>
      </c>
      <c r="X31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1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16" s="989">
        <f>IFERROR(Producción_Lecheria[[#This Row],[Financiero $Corrientes]]/Producción_Lecheria[[#This Row],[Indexación Financiero]],0)</f>
        <v>0</v>
      </c>
      <c r="AA31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1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16" s="986">
        <f>IFERROR(Producción_Lecheria[[#This Row],[Intereses $Corrientes]]/Producción_Lecheria[[#This Row],[Indexación Financiero]],0)</f>
        <v>0</v>
      </c>
      <c r="AD316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16" s="991" t="str">
        <f>IFERROR(INDEX(Produccion_Lecheria_Cuentas[],MATCH(Producción_Lecheria[[#This Row],[Cuenta Contable]],Produccion_Lecheria_Cuentas[Cuenta Contable],0),2),0)</f>
        <v>Egreso</v>
      </c>
      <c r="AF316" s="992">
        <f>IF(Producción_Lecheria[[#This Row],[Mov. Stock]]="(+)",Producción_Lecheria[[#This Row],[Cabezas]],IF(Producción_Lecheria[[#This Row],[Mov. Stock]]="(-)",-Producción_Lecheria[[#This Row],[Cabezas]],0))</f>
        <v>0</v>
      </c>
      <c r="AG316" s="993">
        <f>IFERROR(INDEX(Produccion_Lecheria_Cuentas[],MATCH(Producción_Lecheria[[#This Row],[Cuenta Contable]],Produccion_Lecheria_Cuentas[Cuenta Contable],0),5),0)</f>
        <v>0</v>
      </c>
      <c r="AH316" s="987" t="str">
        <f>IF(Producción_Lecheria[[#This Row],[Cuenta Contable]]=Configuración!$AC$9,"Si","No")</f>
        <v>No</v>
      </c>
      <c r="AI316" s="983" t="str">
        <f>IFERROR(INDEX(Tabla9[],MATCH(Producción_Lecheria[[#This Row],[Movimiento]],Tabla9[Movimientos],0),2),0)</f>
        <v>Si</v>
      </c>
      <c r="AJ316" s="984" t="str">
        <f>IFERROR(INDEX(Tabla9[],MATCH(Producción_Lecheria[[#This Row],[Movimiento]],Tabla9[Movimientos],0),3),0)</f>
        <v>(-)</v>
      </c>
      <c r="AK316" s="986">
        <f>IF(Producción_Lecheria[[#This Row],[Fecha Económico]]=0,0,MONTH(Producción_Lecheria[[#This Row],[Fecha Económico]]))</f>
        <v>9</v>
      </c>
      <c r="AL316" s="986">
        <f>IF(Producción_Lecheria[[#This Row],[Fecha Económico]]=0,0,YEAR(Producción_Lecheria[[#This Row],[Fecha Económico]]))</f>
        <v>2018</v>
      </c>
      <c r="AM316" s="987">
        <f>SUMPRODUCT((Producción_Lecheria[[#This Row],[Mes Económico]]=Tipo_Cambio[Mes])*(Producción_Lecheria[[#This Row],[Año Económico]]=Tipo_Cambio[Año])*(Tipo_Cambio[$/U$S]))</f>
        <v>22.4422</v>
      </c>
      <c r="AN316" s="987">
        <f>SUMPRODUCT((Producción_Lecheria[[#This Row],[Mes Económico]]=Tipo_Cambio[Mes])*(Producción_Lecheria[[#This Row],[Año Económico]]=Tipo_Cambio[Año])*(Tipo_Cambio[Actualización]))</f>
        <v>1.0404</v>
      </c>
      <c r="AO316" s="986">
        <f>IF(ISNUMBER(Producción_Lecheria[[#This Row],[Fecha Financiero]])=TRUE,MONTH(Producción_Lecheria[[#This Row],[Fecha Financiero]]),0)</f>
        <v>0</v>
      </c>
      <c r="AP316" s="986">
        <f>IF(ISNUMBER(Producción_Lecheria[[#This Row],[Fecha Financiero]])=TRUE,YEAR(Producción_Lecheria[[#This Row],[Fecha Financiero]]),0)</f>
        <v>0</v>
      </c>
      <c r="AQ316" s="987">
        <f>SUMPRODUCT((Producción_Lecheria[[#This Row],[Mes Financiero]]=Tipo_Cambio[Mes])*(Producción_Lecheria[[#This Row],[Año Financiero]]=Tipo_Cambio[Año])*(Tipo_Cambio[$/U$S]))</f>
        <v>0</v>
      </c>
      <c r="AR316" s="987">
        <f>SUMPRODUCT((Producción_Lecheria[[#This Row],[Mes Financiero]]=Tipo_Cambio[Mes])*(Producción_Lecheria[[#This Row],[Año Financiero]]=Tipo_Cambio[Año])*(Tipo_Cambio[Actualización]))</f>
        <v>0</v>
      </c>
      <c r="AS316" s="1009">
        <f>SUMPRODUCT((Producción_Lecheria[[#This Row],[Centro de Costo]]=Tabla1924[Centro de Costo])*(Tabla19[Superficie]))</f>
        <v>2356</v>
      </c>
      <c r="AT316" s="1010">
        <f>IFERROR(Producción_Lecheria[[#This Row],[Económico $Corrientes]]/Producción_Lecheria[[#This Row],[Superficie]],0)</f>
        <v>0</v>
      </c>
      <c r="AU316" s="1010">
        <f>IFERROR(Producción_Lecheria[[#This Row],[Económico $Constantes]]/Producción_Lecheria[[#This Row],[Superficie]],0)</f>
        <v>0</v>
      </c>
      <c r="AV316" s="1010">
        <f>IFERROR(Producción_Lecheria[[#This Row],[Económico U$S Dólares]]/Producción_Lecheria[[#This Row],[Superficie]],0)</f>
        <v>0</v>
      </c>
      <c r="AW316" s="992" t="str">
        <f>IF(Económico!$F$4=0,0,Producción_Lecheria[Centro de Costo])</f>
        <v>Campo 1</v>
      </c>
    </row>
    <row r="317" spans="1:49" x14ac:dyDescent="0.25">
      <c r="D317" s="548">
        <f t="shared" si="32"/>
        <v>43374</v>
      </c>
      <c r="E317" s="493"/>
      <c r="F317" s="479" t="str">
        <f t="shared" si="28"/>
        <v>2018-2019</v>
      </c>
      <c r="G317" s="576" t="str">
        <f t="shared" si="31"/>
        <v>Arrendamiento</v>
      </c>
      <c r="H317" s="481" t="s">
        <v>2</v>
      </c>
      <c r="I317" s="481"/>
      <c r="J317" s="549"/>
      <c r="K317" s="484"/>
      <c r="L31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1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17" s="520"/>
      <c r="O31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17" s="563"/>
      <c r="Q317" s="481"/>
      <c r="R317" s="875">
        <f>IF(ISNUMBER(Producción_Lecheria[[#This Row],[Cabezas]])=TRUE,Producción_Lecheria[[#This Row],[Cabezas]]*Producción_Lecheria[[#This Row],[Cantidad]],Producción_Lecheria[[#This Row],[Cantidad]])</f>
        <v>0</v>
      </c>
      <c r="S317" s="481"/>
      <c r="T317" s="552"/>
      <c r="U317" s="553"/>
      <c r="V31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17" s="989">
        <f>IFERROR(Producción_Lecheria[[#This Row],[Económico $Corrientes]]/Producción_Lecheria[[#This Row],[Indexación Económico]],0)</f>
        <v>0</v>
      </c>
      <c r="X31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1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17" s="989">
        <f>IFERROR(Producción_Lecheria[[#This Row],[Financiero $Corrientes]]/Producción_Lecheria[[#This Row],[Indexación Financiero]],0)</f>
        <v>0</v>
      </c>
      <c r="AA31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1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17" s="986">
        <f>IFERROR(Producción_Lecheria[[#This Row],[Intereses $Corrientes]]/Producción_Lecheria[[#This Row],[Indexación Financiero]],0)</f>
        <v>0</v>
      </c>
      <c r="AD317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17" s="991" t="str">
        <f>IFERROR(INDEX(Produccion_Lecheria_Cuentas[],MATCH(Producción_Lecheria[[#This Row],[Cuenta Contable]],Produccion_Lecheria_Cuentas[Cuenta Contable],0),2),0)</f>
        <v>Egreso</v>
      </c>
      <c r="AF317" s="992">
        <f>IF(Producción_Lecheria[[#This Row],[Mov. Stock]]="(+)",Producción_Lecheria[[#This Row],[Cabezas]],IF(Producción_Lecheria[[#This Row],[Mov. Stock]]="(-)",-Producción_Lecheria[[#This Row],[Cabezas]],0))</f>
        <v>0</v>
      </c>
      <c r="AG317" s="993">
        <f>IFERROR(INDEX(Produccion_Lecheria_Cuentas[],MATCH(Producción_Lecheria[[#This Row],[Cuenta Contable]],Produccion_Lecheria_Cuentas[Cuenta Contable],0),5),0)</f>
        <v>0</v>
      </c>
      <c r="AH317" s="987" t="str">
        <f>IF(Producción_Lecheria[[#This Row],[Cuenta Contable]]=Configuración!$AC$9,"Si","No")</f>
        <v>No</v>
      </c>
      <c r="AI317" s="983" t="str">
        <f>IFERROR(INDEX(Tabla9[],MATCH(Producción_Lecheria[[#This Row],[Movimiento]],Tabla9[Movimientos],0),2),0)</f>
        <v>Si</v>
      </c>
      <c r="AJ317" s="984" t="str">
        <f>IFERROR(INDEX(Tabla9[],MATCH(Producción_Lecheria[[#This Row],[Movimiento]],Tabla9[Movimientos],0),3),0)</f>
        <v>(-)</v>
      </c>
      <c r="AK317" s="986">
        <f>IF(Producción_Lecheria[[#This Row],[Fecha Económico]]=0,0,MONTH(Producción_Lecheria[[#This Row],[Fecha Económico]]))</f>
        <v>10</v>
      </c>
      <c r="AL317" s="986">
        <f>IF(Producción_Lecheria[[#This Row],[Fecha Económico]]=0,0,YEAR(Producción_Lecheria[[#This Row],[Fecha Económico]]))</f>
        <v>2018</v>
      </c>
      <c r="AM317" s="987">
        <f>SUMPRODUCT((Producción_Lecheria[[#This Row],[Mes Económico]]=Tipo_Cambio[Mes])*(Producción_Lecheria[[#This Row],[Año Económico]]=Tipo_Cambio[Año])*(Tipo_Cambio[$/U$S]))</f>
        <v>22.666622</v>
      </c>
      <c r="AN317" s="987">
        <f>SUMPRODUCT((Producción_Lecheria[[#This Row],[Mes Económico]]=Tipo_Cambio[Mes])*(Producción_Lecheria[[#This Row],[Año Económico]]=Tipo_Cambio[Año])*(Tipo_Cambio[Actualización]))</f>
        <v>1.0612079999999999</v>
      </c>
      <c r="AO317" s="986">
        <f>IF(ISNUMBER(Producción_Lecheria[[#This Row],[Fecha Financiero]])=TRUE,MONTH(Producción_Lecheria[[#This Row],[Fecha Financiero]]),0)</f>
        <v>0</v>
      </c>
      <c r="AP317" s="986">
        <f>IF(ISNUMBER(Producción_Lecheria[[#This Row],[Fecha Financiero]])=TRUE,YEAR(Producción_Lecheria[[#This Row],[Fecha Financiero]]),0)</f>
        <v>0</v>
      </c>
      <c r="AQ317" s="987">
        <f>SUMPRODUCT((Producción_Lecheria[[#This Row],[Mes Financiero]]=Tipo_Cambio[Mes])*(Producción_Lecheria[[#This Row],[Año Financiero]]=Tipo_Cambio[Año])*(Tipo_Cambio[$/U$S]))</f>
        <v>0</v>
      </c>
      <c r="AR317" s="987">
        <f>SUMPRODUCT((Producción_Lecheria[[#This Row],[Mes Financiero]]=Tipo_Cambio[Mes])*(Producción_Lecheria[[#This Row],[Año Financiero]]=Tipo_Cambio[Año])*(Tipo_Cambio[Actualización]))</f>
        <v>0</v>
      </c>
      <c r="AS317" s="1009">
        <f>SUMPRODUCT((Producción_Lecheria[[#This Row],[Centro de Costo]]=Tabla1924[Centro de Costo])*(Tabla19[Superficie]))</f>
        <v>2356</v>
      </c>
      <c r="AT317" s="1010">
        <f>IFERROR(Producción_Lecheria[[#This Row],[Económico $Corrientes]]/Producción_Lecheria[[#This Row],[Superficie]],0)</f>
        <v>0</v>
      </c>
      <c r="AU317" s="1010">
        <f>IFERROR(Producción_Lecheria[[#This Row],[Económico $Constantes]]/Producción_Lecheria[[#This Row],[Superficie]],0)</f>
        <v>0</v>
      </c>
      <c r="AV317" s="1010">
        <f>IFERROR(Producción_Lecheria[[#This Row],[Económico U$S Dólares]]/Producción_Lecheria[[#This Row],[Superficie]],0)</f>
        <v>0</v>
      </c>
      <c r="AW317" s="992" t="str">
        <f>IF(Económico!$F$4=0,0,Producción_Lecheria[Centro de Costo])</f>
        <v>Campo 1</v>
      </c>
    </row>
    <row r="318" spans="1:49" x14ac:dyDescent="0.25">
      <c r="D318" s="548">
        <f t="shared" si="32"/>
        <v>43405</v>
      </c>
      <c r="E318" s="493"/>
      <c r="F318" s="479" t="str">
        <f t="shared" si="28"/>
        <v>2018-2019</v>
      </c>
      <c r="G318" s="576" t="str">
        <f t="shared" si="31"/>
        <v>Arrendamiento</v>
      </c>
      <c r="H318" s="481" t="s">
        <v>2</v>
      </c>
      <c r="I318" s="481"/>
      <c r="J318" s="549"/>
      <c r="K318" s="484"/>
      <c r="L31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1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18" s="520"/>
      <c r="O31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18" s="563"/>
      <c r="Q318" s="481"/>
      <c r="R318" s="875">
        <f>IF(ISNUMBER(Producción_Lecheria[[#This Row],[Cabezas]])=TRUE,Producción_Lecheria[[#This Row],[Cabezas]]*Producción_Lecheria[[#This Row],[Cantidad]],Producción_Lecheria[[#This Row],[Cantidad]])</f>
        <v>0</v>
      </c>
      <c r="S318" s="481"/>
      <c r="T318" s="552"/>
      <c r="U318" s="553"/>
      <c r="V31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18" s="989">
        <f>IFERROR(Producción_Lecheria[[#This Row],[Económico $Corrientes]]/Producción_Lecheria[[#This Row],[Indexación Económico]],0)</f>
        <v>0</v>
      </c>
      <c r="X31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1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18" s="989">
        <f>IFERROR(Producción_Lecheria[[#This Row],[Financiero $Corrientes]]/Producción_Lecheria[[#This Row],[Indexación Financiero]],0)</f>
        <v>0</v>
      </c>
      <c r="AA31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1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18" s="986">
        <f>IFERROR(Producción_Lecheria[[#This Row],[Intereses $Corrientes]]/Producción_Lecheria[[#This Row],[Indexación Financiero]],0)</f>
        <v>0</v>
      </c>
      <c r="AD318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18" s="991" t="str">
        <f>IFERROR(INDEX(Produccion_Lecheria_Cuentas[],MATCH(Producción_Lecheria[[#This Row],[Cuenta Contable]],Produccion_Lecheria_Cuentas[Cuenta Contable],0),2),0)</f>
        <v>Egreso</v>
      </c>
      <c r="AF318" s="992">
        <f>IF(Producción_Lecheria[[#This Row],[Mov. Stock]]="(+)",Producción_Lecheria[[#This Row],[Cabezas]],IF(Producción_Lecheria[[#This Row],[Mov. Stock]]="(-)",-Producción_Lecheria[[#This Row],[Cabezas]],0))</f>
        <v>0</v>
      </c>
      <c r="AG318" s="993">
        <f>IFERROR(INDEX(Produccion_Lecheria_Cuentas[],MATCH(Producción_Lecheria[[#This Row],[Cuenta Contable]],Produccion_Lecheria_Cuentas[Cuenta Contable],0),5),0)</f>
        <v>0</v>
      </c>
      <c r="AH318" s="987" t="str">
        <f>IF(Producción_Lecheria[[#This Row],[Cuenta Contable]]=Configuración!$AC$9,"Si","No")</f>
        <v>No</v>
      </c>
      <c r="AI318" s="983" t="str">
        <f>IFERROR(INDEX(Tabla9[],MATCH(Producción_Lecheria[[#This Row],[Movimiento]],Tabla9[Movimientos],0),2),0)</f>
        <v>Si</v>
      </c>
      <c r="AJ318" s="984" t="str">
        <f>IFERROR(INDEX(Tabla9[],MATCH(Producción_Lecheria[[#This Row],[Movimiento]],Tabla9[Movimientos],0),3),0)</f>
        <v>(-)</v>
      </c>
      <c r="AK318" s="986">
        <f>IF(Producción_Lecheria[[#This Row],[Fecha Económico]]=0,0,MONTH(Producción_Lecheria[[#This Row],[Fecha Económico]]))</f>
        <v>11</v>
      </c>
      <c r="AL318" s="986">
        <f>IF(Producción_Lecheria[[#This Row],[Fecha Económico]]=0,0,YEAR(Producción_Lecheria[[#This Row],[Fecha Económico]]))</f>
        <v>2018</v>
      </c>
      <c r="AM318" s="987">
        <f>SUMPRODUCT((Producción_Lecheria[[#This Row],[Mes Económico]]=Tipo_Cambio[Mes])*(Producción_Lecheria[[#This Row],[Año Económico]]=Tipo_Cambio[Año])*(Tipo_Cambio[$/U$S]))</f>
        <v>22.893288219999999</v>
      </c>
      <c r="AN318" s="987">
        <f>SUMPRODUCT((Producción_Lecheria[[#This Row],[Mes Económico]]=Tipo_Cambio[Mes])*(Producción_Lecheria[[#This Row],[Año Económico]]=Tipo_Cambio[Año])*(Tipo_Cambio[Actualización]))</f>
        <v>1.08243216</v>
      </c>
      <c r="AO318" s="986">
        <f>IF(ISNUMBER(Producción_Lecheria[[#This Row],[Fecha Financiero]])=TRUE,MONTH(Producción_Lecheria[[#This Row],[Fecha Financiero]]),0)</f>
        <v>0</v>
      </c>
      <c r="AP318" s="986">
        <f>IF(ISNUMBER(Producción_Lecheria[[#This Row],[Fecha Financiero]])=TRUE,YEAR(Producción_Lecheria[[#This Row],[Fecha Financiero]]),0)</f>
        <v>0</v>
      </c>
      <c r="AQ318" s="987">
        <f>SUMPRODUCT((Producción_Lecheria[[#This Row],[Mes Financiero]]=Tipo_Cambio[Mes])*(Producción_Lecheria[[#This Row],[Año Financiero]]=Tipo_Cambio[Año])*(Tipo_Cambio[$/U$S]))</f>
        <v>0</v>
      </c>
      <c r="AR318" s="987">
        <f>SUMPRODUCT((Producción_Lecheria[[#This Row],[Mes Financiero]]=Tipo_Cambio[Mes])*(Producción_Lecheria[[#This Row],[Año Financiero]]=Tipo_Cambio[Año])*(Tipo_Cambio[Actualización]))</f>
        <v>0</v>
      </c>
      <c r="AS318" s="1009">
        <f>SUMPRODUCT((Producción_Lecheria[[#This Row],[Centro de Costo]]=Tabla1924[Centro de Costo])*(Tabla19[Superficie]))</f>
        <v>2356</v>
      </c>
      <c r="AT318" s="1010">
        <f>IFERROR(Producción_Lecheria[[#This Row],[Económico $Corrientes]]/Producción_Lecheria[[#This Row],[Superficie]],0)</f>
        <v>0</v>
      </c>
      <c r="AU318" s="1010">
        <f>IFERROR(Producción_Lecheria[[#This Row],[Económico $Constantes]]/Producción_Lecheria[[#This Row],[Superficie]],0)</f>
        <v>0</v>
      </c>
      <c r="AV318" s="1010">
        <f>IFERROR(Producción_Lecheria[[#This Row],[Económico U$S Dólares]]/Producción_Lecheria[[#This Row],[Superficie]],0)</f>
        <v>0</v>
      </c>
      <c r="AW318" s="992" t="str">
        <f>IF(Económico!$F$4=0,0,Producción_Lecheria[Centro de Costo])</f>
        <v>Campo 1</v>
      </c>
    </row>
    <row r="319" spans="1:49" x14ac:dyDescent="0.25">
      <c r="D319" s="548">
        <f t="shared" si="32"/>
        <v>43435</v>
      </c>
      <c r="E319" s="493"/>
      <c r="F319" s="479" t="str">
        <f t="shared" si="28"/>
        <v>2018-2019</v>
      </c>
      <c r="G319" s="576" t="str">
        <f t="shared" si="31"/>
        <v>Arrendamiento</v>
      </c>
      <c r="H319" s="481" t="s">
        <v>2</v>
      </c>
      <c r="I319" s="481"/>
      <c r="J319" s="549"/>
      <c r="K319" s="484"/>
      <c r="L31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1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19" s="520"/>
      <c r="O31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19" s="563"/>
      <c r="Q319" s="481"/>
      <c r="R319" s="875">
        <f>IF(ISNUMBER(Producción_Lecheria[[#This Row],[Cabezas]])=TRUE,Producción_Lecheria[[#This Row],[Cabezas]]*Producción_Lecheria[[#This Row],[Cantidad]],Producción_Lecheria[[#This Row],[Cantidad]])</f>
        <v>0</v>
      </c>
      <c r="S319" s="481"/>
      <c r="T319" s="552"/>
      <c r="U319" s="553"/>
      <c r="V31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19" s="989">
        <f>IFERROR(Producción_Lecheria[[#This Row],[Económico $Corrientes]]/Producción_Lecheria[[#This Row],[Indexación Económico]],0)</f>
        <v>0</v>
      </c>
      <c r="X31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1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19" s="989">
        <f>IFERROR(Producción_Lecheria[[#This Row],[Financiero $Corrientes]]/Producción_Lecheria[[#This Row],[Indexación Financiero]],0)</f>
        <v>0</v>
      </c>
      <c r="AA31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1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19" s="986">
        <f>IFERROR(Producción_Lecheria[[#This Row],[Intereses $Corrientes]]/Producción_Lecheria[[#This Row],[Indexación Financiero]],0)</f>
        <v>0</v>
      </c>
      <c r="AD319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19" s="991" t="str">
        <f>IFERROR(INDEX(Produccion_Lecheria_Cuentas[],MATCH(Producción_Lecheria[[#This Row],[Cuenta Contable]],Produccion_Lecheria_Cuentas[Cuenta Contable],0),2),0)</f>
        <v>Egreso</v>
      </c>
      <c r="AF319" s="992">
        <f>IF(Producción_Lecheria[[#This Row],[Mov. Stock]]="(+)",Producción_Lecheria[[#This Row],[Cabezas]],IF(Producción_Lecheria[[#This Row],[Mov. Stock]]="(-)",-Producción_Lecheria[[#This Row],[Cabezas]],0))</f>
        <v>0</v>
      </c>
      <c r="AG319" s="993">
        <f>IFERROR(INDEX(Produccion_Lecheria_Cuentas[],MATCH(Producción_Lecheria[[#This Row],[Cuenta Contable]],Produccion_Lecheria_Cuentas[Cuenta Contable],0),5),0)</f>
        <v>0</v>
      </c>
      <c r="AH319" s="987" t="str">
        <f>IF(Producción_Lecheria[[#This Row],[Cuenta Contable]]=Configuración!$AC$9,"Si","No")</f>
        <v>No</v>
      </c>
      <c r="AI319" s="983" t="str">
        <f>IFERROR(INDEX(Tabla9[],MATCH(Producción_Lecheria[[#This Row],[Movimiento]],Tabla9[Movimientos],0),2),0)</f>
        <v>Si</v>
      </c>
      <c r="AJ319" s="984" t="str">
        <f>IFERROR(INDEX(Tabla9[],MATCH(Producción_Lecheria[[#This Row],[Movimiento]],Tabla9[Movimientos],0),3),0)</f>
        <v>(-)</v>
      </c>
      <c r="AK319" s="986">
        <f>IF(Producción_Lecheria[[#This Row],[Fecha Económico]]=0,0,MONTH(Producción_Lecheria[[#This Row],[Fecha Económico]]))</f>
        <v>12</v>
      </c>
      <c r="AL319" s="986">
        <f>IF(Producción_Lecheria[[#This Row],[Fecha Económico]]=0,0,YEAR(Producción_Lecheria[[#This Row],[Fecha Económico]]))</f>
        <v>2018</v>
      </c>
      <c r="AM319" s="987">
        <f>SUMPRODUCT((Producción_Lecheria[[#This Row],[Mes Económico]]=Tipo_Cambio[Mes])*(Producción_Lecheria[[#This Row],[Año Económico]]=Tipo_Cambio[Año])*(Tipo_Cambio[$/U$S]))</f>
        <v>23.122221102199997</v>
      </c>
      <c r="AN319" s="987">
        <f>SUMPRODUCT((Producción_Lecheria[[#This Row],[Mes Económico]]=Tipo_Cambio[Mes])*(Producción_Lecheria[[#This Row],[Año Económico]]=Tipo_Cambio[Año])*(Tipo_Cambio[Actualización]))</f>
        <v>1.1040808032</v>
      </c>
      <c r="AO319" s="986">
        <f>IF(ISNUMBER(Producción_Lecheria[[#This Row],[Fecha Financiero]])=TRUE,MONTH(Producción_Lecheria[[#This Row],[Fecha Financiero]]),0)</f>
        <v>0</v>
      </c>
      <c r="AP319" s="986">
        <f>IF(ISNUMBER(Producción_Lecheria[[#This Row],[Fecha Financiero]])=TRUE,YEAR(Producción_Lecheria[[#This Row],[Fecha Financiero]]),0)</f>
        <v>0</v>
      </c>
      <c r="AQ319" s="987">
        <f>SUMPRODUCT((Producción_Lecheria[[#This Row],[Mes Financiero]]=Tipo_Cambio[Mes])*(Producción_Lecheria[[#This Row],[Año Financiero]]=Tipo_Cambio[Año])*(Tipo_Cambio[$/U$S]))</f>
        <v>0</v>
      </c>
      <c r="AR319" s="987">
        <f>SUMPRODUCT((Producción_Lecheria[[#This Row],[Mes Financiero]]=Tipo_Cambio[Mes])*(Producción_Lecheria[[#This Row],[Año Financiero]]=Tipo_Cambio[Año])*(Tipo_Cambio[Actualización]))</f>
        <v>0</v>
      </c>
      <c r="AS319" s="1009">
        <f>SUMPRODUCT((Producción_Lecheria[[#This Row],[Centro de Costo]]=Tabla1924[Centro de Costo])*(Tabla19[Superficie]))</f>
        <v>2356</v>
      </c>
      <c r="AT319" s="1010">
        <f>IFERROR(Producción_Lecheria[[#This Row],[Económico $Corrientes]]/Producción_Lecheria[[#This Row],[Superficie]],0)</f>
        <v>0</v>
      </c>
      <c r="AU319" s="1010">
        <f>IFERROR(Producción_Lecheria[[#This Row],[Económico $Constantes]]/Producción_Lecheria[[#This Row],[Superficie]],0)</f>
        <v>0</v>
      </c>
      <c r="AV319" s="1010">
        <f>IFERROR(Producción_Lecheria[[#This Row],[Económico U$S Dólares]]/Producción_Lecheria[[#This Row],[Superficie]],0)</f>
        <v>0</v>
      </c>
      <c r="AW319" s="992" t="str">
        <f>IF(Económico!$F$4=0,0,Producción_Lecheria[Centro de Costo])</f>
        <v>Campo 1</v>
      </c>
    </row>
    <row r="320" spans="1:49" x14ac:dyDescent="0.25">
      <c r="D320" s="548">
        <f t="shared" si="32"/>
        <v>43466</v>
      </c>
      <c r="E320" s="493"/>
      <c r="F320" s="479" t="str">
        <f t="shared" ref="F320:F338" si="33">Campaña_Actual</f>
        <v>2018-2019</v>
      </c>
      <c r="G320" s="576" t="str">
        <f t="shared" si="31"/>
        <v>Arrendamiento</v>
      </c>
      <c r="H320" s="481" t="s">
        <v>2</v>
      </c>
      <c r="I320" s="481"/>
      <c r="J320" s="549"/>
      <c r="K320" s="484"/>
      <c r="L32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2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20" s="520"/>
      <c r="O32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20" s="563"/>
      <c r="Q320" s="481"/>
      <c r="R320" s="875">
        <f>IF(ISNUMBER(Producción_Lecheria[[#This Row],[Cabezas]])=TRUE,Producción_Lecheria[[#This Row],[Cabezas]]*Producción_Lecheria[[#This Row],[Cantidad]],Producción_Lecheria[[#This Row],[Cantidad]])</f>
        <v>0</v>
      </c>
      <c r="S320" s="481"/>
      <c r="T320" s="552"/>
      <c r="U320" s="553"/>
      <c r="V32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20" s="989">
        <f>IFERROR(Producción_Lecheria[[#This Row],[Económico $Corrientes]]/Producción_Lecheria[[#This Row],[Indexación Económico]],0)</f>
        <v>0</v>
      </c>
      <c r="X32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2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20" s="989">
        <f>IFERROR(Producción_Lecheria[[#This Row],[Financiero $Corrientes]]/Producción_Lecheria[[#This Row],[Indexación Financiero]],0)</f>
        <v>0</v>
      </c>
      <c r="AA32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2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20" s="986">
        <f>IFERROR(Producción_Lecheria[[#This Row],[Intereses $Corrientes]]/Producción_Lecheria[[#This Row],[Indexación Financiero]],0)</f>
        <v>0</v>
      </c>
      <c r="AD320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20" s="991" t="str">
        <f>IFERROR(INDEX(Produccion_Lecheria_Cuentas[],MATCH(Producción_Lecheria[[#This Row],[Cuenta Contable]],Produccion_Lecheria_Cuentas[Cuenta Contable],0),2),0)</f>
        <v>Egreso</v>
      </c>
      <c r="AF320" s="992">
        <f>IF(Producción_Lecheria[[#This Row],[Mov. Stock]]="(+)",Producción_Lecheria[[#This Row],[Cabezas]],IF(Producción_Lecheria[[#This Row],[Mov. Stock]]="(-)",-Producción_Lecheria[[#This Row],[Cabezas]],0))</f>
        <v>0</v>
      </c>
      <c r="AG320" s="993">
        <f>IFERROR(INDEX(Produccion_Lecheria_Cuentas[],MATCH(Producción_Lecheria[[#This Row],[Cuenta Contable]],Produccion_Lecheria_Cuentas[Cuenta Contable],0),5),0)</f>
        <v>0</v>
      </c>
      <c r="AH320" s="987" t="str">
        <f>IF(Producción_Lecheria[[#This Row],[Cuenta Contable]]=Configuración!$AC$9,"Si","No")</f>
        <v>No</v>
      </c>
      <c r="AI320" s="983" t="str">
        <f>IFERROR(INDEX(Tabla9[],MATCH(Producción_Lecheria[[#This Row],[Movimiento]],Tabla9[Movimientos],0),2),0)</f>
        <v>Si</v>
      </c>
      <c r="AJ320" s="984" t="str">
        <f>IFERROR(INDEX(Tabla9[],MATCH(Producción_Lecheria[[#This Row],[Movimiento]],Tabla9[Movimientos],0),3),0)</f>
        <v>(-)</v>
      </c>
      <c r="AK320" s="986">
        <f>IF(Producción_Lecheria[[#This Row],[Fecha Económico]]=0,0,MONTH(Producción_Lecheria[[#This Row],[Fecha Económico]]))</f>
        <v>1</v>
      </c>
      <c r="AL320" s="986">
        <f>IF(Producción_Lecheria[[#This Row],[Fecha Económico]]=0,0,YEAR(Producción_Lecheria[[#This Row],[Fecha Económico]]))</f>
        <v>2019</v>
      </c>
      <c r="AM320" s="987">
        <f>SUMPRODUCT((Producción_Lecheria[[#This Row],[Mes Económico]]=Tipo_Cambio[Mes])*(Producción_Lecheria[[#This Row],[Año Económico]]=Tipo_Cambio[Año])*(Tipo_Cambio[$/U$S]))</f>
        <v>23.353443313221998</v>
      </c>
      <c r="AN320" s="987">
        <f>SUMPRODUCT((Producción_Lecheria[[#This Row],[Mes Económico]]=Tipo_Cambio[Mes])*(Producción_Lecheria[[#This Row],[Año Económico]]=Tipo_Cambio[Año])*(Tipo_Cambio[Actualización]))</f>
        <v>1.1261624192640001</v>
      </c>
      <c r="AO320" s="986">
        <f>IF(ISNUMBER(Producción_Lecheria[[#This Row],[Fecha Financiero]])=TRUE,MONTH(Producción_Lecheria[[#This Row],[Fecha Financiero]]),0)</f>
        <v>0</v>
      </c>
      <c r="AP320" s="986">
        <f>IF(ISNUMBER(Producción_Lecheria[[#This Row],[Fecha Financiero]])=TRUE,YEAR(Producción_Lecheria[[#This Row],[Fecha Financiero]]),0)</f>
        <v>0</v>
      </c>
      <c r="AQ320" s="987">
        <f>SUMPRODUCT((Producción_Lecheria[[#This Row],[Mes Financiero]]=Tipo_Cambio[Mes])*(Producción_Lecheria[[#This Row],[Año Financiero]]=Tipo_Cambio[Año])*(Tipo_Cambio[$/U$S]))</f>
        <v>0</v>
      </c>
      <c r="AR320" s="987">
        <f>SUMPRODUCT((Producción_Lecheria[[#This Row],[Mes Financiero]]=Tipo_Cambio[Mes])*(Producción_Lecheria[[#This Row],[Año Financiero]]=Tipo_Cambio[Año])*(Tipo_Cambio[Actualización]))</f>
        <v>0</v>
      </c>
      <c r="AS320" s="1009">
        <f>SUMPRODUCT((Producción_Lecheria[[#This Row],[Centro de Costo]]=Tabla1924[Centro de Costo])*(Tabla19[Superficie]))</f>
        <v>2356</v>
      </c>
      <c r="AT320" s="1010">
        <f>IFERROR(Producción_Lecheria[[#This Row],[Económico $Corrientes]]/Producción_Lecheria[[#This Row],[Superficie]],0)</f>
        <v>0</v>
      </c>
      <c r="AU320" s="1010">
        <f>IFERROR(Producción_Lecheria[[#This Row],[Económico $Constantes]]/Producción_Lecheria[[#This Row],[Superficie]],0)</f>
        <v>0</v>
      </c>
      <c r="AV320" s="1010">
        <f>IFERROR(Producción_Lecheria[[#This Row],[Económico U$S Dólares]]/Producción_Lecheria[[#This Row],[Superficie]],0)</f>
        <v>0</v>
      </c>
      <c r="AW320" s="992" t="str">
        <f>IF(Económico!$F$4=0,0,Producción_Lecheria[Centro de Costo])</f>
        <v>Campo 1</v>
      </c>
    </row>
    <row r="321" spans="2:49" x14ac:dyDescent="0.25">
      <c r="D321" s="548">
        <f t="shared" si="32"/>
        <v>43497</v>
      </c>
      <c r="E321" s="493"/>
      <c r="F321" s="479" t="str">
        <f t="shared" si="33"/>
        <v>2018-2019</v>
      </c>
      <c r="G321" s="576" t="str">
        <f t="shared" si="31"/>
        <v>Arrendamiento</v>
      </c>
      <c r="H321" s="481" t="s">
        <v>2</v>
      </c>
      <c r="I321" s="481"/>
      <c r="J321" s="549"/>
      <c r="K321" s="484"/>
      <c r="L32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2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21" s="520"/>
      <c r="O32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21" s="563"/>
      <c r="Q321" s="481"/>
      <c r="R321" s="875">
        <f>IF(ISNUMBER(Producción_Lecheria[[#This Row],[Cabezas]])=TRUE,Producción_Lecheria[[#This Row],[Cabezas]]*Producción_Lecheria[[#This Row],[Cantidad]],Producción_Lecheria[[#This Row],[Cantidad]])</f>
        <v>0</v>
      </c>
      <c r="S321" s="481"/>
      <c r="T321" s="552"/>
      <c r="U321" s="553"/>
      <c r="V32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21" s="989">
        <f>IFERROR(Producción_Lecheria[[#This Row],[Económico $Corrientes]]/Producción_Lecheria[[#This Row],[Indexación Económico]],0)</f>
        <v>0</v>
      </c>
      <c r="X32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2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21" s="989">
        <f>IFERROR(Producción_Lecheria[[#This Row],[Financiero $Corrientes]]/Producción_Lecheria[[#This Row],[Indexación Financiero]],0)</f>
        <v>0</v>
      </c>
      <c r="AA32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2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21" s="986">
        <f>IFERROR(Producción_Lecheria[[#This Row],[Intereses $Corrientes]]/Producción_Lecheria[[#This Row],[Indexación Financiero]],0)</f>
        <v>0</v>
      </c>
      <c r="AD321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21" s="991" t="str">
        <f>IFERROR(INDEX(Produccion_Lecheria_Cuentas[],MATCH(Producción_Lecheria[[#This Row],[Cuenta Contable]],Produccion_Lecheria_Cuentas[Cuenta Contable],0),2),0)</f>
        <v>Egreso</v>
      </c>
      <c r="AF321" s="992">
        <f>IF(Producción_Lecheria[[#This Row],[Mov. Stock]]="(+)",Producción_Lecheria[[#This Row],[Cabezas]],IF(Producción_Lecheria[[#This Row],[Mov. Stock]]="(-)",-Producción_Lecheria[[#This Row],[Cabezas]],0))</f>
        <v>0</v>
      </c>
      <c r="AG321" s="993">
        <f>IFERROR(INDEX(Produccion_Lecheria_Cuentas[],MATCH(Producción_Lecheria[[#This Row],[Cuenta Contable]],Produccion_Lecheria_Cuentas[Cuenta Contable],0),5),0)</f>
        <v>0</v>
      </c>
      <c r="AH321" s="987" t="str">
        <f>IF(Producción_Lecheria[[#This Row],[Cuenta Contable]]=Configuración!$AC$9,"Si","No")</f>
        <v>No</v>
      </c>
      <c r="AI321" s="983" t="str">
        <f>IFERROR(INDEX(Tabla9[],MATCH(Producción_Lecheria[[#This Row],[Movimiento]],Tabla9[Movimientos],0),2),0)</f>
        <v>Si</v>
      </c>
      <c r="AJ321" s="984" t="str">
        <f>IFERROR(INDEX(Tabla9[],MATCH(Producción_Lecheria[[#This Row],[Movimiento]],Tabla9[Movimientos],0),3),0)</f>
        <v>(-)</v>
      </c>
      <c r="AK321" s="986">
        <f>IF(Producción_Lecheria[[#This Row],[Fecha Económico]]=0,0,MONTH(Producción_Lecheria[[#This Row],[Fecha Económico]]))</f>
        <v>2</v>
      </c>
      <c r="AL321" s="986">
        <f>IF(Producción_Lecheria[[#This Row],[Fecha Económico]]=0,0,YEAR(Producción_Lecheria[[#This Row],[Fecha Económico]]))</f>
        <v>2019</v>
      </c>
      <c r="AM321" s="987">
        <f>SUMPRODUCT((Producción_Lecheria[[#This Row],[Mes Económico]]=Tipo_Cambio[Mes])*(Producción_Lecheria[[#This Row],[Año Económico]]=Tipo_Cambio[Año])*(Tipo_Cambio[$/U$S]))</f>
        <v>23.586977746354219</v>
      </c>
      <c r="AN321" s="987">
        <f>SUMPRODUCT((Producción_Lecheria[[#This Row],[Mes Económico]]=Tipo_Cambio[Mes])*(Producción_Lecheria[[#This Row],[Año Económico]]=Tipo_Cambio[Año])*(Tipo_Cambio[Actualización]))</f>
        <v>1.14868566764928</v>
      </c>
      <c r="AO321" s="986">
        <f>IF(ISNUMBER(Producción_Lecheria[[#This Row],[Fecha Financiero]])=TRUE,MONTH(Producción_Lecheria[[#This Row],[Fecha Financiero]]),0)</f>
        <v>0</v>
      </c>
      <c r="AP321" s="986">
        <f>IF(ISNUMBER(Producción_Lecheria[[#This Row],[Fecha Financiero]])=TRUE,YEAR(Producción_Lecheria[[#This Row],[Fecha Financiero]]),0)</f>
        <v>0</v>
      </c>
      <c r="AQ321" s="987">
        <f>SUMPRODUCT((Producción_Lecheria[[#This Row],[Mes Financiero]]=Tipo_Cambio[Mes])*(Producción_Lecheria[[#This Row],[Año Financiero]]=Tipo_Cambio[Año])*(Tipo_Cambio[$/U$S]))</f>
        <v>0</v>
      </c>
      <c r="AR321" s="987">
        <f>SUMPRODUCT((Producción_Lecheria[[#This Row],[Mes Financiero]]=Tipo_Cambio[Mes])*(Producción_Lecheria[[#This Row],[Año Financiero]]=Tipo_Cambio[Año])*(Tipo_Cambio[Actualización]))</f>
        <v>0</v>
      </c>
      <c r="AS321" s="1009">
        <f>SUMPRODUCT((Producción_Lecheria[[#This Row],[Centro de Costo]]=Tabla1924[Centro de Costo])*(Tabla19[Superficie]))</f>
        <v>2356</v>
      </c>
      <c r="AT321" s="1010">
        <f>IFERROR(Producción_Lecheria[[#This Row],[Económico $Corrientes]]/Producción_Lecheria[[#This Row],[Superficie]],0)</f>
        <v>0</v>
      </c>
      <c r="AU321" s="1010">
        <f>IFERROR(Producción_Lecheria[[#This Row],[Económico $Constantes]]/Producción_Lecheria[[#This Row],[Superficie]],0)</f>
        <v>0</v>
      </c>
      <c r="AV321" s="1010">
        <f>IFERROR(Producción_Lecheria[[#This Row],[Económico U$S Dólares]]/Producción_Lecheria[[#This Row],[Superficie]],0)</f>
        <v>0</v>
      </c>
      <c r="AW321" s="992" t="str">
        <f>IF(Económico!$F$4=0,0,Producción_Lecheria[Centro de Costo])</f>
        <v>Campo 1</v>
      </c>
    </row>
    <row r="322" spans="2:49" x14ac:dyDescent="0.25">
      <c r="D322" s="548">
        <f t="shared" si="32"/>
        <v>43525</v>
      </c>
      <c r="E322" s="493"/>
      <c r="F322" s="479" t="str">
        <f t="shared" si="33"/>
        <v>2018-2019</v>
      </c>
      <c r="G322" s="576" t="str">
        <f t="shared" si="31"/>
        <v>Arrendamiento</v>
      </c>
      <c r="H322" s="481" t="s">
        <v>2</v>
      </c>
      <c r="I322" s="481"/>
      <c r="J322" s="549"/>
      <c r="K322" s="484"/>
      <c r="L322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22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22" s="520"/>
      <c r="O322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22" s="563"/>
      <c r="Q322" s="481"/>
      <c r="R322" s="875">
        <f>IF(ISNUMBER(Producción_Lecheria[[#This Row],[Cabezas]])=TRUE,Producción_Lecheria[[#This Row],[Cabezas]]*Producción_Lecheria[[#This Row],[Cantidad]],Producción_Lecheria[[#This Row],[Cantidad]])</f>
        <v>0</v>
      </c>
      <c r="S322" s="481"/>
      <c r="T322" s="552"/>
      <c r="U322" s="553"/>
      <c r="V322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22" s="989">
        <f>IFERROR(Producción_Lecheria[[#This Row],[Económico $Corrientes]]/Producción_Lecheria[[#This Row],[Indexación Económico]],0)</f>
        <v>0</v>
      </c>
      <c r="X322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22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22" s="989">
        <f>IFERROR(Producción_Lecheria[[#This Row],[Financiero $Corrientes]]/Producción_Lecheria[[#This Row],[Indexación Financiero]],0)</f>
        <v>0</v>
      </c>
      <c r="AA322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22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22" s="986">
        <f>IFERROR(Producción_Lecheria[[#This Row],[Intereses $Corrientes]]/Producción_Lecheria[[#This Row],[Indexación Financiero]],0)</f>
        <v>0</v>
      </c>
      <c r="AD322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22" s="991" t="str">
        <f>IFERROR(INDEX(Produccion_Lecheria_Cuentas[],MATCH(Producción_Lecheria[[#This Row],[Cuenta Contable]],Produccion_Lecheria_Cuentas[Cuenta Contable],0),2),0)</f>
        <v>Egreso</v>
      </c>
      <c r="AF322" s="992">
        <f>IF(Producción_Lecheria[[#This Row],[Mov. Stock]]="(+)",Producción_Lecheria[[#This Row],[Cabezas]],IF(Producción_Lecheria[[#This Row],[Mov. Stock]]="(-)",-Producción_Lecheria[[#This Row],[Cabezas]],0))</f>
        <v>0</v>
      </c>
      <c r="AG322" s="993">
        <f>IFERROR(INDEX(Produccion_Lecheria_Cuentas[],MATCH(Producción_Lecheria[[#This Row],[Cuenta Contable]],Produccion_Lecheria_Cuentas[Cuenta Contable],0),5),0)</f>
        <v>0</v>
      </c>
      <c r="AH322" s="987" t="str">
        <f>IF(Producción_Lecheria[[#This Row],[Cuenta Contable]]=Configuración!$AC$9,"Si","No")</f>
        <v>No</v>
      </c>
      <c r="AI322" s="983" t="str">
        <f>IFERROR(INDEX(Tabla9[],MATCH(Producción_Lecheria[[#This Row],[Movimiento]],Tabla9[Movimientos],0),2),0)</f>
        <v>Si</v>
      </c>
      <c r="AJ322" s="984" t="str">
        <f>IFERROR(INDEX(Tabla9[],MATCH(Producción_Lecheria[[#This Row],[Movimiento]],Tabla9[Movimientos],0),3),0)</f>
        <v>(-)</v>
      </c>
      <c r="AK322" s="986">
        <f>IF(Producción_Lecheria[[#This Row],[Fecha Económico]]=0,0,MONTH(Producción_Lecheria[[#This Row],[Fecha Económico]]))</f>
        <v>3</v>
      </c>
      <c r="AL322" s="986">
        <f>IF(Producción_Lecheria[[#This Row],[Fecha Económico]]=0,0,YEAR(Producción_Lecheria[[#This Row],[Fecha Económico]]))</f>
        <v>2019</v>
      </c>
      <c r="AM322" s="987">
        <f>SUMPRODUCT((Producción_Lecheria[[#This Row],[Mes Económico]]=Tipo_Cambio[Mes])*(Producción_Lecheria[[#This Row],[Año Económico]]=Tipo_Cambio[Año])*(Tipo_Cambio[$/U$S]))</f>
        <v>23.82284752381776</v>
      </c>
      <c r="AN322" s="987">
        <f>SUMPRODUCT((Producción_Lecheria[[#This Row],[Mes Económico]]=Tipo_Cambio[Mes])*(Producción_Lecheria[[#This Row],[Año Económico]]=Tipo_Cambio[Año])*(Tipo_Cambio[Actualización]))</f>
        <v>1.1716593810022657</v>
      </c>
      <c r="AO322" s="986">
        <f>IF(ISNUMBER(Producción_Lecheria[[#This Row],[Fecha Financiero]])=TRUE,MONTH(Producción_Lecheria[[#This Row],[Fecha Financiero]]),0)</f>
        <v>0</v>
      </c>
      <c r="AP322" s="986">
        <f>IF(ISNUMBER(Producción_Lecheria[[#This Row],[Fecha Financiero]])=TRUE,YEAR(Producción_Lecheria[[#This Row],[Fecha Financiero]]),0)</f>
        <v>0</v>
      </c>
      <c r="AQ322" s="987">
        <f>SUMPRODUCT((Producción_Lecheria[[#This Row],[Mes Financiero]]=Tipo_Cambio[Mes])*(Producción_Lecheria[[#This Row],[Año Financiero]]=Tipo_Cambio[Año])*(Tipo_Cambio[$/U$S]))</f>
        <v>0</v>
      </c>
      <c r="AR322" s="987">
        <f>SUMPRODUCT((Producción_Lecheria[[#This Row],[Mes Financiero]]=Tipo_Cambio[Mes])*(Producción_Lecheria[[#This Row],[Año Financiero]]=Tipo_Cambio[Año])*(Tipo_Cambio[Actualización]))</f>
        <v>0</v>
      </c>
      <c r="AS322" s="1009">
        <f>SUMPRODUCT((Producción_Lecheria[[#This Row],[Centro de Costo]]=Tabla1924[Centro de Costo])*(Tabla19[Superficie]))</f>
        <v>2356</v>
      </c>
      <c r="AT322" s="1010">
        <f>IFERROR(Producción_Lecheria[[#This Row],[Económico $Corrientes]]/Producción_Lecheria[[#This Row],[Superficie]],0)</f>
        <v>0</v>
      </c>
      <c r="AU322" s="1010">
        <f>IFERROR(Producción_Lecheria[[#This Row],[Económico $Constantes]]/Producción_Lecheria[[#This Row],[Superficie]],0)</f>
        <v>0</v>
      </c>
      <c r="AV322" s="1010">
        <f>IFERROR(Producción_Lecheria[[#This Row],[Económico U$S Dólares]]/Producción_Lecheria[[#This Row],[Superficie]],0)</f>
        <v>0</v>
      </c>
      <c r="AW322" s="992" t="str">
        <f>IF(Económico!$F$4=0,0,Producción_Lecheria[Centro de Costo])</f>
        <v>Campo 1</v>
      </c>
    </row>
    <row r="323" spans="2:49" x14ac:dyDescent="0.25">
      <c r="D323" s="548">
        <f t="shared" si="32"/>
        <v>43556</v>
      </c>
      <c r="E323" s="493"/>
      <c r="F323" s="479" t="str">
        <f t="shared" si="33"/>
        <v>2018-2019</v>
      </c>
      <c r="G323" s="576" t="str">
        <f t="shared" si="31"/>
        <v>Arrendamiento</v>
      </c>
      <c r="H323" s="481" t="s">
        <v>2</v>
      </c>
      <c r="I323" s="481"/>
      <c r="J323" s="549"/>
      <c r="K323" s="484"/>
      <c r="L32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2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23" s="520"/>
      <c r="O32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23" s="563"/>
      <c r="Q323" s="481"/>
      <c r="R323" s="875">
        <f>IF(ISNUMBER(Producción_Lecheria[[#This Row],[Cabezas]])=TRUE,Producción_Lecheria[[#This Row],[Cabezas]]*Producción_Lecheria[[#This Row],[Cantidad]],Producción_Lecheria[[#This Row],[Cantidad]])</f>
        <v>0</v>
      </c>
      <c r="S323" s="481"/>
      <c r="T323" s="552"/>
      <c r="U323" s="553"/>
      <c r="V32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23" s="989">
        <f>IFERROR(Producción_Lecheria[[#This Row],[Económico $Corrientes]]/Producción_Lecheria[[#This Row],[Indexación Económico]],0)</f>
        <v>0</v>
      </c>
      <c r="X32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2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23" s="989">
        <f>IFERROR(Producción_Lecheria[[#This Row],[Financiero $Corrientes]]/Producción_Lecheria[[#This Row],[Indexación Financiero]],0)</f>
        <v>0</v>
      </c>
      <c r="AA32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2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23" s="986">
        <f>IFERROR(Producción_Lecheria[[#This Row],[Intereses $Corrientes]]/Producción_Lecheria[[#This Row],[Indexación Financiero]],0)</f>
        <v>0</v>
      </c>
      <c r="AD323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23" s="991" t="str">
        <f>IFERROR(INDEX(Produccion_Lecheria_Cuentas[],MATCH(Producción_Lecheria[[#This Row],[Cuenta Contable]],Produccion_Lecheria_Cuentas[Cuenta Contable],0),2),0)</f>
        <v>Egreso</v>
      </c>
      <c r="AF323" s="992">
        <f>IF(Producción_Lecheria[[#This Row],[Mov. Stock]]="(+)",Producción_Lecheria[[#This Row],[Cabezas]],IF(Producción_Lecheria[[#This Row],[Mov. Stock]]="(-)",-Producción_Lecheria[[#This Row],[Cabezas]],0))</f>
        <v>0</v>
      </c>
      <c r="AG323" s="993">
        <f>IFERROR(INDEX(Produccion_Lecheria_Cuentas[],MATCH(Producción_Lecheria[[#This Row],[Cuenta Contable]],Produccion_Lecheria_Cuentas[Cuenta Contable],0),5),0)</f>
        <v>0</v>
      </c>
      <c r="AH323" s="987" t="str">
        <f>IF(Producción_Lecheria[[#This Row],[Cuenta Contable]]=Configuración!$AC$9,"Si","No")</f>
        <v>No</v>
      </c>
      <c r="AI323" s="983" t="str">
        <f>IFERROR(INDEX(Tabla9[],MATCH(Producción_Lecheria[[#This Row],[Movimiento]],Tabla9[Movimientos],0),2),0)</f>
        <v>Si</v>
      </c>
      <c r="AJ323" s="984" t="str">
        <f>IFERROR(INDEX(Tabla9[],MATCH(Producción_Lecheria[[#This Row],[Movimiento]],Tabla9[Movimientos],0),3),0)</f>
        <v>(-)</v>
      </c>
      <c r="AK323" s="986">
        <f>IF(Producción_Lecheria[[#This Row],[Fecha Económico]]=0,0,MONTH(Producción_Lecheria[[#This Row],[Fecha Económico]]))</f>
        <v>4</v>
      </c>
      <c r="AL323" s="986">
        <f>IF(Producción_Lecheria[[#This Row],[Fecha Económico]]=0,0,YEAR(Producción_Lecheria[[#This Row],[Fecha Económico]]))</f>
        <v>2019</v>
      </c>
      <c r="AM323" s="987">
        <f>SUMPRODUCT((Producción_Lecheria[[#This Row],[Mes Económico]]=Tipo_Cambio[Mes])*(Producción_Lecheria[[#This Row],[Año Económico]]=Tipo_Cambio[Año])*(Tipo_Cambio[$/U$S]))</f>
        <v>24.061075999055937</v>
      </c>
      <c r="AN323" s="987">
        <f>SUMPRODUCT((Producción_Lecheria[[#This Row],[Mes Económico]]=Tipo_Cambio[Mes])*(Producción_Lecheria[[#This Row],[Año Económico]]=Tipo_Cambio[Año])*(Tipo_Cambio[Actualización]))</f>
        <v>1.1950925686223111</v>
      </c>
      <c r="AO323" s="986">
        <f>IF(ISNUMBER(Producción_Lecheria[[#This Row],[Fecha Financiero]])=TRUE,MONTH(Producción_Lecheria[[#This Row],[Fecha Financiero]]),0)</f>
        <v>0</v>
      </c>
      <c r="AP323" s="986">
        <f>IF(ISNUMBER(Producción_Lecheria[[#This Row],[Fecha Financiero]])=TRUE,YEAR(Producción_Lecheria[[#This Row],[Fecha Financiero]]),0)</f>
        <v>0</v>
      </c>
      <c r="AQ323" s="987">
        <f>SUMPRODUCT((Producción_Lecheria[[#This Row],[Mes Financiero]]=Tipo_Cambio[Mes])*(Producción_Lecheria[[#This Row],[Año Financiero]]=Tipo_Cambio[Año])*(Tipo_Cambio[$/U$S]))</f>
        <v>0</v>
      </c>
      <c r="AR323" s="987">
        <f>SUMPRODUCT((Producción_Lecheria[[#This Row],[Mes Financiero]]=Tipo_Cambio[Mes])*(Producción_Lecheria[[#This Row],[Año Financiero]]=Tipo_Cambio[Año])*(Tipo_Cambio[Actualización]))</f>
        <v>0</v>
      </c>
      <c r="AS323" s="1009">
        <f>SUMPRODUCT((Producción_Lecheria[[#This Row],[Centro de Costo]]=Tabla1924[Centro de Costo])*(Tabla19[Superficie]))</f>
        <v>2356</v>
      </c>
      <c r="AT323" s="1010">
        <f>IFERROR(Producción_Lecheria[[#This Row],[Económico $Corrientes]]/Producción_Lecheria[[#This Row],[Superficie]],0)</f>
        <v>0</v>
      </c>
      <c r="AU323" s="1010">
        <f>IFERROR(Producción_Lecheria[[#This Row],[Económico $Constantes]]/Producción_Lecheria[[#This Row],[Superficie]],0)</f>
        <v>0</v>
      </c>
      <c r="AV323" s="1010">
        <f>IFERROR(Producción_Lecheria[[#This Row],[Económico U$S Dólares]]/Producción_Lecheria[[#This Row],[Superficie]],0)</f>
        <v>0</v>
      </c>
      <c r="AW323" s="992" t="str">
        <f>IF(Económico!$F$4=0,0,Producción_Lecheria[Centro de Costo])</f>
        <v>Campo 1</v>
      </c>
    </row>
    <row r="324" spans="2:49" x14ac:dyDescent="0.25">
      <c r="D324" s="548">
        <f t="shared" si="32"/>
        <v>43586</v>
      </c>
      <c r="E324" s="493"/>
      <c r="F324" s="479" t="str">
        <f t="shared" si="33"/>
        <v>2018-2019</v>
      </c>
      <c r="G324" s="576" t="str">
        <f t="shared" si="31"/>
        <v>Arrendamiento</v>
      </c>
      <c r="H324" s="481" t="s">
        <v>2</v>
      </c>
      <c r="I324" s="481"/>
      <c r="J324" s="549"/>
      <c r="K324" s="484"/>
      <c r="L32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2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24" s="520"/>
      <c r="O32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24" s="563"/>
      <c r="Q324" s="481"/>
      <c r="R324" s="875">
        <f>IF(ISNUMBER(Producción_Lecheria[[#This Row],[Cabezas]])=TRUE,Producción_Lecheria[[#This Row],[Cabezas]]*Producción_Lecheria[[#This Row],[Cantidad]],Producción_Lecheria[[#This Row],[Cantidad]])</f>
        <v>0</v>
      </c>
      <c r="S324" s="481"/>
      <c r="T324" s="552"/>
      <c r="U324" s="553"/>
      <c r="V32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24" s="989">
        <f>IFERROR(Producción_Lecheria[[#This Row],[Económico $Corrientes]]/Producción_Lecheria[[#This Row],[Indexación Económico]],0)</f>
        <v>0</v>
      </c>
      <c r="X32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2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24" s="989">
        <f>IFERROR(Producción_Lecheria[[#This Row],[Financiero $Corrientes]]/Producción_Lecheria[[#This Row],[Indexación Financiero]],0)</f>
        <v>0</v>
      </c>
      <c r="AA32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2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24" s="986">
        <f>IFERROR(Producción_Lecheria[[#This Row],[Intereses $Corrientes]]/Producción_Lecheria[[#This Row],[Indexación Financiero]],0)</f>
        <v>0</v>
      </c>
      <c r="AD324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24" s="991" t="str">
        <f>IFERROR(INDEX(Produccion_Lecheria_Cuentas[],MATCH(Producción_Lecheria[[#This Row],[Cuenta Contable]],Produccion_Lecheria_Cuentas[Cuenta Contable],0),2),0)</f>
        <v>Egreso</v>
      </c>
      <c r="AF324" s="992">
        <f>IF(Producción_Lecheria[[#This Row],[Mov. Stock]]="(+)",Producción_Lecheria[[#This Row],[Cabezas]],IF(Producción_Lecheria[[#This Row],[Mov. Stock]]="(-)",-Producción_Lecheria[[#This Row],[Cabezas]],0))</f>
        <v>0</v>
      </c>
      <c r="AG324" s="993">
        <f>IFERROR(INDEX(Produccion_Lecheria_Cuentas[],MATCH(Producción_Lecheria[[#This Row],[Cuenta Contable]],Produccion_Lecheria_Cuentas[Cuenta Contable],0),5),0)</f>
        <v>0</v>
      </c>
      <c r="AH324" s="987" t="str">
        <f>IF(Producción_Lecheria[[#This Row],[Cuenta Contable]]=Configuración!$AC$9,"Si","No")</f>
        <v>No</v>
      </c>
      <c r="AI324" s="983" t="str">
        <f>IFERROR(INDEX(Tabla9[],MATCH(Producción_Lecheria[[#This Row],[Movimiento]],Tabla9[Movimientos],0),2),0)</f>
        <v>Si</v>
      </c>
      <c r="AJ324" s="984" t="str">
        <f>IFERROR(INDEX(Tabla9[],MATCH(Producción_Lecheria[[#This Row],[Movimiento]],Tabla9[Movimientos],0),3),0)</f>
        <v>(-)</v>
      </c>
      <c r="AK324" s="986">
        <f>IF(Producción_Lecheria[[#This Row],[Fecha Económico]]=0,0,MONTH(Producción_Lecheria[[#This Row],[Fecha Económico]]))</f>
        <v>5</v>
      </c>
      <c r="AL324" s="986">
        <f>IF(Producción_Lecheria[[#This Row],[Fecha Económico]]=0,0,YEAR(Producción_Lecheria[[#This Row],[Fecha Económico]]))</f>
        <v>2019</v>
      </c>
      <c r="AM324" s="987">
        <f>SUMPRODUCT((Producción_Lecheria[[#This Row],[Mes Económico]]=Tipo_Cambio[Mes])*(Producción_Lecheria[[#This Row],[Año Económico]]=Tipo_Cambio[Año])*(Tipo_Cambio[$/U$S]))</f>
        <v>24.301686759046497</v>
      </c>
      <c r="AN324" s="987">
        <f>SUMPRODUCT((Producción_Lecheria[[#This Row],[Mes Económico]]=Tipo_Cambio[Mes])*(Producción_Lecheria[[#This Row],[Año Económico]]=Tipo_Cambio[Año])*(Tipo_Cambio[Actualización]))</f>
        <v>1.2189944199947573</v>
      </c>
      <c r="AO324" s="986">
        <f>IF(ISNUMBER(Producción_Lecheria[[#This Row],[Fecha Financiero]])=TRUE,MONTH(Producción_Lecheria[[#This Row],[Fecha Financiero]]),0)</f>
        <v>0</v>
      </c>
      <c r="AP324" s="986">
        <f>IF(ISNUMBER(Producción_Lecheria[[#This Row],[Fecha Financiero]])=TRUE,YEAR(Producción_Lecheria[[#This Row],[Fecha Financiero]]),0)</f>
        <v>0</v>
      </c>
      <c r="AQ324" s="987">
        <f>SUMPRODUCT((Producción_Lecheria[[#This Row],[Mes Financiero]]=Tipo_Cambio[Mes])*(Producción_Lecheria[[#This Row],[Año Financiero]]=Tipo_Cambio[Año])*(Tipo_Cambio[$/U$S]))</f>
        <v>0</v>
      </c>
      <c r="AR324" s="987">
        <f>SUMPRODUCT((Producción_Lecheria[[#This Row],[Mes Financiero]]=Tipo_Cambio[Mes])*(Producción_Lecheria[[#This Row],[Año Financiero]]=Tipo_Cambio[Año])*(Tipo_Cambio[Actualización]))</f>
        <v>0</v>
      </c>
      <c r="AS324" s="1009">
        <f>SUMPRODUCT((Producción_Lecheria[[#This Row],[Centro de Costo]]=Tabla1924[Centro de Costo])*(Tabla19[Superficie]))</f>
        <v>2356</v>
      </c>
      <c r="AT324" s="1010">
        <f>IFERROR(Producción_Lecheria[[#This Row],[Económico $Corrientes]]/Producción_Lecheria[[#This Row],[Superficie]],0)</f>
        <v>0</v>
      </c>
      <c r="AU324" s="1010">
        <f>IFERROR(Producción_Lecheria[[#This Row],[Económico $Constantes]]/Producción_Lecheria[[#This Row],[Superficie]],0)</f>
        <v>0</v>
      </c>
      <c r="AV324" s="1010">
        <f>IFERROR(Producción_Lecheria[[#This Row],[Económico U$S Dólares]]/Producción_Lecheria[[#This Row],[Superficie]],0)</f>
        <v>0</v>
      </c>
      <c r="AW324" s="992" t="str">
        <f>IF(Económico!$F$4=0,0,Producción_Lecheria[Centro de Costo])</f>
        <v>Campo 1</v>
      </c>
    </row>
    <row r="325" spans="2:49" x14ac:dyDescent="0.25">
      <c r="D325" s="548">
        <f t="shared" si="32"/>
        <v>43617</v>
      </c>
      <c r="E325" s="493"/>
      <c r="F325" s="479" t="str">
        <f t="shared" si="33"/>
        <v>2018-2019</v>
      </c>
      <c r="G325" s="576" t="str">
        <f t="shared" si="31"/>
        <v>Arrendamiento</v>
      </c>
      <c r="H325" s="481" t="s">
        <v>2</v>
      </c>
      <c r="I325" s="481"/>
      <c r="J325" s="549"/>
      <c r="K325" s="484"/>
      <c r="L32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2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25" s="520"/>
      <c r="O32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25" s="563"/>
      <c r="Q325" s="481"/>
      <c r="R325" s="875">
        <f>IF(ISNUMBER(Producción_Lecheria[[#This Row],[Cabezas]])=TRUE,Producción_Lecheria[[#This Row],[Cabezas]]*Producción_Lecheria[[#This Row],[Cantidad]],Producción_Lecheria[[#This Row],[Cantidad]])</f>
        <v>0</v>
      </c>
      <c r="S325" s="481"/>
      <c r="T325" s="552"/>
      <c r="U325" s="553"/>
      <c r="V32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25" s="989">
        <f>IFERROR(Producción_Lecheria[[#This Row],[Económico $Corrientes]]/Producción_Lecheria[[#This Row],[Indexación Económico]],0)</f>
        <v>0</v>
      </c>
      <c r="X32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2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25" s="989">
        <f>IFERROR(Producción_Lecheria[[#This Row],[Financiero $Corrientes]]/Producción_Lecheria[[#This Row],[Indexación Financiero]],0)</f>
        <v>0</v>
      </c>
      <c r="AA32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2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25" s="986">
        <f>IFERROR(Producción_Lecheria[[#This Row],[Intereses $Corrientes]]/Producción_Lecheria[[#This Row],[Indexación Financiero]],0)</f>
        <v>0</v>
      </c>
      <c r="AD325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25" s="991" t="str">
        <f>IFERROR(INDEX(Produccion_Lecheria_Cuentas[],MATCH(Producción_Lecheria[[#This Row],[Cuenta Contable]],Produccion_Lecheria_Cuentas[Cuenta Contable],0),2),0)</f>
        <v>Egreso</v>
      </c>
      <c r="AF325" s="992">
        <f>IF(Producción_Lecheria[[#This Row],[Mov. Stock]]="(+)",Producción_Lecheria[[#This Row],[Cabezas]],IF(Producción_Lecheria[[#This Row],[Mov. Stock]]="(-)",-Producción_Lecheria[[#This Row],[Cabezas]],0))</f>
        <v>0</v>
      </c>
      <c r="AG325" s="993">
        <f>IFERROR(INDEX(Produccion_Lecheria_Cuentas[],MATCH(Producción_Lecheria[[#This Row],[Cuenta Contable]],Produccion_Lecheria_Cuentas[Cuenta Contable],0),5),0)</f>
        <v>0</v>
      </c>
      <c r="AH325" s="987" t="str">
        <f>IF(Producción_Lecheria[[#This Row],[Cuenta Contable]]=Configuración!$AC$9,"Si","No")</f>
        <v>No</v>
      </c>
      <c r="AI325" s="983" t="str">
        <f>IFERROR(INDEX(Tabla9[],MATCH(Producción_Lecheria[[#This Row],[Movimiento]],Tabla9[Movimientos],0),2),0)</f>
        <v>Si</v>
      </c>
      <c r="AJ325" s="984" t="str">
        <f>IFERROR(INDEX(Tabla9[],MATCH(Producción_Lecheria[[#This Row],[Movimiento]],Tabla9[Movimientos],0),3),0)</f>
        <v>(-)</v>
      </c>
      <c r="AK325" s="986">
        <f>IF(Producción_Lecheria[[#This Row],[Fecha Económico]]=0,0,MONTH(Producción_Lecheria[[#This Row],[Fecha Económico]]))</f>
        <v>6</v>
      </c>
      <c r="AL325" s="986">
        <f>IF(Producción_Lecheria[[#This Row],[Fecha Económico]]=0,0,YEAR(Producción_Lecheria[[#This Row],[Fecha Económico]]))</f>
        <v>2019</v>
      </c>
      <c r="AM325" s="987">
        <f>SUMPRODUCT((Producción_Lecheria[[#This Row],[Mes Económico]]=Tipo_Cambio[Mes])*(Producción_Lecheria[[#This Row],[Año Económico]]=Tipo_Cambio[Año])*(Tipo_Cambio[$/U$S]))</f>
        <v>24.544703626636963</v>
      </c>
      <c r="AN325" s="987">
        <f>SUMPRODUCT((Producción_Lecheria[[#This Row],[Mes Económico]]=Tipo_Cambio[Mes])*(Producción_Lecheria[[#This Row],[Año Económico]]=Tipo_Cambio[Año])*(Tipo_Cambio[Actualización]))</f>
        <v>1.2433743083946525</v>
      </c>
      <c r="AO325" s="986">
        <f>IF(ISNUMBER(Producción_Lecheria[[#This Row],[Fecha Financiero]])=TRUE,MONTH(Producción_Lecheria[[#This Row],[Fecha Financiero]]),0)</f>
        <v>0</v>
      </c>
      <c r="AP325" s="986">
        <f>IF(ISNUMBER(Producción_Lecheria[[#This Row],[Fecha Financiero]])=TRUE,YEAR(Producción_Lecheria[[#This Row],[Fecha Financiero]]),0)</f>
        <v>0</v>
      </c>
      <c r="AQ325" s="987">
        <f>SUMPRODUCT((Producción_Lecheria[[#This Row],[Mes Financiero]]=Tipo_Cambio[Mes])*(Producción_Lecheria[[#This Row],[Año Financiero]]=Tipo_Cambio[Año])*(Tipo_Cambio[$/U$S]))</f>
        <v>0</v>
      </c>
      <c r="AR325" s="987">
        <f>SUMPRODUCT((Producción_Lecheria[[#This Row],[Mes Financiero]]=Tipo_Cambio[Mes])*(Producción_Lecheria[[#This Row],[Año Financiero]]=Tipo_Cambio[Año])*(Tipo_Cambio[Actualización]))</f>
        <v>0</v>
      </c>
      <c r="AS325" s="1009">
        <f>SUMPRODUCT((Producción_Lecheria[[#This Row],[Centro de Costo]]=Tabla1924[Centro de Costo])*(Tabla19[Superficie]))</f>
        <v>2356</v>
      </c>
      <c r="AT325" s="1010">
        <f>IFERROR(Producción_Lecheria[[#This Row],[Económico $Corrientes]]/Producción_Lecheria[[#This Row],[Superficie]],0)</f>
        <v>0</v>
      </c>
      <c r="AU325" s="1010">
        <f>IFERROR(Producción_Lecheria[[#This Row],[Económico $Constantes]]/Producción_Lecheria[[#This Row],[Superficie]],0)</f>
        <v>0</v>
      </c>
      <c r="AV325" s="1010">
        <f>IFERROR(Producción_Lecheria[[#This Row],[Económico U$S Dólares]]/Producción_Lecheria[[#This Row],[Superficie]],0)</f>
        <v>0</v>
      </c>
      <c r="AW325" s="992" t="str">
        <f>IF(Económico!$F$4=0,0,Producción_Lecheria[Centro de Costo])</f>
        <v>Campo 1</v>
      </c>
    </row>
    <row r="326" spans="2:49" x14ac:dyDescent="0.25">
      <c r="D326" s="548"/>
      <c r="E326" s="493"/>
      <c r="F326" s="479" t="str">
        <f t="shared" si="33"/>
        <v>2018-2019</v>
      </c>
      <c r="G326" s="482"/>
      <c r="H326" s="481"/>
      <c r="I326" s="481"/>
      <c r="J326" s="549"/>
      <c r="K326" s="484"/>
      <c r="L32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2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26" s="520"/>
      <c r="O32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26" s="563"/>
      <c r="Q326" s="481"/>
      <c r="R326" s="875">
        <f>IF(ISNUMBER(Producción_Lecheria[[#This Row],[Cabezas]])=TRUE,Producción_Lecheria[[#This Row],[Cabezas]]*Producción_Lecheria[[#This Row],[Cantidad]],Producción_Lecheria[[#This Row],[Cantidad]])</f>
        <v>0</v>
      </c>
      <c r="S326" s="481"/>
      <c r="T326" s="552"/>
      <c r="U326" s="553"/>
      <c r="V32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26" s="989">
        <f>IFERROR(Producción_Lecheria[[#This Row],[Económico $Corrientes]]/Producción_Lecheria[[#This Row],[Indexación Económico]],0)</f>
        <v>0</v>
      </c>
      <c r="X32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2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26" s="989">
        <f>IFERROR(Producción_Lecheria[[#This Row],[Financiero $Corrientes]]/Producción_Lecheria[[#This Row],[Indexación Financiero]],0)</f>
        <v>0</v>
      </c>
      <c r="AA32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2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26" s="986">
        <f>IFERROR(Producción_Lecheria[[#This Row],[Intereses $Corrientes]]/Producción_Lecheria[[#This Row],[Indexación Financiero]],0)</f>
        <v>0</v>
      </c>
      <c r="AD326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26" s="991">
        <f>IFERROR(INDEX(Produccion_Lecheria_Cuentas[],MATCH(Producción_Lecheria[[#This Row],[Cuenta Contable]],Produccion_Lecheria_Cuentas[Cuenta Contable],0),2),0)</f>
        <v>0</v>
      </c>
      <c r="AF326" s="992">
        <f>IF(Producción_Lecheria[[#This Row],[Mov. Stock]]="(+)",Producción_Lecheria[[#This Row],[Cabezas]],IF(Producción_Lecheria[[#This Row],[Mov. Stock]]="(-)",-Producción_Lecheria[[#This Row],[Cabezas]],0))</f>
        <v>0</v>
      </c>
      <c r="AG326" s="993">
        <f>IFERROR(INDEX(Produccion_Lecheria_Cuentas[],MATCH(Producción_Lecheria[[#This Row],[Cuenta Contable]],Produccion_Lecheria_Cuentas[Cuenta Contable],0),5),0)</f>
        <v>0</v>
      </c>
      <c r="AH326" s="987" t="str">
        <f>IF(Producción_Lecheria[[#This Row],[Cuenta Contable]]=Configuración!$AC$9,"Si","No")</f>
        <v>No</v>
      </c>
      <c r="AI326" s="983">
        <f>IFERROR(INDEX(Tabla9[],MATCH(Producción_Lecheria[[#This Row],[Movimiento]],Tabla9[Movimientos],0),2),0)</f>
        <v>0</v>
      </c>
      <c r="AJ326" s="984">
        <f>IFERROR(INDEX(Tabla9[],MATCH(Producción_Lecheria[[#This Row],[Movimiento]],Tabla9[Movimientos],0),3),0)</f>
        <v>0</v>
      </c>
      <c r="AK326" s="986">
        <f>IF(Producción_Lecheria[[#This Row],[Fecha Económico]]=0,0,MONTH(Producción_Lecheria[[#This Row],[Fecha Económico]]))</f>
        <v>0</v>
      </c>
      <c r="AL326" s="986">
        <f>IF(Producción_Lecheria[[#This Row],[Fecha Económico]]=0,0,YEAR(Producción_Lecheria[[#This Row],[Fecha Económico]]))</f>
        <v>0</v>
      </c>
      <c r="AM326" s="987">
        <f>SUMPRODUCT((Producción_Lecheria[[#This Row],[Mes Económico]]=Tipo_Cambio[Mes])*(Producción_Lecheria[[#This Row],[Año Económico]]=Tipo_Cambio[Año])*(Tipo_Cambio[$/U$S]))</f>
        <v>0</v>
      </c>
      <c r="AN326" s="987">
        <f>SUMPRODUCT((Producción_Lecheria[[#This Row],[Mes Económico]]=Tipo_Cambio[Mes])*(Producción_Lecheria[[#This Row],[Año Económico]]=Tipo_Cambio[Año])*(Tipo_Cambio[Actualización]))</f>
        <v>0</v>
      </c>
      <c r="AO326" s="986">
        <f>IF(ISNUMBER(Producción_Lecheria[[#This Row],[Fecha Financiero]])=TRUE,MONTH(Producción_Lecheria[[#This Row],[Fecha Financiero]]),0)</f>
        <v>0</v>
      </c>
      <c r="AP326" s="986">
        <f>IF(ISNUMBER(Producción_Lecheria[[#This Row],[Fecha Financiero]])=TRUE,YEAR(Producción_Lecheria[[#This Row],[Fecha Financiero]]),0)</f>
        <v>0</v>
      </c>
      <c r="AQ326" s="987">
        <f>SUMPRODUCT((Producción_Lecheria[[#This Row],[Mes Financiero]]=Tipo_Cambio[Mes])*(Producción_Lecheria[[#This Row],[Año Financiero]]=Tipo_Cambio[Año])*(Tipo_Cambio[$/U$S]))</f>
        <v>0</v>
      </c>
      <c r="AR326" s="987">
        <f>SUMPRODUCT((Producción_Lecheria[[#This Row],[Mes Financiero]]=Tipo_Cambio[Mes])*(Producción_Lecheria[[#This Row],[Año Financiero]]=Tipo_Cambio[Año])*(Tipo_Cambio[Actualización]))</f>
        <v>0</v>
      </c>
      <c r="AS326" s="1009">
        <f>SUMPRODUCT((Producción_Lecheria[[#This Row],[Centro de Costo]]=Tabla1924[Centro de Costo])*(Tabla19[Superficie]))</f>
        <v>0</v>
      </c>
      <c r="AT326" s="1010">
        <f>IFERROR(Producción_Lecheria[[#This Row],[Económico $Corrientes]]/Producción_Lecheria[[#This Row],[Superficie]],0)</f>
        <v>0</v>
      </c>
      <c r="AU326" s="1010">
        <f>IFERROR(Producción_Lecheria[[#This Row],[Económico $Constantes]]/Producción_Lecheria[[#This Row],[Superficie]],0)</f>
        <v>0</v>
      </c>
      <c r="AV326" s="1010">
        <f>IFERROR(Producción_Lecheria[[#This Row],[Económico U$S Dólares]]/Producción_Lecheria[[#This Row],[Superficie]],0)</f>
        <v>0</v>
      </c>
      <c r="AW326" s="992">
        <f>IF(Económico!$F$4=0,0,Producción_Lecheria[Centro de Costo])</f>
        <v>0</v>
      </c>
    </row>
    <row r="327" spans="2:49" x14ac:dyDescent="0.25">
      <c r="D327" s="548"/>
      <c r="E327" s="493"/>
      <c r="F327" s="479" t="str">
        <f t="shared" si="33"/>
        <v>2018-2019</v>
      </c>
      <c r="G327" s="482" t="s">
        <v>57</v>
      </c>
      <c r="H327" s="481" t="s">
        <v>2</v>
      </c>
      <c r="I327" s="481"/>
      <c r="J327" s="549"/>
      <c r="K327" s="484"/>
      <c r="L32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2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27" s="520"/>
      <c r="O32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27" s="563"/>
      <c r="Q327" s="481"/>
      <c r="R327" s="875">
        <f>IF(ISNUMBER(Producción_Lecheria[[#This Row],[Cabezas]])=TRUE,Producción_Lecheria[[#This Row],[Cabezas]]*Producción_Lecheria[[#This Row],[Cantidad]],Producción_Lecheria[[#This Row],[Cantidad]])</f>
        <v>0</v>
      </c>
      <c r="S327" s="481"/>
      <c r="T327" s="552"/>
      <c r="U327" s="553"/>
      <c r="V32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27" s="989">
        <f>IFERROR(Producción_Lecheria[[#This Row],[Económico $Corrientes]]/Producción_Lecheria[[#This Row],[Indexación Económico]],0)</f>
        <v>0</v>
      </c>
      <c r="X32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2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27" s="989">
        <f>IFERROR(Producción_Lecheria[[#This Row],[Financiero $Corrientes]]/Producción_Lecheria[[#This Row],[Indexación Financiero]],0)</f>
        <v>0</v>
      </c>
      <c r="AA32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2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27" s="986">
        <f>IFERROR(Producción_Lecheria[[#This Row],[Intereses $Corrientes]]/Producción_Lecheria[[#This Row],[Indexación Financiero]],0)</f>
        <v>0</v>
      </c>
      <c r="AD327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27" s="991" t="str">
        <f>IFERROR(INDEX(Produccion_Lecheria_Cuentas[],MATCH(Producción_Lecheria[[#This Row],[Cuenta Contable]],Produccion_Lecheria_Cuentas[Cuenta Contable],0),2),0)</f>
        <v>Egreso Cesión</v>
      </c>
      <c r="AF327" s="992">
        <f>IF(Producción_Lecheria[[#This Row],[Mov. Stock]]="(+)",Producción_Lecheria[[#This Row],[Cabezas]],IF(Producción_Lecheria[[#This Row],[Mov. Stock]]="(-)",-Producción_Lecheria[[#This Row],[Cabezas]],0))</f>
        <v>0</v>
      </c>
      <c r="AG327" s="993">
        <f>IFERROR(INDEX(Produccion_Lecheria_Cuentas[],MATCH(Producción_Lecheria[[#This Row],[Cuenta Contable]],Produccion_Lecheria_Cuentas[Cuenta Contable],0),5),0)</f>
        <v>0</v>
      </c>
      <c r="AH327" s="987" t="str">
        <f>IF(Producción_Lecheria[[#This Row],[Cuenta Contable]]=Configuración!$AC$9,"Si","No")</f>
        <v>No</v>
      </c>
      <c r="AI327" s="983" t="str">
        <f>IFERROR(INDEX(Tabla9[],MATCH(Producción_Lecheria[[#This Row],[Movimiento]],Tabla9[Movimientos],0),2),0)</f>
        <v>No</v>
      </c>
      <c r="AJ327" s="984" t="str">
        <f>IFERROR(INDEX(Tabla9[],MATCH(Producción_Lecheria[[#This Row],[Movimiento]],Tabla9[Movimientos],0),3),0)</f>
        <v>(-)</v>
      </c>
      <c r="AK327" s="986">
        <f>IF(Producción_Lecheria[[#This Row],[Fecha Económico]]=0,0,MONTH(Producción_Lecheria[[#This Row],[Fecha Económico]]))</f>
        <v>0</v>
      </c>
      <c r="AL327" s="986">
        <f>IF(Producción_Lecheria[[#This Row],[Fecha Económico]]=0,0,YEAR(Producción_Lecheria[[#This Row],[Fecha Económico]]))</f>
        <v>0</v>
      </c>
      <c r="AM327" s="987">
        <f>SUMPRODUCT((Producción_Lecheria[[#This Row],[Mes Económico]]=Tipo_Cambio[Mes])*(Producción_Lecheria[[#This Row],[Año Económico]]=Tipo_Cambio[Año])*(Tipo_Cambio[$/U$S]))</f>
        <v>0</v>
      </c>
      <c r="AN327" s="987">
        <f>SUMPRODUCT((Producción_Lecheria[[#This Row],[Mes Económico]]=Tipo_Cambio[Mes])*(Producción_Lecheria[[#This Row],[Año Económico]]=Tipo_Cambio[Año])*(Tipo_Cambio[Actualización]))</f>
        <v>0</v>
      </c>
      <c r="AO327" s="986">
        <f>IF(ISNUMBER(Producción_Lecheria[[#This Row],[Fecha Financiero]])=TRUE,MONTH(Producción_Lecheria[[#This Row],[Fecha Financiero]]),0)</f>
        <v>0</v>
      </c>
      <c r="AP327" s="986">
        <f>IF(ISNUMBER(Producción_Lecheria[[#This Row],[Fecha Financiero]])=TRUE,YEAR(Producción_Lecheria[[#This Row],[Fecha Financiero]]),0)</f>
        <v>0</v>
      </c>
      <c r="AQ327" s="987">
        <f>SUMPRODUCT((Producción_Lecheria[[#This Row],[Mes Financiero]]=Tipo_Cambio[Mes])*(Producción_Lecheria[[#This Row],[Año Financiero]]=Tipo_Cambio[Año])*(Tipo_Cambio[$/U$S]))</f>
        <v>0</v>
      </c>
      <c r="AR327" s="987">
        <f>SUMPRODUCT((Producción_Lecheria[[#This Row],[Mes Financiero]]=Tipo_Cambio[Mes])*(Producción_Lecheria[[#This Row],[Año Financiero]]=Tipo_Cambio[Año])*(Tipo_Cambio[Actualización]))</f>
        <v>0</v>
      </c>
      <c r="AS327" s="1009">
        <f>SUMPRODUCT((Producción_Lecheria[[#This Row],[Centro de Costo]]=Tabla1924[Centro de Costo])*(Tabla19[Superficie]))</f>
        <v>2356</v>
      </c>
      <c r="AT327" s="1010">
        <f>IFERROR(Producción_Lecheria[[#This Row],[Económico $Corrientes]]/Producción_Lecheria[[#This Row],[Superficie]],0)</f>
        <v>0</v>
      </c>
      <c r="AU327" s="1010">
        <f>IFERROR(Producción_Lecheria[[#This Row],[Económico $Constantes]]/Producción_Lecheria[[#This Row],[Superficie]],0)</f>
        <v>0</v>
      </c>
      <c r="AV327" s="1010">
        <f>IFERROR(Producción_Lecheria[[#This Row],[Económico U$S Dólares]]/Producción_Lecheria[[#This Row],[Superficie]],0)</f>
        <v>0</v>
      </c>
      <c r="AW327" s="992" t="str">
        <f>IF(Económico!$F$4=0,0,Producción_Lecheria[Centro de Costo])</f>
        <v>Campo 1</v>
      </c>
    </row>
    <row r="328" spans="2:49" x14ac:dyDescent="0.25">
      <c r="D328" s="548"/>
      <c r="E328" s="493"/>
      <c r="F328" s="479" t="str">
        <f t="shared" si="33"/>
        <v>2018-2019</v>
      </c>
      <c r="G328" s="482" t="s">
        <v>57</v>
      </c>
      <c r="H328" s="481" t="s">
        <v>2</v>
      </c>
      <c r="I328" s="481"/>
      <c r="J328" s="549"/>
      <c r="K328" s="484"/>
      <c r="L32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2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28" s="520"/>
      <c r="O32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28" s="563"/>
      <c r="Q328" s="481"/>
      <c r="R328" s="875">
        <f>IF(ISNUMBER(Producción_Lecheria[[#This Row],[Cabezas]])=TRUE,Producción_Lecheria[[#This Row],[Cabezas]]*Producción_Lecheria[[#This Row],[Cantidad]],Producción_Lecheria[[#This Row],[Cantidad]])</f>
        <v>0</v>
      </c>
      <c r="S328" s="481"/>
      <c r="T328" s="552"/>
      <c r="U328" s="553"/>
      <c r="V32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28" s="989">
        <f>IFERROR(Producción_Lecheria[[#This Row],[Económico $Corrientes]]/Producción_Lecheria[[#This Row],[Indexación Económico]],0)</f>
        <v>0</v>
      </c>
      <c r="X32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2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28" s="989">
        <f>IFERROR(Producción_Lecheria[[#This Row],[Financiero $Corrientes]]/Producción_Lecheria[[#This Row],[Indexación Financiero]],0)</f>
        <v>0</v>
      </c>
      <c r="AA32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2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28" s="986">
        <f>IFERROR(Producción_Lecheria[[#This Row],[Intereses $Corrientes]]/Producción_Lecheria[[#This Row],[Indexación Financiero]],0)</f>
        <v>0</v>
      </c>
      <c r="AD328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28" s="991" t="str">
        <f>IFERROR(INDEX(Produccion_Lecheria_Cuentas[],MATCH(Producción_Lecheria[[#This Row],[Cuenta Contable]],Produccion_Lecheria_Cuentas[Cuenta Contable],0),2),0)</f>
        <v>Egreso Cesión</v>
      </c>
      <c r="AF328" s="992">
        <f>IF(Producción_Lecheria[[#This Row],[Mov. Stock]]="(+)",Producción_Lecheria[[#This Row],[Cabezas]],IF(Producción_Lecheria[[#This Row],[Mov. Stock]]="(-)",-Producción_Lecheria[[#This Row],[Cabezas]],0))</f>
        <v>0</v>
      </c>
      <c r="AG328" s="993">
        <f>IFERROR(INDEX(Produccion_Lecheria_Cuentas[],MATCH(Producción_Lecheria[[#This Row],[Cuenta Contable]],Produccion_Lecheria_Cuentas[Cuenta Contable],0),5),0)</f>
        <v>0</v>
      </c>
      <c r="AH328" s="987" t="str">
        <f>IF(Producción_Lecheria[[#This Row],[Cuenta Contable]]=Configuración!$AC$9,"Si","No")</f>
        <v>No</v>
      </c>
      <c r="AI328" s="983" t="str">
        <f>IFERROR(INDEX(Tabla9[],MATCH(Producción_Lecheria[[#This Row],[Movimiento]],Tabla9[Movimientos],0),2),0)</f>
        <v>No</v>
      </c>
      <c r="AJ328" s="984" t="str">
        <f>IFERROR(INDEX(Tabla9[],MATCH(Producción_Lecheria[[#This Row],[Movimiento]],Tabla9[Movimientos],0),3),0)</f>
        <v>(-)</v>
      </c>
      <c r="AK328" s="986">
        <f>IF(Producción_Lecheria[[#This Row],[Fecha Económico]]=0,0,MONTH(Producción_Lecheria[[#This Row],[Fecha Económico]]))</f>
        <v>0</v>
      </c>
      <c r="AL328" s="986">
        <f>IF(Producción_Lecheria[[#This Row],[Fecha Económico]]=0,0,YEAR(Producción_Lecheria[[#This Row],[Fecha Económico]]))</f>
        <v>0</v>
      </c>
      <c r="AM328" s="987">
        <f>SUMPRODUCT((Producción_Lecheria[[#This Row],[Mes Económico]]=Tipo_Cambio[Mes])*(Producción_Lecheria[[#This Row],[Año Económico]]=Tipo_Cambio[Año])*(Tipo_Cambio[$/U$S]))</f>
        <v>0</v>
      </c>
      <c r="AN328" s="987">
        <f>SUMPRODUCT((Producción_Lecheria[[#This Row],[Mes Económico]]=Tipo_Cambio[Mes])*(Producción_Lecheria[[#This Row],[Año Económico]]=Tipo_Cambio[Año])*(Tipo_Cambio[Actualización]))</f>
        <v>0</v>
      </c>
      <c r="AO328" s="986">
        <f>IF(ISNUMBER(Producción_Lecheria[[#This Row],[Fecha Financiero]])=TRUE,MONTH(Producción_Lecheria[[#This Row],[Fecha Financiero]]),0)</f>
        <v>0</v>
      </c>
      <c r="AP328" s="986">
        <f>IF(ISNUMBER(Producción_Lecheria[[#This Row],[Fecha Financiero]])=TRUE,YEAR(Producción_Lecheria[[#This Row],[Fecha Financiero]]),0)</f>
        <v>0</v>
      </c>
      <c r="AQ328" s="987">
        <f>SUMPRODUCT((Producción_Lecheria[[#This Row],[Mes Financiero]]=Tipo_Cambio[Mes])*(Producción_Lecheria[[#This Row],[Año Financiero]]=Tipo_Cambio[Año])*(Tipo_Cambio[$/U$S]))</f>
        <v>0</v>
      </c>
      <c r="AR328" s="987">
        <f>SUMPRODUCT((Producción_Lecheria[[#This Row],[Mes Financiero]]=Tipo_Cambio[Mes])*(Producción_Lecheria[[#This Row],[Año Financiero]]=Tipo_Cambio[Año])*(Tipo_Cambio[Actualización]))</f>
        <v>0</v>
      </c>
      <c r="AS328" s="1009">
        <f>SUMPRODUCT((Producción_Lecheria[[#This Row],[Centro de Costo]]=Tabla1924[Centro de Costo])*(Tabla19[Superficie]))</f>
        <v>2356</v>
      </c>
      <c r="AT328" s="1010">
        <f>IFERROR(Producción_Lecheria[[#This Row],[Económico $Corrientes]]/Producción_Lecheria[[#This Row],[Superficie]],0)</f>
        <v>0</v>
      </c>
      <c r="AU328" s="1010">
        <f>IFERROR(Producción_Lecheria[[#This Row],[Económico $Constantes]]/Producción_Lecheria[[#This Row],[Superficie]],0)</f>
        <v>0</v>
      </c>
      <c r="AV328" s="1010">
        <f>IFERROR(Producción_Lecheria[[#This Row],[Económico U$S Dólares]]/Producción_Lecheria[[#This Row],[Superficie]],0)</f>
        <v>0</v>
      </c>
      <c r="AW328" s="992" t="str">
        <f>IF(Económico!$F$4=0,0,Producción_Lecheria[Centro de Costo])</f>
        <v>Campo 1</v>
      </c>
    </row>
    <row r="329" spans="2:49" x14ac:dyDescent="0.25">
      <c r="D329" s="548"/>
      <c r="E329" s="493"/>
      <c r="F329" s="479" t="str">
        <f t="shared" si="33"/>
        <v>2018-2019</v>
      </c>
      <c r="G329" s="482" t="s">
        <v>57</v>
      </c>
      <c r="H329" s="481" t="s">
        <v>2</v>
      </c>
      <c r="I329" s="481"/>
      <c r="J329" s="549"/>
      <c r="K329" s="484"/>
      <c r="L329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29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29" s="520"/>
      <c r="O329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29" s="563"/>
      <c r="Q329" s="481"/>
      <c r="R329" s="875">
        <f>IF(ISNUMBER(Producción_Lecheria[[#This Row],[Cabezas]])=TRUE,Producción_Lecheria[[#This Row],[Cabezas]]*Producción_Lecheria[[#This Row],[Cantidad]],Producción_Lecheria[[#This Row],[Cantidad]])</f>
        <v>0</v>
      </c>
      <c r="S329" s="481"/>
      <c r="T329" s="552"/>
      <c r="U329" s="553"/>
      <c r="V329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29" s="989">
        <f>IFERROR(Producción_Lecheria[[#This Row],[Económico $Corrientes]]/Producción_Lecheria[[#This Row],[Indexación Económico]],0)</f>
        <v>0</v>
      </c>
      <c r="X329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29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29" s="989">
        <f>IFERROR(Producción_Lecheria[[#This Row],[Financiero $Corrientes]]/Producción_Lecheria[[#This Row],[Indexación Financiero]],0)</f>
        <v>0</v>
      </c>
      <c r="AA329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29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29" s="986">
        <f>IFERROR(Producción_Lecheria[[#This Row],[Intereses $Corrientes]]/Producción_Lecheria[[#This Row],[Indexación Financiero]],0)</f>
        <v>0</v>
      </c>
      <c r="AD329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29" s="991" t="str">
        <f>IFERROR(INDEX(Produccion_Lecheria_Cuentas[],MATCH(Producción_Lecheria[[#This Row],[Cuenta Contable]],Produccion_Lecheria_Cuentas[Cuenta Contable],0),2),0)</f>
        <v>Egreso Cesión</v>
      </c>
      <c r="AF329" s="992">
        <f>IF(Producción_Lecheria[[#This Row],[Mov. Stock]]="(+)",Producción_Lecheria[[#This Row],[Cabezas]],IF(Producción_Lecheria[[#This Row],[Mov. Stock]]="(-)",-Producción_Lecheria[[#This Row],[Cabezas]],0))</f>
        <v>0</v>
      </c>
      <c r="AG329" s="993">
        <f>IFERROR(INDEX(Produccion_Lecheria_Cuentas[],MATCH(Producción_Lecheria[[#This Row],[Cuenta Contable]],Produccion_Lecheria_Cuentas[Cuenta Contable],0),5),0)</f>
        <v>0</v>
      </c>
      <c r="AH329" s="987" t="str">
        <f>IF(Producción_Lecheria[[#This Row],[Cuenta Contable]]=Configuración!$AC$9,"Si","No")</f>
        <v>No</v>
      </c>
      <c r="AI329" s="983" t="str">
        <f>IFERROR(INDEX(Tabla9[],MATCH(Producción_Lecheria[[#This Row],[Movimiento]],Tabla9[Movimientos],0),2),0)</f>
        <v>No</v>
      </c>
      <c r="AJ329" s="984" t="str">
        <f>IFERROR(INDEX(Tabla9[],MATCH(Producción_Lecheria[[#This Row],[Movimiento]],Tabla9[Movimientos],0),3),0)</f>
        <v>(-)</v>
      </c>
      <c r="AK329" s="986">
        <f>IF(Producción_Lecheria[[#This Row],[Fecha Económico]]=0,0,MONTH(Producción_Lecheria[[#This Row],[Fecha Económico]]))</f>
        <v>0</v>
      </c>
      <c r="AL329" s="986">
        <f>IF(Producción_Lecheria[[#This Row],[Fecha Económico]]=0,0,YEAR(Producción_Lecheria[[#This Row],[Fecha Económico]]))</f>
        <v>0</v>
      </c>
      <c r="AM329" s="987">
        <f>SUMPRODUCT((Producción_Lecheria[[#This Row],[Mes Económico]]=Tipo_Cambio[Mes])*(Producción_Lecheria[[#This Row],[Año Económico]]=Tipo_Cambio[Año])*(Tipo_Cambio[$/U$S]))</f>
        <v>0</v>
      </c>
      <c r="AN329" s="987">
        <f>SUMPRODUCT((Producción_Lecheria[[#This Row],[Mes Económico]]=Tipo_Cambio[Mes])*(Producción_Lecheria[[#This Row],[Año Económico]]=Tipo_Cambio[Año])*(Tipo_Cambio[Actualización]))</f>
        <v>0</v>
      </c>
      <c r="AO329" s="986">
        <f>IF(ISNUMBER(Producción_Lecheria[[#This Row],[Fecha Financiero]])=TRUE,MONTH(Producción_Lecheria[[#This Row],[Fecha Financiero]]),0)</f>
        <v>0</v>
      </c>
      <c r="AP329" s="986">
        <f>IF(ISNUMBER(Producción_Lecheria[[#This Row],[Fecha Financiero]])=TRUE,YEAR(Producción_Lecheria[[#This Row],[Fecha Financiero]]),0)</f>
        <v>0</v>
      </c>
      <c r="AQ329" s="987">
        <f>SUMPRODUCT((Producción_Lecheria[[#This Row],[Mes Financiero]]=Tipo_Cambio[Mes])*(Producción_Lecheria[[#This Row],[Año Financiero]]=Tipo_Cambio[Año])*(Tipo_Cambio[$/U$S]))</f>
        <v>0</v>
      </c>
      <c r="AR329" s="987">
        <f>SUMPRODUCT((Producción_Lecheria[[#This Row],[Mes Financiero]]=Tipo_Cambio[Mes])*(Producción_Lecheria[[#This Row],[Año Financiero]]=Tipo_Cambio[Año])*(Tipo_Cambio[Actualización]))</f>
        <v>0</v>
      </c>
      <c r="AS329" s="1009">
        <f>SUMPRODUCT((Producción_Lecheria[[#This Row],[Centro de Costo]]=Tabla1924[Centro de Costo])*(Tabla19[Superficie]))</f>
        <v>2356</v>
      </c>
      <c r="AT329" s="1010">
        <f>IFERROR(Producción_Lecheria[[#This Row],[Económico $Corrientes]]/Producción_Lecheria[[#This Row],[Superficie]],0)</f>
        <v>0</v>
      </c>
      <c r="AU329" s="1010">
        <f>IFERROR(Producción_Lecheria[[#This Row],[Económico $Constantes]]/Producción_Lecheria[[#This Row],[Superficie]],0)</f>
        <v>0</v>
      </c>
      <c r="AV329" s="1010">
        <f>IFERROR(Producción_Lecheria[[#This Row],[Económico U$S Dólares]]/Producción_Lecheria[[#This Row],[Superficie]],0)</f>
        <v>0</v>
      </c>
      <c r="AW329" s="992" t="str">
        <f>IF(Económico!$F$4=0,0,Producción_Lecheria[Centro de Costo])</f>
        <v>Campo 1</v>
      </c>
    </row>
    <row r="330" spans="2:49" x14ac:dyDescent="0.25">
      <c r="D330" s="548"/>
      <c r="E330" s="493"/>
      <c r="F330" s="479" t="str">
        <f t="shared" si="33"/>
        <v>2018-2019</v>
      </c>
      <c r="G330" s="482"/>
      <c r="H330" s="481"/>
      <c r="I330" s="481"/>
      <c r="J330" s="549"/>
      <c r="K330" s="484"/>
      <c r="L330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30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30" s="520"/>
      <c r="O330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30" s="563"/>
      <c r="Q330" s="481"/>
      <c r="R330" s="875">
        <f>IF(ISNUMBER(Producción_Lecheria[[#This Row],[Cabezas]])=TRUE,Producción_Lecheria[[#This Row],[Cabezas]]*Producción_Lecheria[[#This Row],[Cantidad]],Producción_Lecheria[[#This Row],[Cantidad]])</f>
        <v>0</v>
      </c>
      <c r="S330" s="481"/>
      <c r="T330" s="552"/>
      <c r="U330" s="553"/>
      <c r="V330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30" s="989">
        <f>IFERROR(Producción_Lecheria[[#This Row],[Económico $Corrientes]]/Producción_Lecheria[[#This Row],[Indexación Económico]],0)</f>
        <v>0</v>
      </c>
      <c r="X330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30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30" s="989">
        <f>IFERROR(Producción_Lecheria[[#This Row],[Financiero $Corrientes]]/Producción_Lecheria[[#This Row],[Indexación Financiero]],0)</f>
        <v>0</v>
      </c>
      <c r="AA330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30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30" s="986">
        <f>IFERROR(Producción_Lecheria[[#This Row],[Intereses $Corrientes]]/Producción_Lecheria[[#This Row],[Indexación Financiero]],0)</f>
        <v>0</v>
      </c>
      <c r="AD330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30" s="991">
        <f>IFERROR(INDEX(Produccion_Lecheria_Cuentas[],MATCH(Producción_Lecheria[[#This Row],[Cuenta Contable]],Produccion_Lecheria_Cuentas[Cuenta Contable],0),2),0)</f>
        <v>0</v>
      </c>
      <c r="AF330" s="992">
        <f>IF(Producción_Lecheria[[#This Row],[Mov. Stock]]="(+)",Producción_Lecheria[[#This Row],[Cabezas]],IF(Producción_Lecheria[[#This Row],[Mov. Stock]]="(-)",-Producción_Lecheria[[#This Row],[Cabezas]],0))</f>
        <v>0</v>
      </c>
      <c r="AG330" s="993">
        <f>IFERROR(INDEX(Produccion_Lecheria_Cuentas[],MATCH(Producción_Lecheria[[#This Row],[Cuenta Contable]],Produccion_Lecheria_Cuentas[Cuenta Contable],0),5),0)</f>
        <v>0</v>
      </c>
      <c r="AH330" s="987" t="str">
        <f>IF(Producción_Lecheria[[#This Row],[Cuenta Contable]]=Configuración!$AC$9,"Si","No")</f>
        <v>No</v>
      </c>
      <c r="AI330" s="983">
        <f>IFERROR(INDEX(Tabla9[],MATCH(Producción_Lecheria[[#This Row],[Movimiento]],Tabla9[Movimientos],0),2),0)</f>
        <v>0</v>
      </c>
      <c r="AJ330" s="984">
        <f>IFERROR(INDEX(Tabla9[],MATCH(Producción_Lecheria[[#This Row],[Movimiento]],Tabla9[Movimientos],0),3),0)</f>
        <v>0</v>
      </c>
      <c r="AK330" s="986">
        <f>IF(Producción_Lecheria[[#This Row],[Fecha Económico]]=0,0,MONTH(Producción_Lecheria[[#This Row],[Fecha Económico]]))</f>
        <v>0</v>
      </c>
      <c r="AL330" s="986">
        <f>IF(Producción_Lecheria[[#This Row],[Fecha Económico]]=0,0,YEAR(Producción_Lecheria[[#This Row],[Fecha Económico]]))</f>
        <v>0</v>
      </c>
      <c r="AM330" s="987">
        <f>SUMPRODUCT((Producción_Lecheria[[#This Row],[Mes Económico]]=Tipo_Cambio[Mes])*(Producción_Lecheria[[#This Row],[Año Económico]]=Tipo_Cambio[Año])*(Tipo_Cambio[$/U$S]))</f>
        <v>0</v>
      </c>
      <c r="AN330" s="987">
        <f>SUMPRODUCT((Producción_Lecheria[[#This Row],[Mes Económico]]=Tipo_Cambio[Mes])*(Producción_Lecheria[[#This Row],[Año Económico]]=Tipo_Cambio[Año])*(Tipo_Cambio[Actualización]))</f>
        <v>0</v>
      </c>
      <c r="AO330" s="986">
        <f>IF(ISNUMBER(Producción_Lecheria[[#This Row],[Fecha Financiero]])=TRUE,MONTH(Producción_Lecheria[[#This Row],[Fecha Financiero]]),0)</f>
        <v>0</v>
      </c>
      <c r="AP330" s="986">
        <f>IF(ISNUMBER(Producción_Lecheria[[#This Row],[Fecha Financiero]])=TRUE,YEAR(Producción_Lecheria[[#This Row],[Fecha Financiero]]),0)</f>
        <v>0</v>
      </c>
      <c r="AQ330" s="987">
        <f>SUMPRODUCT((Producción_Lecheria[[#This Row],[Mes Financiero]]=Tipo_Cambio[Mes])*(Producción_Lecheria[[#This Row],[Año Financiero]]=Tipo_Cambio[Año])*(Tipo_Cambio[$/U$S]))</f>
        <v>0</v>
      </c>
      <c r="AR330" s="987">
        <f>SUMPRODUCT((Producción_Lecheria[[#This Row],[Mes Financiero]]=Tipo_Cambio[Mes])*(Producción_Lecheria[[#This Row],[Año Financiero]]=Tipo_Cambio[Año])*(Tipo_Cambio[Actualización]))</f>
        <v>0</v>
      </c>
      <c r="AS330" s="1009">
        <f>SUMPRODUCT((Producción_Lecheria[[#This Row],[Centro de Costo]]=Tabla1924[Centro de Costo])*(Tabla19[Superficie]))</f>
        <v>0</v>
      </c>
      <c r="AT330" s="1010">
        <f>IFERROR(Producción_Lecheria[[#This Row],[Económico $Corrientes]]/Producción_Lecheria[[#This Row],[Superficie]],0)</f>
        <v>0</v>
      </c>
      <c r="AU330" s="1010">
        <f>IFERROR(Producción_Lecheria[[#This Row],[Económico $Constantes]]/Producción_Lecheria[[#This Row],[Superficie]],0)</f>
        <v>0</v>
      </c>
      <c r="AV330" s="1010">
        <f>IFERROR(Producción_Lecheria[[#This Row],[Económico U$S Dólares]]/Producción_Lecheria[[#This Row],[Superficie]],0)</f>
        <v>0</v>
      </c>
      <c r="AW330" s="992">
        <f>IF(Económico!$F$4=0,0,Producción_Lecheria[Centro de Costo])</f>
        <v>0</v>
      </c>
    </row>
    <row r="331" spans="2:49" ht="15.75" thickBot="1" x14ac:dyDescent="0.3">
      <c r="B331" s="373" t="s">
        <v>101</v>
      </c>
      <c r="D331" s="548"/>
      <c r="E331" s="493"/>
      <c r="F331" s="479" t="str">
        <f t="shared" si="33"/>
        <v>2018-2019</v>
      </c>
      <c r="G331" s="482"/>
      <c r="H331" s="481"/>
      <c r="I331" s="481"/>
      <c r="J331" s="549"/>
      <c r="K331" s="484"/>
      <c r="L331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31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31" s="520"/>
      <c r="O331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31" s="563"/>
      <c r="Q331" s="481"/>
      <c r="R331" s="875">
        <f>IF(ISNUMBER(Producción_Lecheria[[#This Row],[Cabezas]])=TRUE,Producción_Lecheria[[#This Row],[Cabezas]]*Producción_Lecheria[[#This Row],[Cantidad]],Producción_Lecheria[[#This Row],[Cantidad]])</f>
        <v>0</v>
      </c>
      <c r="S331" s="481"/>
      <c r="T331" s="552"/>
      <c r="U331" s="553"/>
      <c r="V331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31" s="989">
        <f>IFERROR(Producción_Lecheria[[#This Row],[Económico $Corrientes]]/Producción_Lecheria[[#This Row],[Indexación Económico]],0)</f>
        <v>0</v>
      </c>
      <c r="X331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31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31" s="989">
        <f>IFERROR(Producción_Lecheria[[#This Row],[Financiero $Corrientes]]/Producción_Lecheria[[#This Row],[Indexación Financiero]],0)</f>
        <v>0</v>
      </c>
      <c r="AA331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31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31" s="986">
        <f>IFERROR(Producción_Lecheria[[#This Row],[Intereses $Corrientes]]/Producción_Lecheria[[#This Row],[Indexación Financiero]],0)</f>
        <v>0</v>
      </c>
      <c r="AD331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31" s="991">
        <f>IFERROR(INDEX(Produccion_Lecheria_Cuentas[],MATCH(Producción_Lecheria[[#This Row],[Cuenta Contable]],Produccion_Lecheria_Cuentas[Cuenta Contable],0),2),0)</f>
        <v>0</v>
      </c>
      <c r="AF331" s="992">
        <f>IF(Producción_Lecheria[[#This Row],[Mov. Stock]]="(+)",Producción_Lecheria[[#This Row],[Cabezas]],IF(Producción_Lecheria[[#This Row],[Mov. Stock]]="(-)",-Producción_Lecheria[[#This Row],[Cabezas]],0))</f>
        <v>0</v>
      </c>
      <c r="AG331" s="993">
        <f>IFERROR(INDEX(Produccion_Lecheria_Cuentas[],MATCH(Producción_Lecheria[[#This Row],[Cuenta Contable]],Produccion_Lecheria_Cuentas[Cuenta Contable],0),5),0)</f>
        <v>0</v>
      </c>
      <c r="AH331" s="987" t="str">
        <f>IF(Producción_Lecheria[[#This Row],[Cuenta Contable]]=Configuración!$AC$9,"Si","No")</f>
        <v>No</v>
      </c>
      <c r="AI331" s="983">
        <f>IFERROR(INDEX(Tabla9[],MATCH(Producción_Lecheria[[#This Row],[Movimiento]],Tabla9[Movimientos],0),2),0)</f>
        <v>0</v>
      </c>
      <c r="AJ331" s="984">
        <f>IFERROR(INDEX(Tabla9[],MATCH(Producción_Lecheria[[#This Row],[Movimiento]],Tabla9[Movimientos],0),3),0)</f>
        <v>0</v>
      </c>
      <c r="AK331" s="986">
        <f>IF(Producción_Lecheria[[#This Row],[Fecha Económico]]=0,0,MONTH(Producción_Lecheria[[#This Row],[Fecha Económico]]))</f>
        <v>0</v>
      </c>
      <c r="AL331" s="986">
        <f>IF(Producción_Lecheria[[#This Row],[Fecha Económico]]=0,0,YEAR(Producción_Lecheria[[#This Row],[Fecha Económico]]))</f>
        <v>0</v>
      </c>
      <c r="AM331" s="987">
        <f>SUMPRODUCT((Producción_Lecheria[[#This Row],[Mes Económico]]=Tipo_Cambio[Mes])*(Producción_Lecheria[[#This Row],[Año Económico]]=Tipo_Cambio[Año])*(Tipo_Cambio[$/U$S]))</f>
        <v>0</v>
      </c>
      <c r="AN331" s="987">
        <f>SUMPRODUCT((Producción_Lecheria[[#This Row],[Mes Económico]]=Tipo_Cambio[Mes])*(Producción_Lecheria[[#This Row],[Año Económico]]=Tipo_Cambio[Año])*(Tipo_Cambio[Actualización]))</f>
        <v>0</v>
      </c>
      <c r="AO331" s="986">
        <f>IF(ISNUMBER(Producción_Lecheria[[#This Row],[Fecha Financiero]])=TRUE,MONTH(Producción_Lecheria[[#This Row],[Fecha Financiero]]),0)</f>
        <v>0</v>
      </c>
      <c r="AP331" s="986">
        <f>IF(ISNUMBER(Producción_Lecheria[[#This Row],[Fecha Financiero]])=TRUE,YEAR(Producción_Lecheria[[#This Row],[Fecha Financiero]]),0)</f>
        <v>0</v>
      </c>
      <c r="AQ331" s="987">
        <f>SUMPRODUCT((Producción_Lecheria[[#This Row],[Mes Financiero]]=Tipo_Cambio[Mes])*(Producción_Lecheria[[#This Row],[Año Financiero]]=Tipo_Cambio[Año])*(Tipo_Cambio[$/U$S]))</f>
        <v>0</v>
      </c>
      <c r="AR331" s="987">
        <f>SUMPRODUCT((Producción_Lecheria[[#This Row],[Mes Financiero]]=Tipo_Cambio[Mes])*(Producción_Lecheria[[#This Row],[Año Financiero]]=Tipo_Cambio[Año])*(Tipo_Cambio[Actualización]))</f>
        <v>0</v>
      </c>
      <c r="AS331" s="1009">
        <f>SUMPRODUCT((Producción_Lecheria[[#This Row],[Centro de Costo]]=Tabla1924[Centro de Costo])*(Tabla19[Superficie]))</f>
        <v>0</v>
      </c>
      <c r="AT331" s="1010">
        <f>IFERROR(Producción_Lecheria[[#This Row],[Económico $Corrientes]]/Producción_Lecheria[[#This Row],[Superficie]],0)</f>
        <v>0</v>
      </c>
      <c r="AU331" s="1010">
        <f>IFERROR(Producción_Lecheria[[#This Row],[Económico $Constantes]]/Producción_Lecheria[[#This Row],[Superficie]],0)</f>
        <v>0</v>
      </c>
      <c r="AV331" s="1010">
        <f>IFERROR(Producción_Lecheria[[#This Row],[Económico U$S Dólares]]/Producción_Lecheria[[#This Row],[Superficie]],0)</f>
        <v>0</v>
      </c>
      <c r="AW331" s="992">
        <f>IF(Económico!$F$4=0,0,Producción_Lecheria[Centro de Costo])</f>
        <v>0</v>
      </c>
    </row>
    <row r="332" spans="2:49" ht="15.75" thickTop="1" x14ac:dyDescent="0.25">
      <c r="B332" s="1136" t="s">
        <v>113</v>
      </c>
      <c r="D332" s="579"/>
      <c r="E332" s="580"/>
      <c r="F332" s="556" t="str">
        <f t="shared" si="33"/>
        <v>2018-2019</v>
      </c>
      <c r="G332" s="599" t="str">
        <f>LCH_Armotizacion</f>
        <v>Amortización</v>
      </c>
      <c r="H332" s="551" t="s">
        <v>2</v>
      </c>
      <c r="I332" s="551"/>
      <c r="J332" s="558"/>
      <c r="K332" s="577"/>
      <c r="L332" s="964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32" s="961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32" s="559"/>
      <c r="O332" s="972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32" s="578"/>
      <c r="Q332" s="551"/>
      <c r="R332" s="975">
        <f>IF(ISNUMBER(Producción_Lecheria[[#This Row],[Cabezas]])=TRUE,Producción_Lecheria[[#This Row],[Cabezas]]*Producción_Lecheria[[#This Row],[Cantidad]],Producción_Lecheria[[#This Row],[Cantidad]])</f>
        <v>0</v>
      </c>
      <c r="S332" s="551"/>
      <c r="T332" s="561"/>
      <c r="U332" s="562"/>
      <c r="V332" s="995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32" s="996">
        <f>IFERROR(Producción_Lecheria[[#This Row],[Económico $Corrientes]]/Producción_Lecheria[[#This Row],[Indexación Económico]],0)</f>
        <v>0</v>
      </c>
      <c r="X332" s="997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32" s="995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32" s="996">
        <f>IFERROR(Producción_Lecheria[[#This Row],[Financiero $Corrientes]]/Producción_Lecheria[[#This Row],[Indexación Financiero]],0)</f>
        <v>0</v>
      </c>
      <c r="AA332" s="998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32" s="999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32" s="1000">
        <f>IFERROR(Producción_Lecheria[[#This Row],[Intereses $Corrientes]]/Producción_Lecheria[[#This Row],[Indexación Financiero]],0)</f>
        <v>0</v>
      </c>
      <c r="AD332" s="1000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32" s="1001" t="str">
        <f>IFERROR(INDEX(Produccion_Lecheria_Cuentas[],MATCH(Producción_Lecheria[[#This Row],[Cuenta Contable]],Produccion_Lecheria_Cuentas[Cuenta Contable],0),2),0)</f>
        <v>Amortización</v>
      </c>
      <c r="AF332" s="1002">
        <f>IF(Producción_Lecheria[[#This Row],[Mov. Stock]]="(+)",Producción_Lecheria[[#This Row],[Cabezas]],IF(Producción_Lecheria[[#This Row],[Mov. Stock]]="(-)",-Producción_Lecheria[[#This Row],[Cabezas]],0))</f>
        <v>0</v>
      </c>
      <c r="AG332" s="1003">
        <f>IFERROR(INDEX(Produccion_Lecheria_Cuentas[],MATCH(Producción_Lecheria[[#This Row],[Cuenta Contable]],Produccion_Lecheria_Cuentas[Cuenta Contable],0),5),0)</f>
        <v>0</v>
      </c>
      <c r="AH332" s="1007" t="str">
        <f>IF(Producción_Lecheria[[#This Row],[Cuenta Contable]]=Configuración!$AC$9,"Si","No")</f>
        <v>No</v>
      </c>
      <c r="AI332" s="1005" t="str">
        <f>IFERROR(INDEX(Tabla9[],MATCH(Producción_Lecheria[[#This Row],[Movimiento]],Tabla9[Movimientos],0),2),0)</f>
        <v>No</v>
      </c>
      <c r="AJ332" s="1006" t="str">
        <f>IFERROR(INDEX(Tabla9[],MATCH(Producción_Lecheria[[#This Row],[Movimiento]],Tabla9[Movimientos],0),3),0)</f>
        <v>(-)</v>
      </c>
      <c r="AK332" s="1000">
        <f>IF(Producción_Lecheria[[#This Row],[Fecha Económico]]=0,0,MONTH(Producción_Lecheria[[#This Row],[Fecha Económico]]))</f>
        <v>0</v>
      </c>
      <c r="AL332" s="1000">
        <f>IF(Producción_Lecheria[[#This Row],[Fecha Económico]]=0,0,YEAR(Producción_Lecheria[[#This Row],[Fecha Económico]]))</f>
        <v>0</v>
      </c>
      <c r="AM332" s="1007">
        <f>SUMPRODUCT((Producción_Lecheria[[#This Row],[Mes Económico]]=Tipo_Cambio[Mes])*(Producción_Lecheria[[#This Row],[Año Económico]]=Tipo_Cambio[Año])*(Tipo_Cambio[$/U$S]))</f>
        <v>0</v>
      </c>
      <c r="AN332" s="1007">
        <f>SUMPRODUCT((Producción_Lecheria[[#This Row],[Mes Económico]]=Tipo_Cambio[Mes])*(Producción_Lecheria[[#This Row],[Año Económico]]=Tipo_Cambio[Año])*(Tipo_Cambio[Actualización]))</f>
        <v>0</v>
      </c>
      <c r="AO332" s="1000">
        <f>IF(ISNUMBER(Producción_Lecheria[[#This Row],[Fecha Financiero]])=TRUE,MONTH(Producción_Lecheria[[#This Row],[Fecha Financiero]]),0)</f>
        <v>0</v>
      </c>
      <c r="AP332" s="1000">
        <f>IF(ISNUMBER(Producción_Lecheria[[#This Row],[Fecha Financiero]])=TRUE,YEAR(Producción_Lecheria[[#This Row],[Fecha Financiero]]),0)</f>
        <v>0</v>
      </c>
      <c r="AQ332" s="1007">
        <f>SUMPRODUCT((Producción_Lecheria[[#This Row],[Mes Financiero]]=Tipo_Cambio[Mes])*(Producción_Lecheria[[#This Row],[Año Financiero]]=Tipo_Cambio[Año])*(Tipo_Cambio[$/U$S]))</f>
        <v>0</v>
      </c>
      <c r="AR332" s="1007">
        <f>SUMPRODUCT((Producción_Lecheria[[#This Row],[Mes Financiero]]=Tipo_Cambio[Mes])*(Producción_Lecheria[[#This Row],[Año Financiero]]=Tipo_Cambio[Año])*(Tipo_Cambio[Actualización]))</f>
        <v>0</v>
      </c>
      <c r="AS332" s="1027">
        <f>SUMPRODUCT((Producción_Lecheria[[#This Row],[Centro de Costo]]=Tabla1924[Centro de Costo])*(Tabla19[Superficie]))</f>
        <v>2356</v>
      </c>
      <c r="AT332" s="1004">
        <f>IFERROR(Producción_Lecheria[[#This Row],[Económico $Corrientes]]/Producción_Lecheria[[#This Row],[Superficie]],0)</f>
        <v>0</v>
      </c>
      <c r="AU332" s="1004">
        <f>IFERROR(Producción_Lecheria[[#This Row],[Económico $Constantes]]/Producción_Lecheria[[#This Row],[Superficie]],0)</f>
        <v>0</v>
      </c>
      <c r="AV332" s="1004">
        <f>IFERROR(Producción_Lecheria[[#This Row],[Económico U$S Dólares]]/Producción_Lecheria[[#This Row],[Superficie]],0)</f>
        <v>0</v>
      </c>
      <c r="AW332" s="1002" t="str">
        <f>IF(Económico!$F$4=0,0,Producción_Lecheria[Centro de Costo])</f>
        <v>Campo 1</v>
      </c>
    </row>
    <row r="333" spans="2:49" x14ac:dyDescent="0.25">
      <c r="B333" s="1136"/>
      <c r="D333" s="548"/>
      <c r="E333" s="493"/>
      <c r="F333" s="479" t="str">
        <f t="shared" si="33"/>
        <v>2018-2019</v>
      </c>
      <c r="G333" s="482" t="str">
        <f>LCH_Armotizacion</f>
        <v>Amortización</v>
      </c>
      <c r="H333" s="481" t="s">
        <v>2</v>
      </c>
      <c r="I333" s="481"/>
      <c r="J333" s="549"/>
      <c r="K333" s="484"/>
      <c r="L333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33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33" s="520"/>
      <c r="O333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33" s="563"/>
      <c r="Q333" s="481"/>
      <c r="R333" s="875">
        <f>IF(ISNUMBER(Producción_Lecheria[[#This Row],[Cabezas]])=TRUE,Producción_Lecheria[[#This Row],[Cabezas]]*Producción_Lecheria[[#This Row],[Cantidad]],Producción_Lecheria[[#This Row],[Cantidad]])</f>
        <v>0</v>
      </c>
      <c r="S333" s="481"/>
      <c r="T333" s="552"/>
      <c r="U333" s="553"/>
      <c r="V333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33" s="989">
        <f>IFERROR(Producción_Lecheria[[#This Row],[Económico $Corrientes]]/Producción_Lecheria[[#This Row],[Indexación Económico]],0)</f>
        <v>0</v>
      </c>
      <c r="X333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33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33" s="989">
        <f>IFERROR(Producción_Lecheria[[#This Row],[Financiero $Corrientes]]/Producción_Lecheria[[#This Row],[Indexación Financiero]],0)</f>
        <v>0</v>
      </c>
      <c r="AA333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33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33" s="986">
        <f>IFERROR(Producción_Lecheria[[#This Row],[Intereses $Corrientes]]/Producción_Lecheria[[#This Row],[Indexación Financiero]],0)</f>
        <v>0</v>
      </c>
      <c r="AD333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33" s="991" t="str">
        <f>IFERROR(INDEX(Produccion_Lecheria_Cuentas[],MATCH(Producción_Lecheria[[#This Row],[Cuenta Contable]],Produccion_Lecheria_Cuentas[Cuenta Contable],0),2),0)</f>
        <v>Amortización</v>
      </c>
      <c r="AF333" s="992">
        <f>IF(Producción_Lecheria[[#This Row],[Mov. Stock]]="(+)",Producción_Lecheria[[#This Row],[Cabezas]],IF(Producción_Lecheria[[#This Row],[Mov. Stock]]="(-)",-Producción_Lecheria[[#This Row],[Cabezas]],0))</f>
        <v>0</v>
      </c>
      <c r="AG333" s="993">
        <f>IFERROR(INDEX(Produccion_Lecheria_Cuentas[],MATCH(Producción_Lecheria[[#This Row],[Cuenta Contable]],Produccion_Lecheria_Cuentas[Cuenta Contable],0),5),0)</f>
        <v>0</v>
      </c>
      <c r="AH333" s="987" t="str">
        <f>IF(Producción_Lecheria[[#This Row],[Cuenta Contable]]=Configuración!$AC$9,"Si","No")</f>
        <v>No</v>
      </c>
      <c r="AI333" s="983" t="str">
        <f>IFERROR(INDEX(Tabla9[],MATCH(Producción_Lecheria[[#This Row],[Movimiento]],Tabla9[Movimientos],0),2),0)</f>
        <v>No</v>
      </c>
      <c r="AJ333" s="984" t="str">
        <f>IFERROR(INDEX(Tabla9[],MATCH(Producción_Lecheria[[#This Row],[Movimiento]],Tabla9[Movimientos],0),3),0)</f>
        <v>(-)</v>
      </c>
      <c r="AK333" s="986">
        <f>IF(Producción_Lecheria[[#This Row],[Fecha Económico]]=0,0,MONTH(Producción_Lecheria[[#This Row],[Fecha Económico]]))</f>
        <v>0</v>
      </c>
      <c r="AL333" s="986">
        <f>IF(Producción_Lecheria[[#This Row],[Fecha Económico]]=0,0,YEAR(Producción_Lecheria[[#This Row],[Fecha Económico]]))</f>
        <v>0</v>
      </c>
      <c r="AM333" s="987">
        <f>SUMPRODUCT((Producción_Lecheria[[#This Row],[Mes Económico]]=Tipo_Cambio[Mes])*(Producción_Lecheria[[#This Row],[Año Económico]]=Tipo_Cambio[Año])*(Tipo_Cambio[$/U$S]))</f>
        <v>0</v>
      </c>
      <c r="AN333" s="987">
        <f>SUMPRODUCT((Producción_Lecheria[[#This Row],[Mes Económico]]=Tipo_Cambio[Mes])*(Producción_Lecheria[[#This Row],[Año Económico]]=Tipo_Cambio[Año])*(Tipo_Cambio[Actualización]))</f>
        <v>0</v>
      </c>
      <c r="AO333" s="986">
        <f>IF(ISNUMBER(Producción_Lecheria[[#This Row],[Fecha Financiero]])=TRUE,MONTH(Producción_Lecheria[[#This Row],[Fecha Financiero]]),0)</f>
        <v>0</v>
      </c>
      <c r="AP333" s="986">
        <f>IF(ISNUMBER(Producción_Lecheria[[#This Row],[Fecha Financiero]])=TRUE,YEAR(Producción_Lecheria[[#This Row],[Fecha Financiero]]),0)</f>
        <v>0</v>
      </c>
      <c r="AQ333" s="987">
        <f>SUMPRODUCT((Producción_Lecheria[[#This Row],[Mes Financiero]]=Tipo_Cambio[Mes])*(Producción_Lecheria[[#This Row],[Año Financiero]]=Tipo_Cambio[Año])*(Tipo_Cambio[$/U$S]))</f>
        <v>0</v>
      </c>
      <c r="AR333" s="987">
        <f>SUMPRODUCT((Producción_Lecheria[[#This Row],[Mes Financiero]]=Tipo_Cambio[Mes])*(Producción_Lecheria[[#This Row],[Año Financiero]]=Tipo_Cambio[Año])*(Tipo_Cambio[Actualización]))</f>
        <v>0</v>
      </c>
      <c r="AS333" s="1009">
        <f>SUMPRODUCT((Producción_Lecheria[[#This Row],[Centro de Costo]]=Tabla1924[Centro de Costo])*(Tabla19[Superficie]))</f>
        <v>2356</v>
      </c>
      <c r="AT333" s="1010">
        <f>IFERROR(Producción_Lecheria[[#This Row],[Económico $Corrientes]]/Producción_Lecheria[[#This Row],[Superficie]],0)</f>
        <v>0</v>
      </c>
      <c r="AU333" s="1010">
        <f>IFERROR(Producción_Lecheria[[#This Row],[Económico $Constantes]]/Producción_Lecheria[[#This Row],[Superficie]],0)</f>
        <v>0</v>
      </c>
      <c r="AV333" s="1010">
        <f>IFERROR(Producción_Lecheria[[#This Row],[Económico U$S Dólares]]/Producción_Lecheria[[#This Row],[Superficie]],0)</f>
        <v>0</v>
      </c>
      <c r="AW333" s="992" t="str">
        <f>IF(Económico!$F$4=0,0,Producción_Lecheria[Centro de Costo])</f>
        <v>Campo 1</v>
      </c>
    </row>
    <row r="334" spans="2:49" x14ac:dyDescent="0.25">
      <c r="B334" s="1136"/>
      <c r="D334" s="548"/>
      <c r="E334" s="493"/>
      <c r="F334" s="479" t="str">
        <f t="shared" si="33"/>
        <v>2018-2019</v>
      </c>
      <c r="G334" s="482" t="str">
        <f>LCH_Armotizacion</f>
        <v>Amortización</v>
      </c>
      <c r="H334" s="481" t="s">
        <v>2</v>
      </c>
      <c r="I334" s="481"/>
      <c r="J334" s="549"/>
      <c r="K334" s="484"/>
      <c r="L334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34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34" s="520"/>
      <c r="O334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34" s="563"/>
      <c r="Q334" s="481"/>
      <c r="R334" s="875">
        <f>IF(ISNUMBER(Producción_Lecheria[[#This Row],[Cabezas]])=TRUE,Producción_Lecheria[[#This Row],[Cabezas]]*Producción_Lecheria[[#This Row],[Cantidad]],Producción_Lecheria[[#This Row],[Cantidad]])</f>
        <v>0</v>
      </c>
      <c r="S334" s="481"/>
      <c r="T334" s="552"/>
      <c r="U334" s="553"/>
      <c r="V334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34" s="989">
        <f>IFERROR(Producción_Lecheria[[#This Row],[Económico $Corrientes]]/Producción_Lecheria[[#This Row],[Indexación Económico]],0)</f>
        <v>0</v>
      </c>
      <c r="X334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34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34" s="989">
        <f>IFERROR(Producción_Lecheria[[#This Row],[Financiero $Corrientes]]/Producción_Lecheria[[#This Row],[Indexación Financiero]],0)</f>
        <v>0</v>
      </c>
      <c r="AA334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34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34" s="986">
        <f>IFERROR(Producción_Lecheria[[#This Row],[Intereses $Corrientes]]/Producción_Lecheria[[#This Row],[Indexación Financiero]],0)</f>
        <v>0</v>
      </c>
      <c r="AD334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34" s="991" t="str">
        <f>IFERROR(INDEX(Produccion_Lecheria_Cuentas[],MATCH(Producción_Lecheria[[#This Row],[Cuenta Contable]],Produccion_Lecheria_Cuentas[Cuenta Contable],0),2),0)</f>
        <v>Amortización</v>
      </c>
      <c r="AF334" s="992">
        <f>IF(Producción_Lecheria[[#This Row],[Mov. Stock]]="(+)",Producción_Lecheria[[#This Row],[Cabezas]],IF(Producción_Lecheria[[#This Row],[Mov. Stock]]="(-)",-Producción_Lecheria[[#This Row],[Cabezas]],0))</f>
        <v>0</v>
      </c>
      <c r="AG334" s="993">
        <f>IFERROR(INDEX(Produccion_Lecheria_Cuentas[],MATCH(Producción_Lecheria[[#This Row],[Cuenta Contable]],Produccion_Lecheria_Cuentas[Cuenta Contable],0),5),0)</f>
        <v>0</v>
      </c>
      <c r="AH334" s="987" t="str">
        <f>IF(Producción_Lecheria[[#This Row],[Cuenta Contable]]=Configuración!$AC$9,"Si","No")</f>
        <v>No</v>
      </c>
      <c r="AI334" s="983" t="str">
        <f>IFERROR(INDEX(Tabla9[],MATCH(Producción_Lecheria[[#This Row],[Movimiento]],Tabla9[Movimientos],0),2),0)</f>
        <v>No</v>
      </c>
      <c r="AJ334" s="984" t="str">
        <f>IFERROR(INDEX(Tabla9[],MATCH(Producción_Lecheria[[#This Row],[Movimiento]],Tabla9[Movimientos],0),3),0)</f>
        <v>(-)</v>
      </c>
      <c r="AK334" s="986">
        <f>IF(Producción_Lecheria[[#This Row],[Fecha Económico]]=0,0,MONTH(Producción_Lecheria[[#This Row],[Fecha Económico]]))</f>
        <v>0</v>
      </c>
      <c r="AL334" s="986">
        <f>IF(Producción_Lecheria[[#This Row],[Fecha Económico]]=0,0,YEAR(Producción_Lecheria[[#This Row],[Fecha Económico]]))</f>
        <v>0</v>
      </c>
      <c r="AM334" s="987">
        <f>SUMPRODUCT((Producción_Lecheria[[#This Row],[Mes Económico]]=Tipo_Cambio[Mes])*(Producción_Lecheria[[#This Row],[Año Económico]]=Tipo_Cambio[Año])*(Tipo_Cambio[$/U$S]))</f>
        <v>0</v>
      </c>
      <c r="AN334" s="987">
        <f>SUMPRODUCT((Producción_Lecheria[[#This Row],[Mes Económico]]=Tipo_Cambio[Mes])*(Producción_Lecheria[[#This Row],[Año Económico]]=Tipo_Cambio[Año])*(Tipo_Cambio[Actualización]))</f>
        <v>0</v>
      </c>
      <c r="AO334" s="986">
        <f>IF(ISNUMBER(Producción_Lecheria[[#This Row],[Fecha Financiero]])=TRUE,MONTH(Producción_Lecheria[[#This Row],[Fecha Financiero]]),0)</f>
        <v>0</v>
      </c>
      <c r="AP334" s="986">
        <f>IF(ISNUMBER(Producción_Lecheria[[#This Row],[Fecha Financiero]])=TRUE,YEAR(Producción_Lecheria[[#This Row],[Fecha Financiero]]),0)</f>
        <v>0</v>
      </c>
      <c r="AQ334" s="987">
        <f>SUMPRODUCT((Producción_Lecheria[[#This Row],[Mes Financiero]]=Tipo_Cambio[Mes])*(Producción_Lecheria[[#This Row],[Año Financiero]]=Tipo_Cambio[Año])*(Tipo_Cambio[$/U$S]))</f>
        <v>0</v>
      </c>
      <c r="AR334" s="987">
        <f>SUMPRODUCT((Producción_Lecheria[[#This Row],[Mes Financiero]]=Tipo_Cambio[Mes])*(Producción_Lecheria[[#This Row],[Año Financiero]]=Tipo_Cambio[Año])*(Tipo_Cambio[Actualización]))</f>
        <v>0</v>
      </c>
      <c r="AS334" s="1009">
        <f>SUMPRODUCT((Producción_Lecheria[[#This Row],[Centro de Costo]]=Tabla1924[Centro de Costo])*(Tabla19[Superficie]))</f>
        <v>2356</v>
      </c>
      <c r="AT334" s="1010">
        <f>IFERROR(Producción_Lecheria[[#This Row],[Económico $Corrientes]]/Producción_Lecheria[[#This Row],[Superficie]],0)</f>
        <v>0</v>
      </c>
      <c r="AU334" s="1010">
        <f>IFERROR(Producción_Lecheria[[#This Row],[Económico $Constantes]]/Producción_Lecheria[[#This Row],[Superficie]],0)</f>
        <v>0</v>
      </c>
      <c r="AV334" s="1010">
        <f>IFERROR(Producción_Lecheria[[#This Row],[Económico U$S Dólares]]/Producción_Lecheria[[#This Row],[Superficie]],0)</f>
        <v>0</v>
      </c>
      <c r="AW334" s="992" t="str">
        <f>IF(Económico!$F$4=0,0,Producción_Lecheria[Centro de Costo])</f>
        <v>Campo 1</v>
      </c>
    </row>
    <row r="335" spans="2:49" x14ac:dyDescent="0.25">
      <c r="D335" s="548"/>
      <c r="E335" s="493"/>
      <c r="F335" s="479" t="str">
        <f t="shared" si="33"/>
        <v>2018-2019</v>
      </c>
      <c r="G335" s="482" t="str">
        <f>LCH_Armotizacion</f>
        <v>Amortización</v>
      </c>
      <c r="H335" s="481" t="s">
        <v>2</v>
      </c>
      <c r="I335" s="481"/>
      <c r="J335" s="549"/>
      <c r="K335" s="484"/>
      <c r="L335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35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35" s="520"/>
      <c r="O335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35" s="563"/>
      <c r="Q335" s="481"/>
      <c r="R335" s="875">
        <f>IF(ISNUMBER(Producción_Lecheria[[#This Row],[Cabezas]])=TRUE,Producción_Lecheria[[#This Row],[Cabezas]]*Producción_Lecheria[[#This Row],[Cantidad]],Producción_Lecheria[[#This Row],[Cantidad]])</f>
        <v>0</v>
      </c>
      <c r="S335" s="481"/>
      <c r="T335" s="552"/>
      <c r="U335" s="553"/>
      <c r="V335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35" s="989">
        <f>IFERROR(Producción_Lecheria[[#This Row],[Económico $Corrientes]]/Producción_Lecheria[[#This Row],[Indexación Económico]],0)</f>
        <v>0</v>
      </c>
      <c r="X335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35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35" s="989">
        <f>IFERROR(Producción_Lecheria[[#This Row],[Financiero $Corrientes]]/Producción_Lecheria[[#This Row],[Indexación Financiero]],0)</f>
        <v>0</v>
      </c>
      <c r="AA335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35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35" s="986">
        <f>IFERROR(Producción_Lecheria[[#This Row],[Intereses $Corrientes]]/Producción_Lecheria[[#This Row],[Indexación Financiero]],0)</f>
        <v>0</v>
      </c>
      <c r="AD335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35" s="991" t="str">
        <f>IFERROR(INDEX(Produccion_Lecheria_Cuentas[],MATCH(Producción_Lecheria[[#This Row],[Cuenta Contable]],Produccion_Lecheria_Cuentas[Cuenta Contable],0),2),0)</f>
        <v>Amortización</v>
      </c>
      <c r="AF335" s="992">
        <f>IF(Producción_Lecheria[[#This Row],[Mov. Stock]]="(+)",Producción_Lecheria[[#This Row],[Cabezas]],IF(Producción_Lecheria[[#This Row],[Mov. Stock]]="(-)",-Producción_Lecheria[[#This Row],[Cabezas]],0))</f>
        <v>0</v>
      </c>
      <c r="AG335" s="993">
        <f>IFERROR(INDEX(Produccion_Lecheria_Cuentas[],MATCH(Producción_Lecheria[[#This Row],[Cuenta Contable]],Produccion_Lecheria_Cuentas[Cuenta Contable],0),5),0)</f>
        <v>0</v>
      </c>
      <c r="AH335" s="987" t="str">
        <f>IF(Producción_Lecheria[[#This Row],[Cuenta Contable]]=Configuración!$AC$9,"Si","No")</f>
        <v>No</v>
      </c>
      <c r="AI335" s="983" t="str">
        <f>IFERROR(INDEX(Tabla9[],MATCH(Producción_Lecheria[[#This Row],[Movimiento]],Tabla9[Movimientos],0),2),0)</f>
        <v>No</v>
      </c>
      <c r="AJ335" s="984" t="str">
        <f>IFERROR(INDEX(Tabla9[],MATCH(Producción_Lecheria[[#This Row],[Movimiento]],Tabla9[Movimientos],0),3),0)</f>
        <v>(-)</v>
      </c>
      <c r="AK335" s="986">
        <f>IF(Producción_Lecheria[[#This Row],[Fecha Económico]]=0,0,MONTH(Producción_Lecheria[[#This Row],[Fecha Económico]]))</f>
        <v>0</v>
      </c>
      <c r="AL335" s="986">
        <f>IF(Producción_Lecheria[[#This Row],[Fecha Económico]]=0,0,YEAR(Producción_Lecheria[[#This Row],[Fecha Económico]]))</f>
        <v>0</v>
      </c>
      <c r="AM335" s="987">
        <f>SUMPRODUCT((Producción_Lecheria[[#This Row],[Mes Económico]]=Tipo_Cambio[Mes])*(Producción_Lecheria[[#This Row],[Año Económico]]=Tipo_Cambio[Año])*(Tipo_Cambio[$/U$S]))</f>
        <v>0</v>
      </c>
      <c r="AN335" s="987">
        <f>SUMPRODUCT((Producción_Lecheria[[#This Row],[Mes Económico]]=Tipo_Cambio[Mes])*(Producción_Lecheria[[#This Row],[Año Económico]]=Tipo_Cambio[Año])*(Tipo_Cambio[Actualización]))</f>
        <v>0</v>
      </c>
      <c r="AO335" s="986">
        <f>IF(ISNUMBER(Producción_Lecheria[[#This Row],[Fecha Financiero]])=TRUE,MONTH(Producción_Lecheria[[#This Row],[Fecha Financiero]]),0)</f>
        <v>0</v>
      </c>
      <c r="AP335" s="986">
        <f>IF(ISNUMBER(Producción_Lecheria[[#This Row],[Fecha Financiero]])=TRUE,YEAR(Producción_Lecheria[[#This Row],[Fecha Financiero]]),0)</f>
        <v>0</v>
      </c>
      <c r="AQ335" s="987">
        <f>SUMPRODUCT((Producción_Lecheria[[#This Row],[Mes Financiero]]=Tipo_Cambio[Mes])*(Producción_Lecheria[[#This Row],[Año Financiero]]=Tipo_Cambio[Año])*(Tipo_Cambio[$/U$S]))</f>
        <v>0</v>
      </c>
      <c r="AR335" s="987">
        <f>SUMPRODUCT((Producción_Lecheria[[#This Row],[Mes Financiero]]=Tipo_Cambio[Mes])*(Producción_Lecheria[[#This Row],[Año Financiero]]=Tipo_Cambio[Año])*(Tipo_Cambio[Actualización]))</f>
        <v>0</v>
      </c>
      <c r="AS335" s="1009">
        <f>SUMPRODUCT((Producción_Lecheria[[#This Row],[Centro de Costo]]=Tabla1924[Centro de Costo])*(Tabla19[Superficie]))</f>
        <v>2356</v>
      </c>
      <c r="AT335" s="1010">
        <f>IFERROR(Producción_Lecheria[[#This Row],[Económico $Corrientes]]/Producción_Lecheria[[#This Row],[Superficie]],0)</f>
        <v>0</v>
      </c>
      <c r="AU335" s="1010">
        <f>IFERROR(Producción_Lecheria[[#This Row],[Económico $Constantes]]/Producción_Lecheria[[#This Row],[Superficie]],0)</f>
        <v>0</v>
      </c>
      <c r="AV335" s="1010">
        <f>IFERROR(Producción_Lecheria[[#This Row],[Económico U$S Dólares]]/Producción_Lecheria[[#This Row],[Superficie]],0)</f>
        <v>0</v>
      </c>
      <c r="AW335" s="992" t="str">
        <f>IF(Económico!$F$4=0,0,Producción_Lecheria[Centro de Costo])</f>
        <v>Campo 1</v>
      </c>
    </row>
    <row r="336" spans="2:49" x14ac:dyDescent="0.25">
      <c r="D336" s="548"/>
      <c r="E336" s="493"/>
      <c r="F336" s="479" t="str">
        <f t="shared" si="33"/>
        <v>2018-2019</v>
      </c>
      <c r="G336" s="482" t="str">
        <f>LCH_Armotizacion</f>
        <v>Amortización</v>
      </c>
      <c r="H336" s="481" t="s">
        <v>2</v>
      </c>
      <c r="I336" s="481"/>
      <c r="J336" s="549"/>
      <c r="K336" s="484"/>
      <c r="L336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36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36" s="520"/>
      <c r="O336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36" s="563"/>
      <c r="Q336" s="481"/>
      <c r="R336" s="875">
        <f>IF(ISNUMBER(Producción_Lecheria[[#This Row],[Cabezas]])=TRUE,Producción_Lecheria[[#This Row],[Cabezas]]*Producción_Lecheria[[#This Row],[Cantidad]],Producción_Lecheria[[#This Row],[Cantidad]])</f>
        <v>0</v>
      </c>
      <c r="S336" s="481"/>
      <c r="T336" s="552"/>
      <c r="U336" s="553"/>
      <c r="V336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36" s="989">
        <f>IFERROR(Producción_Lecheria[[#This Row],[Económico $Corrientes]]/Producción_Lecheria[[#This Row],[Indexación Económico]],0)</f>
        <v>0</v>
      </c>
      <c r="X336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36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36" s="989">
        <f>IFERROR(Producción_Lecheria[[#This Row],[Financiero $Corrientes]]/Producción_Lecheria[[#This Row],[Indexación Financiero]],0)</f>
        <v>0</v>
      </c>
      <c r="AA336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36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36" s="986">
        <f>IFERROR(Producción_Lecheria[[#This Row],[Intereses $Corrientes]]/Producción_Lecheria[[#This Row],[Indexación Financiero]],0)</f>
        <v>0</v>
      </c>
      <c r="AD336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36" s="991" t="str">
        <f>IFERROR(INDEX(Produccion_Lecheria_Cuentas[],MATCH(Producción_Lecheria[[#This Row],[Cuenta Contable]],Produccion_Lecheria_Cuentas[Cuenta Contable],0),2),0)</f>
        <v>Amortización</v>
      </c>
      <c r="AF336" s="992">
        <f>IF(Producción_Lecheria[[#This Row],[Mov. Stock]]="(+)",Producción_Lecheria[[#This Row],[Cabezas]],IF(Producción_Lecheria[[#This Row],[Mov. Stock]]="(-)",-Producción_Lecheria[[#This Row],[Cabezas]],0))</f>
        <v>0</v>
      </c>
      <c r="AG336" s="993">
        <f>IFERROR(INDEX(Produccion_Lecheria_Cuentas[],MATCH(Producción_Lecheria[[#This Row],[Cuenta Contable]],Produccion_Lecheria_Cuentas[Cuenta Contable],0),5),0)</f>
        <v>0</v>
      </c>
      <c r="AH336" s="987" t="str">
        <f>IF(Producción_Lecheria[[#This Row],[Cuenta Contable]]=Configuración!$AC$9,"Si","No")</f>
        <v>No</v>
      </c>
      <c r="AI336" s="983" t="str">
        <f>IFERROR(INDEX(Tabla9[],MATCH(Producción_Lecheria[[#This Row],[Movimiento]],Tabla9[Movimientos],0),2),0)</f>
        <v>No</v>
      </c>
      <c r="AJ336" s="984" t="str">
        <f>IFERROR(INDEX(Tabla9[],MATCH(Producción_Lecheria[[#This Row],[Movimiento]],Tabla9[Movimientos],0),3),0)</f>
        <v>(-)</v>
      </c>
      <c r="AK336" s="986">
        <f>IF(Producción_Lecheria[[#This Row],[Fecha Económico]]=0,0,MONTH(Producción_Lecheria[[#This Row],[Fecha Económico]]))</f>
        <v>0</v>
      </c>
      <c r="AL336" s="986">
        <f>IF(Producción_Lecheria[[#This Row],[Fecha Económico]]=0,0,YEAR(Producción_Lecheria[[#This Row],[Fecha Económico]]))</f>
        <v>0</v>
      </c>
      <c r="AM336" s="987">
        <f>SUMPRODUCT((Producción_Lecheria[[#This Row],[Mes Económico]]=Tipo_Cambio[Mes])*(Producción_Lecheria[[#This Row],[Año Económico]]=Tipo_Cambio[Año])*(Tipo_Cambio[$/U$S]))</f>
        <v>0</v>
      </c>
      <c r="AN336" s="987">
        <f>SUMPRODUCT((Producción_Lecheria[[#This Row],[Mes Económico]]=Tipo_Cambio[Mes])*(Producción_Lecheria[[#This Row],[Año Económico]]=Tipo_Cambio[Año])*(Tipo_Cambio[Actualización]))</f>
        <v>0</v>
      </c>
      <c r="AO336" s="986">
        <f>IF(ISNUMBER(Producción_Lecheria[[#This Row],[Fecha Financiero]])=TRUE,MONTH(Producción_Lecheria[[#This Row],[Fecha Financiero]]),0)</f>
        <v>0</v>
      </c>
      <c r="AP336" s="986">
        <f>IF(ISNUMBER(Producción_Lecheria[[#This Row],[Fecha Financiero]])=TRUE,YEAR(Producción_Lecheria[[#This Row],[Fecha Financiero]]),0)</f>
        <v>0</v>
      </c>
      <c r="AQ336" s="987">
        <f>SUMPRODUCT((Producción_Lecheria[[#This Row],[Mes Financiero]]=Tipo_Cambio[Mes])*(Producción_Lecheria[[#This Row],[Año Financiero]]=Tipo_Cambio[Año])*(Tipo_Cambio[$/U$S]))</f>
        <v>0</v>
      </c>
      <c r="AR336" s="987">
        <f>SUMPRODUCT((Producción_Lecheria[[#This Row],[Mes Financiero]]=Tipo_Cambio[Mes])*(Producción_Lecheria[[#This Row],[Año Financiero]]=Tipo_Cambio[Año])*(Tipo_Cambio[Actualización]))</f>
        <v>0</v>
      </c>
      <c r="AS336" s="1009">
        <f>SUMPRODUCT((Producción_Lecheria[[#This Row],[Centro de Costo]]=Tabla1924[Centro de Costo])*(Tabla19[Superficie]))</f>
        <v>2356</v>
      </c>
      <c r="AT336" s="1010">
        <f>IFERROR(Producción_Lecheria[[#This Row],[Económico $Corrientes]]/Producción_Lecheria[[#This Row],[Superficie]],0)</f>
        <v>0</v>
      </c>
      <c r="AU336" s="1010">
        <f>IFERROR(Producción_Lecheria[[#This Row],[Económico $Constantes]]/Producción_Lecheria[[#This Row],[Superficie]],0)</f>
        <v>0</v>
      </c>
      <c r="AV336" s="1010">
        <f>IFERROR(Producción_Lecheria[[#This Row],[Económico U$S Dólares]]/Producción_Lecheria[[#This Row],[Superficie]],0)</f>
        <v>0</v>
      </c>
      <c r="AW336" s="992" t="str">
        <f>IF(Económico!$F$4=0,0,Producción_Lecheria[Centro de Costo])</f>
        <v>Campo 1</v>
      </c>
    </row>
    <row r="337" spans="2:49" x14ac:dyDescent="0.25">
      <c r="D337" s="548"/>
      <c r="E337" s="493"/>
      <c r="F337" s="479" t="str">
        <f t="shared" si="33"/>
        <v>2018-2019</v>
      </c>
      <c r="G337" s="482"/>
      <c r="H337" s="481"/>
      <c r="I337" s="481"/>
      <c r="J337" s="549"/>
      <c r="K337" s="484"/>
      <c r="L337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37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37" s="520"/>
      <c r="O337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37" s="563"/>
      <c r="Q337" s="481"/>
      <c r="R337" s="875">
        <f>IF(ISNUMBER(Producción_Lecheria[[#This Row],[Cabezas]])=TRUE,Producción_Lecheria[[#This Row],[Cabezas]]*Producción_Lecheria[[#This Row],[Cantidad]],Producción_Lecheria[[#This Row],[Cantidad]])</f>
        <v>0</v>
      </c>
      <c r="S337" s="481"/>
      <c r="T337" s="552"/>
      <c r="U337" s="553"/>
      <c r="V337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37" s="989">
        <f>IFERROR(Producción_Lecheria[[#This Row],[Económico $Corrientes]]/Producción_Lecheria[[#This Row],[Indexación Económico]],0)</f>
        <v>0</v>
      </c>
      <c r="X337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37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37" s="989">
        <f>IFERROR(Producción_Lecheria[[#This Row],[Financiero $Corrientes]]/Producción_Lecheria[[#This Row],[Indexación Financiero]],0)</f>
        <v>0</v>
      </c>
      <c r="AA337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37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37" s="986">
        <f>IFERROR(Producción_Lecheria[[#This Row],[Intereses $Corrientes]]/Producción_Lecheria[[#This Row],[Indexación Financiero]],0)</f>
        <v>0</v>
      </c>
      <c r="AD337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37" s="991">
        <f>IFERROR(INDEX(Produccion_Lecheria_Cuentas[],MATCH(Producción_Lecheria[[#This Row],[Cuenta Contable]],Produccion_Lecheria_Cuentas[Cuenta Contable],0),2),0)</f>
        <v>0</v>
      </c>
      <c r="AF337" s="992">
        <f>IF(Producción_Lecheria[[#This Row],[Mov. Stock]]="(+)",Producción_Lecheria[[#This Row],[Cabezas]],IF(Producción_Lecheria[[#This Row],[Mov. Stock]]="(-)",-Producción_Lecheria[[#This Row],[Cabezas]],0))</f>
        <v>0</v>
      </c>
      <c r="AG337" s="993">
        <f>IFERROR(INDEX(Produccion_Lecheria_Cuentas[],MATCH(Producción_Lecheria[[#This Row],[Cuenta Contable]],Produccion_Lecheria_Cuentas[Cuenta Contable],0),5),0)</f>
        <v>0</v>
      </c>
      <c r="AH337" s="987" t="str">
        <f>IF(Producción_Lecheria[[#This Row],[Cuenta Contable]]=Configuración!$AC$9,"Si","No")</f>
        <v>No</v>
      </c>
      <c r="AI337" s="983">
        <f>IFERROR(INDEX(Tabla9[],MATCH(Producción_Lecheria[[#This Row],[Movimiento]],Tabla9[Movimientos],0),2),0)</f>
        <v>0</v>
      </c>
      <c r="AJ337" s="984">
        <f>IFERROR(INDEX(Tabla9[],MATCH(Producción_Lecheria[[#This Row],[Movimiento]],Tabla9[Movimientos],0),3),0)</f>
        <v>0</v>
      </c>
      <c r="AK337" s="986">
        <f>IF(Producción_Lecheria[[#This Row],[Fecha Económico]]=0,0,MONTH(Producción_Lecheria[[#This Row],[Fecha Económico]]))</f>
        <v>0</v>
      </c>
      <c r="AL337" s="986">
        <f>IF(Producción_Lecheria[[#This Row],[Fecha Económico]]=0,0,YEAR(Producción_Lecheria[[#This Row],[Fecha Económico]]))</f>
        <v>0</v>
      </c>
      <c r="AM337" s="987">
        <f>SUMPRODUCT((Producción_Lecheria[[#This Row],[Mes Económico]]=Tipo_Cambio[Mes])*(Producción_Lecheria[[#This Row],[Año Económico]]=Tipo_Cambio[Año])*(Tipo_Cambio[$/U$S]))</f>
        <v>0</v>
      </c>
      <c r="AN337" s="987">
        <f>SUMPRODUCT((Producción_Lecheria[[#This Row],[Mes Económico]]=Tipo_Cambio[Mes])*(Producción_Lecheria[[#This Row],[Año Económico]]=Tipo_Cambio[Año])*(Tipo_Cambio[Actualización]))</f>
        <v>0</v>
      </c>
      <c r="AO337" s="986">
        <f>IF(ISNUMBER(Producción_Lecheria[[#This Row],[Fecha Financiero]])=TRUE,MONTH(Producción_Lecheria[[#This Row],[Fecha Financiero]]),0)</f>
        <v>0</v>
      </c>
      <c r="AP337" s="986">
        <f>IF(ISNUMBER(Producción_Lecheria[[#This Row],[Fecha Financiero]])=TRUE,YEAR(Producción_Lecheria[[#This Row],[Fecha Financiero]]),0)</f>
        <v>0</v>
      </c>
      <c r="AQ337" s="987">
        <f>SUMPRODUCT((Producción_Lecheria[[#This Row],[Mes Financiero]]=Tipo_Cambio[Mes])*(Producción_Lecheria[[#This Row],[Año Financiero]]=Tipo_Cambio[Año])*(Tipo_Cambio[$/U$S]))</f>
        <v>0</v>
      </c>
      <c r="AR337" s="987">
        <f>SUMPRODUCT((Producción_Lecheria[[#This Row],[Mes Financiero]]=Tipo_Cambio[Mes])*(Producción_Lecheria[[#This Row],[Año Financiero]]=Tipo_Cambio[Año])*(Tipo_Cambio[Actualización]))</f>
        <v>0</v>
      </c>
      <c r="AS337" s="1009">
        <f>SUMPRODUCT((Producción_Lecheria[[#This Row],[Centro de Costo]]=Tabla1924[Centro de Costo])*(Tabla19[Superficie]))</f>
        <v>0</v>
      </c>
      <c r="AT337" s="1010">
        <f>IFERROR(Producción_Lecheria[[#This Row],[Económico $Corrientes]]/Producción_Lecheria[[#This Row],[Superficie]],0)</f>
        <v>0</v>
      </c>
      <c r="AU337" s="1010">
        <f>IFERROR(Producción_Lecheria[[#This Row],[Económico $Constantes]]/Producción_Lecheria[[#This Row],[Superficie]],0)</f>
        <v>0</v>
      </c>
      <c r="AV337" s="1010">
        <f>IFERROR(Producción_Lecheria[[#This Row],[Económico U$S Dólares]]/Producción_Lecheria[[#This Row],[Superficie]],0)</f>
        <v>0</v>
      </c>
      <c r="AW337" s="992">
        <f>IF(Económico!$F$4=0,0,Producción_Lecheria[Centro de Costo])</f>
        <v>0</v>
      </c>
    </row>
    <row r="338" spans="2:49" x14ac:dyDescent="0.25">
      <c r="B338" s="373" t="s">
        <v>101</v>
      </c>
      <c r="D338" s="548"/>
      <c r="E338" s="493"/>
      <c r="F338" s="479" t="str">
        <f t="shared" si="33"/>
        <v>2018-2019</v>
      </c>
      <c r="G338" s="482"/>
      <c r="H338" s="481"/>
      <c r="I338" s="481"/>
      <c r="J338" s="549"/>
      <c r="K338" s="484"/>
      <c r="L338" s="962">
        <f>SUMPRODUCT((MONTH(Producción_Lecheria[[#This Row],[Fecha Económico]])=Tabla27[Mes])*(YEAR(Producción_Lecheria[[#This Row],[Fecha Económico]])=Tabla27[Año])*(Tabla27[V. Ordeñe])*(Producción_Lecheria[[#This Row],[Campaña]]=Tabla27[Campaña])*(Producción_Lecheria[[#This Row],[Centro de Costo]]=Tabla27[Centro Costo]))</f>
        <v>0</v>
      </c>
      <c r="M338" s="960">
        <f>SUMPRODUCT((MONTH(Producción_Lecheria[[#This Row],[Fecha Económico]])=Tabla27[Mes])*(YEAR(Producción_Lecheria[[#This Row],[Fecha Económico]])=Tabla27[Año])*(Tabla27[L/V. Ordeñe])*(Producción_Lecheria[[#This Row],[Campaña]]=Tabla27[Campaña])*(Producción_Lecheria[[#This Row],[Centro de Costo]]=Tabla27[Centro Costo]))</f>
        <v>0</v>
      </c>
      <c r="N338" s="520"/>
      <c r="O338" s="970">
        <f>IF(Producción_Lecheria[[#This Row],[Categoría Hacienda]]=0,0,IF(Producción_Lecheria[[#This Row],[Cantidad]]=1,SUMPRODUCT((Producción_Lecheria[[#This Row],[Categoría Hacienda]]=Produccion_Lecheria[Categoría])*(Produccion_Lecheria[Kg Inventario])),Producción_Lecheria[[#This Row],[Cantidad]]))*(IF(Producción_Lecheria[[#This Row],[Signo]]="(-)",-1,1))</f>
        <v>0</v>
      </c>
      <c r="P338" s="563"/>
      <c r="Q338" s="481"/>
      <c r="R338" s="875">
        <f>IF(ISNUMBER(Producción_Lecheria[[#This Row],[Cabezas]])=TRUE,Producción_Lecheria[[#This Row],[Cabezas]]*Producción_Lecheria[[#This Row],[Cantidad]],Producción_Lecheria[[#This Row],[Cantidad]])</f>
        <v>0</v>
      </c>
      <c r="S338" s="481"/>
      <c r="T338" s="552"/>
      <c r="U338" s="553"/>
      <c r="V338" s="979">
        <f>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Económico]]),0)</f>
        <v>0</v>
      </c>
      <c r="W338" s="989">
        <f>IFERROR(Producción_Lecheria[[#This Row],[Económico $Corrientes]]/Producción_Lecheria[[#This Row],[Indexación Económico]],0)</f>
        <v>0</v>
      </c>
      <c r="X338" s="978">
        <f>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Económico]]),0)</f>
        <v>0</v>
      </c>
      <c r="Y338" s="979">
        <f>IF(Producción_Lecheria[[#This Row],[Fin.]]="No",0,1)*IF(Producción_Lecheria[[#This Row],[Signo]]="(+)",1,-1)*IFERROR(IF(Producción_Lecheria[[#This Row],[Moneda]]="$",Producción_Lecheria[[#This Row],[Cantidad Total]]*Producción_Lecheria[[#This Row],[Precio Unitario]],Producción_Lecheria[[#This Row],[Cantidad Total]]*Producción_Lecheria[[#This Row],[Precio Unitario]]*Producción_Lecheria[[#This Row],[T. Cambio Financiero]]),0)</f>
        <v>0</v>
      </c>
      <c r="Z338" s="989">
        <f>IFERROR(Producción_Lecheria[[#This Row],[Financiero $Corrientes]]/Producción_Lecheria[[#This Row],[Indexación Financiero]],0)</f>
        <v>0</v>
      </c>
      <c r="AA338" s="990">
        <f>IF(Producción_Lecheria[[#This Row],[Fin.]]="No",0,1)*IF(Producción_Lecheria[[#This Row],[Signo]]="(+)",1,-1)*IFERROR(IF(Producción_Lecheria[[#This Row],[Moneda]]="U$S",Producción_Lecheria[[#This Row],[Cantidad Total]]*Producción_Lecheria[[#This Row],[Precio Unitario]],Producción_Lecheria[[#This Row],[Cantidad Total]]*Producción_Lecheria[[#This Row],[Precio Unitario]]/Producción_Lecheria[[#This Row],[T. Cambio Financiero]]),0)</f>
        <v>0</v>
      </c>
      <c r="AB338" s="980">
        <f>IFERROR((Producción_Lecheria[[#This Row],[Tasa Anual de Interés]]/12)*((Producción_Lecheria[[#This Row],[Fecha Financiero]]-Producción_Lecheria[[#This Row],[Fecha Económico]])/30)*IF(Producción_Lecheria[[#This Row],[Moneda]]="$",Producción_Lecheria[[#This Row],[Económico $Corrientes]],Producción_Lecheria[[#This Row],[Económico U$S Dólares]]*Producción_Lecheria[[#This Row],[T. Cambio Financiero]]),0)</f>
        <v>0</v>
      </c>
      <c r="AC338" s="986">
        <f>IFERROR(Producción_Lecheria[[#This Row],[Intereses $Corrientes]]/Producción_Lecheria[[#This Row],[Indexación Financiero]],0)</f>
        <v>0</v>
      </c>
      <c r="AD338" s="986">
        <f>IFERROR((Producción_Lecheria[[#This Row],[Tasa Anual de Interés]]/12)*((Producción_Lecheria[[#This Row],[Fecha Financiero]]-Producción_Lecheria[[#This Row],[Fecha Económico]])/30)*IF(Producción_Lecheria[[#This Row],[Moneda]]="U$$",Producción_Lecheria[[#This Row],[Económico U$S Dólares]],Producción_Lecheria[[#This Row],[Económico $Corrientes]]/Producción_Lecheria[[#This Row],[T. Cambio Financiero]]),0)</f>
        <v>0</v>
      </c>
      <c r="AE338" s="991">
        <f>IFERROR(INDEX(Produccion_Lecheria_Cuentas[],MATCH(Producción_Lecheria[[#This Row],[Cuenta Contable]],Produccion_Lecheria_Cuentas[Cuenta Contable],0),2),0)</f>
        <v>0</v>
      </c>
      <c r="AF338" s="992">
        <f>IF(Producción_Lecheria[[#This Row],[Mov. Stock]]="(+)",Producción_Lecheria[[#This Row],[Cabezas]],IF(Producción_Lecheria[[#This Row],[Mov. Stock]]="(-)",-Producción_Lecheria[[#This Row],[Cabezas]],0))</f>
        <v>0</v>
      </c>
      <c r="AG338" s="993">
        <f>IFERROR(INDEX(Produccion_Lecheria_Cuentas[],MATCH(Producción_Lecheria[[#This Row],[Cuenta Contable]],Produccion_Lecheria_Cuentas[Cuenta Contable],0),5),0)</f>
        <v>0</v>
      </c>
      <c r="AH338" s="987" t="str">
        <f>IF(Producción_Lecheria[[#This Row],[Cuenta Contable]]=Configuración!$AC$9,"Si","No")</f>
        <v>No</v>
      </c>
      <c r="AI338" s="983">
        <f>IFERROR(INDEX(Tabla9[],MATCH(Producción_Lecheria[[#This Row],[Movimiento]],Tabla9[Movimientos],0),2),0)</f>
        <v>0</v>
      </c>
      <c r="AJ338" s="984">
        <f>IFERROR(INDEX(Tabla9[],MATCH(Producción_Lecheria[[#This Row],[Movimiento]],Tabla9[Movimientos],0),3),0)</f>
        <v>0</v>
      </c>
      <c r="AK338" s="986">
        <f>IF(Producción_Lecheria[[#This Row],[Fecha Económico]]=0,0,MONTH(Producción_Lecheria[[#This Row],[Fecha Económico]]))</f>
        <v>0</v>
      </c>
      <c r="AL338" s="986">
        <f>IF(Producción_Lecheria[[#This Row],[Fecha Económico]]=0,0,YEAR(Producción_Lecheria[[#This Row],[Fecha Económico]]))</f>
        <v>0</v>
      </c>
      <c r="AM338" s="987">
        <f>SUMPRODUCT((Producción_Lecheria[[#This Row],[Mes Económico]]=Tipo_Cambio[Mes])*(Producción_Lecheria[[#This Row],[Año Económico]]=Tipo_Cambio[Año])*(Tipo_Cambio[$/U$S]))</f>
        <v>0</v>
      </c>
      <c r="AN338" s="987">
        <f>SUMPRODUCT((Producción_Lecheria[[#This Row],[Mes Económico]]=Tipo_Cambio[Mes])*(Producción_Lecheria[[#This Row],[Año Económico]]=Tipo_Cambio[Año])*(Tipo_Cambio[Actualización]))</f>
        <v>0</v>
      </c>
      <c r="AO338" s="986">
        <f>IF(ISNUMBER(Producción_Lecheria[[#This Row],[Fecha Financiero]])=TRUE,MONTH(Producción_Lecheria[[#This Row],[Fecha Financiero]]),0)</f>
        <v>0</v>
      </c>
      <c r="AP338" s="986">
        <f>IF(ISNUMBER(Producción_Lecheria[[#This Row],[Fecha Financiero]])=TRUE,YEAR(Producción_Lecheria[[#This Row],[Fecha Financiero]]),0)</f>
        <v>0</v>
      </c>
      <c r="AQ338" s="987">
        <f>SUMPRODUCT((Producción_Lecheria[[#This Row],[Mes Financiero]]=Tipo_Cambio[Mes])*(Producción_Lecheria[[#This Row],[Año Financiero]]=Tipo_Cambio[Año])*(Tipo_Cambio[$/U$S]))</f>
        <v>0</v>
      </c>
      <c r="AR338" s="987">
        <f>SUMPRODUCT((Producción_Lecheria[[#This Row],[Mes Financiero]]=Tipo_Cambio[Mes])*(Producción_Lecheria[[#This Row],[Año Financiero]]=Tipo_Cambio[Año])*(Tipo_Cambio[Actualización]))</f>
        <v>0</v>
      </c>
      <c r="AS338" s="1009">
        <f>SUMPRODUCT((Producción_Lecheria[[#This Row],[Centro de Costo]]=Tabla1924[Centro de Costo])*(Tabla19[Superficie]))</f>
        <v>0</v>
      </c>
      <c r="AT338" s="1010">
        <f>IFERROR(Producción_Lecheria[[#This Row],[Económico $Corrientes]]/Producción_Lecheria[[#This Row],[Superficie]],0)</f>
        <v>0</v>
      </c>
      <c r="AU338" s="1010">
        <f>IFERROR(Producción_Lecheria[[#This Row],[Económico $Constantes]]/Producción_Lecheria[[#This Row],[Superficie]],0)</f>
        <v>0</v>
      </c>
      <c r="AV338" s="1010">
        <f>IFERROR(Producción_Lecheria[[#This Row],[Económico U$S Dólares]]/Producción_Lecheria[[#This Row],[Superficie]],0)</f>
        <v>0</v>
      </c>
      <c r="AW338" s="992">
        <f>IF(Económico!$F$4=0,0,Producción_Lecheria[Centro de Costo])</f>
        <v>0</v>
      </c>
    </row>
  </sheetData>
  <mergeCells count="17">
    <mergeCell ref="B332:B334"/>
    <mergeCell ref="B248:B250"/>
    <mergeCell ref="B270:B272"/>
    <mergeCell ref="B299:B301"/>
    <mergeCell ref="B315:B316"/>
    <mergeCell ref="B148:B150"/>
    <mergeCell ref="B132:B133"/>
    <mergeCell ref="B134:B135"/>
    <mergeCell ref="B163:B165"/>
    <mergeCell ref="B123:B125"/>
    <mergeCell ref="B47:B49"/>
    <mergeCell ref="B72:B74"/>
    <mergeCell ref="I3:Q3"/>
    <mergeCell ref="B5:B7"/>
    <mergeCell ref="B18:B20"/>
    <mergeCell ref="B33:B35"/>
    <mergeCell ref="B40:B42"/>
  </mergeCells>
  <conditionalFormatting sqref="N313 N5:N43 N46:N158">
    <cfRule type="expression" dxfId="173" priority="18">
      <formula>I5=0</formula>
    </cfRule>
  </conditionalFormatting>
  <conditionalFormatting sqref="N44:N45">
    <cfRule type="expression" dxfId="172" priority="14">
      <formula>I44=0</formula>
    </cfRule>
  </conditionalFormatting>
  <conditionalFormatting sqref="N159:N312">
    <cfRule type="expression" dxfId="171" priority="12">
      <formula>I159=0</formula>
    </cfRule>
  </conditionalFormatting>
  <conditionalFormatting sqref="U5:U338">
    <cfRule type="expression" dxfId="170" priority="59">
      <formula>AI5="No"</formula>
    </cfRule>
    <cfRule type="expression" dxfId="169" priority="60">
      <formula>D5=E5</formula>
    </cfRule>
  </conditionalFormatting>
  <conditionalFormatting sqref="J5:J338">
    <cfRule type="expression" dxfId="168" priority="10">
      <formula>AH5="No"</formula>
    </cfRule>
  </conditionalFormatting>
  <conditionalFormatting sqref="O5:O338">
    <cfRule type="cellIs" dxfId="167" priority="8" operator="equal">
      <formula>0</formula>
    </cfRule>
  </conditionalFormatting>
  <conditionalFormatting sqref="I5:I338">
    <cfRule type="expression" dxfId="166" priority="7">
      <formula>AG5=0</formula>
    </cfRule>
  </conditionalFormatting>
  <conditionalFormatting sqref="E5:E338">
    <cfRule type="expression" dxfId="165" priority="1">
      <formula>AI5="No"</formula>
    </cfRule>
  </conditionalFormatting>
  <dataValidations count="6">
    <dataValidation type="list" allowBlank="1" showInputMessage="1" showErrorMessage="1" sqref="F5:F338">
      <formula1>INDIRECT("Campaña")</formula1>
    </dataValidation>
    <dataValidation type="list" allowBlank="1" showInputMessage="1" showErrorMessage="1" sqref="H5:H338">
      <formula1>INDIRECT("Centros_Costo")</formula1>
    </dataValidation>
    <dataValidation type="list" allowBlank="1" showInputMessage="1" showErrorMessage="1" sqref="I5:I338">
      <formula1>Categorias_Hacienda_Lecheria</formula1>
    </dataValidation>
    <dataValidation type="list" allowBlank="1" showInputMessage="1" showErrorMessage="1" sqref="T5:T338">
      <formula1>"$,U$S"</formula1>
    </dataValidation>
    <dataValidation type="list" allowBlank="1" showInputMessage="1" showErrorMessage="1" sqref="G5:G338">
      <formula1>Cuentas_Lecheria</formula1>
    </dataValidation>
    <dataValidation type="list" allowBlank="1" showInputMessage="1" showErrorMessage="1" sqref="J5:J338">
      <formula1>Producto_Agricola</formula1>
    </dataValidation>
  </dataValidations>
  <hyperlinks>
    <hyperlink ref="D2" location="'Asistente de Carga'!A1" display="Volver al Asistente de Carga"/>
    <hyperlink ref="E2" location="'Financiero U$S'!A1" display="Presupuesto Financiero"/>
  </hyperlinks>
  <pageMargins left="0.7" right="0.7" top="0.75" bottom="0.75" header="0.3" footer="0.3"/>
  <legacy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2">
        <x14:dataValidation type="list" allowBlank="1" showInputMessage="1" showErrorMessage="1">
          <x14:formula1>
            <xm:f>Configuración!$BG$5</xm:f>
          </x14:formula1>
          <xm:sqref>B5:B7</xm:sqref>
        </x14:dataValidation>
        <x14:dataValidation type="list" allowBlank="1" showInputMessage="1" showErrorMessage="1">
          <x14:formula1>
            <xm:f>Configuración!$BG$11</xm:f>
          </x14:formula1>
          <xm:sqref>B18:B20</xm:sqref>
        </x14:dataValidation>
        <x14:dataValidation type="list" allowBlank="1" showInputMessage="1" showErrorMessage="1">
          <x14:formula1>
            <xm:f>Configuración!$BG$12</xm:f>
          </x14:formula1>
          <xm:sqref>B33:B35</xm:sqref>
        </x14:dataValidation>
        <x14:dataValidation type="list" allowBlank="1" showInputMessage="1" showErrorMessage="1">
          <x14:formula1>
            <xm:f>Configuración!$BG$8</xm:f>
          </x14:formula1>
          <xm:sqref>B40:B42</xm:sqref>
        </x14:dataValidation>
        <x14:dataValidation type="list" allowBlank="1" showInputMessage="1" showErrorMessage="1">
          <x14:formula1>
            <xm:f>Configuración!$BG$14</xm:f>
          </x14:formula1>
          <xm:sqref>B47</xm:sqref>
        </x14:dataValidation>
        <x14:dataValidation type="list" allowBlank="1" showInputMessage="1" showErrorMessage="1">
          <x14:formula1>
            <xm:f>Configuración!$AT$7</xm:f>
          </x14:formula1>
          <xm:sqref>B72</xm:sqref>
        </x14:dataValidation>
        <x14:dataValidation type="list" allowBlank="1" showInputMessage="1" showErrorMessage="1">
          <x14:formula1>
            <xm:f>Configuración!$BG$10</xm:f>
          </x14:formula1>
          <xm:sqref>B123:B125</xm:sqref>
        </x14:dataValidation>
        <x14:dataValidation type="list" allowBlank="1" showInputMessage="1" showErrorMessage="1">
          <x14:formula1>
            <xm:f>Configuración!$BG$13</xm:f>
          </x14:formula1>
          <xm:sqref>B134:B135</xm:sqref>
        </x14:dataValidation>
        <x14:dataValidation type="list" allowBlank="1" showInputMessage="1" showErrorMessage="1">
          <x14:formula1>
            <xm:f>Configuración!$BG$9</xm:f>
          </x14:formula1>
          <xm:sqref>B132:B133</xm:sqref>
        </x14:dataValidation>
        <x14:dataValidation type="list" allowBlank="1" showInputMessage="1" showErrorMessage="1">
          <x14:formula1>
            <xm:f>Configuración!$BG$6</xm:f>
          </x14:formula1>
          <xm:sqref>B148:B150</xm:sqref>
        </x14:dataValidation>
        <x14:dataValidation type="list" allowBlank="1" showInputMessage="1" showErrorMessage="1">
          <x14:formula1>
            <xm:f>Configuración!$BG$17</xm:f>
          </x14:formula1>
          <xm:sqref>B163:B165</xm:sqref>
        </x14:dataValidation>
        <x14:dataValidation type="list" allowBlank="1" showInputMessage="1" showErrorMessage="1">
          <x14:formula1>
            <xm:f>Configuración!$BG$18</xm:f>
          </x14:formula1>
          <xm:sqref>B179</xm:sqref>
        </x14:dataValidation>
        <x14:dataValidation type="list" allowBlank="1" showInputMessage="1" showErrorMessage="1">
          <x14:formula1>
            <xm:f>Configuración!$BG$19</xm:f>
          </x14:formula1>
          <xm:sqref>B180</xm:sqref>
        </x14:dataValidation>
        <x14:dataValidation type="list" allowBlank="1" showInputMessage="1" showErrorMessage="1">
          <x14:formula1>
            <xm:f>Configuración!$BG$20</xm:f>
          </x14:formula1>
          <xm:sqref>B181</xm:sqref>
        </x14:dataValidation>
        <x14:dataValidation type="list" allowBlank="1" showInputMessage="1" showErrorMessage="1">
          <x14:formula1>
            <xm:f>Configuración!$BG$21</xm:f>
          </x14:formula1>
          <xm:sqref>B219</xm:sqref>
        </x14:dataValidation>
        <x14:dataValidation type="list" allowBlank="1" showInputMessage="1" showErrorMessage="1">
          <x14:formula1>
            <xm:f>Configuración!$BG$22</xm:f>
          </x14:formula1>
          <xm:sqref>B220</xm:sqref>
        </x14:dataValidation>
        <x14:dataValidation type="list" allowBlank="1" showInputMessage="1" showErrorMessage="1">
          <x14:formula1>
            <xm:f>Configuración!$BG$23</xm:f>
          </x14:formula1>
          <xm:sqref>B248:B250</xm:sqref>
        </x14:dataValidation>
        <x14:dataValidation type="list" allowBlank="1" showInputMessage="1" showErrorMessage="1">
          <x14:formula1>
            <xm:f>Configuración!$BG$24</xm:f>
          </x14:formula1>
          <xm:sqref>B270:B272</xm:sqref>
        </x14:dataValidation>
        <x14:dataValidation type="list" allowBlank="1" showInputMessage="1" showErrorMessage="1">
          <x14:formula1>
            <xm:f>Configuración!$BG$27</xm:f>
          </x14:formula1>
          <xm:sqref>B299:B301</xm:sqref>
        </x14:dataValidation>
        <x14:dataValidation type="list" allowBlank="1" showInputMessage="1" showErrorMessage="1">
          <x14:formula1>
            <xm:f>Configuración!$BG$28</xm:f>
          </x14:formula1>
          <xm:sqref>B314</xm:sqref>
        </x14:dataValidation>
        <x14:dataValidation type="list" allowBlank="1" showInputMessage="1" showErrorMessage="1">
          <x14:formula1>
            <xm:f>Configuración!$BG$29</xm:f>
          </x14:formula1>
          <xm:sqref>B315</xm:sqref>
        </x14:dataValidation>
        <x14:dataValidation type="list" allowBlank="1" showInputMessage="1" showErrorMessage="1">
          <x14:formula1>
            <xm:f>Configuración!$BG$30</xm:f>
          </x14:formula1>
          <xm:sqref>B332:B334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K143"/>
  <sheetViews>
    <sheetView showGridLines="0" zoomScale="80" zoomScaleNormal="80" workbookViewId="0">
      <pane ySplit="4" topLeftCell="A5" activePane="bottomLeft" state="frozen"/>
      <selection pane="bottomLeft" activeCell="B120" sqref="B120:B122"/>
    </sheetView>
  </sheetViews>
  <sheetFormatPr baseColWidth="10" defaultColWidth="0" defaultRowHeight="15" outlineLevelCol="1" x14ac:dyDescent="0.25"/>
  <cols>
    <col min="1" max="1" width="2.7109375" customWidth="1"/>
    <col min="2" max="2" width="13.140625" customWidth="1"/>
    <col min="3" max="3" width="2.7109375" customWidth="1"/>
    <col min="4" max="5" width="11.5703125" style="107" bestFit="1" customWidth="1"/>
    <col min="6" max="6" width="11.7109375" style="107" hidden="1" customWidth="1" outlineLevel="1"/>
    <col min="7" max="7" width="26.7109375" customWidth="1" collapsed="1"/>
    <col min="8" max="8" width="15" bestFit="1" customWidth="1"/>
    <col min="9" max="9" width="18" bestFit="1" customWidth="1"/>
    <col min="10" max="10" width="19.5703125" customWidth="1"/>
    <col min="11" max="11" width="10.5703125" style="107" customWidth="1"/>
    <col min="12" max="12" width="7.42578125" bestFit="1" customWidth="1"/>
    <col min="13" max="13" width="12.42578125" customWidth="1"/>
    <col min="14" max="14" width="9.140625" customWidth="1"/>
    <col min="15" max="15" width="10.85546875" bestFit="1" customWidth="1"/>
    <col min="16" max="16" width="10.85546875" hidden="1" customWidth="1" outlineLevel="1"/>
    <col min="17" max="17" width="13.28515625" hidden="1" customWidth="1" outlineLevel="1"/>
    <col min="18" max="18" width="14.28515625" hidden="1" customWidth="1" outlineLevel="1"/>
    <col min="19" max="19" width="13.28515625" hidden="1" customWidth="1" outlineLevel="1"/>
    <col min="20" max="24" width="12.85546875" hidden="1" customWidth="1" outlineLevel="1"/>
    <col min="25" max="26" width="16.7109375" hidden="1" customWidth="1" outlineLevel="1"/>
    <col min="27" max="27" width="9.28515625" hidden="1" customWidth="1" outlineLevel="1"/>
    <col min="28" max="28" width="10.7109375" hidden="1" customWidth="1" outlineLevel="1"/>
    <col min="29" max="29" width="11.28515625" hidden="1" customWidth="1" outlineLevel="1"/>
    <col min="30" max="31" width="11.28515625" style="107" hidden="1" customWidth="1" outlineLevel="1"/>
    <col min="32" max="32" width="12.85546875" style="107" hidden="1" customWidth="1" outlineLevel="1"/>
    <col min="33" max="34" width="11.28515625" style="107" hidden="1" customWidth="1" outlineLevel="1"/>
    <col min="35" max="35" width="10.5703125" style="107" hidden="1" customWidth="1" outlineLevel="1"/>
    <col min="36" max="36" width="12.42578125" hidden="1" customWidth="1" outlineLevel="1"/>
    <col min="37" max="37" width="12.42578125" customWidth="1" collapsed="1"/>
    <col min="38" max="16384" width="12.42578125" hidden="1"/>
  </cols>
  <sheetData>
    <row r="1" spans="2:36" x14ac:dyDescent="0.25">
      <c r="P1" s="4"/>
      <c r="R1" s="4"/>
      <c r="U1" s="4"/>
      <c r="V1" s="4"/>
      <c r="W1" s="4"/>
      <c r="X1" s="4"/>
      <c r="Z1" s="4"/>
      <c r="AA1" s="4"/>
      <c r="AB1" s="107"/>
      <c r="AC1" s="107"/>
      <c r="AH1"/>
      <c r="AI1"/>
    </row>
    <row r="2" spans="2:36" ht="45" x14ac:dyDescent="0.25">
      <c r="B2" s="361" t="s">
        <v>199</v>
      </c>
      <c r="D2" s="397" t="s">
        <v>477</v>
      </c>
      <c r="E2" s="398" t="s">
        <v>478</v>
      </c>
      <c r="F2" s="406"/>
      <c r="K2" s="406"/>
      <c r="P2" s="4"/>
      <c r="R2" s="4"/>
      <c r="U2" s="4"/>
      <c r="V2" s="4"/>
      <c r="W2" s="4"/>
      <c r="X2" s="4"/>
      <c r="Z2" s="4"/>
      <c r="AA2" s="4"/>
      <c r="AB2" s="406"/>
      <c r="AC2" s="406"/>
      <c r="AD2" s="406"/>
      <c r="AE2" s="406"/>
      <c r="AF2" s="406"/>
      <c r="AG2" s="406"/>
      <c r="AH2"/>
      <c r="AI2"/>
    </row>
    <row r="3" spans="2:36" x14ac:dyDescent="0.25">
      <c r="I3" s="107"/>
      <c r="J3" s="107"/>
      <c r="L3" s="107"/>
      <c r="M3" s="17"/>
      <c r="N3" s="17"/>
      <c r="O3" s="17"/>
      <c r="P3" s="17"/>
      <c r="Q3" s="17"/>
      <c r="AB3" s="107"/>
      <c r="AC3" s="107"/>
      <c r="AH3"/>
      <c r="AI3"/>
    </row>
    <row r="4" spans="2:36" s="5" customFormat="1" ht="31.5" customHeight="1" x14ac:dyDescent="0.25">
      <c r="D4" s="20" t="s">
        <v>352</v>
      </c>
      <c r="E4" s="39" t="s">
        <v>15</v>
      </c>
      <c r="F4" s="50" t="s">
        <v>4</v>
      </c>
      <c r="G4" s="5" t="s">
        <v>78</v>
      </c>
      <c r="H4" s="5" t="s">
        <v>0</v>
      </c>
      <c r="I4" s="5" t="s">
        <v>86</v>
      </c>
      <c r="J4" s="5" t="s">
        <v>16</v>
      </c>
      <c r="K4" s="38" t="s">
        <v>89</v>
      </c>
      <c r="L4" s="39" t="s">
        <v>27</v>
      </c>
      <c r="M4" s="20" t="s">
        <v>87</v>
      </c>
      <c r="N4" s="20" t="s">
        <v>1</v>
      </c>
      <c r="O4" s="50" t="s">
        <v>353</v>
      </c>
      <c r="P4" s="6" t="s">
        <v>354</v>
      </c>
      <c r="Q4" s="6" t="s">
        <v>355</v>
      </c>
      <c r="R4" s="7" t="s">
        <v>356</v>
      </c>
      <c r="S4" s="8" t="s">
        <v>236</v>
      </c>
      <c r="T4" s="6" t="s">
        <v>235</v>
      </c>
      <c r="U4" s="6" t="s">
        <v>357</v>
      </c>
      <c r="V4" s="38" t="s">
        <v>92</v>
      </c>
      <c r="W4" s="20" t="s">
        <v>93</v>
      </c>
      <c r="X4" s="20" t="s">
        <v>345</v>
      </c>
      <c r="Y4" s="33" t="s">
        <v>39</v>
      </c>
      <c r="Z4" s="38" t="s">
        <v>91</v>
      </c>
      <c r="AA4" s="20" t="s">
        <v>64</v>
      </c>
      <c r="AB4" s="38" t="s">
        <v>346</v>
      </c>
      <c r="AC4" s="2" t="s">
        <v>347</v>
      </c>
      <c r="AD4" s="2" t="s">
        <v>348</v>
      </c>
      <c r="AE4" s="2" t="s">
        <v>349</v>
      </c>
      <c r="AF4" s="2" t="s">
        <v>33</v>
      </c>
      <c r="AG4" s="2" t="s">
        <v>34</v>
      </c>
      <c r="AH4" s="2" t="s">
        <v>90</v>
      </c>
      <c r="AI4" s="2" t="s">
        <v>350</v>
      </c>
      <c r="AJ4" s="38" t="s">
        <v>281</v>
      </c>
    </row>
    <row r="5" spans="2:36" x14ac:dyDescent="0.25">
      <c r="B5" s="1136" t="s">
        <v>507</v>
      </c>
      <c r="D5" s="42">
        <f>DATE(LEFT(Otras_Actividades_Base[[#This Row],[Campaña]],4),7,1)</f>
        <v>43282</v>
      </c>
      <c r="E5" s="353"/>
      <c r="F5" s="988" t="str">
        <f t="shared" ref="F5:F36" si="0">Campaña_Actual</f>
        <v>2018-2019</v>
      </c>
      <c r="G5" s="32" t="s">
        <v>107</v>
      </c>
      <c r="H5" s="32"/>
      <c r="I5" s="32" t="s">
        <v>200</v>
      </c>
      <c r="J5" s="32"/>
      <c r="K5" s="29"/>
      <c r="L5" s="77"/>
      <c r="M5" s="41"/>
      <c r="N5" s="41" t="s">
        <v>48</v>
      </c>
      <c r="O5" s="51"/>
      <c r="P5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5" s="881">
        <f>IFERROR(Otras_Actividades_Base[[#This Row],[Económico $Corrientes]]/Otras_Actividades_Base[[#This Row],[Indexación Económico]],0)</f>
        <v>0</v>
      </c>
      <c r="R5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5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5" s="881">
        <f>IFERROR(Otras_Actividades_Base[[#This Row],[Financiero $Corrientes]]/Otras_Actividades_Base[[#This Row],[Indexación Financiero]],0)</f>
        <v>0</v>
      </c>
      <c r="U5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5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5" s="885">
        <f>IFERROR(Otras_Actividades_Base[[#This Row],[Intereses $Corrientes]]/Otras_Actividades_Base[[#This Row],[Indexación Financiero]],0)</f>
        <v>0</v>
      </c>
      <c r="X5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5" s="886" t="str">
        <f>IFERROR(INDEX(Otras_Actividades_Cuentas[],MATCH(Otras_Actividades_Base[[#This Row],[Cuenta Contable]],Otras_Actividades_Cuentas[Cuenta Contable],0),2),0)</f>
        <v>Egreso</v>
      </c>
      <c r="Z5" s="887" t="str">
        <f>IFERROR(INDEX(Tabla9[],MATCH(Otras_Actividades_Base[[#This Row],[Movimiento]],Tabla9[Movimientos],0),2),0)</f>
        <v>Si</v>
      </c>
      <c r="AA5" s="889" t="str">
        <f>IFERROR(INDEX(Tabla9[],MATCH(Otras_Actividades_Base[[#This Row],[Movimiento]],Tabla9[Movimientos],0),3),0)</f>
        <v>(-)</v>
      </c>
      <c r="AB5" s="884">
        <f>IF(Otras_Actividades_Base[[#This Row],[Fecha Económico]]=0,0,MONTH(Otras_Actividades_Base[[#This Row],[Fecha Económico]]))</f>
        <v>7</v>
      </c>
      <c r="AC5" s="890">
        <f>IF(Otras_Actividades_Base[[#This Row],[Fecha Económico]]=0,0,YEAR(Otras_Actividades_Base[[#This Row],[Fecha Económico]]))</f>
        <v>2018</v>
      </c>
      <c r="AD5" s="891">
        <f>SUMPRODUCT((Otras_Actividades_Base[[#This Row],[Mes Económico]]=Tipo_Cambio[Mes])*(Otras_Actividades_Base[[#This Row],[Año Económico]]=Tipo_Cambio[Año])*(Tipo_Cambio[$/U$S]))</f>
        <v>22</v>
      </c>
      <c r="AE5" s="891">
        <f>SUMPRODUCT((Otras_Actividades_Base[[#This Row],[Mes Económico]]=Tipo_Cambio[Mes])*(Otras_Actividades_Base[[#This Row],[Año Económico]]=Tipo_Cambio[Año])*(Tipo_Cambio[Actualización]))</f>
        <v>1</v>
      </c>
      <c r="AF5" s="890">
        <f>IF(ISNUMBER(Otras_Actividades_Base[[#This Row],[Fecha Financiero]])=TRUE,MONTH(Otras_Actividades_Base[[#This Row],[Fecha Financiero]]),0)</f>
        <v>0</v>
      </c>
      <c r="AG5" s="890">
        <f>IF(ISNUMBER(Otras_Actividades_Base[[#This Row],[Fecha Financiero]])=TRUE,YEAR(Otras_Actividades_Base[[#This Row],[Fecha Financiero]]),0)</f>
        <v>0</v>
      </c>
      <c r="AH5" s="891">
        <f>SUMPRODUCT((Otras_Actividades_Base[[#This Row],[Mes Financiero]]=Tipo_Cambio[Mes])*(Otras_Actividades_Base[[#This Row],[Año Financiero]]=Tipo_Cambio[Año])*(Tipo_Cambio[$/U$S]))</f>
        <v>0</v>
      </c>
      <c r="AI5" s="891">
        <f>SUMPRODUCT((Otras_Actividades_Base[[#This Row],[Mes Financiero]]=Tipo_Cambio[Mes])*(Otras_Actividades_Base[[#This Row],[Año Financiero]]=Tipo_Cambio[Año])*(Tipo_Cambio[Actualización]))</f>
        <v>0</v>
      </c>
      <c r="AJ5" s="887">
        <f>IF(Económico!$F$4=0,0,Otras_Actividades_Base[Centro de Costo])</f>
        <v>0</v>
      </c>
    </row>
    <row r="6" spans="2:36" x14ac:dyDescent="0.25">
      <c r="B6" s="1136"/>
      <c r="D6" s="42">
        <f>DATE(IF(MONTH(D5)=1,YEAR(D5+1),YEAR(D5)),MONTH(D5)+1,1)</f>
        <v>43313</v>
      </c>
      <c r="E6" s="353"/>
      <c r="F6" s="988" t="str">
        <f t="shared" si="0"/>
        <v>2018-2019</v>
      </c>
      <c r="G6" s="32" t="s">
        <v>107</v>
      </c>
      <c r="H6" s="32"/>
      <c r="I6" s="32" t="s">
        <v>200</v>
      </c>
      <c r="J6" s="32"/>
      <c r="K6" s="29"/>
      <c r="L6" s="77"/>
      <c r="M6" s="41"/>
      <c r="N6" s="41" t="s">
        <v>48</v>
      </c>
      <c r="O6" s="51"/>
      <c r="P6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6" s="881">
        <f>IFERROR(Otras_Actividades_Base[[#This Row],[Económico $Corrientes]]/Otras_Actividades_Base[[#This Row],[Indexación Económico]],0)</f>
        <v>0</v>
      </c>
      <c r="R6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6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6" s="881">
        <f>IFERROR(Otras_Actividades_Base[[#This Row],[Financiero $Corrientes]]/Otras_Actividades_Base[[#This Row],[Indexación Financiero]],0)</f>
        <v>0</v>
      </c>
      <c r="U6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6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6" s="885">
        <f>IFERROR(Otras_Actividades_Base[[#This Row],[Intereses $Corrientes]]/Otras_Actividades_Base[[#This Row],[Indexación Financiero]],0)</f>
        <v>0</v>
      </c>
      <c r="X6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6" s="886" t="str">
        <f>IFERROR(INDEX(Otras_Actividades_Cuentas[],MATCH(Otras_Actividades_Base[[#This Row],[Cuenta Contable]],Otras_Actividades_Cuentas[Cuenta Contable],0),2),0)</f>
        <v>Egreso</v>
      </c>
      <c r="Z6" s="887" t="str">
        <f>IFERROR(INDEX(Tabla9[],MATCH(Otras_Actividades_Base[[#This Row],[Movimiento]],Tabla9[Movimientos],0),2),0)</f>
        <v>Si</v>
      </c>
      <c r="AA6" s="889" t="str">
        <f>IFERROR(INDEX(Tabla9[],MATCH(Otras_Actividades_Base[[#This Row],[Movimiento]],Tabla9[Movimientos],0),3),0)</f>
        <v>(-)</v>
      </c>
      <c r="AB6" s="884">
        <f>IF(Otras_Actividades_Base[[#This Row],[Fecha Económico]]=0,0,MONTH(Otras_Actividades_Base[[#This Row],[Fecha Económico]]))</f>
        <v>8</v>
      </c>
      <c r="AC6" s="890">
        <f>IF(Otras_Actividades_Base[[#This Row],[Fecha Económico]]=0,0,YEAR(Otras_Actividades_Base[[#This Row],[Fecha Económico]]))</f>
        <v>2018</v>
      </c>
      <c r="AD6" s="891">
        <f>SUMPRODUCT((Otras_Actividades_Base[[#This Row],[Mes Económico]]=Tipo_Cambio[Mes])*(Otras_Actividades_Base[[#This Row],[Año Económico]]=Tipo_Cambio[Año])*(Tipo_Cambio[$/U$S]))</f>
        <v>22.22</v>
      </c>
      <c r="AE6" s="891">
        <f>SUMPRODUCT((Otras_Actividades_Base[[#This Row],[Mes Económico]]=Tipo_Cambio[Mes])*(Otras_Actividades_Base[[#This Row],[Año Económico]]=Tipo_Cambio[Año])*(Tipo_Cambio[Actualización]))</f>
        <v>1.02</v>
      </c>
      <c r="AF6" s="890">
        <f>IF(ISNUMBER(Otras_Actividades_Base[[#This Row],[Fecha Financiero]])=TRUE,MONTH(Otras_Actividades_Base[[#This Row],[Fecha Financiero]]),0)</f>
        <v>0</v>
      </c>
      <c r="AG6" s="890">
        <f>IF(ISNUMBER(Otras_Actividades_Base[[#This Row],[Fecha Financiero]])=TRUE,YEAR(Otras_Actividades_Base[[#This Row],[Fecha Financiero]]),0)</f>
        <v>0</v>
      </c>
      <c r="AH6" s="891">
        <f>SUMPRODUCT((Otras_Actividades_Base[[#This Row],[Mes Financiero]]=Tipo_Cambio[Mes])*(Otras_Actividades_Base[[#This Row],[Año Financiero]]=Tipo_Cambio[Año])*(Tipo_Cambio[$/U$S]))</f>
        <v>0</v>
      </c>
      <c r="AI6" s="891">
        <f>SUMPRODUCT((Otras_Actividades_Base[[#This Row],[Mes Financiero]]=Tipo_Cambio[Mes])*(Otras_Actividades_Base[[#This Row],[Año Financiero]]=Tipo_Cambio[Año])*(Tipo_Cambio[Actualización]))</f>
        <v>0</v>
      </c>
      <c r="AJ6" s="887">
        <f>IF(Económico!$F$4=0,0,Otras_Actividades_Base[Centro de Costo])</f>
        <v>0</v>
      </c>
    </row>
    <row r="7" spans="2:36" x14ac:dyDescent="0.25">
      <c r="B7" s="1136"/>
      <c r="D7" s="42">
        <f t="shared" ref="D7:D16" si="1">DATE(IF(MONTH(D6)=1,YEAR(D6+1),YEAR(D6)),MONTH(D6)+1,1)</f>
        <v>43344</v>
      </c>
      <c r="E7" s="353"/>
      <c r="F7" s="988" t="str">
        <f t="shared" si="0"/>
        <v>2018-2019</v>
      </c>
      <c r="G7" s="32" t="s">
        <v>107</v>
      </c>
      <c r="H7" s="32"/>
      <c r="I7" s="32" t="s">
        <v>200</v>
      </c>
      <c r="J7" s="32"/>
      <c r="K7" s="29"/>
      <c r="L7" s="77"/>
      <c r="M7" s="41"/>
      <c r="N7" s="41" t="s">
        <v>48</v>
      </c>
      <c r="O7" s="51"/>
      <c r="P7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7" s="881">
        <f>IFERROR(Otras_Actividades_Base[[#This Row],[Económico $Corrientes]]/Otras_Actividades_Base[[#This Row],[Indexación Económico]],0)</f>
        <v>0</v>
      </c>
      <c r="R7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7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7" s="881">
        <f>IFERROR(Otras_Actividades_Base[[#This Row],[Financiero $Corrientes]]/Otras_Actividades_Base[[#This Row],[Indexación Financiero]],0)</f>
        <v>0</v>
      </c>
      <c r="U7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7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7" s="885">
        <f>IFERROR(Otras_Actividades_Base[[#This Row],[Intereses $Corrientes]]/Otras_Actividades_Base[[#This Row],[Indexación Financiero]],0)</f>
        <v>0</v>
      </c>
      <c r="X7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7" s="886" t="str">
        <f>IFERROR(INDEX(Otras_Actividades_Cuentas[],MATCH(Otras_Actividades_Base[[#This Row],[Cuenta Contable]],Otras_Actividades_Cuentas[Cuenta Contable],0),2),0)</f>
        <v>Egreso</v>
      </c>
      <c r="Z7" s="887" t="str">
        <f>IFERROR(INDEX(Tabla9[],MATCH(Otras_Actividades_Base[[#This Row],[Movimiento]],Tabla9[Movimientos],0),2),0)</f>
        <v>Si</v>
      </c>
      <c r="AA7" s="889" t="str">
        <f>IFERROR(INDEX(Tabla9[],MATCH(Otras_Actividades_Base[[#This Row],[Movimiento]],Tabla9[Movimientos],0),3),0)</f>
        <v>(-)</v>
      </c>
      <c r="AB7" s="884">
        <f>IF(Otras_Actividades_Base[[#This Row],[Fecha Económico]]=0,0,MONTH(Otras_Actividades_Base[[#This Row],[Fecha Económico]]))</f>
        <v>9</v>
      </c>
      <c r="AC7" s="890">
        <f>IF(Otras_Actividades_Base[[#This Row],[Fecha Económico]]=0,0,YEAR(Otras_Actividades_Base[[#This Row],[Fecha Económico]]))</f>
        <v>2018</v>
      </c>
      <c r="AD7" s="891">
        <f>SUMPRODUCT((Otras_Actividades_Base[[#This Row],[Mes Económico]]=Tipo_Cambio[Mes])*(Otras_Actividades_Base[[#This Row],[Año Económico]]=Tipo_Cambio[Año])*(Tipo_Cambio[$/U$S]))</f>
        <v>22.4422</v>
      </c>
      <c r="AE7" s="891">
        <f>SUMPRODUCT((Otras_Actividades_Base[[#This Row],[Mes Económico]]=Tipo_Cambio[Mes])*(Otras_Actividades_Base[[#This Row],[Año Económico]]=Tipo_Cambio[Año])*(Tipo_Cambio[Actualización]))</f>
        <v>1.0404</v>
      </c>
      <c r="AF7" s="890">
        <f>IF(ISNUMBER(Otras_Actividades_Base[[#This Row],[Fecha Financiero]])=TRUE,MONTH(Otras_Actividades_Base[[#This Row],[Fecha Financiero]]),0)</f>
        <v>0</v>
      </c>
      <c r="AG7" s="890">
        <f>IF(ISNUMBER(Otras_Actividades_Base[[#This Row],[Fecha Financiero]])=TRUE,YEAR(Otras_Actividades_Base[[#This Row],[Fecha Financiero]]),0)</f>
        <v>0</v>
      </c>
      <c r="AH7" s="891">
        <f>SUMPRODUCT((Otras_Actividades_Base[[#This Row],[Mes Financiero]]=Tipo_Cambio[Mes])*(Otras_Actividades_Base[[#This Row],[Año Financiero]]=Tipo_Cambio[Año])*(Tipo_Cambio[$/U$S]))</f>
        <v>0</v>
      </c>
      <c r="AI7" s="891">
        <f>SUMPRODUCT((Otras_Actividades_Base[[#This Row],[Mes Financiero]]=Tipo_Cambio[Mes])*(Otras_Actividades_Base[[#This Row],[Año Financiero]]=Tipo_Cambio[Año])*(Tipo_Cambio[Actualización]))</f>
        <v>0</v>
      </c>
      <c r="AJ7" s="887">
        <f>IF(Económico!$F$4=0,0,Otras_Actividades_Base[Centro de Costo])</f>
        <v>0</v>
      </c>
    </row>
    <row r="8" spans="2:36" x14ac:dyDescent="0.25">
      <c r="D8" s="42">
        <f t="shared" si="1"/>
        <v>43374</v>
      </c>
      <c r="E8" s="353"/>
      <c r="F8" s="988" t="str">
        <f t="shared" si="0"/>
        <v>2018-2019</v>
      </c>
      <c r="G8" s="32" t="s">
        <v>107</v>
      </c>
      <c r="H8" s="32"/>
      <c r="I8" s="32" t="s">
        <v>200</v>
      </c>
      <c r="J8" s="32"/>
      <c r="K8" s="29"/>
      <c r="L8" s="77"/>
      <c r="M8" s="41"/>
      <c r="N8" s="41" t="s">
        <v>48</v>
      </c>
      <c r="O8" s="51"/>
      <c r="P8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8" s="881">
        <f>IFERROR(Otras_Actividades_Base[[#This Row],[Económico $Corrientes]]/Otras_Actividades_Base[[#This Row],[Indexación Económico]],0)</f>
        <v>0</v>
      </c>
      <c r="R8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8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8" s="881">
        <f>IFERROR(Otras_Actividades_Base[[#This Row],[Financiero $Corrientes]]/Otras_Actividades_Base[[#This Row],[Indexación Financiero]],0)</f>
        <v>0</v>
      </c>
      <c r="U8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8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8" s="885">
        <f>IFERROR(Otras_Actividades_Base[[#This Row],[Intereses $Corrientes]]/Otras_Actividades_Base[[#This Row],[Indexación Financiero]],0)</f>
        <v>0</v>
      </c>
      <c r="X8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8" s="886" t="str">
        <f>IFERROR(INDEX(Otras_Actividades_Cuentas[],MATCH(Otras_Actividades_Base[[#This Row],[Cuenta Contable]],Otras_Actividades_Cuentas[Cuenta Contable],0),2),0)</f>
        <v>Egreso</v>
      </c>
      <c r="Z8" s="887" t="str">
        <f>IFERROR(INDEX(Tabla9[],MATCH(Otras_Actividades_Base[[#This Row],[Movimiento]],Tabla9[Movimientos],0),2),0)</f>
        <v>Si</v>
      </c>
      <c r="AA8" s="889" t="str">
        <f>IFERROR(INDEX(Tabla9[],MATCH(Otras_Actividades_Base[[#This Row],[Movimiento]],Tabla9[Movimientos],0),3),0)</f>
        <v>(-)</v>
      </c>
      <c r="AB8" s="884">
        <f>IF(Otras_Actividades_Base[[#This Row],[Fecha Económico]]=0,0,MONTH(Otras_Actividades_Base[[#This Row],[Fecha Económico]]))</f>
        <v>10</v>
      </c>
      <c r="AC8" s="890">
        <f>IF(Otras_Actividades_Base[[#This Row],[Fecha Económico]]=0,0,YEAR(Otras_Actividades_Base[[#This Row],[Fecha Económico]]))</f>
        <v>2018</v>
      </c>
      <c r="AD8" s="891">
        <f>SUMPRODUCT((Otras_Actividades_Base[[#This Row],[Mes Económico]]=Tipo_Cambio[Mes])*(Otras_Actividades_Base[[#This Row],[Año Económico]]=Tipo_Cambio[Año])*(Tipo_Cambio[$/U$S]))</f>
        <v>22.666622</v>
      </c>
      <c r="AE8" s="891">
        <f>SUMPRODUCT((Otras_Actividades_Base[[#This Row],[Mes Económico]]=Tipo_Cambio[Mes])*(Otras_Actividades_Base[[#This Row],[Año Económico]]=Tipo_Cambio[Año])*(Tipo_Cambio[Actualización]))</f>
        <v>1.0612079999999999</v>
      </c>
      <c r="AF8" s="890">
        <f>IF(ISNUMBER(Otras_Actividades_Base[[#This Row],[Fecha Financiero]])=TRUE,MONTH(Otras_Actividades_Base[[#This Row],[Fecha Financiero]]),0)</f>
        <v>0</v>
      </c>
      <c r="AG8" s="890">
        <f>IF(ISNUMBER(Otras_Actividades_Base[[#This Row],[Fecha Financiero]])=TRUE,YEAR(Otras_Actividades_Base[[#This Row],[Fecha Financiero]]),0)</f>
        <v>0</v>
      </c>
      <c r="AH8" s="891">
        <f>SUMPRODUCT((Otras_Actividades_Base[[#This Row],[Mes Financiero]]=Tipo_Cambio[Mes])*(Otras_Actividades_Base[[#This Row],[Año Financiero]]=Tipo_Cambio[Año])*(Tipo_Cambio[$/U$S]))</f>
        <v>0</v>
      </c>
      <c r="AI8" s="891">
        <f>SUMPRODUCT((Otras_Actividades_Base[[#This Row],[Mes Financiero]]=Tipo_Cambio[Mes])*(Otras_Actividades_Base[[#This Row],[Año Financiero]]=Tipo_Cambio[Año])*(Tipo_Cambio[Actualización]))</f>
        <v>0</v>
      </c>
      <c r="AJ8" s="887">
        <f>IF(Económico!$F$4=0,0,Otras_Actividades_Base[Centro de Costo])</f>
        <v>0</v>
      </c>
    </row>
    <row r="9" spans="2:36" x14ac:dyDescent="0.25">
      <c r="D9" s="42">
        <f t="shared" si="1"/>
        <v>43405</v>
      </c>
      <c r="E9" s="353"/>
      <c r="F9" s="988" t="str">
        <f t="shared" si="0"/>
        <v>2018-2019</v>
      </c>
      <c r="G9" s="32" t="s">
        <v>107</v>
      </c>
      <c r="H9" s="32"/>
      <c r="I9" s="32" t="s">
        <v>200</v>
      </c>
      <c r="J9" s="32"/>
      <c r="K9" s="29"/>
      <c r="L9" s="77"/>
      <c r="M9" s="41"/>
      <c r="N9" s="41" t="s">
        <v>48</v>
      </c>
      <c r="O9" s="51"/>
      <c r="P9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9" s="881">
        <f>IFERROR(Otras_Actividades_Base[[#This Row],[Económico $Corrientes]]/Otras_Actividades_Base[[#This Row],[Indexación Económico]],0)</f>
        <v>0</v>
      </c>
      <c r="R9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9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9" s="881">
        <f>IFERROR(Otras_Actividades_Base[[#This Row],[Financiero $Corrientes]]/Otras_Actividades_Base[[#This Row],[Indexación Financiero]],0)</f>
        <v>0</v>
      </c>
      <c r="U9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9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9" s="885">
        <f>IFERROR(Otras_Actividades_Base[[#This Row],[Intereses $Corrientes]]/Otras_Actividades_Base[[#This Row],[Indexación Financiero]],0)</f>
        <v>0</v>
      </c>
      <c r="X9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9" s="886" t="str">
        <f>IFERROR(INDEX(Otras_Actividades_Cuentas[],MATCH(Otras_Actividades_Base[[#This Row],[Cuenta Contable]],Otras_Actividades_Cuentas[Cuenta Contable],0),2),0)</f>
        <v>Egreso</v>
      </c>
      <c r="Z9" s="887" t="str">
        <f>IFERROR(INDEX(Tabla9[],MATCH(Otras_Actividades_Base[[#This Row],[Movimiento]],Tabla9[Movimientos],0),2),0)</f>
        <v>Si</v>
      </c>
      <c r="AA9" s="889" t="str">
        <f>IFERROR(INDEX(Tabla9[],MATCH(Otras_Actividades_Base[[#This Row],[Movimiento]],Tabla9[Movimientos],0),3),0)</f>
        <v>(-)</v>
      </c>
      <c r="AB9" s="884">
        <f>IF(Otras_Actividades_Base[[#This Row],[Fecha Económico]]=0,0,MONTH(Otras_Actividades_Base[[#This Row],[Fecha Económico]]))</f>
        <v>11</v>
      </c>
      <c r="AC9" s="890">
        <f>IF(Otras_Actividades_Base[[#This Row],[Fecha Económico]]=0,0,YEAR(Otras_Actividades_Base[[#This Row],[Fecha Económico]]))</f>
        <v>2018</v>
      </c>
      <c r="AD9" s="891">
        <f>SUMPRODUCT((Otras_Actividades_Base[[#This Row],[Mes Económico]]=Tipo_Cambio[Mes])*(Otras_Actividades_Base[[#This Row],[Año Económico]]=Tipo_Cambio[Año])*(Tipo_Cambio[$/U$S]))</f>
        <v>22.893288219999999</v>
      </c>
      <c r="AE9" s="891">
        <f>SUMPRODUCT((Otras_Actividades_Base[[#This Row],[Mes Económico]]=Tipo_Cambio[Mes])*(Otras_Actividades_Base[[#This Row],[Año Económico]]=Tipo_Cambio[Año])*(Tipo_Cambio[Actualización]))</f>
        <v>1.08243216</v>
      </c>
      <c r="AF9" s="890">
        <f>IF(ISNUMBER(Otras_Actividades_Base[[#This Row],[Fecha Financiero]])=TRUE,MONTH(Otras_Actividades_Base[[#This Row],[Fecha Financiero]]),0)</f>
        <v>0</v>
      </c>
      <c r="AG9" s="890">
        <f>IF(ISNUMBER(Otras_Actividades_Base[[#This Row],[Fecha Financiero]])=TRUE,YEAR(Otras_Actividades_Base[[#This Row],[Fecha Financiero]]),0)</f>
        <v>0</v>
      </c>
      <c r="AH9" s="891">
        <f>SUMPRODUCT((Otras_Actividades_Base[[#This Row],[Mes Financiero]]=Tipo_Cambio[Mes])*(Otras_Actividades_Base[[#This Row],[Año Financiero]]=Tipo_Cambio[Año])*(Tipo_Cambio[$/U$S]))</f>
        <v>0</v>
      </c>
      <c r="AI9" s="891">
        <f>SUMPRODUCT((Otras_Actividades_Base[[#This Row],[Mes Financiero]]=Tipo_Cambio[Mes])*(Otras_Actividades_Base[[#This Row],[Año Financiero]]=Tipo_Cambio[Año])*(Tipo_Cambio[Actualización]))</f>
        <v>0</v>
      </c>
      <c r="AJ9" s="887">
        <f>IF(Económico!$F$4=0,0,Otras_Actividades_Base[Centro de Costo])</f>
        <v>0</v>
      </c>
    </row>
    <row r="10" spans="2:36" x14ac:dyDescent="0.25">
      <c r="D10" s="42">
        <f t="shared" si="1"/>
        <v>43435</v>
      </c>
      <c r="E10" s="353"/>
      <c r="F10" s="988" t="str">
        <f t="shared" si="0"/>
        <v>2018-2019</v>
      </c>
      <c r="G10" s="32" t="s">
        <v>107</v>
      </c>
      <c r="H10" s="32"/>
      <c r="I10" s="32" t="s">
        <v>200</v>
      </c>
      <c r="J10" s="32"/>
      <c r="K10" s="29"/>
      <c r="L10" s="77"/>
      <c r="M10" s="41"/>
      <c r="N10" s="41" t="s">
        <v>48</v>
      </c>
      <c r="O10" s="51"/>
      <c r="P10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0" s="881">
        <f>IFERROR(Otras_Actividades_Base[[#This Row],[Económico $Corrientes]]/Otras_Actividades_Base[[#This Row],[Indexación Económico]],0)</f>
        <v>0</v>
      </c>
      <c r="R10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0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0" s="881">
        <f>IFERROR(Otras_Actividades_Base[[#This Row],[Financiero $Corrientes]]/Otras_Actividades_Base[[#This Row],[Indexación Financiero]],0)</f>
        <v>0</v>
      </c>
      <c r="U10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0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0" s="885">
        <f>IFERROR(Otras_Actividades_Base[[#This Row],[Intereses $Corrientes]]/Otras_Actividades_Base[[#This Row],[Indexación Financiero]],0)</f>
        <v>0</v>
      </c>
      <c r="X10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0" s="886" t="str">
        <f>IFERROR(INDEX(Otras_Actividades_Cuentas[],MATCH(Otras_Actividades_Base[[#This Row],[Cuenta Contable]],Otras_Actividades_Cuentas[Cuenta Contable],0),2),0)</f>
        <v>Egreso</v>
      </c>
      <c r="Z10" s="887" t="str">
        <f>IFERROR(INDEX(Tabla9[],MATCH(Otras_Actividades_Base[[#This Row],[Movimiento]],Tabla9[Movimientos],0),2),0)</f>
        <v>Si</v>
      </c>
      <c r="AA10" s="889" t="str">
        <f>IFERROR(INDEX(Tabla9[],MATCH(Otras_Actividades_Base[[#This Row],[Movimiento]],Tabla9[Movimientos],0),3),0)</f>
        <v>(-)</v>
      </c>
      <c r="AB10" s="884">
        <f>IF(Otras_Actividades_Base[[#This Row],[Fecha Económico]]=0,0,MONTH(Otras_Actividades_Base[[#This Row],[Fecha Económico]]))</f>
        <v>12</v>
      </c>
      <c r="AC10" s="890">
        <f>IF(Otras_Actividades_Base[[#This Row],[Fecha Económico]]=0,0,YEAR(Otras_Actividades_Base[[#This Row],[Fecha Económico]]))</f>
        <v>2018</v>
      </c>
      <c r="AD10" s="891">
        <f>SUMPRODUCT((Otras_Actividades_Base[[#This Row],[Mes Económico]]=Tipo_Cambio[Mes])*(Otras_Actividades_Base[[#This Row],[Año Económico]]=Tipo_Cambio[Año])*(Tipo_Cambio[$/U$S]))</f>
        <v>23.122221102199997</v>
      </c>
      <c r="AE10" s="891">
        <f>SUMPRODUCT((Otras_Actividades_Base[[#This Row],[Mes Económico]]=Tipo_Cambio[Mes])*(Otras_Actividades_Base[[#This Row],[Año Económico]]=Tipo_Cambio[Año])*(Tipo_Cambio[Actualización]))</f>
        <v>1.1040808032</v>
      </c>
      <c r="AF10" s="890">
        <f>IF(ISNUMBER(Otras_Actividades_Base[[#This Row],[Fecha Financiero]])=TRUE,MONTH(Otras_Actividades_Base[[#This Row],[Fecha Financiero]]),0)</f>
        <v>0</v>
      </c>
      <c r="AG10" s="890">
        <f>IF(ISNUMBER(Otras_Actividades_Base[[#This Row],[Fecha Financiero]])=TRUE,YEAR(Otras_Actividades_Base[[#This Row],[Fecha Financiero]]),0)</f>
        <v>0</v>
      </c>
      <c r="AH10" s="891">
        <f>SUMPRODUCT((Otras_Actividades_Base[[#This Row],[Mes Financiero]]=Tipo_Cambio[Mes])*(Otras_Actividades_Base[[#This Row],[Año Financiero]]=Tipo_Cambio[Año])*(Tipo_Cambio[$/U$S]))</f>
        <v>0</v>
      </c>
      <c r="AI10" s="891">
        <f>SUMPRODUCT((Otras_Actividades_Base[[#This Row],[Mes Financiero]]=Tipo_Cambio[Mes])*(Otras_Actividades_Base[[#This Row],[Año Financiero]]=Tipo_Cambio[Año])*(Tipo_Cambio[Actualización]))</f>
        <v>0</v>
      </c>
      <c r="AJ10" s="887">
        <f>IF(Económico!$F$4=0,0,Otras_Actividades_Base[Centro de Costo])</f>
        <v>0</v>
      </c>
    </row>
    <row r="11" spans="2:36" x14ac:dyDescent="0.25">
      <c r="D11" s="42">
        <f t="shared" si="1"/>
        <v>43466</v>
      </c>
      <c r="E11" s="353"/>
      <c r="F11" s="988" t="str">
        <f t="shared" si="0"/>
        <v>2018-2019</v>
      </c>
      <c r="G11" s="32" t="s">
        <v>107</v>
      </c>
      <c r="H11" s="32"/>
      <c r="I11" s="32" t="s">
        <v>200</v>
      </c>
      <c r="J11" s="32"/>
      <c r="K11" s="29"/>
      <c r="L11" s="77"/>
      <c r="M11" s="41"/>
      <c r="N11" s="41" t="s">
        <v>48</v>
      </c>
      <c r="O11" s="51"/>
      <c r="P11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1" s="881">
        <f>IFERROR(Otras_Actividades_Base[[#This Row],[Económico $Corrientes]]/Otras_Actividades_Base[[#This Row],[Indexación Económico]],0)</f>
        <v>0</v>
      </c>
      <c r="R11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1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1" s="881">
        <f>IFERROR(Otras_Actividades_Base[[#This Row],[Financiero $Corrientes]]/Otras_Actividades_Base[[#This Row],[Indexación Financiero]],0)</f>
        <v>0</v>
      </c>
      <c r="U11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1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1" s="885">
        <f>IFERROR(Otras_Actividades_Base[[#This Row],[Intereses $Corrientes]]/Otras_Actividades_Base[[#This Row],[Indexación Financiero]],0)</f>
        <v>0</v>
      </c>
      <c r="X11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1" s="886" t="str">
        <f>IFERROR(INDEX(Otras_Actividades_Cuentas[],MATCH(Otras_Actividades_Base[[#This Row],[Cuenta Contable]],Otras_Actividades_Cuentas[Cuenta Contable],0),2),0)</f>
        <v>Egreso</v>
      </c>
      <c r="Z11" s="887" t="str">
        <f>IFERROR(INDEX(Tabla9[],MATCH(Otras_Actividades_Base[[#This Row],[Movimiento]],Tabla9[Movimientos],0),2),0)</f>
        <v>Si</v>
      </c>
      <c r="AA11" s="889" t="str">
        <f>IFERROR(INDEX(Tabla9[],MATCH(Otras_Actividades_Base[[#This Row],[Movimiento]],Tabla9[Movimientos],0),3),0)</f>
        <v>(-)</v>
      </c>
      <c r="AB11" s="884">
        <f>IF(Otras_Actividades_Base[[#This Row],[Fecha Económico]]=0,0,MONTH(Otras_Actividades_Base[[#This Row],[Fecha Económico]]))</f>
        <v>1</v>
      </c>
      <c r="AC11" s="890">
        <f>IF(Otras_Actividades_Base[[#This Row],[Fecha Económico]]=0,0,YEAR(Otras_Actividades_Base[[#This Row],[Fecha Económico]]))</f>
        <v>2019</v>
      </c>
      <c r="AD11" s="891">
        <f>SUMPRODUCT((Otras_Actividades_Base[[#This Row],[Mes Económico]]=Tipo_Cambio[Mes])*(Otras_Actividades_Base[[#This Row],[Año Económico]]=Tipo_Cambio[Año])*(Tipo_Cambio[$/U$S]))</f>
        <v>23.353443313221998</v>
      </c>
      <c r="AE11" s="891">
        <f>SUMPRODUCT((Otras_Actividades_Base[[#This Row],[Mes Económico]]=Tipo_Cambio[Mes])*(Otras_Actividades_Base[[#This Row],[Año Económico]]=Tipo_Cambio[Año])*(Tipo_Cambio[Actualización]))</f>
        <v>1.1261624192640001</v>
      </c>
      <c r="AF11" s="890">
        <f>IF(ISNUMBER(Otras_Actividades_Base[[#This Row],[Fecha Financiero]])=TRUE,MONTH(Otras_Actividades_Base[[#This Row],[Fecha Financiero]]),0)</f>
        <v>0</v>
      </c>
      <c r="AG11" s="890">
        <f>IF(ISNUMBER(Otras_Actividades_Base[[#This Row],[Fecha Financiero]])=TRUE,YEAR(Otras_Actividades_Base[[#This Row],[Fecha Financiero]]),0)</f>
        <v>0</v>
      </c>
      <c r="AH11" s="891">
        <f>SUMPRODUCT((Otras_Actividades_Base[[#This Row],[Mes Financiero]]=Tipo_Cambio[Mes])*(Otras_Actividades_Base[[#This Row],[Año Financiero]]=Tipo_Cambio[Año])*(Tipo_Cambio[$/U$S]))</f>
        <v>0</v>
      </c>
      <c r="AI11" s="891">
        <f>SUMPRODUCT((Otras_Actividades_Base[[#This Row],[Mes Financiero]]=Tipo_Cambio[Mes])*(Otras_Actividades_Base[[#This Row],[Año Financiero]]=Tipo_Cambio[Año])*(Tipo_Cambio[Actualización]))</f>
        <v>0</v>
      </c>
      <c r="AJ11" s="887">
        <f>IF(Económico!$F$4=0,0,Otras_Actividades_Base[Centro de Costo])</f>
        <v>0</v>
      </c>
    </row>
    <row r="12" spans="2:36" x14ac:dyDescent="0.25">
      <c r="D12" s="42">
        <f t="shared" si="1"/>
        <v>43497</v>
      </c>
      <c r="E12" s="353"/>
      <c r="F12" s="988" t="str">
        <f t="shared" si="0"/>
        <v>2018-2019</v>
      </c>
      <c r="G12" s="32" t="s">
        <v>107</v>
      </c>
      <c r="H12" s="32"/>
      <c r="I12" s="32" t="s">
        <v>200</v>
      </c>
      <c r="J12" s="32"/>
      <c r="K12" s="29"/>
      <c r="L12" s="77"/>
      <c r="M12" s="41"/>
      <c r="N12" s="41" t="s">
        <v>48</v>
      </c>
      <c r="O12" s="51"/>
      <c r="P12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2" s="881">
        <f>IFERROR(Otras_Actividades_Base[[#This Row],[Económico $Corrientes]]/Otras_Actividades_Base[[#This Row],[Indexación Económico]],0)</f>
        <v>0</v>
      </c>
      <c r="R12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2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2" s="881">
        <f>IFERROR(Otras_Actividades_Base[[#This Row],[Financiero $Corrientes]]/Otras_Actividades_Base[[#This Row],[Indexación Financiero]],0)</f>
        <v>0</v>
      </c>
      <c r="U12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2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2" s="885">
        <f>IFERROR(Otras_Actividades_Base[[#This Row],[Intereses $Corrientes]]/Otras_Actividades_Base[[#This Row],[Indexación Financiero]],0)</f>
        <v>0</v>
      </c>
      <c r="X12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2" s="886" t="str">
        <f>IFERROR(INDEX(Otras_Actividades_Cuentas[],MATCH(Otras_Actividades_Base[[#This Row],[Cuenta Contable]],Otras_Actividades_Cuentas[Cuenta Contable],0),2),0)</f>
        <v>Egreso</v>
      </c>
      <c r="Z12" s="887" t="str">
        <f>IFERROR(INDEX(Tabla9[],MATCH(Otras_Actividades_Base[[#This Row],[Movimiento]],Tabla9[Movimientos],0),2),0)</f>
        <v>Si</v>
      </c>
      <c r="AA12" s="889" t="str">
        <f>IFERROR(INDEX(Tabla9[],MATCH(Otras_Actividades_Base[[#This Row],[Movimiento]],Tabla9[Movimientos],0),3),0)</f>
        <v>(-)</v>
      </c>
      <c r="AB12" s="884">
        <f>IF(Otras_Actividades_Base[[#This Row],[Fecha Económico]]=0,0,MONTH(Otras_Actividades_Base[[#This Row],[Fecha Económico]]))</f>
        <v>2</v>
      </c>
      <c r="AC12" s="890">
        <f>IF(Otras_Actividades_Base[[#This Row],[Fecha Económico]]=0,0,YEAR(Otras_Actividades_Base[[#This Row],[Fecha Económico]]))</f>
        <v>2019</v>
      </c>
      <c r="AD12" s="891">
        <f>SUMPRODUCT((Otras_Actividades_Base[[#This Row],[Mes Económico]]=Tipo_Cambio[Mes])*(Otras_Actividades_Base[[#This Row],[Año Económico]]=Tipo_Cambio[Año])*(Tipo_Cambio[$/U$S]))</f>
        <v>23.586977746354219</v>
      </c>
      <c r="AE12" s="891">
        <f>SUMPRODUCT((Otras_Actividades_Base[[#This Row],[Mes Económico]]=Tipo_Cambio[Mes])*(Otras_Actividades_Base[[#This Row],[Año Económico]]=Tipo_Cambio[Año])*(Tipo_Cambio[Actualización]))</f>
        <v>1.14868566764928</v>
      </c>
      <c r="AF12" s="890">
        <f>IF(ISNUMBER(Otras_Actividades_Base[[#This Row],[Fecha Financiero]])=TRUE,MONTH(Otras_Actividades_Base[[#This Row],[Fecha Financiero]]),0)</f>
        <v>0</v>
      </c>
      <c r="AG12" s="890">
        <f>IF(ISNUMBER(Otras_Actividades_Base[[#This Row],[Fecha Financiero]])=TRUE,YEAR(Otras_Actividades_Base[[#This Row],[Fecha Financiero]]),0)</f>
        <v>0</v>
      </c>
      <c r="AH12" s="891">
        <f>SUMPRODUCT((Otras_Actividades_Base[[#This Row],[Mes Financiero]]=Tipo_Cambio[Mes])*(Otras_Actividades_Base[[#This Row],[Año Financiero]]=Tipo_Cambio[Año])*(Tipo_Cambio[$/U$S]))</f>
        <v>0</v>
      </c>
      <c r="AI12" s="891">
        <f>SUMPRODUCT((Otras_Actividades_Base[[#This Row],[Mes Financiero]]=Tipo_Cambio[Mes])*(Otras_Actividades_Base[[#This Row],[Año Financiero]]=Tipo_Cambio[Año])*(Tipo_Cambio[Actualización]))</f>
        <v>0</v>
      </c>
      <c r="AJ12" s="887">
        <f>IF(Económico!$F$4=0,0,Otras_Actividades_Base[Centro de Costo])</f>
        <v>0</v>
      </c>
    </row>
    <row r="13" spans="2:36" x14ac:dyDescent="0.25">
      <c r="D13" s="42">
        <f t="shared" si="1"/>
        <v>43525</v>
      </c>
      <c r="E13" s="353"/>
      <c r="F13" s="988" t="str">
        <f t="shared" si="0"/>
        <v>2018-2019</v>
      </c>
      <c r="G13" s="32" t="s">
        <v>107</v>
      </c>
      <c r="H13" s="32"/>
      <c r="I13" s="32" t="s">
        <v>200</v>
      </c>
      <c r="J13" s="32"/>
      <c r="K13" s="29"/>
      <c r="L13" s="77"/>
      <c r="M13" s="41"/>
      <c r="N13" s="41" t="s">
        <v>48</v>
      </c>
      <c r="O13" s="51"/>
      <c r="P13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3" s="881">
        <f>IFERROR(Otras_Actividades_Base[[#This Row],[Económico $Corrientes]]/Otras_Actividades_Base[[#This Row],[Indexación Económico]],0)</f>
        <v>0</v>
      </c>
      <c r="R13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3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3" s="881">
        <f>IFERROR(Otras_Actividades_Base[[#This Row],[Financiero $Corrientes]]/Otras_Actividades_Base[[#This Row],[Indexación Financiero]],0)</f>
        <v>0</v>
      </c>
      <c r="U13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3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3" s="885">
        <f>IFERROR(Otras_Actividades_Base[[#This Row],[Intereses $Corrientes]]/Otras_Actividades_Base[[#This Row],[Indexación Financiero]],0)</f>
        <v>0</v>
      </c>
      <c r="X13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3" s="886" t="str">
        <f>IFERROR(INDEX(Otras_Actividades_Cuentas[],MATCH(Otras_Actividades_Base[[#This Row],[Cuenta Contable]],Otras_Actividades_Cuentas[Cuenta Contable],0),2),0)</f>
        <v>Egreso</v>
      </c>
      <c r="Z13" s="887" t="str">
        <f>IFERROR(INDEX(Tabla9[],MATCH(Otras_Actividades_Base[[#This Row],[Movimiento]],Tabla9[Movimientos],0),2),0)</f>
        <v>Si</v>
      </c>
      <c r="AA13" s="889" t="str">
        <f>IFERROR(INDEX(Tabla9[],MATCH(Otras_Actividades_Base[[#This Row],[Movimiento]],Tabla9[Movimientos],0),3),0)</f>
        <v>(-)</v>
      </c>
      <c r="AB13" s="884">
        <f>IF(Otras_Actividades_Base[[#This Row],[Fecha Económico]]=0,0,MONTH(Otras_Actividades_Base[[#This Row],[Fecha Económico]]))</f>
        <v>3</v>
      </c>
      <c r="AC13" s="890">
        <f>IF(Otras_Actividades_Base[[#This Row],[Fecha Económico]]=0,0,YEAR(Otras_Actividades_Base[[#This Row],[Fecha Económico]]))</f>
        <v>2019</v>
      </c>
      <c r="AD13" s="891">
        <f>SUMPRODUCT((Otras_Actividades_Base[[#This Row],[Mes Económico]]=Tipo_Cambio[Mes])*(Otras_Actividades_Base[[#This Row],[Año Económico]]=Tipo_Cambio[Año])*(Tipo_Cambio[$/U$S]))</f>
        <v>23.82284752381776</v>
      </c>
      <c r="AE13" s="891">
        <f>SUMPRODUCT((Otras_Actividades_Base[[#This Row],[Mes Económico]]=Tipo_Cambio[Mes])*(Otras_Actividades_Base[[#This Row],[Año Económico]]=Tipo_Cambio[Año])*(Tipo_Cambio[Actualización]))</f>
        <v>1.1716593810022657</v>
      </c>
      <c r="AF13" s="890">
        <f>IF(ISNUMBER(Otras_Actividades_Base[[#This Row],[Fecha Financiero]])=TRUE,MONTH(Otras_Actividades_Base[[#This Row],[Fecha Financiero]]),0)</f>
        <v>0</v>
      </c>
      <c r="AG13" s="890">
        <f>IF(ISNUMBER(Otras_Actividades_Base[[#This Row],[Fecha Financiero]])=TRUE,YEAR(Otras_Actividades_Base[[#This Row],[Fecha Financiero]]),0)</f>
        <v>0</v>
      </c>
      <c r="AH13" s="891">
        <f>SUMPRODUCT((Otras_Actividades_Base[[#This Row],[Mes Financiero]]=Tipo_Cambio[Mes])*(Otras_Actividades_Base[[#This Row],[Año Financiero]]=Tipo_Cambio[Año])*(Tipo_Cambio[$/U$S]))</f>
        <v>0</v>
      </c>
      <c r="AI13" s="891">
        <f>SUMPRODUCT((Otras_Actividades_Base[[#This Row],[Mes Financiero]]=Tipo_Cambio[Mes])*(Otras_Actividades_Base[[#This Row],[Año Financiero]]=Tipo_Cambio[Año])*(Tipo_Cambio[Actualización]))</f>
        <v>0</v>
      </c>
      <c r="AJ13" s="887">
        <f>IF(Económico!$F$4=0,0,Otras_Actividades_Base[Centro de Costo])</f>
        <v>0</v>
      </c>
    </row>
    <row r="14" spans="2:36" x14ac:dyDescent="0.25">
      <c r="D14" s="42">
        <f t="shared" si="1"/>
        <v>43556</v>
      </c>
      <c r="E14" s="353"/>
      <c r="F14" s="988" t="str">
        <f t="shared" si="0"/>
        <v>2018-2019</v>
      </c>
      <c r="G14" s="32" t="s">
        <v>107</v>
      </c>
      <c r="H14" s="32"/>
      <c r="I14" s="32" t="s">
        <v>200</v>
      </c>
      <c r="J14" s="32"/>
      <c r="K14" s="29"/>
      <c r="L14" s="77"/>
      <c r="M14" s="41"/>
      <c r="N14" s="41" t="s">
        <v>48</v>
      </c>
      <c r="O14" s="51"/>
      <c r="P14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4" s="881">
        <f>IFERROR(Otras_Actividades_Base[[#This Row],[Económico $Corrientes]]/Otras_Actividades_Base[[#This Row],[Indexación Económico]],0)</f>
        <v>0</v>
      </c>
      <c r="R14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4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4" s="881">
        <f>IFERROR(Otras_Actividades_Base[[#This Row],[Financiero $Corrientes]]/Otras_Actividades_Base[[#This Row],[Indexación Financiero]],0)</f>
        <v>0</v>
      </c>
      <c r="U14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4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4" s="885">
        <f>IFERROR(Otras_Actividades_Base[[#This Row],[Intereses $Corrientes]]/Otras_Actividades_Base[[#This Row],[Indexación Financiero]],0)</f>
        <v>0</v>
      </c>
      <c r="X14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4" s="886" t="str">
        <f>IFERROR(INDEX(Otras_Actividades_Cuentas[],MATCH(Otras_Actividades_Base[[#This Row],[Cuenta Contable]],Otras_Actividades_Cuentas[Cuenta Contable],0),2),0)</f>
        <v>Egreso</v>
      </c>
      <c r="Z14" s="887" t="str">
        <f>IFERROR(INDEX(Tabla9[],MATCH(Otras_Actividades_Base[[#This Row],[Movimiento]],Tabla9[Movimientos],0),2),0)</f>
        <v>Si</v>
      </c>
      <c r="AA14" s="889" t="str">
        <f>IFERROR(INDEX(Tabla9[],MATCH(Otras_Actividades_Base[[#This Row],[Movimiento]],Tabla9[Movimientos],0),3),0)</f>
        <v>(-)</v>
      </c>
      <c r="AB14" s="884">
        <f>IF(Otras_Actividades_Base[[#This Row],[Fecha Económico]]=0,0,MONTH(Otras_Actividades_Base[[#This Row],[Fecha Económico]]))</f>
        <v>4</v>
      </c>
      <c r="AC14" s="890">
        <f>IF(Otras_Actividades_Base[[#This Row],[Fecha Económico]]=0,0,YEAR(Otras_Actividades_Base[[#This Row],[Fecha Económico]]))</f>
        <v>2019</v>
      </c>
      <c r="AD14" s="891">
        <f>SUMPRODUCT((Otras_Actividades_Base[[#This Row],[Mes Económico]]=Tipo_Cambio[Mes])*(Otras_Actividades_Base[[#This Row],[Año Económico]]=Tipo_Cambio[Año])*(Tipo_Cambio[$/U$S]))</f>
        <v>24.061075999055937</v>
      </c>
      <c r="AE14" s="891">
        <f>SUMPRODUCT((Otras_Actividades_Base[[#This Row],[Mes Económico]]=Tipo_Cambio[Mes])*(Otras_Actividades_Base[[#This Row],[Año Económico]]=Tipo_Cambio[Año])*(Tipo_Cambio[Actualización]))</f>
        <v>1.1950925686223111</v>
      </c>
      <c r="AF14" s="890">
        <f>IF(ISNUMBER(Otras_Actividades_Base[[#This Row],[Fecha Financiero]])=TRUE,MONTH(Otras_Actividades_Base[[#This Row],[Fecha Financiero]]),0)</f>
        <v>0</v>
      </c>
      <c r="AG14" s="890">
        <f>IF(ISNUMBER(Otras_Actividades_Base[[#This Row],[Fecha Financiero]])=TRUE,YEAR(Otras_Actividades_Base[[#This Row],[Fecha Financiero]]),0)</f>
        <v>0</v>
      </c>
      <c r="AH14" s="891">
        <f>SUMPRODUCT((Otras_Actividades_Base[[#This Row],[Mes Financiero]]=Tipo_Cambio[Mes])*(Otras_Actividades_Base[[#This Row],[Año Financiero]]=Tipo_Cambio[Año])*(Tipo_Cambio[$/U$S]))</f>
        <v>0</v>
      </c>
      <c r="AI14" s="891">
        <f>SUMPRODUCT((Otras_Actividades_Base[[#This Row],[Mes Financiero]]=Tipo_Cambio[Mes])*(Otras_Actividades_Base[[#This Row],[Año Financiero]]=Tipo_Cambio[Año])*(Tipo_Cambio[Actualización]))</f>
        <v>0</v>
      </c>
      <c r="AJ14" s="887">
        <f>IF(Económico!$F$4=0,0,Otras_Actividades_Base[Centro de Costo])</f>
        <v>0</v>
      </c>
    </row>
    <row r="15" spans="2:36" x14ac:dyDescent="0.25">
      <c r="D15" s="42">
        <f t="shared" si="1"/>
        <v>43586</v>
      </c>
      <c r="E15" s="353"/>
      <c r="F15" s="988" t="str">
        <f t="shared" si="0"/>
        <v>2018-2019</v>
      </c>
      <c r="G15" s="32" t="s">
        <v>107</v>
      </c>
      <c r="H15" s="32"/>
      <c r="I15" s="32" t="s">
        <v>200</v>
      </c>
      <c r="J15" s="32"/>
      <c r="K15" s="29"/>
      <c r="L15" s="78"/>
      <c r="M15" s="41"/>
      <c r="N15" s="41" t="s">
        <v>48</v>
      </c>
      <c r="O15" s="51"/>
      <c r="P15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5" s="881">
        <f>IFERROR(Otras_Actividades_Base[[#This Row],[Económico $Corrientes]]/Otras_Actividades_Base[[#This Row],[Indexación Económico]],0)</f>
        <v>0</v>
      </c>
      <c r="R15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5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5" s="881">
        <f>IFERROR(Otras_Actividades_Base[[#This Row],[Financiero $Corrientes]]/Otras_Actividades_Base[[#This Row],[Indexación Financiero]],0)</f>
        <v>0</v>
      </c>
      <c r="U15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5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5" s="885">
        <f>IFERROR(Otras_Actividades_Base[[#This Row],[Intereses $Corrientes]]/Otras_Actividades_Base[[#This Row],[Indexación Financiero]],0)</f>
        <v>0</v>
      </c>
      <c r="X15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5" s="886" t="str">
        <f>IFERROR(INDEX(Otras_Actividades_Cuentas[],MATCH(Otras_Actividades_Base[[#This Row],[Cuenta Contable]],Otras_Actividades_Cuentas[Cuenta Contable],0),2),0)</f>
        <v>Egreso</v>
      </c>
      <c r="Z15" s="887" t="str">
        <f>IFERROR(INDEX(Tabla9[],MATCH(Otras_Actividades_Base[[#This Row],[Movimiento]],Tabla9[Movimientos],0),2),0)</f>
        <v>Si</v>
      </c>
      <c r="AA15" s="889" t="str">
        <f>IFERROR(INDEX(Tabla9[],MATCH(Otras_Actividades_Base[[#This Row],[Movimiento]],Tabla9[Movimientos],0),3),0)</f>
        <v>(-)</v>
      </c>
      <c r="AB15" s="884">
        <f>IF(Otras_Actividades_Base[[#This Row],[Fecha Económico]]=0,0,MONTH(Otras_Actividades_Base[[#This Row],[Fecha Económico]]))</f>
        <v>5</v>
      </c>
      <c r="AC15" s="890">
        <f>IF(Otras_Actividades_Base[[#This Row],[Fecha Económico]]=0,0,YEAR(Otras_Actividades_Base[[#This Row],[Fecha Económico]]))</f>
        <v>2019</v>
      </c>
      <c r="AD15" s="891">
        <f>SUMPRODUCT((Otras_Actividades_Base[[#This Row],[Mes Económico]]=Tipo_Cambio[Mes])*(Otras_Actividades_Base[[#This Row],[Año Económico]]=Tipo_Cambio[Año])*(Tipo_Cambio[$/U$S]))</f>
        <v>24.301686759046497</v>
      </c>
      <c r="AE15" s="891">
        <f>SUMPRODUCT((Otras_Actividades_Base[[#This Row],[Mes Económico]]=Tipo_Cambio[Mes])*(Otras_Actividades_Base[[#This Row],[Año Económico]]=Tipo_Cambio[Año])*(Tipo_Cambio[Actualización]))</f>
        <v>1.2189944199947573</v>
      </c>
      <c r="AF15" s="890">
        <f>IF(ISNUMBER(Otras_Actividades_Base[[#This Row],[Fecha Financiero]])=TRUE,MONTH(Otras_Actividades_Base[[#This Row],[Fecha Financiero]]),0)</f>
        <v>0</v>
      </c>
      <c r="AG15" s="890">
        <f>IF(ISNUMBER(Otras_Actividades_Base[[#This Row],[Fecha Financiero]])=TRUE,YEAR(Otras_Actividades_Base[[#This Row],[Fecha Financiero]]),0)</f>
        <v>0</v>
      </c>
      <c r="AH15" s="891">
        <f>SUMPRODUCT((Otras_Actividades_Base[[#This Row],[Mes Financiero]]=Tipo_Cambio[Mes])*(Otras_Actividades_Base[[#This Row],[Año Financiero]]=Tipo_Cambio[Año])*(Tipo_Cambio[$/U$S]))</f>
        <v>0</v>
      </c>
      <c r="AI15" s="891">
        <f>SUMPRODUCT((Otras_Actividades_Base[[#This Row],[Mes Financiero]]=Tipo_Cambio[Mes])*(Otras_Actividades_Base[[#This Row],[Año Financiero]]=Tipo_Cambio[Año])*(Tipo_Cambio[Actualización]))</f>
        <v>0</v>
      </c>
      <c r="AJ15" s="887">
        <f>IF(Económico!$F$4=0,0,Otras_Actividades_Base[Centro de Costo])</f>
        <v>0</v>
      </c>
    </row>
    <row r="16" spans="2:36" x14ac:dyDescent="0.25">
      <c r="D16" s="42">
        <f t="shared" si="1"/>
        <v>43617</v>
      </c>
      <c r="E16" s="353"/>
      <c r="F16" s="988" t="str">
        <f t="shared" si="0"/>
        <v>2018-2019</v>
      </c>
      <c r="G16" s="32" t="s">
        <v>107</v>
      </c>
      <c r="H16" s="32"/>
      <c r="I16" s="32" t="s">
        <v>200</v>
      </c>
      <c r="J16" s="32"/>
      <c r="K16" s="29"/>
      <c r="L16" s="77"/>
      <c r="M16" s="41"/>
      <c r="N16" s="41" t="s">
        <v>48</v>
      </c>
      <c r="O16" s="51"/>
      <c r="P16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6" s="881">
        <f>IFERROR(Otras_Actividades_Base[[#This Row],[Económico $Corrientes]]/Otras_Actividades_Base[[#This Row],[Indexación Económico]],0)</f>
        <v>0</v>
      </c>
      <c r="R16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6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6" s="881">
        <f>IFERROR(Otras_Actividades_Base[[#This Row],[Financiero $Corrientes]]/Otras_Actividades_Base[[#This Row],[Indexación Financiero]],0)</f>
        <v>0</v>
      </c>
      <c r="U16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6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6" s="885">
        <f>IFERROR(Otras_Actividades_Base[[#This Row],[Intereses $Corrientes]]/Otras_Actividades_Base[[#This Row],[Indexación Financiero]],0)</f>
        <v>0</v>
      </c>
      <c r="X16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6" s="886" t="str">
        <f>IFERROR(INDEX(Otras_Actividades_Cuentas[],MATCH(Otras_Actividades_Base[[#This Row],[Cuenta Contable]],Otras_Actividades_Cuentas[Cuenta Contable],0),2),0)</f>
        <v>Egreso</v>
      </c>
      <c r="Z16" s="887" t="str">
        <f>IFERROR(INDEX(Tabla9[],MATCH(Otras_Actividades_Base[[#This Row],[Movimiento]],Tabla9[Movimientos],0),2),0)</f>
        <v>Si</v>
      </c>
      <c r="AA16" s="889" t="str">
        <f>IFERROR(INDEX(Tabla9[],MATCH(Otras_Actividades_Base[[#This Row],[Movimiento]],Tabla9[Movimientos],0),3),0)</f>
        <v>(-)</v>
      </c>
      <c r="AB16" s="884">
        <f>IF(Otras_Actividades_Base[[#This Row],[Fecha Económico]]=0,0,MONTH(Otras_Actividades_Base[[#This Row],[Fecha Económico]]))</f>
        <v>6</v>
      </c>
      <c r="AC16" s="890">
        <f>IF(Otras_Actividades_Base[[#This Row],[Fecha Económico]]=0,0,YEAR(Otras_Actividades_Base[[#This Row],[Fecha Económico]]))</f>
        <v>2019</v>
      </c>
      <c r="AD16" s="891">
        <f>SUMPRODUCT((Otras_Actividades_Base[[#This Row],[Mes Económico]]=Tipo_Cambio[Mes])*(Otras_Actividades_Base[[#This Row],[Año Económico]]=Tipo_Cambio[Año])*(Tipo_Cambio[$/U$S]))</f>
        <v>24.544703626636963</v>
      </c>
      <c r="AE16" s="891">
        <f>SUMPRODUCT((Otras_Actividades_Base[[#This Row],[Mes Económico]]=Tipo_Cambio[Mes])*(Otras_Actividades_Base[[#This Row],[Año Económico]]=Tipo_Cambio[Año])*(Tipo_Cambio[Actualización]))</f>
        <v>1.2433743083946525</v>
      </c>
      <c r="AF16" s="890">
        <f>IF(ISNUMBER(Otras_Actividades_Base[[#This Row],[Fecha Financiero]])=TRUE,MONTH(Otras_Actividades_Base[[#This Row],[Fecha Financiero]]),0)</f>
        <v>0</v>
      </c>
      <c r="AG16" s="890">
        <f>IF(ISNUMBER(Otras_Actividades_Base[[#This Row],[Fecha Financiero]])=TRUE,YEAR(Otras_Actividades_Base[[#This Row],[Fecha Financiero]]),0)</f>
        <v>0</v>
      </c>
      <c r="AH16" s="891">
        <f>SUMPRODUCT((Otras_Actividades_Base[[#This Row],[Mes Financiero]]=Tipo_Cambio[Mes])*(Otras_Actividades_Base[[#This Row],[Año Financiero]]=Tipo_Cambio[Año])*(Tipo_Cambio[$/U$S]))</f>
        <v>0</v>
      </c>
      <c r="AI16" s="891">
        <f>SUMPRODUCT((Otras_Actividades_Base[[#This Row],[Mes Financiero]]=Tipo_Cambio[Mes])*(Otras_Actividades_Base[[#This Row],[Año Financiero]]=Tipo_Cambio[Año])*(Tipo_Cambio[Actualización]))</f>
        <v>0</v>
      </c>
      <c r="AJ16" s="887">
        <f>IF(Económico!$F$4=0,0,Otras_Actividades_Base[Centro de Costo])</f>
        <v>0</v>
      </c>
    </row>
    <row r="17" spans="4:36" x14ac:dyDescent="0.25">
      <c r="D17" s="428">
        <f>DATE(LEFT(Otras_Actividades_Base[[#This Row],[Campaña]],4),7,1)</f>
        <v>43282</v>
      </c>
      <c r="E17" s="434"/>
      <c r="F17" s="1076" t="str">
        <f t="shared" si="0"/>
        <v>2018-2019</v>
      </c>
      <c r="G17" s="429" t="s">
        <v>108</v>
      </c>
      <c r="H17" s="429"/>
      <c r="I17" s="429" t="s">
        <v>200</v>
      </c>
      <c r="J17" s="429"/>
      <c r="K17" s="430"/>
      <c r="L17" s="431"/>
      <c r="M17" s="429"/>
      <c r="N17" s="431" t="s">
        <v>48</v>
      </c>
      <c r="O17" s="432"/>
      <c r="P17" s="1044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7" s="1044">
        <f>IFERROR(Otras_Actividades_Base[[#This Row],[Económico $Corrientes]]/Otras_Actividades_Base[[#This Row],[Indexación Económico]],0)</f>
        <v>0</v>
      </c>
      <c r="R17" s="1045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7" s="1046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7" s="1044">
        <f>IFERROR(Otras_Actividades_Base[[#This Row],[Financiero $Corrientes]]/Otras_Actividades_Base[[#This Row],[Indexación Financiero]],0)</f>
        <v>0</v>
      </c>
      <c r="U17" s="104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7" s="1047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7" s="1048">
        <f>IFERROR(Otras_Actividades_Base[[#This Row],[Intereses $Corrientes]]/Otras_Actividades_Base[[#This Row],[Indexación Financiero]],0)</f>
        <v>0</v>
      </c>
      <c r="X17" s="1048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7" s="1049" t="str">
        <f>IFERROR(INDEX(Otras_Actividades_Cuentas[],MATCH(Otras_Actividades_Base[[#This Row],[Cuenta Contable]],Otras_Actividades_Cuentas[Cuenta Contable],0),2),0)</f>
        <v>Egreso</v>
      </c>
      <c r="Z17" s="1050" t="str">
        <f>IFERROR(INDEX(Tabla9[],MATCH(Otras_Actividades_Base[[#This Row],[Movimiento]],Tabla9[Movimientos],0),2),0)</f>
        <v>Si</v>
      </c>
      <c r="AA17" s="1051" t="str">
        <f>IFERROR(INDEX(Tabla9[],MATCH(Otras_Actividades_Base[[#This Row],[Movimiento]],Tabla9[Movimientos],0),3),0)</f>
        <v>(-)</v>
      </c>
      <c r="AB17" s="1047">
        <f>IF(Otras_Actividades_Base[[#This Row],[Fecha Económico]]=0,0,MONTH(Otras_Actividades_Base[[#This Row],[Fecha Económico]]))</f>
        <v>7</v>
      </c>
      <c r="AC17" s="1048">
        <f>IF(Otras_Actividades_Base[[#This Row],[Fecha Económico]]=0,0,YEAR(Otras_Actividades_Base[[#This Row],[Fecha Económico]]))</f>
        <v>2018</v>
      </c>
      <c r="AD17" s="1051">
        <f>SUMPRODUCT((Otras_Actividades_Base[[#This Row],[Mes Económico]]=Tipo_Cambio[Mes])*(Otras_Actividades_Base[[#This Row],[Año Económico]]=Tipo_Cambio[Año])*(Tipo_Cambio[$/U$S]))</f>
        <v>22</v>
      </c>
      <c r="AE17" s="1051">
        <f>SUMPRODUCT((Otras_Actividades_Base[[#This Row],[Mes Económico]]=Tipo_Cambio[Mes])*(Otras_Actividades_Base[[#This Row],[Año Económico]]=Tipo_Cambio[Año])*(Tipo_Cambio[Actualización]))</f>
        <v>1</v>
      </c>
      <c r="AF17" s="1048">
        <f>IF(ISNUMBER(Otras_Actividades_Base[[#This Row],[Fecha Financiero]])=TRUE,MONTH(Otras_Actividades_Base[[#This Row],[Fecha Financiero]]),0)</f>
        <v>0</v>
      </c>
      <c r="AG17" s="1048">
        <f>IF(ISNUMBER(Otras_Actividades_Base[[#This Row],[Fecha Financiero]])=TRUE,YEAR(Otras_Actividades_Base[[#This Row],[Fecha Financiero]]),0)</f>
        <v>0</v>
      </c>
      <c r="AH17" s="1051">
        <f>SUMPRODUCT((Otras_Actividades_Base[[#This Row],[Mes Financiero]]=Tipo_Cambio[Mes])*(Otras_Actividades_Base[[#This Row],[Año Financiero]]=Tipo_Cambio[Año])*(Tipo_Cambio[$/U$S]))</f>
        <v>0</v>
      </c>
      <c r="AI17" s="1051">
        <f>SUMPRODUCT((Otras_Actividades_Base[[#This Row],[Mes Financiero]]=Tipo_Cambio[Mes])*(Otras_Actividades_Base[[#This Row],[Año Financiero]]=Tipo_Cambio[Año])*(Tipo_Cambio[Actualización]))</f>
        <v>0</v>
      </c>
      <c r="AJ17" s="1050">
        <f>IF(Económico!$F$4=0,0,Otras_Actividades_Base[Centro de Costo])</f>
        <v>0</v>
      </c>
    </row>
    <row r="18" spans="4:36" x14ac:dyDescent="0.25">
      <c r="D18" s="42">
        <f>DATE(IF(MONTH(D17)=1,YEAR(D17+1),YEAR(D17)),MONTH(D17)+1,1)</f>
        <v>43313</v>
      </c>
      <c r="E18" s="353"/>
      <c r="F18" s="988" t="str">
        <f t="shared" si="0"/>
        <v>2018-2019</v>
      </c>
      <c r="G18" s="32" t="s">
        <v>108</v>
      </c>
      <c r="H18" s="32"/>
      <c r="I18" s="32" t="s">
        <v>200</v>
      </c>
      <c r="J18" s="32"/>
      <c r="K18" s="29"/>
      <c r="L18" s="77"/>
      <c r="M18" s="41"/>
      <c r="N18" s="41" t="s">
        <v>48</v>
      </c>
      <c r="O18" s="51"/>
      <c r="P18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8" s="881">
        <f>IFERROR(Otras_Actividades_Base[[#This Row],[Económico $Corrientes]]/Otras_Actividades_Base[[#This Row],[Indexación Económico]],0)</f>
        <v>0</v>
      </c>
      <c r="R18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8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8" s="881">
        <f>IFERROR(Otras_Actividades_Base[[#This Row],[Financiero $Corrientes]]/Otras_Actividades_Base[[#This Row],[Indexación Financiero]],0)</f>
        <v>0</v>
      </c>
      <c r="U18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8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8" s="885">
        <f>IFERROR(Otras_Actividades_Base[[#This Row],[Intereses $Corrientes]]/Otras_Actividades_Base[[#This Row],[Indexación Financiero]],0)</f>
        <v>0</v>
      </c>
      <c r="X18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8" s="886" t="str">
        <f>IFERROR(INDEX(Otras_Actividades_Cuentas[],MATCH(Otras_Actividades_Base[[#This Row],[Cuenta Contable]],Otras_Actividades_Cuentas[Cuenta Contable],0),2),0)</f>
        <v>Egreso</v>
      </c>
      <c r="Z18" s="887" t="str">
        <f>IFERROR(INDEX(Tabla9[],MATCH(Otras_Actividades_Base[[#This Row],[Movimiento]],Tabla9[Movimientos],0),2),0)</f>
        <v>Si</v>
      </c>
      <c r="AA18" s="889" t="str">
        <f>IFERROR(INDEX(Tabla9[],MATCH(Otras_Actividades_Base[[#This Row],[Movimiento]],Tabla9[Movimientos],0),3),0)</f>
        <v>(-)</v>
      </c>
      <c r="AB18" s="884">
        <f>IF(Otras_Actividades_Base[[#This Row],[Fecha Económico]]=0,0,MONTH(Otras_Actividades_Base[[#This Row],[Fecha Económico]]))</f>
        <v>8</v>
      </c>
      <c r="AC18" s="890">
        <f>IF(Otras_Actividades_Base[[#This Row],[Fecha Económico]]=0,0,YEAR(Otras_Actividades_Base[[#This Row],[Fecha Económico]]))</f>
        <v>2018</v>
      </c>
      <c r="AD18" s="891">
        <f>SUMPRODUCT((Otras_Actividades_Base[[#This Row],[Mes Económico]]=Tipo_Cambio[Mes])*(Otras_Actividades_Base[[#This Row],[Año Económico]]=Tipo_Cambio[Año])*(Tipo_Cambio[$/U$S]))</f>
        <v>22.22</v>
      </c>
      <c r="AE18" s="891">
        <f>SUMPRODUCT((Otras_Actividades_Base[[#This Row],[Mes Económico]]=Tipo_Cambio[Mes])*(Otras_Actividades_Base[[#This Row],[Año Económico]]=Tipo_Cambio[Año])*(Tipo_Cambio[Actualización]))</f>
        <v>1.02</v>
      </c>
      <c r="AF18" s="890">
        <f>IF(ISNUMBER(Otras_Actividades_Base[[#This Row],[Fecha Financiero]])=TRUE,MONTH(Otras_Actividades_Base[[#This Row],[Fecha Financiero]]),0)</f>
        <v>0</v>
      </c>
      <c r="AG18" s="890">
        <f>IF(ISNUMBER(Otras_Actividades_Base[[#This Row],[Fecha Financiero]])=TRUE,YEAR(Otras_Actividades_Base[[#This Row],[Fecha Financiero]]),0)</f>
        <v>0</v>
      </c>
      <c r="AH18" s="891">
        <f>SUMPRODUCT((Otras_Actividades_Base[[#This Row],[Mes Financiero]]=Tipo_Cambio[Mes])*(Otras_Actividades_Base[[#This Row],[Año Financiero]]=Tipo_Cambio[Año])*(Tipo_Cambio[$/U$S]))</f>
        <v>0</v>
      </c>
      <c r="AI18" s="891">
        <f>SUMPRODUCT((Otras_Actividades_Base[[#This Row],[Mes Financiero]]=Tipo_Cambio[Mes])*(Otras_Actividades_Base[[#This Row],[Año Financiero]]=Tipo_Cambio[Año])*(Tipo_Cambio[Actualización]))</f>
        <v>0</v>
      </c>
      <c r="AJ18" s="887">
        <f>IF(Económico!$F$4=0,0,Otras_Actividades_Base[Centro de Costo])</f>
        <v>0</v>
      </c>
    </row>
    <row r="19" spans="4:36" x14ac:dyDescent="0.25">
      <c r="D19" s="42">
        <f t="shared" ref="D19:D28" si="2">DATE(IF(MONTH(D18)=1,YEAR(D18+1),YEAR(D18)),MONTH(D18)+1,1)</f>
        <v>43344</v>
      </c>
      <c r="E19" s="353"/>
      <c r="F19" s="988" t="str">
        <f t="shared" si="0"/>
        <v>2018-2019</v>
      </c>
      <c r="G19" s="32" t="s">
        <v>108</v>
      </c>
      <c r="H19" s="32"/>
      <c r="I19" s="32" t="s">
        <v>200</v>
      </c>
      <c r="J19" s="32"/>
      <c r="K19" s="29"/>
      <c r="L19" s="77"/>
      <c r="M19" s="41"/>
      <c r="N19" s="41" t="s">
        <v>48</v>
      </c>
      <c r="O19" s="51"/>
      <c r="P19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9" s="881">
        <f>IFERROR(Otras_Actividades_Base[[#This Row],[Económico $Corrientes]]/Otras_Actividades_Base[[#This Row],[Indexación Económico]],0)</f>
        <v>0</v>
      </c>
      <c r="R19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9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9" s="881">
        <f>IFERROR(Otras_Actividades_Base[[#This Row],[Financiero $Corrientes]]/Otras_Actividades_Base[[#This Row],[Indexación Financiero]],0)</f>
        <v>0</v>
      </c>
      <c r="U19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9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9" s="885">
        <f>IFERROR(Otras_Actividades_Base[[#This Row],[Intereses $Corrientes]]/Otras_Actividades_Base[[#This Row],[Indexación Financiero]],0)</f>
        <v>0</v>
      </c>
      <c r="X19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9" s="886" t="str">
        <f>IFERROR(INDEX(Otras_Actividades_Cuentas[],MATCH(Otras_Actividades_Base[[#This Row],[Cuenta Contable]],Otras_Actividades_Cuentas[Cuenta Contable],0),2),0)</f>
        <v>Egreso</v>
      </c>
      <c r="Z19" s="887" t="str">
        <f>IFERROR(INDEX(Tabla9[],MATCH(Otras_Actividades_Base[[#This Row],[Movimiento]],Tabla9[Movimientos],0),2),0)</f>
        <v>Si</v>
      </c>
      <c r="AA19" s="889" t="str">
        <f>IFERROR(INDEX(Tabla9[],MATCH(Otras_Actividades_Base[[#This Row],[Movimiento]],Tabla9[Movimientos],0),3),0)</f>
        <v>(-)</v>
      </c>
      <c r="AB19" s="884">
        <f>IF(Otras_Actividades_Base[[#This Row],[Fecha Económico]]=0,0,MONTH(Otras_Actividades_Base[[#This Row],[Fecha Económico]]))</f>
        <v>9</v>
      </c>
      <c r="AC19" s="890">
        <f>IF(Otras_Actividades_Base[[#This Row],[Fecha Económico]]=0,0,YEAR(Otras_Actividades_Base[[#This Row],[Fecha Económico]]))</f>
        <v>2018</v>
      </c>
      <c r="AD19" s="891">
        <f>SUMPRODUCT((Otras_Actividades_Base[[#This Row],[Mes Económico]]=Tipo_Cambio[Mes])*(Otras_Actividades_Base[[#This Row],[Año Económico]]=Tipo_Cambio[Año])*(Tipo_Cambio[$/U$S]))</f>
        <v>22.4422</v>
      </c>
      <c r="AE19" s="891">
        <f>SUMPRODUCT((Otras_Actividades_Base[[#This Row],[Mes Económico]]=Tipo_Cambio[Mes])*(Otras_Actividades_Base[[#This Row],[Año Económico]]=Tipo_Cambio[Año])*(Tipo_Cambio[Actualización]))</f>
        <v>1.0404</v>
      </c>
      <c r="AF19" s="890">
        <f>IF(ISNUMBER(Otras_Actividades_Base[[#This Row],[Fecha Financiero]])=TRUE,MONTH(Otras_Actividades_Base[[#This Row],[Fecha Financiero]]),0)</f>
        <v>0</v>
      </c>
      <c r="AG19" s="890">
        <f>IF(ISNUMBER(Otras_Actividades_Base[[#This Row],[Fecha Financiero]])=TRUE,YEAR(Otras_Actividades_Base[[#This Row],[Fecha Financiero]]),0)</f>
        <v>0</v>
      </c>
      <c r="AH19" s="891">
        <f>SUMPRODUCT((Otras_Actividades_Base[[#This Row],[Mes Financiero]]=Tipo_Cambio[Mes])*(Otras_Actividades_Base[[#This Row],[Año Financiero]]=Tipo_Cambio[Año])*(Tipo_Cambio[$/U$S]))</f>
        <v>0</v>
      </c>
      <c r="AI19" s="891">
        <f>SUMPRODUCT((Otras_Actividades_Base[[#This Row],[Mes Financiero]]=Tipo_Cambio[Mes])*(Otras_Actividades_Base[[#This Row],[Año Financiero]]=Tipo_Cambio[Año])*(Tipo_Cambio[Actualización]))</f>
        <v>0</v>
      </c>
      <c r="AJ19" s="887">
        <f>IF(Económico!$F$4=0,0,Otras_Actividades_Base[Centro de Costo])</f>
        <v>0</v>
      </c>
    </row>
    <row r="20" spans="4:36" x14ac:dyDescent="0.25">
      <c r="D20" s="42">
        <f t="shared" si="2"/>
        <v>43374</v>
      </c>
      <c r="E20" s="353"/>
      <c r="F20" s="988" t="str">
        <f t="shared" si="0"/>
        <v>2018-2019</v>
      </c>
      <c r="G20" s="32" t="s">
        <v>108</v>
      </c>
      <c r="H20" s="32"/>
      <c r="I20" s="32" t="s">
        <v>200</v>
      </c>
      <c r="J20" s="32"/>
      <c r="K20" s="29"/>
      <c r="L20" s="77"/>
      <c r="M20" s="41"/>
      <c r="N20" s="41" t="s">
        <v>48</v>
      </c>
      <c r="O20" s="51"/>
      <c r="P20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20" s="881">
        <f>IFERROR(Otras_Actividades_Base[[#This Row],[Económico $Corrientes]]/Otras_Actividades_Base[[#This Row],[Indexación Económico]],0)</f>
        <v>0</v>
      </c>
      <c r="R20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20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20" s="881">
        <f>IFERROR(Otras_Actividades_Base[[#This Row],[Financiero $Corrientes]]/Otras_Actividades_Base[[#This Row],[Indexación Financiero]],0)</f>
        <v>0</v>
      </c>
      <c r="U20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20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20" s="885">
        <f>IFERROR(Otras_Actividades_Base[[#This Row],[Intereses $Corrientes]]/Otras_Actividades_Base[[#This Row],[Indexación Financiero]],0)</f>
        <v>0</v>
      </c>
      <c r="X20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20" s="886" t="str">
        <f>IFERROR(INDEX(Otras_Actividades_Cuentas[],MATCH(Otras_Actividades_Base[[#This Row],[Cuenta Contable]],Otras_Actividades_Cuentas[Cuenta Contable],0),2),0)</f>
        <v>Egreso</v>
      </c>
      <c r="Z20" s="887" t="str">
        <f>IFERROR(INDEX(Tabla9[],MATCH(Otras_Actividades_Base[[#This Row],[Movimiento]],Tabla9[Movimientos],0),2),0)</f>
        <v>Si</v>
      </c>
      <c r="AA20" s="889" t="str">
        <f>IFERROR(INDEX(Tabla9[],MATCH(Otras_Actividades_Base[[#This Row],[Movimiento]],Tabla9[Movimientos],0),3),0)</f>
        <v>(-)</v>
      </c>
      <c r="AB20" s="884">
        <f>IF(Otras_Actividades_Base[[#This Row],[Fecha Económico]]=0,0,MONTH(Otras_Actividades_Base[[#This Row],[Fecha Económico]]))</f>
        <v>10</v>
      </c>
      <c r="AC20" s="890">
        <f>IF(Otras_Actividades_Base[[#This Row],[Fecha Económico]]=0,0,YEAR(Otras_Actividades_Base[[#This Row],[Fecha Económico]]))</f>
        <v>2018</v>
      </c>
      <c r="AD20" s="891">
        <f>SUMPRODUCT((Otras_Actividades_Base[[#This Row],[Mes Económico]]=Tipo_Cambio[Mes])*(Otras_Actividades_Base[[#This Row],[Año Económico]]=Tipo_Cambio[Año])*(Tipo_Cambio[$/U$S]))</f>
        <v>22.666622</v>
      </c>
      <c r="AE20" s="891">
        <f>SUMPRODUCT((Otras_Actividades_Base[[#This Row],[Mes Económico]]=Tipo_Cambio[Mes])*(Otras_Actividades_Base[[#This Row],[Año Económico]]=Tipo_Cambio[Año])*(Tipo_Cambio[Actualización]))</f>
        <v>1.0612079999999999</v>
      </c>
      <c r="AF20" s="890">
        <f>IF(ISNUMBER(Otras_Actividades_Base[[#This Row],[Fecha Financiero]])=TRUE,MONTH(Otras_Actividades_Base[[#This Row],[Fecha Financiero]]),0)</f>
        <v>0</v>
      </c>
      <c r="AG20" s="890">
        <f>IF(ISNUMBER(Otras_Actividades_Base[[#This Row],[Fecha Financiero]])=TRUE,YEAR(Otras_Actividades_Base[[#This Row],[Fecha Financiero]]),0)</f>
        <v>0</v>
      </c>
      <c r="AH20" s="891">
        <f>SUMPRODUCT((Otras_Actividades_Base[[#This Row],[Mes Financiero]]=Tipo_Cambio[Mes])*(Otras_Actividades_Base[[#This Row],[Año Financiero]]=Tipo_Cambio[Año])*(Tipo_Cambio[$/U$S]))</f>
        <v>0</v>
      </c>
      <c r="AI20" s="891">
        <f>SUMPRODUCT((Otras_Actividades_Base[[#This Row],[Mes Financiero]]=Tipo_Cambio[Mes])*(Otras_Actividades_Base[[#This Row],[Año Financiero]]=Tipo_Cambio[Año])*(Tipo_Cambio[Actualización]))</f>
        <v>0</v>
      </c>
      <c r="AJ20" s="887">
        <f>IF(Económico!$F$4=0,0,Otras_Actividades_Base[Centro de Costo])</f>
        <v>0</v>
      </c>
    </row>
    <row r="21" spans="4:36" x14ac:dyDescent="0.25">
      <c r="D21" s="42">
        <f t="shared" si="2"/>
        <v>43405</v>
      </c>
      <c r="E21" s="353"/>
      <c r="F21" s="988" t="str">
        <f t="shared" si="0"/>
        <v>2018-2019</v>
      </c>
      <c r="G21" s="32" t="s">
        <v>108</v>
      </c>
      <c r="H21" s="32"/>
      <c r="I21" s="32" t="s">
        <v>200</v>
      </c>
      <c r="J21" s="32"/>
      <c r="K21" s="29"/>
      <c r="L21" s="77"/>
      <c r="M21" s="41"/>
      <c r="N21" s="41" t="s">
        <v>48</v>
      </c>
      <c r="O21" s="51"/>
      <c r="P21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21" s="881">
        <f>IFERROR(Otras_Actividades_Base[[#This Row],[Económico $Corrientes]]/Otras_Actividades_Base[[#This Row],[Indexación Económico]],0)</f>
        <v>0</v>
      </c>
      <c r="R21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21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21" s="881">
        <f>IFERROR(Otras_Actividades_Base[[#This Row],[Financiero $Corrientes]]/Otras_Actividades_Base[[#This Row],[Indexación Financiero]],0)</f>
        <v>0</v>
      </c>
      <c r="U21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21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21" s="885">
        <f>IFERROR(Otras_Actividades_Base[[#This Row],[Intereses $Corrientes]]/Otras_Actividades_Base[[#This Row],[Indexación Financiero]],0)</f>
        <v>0</v>
      </c>
      <c r="X21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21" s="886" t="str">
        <f>IFERROR(INDEX(Otras_Actividades_Cuentas[],MATCH(Otras_Actividades_Base[[#This Row],[Cuenta Contable]],Otras_Actividades_Cuentas[Cuenta Contable],0),2),0)</f>
        <v>Egreso</v>
      </c>
      <c r="Z21" s="887" t="str">
        <f>IFERROR(INDEX(Tabla9[],MATCH(Otras_Actividades_Base[[#This Row],[Movimiento]],Tabla9[Movimientos],0),2),0)</f>
        <v>Si</v>
      </c>
      <c r="AA21" s="889" t="str">
        <f>IFERROR(INDEX(Tabla9[],MATCH(Otras_Actividades_Base[[#This Row],[Movimiento]],Tabla9[Movimientos],0),3),0)</f>
        <v>(-)</v>
      </c>
      <c r="AB21" s="884">
        <f>IF(Otras_Actividades_Base[[#This Row],[Fecha Económico]]=0,0,MONTH(Otras_Actividades_Base[[#This Row],[Fecha Económico]]))</f>
        <v>11</v>
      </c>
      <c r="AC21" s="890">
        <f>IF(Otras_Actividades_Base[[#This Row],[Fecha Económico]]=0,0,YEAR(Otras_Actividades_Base[[#This Row],[Fecha Económico]]))</f>
        <v>2018</v>
      </c>
      <c r="AD21" s="891">
        <f>SUMPRODUCT((Otras_Actividades_Base[[#This Row],[Mes Económico]]=Tipo_Cambio[Mes])*(Otras_Actividades_Base[[#This Row],[Año Económico]]=Tipo_Cambio[Año])*(Tipo_Cambio[$/U$S]))</f>
        <v>22.893288219999999</v>
      </c>
      <c r="AE21" s="891">
        <f>SUMPRODUCT((Otras_Actividades_Base[[#This Row],[Mes Económico]]=Tipo_Cambio[Mes])*(Otras_Actividades_Base[[#This Row],[Año Económico]]=Tipo_Cambio[Año])*(Tipo_Cambio[Actualización]))</f>
        <v>1.08243216</v>
      </c>
      <c r="AF21" s="890">
        <f>IF(ISNUMBER(Otras_Actividades_Base[[#This Row],[Fecha Financiero]])=TRUE,MONTH(Otras_Actividades_Base[[#This Row],[Fecha Financiero]]),0)</f>
        <v>0</v>
      </c>
      <c r="AG21" s="890">
        <f>IF(ISNUMBER(Otras_Actividades_Base[[#This Row],[Fecha Financiero]])=TRUE,YEAR(Otras_Actividades_Base[[#This Row],[Fecha Financiero]]),0)</f>
        <v>0</v>
      </c>
      <c r="AH21" s="891">
        <f>SUMPRODUCT((Otras_Actividades_Base[[#This Row],[Mes Financiero]]=Tipo_Cambio[Mes])*(Otras_Actividades_Base[[#This Row],[Año Financiero]]=Tipo_Cambio[Año])*(Tipo_Cambio[$/U$S]))</f>
        <v>0</v>
      </c>
      <c r="AI21" s="891">
        <f>SUMPRODUCT((Otras_Actividades_Base[[#This Row],[Mes Financiero]]=Tipo_Cambio[Mes])*(Otras_Actividades_Base[[#This Row],[Año Financiero]]=Tipo_Cambio[Año])*(Tipo_Cambio[Actualización]))</f>
        <v>0</v>
      </c>
      <c r="AJ21" s="887">
        <f>IF(Económico!$F$4=0,0,Otras_Actividades_Base[Centro de Costo])</f>
        <v>0</v>
      </c>
    </row>
    <row r="22" spans="4:36" x14ac:dyDescent="0.25">
      <c r="D22" s="42">
        <f t="shared" si="2"/>
        <v>43435</v>
      </c>
      <c r="E22" s="353"/>
      <c r="F22" s="988" t="str">
        <f t="shared" si="0"/>
        <v>2018-2019</v>
      </c>
      <c r="G22" s="32" t="s">
        <v>108</v>
      </c>
      <c r="H22" s="32"/>
      <c r="I22" s="32" t="s">
        <v>200</v>
      </c>
      <c r="J22" s="32"/>
      <c r="K22" s="29"/>
      <c r="L22" s="77"/>
      <c r="M22" s="41"/>
      <c r="N22" s="41" t="s">
        <v>48</v>
      </c>
      <c r="O22" s="51"/>
      <c r="P22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22" s="881">
        <f>IFERROR(Otras_Actividades_Base[[#This Row],[Económico $Corrientes]]/Otras_Actividades_Base[[#This Row],[Indexación Económico]],0)</f>
        <v>0</v>
      </c>
      <c r="R22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22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22" s="881">
        <f>IFERROR(Otras_Actividades_Base[[#This Row],[Financiero $Corrientes]]/Otras_Actividades_Base[[#This Row],[Indexación Financiero]],0)</f>
        <v>0</v>
      </c>
      <c r="U22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22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22" s="885">
        <f>IFERROR(Otras_Actividades_Base[[#This Row],[Intereses $Corrientes]]/Otras_Actividades_Base[[#This Row],[Indexación Financiero]],0)</f>
        <v>0</v>
      </c>
      <c r="X22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22" s="886" t="str">
        <f>IFERROR(INDEX(Otras_Actividades_Cuentas[],MATCH(Otras_Actividades_Base[[#This Row],[Cuenta Contable]],Otras_Actividades_Cuentas[Cuenta Contable],0),2),0)</f>
        <v>Egreso</v>
      </c>
      <c r="Z22" s="887" t="str">
        <f>IFERROR(INDEX(Tabla9[],MATCH(Otras_Actividades_Base[[#This Row],[Movimiento]],Tabla9[Movimientos],0),2),0)</f>
        <v>Si</v>
      </c>
      <c r="AA22" s="889" t="str">
        <f>IFERROR(INDEX(Tabla9[],MATCH(Otras_Actividades_Base[[#This Row],[Movimiento]],Tabla9[Movimientos],0),3),0)</f>
        <v>(-)</v>
      </c>
      <c r="AB22" s="884">
        <f>IF(Otras_Actividades_Base[[#This Row],[Fecha Económico]]=0,0,MONTH(Otras_Actividades_Base[[#This Row],[Fecha Económico]]))</f>
        <v>12</v>
      </c>
      <c r="AC22" s="890">
        <f>IF(Otras_Actividades_Base[[#This Row],[Fecha Económico]]=0,0,YEAR(Otras_Actividades_Base[[#This Row],[Fecha Económico]]))</f>
        <v>2018</v>
      </c>
      <c r="AD22" s="891">
        <f>SUMPRODUCT((Otras_Actividades_Base[[#This Row],[Mes Económico]]=Tipo_Cambio[Mes])*(Otras_Actividades_Base[[#This Row],[Año Económico]]=Tipo_Cambio[Año])*(Tipo_Cambio[$/U$S]))</f>
        <v>23.122221102199997</v>
      </c>
      <c r="AE22" s="891">
        <f>SUMPRODUCT((Otras_Actividades_Base[[#This Row],[Mes Económico]]=Tipo_Cambio[Mes])*(Otras_Actividades_Base[[#This Row],[Año Económico]]=Tipo_Cambio[Año])*(Tipo_Cambio[Actualización]))</f>
        <v>1.1040808032</v>
      </c>
      <c r="AF22" s="890">
        <f>IF(ISNUMBER(Otras_Actividades_Base[[#This Row],[Fecha Financiero]])=TRUE,MONTH(Otras_Actividades_Base[[#This Row],[Fecha Financiero]]),0)</f>
        <v>0</v>
      </c>
      <c r="AG22" s="890">
        <f>IF(ISNUMBER(Otras_Actividades_Base[[#This Row],[Fecha Financiero]])=TRUE,YEAR(Otras_Actividades_Base[[#This Row],[Fecha Financiero]]),0)</f>
        <v>0</v>
      </c>
      <c r="AH22" s="891">
        <f>SUMPRODUCT((Otras_Actividades_Base[[#This Row],[Mes Financiero]]=Tipo_Cambio[Mes])*(Otras_Actividades_Base[[#This Row],[Año Financiero]]=Tipo_Cambio[Año])*(Tipo_Cambio[$/U$S]))</f>
        <v>0</v>
      </c>
      <c r="AI22" s="891">
        <f>SUMPRODUCT((Otras_Actividades_Base[[#This Row],[Mes Financiero]]=Tipo_Cambio[Mes])*(Otras_Actividades_Base[[#This Row],[Año Financiero]]=Tipo_Cambio[Año])*(Tipo_Cambio[Actualización]))</f>
        <v>0</v>
      </c>
      <c r="AJ22" s="887">
        <f>IF(Económico!$F$4=0,0,Otras_Actividades_Base[Centro de Costo])</f>
        <v>0</v>
      </c>
    </row>
    <row r="23" spans="4:36" x14ac:dyDescent="0.25">
      <c r="D23" s="42">
        <f t="shared" si="2"/>
        <v>43466</v>
      </c>
      <c r="E23" s="353"/>
      <c r="F23" s="988" t="str">
        <f t="shared" si="0"/>
        <v>2018-2019</v>
      </c>
      <c r="G23" s="32" t="s">
        <v>108</v>
      </c>
      <c r="H23" s="32"/>
      <c r="I23" s="32" t="s">
        <v>200</v>
      </c>
      <c r="J23" s="32"/>
      <c r="K23" s="29"/>
      <c r="L23" s="77"/>
      <c r="M23" s="41"/>
      <c r="N23" s="41" t="s">
        <v>48</v>
      </c>
      <c r="O23" s="51"/>
      <c r="P23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23" s="881">
        <f>IFERROR(Otras_Actividades_Base[[#This Row],[Económico $Corrientes]]/Otras_Actividades_Base[[#This Row],[Indexación Económico]],0)</f>
        <v>0</v>
      </c>
      <c r="R23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23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23" s="881">
        <f>IFERROR(Otras_Actividades_Base[[#This Row],[Financiero $Corrientes]]/Otras_Actividades_Base[[#This Row],[Indexación Financiero]],0)</f>
        <v>0</v>
      </c>
      <c r="U23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23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23" s="885">
        <f>IFERROR(Otras_Actividades_Base[[#This Row],[Intereses $Corrientes]]/Otras_Actividades_Base[[#This Row],[Indexación Financiero]],0)</f>
        <v>0</v>
      </c>
      <c r="X23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23" s="886" t="str">
        <f>IFERROR(INDEX(Otras_Actividades_Cuentas[],MATCH(Otras_Actividades_Base[[#This Row],[Cuenta Contable]],Otras_Actividades_Cuentas[Cuenta Contable],0),2),0)</f>
        <v>Egreso</v>
      </c>
      <c r="Z23" s="887" t="str">
        <f>IFERROR(INDEX(Tabla9[],MATCH(Otras_Actividades_Base[[#This Row],[Movimiento]],Tabla9[Movimientos],0),2),0)</f>
        <v>Si</v>
      </c>
      <c r="AA23" s="889" t="str">
        <f>IFERROR(INDEX(Tabla9[],MATCH(Otras_Actividades_Base[[#This Row],[Movimiento]],Tabla9[Movimientos],0),3),0)</f>
        <v>(-)</v>
      </c>
      <c r="AB23" s="884">
        <f>IF(Otras_Actividades_Base[[#This Row],[Fecha Económico]]=0,0,MONTH(Otras_Actividades_Base[[#This Row],[Fecha Económico]]))</f>
        <v>1</v>
      </c>
      <c r="AC23" s="890">
        <f>IF(Otras_Actividades_Base[[#This Row],[Fecha Económico]]=0,0,YEAR(Otras_Actividades_Base[[#This Row],[Fecha Económico]]))</f>
        <v>2019</v>
      </c>
      <c r="AD23" s="891">
        <f>SUMPRODUCT((Otras_Actividades_Base[[#This Row],[Mes Económico]]=Tipo_Cambio[Mes])*(Otras_Actividades_Base[[#This Row],[Año Económico]]=Tipo_Cambio[Año])*(Tipo_Cambio[$/U$S]))</f>
        <v>23.353443313221998</v>
      </c>
      <c r="AE23" s="891">
        <f>SUMPRODUCT((Otras_Actividades_Base[[#This Row],[Mes Económico]]=Tipo_Cambio[Mes])*(Otras_Actividades_Base[[#This Row],[Año Económico]]=Tipo_Cambio[Año])*(Tipo_Cambio[Actualización]))</f>
        <v>1.1261624192640001</v>
      </c>
      <c r="AF23" s="890">
        <f>IF(ISNUMBER(Otras_Actividades_Base[[#This Row],[Fecha Financiero]])=TRUE,MONTH(Otras_Actividades_Base[[#This Row],[Fecha Financiero]]),0)</f>
        <v>0</v>
      </c>
      <c r="AG23" s="890">
        <f>IF(ISNUMBER(Otras_Actividades_Base[[#This Row],[Fecha Financiero]])=TRUE,YEAR(Otras_Actividades_Base[[#This Row],[Fecha Financiero]]),0)</f>
        <v>0</v>
      </c>
      <c r="AH23" s="891">
        <f>SUMPRODUCT((Otras_Actividades_Base[[#This Row],[Mes Financiero]]=Tipo_Cambio[Mes])*(Otras_Actividades_Base[[#This Row],[Año Financiero]]=Tipo_Cambio[Año])*(Tipo_Cambio[$/U$S]))</f>
        <v>0</v>
      </c>
      <c r="AI23" s="891">
        <f>SUMPRODUCT((Otras_Actividades_Base[[#This Row],[Mes Financiero]]=Tipo_Cambio[Mes])*(Otras_Actividades_Base[[#This Row],[Año Financiero]]=Tipo_Cambio[Año])*(Tipo_Cambio[Actualización]))</f>
        <v>0</v>
      </c>
      <c r="AJ23" s="887">
        <f>IF(Económico!$F$4=0,0,Otras_Actividades_Base[Centro de Costo])</f>
        <v>0</v>
      </c>
    </row>
    <row r="24" spans="4:36" x14ac:dyDescent="0.25">
      <c r="D24" s="42">
        <f t="shared" si="2"/>
        <v>43497</v>
      </c>
      <c r="E24" s="353"/>
      <c r="F24" s="988" t="str">
        <f t="shared" si="0"/>
        <v>2018-2019</v>
      </c>
      <c r="G24" s="32" t="s">
        <v>108</v>
      </c>
      <c r="H24" s="32"/>
      <c r="I24" s="32" t="s">
        <v>200</v>
      </c>
      <c r="J24" s="32"/>
      <c r="K24" s="29"/>
      <c r="L24" s="77"/>
      <c r="M24" s="41"/>
      <c r="N24" s="41" t="s">
        <v>48</v>
      </c>
      <c r="O24" s="51"/>
      <c r="P24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24" s="913">
        <f>IFERROR(Otras_Actividades_Base[[#This Row],[Económico $Corrientes]]/Otras_Actividades_Base[[#This Row],[Indexación Económico]],0)</f>
        <v>0</v>
      </c>
      <c r="R24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24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24" s="913">
        <f>IFERROR(Otras_Actividades_Base[[#This Row],[Financiero $Corrientes]]/Otras_Actividades_Base[[#This Row],[Indexación Financiero]],0)</f>
        <v>0</v>
      </c>
      <c r="U24" s="88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24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24" s="885">
        <f>IFERROR(Otras_Actividades_Base[[#This Row],[Intereses $Corrientes]]/Otras_Actividades_Base[[#This Row],[Indexación Financiero]],0)</f>
        <v>0</v>
      </c>
      <c r="X24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24" s="886" t="str">
        <f>IFERROR(INDEX(Otras_Actividades_Cuentas[],MATCH(Otras_Actividades_Base[[#This Row],[Cuenta Contable]],Otras_Actividades_Cuentas[Cuenta Contable],0),2),0)</f>
        <v>Egreso</v>
      </c>
      <c r="Z24" s="887" t="str">
        <f>IFERROR(INDEX(Tabla9[],MATCH(Otras_Actividades_Base[[#This Row],[Movimiento]],Tabla9[Movimientos],0),2),0)</f>
        <v>Si</v>
      </c>
      <c r="AA24" s="889" t="str">
        <f>IFERROR(INDEX(Tabla9[],MATCH(Otras_Actividades_Base[[#This Row],[Movimiento]],Tabla9[Movimientos],0),3),0)</f>
        <v>(-)</v>
      </c>
      <c r="AB24" s="884">
        <f>IF(Otras_Actividades_Base[[#This Row],[Fecha Económico]]=0,0,MONTH(Otras_Actividades_Base[[#This Row],[Fecha Económico]]))</f>
        <v>2</v>
      </c>
      <c r="AC24" s="890">
        <f>IF(Otras_Actividades_Base[[#This Row],[Fecha Económico]]=0,0,YEAR(Otras_Actividades_Base[[#This Row],[Fecha Económico]]))</f>
        <v>2019</v>
      </c>
      <c r="AD24" s="891">
        <f>SUMPRODUCT((Otras_Actividades_Base[[#This Row],[Mes Económico]]=Tipo_Cambio[Mes])*(Otras_Actividades_Base[[#This Row],[Año Económico]]=Tipo_Cambio[Año])*(Tipo_Cambio[$/U$S]))</f>
        <v>23.586977746354219</v>
      </c>
      <c r="AE24" s="891">
        <f>SUMPRODUCT((Otras_Actividades_Base[[#This Row],[Mes Económico]]=Tipo_Cambio[Mes])*(Otras_Actividades_Base[[#This Row],[Año Económico]]=Tipo_Cambio[Año])*(Tipo_Cambio[Actualización]))</f>
        <v>1.14868566764928</v>
      </c>
      <c r="AF24" s="890">
        <f>IF(ISNUMBER(Otras_Actividades_Base[[#This Row],[Fecha Financiero]])=TRUE,MONTH(Otras_Actividades_Base[[#This Row],[Fecha Financiero]]),0)</f>
        <v>0</v>
      </c>
      <c r="AG24" s="890">
        <f>IF(ISNUMBER(Otras_Actividades_Base[[#This Row],[Fecha Financiero]])=TRUE,YEAR(Otras_Actividades_Base[[#This Row],[Fecha Financiero]]),0)</f>
        <v>0</v>
      </c>
      <c r="AH24" s="891">
        <f>SUMPRODUCT((Otras_Actividades_Base[[#This Row],[Mes Financiero]]=Tipo_Cambio[Mes])*(Otras_Actividades_Base[[#This Row],[Año Financiero]]=Tipo_Cambio[Año])*(Tipo_Cambio[$/U$S]))</f>
        <v>0</v>
      </c>
      <c r="AI24" s="891">
        <f>SUMPRODUCT((Otras_Actividades_Base[[#This Row],[Mes Financiero]]=Tipo_Cambio[Mes])*(Otras_Actividades_Base[[#This Row],[Año Financiero]]=Tipo_Cambio[Año])*(Tipo_Cambio[Actualización]))</f>
        <v>0</v>
      </c>
      <c r="AJ24" s="887">
        <f>IF(Económico!$F$4=0,0,Otras_Actividades_Base[Centro de Costo])</f>
        <v>0</v>
      </c>
    </row>
    <row r="25" spans="4:36" x14ac:dyDescent="0.25">
      <c r="D25" s="42">
        <f t="shared" si="2"/>
        <v>43525</v>
      </c>
      <c r="E25" s="353"/>
      <c r="F25" s="988" t="str">
        <f t="shared" si="0"/>
        <v>2018-2019</v>
      </c>
      <c r="G25" s="32" t="s">
        <v>108</v>
      </c>
      <c r="H25" s="32"/>
      <c r="I25" s="32" t="s">
        <v>200</v>
      </c>
      <c r="J25" s="32"/>
      <c r="K25" s="29"/>
      <c r="L25" s="77"/>
      <c r="M25" s="41"/>
      <c r="N25" s="41" t="s">
        <v>48</v>
      </c>
      <c r="O25" s="51"/>
      <c r="P25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25" s="913">
        <f>IFERROR(Otras_Actividades_Base[[#This Row],[Económico $Corrientes]]/Otras_Actividades_Base[[#This Row],[Indexación Económico]],0)</f>
        <v>0</v>
      </c>
      <c r="R25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25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25" s="913">
        <f>IFERROR(Otras_Actividades_Base[[#This Row],[Financiero $Corrientes]]/Otras_Actividades_Base[[#This Row],[Indexación Financiero]],0)</f>
        <v>0</v>
      </c>
      <c r="U25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25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25" s="885">
        <f>IFERROR(Otras_Actividades_Base[[#This Row],[Intereses $Corrientes]]/Otras_Actividades_Base[[#This Row],[Indexación Financiero]],0)</f>
        <v>0</v>
      </c>
      <c r="X25" s="885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25" s="915" t="str">
        <f>IFERROR(INDEX(Otras_Actividades_Cuentas[],MATCH(Otras_Actividades_Base[[#This Row],[Cuenta Contable]],Otras_Actividades_Cuentas[Cuenta Contable],0),2),0)</f>
        <v>Egreso</v>
      </c>
      <c r="Z25" s="887" t="str">
        <f>IFERROR(INDEX(Tabla9[],MATCH(Otras_Actividades_Base[[#This Row],[Movimiento]],Tabla9[Movimientos],0),2),0)</f>
        <v>Si</v>
      </c>
      <c r="AA25" s="889" t="str">
        <f>IFERROR(INDEX(Tabla9[],MATCH(Otras_Actividades_Base[[#This Row],[Movimiento]],Tabla9[Movimientos],0),3),0)</f>
        <v>(-)</v>
      </c>
      <c r="AB25" s="884">
        <f>IF(Otras_Actividades_Base[[#This Row],[Fecha Económico]]=0,0,MONTH(Otras_Actividades_Base[[#This Row],[Fecha Económico]]))</f>
        <v>3</v>
      </c>
      <c r="AC25" s="890">
        <f>IF(Otras_Actividades_Base[[#This Row],[Fecha Económico]]=0,0,YEAR(Otras_Actividades_Base[[#This Row],[Fecha Económico]]))</f>
        <v>2019</v>
      </c>
      <c r="AD25" s="891">
        <f>SUMPRODUCT((Otras_Actividades_Base[[#This Row],[Mes Económico]]=Tipo_Cambio[Mes])*(Otras_Actividades_Base[[#This Row],[Año Económico]]=Tipo_Cambio[Año])*(Tipo_Cambio[$/U$S]))</f>
        <v>23.82284752381776</v>
      </c>
      <c r="AE25" s="891">
        <f>SUMPRODUCT((Otras_Actividades_Base[[#This Row],[Mes Económico]]=Tipo_Cambio[Mes])*(Otras_Actividades_Base[[#This Row],[Año Económico]]=Tipo_Cambio[Año])*(Tipo_Cambio[Actualización]))</f>
        <v>1.1716593810022657</v>
      </c>
      <c r="AF25" s="890">
        <f>IF(ISNUMBER(Otras_Actividades_Base[[#This Row],[Fecha Financiero]])=TRUE,MONTH(Otras_Actividades_Base[[#This Row],[Fecha Financiero]]),0)</f>
        <v>0</v>
      </c>
      <c r="AG25" s="890">
        <f>IF(ISNUMBER(Otras_Actividades_Base[[#This Row],[Fecha Financiero]])=TRUE,YEAR(Otras_Actividades_Base[[#This Row],[Fecha Financiero]]),0)</f>
        <v>0</v>
      </c>
      <c r="AH25" s="891">
        <f>SUMPRODUCT((Otras_Actividades_Base[[#This Row],[Mes Financiero]]=Tipo_Cambio[Mes])*(Otras_Actividades_Base[[#This Row],[Año Financiero]]=Tipo_Cambio[Año])*(Tipo_Cambio[$/U$S]))</f>
        <v>0</v>
      </c>
      <c r="AI25" s="891">
        <f>SUMPRODUCT((Otras_Actividades_Base[[#This Row],[Mes Financiero]]=Tipo_Cambio[Mes])*(Otras_Actividades_Base[[#This Row],[Año Financiero]]=Tipo_Cambio[Año])*(Tipo_Cambio[Actualización]))</f>
        <v>0</v>
      </c>
      <c r="AJ25" s="916">
        <f>IF(Económico!$F$4=0,0,Otras_Actividades_Base[Centro de Costo])</f>
        <v>0</v>
      </c>
    </row>
    <row r="26" spans="4:36" x14ac:dyDescent="0.25">
      <c r="D26" s="42">
        <f t="shared" si="2"/>
        <v>43556</v>
      </c>
      <c r="E26" s="353"/>
      <c r="F26" s="988" t="str">
        <f t="shared" si="0"/>
        <v>2018-2019</v>
      </c>
      <c r="G26" s="32" t="s">
        <v>108</v>
      </c>
      <c r="H26" s="32"/>
      <c r="I26" s="32" t="s">
        <v>200</v>
      </c>
      <c r="J26" s="32"/>
      <c r="K26" s="29"/>
      <c r="L26" s="77"/>
      <c r="M26" s="41"/>
      <c r="N26" s="41" t="s">
        <v>48</v>
      </c>
      <c r="O26" s="51"/>
      <c r="P26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26" s="913">
        <f>IFERROR(Otras_Actividades_Base[[#This Row],[Económico $Corrientes]]/Otras_Actividades_Base[[#This Row],[Indexación Económico]],0)</f>
        <v>0</v>
      </c>
      <c r="R26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26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26" s="913">
        <f>IFERROR(Otras_Actividades_Base[[#This Row],[Financiero $Corrientes]]/Otras_Actividades_Base[[#This Row],[Indexación Financiero]],0)</f>
        <v>0</v>
      </c>
      <c r="U26" s="913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26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26" s="890">
        <f>IFERROR(Otras_Actividades_Base[[#This Row],[Intereses $Corrientes]]/Otras_Actividades_Base[[#This Row],[Indexación Financiero]],0)</f>
        <v>0</v>
      </c>
      <c r="X26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26" s="886" t="str">
        <f>IFERROR(INDEX(Otras_Actividades_Cuentas[],MATCH(Otras_Actividades_Base[[#This Row],[Cuenta Contable]],Otras_Actividades_Cuentas[Cuenta Contable],0),2),0)</f>
        <v>Egreso</v>
      </c>
      <c r="Z26" s="887" t="str">
        <f>IFERROR(INDEX(Tabla9[],MATCH(Otras_Actividades_Base[[#This Row],[Movimiento]],Tabla9[Movimientos],0),2),0)</f>
        <v>Si</v>
      </c>
      <c r="AA26" s="889" t="str">
        <f>IFERROR(INDEX(Tabla9[],MATCH(Otras_Actividades_Base[[#This Row],[Movimiento]],Tabla9[Movimientos],0),3),0)</f>
        <v>(-)</v>
      </c>
      <c r="AB26" s="884">
        <f>IF(Otras_Actividades_Base[[#This Row],[Fecha Económico]]=0,0,MONTH(Otras_Actividades_Base[[#This Row],[Fecha Económico]]))</f>
        <v>4</v>
      </c>
      <c r="AC26" s="890">
        <f>IF(Otras_Actividades_Base[[#This Row],[Fecha Económico]]=0,0,YEAR(Otras_Actividades_Base[[#This Row],[Fecha Económico]]))</f>
        <v>2019</v>
      </c>
      <c r="AD26" s="891">
        <f>SUMPRODUCT((Otras_Actividades_Base[[#This Row],[Mes Económico]]=Tipo_Cambio[Mes])*(Otras_Actividades_Base[[#This Row],[Año Económico]]=Tipo_Cambio[Año])*(Tipo_Cambio[$/U$S]))</f>
        <v>24.061075999055937</v>
      </c>
      <c r="AE26" s="891">
        <f>SUMPRODUCT((Otras_Actividades_Base[[#This Row],[Mes Económico]]=Tipo_Cambio[Mes])*(Otras_Actividades_Base[[#This Row],[Año Económico]]=Tipo_Cambio[Año])*(Tipo_Cambio[Actualización]))</f>
        <v>1.1950925686223111</v>
      </c>
      <c r="AF26" s="890">
        <f>IF(ISNUMBER(Otras_Actividades_Base[[#This Row],[Fecha Financiero]])=TRUE,MONTH(Otras_Actividades_Base[[#This Row],[Fecha Financiero]]),0)</f>
        <v>0</v>
      </c>
      <c r="AG26" s="890">
        <f>IF(ISNUMBER(Otras_Actividades_Base[[#This Row],[Fecha Financiero]])=TRUE,YEAR(Otras_Actividades_Base[[#This Row],[Fecha Financiero]]),0)</f>
        <v>0</v>
      </c>
      <c r="AH26" s="891">
        <f>SUMPRODUCT((Otras_Actividades_Base[[#This Row],[Mes Financiero]]=Tipo_Cambio[Mes])*(Otras_Actividades_Base[[#This Row],[Año Financiero]]=Tipo_Cambio[Año])*(Tipo_Cambio[$/U$S]))</f>
        <v>0</v>
      </c>
      <c r="AI26" s="891">
        <f>SUMPRODUCT((Otras_Actividades_Base[[#This Row],[Mes Financiero]]=Tipo_Cambio[Mes])*(Otras_Actividades_Base[[#This Row],[Año Financiero]]=Tipo_Cambio[Año])*(Tipo_Cambio[Actualización]))</f>
        <v>0</v>
      </c>
      <c r="AJ26" s="887">
        <f>IF(Económico!$F$4=0,0,Otras_Actividades_Base[Centro de Costo])</f>
        <v>0</v>
      </c>
    </row>
    <row r="27" spans="4:36" x14ac:dyDescent="0.25">
      <c r="D27" s="42">
        <f t="shared" si="2"/>
        <v>43586</v>
      </c>
      <c r="E27" s="353"/>
      <c r="F27" s="988" t="str">
        <f t="shared" si="0"/>
        <v>2018-2019</v>
      </c>
      <c r="G27" s="32" t="s">
        <v>108</v>
      </c>
      <c r="H27" s="32"/>
      <c r="I27" s="32" t="s">
        <v>200</v>
      </c>
      <c r="J27" s="32"/>
      <c r="K27" s="29"/>
      <c r="L27" s="77"/>
      <c r="M27" s="41"/>
      <c r="N27" s="41" t="s">
        <v>48</v>
      </c>
      <c r="O27" s="51"/>
      <c r="P27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27" s="913">
        <f>IFERROR(Otras_Actividades_Base[[#This Row],[Económico $Corrientes]]/Otras_Actividades_Base[[#This Row],[Indexación Económico]],0)</f>
        <v>0</v>
      </c>
      <c r="R27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27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27" s="913">
        <f>IFERROR(Otras_Actividades_Base[[#This Row],[Financiero $Corrientes]]/Otras_Actividades_Base[[#This Row],[Indexación Financiero]],0)</f>
        <v>0</v>
      </c>
      <c r="U27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27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27" s="890">
        <f>IFERROR(Otras_Actividades_Base[[#This Row],[Intereses $Corrientes]]/Otras_Actividades_Base[[#This Row],[Indexación Financiero]],0)</f>
        <v>0</v>
      </c>
      <c r="X27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27" s="915" t="str">
        <f>IFERROR(INDEX(Otras_Actividades_Cuentas[],MATCH(Otras_Actividades_Base[[#This Row],[Cuenta Contable]],Otras_Actividades_Cuentas[Cuenta Contable],0),2),0)</f>
        <v>Egreso</v>
      </c>
      <c r="Z27" s="887" t="str">
        <f>IFERROR(INDEX(Tabla9[],MATCH(Otras_Actividades_Base[[#This Row],[Movimiento]],Tabla9[Movimientos],0),2),0)</f>
        <v>Si</v>
      </c>
      <c r="AA27" s="889" t="str">
        <f>IFERROR(INDEX(Tabla9[],MATCH(Otras_Actividades_Base[[#This Row],[Movimiento]],Tabla9[Movimientos],0),3),0)</f>
        <v>(-)</v>
      </c>
      <c r="AB27" s="884">
        <f>IF(Otras_Actividades_Base[[#This Row],[Fecha Económico]]=0,0,MONTH(Otras_Actividades_Base[[#This Row],[Fecha Económico]]))</f>
        <v>5</v>
      </c>
      <c r="AC27" s="890">
        <f>IF(Otras_Actividades_Base[[#This Row],[Fecha Económico]]=0,0,YEAR(Otras_Actividades_Base[[#This Row],[Fecha Económico]]))</f>
        <v>2019</v>
      </c>
      <c r="AD27" s="891">
        <f>SUMPRODUCT((Otras_Actividades_Base[[#This Row],[Mes Económico]]=Tipo_Cambio[Mes])*(Otras_Actividades_Base[[#This Row],[Año Económico]]=Tipo_Cambio[Año])*(Tipo_Cambio[$/U$S]))</f>
        <v>24.301686759046497</v>
      </c>
      <c r="AE27" s="891">
        <f>SUMPRODUCT((Otras_Actividades_Base[[#This Row],[Mes Económico]]=Tipo_Cambio[Mes])*(Otras_Actividades_Base[[#This Row],[Año Económico]]=Tipo_Cambio[Año])*(Tipo_Cambio[Actualización]))</f>
        <v>1.2189944199947573</v>
      </c>
      <c r="AF27" s="890">
        <f>IF(ISNUMBER(Otras_Actividades_Base[[#This Row],[Fecha Financiero]])=TRUE,MONTH(Otras_Actividades_Base[[#This Row],[Fecha Financiero]]),0)</f>
        <v>0</v>
      </c>
      <c r="AG27" s="890">
        <f>IF(ISNUMBER(Otras_Actividades_Base[[#This Row],[Fecha Financiero]])=TRUE,YEAR(Otras_Actividades_Base[[#This Row],[Fecha Financiero]]),0)</f>
        <v>0</v>
      </c>
      <c r="AH27" s="891">
        <f>SUMPRODUCT((Otras_Actividades_Base[[#This Row],[Mes Financiero]]=Tipo_Cambio[Mes])*(Otras_Actividades_Base[[#This Row],[Año Financiero]]=Tipo_Cambio[Año])*(Tipo_Cambio[$/U$S]))</f>
        <v>0</v>
      </c>
      <c r="AI27" s="891">
        <f>SUMPRODUCT((Otras_Actividades_Base[[#This Row],[Mes Financiero]]=Tipo_Cambio[Mes])*(Otras_Actividades_Base[[#This Row],[Año Financiero]]=Tipo_Cambio[Año])*(Tipo_Cambio[Actualización]))</f>
        <v>0</v>
      </c>
      <c r="AJ27" s="916">
        <f>IF(Económico!$F$4=0,0,Otras_Actividades_Base[Centro de Costo])</f>
        <v>0</v>
      </c>
    </row>
    <row r="28" spans="4:36" x14ac:dyDescent="0.25">
      <c r="D28" s="42">
        <f t="shared" si="2"/>
        <v>43617</v>
      </c>
      <c r="E28" s="353"/>
      <c r="F28" s="988" t="str">
        <f t="shared" si="0"/>
        <v>2018-2019</v>
      </c>
      <c r="G28" s="32" t="s">
        <v>108</v>
      </c>
      <c r="H28" s="32"/>
      <c r="I28" s="32" t="s">
        <v>200</v>
      </c>
      <c r="J28" s="32"/>
      <c r="K28" s="29"/>
      <c r="L28" s="77"/>
      <c r="M28" s="41"/>
      <c r="N28" s="41" t="s">
        <v>48</v>
      </c>
      <c r="O28" s="51"/>
      <c r="P28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28" s="913">
        <f>IFERROR(Otras_Actividades_Base[[#This Row],[Económico $Corrientes]]/Otras_Actividades_Base[[#This Row],[Indexación Económico]],0)</f>
        <v>0</v>
      </c>
      <c r="R28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28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28" s="913">
        <f>IFERROR(Otras_Actividades_Base[[#This Row],[Financiero $Corrientes]]/Otras_Actividades_Base[[#This Row],[Indexación Financiero]],0)</f>
        <v>0</v>
      </c>
      <c r="U28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28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28" s="890">
        <f>IFERROR(Otras_Actividades_Base[[#This Row],[Intereses $Corrientes]]/Otras_Actividades_Base[[#This Row],[Indexación Financiero]],0)</f>
        <v>0</v>
      </c>
      <c r="X28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28" s="915" t="str">
        <f>IFERROR(INDEX(Otras_Actividades_Cuentas[],MATCH(Otras_Actividades_Base[[#This Row],[Cuenta Contable]],Otras_Actividades_Cuentas[Cuenta Contable],0),2),0)</f>
        <v>Egreso</v>
      </c>
      <c r="Z28" s="887" t="str">
        <f>IFERROR(INDEX(Tabla9[],MATCH(Otras_Actividades_Base[[#This Row],[Movimiento]],Tabla9[Movimientos],0),2),0)</f>
        <v>Si</v>
      </c>
      <c r="AA28" s="889" t="str">
        <f>IFERROR(INDEX(Tabla9[],MATCH(Otras_Actividades_Base[[#This Row],[Movimiento]],Tabla9[Movimientos],0),3),0)</f>
        <v>(-)</v>
      </c>
      <c r="AB28" s="884">
        <f>IF(Otras_Actividades_Base[[#This Row],[Fecha Económico]]=0,0,MONTH(Otras_Actividades_Base[[#This Row],[Fecha Económico]]))</f>
        <v>6</v>
      </c>
      <c r="AC28" s="890">
        <f>IF(Otras_Actividades_Base[[#This Row],[Fecha Económico]]=0,0,YEAR(Otras_Actividades_Base[[#This Row],[Fecha Económico]]))</f>
        <v>2019</v>
      </c>
      <c r="AD28" s="891">
        <f>SUMPRODUCT((Otras_Actividades_Base[[#This Row],[Mes Económico]]=Tipo_Cambio[Mes])*(Otras_Actividades_Base[[#This Row],[Año Económico]]=Tipo_Cambio[Año])*(Tipo_Cambio[$/U$S]))</f>
        <v>24.544703626636963</v>
      </c>
      <c r="AE28" s="891">
        <f>SUMPRODUCT((Otras_Actividades_Base[[#This Row],[Mes Económico]]=Tipo_Cambio[Mes])*(Otras_Actividades_Base[[#This Row],[Año Económico]]=Tipo_Cambio[Año])*(Tipo_Cambio[Actualización]))</f>
        <v>1.2433743083946525</v>
      </c>
      <c r="AF28" s="890">
        <f>IF(ISNUMBER(Otras_Actividades_Base[[#This Row],[Fecha Financiero]])=TRUE,MONTH(Otras_Actividades_Base[[#This Row],[Fecha Financiero]]),0)</f>
        <v>0</v>
      </c>
      <c r="AG28" s="890">
        <f>IF(ISNUMBER(Otras_Actividades_Base[[#This Row],[Fecha Financiero]])=TRUE,YEAR(Otras_Actividades_Base[[#This Row],[Fecha Financiero]]),0)</f>
        <v>0</v>
      </c>
      <c r="AH28" s="891">
        <f>SUMPRODUCT((Otras_Actividades_Base[[#This Row],[Mes Financiero]]=Tipo_Cambio[Mes])*(Otras_Actividades_Base[[#This Row],[Año Financiero]]=Tipo_Cambio[Año])*(Tipo_Cambio[$/U$S]))</f>
        <v>0</v>
      </c>
      <c r="AI28" s="891">
        <f>SUMPRODUCT((Otras_Actividades_Base[[#This Row],[Mes Financiero]]=Tipo_Cambio[Mes])*(Otras_Actividades_Base[[#This Row],[Año Financiero]]=Tipo_Cambio[Año])*(Tipo_Cambio[Actualización]))</f>
        <v>0</v>
      </c>
      <c r="AJ28" s="916">
        <f>IF(Económico!$F$4=0,0,Otras_Actividades_Base[Centro de Costo])</f>
        <v>0</v>
      </c>
    </row>
    <row r="29" spans="4:36" x14ac:dyDescent="0.25">
      <c r="D29" s="428">
        <f>DATE(LEFT(Otras_Actividades_Base[[#This Row],[Campaña]],4),7,1)</f>
        <v>43282</v>
      </c>
      <c r="E29" s="434"/>
      <c r="F29" s="1076" t="str">
        <f t="shared" si="0"/>
        <v>2018-2019</v>
      </c>
      <c r="G29" s="429" t="s">
        <v>110</v>
      </c>
      <c r="H29" s="429"/>
      <c r="I29" s="429" t="s">
        <v>200</v>
      </c>
      <c r="J29" s="429"/>
      <c r="K29" s="430"/>
      <c r="L29" s="431"/>
      <c r="M29" s="429"/>
      <c r="N29" s="431" t="s">
        <v>48</v>
      </c>
      <c r="O29" s="432"/>
      <c r="P29" s="1046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29" s="1044">
        <f>IFERROR(Otras_Actividades_Base[[#This Row],[Económico $Corrientes]]/Otras_Actividades_Base[[#This Row],[Indexación Económico]],0)</f>
        <v>0</v>
      </c>
      <c r="R29" s="1045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29" s="1046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29" s="1044">
        <f>IFERROR(Otras_Actividades_Base[[#This Row],[Financiero $Corrientes]]/Otras_Actividades_Base[[#This Row],[Indexación Financiero]],0)</f>
        <v>0</v>
      </c>
      <c r="U29" s="1052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29" s="1047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29" s="1048">
        <f>IFERROR(Otras_Actividades_Base[[#This Row],[Intereses $Corrientes]]/Otras_Actividades_Base[[#This Row],[Indexación Financiero]],0)</f>
        <v>0</v>
      </c>
      <c r="X29" s="1048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29" s="1053" t="str">
        <f>IFERROR(INDEX(Otras_Actividades_Cuentas[],MATCH(Otras_Actividades_Base[[#This Row],[Cuenta Contable]],Otras_Actividades_Cuentas[Cuenta Contable],0),2),0)</f>
        <v>Egreso</v>
      </c>
      <c r="Z29" s="1050" t="str">
        <f>IFERROR(INDEX(Tabla9[],MATCH(Otras_Actividades_Base[[#This Row],[Movimiento]],Tabla9[Movimientos],0),2),0)</f>
        <v>Si</v>
      </c>
      <c r="AA29" s="1051" t="str">
        <f>IFERROR(INDEX(Tabla9[],MATCH(Otras_Actividades_Base[[#This Row],[Movimiento]],Tabla9[Movimientos],0),3),0)</f>
        <v>(-)</v>
      </c>
      <c r="AB29" s="1047">
        <f>IF(Otras_Actividades_Base[[#This Row],[Fecha Económico]]=0,0,MONTH(Otras_Actividades_Base[[#This Row],[Fecha Económico]]))</f>
        <v>7</v>
      </c>
      <c r="AC29" s="1048">
        <f>IF(Otras_Actividades_Base[[#This Row],[Fecha Económico]]=0,0,YEAR(Otras_Actividades_Base[[#This Row],[Fecha Económico]]))</f>
        <v>2018</v>
      </c>
      <c r="AD29" s="1051">
        <f>SUMPRODUCT((Otras_Actividades_Base[[#This Row],[Mes Económico]]=Tipo_Cambio[Mes])*(Otras_Actividades_Base[[#This Row],[Año Económico]]=Tipo_Cambio[Año])*(Tipo_Cambio[$/U$S]))</f>
        <v>22</v>
      </c>
      <c r="AE29" s="1051">
        <f>SUMPRODUCT((Otras_Actividades_Base[[#This Row],[Mes Económico]]=Tipo_Cambio[Mes])*(Otras_Actividades_Base[[#This Row],[Año Económico]]=Tipo_Cambio[Año])*(Tipo_Cambio[Actualización]))</f>
        <v>1</v>
      </c>
      <c r="AF29" s="1048">
        <f>IF(ISNUMBER(Otras_Actividades_Base[[#This Row],[Fecha Financiero]])=TRUE,MONTH(Otras_Actividades_Base[[#This Row],[Fecha Financiero]]),0)</f>
        <v>0</v>
      </c>
      <c r="AG29" s="1048">
        <f>IF(ISNUMBER(Otras_Actividades_Base[[#This Row],[Fecha Financiero]])=TRUE,YEAR(Otras_Actividades_Base[[#This Row],[Fecha Financiero]]),0)</f>
        <v>0</v>
      </c>
      <c r="AH29" s="1051">
        <f>SUMPRODUCT((Otras_Actividades_Base[[#This Row],[Mes Financiero]]=Tipo_Cambio[Mes])*(Otras_Actividades_Base[[#This Row],[Año Financiero]]=Tipo_Cambio[Año])*(Tipo_Cambio[$/U$S]))</f>
        <v>0</v>
      </c>
      <c r="AI29" s="1051">
        <f>SUMPRODUCT((Otras_Actividades_Base[[#This Row],[Mes Financiero]]=Tipo_Cambio[Mes])*(Otras_Actividades_Base[[#This Row],[Año Financiero]]=Tipo_Cambio[Año])*(Tipo_Cambio[Actualización]))</f>
        <v>0</v>
      </c>
      <c r="AJ29" s="1054">
        <f>IF(Económico!$F$4=0,0,Otras_Actividades_Base[Centro de Costo])</f>
        <v>0</v>
      </c>
    </row>
    <row r="30" spans="4:36" x14ac:dyDescent="0.25">
      <c r="D30" s="42">
        <f>DATE(IF(MONTH(D29)=1,YEAR(D29+1),YEAR(D29)),MONTH(D29)+1,1)</f>
        <v>43313</v>
      </c>
      <c r="E30" s="353"/>
      <c r="F30" s="988" t="str">
        <f t="shared" si="0"/>
        <v>2018-2019</v>
      </c>
      <c r="G30" s="32" t="s">
        <v>110</v>
      </c>
      <c r="H30" s="32"/>
      <c r="I30" s="32" t="s">
        <v>200</v>
      </c>
      <c r="J30" s="32"/>
      <c r="K30" s="29"/>
      <c r="L30" s="77"/>
      <c r="M30" s="41"/>
      <c r="N30" s="41" t="s">
        <v>48</v>
      </c>
      <c r="O30" s="51"/>
      <c r="P30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30" s="913">
        <f>IFERROR(Otras_Actividades_Base[[#This Row],[Económico $Corrientes]]/Otras_Actividades_Base[[#This Row],[Indexación Económico]],0)</f>
        <v>0</v>
      </c>
      <c r="R30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30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30" s="913">
        <f>IFERROR(Otras_Actividades_Base[[#This Row],[Financiero $Corrientes]]/Otras_Actividades_Base[[#This Row],[Indexación Financiero]],0)</f>
        <v>0</v>
      </c>
      <c r="U30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30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30" s="890">
        <f>IFERROR(Otras_Actividades_Base[[#This Row],[Intereses $Corrientes]]/Otras_Actividades_Base[[#This Row],[Indexación Financiero]],0)</f>
        <v>0</v>
      </c>
      <c r="X30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30" s="915" t="str">
        <f>IFERROR(INDEX(Otras_Actividades_Cuentas[],MATCH(Otras_Actividades_Base[[#This Row],[Cuenta Contable]],Otras_Actividades_Cuentas[Cuenta Contable],0),2),0)</f>
        <v>Egreso</v>
      </c>
      <c r="Z30" s="887" t="str">
        <f>IFERROR(INDEX(Tabla9[],MATCH(Otras_Actividades_Base[[#This Row],[Movimiento]],Tabla9[Movimientos],0),2),0)</f>
        <v>Si</v>
      </c>
      <c r="AA30" s="889" t="str">
        <f>IFERROR(INDEX(Tabla9[],MATCH(Otras_Actividades_Base[[#This Row],[Movimiento]],Tabla9[Movimientos],0),3),0)</f>
        <v>(-)</v>
      </c>
      <c r="AB30" s="884">
        <f>IF(Otras_Actividades_Base[[#This Row],[Fecha Económico]]=0,0,MONTH(Otras_Actividades_Base[[#This Row],[Fecha Económico]]))</f>
        <v>8</v>
      </c>
      <c r="AC30" s="890">
        <f>IF(Otras_Actividades_Base[[#This Row],[Fecha Económico]]=0,0,YEAR(Otras_Actividades_Base[[#This Row],[Fecha Económico]]))</f>
        <v>2018</v>
      </c>
      <c r="AD30" s="891">
        <f>SUMPRODUCT((Otras_Actividades_Base[[#This Row],[Mes Económico]]=Tipo_Cambio[Mes])*(Otras_Actividades_Base[[#This Row],[Año Económico]]=Tipo_Cambio[Año])*(Tipo_Cambio[$/U$S]))</f>
        <v>22.22</v>
      </c>
      <c r="AE30" s="891">
        <f>SUMPRODUCT((Otras_Actividades_Base[[#This Row],[Mes Económico]]=Tipo_Cambio[Mes])*(Otras_Actividades_Base[[#This Row],[Año Económico]]=Tipo_Cambio[Año])*(Tipo_Cambio[Actualización]))</f>
        <v>1.02</v>
      </c>
      <c r="AF30" s="890">
        <f>IF(ISNUMBER(Otras_Actividades_Base[[#This Row],[Fecha Financiero]])=TRUE,MONTH(Otras_Actividades_Base[[#This Row],[Fecha Financiero]]),0)</f>
        <v>0</v>
      </c>
      <c r="AG30" s="890">
        <f>IF(ISNUMBER(Otras_Actividades_Base[[#This Row],[Fecha Financiero]])=TRUE,YEAR(Otras_Actividades_Base[[#This Row],[Fecha Financiero]]),0)</f>
        <v>0</v>
      </c>
      <c r="AH30" s="891">
        <f>SUMPRODUCT((Otras_Actividades_Base[[#This Row],[Mes Financiero]]=Tipo_Cambio[Mes])*(Otras_Actividades_Base[[#This Row],[Año Financiero]]=Tipo_Cambio[Año])*(Tipo_Cambio[$/U$S]))</f>
        <v>0</v>
      </c>
      <c r="AI30" s="891">
        <f>SUMPRODUCT((Otras_Actividades_Base[[#This Row],[Mes Financiero]]=Tipo_Cambio[Mes])*(Otras_Actividades_Base[[#This Row],[Año Financiero]]=Tipo_Cambio[Año])*(Tipo_Cambio[Actualización]))</f>
        <v>0</v>
      </c>
      <c r="AJ30" s="916">
        <f>IF(Económico!$F$4=0,0,Otras_Actividades_Base[Centro de Costo])</f>
        <v>0</v>
      </c>
    </row>
    <row r="31" spans="4:36" x14ac:dyDescent="0.25">
      <c r="D31" s="42">
        <f t="shared" ref="D31:D40" si="3">DATE(IF(MONTH(D30)=1,YEAR(D30+1),YEAR(D30)),MONTH(D30)+1,1)</f>
        <v>43344</v>
      </c>
      <c r="E31" s="353"/>
      <c r="F31" s="988" t="str">
        <f t="shared" si="0"/>
        <v>2018-2019</v>
      </c>
      <c r="G31" s="32" t="s">
        <v>110</v>
      </c>
      <c r="H31" s="32"/>
      <c r="I31" s="32" t="s">
        <v>200</v>
      </c>
      <c r="J31" s="32"/>
      <c r="K31" s="29"/>
      <c r="L31" s="77"/>
      <c r="M31" s="41"/>
      <c r="N31" s="41" t="s">
        <v>48</v>
      </c>
      <c r="O31" s="51"/>
      <c r="P31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31" s="913">
        <f>IFERROR(Otras_Actividades_Base[[#This Row],[Económico $Corrientes]]/Otras_Actividades_Base[[#This Row],[Indexación Económico]],0)</f>
        <v>0</v>
      </c>
      <c r="R31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31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31" s="913">
        <f>IFERROR(Otras_Actividades_Base[[#This Row],[Financiero $Corrientes]]/Otras_Actividades_Base[[#This Row],[Indexación Financiero]],0)</f>
        <v>0</v>
      </c>
      <c r="U31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31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31" s="890">
        <f>IFERROR(Otras_Actividades_Base[[#This Row],[Intereses $Corrientes]]/Otras_Actividades_Base[[#This Row],[Indexación Financiero]],0)</f>
        <v>0</v>
      </c>
      <c r="X31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31" s="915" t="str">
        <f>IFERROR(INDEX(Otras_Actividades_Cuentas[],MATCH(Otras_Actividades_Base[[#This Row],[Cuenta Contable]],Otras_Actividades_Cuentas[Cuenta Contable],0),2),0)</f>
        <v>Egreso</v>
      </c>
      <c r="Z31" s="887" t="str">
        <f>IFERROR(INDEX(Tabla9[],MATCH(Otras_Actividades_Base[[#This Row],[Movimiento]],Tabla9[Movimientos],0),2),0)</f>
        <v>Si</v>
      </c>
      <c r="AA31" s="889" t="str">
        <f>IFERROR(INDEX(Tabla9[],MATCH(Otras_Actividades_Base[[#This Row],[Movimiento]],Tabla9[Movimientos],0),3),0)</f>
        <v>(-)</v>
      </c>
      <c r="AB31" s="884">
        <f>IF(Otras_Actividades_Base[[#This Row],[Fecha Económico]]=0,0,MONTH(Otras_Actividades_Base[[#This Row],[Fecha Económico]]))</f>
        <v>9</v>
      </c>
      <c r="AC31" s="890">
        <f>IF(Otras_Actividades_Base[[#This Row],[Fecha Económico]]=0,0,YEAR(Otras_Actividades_Base[[#This Row],[Fecha Económico]]))</f>
        <v>2018</v>
      </c>
      <c r="AD31" s="891">
        <f>SUMPRODUCT((Otras_Actividades_Base[[#This Row],[Mes Económico]]=Tipo_Cambio[Mes])*(Otras_Actividades_Base[[#This Row],[Año Económico]]=Tipo_Cambio[Año])*(Tipo_Cambio[$/U$S]))</f>
        <v>22.4422</v>
      </c>
      <c r="AE31" s="891">
        <f>SUMPRODUCT((Otras_Actividades_Base[[#This Row],[Mes Económico]]=Tipo_Cambio[Mes])*(Otras_Actividades_Base[[#This Row],[Año Económico]]=Tipo_Cambio[Año])*(Tipo_Cambio[Actualización]))</f>
        <v>1.0404</v>
      </c>
      <c r="AF31" s="890">
        <f>IF(ISNUMBER(Otras_Actividades_Base[[#This Row],[Fecha Financiero]])=TRUE,MONTH(Otras_Actividades_Base[[#This Row],[Fecha Financiero]]),0)</f>
        <v>0</v>
      </c>
      <c r="AG31" s="890">
        <f>IF(ISNUMBER(Otras_Actividades_Base[[#This Row],[Fecha Financiero]])=TRUE,YEAR(Otras_Actividades_Base[[#This Row],[Fecha Financiero]]),0)</f>
        <v>0</v>
      </c>
      <c r="AH31" s="891">
        <f>SUMPRODUCT((Otras_Actividades_Base[[#This Row],[Mes Financiero]]=Tipo_Cambio[Mes])*(Otras_Actividades_Base[[#This Row],[Año Financiero]]=Tipo_Cambio[Año])*(Tipo_Cambio[$/U$S]))</f>
        <v>0</v>
      </c>
      <c r="AI31" s="891">
        <f>SUMPRODUCT((Otras_Actividades_Base[[#This Row],[Mes Financiero]]=Tipo_Cambio[Mes])*(Otras_Actividades_Base[[#This Row],[Año Financiero]]=Tipo_Cambio[Año])*(Tipo_Cambio[Actualización]))</f>
        <v>0</v>
      </c>
      <c r="AJ31" s="916">
        <f>IF(Económico!$F$4=0,0,Otras_Actividades_Base[Centro de Costo])</f>
        <v>0</v>
      </c>
    </row>
    <row r="32" spans="4:36" x14ac:dyDescent="0.25">
      <c r="D32" s="42">
        <f t="shared" si="3"/>
        <v>43374</v>
      </c>
      <c r="E32" s="353"/>
      <c r="F32" s="988" t="str">
        <f t="shared" si="0"/>
        <v>2018-2019</v>
      </c>
      <c r="G32" s="32" t="s">
        <v>110</v>
      </c>
      <c r="H32" s="32"/>
      <c r="I32" s="32" t="s">
        <v>200</v>
      </c>
      <c r="J32" s="32"/>
      <c r="K32" s="29"/>
      <c r="L32" s="77"/>
      <c r="M32" s="41"/>
      <c r="N32" s="41" t="s">
        <v>48</v>
      </c>
      <c r="O32" s="51"/>
      <c r="P32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32" s="913">
        <f>IFERROR(Otras_Actividades_Base[[#This Row],[Económico $Corrientes]]/Otras_Actividades_Base[[#This Row],[Indexación Económico]],0)</f>
        <v>0</v>
      </c>
      <c r="R32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32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32" s="913">
        <f>IFERROR(Otras_Actividades_Base[[#This Row],[Financiero $Corrientes]]/Otras_Actividades_Base[[#This Row],[Indexación Financiero]],0)</f>
        <v>0</v>
      </c>
      <c r="U32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32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32" s="890">
        <f>IFERROR(Otras_Actividades_Base[[#This Row],[Intereses $Corrientes]]/Otras_Actividades_Base[[#This Row],[Indexación Financiero]],0)</f>
        <v>0</v>
      </c>
      <c r="X32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32" s="915" t="str">
        <f>IFERROR(INDEX(Otras_Actividades_Cuentas[],MATCH(Otras_Actividades_Base[[#This Row],[Cuenta Contable]],Otras_Actividades_Cuentas[Cuenta Contable],0),2),0)</f>
        <v>Egreso</v>
      </c>
      <c r="Z32" s="887" t="str">
        <f>IFERROR(INDEX(Tabla9[],MATCH(Otras_Actividades_Base[[#This Row],[Movimiento]],Tabla9[Movimientos],0),2),0)</f>
        <v>Si</v>
      </c>
      <c r="AA32" s="889" t="str">
        <f>IFERROR(INDEX(Tabla9[],MATCH(Otras_Actividades_Base[[#This Row],[Movimiento]],Tabla9[Movimientos],0),3),0)</f>
        <v>(-)</v>
      </c>
      <c r="AB32" s="884">
        <f>IF(Otras_Actividades_Base[[#This Row],[Fecha Económico]]=0,0,MONTH(Otras_Actividades_Base[[#This Row],[Fecha Económico]]))</f>
        <v>10</v>
      </c>
      <c r="AC32" s="890">
        <f>IF(Otras_Actividades_Base[[#This Row],[Fecha Económico]]=0,0,YEAR(Otras_Actividades_Base[[#This Row],[Fecha Económico]]))</f>
        <v>2018</v>
      </c>
      <c r="AD32" s="891">
        <f>SUMPRODUCT((Otras_Actividades_Base[[#This Row],[Mes Económico]]=Tipo_Cambio[Mes])*(Otras_Actividades_Base[[#This Row],[Año Económico]]=Tipo_Cambio[Año])*(Tipo_Cambio[$/U$S]))</f>
        <v>22.666622</v>
      </c>
      <c r="AE32" s="891">
        <f>SUMPRODUCT((Otras_Actividades_Base[[#This Row],[Mes Económico]]=Tipo_Cambio[Mes])*(Otras_Actividades_Base[[#This Row],[Año Económico]]=Tipo_Cambio[Año])*(Tipo_Cambio[Actualización]))</f>
        <v>1.0612079999999999</v>
      </c>
      <c r="AF32" s="890">
        <f>IF(ISNUMBER(Otras_Actividades_Base[[#This Row],[Fecha Financiero]])=TRUE,MONTH(Otras_Actividades_Base[[#This Row],[Fecha Financiero]]),0)</f>
        <v>0</v>
      </c>
      <c r="AG32" s="890">
        <f>IF(ISNUMBER(Otras_Actividades_Base[[#This Row],[Fecha Financiero]])=TRUE,YEAR(Otras_Actividades_Base[[#This Row],[Fecha Financiero]]),0)</f>
        <v>0</v>
      </c>
      <c r="AH32" s="891">
        <f>SUMPRODUCT((Otras_Actividades_Base[[#This Row],[Mes Financiero]]=Tipo_Cambio[Mes])*(Otras_Actividades_Base[[#This Row],[Año Financiero]]=Tipo_Cambio[Año])*(Tipo_Cambio[$/U$S]))</f>
        <v>0</v>
      </c>
      <c r="AI32" s="891">
        <f>SUMPRODUCT((Otras_Actividades_Base[[#This Row],[Mes Financiero]]=Tipo_Cambio[Mes])*(Otras_Actividades_Base[[#This Row],[Año Financiero]]=Tipo_Cambio[Año])*(Tipo_Cambio[Actualización]))</f>
        <v>0</v>
      </c>
      <c r="AJ32" s="916">
        <f>IF(Económico!$F$4=0,0,Otras_Actividades_Base[Centro de Costo])</f>
        <v>0</v>
      </c>
    </row>
    <row r="33" spans="4:36" x14ac:dyDescent="0.25">
      <c r="D33" s="42">
        <f t="shared" si="3"/>
        <v>43405</v>
      </c>
      <c r="E33" s="353"/>
      <c r="F33" s="988" t="str">
        <f t="shared" si="0"/>
        <v>2018-2019</v>
      </c>
      <c r="G33" s="32" t="s">
        <v>110</v>
      </c>
      <c r="H33" s="32"/>
      <c r="I33" s="32" t="s">
        <v>200</v>
      </c>
      <c r="J33" s="32"/>
      <c r="K33" s="29"/>
      <c r="L33" s="77"/>
      <c r="M33" s="41"/>
      <c r="N33" s="41" t="s">
        <v>48</v>
      </c>
      <c r="O33" s="51"/>
      <c r="P33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33" s="913">
        <f>IFERROR(Otras_Actividades_Base[[#This Row],[Económico $Corrientes]]/Otras_Actividades_Base[[#This Row],[Indexación Económico]],0)</f>
        <v>0</v>
      </c>
      <c r="R33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33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33" s="913">
        <f>IFERROR(Otras_Actividades_Base[[#This Row],[Financiero $Corrientes]]/Otras_Actividades_Base[[#This Row],[Indexación Financiero]],0)</f>
        <v>0</v>
      </c>
      <c r="U33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33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33" s="890">
        <f>IFERROR(Otras_Actividades_Base[[#This Row],[Intereses $Corrientes]]/Otras_Actividades_Base[[#This Row],[Indexación Financiero]],0)</f>
        <v>0</v>
      </c>
      <c r="X33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33" s="915" t="str">
        <f>IFERROR(INDEX(Otras_Actividades_Cuentas[],MATCH(Otras_Actividades_Base[[#This Row],[Cuenta Contable]],Otras_Actividades_Cuentas[Cuenta Contable],0),2),0)</f>
        <v>Egreso</v>
      </c>
      <c r="Z33" s="887" t="str">
        <f>IFERROR(INDEX(Tabla9[],MATCH(Otras_Actividades_Base[[#This Row],[Movimiento]],Tabla9[Movimientos],0),2),0)</f>
        <v>Si</v>
      </c>
      <c r="AA33" s="889" t="str">
        <f>IFERROR(INDEX(Tabla9[],MATCH(Otras_Actividades_Base[[#This Row],[Movimiento]],Tabla9[Movimientos],0),3),0)</f>
        <v>(-)</v>
      </c>
      <c r="AB33" s="884">
        <f>IF(Otras_Actividades_Base[[#This Row],[Fecha Económico]]=0,0,MONTH(Otras_Actividades_Base[[#This Row],[Fecha Económico]]))</f>
        <v>11</v>
      </c>
      <c r="AC33" s="890">
        <f>IF(Otras_Actividades_Base[[#This Row],[Fecha Económico]]=0,0,YEAR(Otras_Actividades_Base[[#This Row],[Fecha Económico]]))</f>
        <v>2018</v>
      </c>
      <c r="AD33" s="891">
        <f>SUMPRODUCT((Otras_Actividades_Base[[#This Row],[Mes Económico]]=Tipo_Cambio[Mes])*(Otras_Actividades_Base[[#This Row],[Año Económico]]=Tipo_Cambio[Año])*(Tipo_Cambio[$/U$S]))</f>
        <v>22.893288219999999</v>
      </c>
      <c r="AE33" s="891">
        <f>SUMPRODUCT((Otras_Actividades_Base[[#This Row],[Mes Económico]]=Tipo_Cambio[Mes])*(Otras_Actividades_Base[[#This Row],[Año Económico]]=Tipo_Cambio[Año])*(Tipo_Cambio[Actualización]))</f>
        <v>1.08243216</v>
      </c>
      <c r="AF33" s="890">
        <f>IF(ISNUMBER(Otras_Actividades_Base[[#This Row],[Fecha Financiero]])=TRUE,MONTH(Otras_Actividades_Base[[#This Row],[Fecha Financiero]]),0)</f>
        <v>0</v>
      </c>
      <c r="AG33" s="890">
        <f>IF(ISNUMBER(Otras_Actividades_Base[[#This Row],[Fecha Financiero]])=TRUE,YEAR(Otras_Actividades_Base[[#This Row],[Fecha Financiero]]),0)</f>
        <v>0</v>
      </c>
      <c r="AH33" s="891">
        <f>SUMPRODUCT((Otras_Actividades_Base[[#This Row],[Mes Financiero]]=Tipo_Cambio[Mes])*(Otras_Actividades_Base[[#This Row],[Año Financiero]]=Tipo_Cambio[Año])*(Tipo_Cambio[$/U$S]))</f>
        <v>0</v>
      </c>
      <c r="AI33" s="891">
        <f>SUMPRODUCT((Otras_Actividades_Base[[#This Row],[Mes Financiero]]=Tipo_Cambio[Mes])*(Otras_Actividades_Base[[#This Row],[Año Financiero]]=Tipo_Cambio[Año])*(Tipo_Cambio[Actualización]))</f>
        <v>0</v>
      </c>
      <c r="AJ33" s="916">
        <f>IF(Económico!$F$4=0,0,Otras_Actividades_Base[Centro de Costo])</f>
        <v>0</v>
      </c>
    </row>
    <row r="34" spans="4:36" x14ac:dyDescent="0.25">
      <c r="D34" s="42">
        <f t="shared" si="3"/>
        <v>43435</v>
      </c>
      <c r="E34" s="353"/>
      <c r="F34" s="988" t="str">
        <f t="shared" si="0"/>
        <v>2018-2019</v>
      </c>
      <c r="G34" s="32" t="s">
        <v>110</v>
      </c>
      <c r="H34" s="32"/>
      <c r="I34" s="32" t="s">
        <v>200</v>
      </c>
      <c r="J34" s="32"/>
      <c r="K34" s="29"/>
      <c r="L34" s="77"/>
      <c r="M34" s="41"/>
      <c r="N34" s="41" t="s">
        <v>48</v>
      </c>
      <c r="O34" s="51"/>
      <c r="P34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34" s="913">
        <f>IFERROR(Otras_Actividades_Base[[#This Row],[Económico $Corrientes]]/Otras_Actividades_Base[[#This Row],[Indexación Económico]],0)</f>
        <v>0</v>
      </c>
      <c r="R34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34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34" s="913">
        <f>IFERROR(Otras_Actividades_Base[[#This Row],[Financiero $Corrientes]]/Otras_Actividades_Base[[#This Row],[Indexación Financiero]],0)</f>
        <v>0</v>
      </c>
      <c r="U34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34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34" s="890">
        <f>IFERROR(Otras_Actividades_Base[[#This Row],[Intereses $Corrientes]]/Otras_Actividades_Base[[#This Row],[Indexación Financiero]],0)</f>
        <v>0</v>
      </c>
      <c r="X34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34" s="915" t="str">
        <f>IFERROR(INDEX(Otras_Actividades_Cuentas[],MATCH(Otras_Actividades_Base[[#This Row],[Cuenta Contable]],Otras_Actividades_Cuentas[Cuenta Contable],0),2),0)</f>
        <v>Egreso</v>
      </c>
      <c r="Z34" s="887" t="str">
        <f>IFERROR(INDEX(Tabla9[],MATCH(Otras_Actividades_Base[[#This Row],[Movimiento]],Tabla9[Movimientos],0),2),0)</f>
        <v>Si</v>
      </c>
      <c r="AA34" s="889" t="str">
        <f>IFERROR(INDEX(Tabla9[],MATCH(Otras_Actividades_Base[[#This Row],[Movimiento]],Tabla9[Movimientos],0),3),0)</f>
        <v>(-)</v>
      </c>
      <c r="AB34" s="884">
        <f>IF(Otras_Actividades_Base[[#This Row],[Fecha Económico]]=0,0,MONTH(Otras_Actividades_Base[[#This Row],[Fecha Económico]]))</f>
        <v>12</v>
      </c>
      <c r="AC34" s="890">
        <f>IF(Otras_Actividades_Base[[#This Row],[Fecha Económico]]=0,0,YEAR(Otras_Actividades_Base[[#This Row],[Fecha Económico]]))</f>
        <v>2018</v>
      </c>
      <c r="AD34" s="891">
        <f>SUMPRODUCT((Otras_Actividades_Base[[#This Row],[Mes Económico]]=Tipo_Cambio[Mes])*(Otras_Actividades_Base[[#This Row],[Año Económico]]=Tipo_Cambio[Año])*(Tipo_Cambio[$/U$S]))</f>
        <v>23.122221102199997</v>
      </c>
      <c r="AE34" s="891">
        <f>SUMPRODUCT((Otras_Actividades_Base[[#This Row],[Mes Económico]]=Tipo_Cambio[Mes])*(Otras_Actividades_Base[[#This Row],[Año Económico]]=Tipo_Cambio[Año])*(Tipo_Cambio[Actualización]))</f>
        <v>1.1040808032</v>
      </c>
      <c r="AF34" s="890">
        <f>IF(ISNUMBER(Otras_Actividades_Base[[#This Row],[Fecha Financiero]])=TRUE,MONTH(Otras_Actividades_Base[[#This Row],[Fecha Financiero]]),0)</f>
        <v>0</v>
      </c>
      <c r="AG34" s="890">
        <f>IF(ISNUMBER(Otras_Actividades_Base[[#This Row],[Fecha Financiero]])=TRUE,YEAR(Otras_Actividades_Base[[#This Row],[Fecha Financiero]]),0)</f>
        <v>0</v>
      </c>
      <c r="AH34" s="891">
        <f>SUMPRODUCT((Otras_Actividades_Base[[#This Row],[Mes Financiero]]=Tipo_Cambio[Mes])*(Otras_Actividades_Base[[#This Row],[Año Financiero]]=Tipo_Cambio[Año])*(Tipo_Cambio[$/U$S]))</f>
        <v>0</v>
      </c>
      <c r="AI34" s="891">
        <f>SUMPRODUCT((Otras_Actividades_Base[[#This Row],[Mes Financiero]]=Tipo_Cambio[Mes])*(Otras_Actividades_Base[[#This Row],[Año Financiero]]=Tipo_Cambio[Año])*(Tipo_Cambio[Actualización]))</f>
        <v>0</v>
      </c>
      <c r="AJ34" s="916">
        <f>IF(Económico!$F$4=0,0,Otras_Actividades_Base[Centro de Costo])</f>
        <v>0</v>
      </c>
    </row>
    <row r="35" spans="4:36" x14ac:dyDescent="0.25">
      <c r="D35" s="42">
        <f t="shared" si="3"/>
        <v>43466</v>
      </c>
      <c r="E35" s="353"/>
      <c r="F35" s="988" t="str">
        <f t="shared" si="0"/>
        <v>2018-2019</v>
      </c>
      <c r="G35" s="32" t="s">
        <v>110</v>
      </c>
      <c r="H35" s="32"/>
      <c r="I35" s="32" t="s">
        <v>200</v>
      </c>
      <c r="J35" s="32"/>
      <c r="K35" s="29"/>
      <c r="L35" s="77"/>
      <c r="M35" s="41"/>
      <c r="N35" s="41" t="s">
        <v>48</v>
      </c>
      <c r="O35" s="51"/>
      <c r="P35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35" s="913">
        <f>IFERROR(Otras_Actividades_Base[[#This Row],[Económico $Corrientes]]/Otras_Actividades_Base[[#This Row],[Indexación Económico]],0)</f>
        <v>0</v>
      </c>
      <c r="R35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35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35" s="913">
        <f>IFERROR(Otras_Actividades_Base[[#This Row],[Financiero $Corrientes]]/Otras_Actividades_Base[[#This Row],[Indexación Financiero]],0)</f>
        <v>0</v>
      </c>
      <c r="U35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35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35" s="890">
        <f>IFERROR(Otras_Actividades_Base[[#This Row],[Intereses $Corrientes]]/Otras_Actividades_Base[[#This Row],[Indexación Financiero]],0)</f>
        <v>0</v>
      </c>
      <c r="X35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35" s="915" t="str">
        <f>IFERROR(INDEX(Otras_Actividades_Cuentas[],MATCH(Otras_Actividades_Base[[#This Row],[Cuenta Contable]],Otras_Actividades_Cuentas[Cuenta Contable],0),2),0)</f>
        <v>Egreso</v>
      </c>
      <c r="Z35" s="887" t="str">
        <f>IFERROR(INDEX(Tabla9[],MATCH(Otras_Actividades_Base[[#This Row],[Movimiento]],Tabla9[Movimientos],0),2),0)</f>
        <v>Si</v>
      </c>
      <c r="AA35" s="889" t="str">
        <f>IFERROR(INDEX(Tabla9[],MATCH(Otras_Actividades_Base[[#This Row],[Movimiento]],Tabla9[Movimientos],0),3),0)</f>
        <v>(-)</v>
      </c>
      <c r="AB35" s="884">
        <f>IF(Otras_Actividades_Base[[#This Row],[Fecha Económico]]=0,0,MONTH(Otras_Actividades_Base[[#This Row],[Fecha Económico]]))</f>
        <v>1</v>
      </c>
      <c r="AC35" s="890">
        <f>IF(Otras_Actividades_Base[[#This Row],[Fecha Económico]]=0,0,YEAR(Otras_Actividades_Base[[#This Row],[Fecha Económico]]))</f>
        <v>2019</v>
      </c>
      <c r="AD35" s="891">
        <f>SUMPRODUCT((Otras_Actividades_Base[[#This Row],[Mes Económico]]=Tipo_Cambio[Mes])*(Otras_Actividades_Base[[#This Row],[Año Económico]]=Tipo_Cambio[Año])*(Tipo_Cambio[$/U$S]))</f>
        <v>23.353443313221998</v>
      </c>
      <c r="AE35" s="891">
        <f>SUMPRODUCT((Otras_Actividades_Base[[#This Row],[Mes Económico]]=Tipo_Cambio[Mes])*(Otras_Actividades_Base[[#This Row],[Año Económico]]=Tipo_Cambio[Año])*(Tipo_Cambio[Actualización]))</f>
        <v>1.1261624192640001</v>
      </c>
      <c r="AF35" s="890">
        <f>IF(ISNUMBER(Otras_Actividades_Base[[#This Row],[Fecha Financiero]])=TRUE,MONTH(Otras_Actividades_Base[[#This Row],[Fecha Financiero]]),0)</f>
        <v>0</v>
      </c>
      <c r="AG35" s="890">
        <f>IF(ISNUMBER(Otras_Actividades_Base[[#This Row],[Fecha Financiero]])=TRUE,YEAR(Otras_Actividades_Base[[#This Row],[Fecha Financiero]]),0)</f>
        <v>0</v>
      </c>
      <c r="AH35" s="891">
        <f>SUMPRODUCT((Otras_Actividades_Base[[#This Row],[Mes Financiero]]=Tipo_Cambio[Mes])*(Otras_Actividades_Base[[#This Row],[Año Financiero]]=Tipo_Cambio[Año])*(Tipo_Cambio[$/U$S]))</f>
        <v>0</v>
      </c>
      <c r="AI35" s="891">
        <f>SUMPRODUCT((Otras_Actividades_Base[[#This Row],[Mes Financiero]]=Tipo_Cambio[Mes])*(Otras_Actividades_Base[[#This Row],[Año Financiero]]=Tipo_Cambio[Año])*(Tipo_Cambio[Actualización]))</f>
        <v>0</v>
      </c>
      <c r="AJ35" s="916">
        <f>IF(Económico!$F$4=0,0,Otras_Actividades_Base[Centro de Costo])</f>
        <v>0</v>
      </c>
    </row>
    <row r="36" spans="4:36" x14ac:dyDescent="0.25">
      <c r="D36" s="42">
        <f t="shared" si="3"/>
        <v>43497</v>
      </c>
      <c r="E36" s="353"/>
      <c r="F36" s="988" t="str">
        <f t="shared" si="0"/>
        <v>2018-2019</v>
      </c>
      <c r="G36" s="32" t="s">
        <v>110</v>
      </c>
      <c r="H36" s="32"/>
      <c r="I36" s="32" t="s">
        <v>200</v>
      </c>
      <c r="J36" s="32"/>
      <c r="K36" s="29"/>
      <c r="L36" s="77"/>
      <c r="M36" s="41"/>
      <c r="N36" s="41" t="s">
        <v>48</v>
      </c>
      <c r="O36" s="51"/>
      <c r="P36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36" s="913">
        <f>IFERROR(Otras_Actividades_Base[[#This Row],[Económico $Corrientes]]/Otras_Actividades_Base[[#This Row],[Indexación Económico]],0)</f>
        <v>0</v>
      </c>
      <c r="R36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36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36" s="913">
        <f>IFERROR(Otras_Actividades_Base[[#This Row],[Financiero $Corrientes]]/Otras_Actividades_Base[[#This Row],[Indexación Financiero]],0)</f>
        <v>0</v>
      </c>
      <c r="U36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36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36" s="890">
        <f>IFERROR(Otras_Actividades_Base[[#This Row],[Intereses $Corrientes]]/Otras_Actividades_Base[[#This Row],[Indexación Financiero]],0)</f>
        <v>0</v>
      </c>
      <c r="X36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36" s="915" t="str">
        <f>IFERROR(INDEX(Otras_Actividades_Cuentas[],MATCH(Otras_Actividades_Base[[#This Row],[Cuenta Contable]],Otras_Actividades_Cuentas[Cuenta Contable],0),2),0)</f>
        <v>Egreso</v>
      </c>
      <c r="Z36" s="887" t="str">
        <f>IFERROR(INDEX(Tabla9[],MATCH(Otras_Actividades_Base[[#This Row],[Movimiento]],Tabla9[Movimientos],0),2),0)</f>
        <v>Si</v>
      </c>
      <c r="AA36" s="889" t="str">
        <f>IFERROR(INDEX(Tabla9[],MATCH(Otras_Actividades_Base[[#This Row],[Movimiento]],Tabla9[Movimientos],0),3),0)</f>
        <v>(-)</v>
      </c>
      <c r="AB36" s="884">
        <f>IF(Otras_Actividades_Base[[#This Row],[Fecha Económico]]=0,0,MONTH(Otras_Actividades_Base[[#This Row],[Fecha Económico]]))</f>
        <v>2</v>
      </c>
      <c r="AC36" s="890">
        <f>IF(Otras_Actividades_Base[[#This Row],[Fecha Económico]]=0,0,YEAR(Otras_Actividades_Base[[#This Row],[Fecha Económico]]))</f>
        <v>2019</v>
      </c>
      <c r="AD36" s="891">
        <f>SUMPRODUCT((Otras_Actividades_Base[[#This Row],[Mes Económico]]=Tipo_Cambio[Mes])*(Otras_Actividades_Base[[#This Row],[Año Económico]]=Tipo_Cambio[Año])*(Tipo_Cambio[$/U$S]))</f>
        <v>23.586977746354219</v>
      </c>
      <c r="AE36" s="891">
        <f>SUMPRODUCT((Otras_Actividades_Base[[#This Row],[Mes Económico]]=Tipo_Cambio[Mes])*(Otras_Actividades_Base[[#This Row],[Año Económico]]=Tipo_Cambio[Año])*(Tipo_Cambio[Actualización]))</f>
        <v>1.14868566764928</v>
      </c>
      <c r="AF36" s="890">
        <f>IF(ISNUMBER(Otras_Actividades_Base[[#This Row],[Fecha Financiero]])=TRUE,MONTH(Otras_Actividades_Base[[#This Row],[Fecha Financiero]]),0)</f>
        <v>0</v>
      </c>
      <c r="AG36" s="890">
        <f>IF(ISNUMBER(Otras_Actividades_Base[[#This Row],[Fecha Financiero]])=TRUE,YEAR(Otras_Actividades_Base[[#This Row],[Fecha Financiero]]),0)</f>
        <v>0</v>
      </c>
      <c r="AH36" s="891">
        <f>SUMPRODUCT((Otras_Actividades_Base[[#This Row],[Mes Financiero]]=Tipo_Cambio[Mes])*(Otras_Actividades_Base[[#This Row],[Año Financiero]]=Tipo_Cambio[Año])*(Tipo_Cambio[$/U$S]))</f>
        <v>0</v>
      </c>
      <c r="AI36" s="891">
        <f>SUMPRODUCT((Otras_Actividades_Base[[#This Row],[Mes Financiero]]=Tipo_Cambio[Mes])*(Otras_Actividades_Base[[#This Row],[Año Financiero]]=Tipo_Cambio[Año])*(Tipo_Cambio[Actualización]))</f>
        <v>0</v>
      </c>
      <c r="AJ36" s="916">
        <f>IF(Económico!$F$4=0,0,Otras_Actividades_Base[Centro de Costo])</f>
        <v>0</v>
      </c>
    </row>
    <row r="37" spans="4:36" x14ac:dyDescent="0.25">
      <c r="D37" s="42">
        <f t="shared" si="3"/>
        <v>43525</v>
      </c>
      <c r="E37" s="353"/>
      <c r="F37" s="988" t="str">
        <f t="shared" ref="F37:F68" si="4">Campaña_Actual</f>
        <v>2018-2019</v>
      </c>
      <c r="G37" s="32" t="s">
        <v>110</v>
      </c>
      <c r="H37" s="32"/>
      <c r="I37" s="32" t="s">
        <v>200</v>
      </c>
      <c r="J37" s="32"/>
      <c r="K37" s="29"/>
      <c r="L37" s="77"/>
      <c r="M37" s="41"/>
      <c r="N37" s="41" t="s">
        <v>48</v>
      </c>
      <c r="O37" s="51"/>
      <c r="P37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37" s="913">
        <f>IFERROR(Otras_Actividades_Base[[#This Row],[Económico $Corrientes]]/Otras_Actividades_Base[[#This Row],[Indexación Económico]],0)</f>
        <v>0</v>
      </c>
      <c r="R37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37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37" s="913">
        <f>IFERROR(Otras_Actividades_Base[[#This Row],[Financiero $Corrientes]]/Otras_Actividades_Base[[#This Row],[Indexación Financiero]],0)</f>
        <v>0</v>
      </c>
      <c r="U37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37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37" s="890">
        <f>IFERROR(Otras_Actividades_Base[[#This Row],[Intereses $Corrientes]]/Otras_Actividades_Base[[#This Row],[Indexación Financiero]],0)</f>
        <v>0</v>
      </c>
      <c r="X37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37" s="915" t="str">
        <f>IFERROR(INDEX(Otras_Actividades_Cuentas[],MATCH(Otras_Actividades_Base[[#This Row],[Cuenta Contable]],Otras_Actividades_Cuentas[Cuenta Contable],0),2),0)</f>
        <v>Egreso</v>
      </c>
      <c r="Z37" s="887" t="str">
        <f>IFERROR(INDEX(Tabla9[],MATCH(Otras_Actividades_Base[[#This Row],[Movimiento]],Tabla9[Movimientos],0),2),0)</f>
        <v>Si</v>
      </c>
      <c r="AA37" s="889" t="str">
        <f>IFERROR(INDEX(Tabla9[],MATCH(Otras_Actividades_Base[[#This Row],[Movimiento]],Tabla9[Movimientos],0),3),0)</f>
        <v>(-)</v>
      </c>
      <c r="AB37" s="884">
        <f>IF(Otras_Actividades_Base[[#This Row],[Fecha Económico]]=0,0,MONTH(Otras_Actividades_Base[[#This Row],[Fecha Económico]]))</f>
        <v>3</v>
      </c>
      <c r="AC37" s="890">
        <f>IF(Otras_Actividades_Base[[#This Row],[Fecha Económico]]=0,0,YEAR(Otras_Actividades_Base[[#This Row],[Fecha Económico]]))</f>
        <v>2019</v>
      </c>
      <c r="AD37" s="891">
        <f>SUMPRODUCT((Otras_Actividades_Base[[#This Row],[Mes Económico]]=Tipo_Cambio[Mes])*(Otras_Actividades_Base[[#This Row],[Año Económico]]=Tipo_Cambio[Año])*(Tipo_Cambio[$/U$S]))</f>
        <v>23.82284752381776</v>
      </c>
      <c r="AE37" s="891">
        <f>SUMPRODUCT((Otras_Actividades_Base[[#This Row],[Mes Económico]]=Tipo_Cambio[Mes])*(Otras_Actividades_Base[[#This Row],[Año Económico]]=Tipo_Cambio[Año])*(Tipo_Cambio[Actualización]))</f>
        <v>1.1716593810022657</v>
      </c>
      <c r="AF37" s="890">
        <f>IF(ISNUMBER(Otras_Actividades_Base[[#This Row],[Fecha Financiero]])=TRUE,MONTH(Otras_Actividades_Base[[#This Row],[Fecha Financiero]]),0)</f>
        <v>0</v>
      </c>
      <c r="AG37" s="890">
        <f>IF(ISNUMBER(Otras_Actividades_Base[[#This Row],[Fecha Financiero]])=TRUE,YEAR(Otras_Actividades_Base[[#This Row],[Fecha Financiero]]),0)</f>
        <v>0</v>
      </c>
      <c r="AH37" s="891">
        <f>SUMPRODUCT((Otras_Actividades_Base[[#This Row],[Mes Financiero]]=Tipo_Cambio[Mes])*(Otras_Actividades_Base[[#This Row],[Año Financiero]]=Tipo_Cambio[Año])*(Tipo_Cambio[$/U$S]))</f>
        <v>0</v>
      </c>
      <c r="AI37" s="891">
        <f>SUMPRODUCT((Otras_Actividades_Base[[#This Row],[Mes Financiero]]=Tipo_Cambio[Mes])*(Otras_Actividades_Base[[#This Row],[Año Financiero]]=Tipo_Cambio[Año])*(Tipo_Cambio[Actualización]))</f>
        <v>0</v>
      </c>
      <c r="AJ37" s="916">
        <f>IF(Económico!$F$4=0,0,Otras_Actividades_Base[Centro de Costo])</f>
        <v>0</v>
      </c>
    </row>
    <row r="38" spans="4:36" x14ac:dyDescent="0.25">
      <c r="D38" s="42">
        <f t="shared" si="3"/>
        <v>43556</v>
      </c>
      <c r="E38" s="353"/>
      <c r="F38" s="988" t="str">
        <f t="shared" si="4"/>
        <v>2018-2019</v>
      </c>
      <c r="G38" s="32" t="s">
        <v>110</v>
      </c>
      <c r="H38" s="32"/>
      <c r="I38" s="32" t="s">
        <v>200</v>
      </c>
      <c r="J38" s="32"/>
      <c r="K38" s="29"/>
      <c r="L38" s="77"/>
      <c r="M38" s="41"/>
      <c r="N38" s="41" t="s">
        <v>48</v>
      </c>
      <c r="O38" s="51"/>
      <c r="P38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38" s="913">
        <f>IFERROR(Otras_Actividades_Base[[#This Row],[Económico $Corrientes]]/Otras_Actividades_Base[[#This Row],[Indexación Económico]],0)</f>
        <v>0</v>
      </c>
      <c r="R38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38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38" s="913">
        <f>IFERROR(Otras_Actividades_Base[[#This Row],[Financiero $Corrientes]]/Otras_Actividades_Base[[#This Row],[Indexación Financiero]],0)</f>
        <v>0</v>
      </c>
      <c r="U38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38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38" s="890">
        <f>IFERROR(Otras_Actividades_Base[[#This Row],[Intereses $Corrientes]]/Otras_Actividades_Base[[#This Row],[Indexación Financiero]],0)</f>
        <v>0</v>
      </c>
      <c r="X38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38" s="915" t="str">
        <f>IFERROR(INDEX(Otras_Actividades_Cuentas[],MATCH(Otras_Actividades_Base[[#This Row],[Cuenta Contable]],Otras_Actividades_Cuentas[Cuenta Contable],0),2),0)</f>
        <v>Egreso</v>
      </c>
      <c r="Z38" s="887" t="str">
        <f>IFERROR(INDEX(Tabla9[],MATCH(Otras_Actividades_Base[[#This Row],[Movimiento]],Tabla9[Movimientos],0),2),0)</f>
        <v>Si</v>
      </c>
      <c r="AA38" s="889" t="str">
        <f>IFERROR(INDEX(Tabla9[],MATCH(Otras_Actividades_Base[[#This Row],[Movimiento]],Tabla9[Movimientos],0),3),0)</f>
        <v>(-)</v>
      </c>
      <c r="AB38" s="884">
        <f>IF(Otras_Actividades_Base[[#This Row],[Fecha Económico]]=0,0,MONTH(Otras_Actividades_Base[[#This Row],[Fecha Económico]]))</f>
        <v>4</v>
      </c>
      <c r="AC38" s="890">
        <f>IF(Otras_Actividades_Base[[#This Row],[Fecha Económico]]=0,0,YEAR(Otras_Actividades_Base[[#This Row],[Fecha Económico]]))</f>
        <v>2019</v>
      </c>
      <c r="AD38" s="891">
        <f>SUMPRODUCT((Otras_Actividades_Base[[#This Row],[Mes Económico]]=Tipo_Cambio[Mes])*(Otras_Actividades_Base[[#This Row],[Año Económico]]=Tipo_Cambio[Año])*(Tipo_Cambio[$/U$S]))</f>
        <v>24.061075999055937</v>
      </c>
      <c r="AE38" s="891">
        <f>SUMPRODUCT((Otras_Actividades_Base[[#This Row],[Mes Económico]]=Tipo_Cambio[Mes])*(Otras_Actividades_Base[[#This Row],[Año Económico]]=Tipo_Cambio[Año])*(Tipo_Cambio[Actualización]))</f>
        <v>1.1950925686223111</v>
      </c>
      <c r="AF38" s="890">
        <f>IF(ISNUMBER(Otras_Actividades_Base[[#This Row],[Fecha Financiero]])=TRUE,MONTH(Otras_Actividades_Base[[#This Row],[Fecha Financiero]]),0)</f>
        <v>0</v>
      </c>
      <c r="AG38" s="890">
        <f>IF(ISNUMBER(Otras_Actividades_Base[[#This Row],[Fecha Financiero]])=TRUE,YEAR(Otras_Actividades_Base[[#This Row],[Fecha Financiero]]),0)</f>
        <v>0</v>
      </c>
      <c r="AH38" s="891">
        <f>SUMPRODUCT((Otras_Actividades_Base[[#This Row],[Mes Financiero]]=Tipo_Cambio[Mes])*(Otras_Actividades_Base[[#This Row],[Año Financiero]]=Tipo_Cambio[Año])*(Tipo_Cambio[$/U$S]))</f>
        <v>0</v>
      </c>
      <c r="AI38" s="891">
        <f>SUMPRODUCT((Otras_Actividades_Base[[#This Row],[Mes Financiero]]=Tipo_Cambio[Mes])*(Otras_Actividades_Base[[#This Row],[Año Financiero]]=Tipo_Cambio[Año])*(Tipo_Cambio[Actualización]))</f>
        <v>0</v>
      </c>
      <c r="AJ38" s="916">
        <f>IF(Económico!$F$4=0,0,Otras_Actividades_Base[Centro de Costo])</f>
        <v>0</v>
      </c>
    </row>
    <row r="39" spans="4:36" x14ac:dyDescent="0.25">
      <c r="D39" s="42">
        <f t="shared" si="3"/>
        <v>43586</v>
      </c>
      <c r="E39" s="353"/>
      <c r="F39" s="988" t="str">
        <f t="shared" si="4"/>
        <v>2018-2019</v>
      </c>
      <c r="G39" s="32" t="s">
        <v>110</v>
      </c>
      <c r="H39" s="32"/>
      <c r="I39" s="32" t="s">
        <v>200</v>
      </c>
      <c r="J39" s="32"/>
      <c r="K39" s="29"/>
      <c r="L39" s="77"/>
      <c r="M39" s="41"/>
      <c r="N39" s="41" t="s">
        <v>48</v>
      </c>
      <c r="O39" s="51"/>
      <c r="P39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39" s="913">
        <f>IFERROR(Otras_Actividades_Base[[#This Row],[Económico $Corrientes]]/Otras_Actividades_Base[[#This Row],[Indexación Económico]],0)</f>
        <v>0</v>
      </c>
      <c r="R39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39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39" s="913">
        <f>IFERROR(Otras_Actividades_Base[[#This Row],[Financiero $Corrientes]]/Otras_Actividades_Base[[#This Row],[Indexación Financiero]],0)</f>
        <v>0</v>
      </c>
      <c r="U39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39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39" s="890">
        <f>IFERROR(Otras_Actividades_Base[[#This Row],[Intereses $Corrientes]]/Otras_Actividades_Base[[#This Row],[Indexación Financiero]],0)</f>
        <v>0</v>
      </c>
      <c r="X39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39" s="915" t="str">
        <f>IFERROR(INDEX(Otras_Actividades_Cuentas[],MATCH(Otras_Actividades_Base[[#This Row],[Cuenta Contable]],Otras_Actividades_Cuentas[Cuenta Contable],0),2),0)</f>
        <v>Egreso</v>
      </c>
      <c r="Z39" s="887" t="str">
        <f>IFERROR(INDEX(Tabla9[],MATCH(Otras_Actividades_Base[[#This Row],[Movimiento]],Tabla9[Movimientos],0),2),0)</f>
        <v>Si</v>
      </c>
      <c r="AA39" s="889" t="str">
        <f>IFERROR(INDEX(Tabla9[],MATCH(Otras_Actividades_Base[[#This Row],[Movimiento]],Tabla9[Movimientos],0),3),0)</f>
        <v>(-)</v>
      </c>
      <c r="AB39" s="884">
        <f>IF(Otras_Actividades_Base[[#This Row],[Fecha Económico]]=0,0,MONTH(Otras_Actividades_Base[[#This Row],[Fecha Económico]]))</f>
        <v>5</v>
      </c>
      <c r="AC39" s="890">
        <f>IF(Otras_Actividades_Base[[#This Row],[Fecha Económico]]=0,0,YEAR(Otras_Actividades_Base[[#This Row],[Fecha Económico]]))</f>
        <v>2019</v>
      </c>
      <c r="AD39" s="891">
        <f>SUMPRODUCT((Otras_Actividades_Base[[#This Row],[Mes Económico]]=Tipo_Cambio[Mes])*(Otras_Actividades_Base[[#This Row],[Año Económico]]=Tipo_Cambio[Año])*(Tipo_Cambio[$/U$S]))</f>
        <v>24.301686759046497</v>
      </c>
      <c r="AE39" s="891">
        <f>SUMPRODUCT((Otras_Actividades_Base[[#This Row],[Mes Económico]]=Tipo_Cambio[Mes])*(Otras_Actividades_Base[[#This Row],[Año Económico]]=Tipo_Cambio[Año])*(Tipo_Cambio[Actualización]))</f>
        <v>1.2189944199947573</v>
      </c>
      <c r="AF39" s="890">
        <f>IF(ISNUMBER(Otras_Actividades_Base[[#This Row],[Fecha Financiero]])=TRUE,MONTH(Otras_Actividades_Base[[#This Row],[Fecha Financiero]]),0)</f>
        <v>0</v>
      </c>
      <c r="AG39" s="890">
        <f>IF(ISNUMBER(Otras_Actividades_Base[[#This Row],[Fecha Financiero]])=TRUE,YEAR(Otras_Actividades_Base[[#This Row],[Fecha Financiero]]),0)</f>
        <v>0</v>
      </c>
      <c r="AH39" s="891">
        <f>SUMPRODUCT((Otras_Actividades_Base[[#This Row],[Mes Financiero]]=Tipo_Cambio[Mes])*(Otras_Actividades_Base[[#This Row],[Año Financiero]]=Tipo_Cambio[Año])*(Tipo_Cambio[$/U$S]))</f>
        <v>0</v>
      </c>
      <c r="AI39" s="891">
        <f>SUMPRODUCT((Otras_Actividades_Base[[#This Row],[Mes Financiero]]=Tipo_Cambio[Mes])*(Otras_Actividades_Base[[#This Row],[Año Financiero]]=Tipo_Cambio[Año])*(Tipo_Cambio[Actualización]))</f>
        <v>0</v>
      </c>
      <c r="AJ39" s="916">
        <f>IF(Económico!$F$4=0,0,Otras_Actividades_Base[Centro de Costo])</f>
        <v>0</v>
      </c>
    </row>
    <row r="40" spans="4:36" x14ac:dyDescent="0.25">
      <c r="D40" s="42">
        <f t="shared" si="3"/>
        <v>43617</v>
      </c>
      <c r="E40" s="353"/>
      <c r="F40" s="988" t="str">
        <f t="shared" si="4"/>
        <v>2018-2019</v>
      </c>
      <c r="G40" s="32" t="s">
        <v>110</v>
      </c>
      <c r="H40" s="32"/>
      <c r="I40" s="32" t="s">
        <v>200</v>
      </c>
      <c r="J40" s="32"/>
      <c r="K40" s="29"/>
      <c r="L40" s="77"/>
      <c r="M40" s="41"/>
      <c r="N40" s="41" t="s">
        <v>48</v>
      </c>
      <c r="O40" s="51"/>
      <c r="P40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40" s="913">
        <f>IFERROR(Otras_Actividades_Base[[#This Row],[Económico $Corrientes]]/Otras_Actividades_Base[[#This Row],[Indexación Económico]],0)</f>
        <v>0</v>
      </c>
      <c r="R40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40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40" s="913">
        <f>IFERROR(Otras_Actividades_Base[[#This Row],[Financiero $Corrientes]]/Otras_Actividades_Base[[#This Row],[Indexación Financiero]],0)</f>
        <v>0</v>
      </c>
      <c r="U40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40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40" s="890">
        <f>IFERROR(Otras_Actividades_Base[[#This Row],[Intereses $Corrientes]]/Otras_Actividades_Base[[#This Row],[Indexación Financiero]],0)</f>
        <v>0</v>
      </c>
      <c r="X40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40" s="915" t="str">
        <f>IFERROR(INDEX(Otras_Actividades_Cuentas[],MATCH(Otras_Actividades_Base[[#This Row],[Cuenta Contable]],Otras_Actividades_Cuentas[Cuenta Contable],0),2),0)</f>
        <v>Egreso</v>
      </c>
      <c r="Z40" s="887" t="str">
        <f>IFERROR(INDEX(Tabla9[],MATCH(Otras_Actividades_Base[[#This Row],[Movimiento]],Tabla9[Movimientos],0),2),0)</f>
        <v>Si</v>
      </c>
      <c r="AA40" s="889" t="str">
        <f>IFERROR(INDEX(Tabla9[],MATCH(Otras_Actividades_Base[[#This Row],[Movimiento]],Tabla9[Movimientos],0),3),0)</f>
        <v>(-)</v>
      </c>
      <c r="AB40" s="884">
        <f>IF(Otras_Actividades_Base[[#This Row],[Fecha Económico]]=0,0,MONTH(Otras_Actividades_Base[[#This Row],[Fecha Económico]]))</f>
        <v>6</v>
      </c>
      <c r="AC40" s="890">
        <f>IF(Otras_Actividades_Base[[#This Row],[Fecha Económico]]=0,0,YEAR(Otras_Actividades_Base[[#This Row],[Fecha Económico]]))</f>
        <v>2019</v>
      </c>
      <c r="AD40" s="891">
        <f>SUMPRODUCT((Otras_Actividades_Base[[#This Row],[Mes Económico]]=Tipo_Cambio[Mes])*(Otras_Actividades_Base[[#This Row],[Año Económico]]=Tipo_Cambio[Año])*(Tipo_Cambio[$/U$S]))</f>
        <v>24.544703626636963</v>
      </c>
      <c r="AE40" s="891">
        <f>SUMPRODUCT((Otras_Actividades_Base[[#This Row],[Mes Económico]]=Tipo_Cambio[Mes])*(Otras_Actividades_Base[[#This Row],[Año Económico]]=Tipo_Cambio[Año])*(Tipo_Cambio[Actualización]))</f>
        <v>1.2433743083946525</v>
      </c>
      <c r="AF40" s="890">
        <f>IF(ISNUMBER(Otras_Actividades_Base[[#This Row],[Fecha Financiero]])=TRUE,MONTH(Otras_Actividades_Base[[#This Row],[Fecha Financiero]]),0)</f>
        <v>0</v>
      </c>
      <c r="AG40" s="890">
        <f>IF(ISNUMBER(Otras_Actividades_Base[[#This Row],[Fecha Financiero]])=TRUE,YEAR(Otras_Actividades_Base[[#This Row],[Fecha Financiero]]),0)</f>
        <v>0</v>
      </c>
      <c r="AH40" s="891">
        <f>SUMPRODUCT((Otras_Actividades_Base[[#This Row],[Mes Financiero]]=Tipo_Cambio[Mes])*(Otras_Actividades_Base[[#This Row],[Año Financiero]]=Tipo_Cambio[Año])*(Tipo_Cambio[$/U$S]))</f>
        <v>0</v>
      </c>
      <c r="AI40" s="891">
        <f>SUMPRODUCT((Otras_Actividades_Base[[#This Row],[Mes Financiero]]=Tipo_Cambio[Mes])*(Otras_Actividades_Base[[#This Row],[Año Financiero]]=Tipo_Cambio[Año])*(Tipo_Cambio[Actualización]))</f>
        <v>0</v>
      </c>
      <c r="AJ40" s="916">
        <f>IF(Económico!$F$4=0,0,Otras_Actividades_Base[Centro de Costo])</f>
        <v>0</v>
      </c>
    </row>
    <row r="41" spans="4:36" x14ac:dyDescent="0.25">
      <c r="D41" s="428">
        <f>DATE(LEFT(Otras_Actividades_Base[[#This Row],[Campaña]],4),7,1)</f>
        <v>43282</v>
      </c>
      <c r="E41" s="434"/>
      <c r="F41" s="1076" t="str">
        <f t="shared" si="4"/>
        <v>2018-2019</v>
      </c>
      <c r="G41" s="429" t="s">
        <v>511</v>
      </c>
      <c r="H41" s="429"/>
      <c r="I41" s="429" t="s">
        <v>200</v>
      </c>
      <c r="J41" s="429"/>
      <c r="K41" s="430"/>
      <c r="L41" s="431"/>
      <c r="M41" s="429"/>
      <c r="N41" s="431" t="s">
        <v>48</v>
      </c>
      <c r="O41" s="432"/>
      <c r="P41" s="1046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41" s="1044">
        <f>IFERROR(Otras_Actividades_Base[[#This Row],[Económico $Corrientes]]/Otras_Actividades_Base[[#This Row],[Indexación Económico]],0)</f>
        <v>0</v>
      </c>
      <c r="R41" s="1045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41" s="1046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41" s="1044">
        <f>IFERROR(Otras_Actividades_Base[[#This Row],[Financiero $Corrientes]]/Otras_Actividades_Base[[#This Row],[Indexación Financiero]],0)</f>
        <v>0</v>
      </c>
      <c r="U41" s="1052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41" s="1047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41" s="1048">
        <f>IFERROR(Otras_Actividades_Base[[#This Row],[Intereses $Corrientes]]/Otras_Actividades_Base[[#This Row],[Indexación Financiero]],0)</f>
        <v>0</v>
      </c>
      <c r="X41" s="1048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41" s="1053" t="str">
        <f>IFERROR(INDEX(Otras_Actividades_Cuentas[],MATCH(Otras_Actividades_Base[[#This Row],[Cuenta Contable]],Otras_Actividades_Cuentas[Cuenta Contable],0),2),0)</f>
        <v>Egreso</v>
      </c>
      <c r="Z41" s="1050" t="str">
        <f>IFERROR(INDEX(Tabla9[],MATCH(Otras_Actividades_Base[[#This Row],[Movimiento]],Tabla9[Movimientos],0),2),0)</f>
        <v>Si</v>
      </c>
      <c r="AA41" s="1051" t="str">
        <f>IFERROR(INDEX(Tabla9[],MATCH(Otras_Actividades_Base[[#This Row],[Movimiento]],Tabla9[Movimientos],0),3),0)</f>
        <v>(-)</v>
      </c>
      <c r="AB41" s="1047">
        <f>IF(Otras_Actividades_Base[[#This Row],[Fecha Económico]]=0,0,MONTH(Otras_Actividades_Base[[#This Row],[Fecha Económico]]))</f>
        <v>7</v>
      </c>
      <c r="AC41" s="1048">
        <f>IF(Otras_Actividades_Base[[#This Row],[Fecha Económico]]=0,0,YEAR(Otras_Actividades_Base[[#This Row],[Fecha Económico]]))</f>
        <v>2018</v>
      </c>
      <c r="AD41" s="1051">
        <f>SUMPRODUCT((Otras_Actividades_Base[[#This Row],[Mes Económico]]=Tipo_Cambio[Mes])*(Otras_Actividades_Base[[#This Row],[Año Económico]]=Tipo_Cambio[Año])*(Tipo_Cambio[$/U$S]))</f>
        <v>22</v>
      </c>
      <c r="AE41" s="1051">
        <f>SUMPRODUCT((Otras_Actividades_Base[[#This Row],[Mes Económico]]=Tipo_Cambio[Mes])*(Otras_Actividades_Base[[#This Row],[Año Económico]]=Tipo_Cambio[Año])*(Tipo_Cambio[Actualización]))</f>
        <v>1</v>
      </c>
      <c r="AF41" s="1048">
        <f>IF(ISNUMBER(Otras_Actividades_Base[[#This Row],[Fecha Financiero]])=TRUE,MONTH(Otras_Actividades_Base[[#This Row],[Fecha Financiero]]),0)</f>
        <v>0</v>
      </c>
      <c r="AG41" s="1048">
        <f>IF(ISNUMBER(Otras_Actividades_Base[[#This Row],[Fecha Financiero]])=TRUE,YEAR(Otras_Actividades_Base[[#This Row],[Fecha Financiero]]),0)</f>
        <v>0</v>
      </c>
      <c r="AH41" s="1051">
        <f>SUMPRODUCT((Otras_Actividades_Base[[#This Row],[Mes Financiero]]=Tipo_Cambio[Mes])*(Otras_Actividades_Base[[#This Row],[Año Financiero]]=Tipo_Cambio[Año])*(Tipo_Cambio[$/U$S]))</f>
        <v>0</v>
      </c>
      <c r="AI41" s="1051">
        <f>SUMPRODUCT((Otras_Actividades_Base[[#This Row],[Mes Financiero]]=Tipo_Cambio[Mes])*(Otras_Actividades_Base[[#This Row],[Año Financiero]]=Tipo_Cambio[Año])*(Tipo_Cambio[Actualización]))</f>
        <v>0</v>
      </c>
      <c r="AJ41" s="1054">
        <f>IF(Económico!$F$4=0,0,Otras_Actividades_Base[Centro de Costo])</f>
        <v>0</v>
      </c>
    </row>
    <row r="42" spans="4:36" x14ac:dyDescent="0.25">
      <c r="D42" s="42">
        <f>DATE(IF(MONTH(D41)=1,YEAR(D41+1),YEAR(D41)),MONTH(D41)+1,1)</f>
        <v>43313</v>
      </c>
      <c r="E42" s="353"/>
      <c r="F42" s="988" t="str">
        <f t="shared" si="4"/>
        <v>2018-2019</v>
      </c>
      <c r="G42" s="32" t="s">
        <v>511</v>
      </c>
      <c r="H42" s="32"/>
      <c r="I42" s="32" t="s">
        <v>200</v>
      </c>
      <c r="J42" s="32"/>
      <c r="K42" s="29"/>
      <c r="L42" s="77"/>
      <c r="M42" s="41"/>
      <c r="N42" s="41" t="s">
        <v>48</v>
      </c>
      <c r="O42" s="51"/>
      <c r="P42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42" s="913">
        <f>IFERROR(Otras_Actividades_Base[[#This Row],[Económico $Corrientes]]/Otras_Actividades_Base[[#This Row],[Indexación Económico]],0)</f>
        <v>0</v>
      </c>
      <c r="R42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42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42" s="913">
        <f>IFERROR(Otras_Actividades_Base[[#This Row],[Financiero $Corrientes]]/Otras_Actividades_Base[[#This Row],[Indexación Financiero]],0)</f>
        <v>0</v>
      </c>
      <c r="U42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42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42" s="890">
        <f>IFERROR(Otras_Actividades_Base[[#This Row],[Intereses $Corrientes]]/Otras_Actividades_Base[[#This Row],[Indexación Financiero]],0)</f>
        <v>0</v>
      </c>
      <c r="X42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42" s="915" t="str">
        <f>IFERROR(INDEX(Otras_Actividades_Cuentas[],MATCH(Otras_Actividades_Base[[#This Row],[Cuenta Contable]],Otras_Actividades_Cuentas[Cuenta Contable],0),2),0)</f>
        <v>Egreso</v>
      </c>
      <c r="Z42" s="887" t="str">
        <f>IFERROR(INDEX(Tabla9[],MATCH(Otras_Actividades_Base[[#This Row],[Movimiento]],Tabla9[Movimientos],0),2),0)</f>
        <v>Si</v>
      </c>
      <c r="AA42" s="889" t="str">
        <f>IFERROR(INDEX(Tabla9[],MATCH(Otras_Actividades_Base[[#This Row],[Movimiento]],Tabla9[Movimientos],0),3),0)</f>
        <v>(-)</v>
      </c>
      <c r="AB42" s="884">
        <f>IF(Otras_Actividades_Base[[#This Row],[Fecha Económico]]=0,0,MONTH(Otras_Actividades_Base[[#This Row],[Fecha Económico]]))</f>
        <v>8</v>
      </c>
      <c r="AC42" s="890">
        <f>IF(Otras_Actividades_Base[[#This Row],[Fecha Económico]]=0,0,YEAR(Otras_Actividades_Base[[#This Row],[Fecha Económico]]))</f>
        <v>2018</v>
      </c>
      <c r="AD42" s="891">
        <f>SUMPRODUCT((Otras_Actividades_Base[[#This Row],[Mes Económico]]=Tipo_Cambio[Mes])*(Otras_Actividades_Base[[#This Row],[Año Económico]]=Tipo_Cambio[Año])*(Tipo_Cambio[$/U$S]))</f>
        <v>22.22</v>
      </c>
      <c r="AE42" s="891">
        <f>SUMPRODUCT((Otras_Actividades_Base[[#This Row],[Mes Económico]]=Tipo_Cambio[Mes])*(Otras_Actividades_Base[[#This Row],[Año Económico]]=Tipo_Cambio[Año])*(Tipo_Cambio[Actualización]))</f>
        <v>1.02</v>
      </c>
      <c r="AF42" s="890">
        <f>IF(ISNUMBER(Otras_Actividades_Base[[#This Row],[Fecha Financiero]])=TRUE,MONTH(Otras_Actividades_Base[[#This Row],[Fecha Financiero]]),0)</f>
        <v>0</v>
      </c>
      <c r="AG42" s="890">
        <f>IF(ISNUMBER(Otras_Actividades_Base[[#This Row],[Fecha Financiero]])=TRUE,YEAR(Otras_Actividades_Base[[#This Row],[Fecha Financiero]]),0)</f>
        <v>0</v>
      </c>
      <c r="AH42" s="891">
        <f>SUMPRODUCT((Otras_Actividades_Base[[#This Row],[Mes Financiero]]=Tipo_Cambio[Mes])*(Otras_Actividades_Base[[#This Row],[Año Financiero]]=Tipo_Cambio[Año])*(Tipo_Cambio[$/U$S]))</f>
        <v>0</v>
      </c>
      <c r="AI42" s="891">
        <f>SUMPRODUCT((Otras_Actividades_Base[[#This Row],[Mes Financiero]]=Tipo_Cambio[Mes])*(Otras_Actividades_Base[[#This Row],[Año Financiero]]=Tipo_Cambio[Año])*(Tipo_Cambio[Actualización]))</f>
        <v>0</v>
      </c>
      <c r="AJ42" s="916">
        <f>IF(Económico!$F$4=0,0,Otras_Actividades_Base[Centro de Costo])</f>
        <v>0</v>
      </c>
    </row>
    <row r="43" spans="4:36" x14ac:dyDescent="0.25">
      <c r="D43" s="42">
        <f t="shared" ref="D43:D52" si="5">DATE(IF(MONTH(D42)=1,YEAR(D42+1),YEAR(D42)),MONTH(D42)+1,1)</f>
        <v>43344</v>
      </c>
      <c r="E43" s="353"/>
      <c r="F43" s="988" t="str">
        <f t="shared" si="4"/>
        <v>2018-2019</v>
      </c>
      <c r="G43" s="32" t="s">
        <v>511</v>
      </c>
      <c r="H43" s="32"/>
      <c r="I43" s="32" t="s">
        <v>200</v>
      </c>
      <c r="J43" s="32"/>
      <c r="K43" s="29"/>
      <c r="L43" s="77"/>
      <c r="M43" s="41"/>
      <c r="N43" s="41" t="s">
        <v>48</v>
      </c>
      <c r="O43" s="51"/>
      <c r="P43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43" s="913">
        <f>IFERROR(Otras_Actividades_Base[[#This Row],[Económico $Corrientes]]/Otras_Actividades_Base[[#This Row],[Indexación Económico]],0)</f>
        <v>0</v>
      </c>
      <c r="R43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43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43" s="913">
        <f>IFERROR(Otras_Actividades_Base[[#This Row],[Financiero $Corrientes]]/Otras_Actividades_Base[[#This Row],[Indexación Financiero]],0)</f>
        <v>0</v>
      </c>
      <c r="U43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43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43" s="890">
        <f>IFERROR(Otras_Actividades_Base[[#This Row],[Intereses $Corrientes]]/Otras_Actividades_Base[[#This Row],[Indexación Financiero]],0)</f>
        <v>0</v>
      </c>
      <c r="X43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43" s="915" t="str">
        <f>IFERROR(INDEX(Otras_Actividades_Cuentas[],MATCH(Otras_Actividades_Base[[#This Row],[Cuenta Contable]],Otras_Actividades_Cuentas[Cuenta Contable],0),2),0)</f>
        <v>Egreso</v>
      </c>
      <c r="Z43" s="887" t="str">
        <f>IFERROR(INDEX(Tabla9[],MATCH(Otras_Actividades_Base[[#This Row],[Movimiento]],Tabla9[Movimientos],0),2),0)</f>
        <v>Si</v>
      </c>
      <c r="AA43" s="889" t="str">
        <f>IFERROR(INDEX(Tabla9[],MATCH(Otras_Actividades_Base[[#This Row],[Movimiento]],Tabla9[Movimientos],0),3),0)</f>
        <v>(-)</v>
      </c>
      <c r="AB43" s="884">
        <f>IF(Otras_Actividades_Base[[#This Row],[Fecha Económico]]=0,0,MONTH(Otras_Actividades_Base[[#This Row],[Fecha Económico]]))</f>
        <v>9</v>
      </c>
      <c r="AC43" s="890">
        <f>IF(Otras_Actividades_Base[[#This Row],[Fecha Económico]]=0,0,YEAR(Otras_Actividades_Base[[#This Row],[Fecha Económico]]))</f>
        <v>2018</v>
      </c>
      <c r="AD43" s="891">
        <f>SUMPRODUCT((Otras_Actividades_Base[[#This Row],[Mes Económico]]=Tipo_Cambio[Mes])*(Otras_Actividades_Base[[#This Row],[Año Económico]]=Tipo_Cambio[Año])*(Tipo_Cambio[$/U$S]))</f>
        <v>22.4422</v>
      </c>
      <c r="AE43" s="891">
        <f>SUMPRODUCT((Otras_Actividades_Base[[#This Row],[Mes Económico]]=Tipo_Cambio[Mes])*(Otras_Actividades_Base[[#This Row],[Año Económico]]=Tipo_Cambio[Año])*(Tipo_Cambio[Actualización]))</f>
        <v>1.0404</v>
      </c>
      <c r="AF43" s="890">
        <f>IF(ISNUMBER(Otras_Actividades_Base[[#This Row],[Fecha Financiero]])=TRUE,MONTH(Otras_Actividades_Base[[#This Row],[Fecha Financiero]]),0)</f>
        <v>0</v>
      </c>
      <c r="AG43" s="890">
        <f>IF(ISNUMBER(Otras_Actividades_Base[[#This Row],[Fecha Financiero]])=TRUE,YEAR(Otras_Actividades_Base[[#This Row],[Fecha Financiero]]),0)</f>
        <v>0</v>
      </c>
      <c r="AH43" s="891">
        <f>SUMPRODUCT((Otras_Actividades_Base[[#This Row],[Mes Financiero]]=Tipo_Cambio[Mes])*(Otras_Actividades_Base[[#This Row],[Año Financiero]]=Tipo_Cambio[Año])*(Tipo_Cambio[$/U$S]))</f>
        <v>0</v>
      </c>
      <c r="AI43" s="891">
        <f>SUMPRODUCT((Otras_Actividades_Base[[#This Row],[Mes Financiero]]=Tipo_Cambio[Mes])*(Otras_Actividades_Base[[#This Row],[Año Financiero]]=Tipo_Cambio[Año])*(Tipo_Cambio[Actualización]))</f>
        <v>0</v>
      </c>
      <c r="AJ43" s="916">
        <f>IF(Económico!$F$4=0,0,Otras_Actividades_Base[Centro de Costo])</f>
        <v>0</v>
      </c>
    </row>
    <row r="44" spans="4:36" x14ac:dyDescent="0.25">
      <c r="D44" s="42">
        <f t="shared" si="5"/>
        <v>43374</v>
      </c>
      <c r="E44" s="353"/>
      <c r="F44" s="988" t="str">
        <f t="shared" si="4"/>
        <v>2018-2019</v>
      </c>
      <c r="G44" s="32" t="s">
        <v>511</v>
      </c>
      <c r="H44" s="32"/>
      <c r="I44" s="32" t="s">
        <v>200</v>
      </c>
      <c r="J44" s="32"/>
      <c r="K44" s="29"/>
      <c r="L44" s="77"/>
      <c r="M44" s="41"/>
      <c r="N44" s="41" t="s">
        <v>48</v>
      </c>
      <c r="O44" s="51"/>
      <c r="P44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44" s="913">
        <f>IFERROR(Otras_Actividades_Base[[#This Row],[Económico $Corrientes]]/Otras_Actividades_Base[[#This Row],[Indexación Económico]],0)</f>
        <v>0</v>
      </c>
      <c r="R44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44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44" s="913">
        <f>IFERROR(Otras_Actividades_Base[[#This Row],[Financiero $Corrientes]]/Otras_Actividades_Base[[#This Row],[Indexación Financiero]],0)</f>
        <v>0</v>
      </c>
      <c r="U44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44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44" s="890">
        <f>IFERROR(Otras_Actividades_Base[[#This Row],[Intereses $Corrientes]]/Otras_Actividades_Base[[#This Row],[Indexación Financiero]],0)</f>
        <v>0</v>
      </c>
      <c r="X44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44" s="915" t="str">
        <f>IFERROR(INDEX(Otras_Actividades_Cuentas[],MATCH(Otras_Actividades_Base[[#This Row],[Cuenta Contable]],Otras_Actividades_Cuentas[Cuenta Contable],0),2),0)</f>
        <v>Egreso</v>
      </c>
      <c r="Z44" s="887" t="str">
        <f>IFERROR(INDEX(Tabla9[],MATCH(Otras_Actividades_Base[[#This Row],[Movimiento]],Tabla9[Movimientos],0),2),0)</f>
        <v>Si</v>
      </c>
      <c r="AA44" s="889" t="str">
        <f>IFERROR(INDEX(Tabla9[],MATCH(Otras_Actividades_Base[[#This Row],[Movimiento]],Tabla9[Movimientos],0),3),0)</f>
        <v>(-)</v>
      </c>
      <c r="AB44" s="884">
        <f>IF(Otras_Actividades_Base[[#This Row],[Fecha Económico]]=0,0,MONTH(Otras_Actividades_Base[[#This Row],[Fecha Económico]]))</f>
        <v>10</v>
      </c>
      <c r="AC44" s="890">
        <f>IF(Otras_Actividades_Base[[#This Row],[Fecha Económico]]=0,0,YEAR(Otras_Actividades_Base[[#This Row],[Fecha Económico]]))</f>
        <v>2018</v>
      </c>
      <c r="AD44" s="891">
        <f>SUMPRODUCT((Otras_Actividades_Base[[#This Row],[Mes Económico]]=Tipo_Cambio[Mes])*(Otras_Actividades_Base[[#This Row],[Año Económico]]=Tipo_Cambio[Año])*(Tipo_Cambio[$/U$S]))</f>
        <v>22.666622</v>
      </c>
      <c r="AE44" s="891">
        <f>SUMPRODUCT((Otras_Actividades_Base[[#This Row],[Mes Económico]]=Tipo_Cambio[Mes])*(Otras_Actividades_Base[[#This Row],[Año Económico]]=Tipo_Cambio[Año])*(Tipo_Cambio[Actualización]))</f>
        <v>1.0612079999999999</v>
      </c>
      <c r="AF44" s="890">
        <f>IF(ISNUMBER(Otras_Actividades_Base[[#This Row],[Fecha Financiero]])=TRUE,MONTH(Otras_Actividades_Base[[#This Row],[Fecha Financiero]]),0)</f>
        <v>0</v>
      </c>
      <c r="AG44" s="890">
        <f>IF(ISNUMBER(Otras_Actividades_Base[[#This Row],[Fecha Financiero]])=TRUE,YEAR(Otras_Actividades_Base[[#This Row],[Fecha Financiero]]),0)</f>
        <v>0</v>
      </c>
      <c r="AH44" s="891">
        <f>SUMPRODUCT((Otras_Actividades_Base[[#This Row],[Mes Financiero]]=Tipo_Cambio[Mes])*(Otras_Actividades_Base[[#This Row],[Año Financiero]]=Tipo_Cambio[Año])*(Tipo_Cambio[$/U$S]))</f>
        <v>0</v>
      </c>
      <c r="AI44" s="891">
        <f>SUMPRODUCT((Otras_Actividades_Base[[#This Row],[Mes Financiero]]=Tipo_Cambio[Mes])*(Otras_Actividades_Base[[#This Row],[Año Financiero]]=Tipo_Cambio[Año])*(Tipo_Cambio[Actualización]))</f>
        <v>0</v>
      </c>
      <c r="AJ44" s="916">
        <f>IF(Económico!$F$4=0,0,Otras_Actividades_Base[Centro de Costo])</f>
        <v>0</v>
      </c>
    </row>
    <row r="45" spans="4:36" x14ac:dyDescent="0.25">
      <c r="D45" s="42">
        <f t="shared" si="5"/>
        <v>43405</v>
      </c>
      <c r="E45" s="353"/>
      <c r="F45" s="988" t="str">
        <f t="shared" si="4"/>
        <v>2018-2019</v>
      </c>
      <c r="G45" s="32" t="s">
        <v>511</v>
      </c>
      <c r="H45" s="32"/>
      <c r="I45" s="32" t="s">
        <v>200</v>
      </c>
      <c r="J45" s="32"/>
      <c r="K45" s="29"/>
      <c r="L45" s="77"/>
      <c r="M45" s="41"/>
      <c r="N45" s="41" t="s">
        <v>48</v>
      </c>
      <c r="O45" s="51"/>
      <c r="P45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45" s="913">
        <f>IFERROR(Otras_Actividades_Base[[#This Row],[Económico $Corrientes]]/Otras_Actividades_Base[[#This Row],[Indexación Económico]],0)</f>
        <v>0</v>
      </c>
      <c r="R45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45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45" s="913">
        <f>IFERROR(Otras_Actividades_Base[[#This Row],[Financiero $Corrientes]]/Otras_Actividades_Base[[#This Row],[Indexación Financiero]],0)</f>
        <v>0</v>
      </c>
      <c r="U45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45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45" s="890">
        <f>IFERROR(Otras_Actividades_Base[[#This Row],[Intereses $Corrientes]]/Otras_Actividades_Base[[#This Row],[Indexación Financiero]],0)</f>
        <v>0</v>
      </c>
      <c r="X45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45" s="915" t="str">
        <f>IFERROR(INDEX(Otras_Actividades_Cuentas[],MATCH(Otras_Actividades_Base[[#This Row],[Cuenta Contable]],Otras_Actividades_Cuentas[Cuenta Contable],0),2),0)</f>
        <v>Egreso</v>
      </c>
      <c r="Z45" s="887" t="str">
        <f>IFERROR(INDEX(Tabla9[],MATCH(Otras_Actividades_Base[[#This Row],[Movimiento]],Tabla9[Movimientos],0),2),0)</f>
        <v>Si</v>
      </c>
      <c r="AA45" s="889" t="str">
        <f>IFERROR(INDEX(Tabla9[],MATCH(Otras_Actividades_Base[[#This Row],[Movimiento]],Tabla9[Movimientos],0),3),0)</f>
        <v>(-)</v>
      </c>
      <c r="AB45" s="884">
        <f>IF(Otras_Actividades_Base[[#This Row],[Fecha Económico]]=0,0,MONTH(Otras_Actividades_Base[[#This Row],[Fecha Económico]]))</f>
        <v>11</v>
      </c>
      <c r="AC45" s="890">
        <f>IF(Otras_Actividades_Base[[#This Row],[Fecha Económico]]=0,0,YEAR(Otras_Actividades_Base[[#This Row],[Fecha Económico]]))</f>
        <v>2018</v>
      </c>
      <c r="AD45" s="891">
        <f>SUMPRODUCT((Otras_Actividades_Base[[#This Row],[Mes Económico]]=Tipo_Cambio[Mes])*(Otras_Actividades_Base[[#This Row],[Año Económico]]=Tipo_Cambio[Año])*(Tipo_Cambio[$/U$S]))</f>
        <v>22.893288219999999</v>
      </c>
      <c r="AE45" s="891">
        <f>SUMPRODUCT((Otras_Actividades_Base[[#This Row],[Mes Económico]]=Tipo_Cambio[Mes])*(Otras_Actividades_Base[[#This Row],[Año Económico]]=Tipo_Cambio[Año])*(Tipo_Cambio[Actualización]))</f>
        <v>1.08243216</v>
      </c>
      <c r="AF45" s="890">
        <f>IF(ISNUMBER(Otras_Actividades_Base[[#This Row],[Fecha Financiero]])=TRUE,MONTH(Otras_Actividades_Base[[#This Row],[Fecha Financiero]]),0)</f>
        <v>0</v>
      </c>
      <c r="AG45" s="890">
        <f>IF(ISNUMBER(Otras_Actividades_Base[[#This Row],[Fecha Financiero]])=TRUE,YEAR(Otras_Actividades_Base[[#This Row],[Fecha Financiero]]),0)</f>
        <v>0</v>
      </c>
      <c r="AH45" s="891">
        <f>SUMPRODUCT((Otras_Actividades_Base[[#This Row],[Mes Financiero]]=Tipo_Cambio[Mes])*(Otras_Actividades_Base[[#This Row],[Año Financiero]]=Tipo_Cambio[Año])*(Tipo_Cambio[$/U$S]))</f>
        <v>0</v>
      </c>
      <c r="AI45" s="891">
        <f>SUMPRODUCT((Otras_Actividades_Base[[#This Row],[Mes Financiero]]=Tipo_Cambio[Mes])*(Otras_Actividades_Base[[#This Row],[Año Financiero]]=Tipo_Cambio[Año])*(Tipo_Cambio[Actualización]))</f>
        <v>0</v>
      </c>
      <c r="AJ45" s="916">
        <f>IF(Económico!$F$4=0,0,Otras_Actividades_Base[Centro de Costo])</f>
        <v>0</v>
      </c>
    </row>
    <row r="46" spans="4:36" x14ac:dyDescent="0.25">
      <c r="D46" s="42">
        <f t="shared" si="5"/>
        <v>43435</v>
      </c>
      <c r="E46" s="353"/>
      <c r="F46" s="988" t="str">
        <f t="shared" si="4"/>
        <v>2018-2019</v>
      </c>
      <c r="G46" s="32" t="s">
        <v>511</v>
      </c>
      <c r="H46" s="32"/>
      <c r="I46" s="32" t="s">
        <v>200</v>
      </c>
      <c r="J46" s="32"/>
      <c r="K46" s="29"/>
      <c r="L46" s="77"/>
      <c r="M46" s="41"/>
      <c r="N46" s="41" t="s">
        <v>48</v>
      </c>
      <c r="O46" s="51"/>
      <c r="P46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46" s="913">
        <f>IFERROR(Otras_Actividades_Base[[#This Row],[Económico $Corrientes]]/Otras_Actividades_Base[[#This Row],[Indexación Económico]],0)</f>
        <v>0</v>
      </c>
      <c r="R46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46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46" s="913">
        <f>IFERROR(Otras_Actividades_Base[[#This Row],[Financiero $Corrientes]]/Otras_Actividades_Base[[#This Row],[Indexación Financiero]],0)</f>
        <v>0</v>
      </c>
      <c r="U46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46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46" s="890">
        <f>IFERROR(Otras_Actividades_Base[[#This Row],[Intereses $Corrientes]]/Otras_Actividades_Base[[#This Row],[Indexación Financiero]],0)</f>
        <v>0</v>
      </c>
      <c r="X46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46" s="915" t="str">
        <f>IFERROR(INDEX(Otras_Actividades_Cuentas[],MATCH(Otras_Actividades_Base[[#This Row],[Cuenta Contable]],Otras_Actividades_Cuentas[Cuenta Contable],0),2),0)</f>
        <v>Egreso</v>
      </c>
      <c r="Z46" s="887" t="str">
        <f>IFERROR(INDEX(Tabla9[],MATCH(Otras_Actividades_Base[[#This Row],[Movimiento]],Tabla9[Movimientos],0),2),0)</f>
        <v>Si</v>
      </c>
      <c r="AA46" s="889" t="str">
        <f>IFERROR(INDEX(Tabla9[],MATCH(Otras_Actividades_Base[[#This Row],[Movimiento]],Tabla9[Movimientos],0),3),0)</f>
        <v>(-)</v>
      </c>
      <c r="AB46" s="884">
        <f>IF(Otras_Actividades_Base[[#This Row],[Fecha Económico]]=0,0,MONTH(Otras_Actividades_Base[[#This Row],[Fecha Económico]]))</f>
        <v>12</v>
      </c>
      <c r="AC46" s="890">
        <f>IF(Otras_Actividades_Base[[#This Row],[Fecha Económico]]=0,0,YEAR(Otras_Actividades_Base[[#This Row],[Fecha Económico]]))</f>
        <v>2018</v>
      </c>
      <c r="AD46" s="891">
        <f>SUMPRODUCT((Otras_Actividades_Base[[#This Row],[Mes Económico]]=Tipo_Cambio[Mes])*(Otras_Actividades_Base[[#This Row],[Año Económico]]=Tipo_Cambio[Año])*(Tipo_Cambio[$/U$S]))</f>
        <v>23.122221102199997</v>
      </c>
      <c r="AE46" s="891">
        <f>SUMPRODUCT((Otras_Actividades_Base[[#This Row],[Mes Económico]]=Tipo_Cambio[Mes])*(Otras_Actividades_Base[[#This Row],[Año Económico]]=Tipo_Cambio[Año])*(Tipo_Cambio[Actualización]))</f>
        <v>1.1040808032</v>
      </c>
      <c r="AF46" s="890">
        <f>IF(ISNUMBER(Otras_Actividades_Base[[#This Row],[Fecha Financiero]])=TRUE,MONTH(Otras_Actividades_Base[[#This Row],[Fecha Financiero]]),0)</f>
        <v>0</v>
      </c>
      <c r="AG46" s="890">
        <f>IF(ISNUMBER(Otras_Actividades_Base[[#This Row],[Fecha Financiero]])=TRUE,YEAR(Otras_Actividades_Base[[#This Row],[Fecha Financiero]]),0)</f>
        <v>0</v>
      </c>
      <c r="AH46" s="891">
        <f>SUMPRODUCT((Otras_Actividades_Base[[#This Row],[Mes Financiero]]=Tipo_Cambio[Mes])*(Otras_Actividades_Base[[#This Row],[Año Financiero]]=Tipo_Cambio[Año])*(Tipo_Cambio[$/U$S]))</f>
        <v>0</v>
      </c>
      <c r="AI46" s="891">
        <f>SUMPRODUCT((Otras_Actividades_Base[[#This Row],[Mes Financiero]]=Tipo_Cambio[Mes])*(Otras_Actividades_Base[[#This Row],[Año Financiero]]=Tipo_Cambio[Año])*(Tipo_Cambio[Actualización]))</f>
        <v>0</v>
      </c>
      <c r="AJ46" s="916">
        <f>IF(Económico!$F$4=0,0,Otras_Actividades_Base[Centro de Costo])</f>
        <v>0</v>
      </c>
    </row>
    <row r="47" spans="4:36" x14ac:dyDescent="0.25">
      <c r="D47" s="42">
        <f t="shared" si="5"/>
        <v>43466</v>
      </c>
      <c r="E47" s="353"/>
      <c r="F47" s="988" t="str">
        <f t="shared" si="4"/>
        <v>2018-2019</v>
      </c>
      <c r="G47" s="32" t="s">
        <v>511</v>
      </c>
      <c r="H47" s="32"/>
      <c r="I47" s="32" t="s">
        <v>200</v>
      </c>
      <c r="J47" s="32"/>
      <c r="K47" s="29"/>
      <c r="L47" s="77"/>
      <c r="M47" s="41"/>
      <c r="N47" s="41" t="s">
        <v>48</v>
      </c>
      <c r="O47" s="51"/>
      <c r="P47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47" s="913">
        <f>IFERROR(Otras_Actividades_Base[[#This Row],[Económico $Corrientes]]/Otras_Actividades_Base[[#This Row],[Indexación Económico]],0)</f>
        <v>0</v>
      </c>
      <c r="R47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47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47" s="913">
        <f>IFERROR(Otras_Actividades_Base[[#This Row],[Financiero $Corrientes]]/Otras_Actividades_Base[[#This Row],[Indexación Financiero]],0)</f>
        <v>0</v>
      </c>
      <c r="U47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47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47" s="890">
        <f>IFERROR(Otras_Actividades_Base[[#This Row],[Intereses $Corrientes]]/Otras_Actividades_Base[[#This Row],[Indexación Financiero]],0)</f>
        <v>0</v>
      </c>
      <c r="X47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47" s="915" t="str">
        <f>IFERROR(INDEX(Otras_Actividades_Cuentas[],MATCH(Otras_Actividades_Base[[#This Row],[Cuenta Contable]],Otras_Actividades_Cuentas[Cuenta Contable],0),2),0)</f>
        <v>Egreso</v>
      </c>
      <c r="Z47" s="887" t="str">
        <f>IFERROR(INDEX(Tabla9[],MATCH(Otras_Actividades_Base[[#This Row],[Movimiento]],Tabla9[Movimientos],0),2),0)</f>
        <v>Si</v>
      </c>
      <c r="AA47" s="889" t="str">
        <f>IFERROR(INDEX(Tabla9[],MATCH(Otras_Actividades_Base[[#This Row],[Movimiento]],Tabla9[Movimientos],0),3),0)</f>
        <v>(-)</v>
      </c>
      <c r="AB47" s="884">
        <f>IF(Otras_Actividades_Base[[#This Row],[Fecha Económico]]=0,0,MONTH(Otras_Actividades_Base[[#This Row],[Fecha Económico]]))</f>
        <v>1</v>
      </c>
      <c r="AC47" s="890">
        <f>IF(Otras_Actividades_Base[[#This Row],[Fecha Económico]]=0,0,YEAR(Otras_Actividades_Base[[#This Row],[Fecha Económico]]))</f>
        <v>2019</v>
      </c>
      <c r="AD47" s="891">
        <f>SUMPRODUCT((Otras_Actividades_Base[[#This Row],[Mes Económico]]=Tipo_Cambio[Mes])*(Otras_Actividades_Base[[#This Row],[Año Económico]]=Tipo_Cambio[Año])*(Tipo_Cambio[$/U$S]))</f>
        <v>23.353443313221998</v>
      </c>
      <c r="AE47" s="891">
        <f>SUMPRODUCT((Otras_Actividades_Base[[#This Row],[Mes Económico]]=Tipo_Cambio[Mes])*(Otras_Actividades_Base[[#This Row],[Año Económico]]=Tipo_Cambio[Año])*(Tipo_Cambio[Actualización]))</f>
        <v>1.1261624192640001</v>
      </c>
      <c r="AF47" s="890">
        <f>IF(ISNUMBER(Otras_Actividades_Base[[#This Row],[Fecha Financiero]])=TRUE,MONTH(Otras_Actividades_Base[[#This Row],[Fecha Financiero]]),0)</f>
        <v>0</v>
      </c>
      <c r="AG47" s="890">
        <f>IF(ISNUMBER(Otras_Actividades_Base[[#This Row],[Fecha Financiero]])=TRUE,YEAR(Otras_Actividades_Base[[#This Row],[Fecha Financiero]]),0)</f>
        <v>0</v>
      </c>
      <c r="AH47" s="891">
        <f>SUMPRODUCT((Otras_Actividades_Base[[#This Row],[Mes Financiero]]=Tipo_Cambio[Mes])*(Otras_Actividades_Base[[#This Row],[Año Financiero]]=Tipo_Cambio[Año])*(Tipo_Cambio[$/U$S]))</f>
        <v>0</v>
      </c>
      <c r="AI47" s="891">
        <f>SUMPRODUCT((Otras_Actividades_Base[[#This Row],[Mes Financiero]]=Tipo_Cambio[Mes])*(Otras_Actividades_Base[[#This Row],[Año Financiero]]=Tipo_Cambio[Año])*(Tipo_Cambio[Actualización]))</f>
        <v>0</v>
      </c>
      <c r="AJ47" s="916">
        <f>IF(Económico!$F$4=0,0,Otras_Actividades_Base[Centro de Costo])</f>
        <v>0</v>
      </c>
    </row>
    <row r="48" spans="4:36" x14ac:dyDescent="0.25">
      <c r="D48" s="42">
        <f t="shared" si="5"/>
        <v>43497</v>
      </c>
      <c r="E48" s="353"/>
      <c r="F48" s="988" t="str">
        <f t="shared" si="4"/>
        <v>2018-2019</v>
      </c>
      <c r="G48" s="32" t="s">
        <v>511</v>
      </c>
      <c r="H48" s="32"/>
      <c r="I48" s="32" t="s">
        <v>200</v>
      </c>
      <c r="J48" s="32"/>
      <c r="K48" s="29"/>
      <c r="L48" s="77"/>
      <c r="M48" s="41"/>
      <c r="N48" s="41" t="s">
        <v>48</v>
      </c>
      <c r="O48" s="51"/>
      <c r="P48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48" s="913">
        <f>IFERROR(Otras_Actividades_Base[[#This Row],[Económico $Corrientes]]/Otras_Actividades_Base[[#This Row],[Indexación Económico]],0)</f>
        <v>0</v>
      </c>
      <c r="R48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48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48" s="913">
        <f>IFERROR(Otras_Actividades_Base[[#This Row],[Financiero $Corrientes]]/Otras_Actividades_Base[[#This Row],[Indexación Financiero]],0)</f>
        <v>0</v>
      </c>
      <c r="U48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48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48" s="890">
        <f>IFERROR(Otras_Actividades_Base[[#This Row],[Intereses $Corrientes]]/Otras_Actividades_Base[[#This Row],[Indexación Financiero]],0)</f>
        <v>0</v>
      </c>
      <c r="X48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48" s="915" t="str">
        <f>IFERROR(INDEX(Otras_Actividades_Cuentas[],MATCH(Otras_Actividades_Base[[#This Row],[Cuenta Contable]],Otras_Actividades_Cuentas[Cuenta Contable],0),2),0)</f>
        <v>Egreso</v>
      </c>
      <c r="Z48" s="887" t="str">
        <f>IFERROR(INDEX(Tabla9[],MATCH(Otras_Actividades_Base[[#This Row],[Movimiento]],Tabla9[Movimientos],0),2),0)</f>
        <v>Si</v>
      </c>
      <c r="AA48" s="889" t="str">
        <f>IFERROR(INDEX(Tabla9[],MATCH(Otras_Actividades_Base[[#This Row],[Movimiento]],Tabla9[Movimientos],0),3),0)</f>
        <v>(-)</v>
      </c>
      <c r="AB48" s="884">
        <f>IF(Otras_Actividades_Base[[#This Row],[Fecha Económico]]=0,0,MONTH(Otras_Actividades_Base[[#This Row],[Fecha Económico]]))</f>
        <v>2</v>
      </c>
      <c r="AC48" s="890">
        <f>IF(Otras_Actividades_Base[[#This Row],[Fecha Económico]]=0,0,YEAR(Otras_Actividades_Base[[#This Row],[Fecha Económico]]))</f>
        <v>2019</v>
      </c>
      <c r="AD48" s="891">
        <f>SUMPRODUCT((Otras_Actividades_Base[[#This Row],[Mes Económico]]=Tipo_Cambio[Mes])*(Otras_Actividades_Base[[#This Row],[Año Económico]]=Tipo_Cambio[Año])*(Tipo_Cambio[$/U$S]))</f>
        <v>23.586977746354219</v>
      </c>
      <c r="AE48" s="891">
        <f>SUMPRODUCT((Otras_Actividades_Base[[#This Row],[Mes Económico]]=Tipo_Cambio[Mes])*(Otras_Actividades_Base[[#This Row],[Año Económico]]=Tipo_Cambio[Año])*(Tipo_Cambio[Actualización]))</f>
        <v>1.14868566764928</v>
      </c>
      <c r="AF48" s="890">
        <f>IF(ISNUMBER(Otras_Actividades_Base[[#This Row],[Fecha Financiero]])=TRUE,MONTH(Otras_Actividades_Base[[#This Row],[Fecha Financiero]]),0)</f>
        <v>0</v>
      </c>
      <c r="AG48" s="890">
        <f>IF(ISNUMBER(Otras_Actividades_Base[[#This Row],[Fecha Financiero]])=TRUE,YEAR(Otras_Actividades_Base[[#This Row],[Fecha Financiero]]),0)</f>
        <v>0</v>
      </c>
      <c r="AH48" s="891">
        <f>SUMPRODUCT((Otras_Actividades_Base[[#This Row],[Mes Financiero]]=Tipo_Cambio[Mes])*(Otras_Actividades_Base[[#This Row],[Año Financiero]]=Tipo_Cambio[Año])*(Tipo_Cambio[$/U$S]))</f>
        <v>0</v>
      </c>
      <c r="AI48" s="891">
        <f>SUMPRODUCT((Otras_Actividades_Base[[#This Row],[Mes Financiero]]=Tipo_Cambio[Mes])*(Otras_Actividades_Base[[#This Row],[Año Financiero]]=Tipo_Cambio[Año])*(Tipo_Cambio[Actualización]))</f>
        <v>0</v>
      </c>
      <c r="AJ48" s="916">
        <f>IF(Económico!$F$4=0,0,Otras_Actividades_Base[Centro de Costo])</f>
        <v>0</v>
      </c>
    </row>
    <row r="49" spans="2:36" x14ac:dyDescent="0.25">
      <c r="D49" s="42">
        <f t="shared" si="5"/>
        <v>43525</v>
      </c>
      <c r="E49" s="353"/>
      <c r="F49" s="988" t="str">
        <f t="shared" si="4"/>
        <v>2018-2019</v>
      </c>
      <c r="G49" s="32" t="s">
        <v>511</v>
      </c>
      <c r="H49" s="32"/>
      <c r="I49" s="32" t="s">
        <v>200</v>
      </c>
      <c r="J49" s="32"/>
      <c r="K49" s="29"/>
      <c r="L49" s="77"/>
      <c r="M49" s="41"/>
      <c r="N49" s="41" t="s">
        <v>48</v>
      </c>
      <c r="O49" s="51"/>
      <c r="P49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49" s="913">
        <f>IFERROR(Otras_Actividades_Base[[#This Row],[Económico $Corrientes]]/Otras_Actividades_Base[[#This Row],[Indexación Económico]],0)</f>
        <v>0</v>
      </c>
      <c r="R49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49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49" s="913">
        <f>IFERROR(Otras_Actividades_Base[[#This Row],[Financiero $Corrientes]]/Otras_Actividades_Base[[#This Row],[Indexación Financiero]],0)</f>
        <v>0</v>
      </c>
      <c r="U49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49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49" s="890">
        <f>IFERROR(Otras_Actividades_Base[[#This Row],[Intereses $Corrientes]]/Otras_Actividades_Base[[#This Row],[Indexación Financiero]],0)</f>
        <v>0</v>
      </c>
      <c r="X49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49" s="915" t="str">
        <f>IFERROR(INDEX(Otras_Actividades_Cuentas[],MATCH(Otras_Actividades_Base[[#This Row],[Cuenta Contable]],Otras_Actividades_Cuentas[Cuenta Contable],0),2),0)</f>
        <v>Egreso</v>
      </c>
      <c r="Z49" s="887" t="str">
        <f>IFERROR(INDEX(Tabla9[],MATCH(Otras_Actividades_Base[[#This Row],[Movimiento]],Tabla9[Movimientos],0),2),0)</f>
        <v>Si</v>
      </c>
      <c r="AA49" s="889" t="str">
        <f>IFERROR(INDEX(Tabla9[],MATCH(Otras_Actividades_Base[[#This Row],[Movimiento]],Tabla9[Movimientos],0),3),0)</f>
        <v>(-)</v>
      </c>
      <c r="AB49" s="884">
        <f>IF(Otras_Actividades_Base[[#This Row],[Fecha Económico]]=0,0,MONTH(Otras_Actividades_Base[[#This Row],[Fecha Económico]]))</f>
        <v>3</v>
      </c>
      <c r="AC49" s="890">
        <f>IF(Otras_Actividades_Base[[#This Row],[Fecha Económico]]=0,0,YEAR(Otras_Actividades_Base[[#This Row],[Fecha Económico]]))</f>
        <v>2019</v>
      </c>
      <c r="AD49" s="891">
        <f>SUMPRODUCT((Otras_Actividades_Base[[#This Row],[Mes Económico]]=Tipo_Cambio[Mes])*(Otras_Actividades_Base[[#This Row],[Año Económico]]=Tipo_Cambio[Año])*(Tipo_Cambio[$/U$S]))</f>
        <v>23.82284752381776</v>
      </c>
      <c r="AE49" s="891">
        <f>SUMPRODUCT((Otras_Actividades_Base[[#This Row],[Mes Económico]]=Tipo_Cambio[Mes])*(Otras_Actividades_Base[[#This Row],[Año Económico]]=Tipo_Cambio[Año])*(Tipo_Cambio[Actualización]))</f>
        <v>1.1716593810022657</v>
      </c>
      <c r="AF49" s="890">
        <f>IF(ISNUMBER(Otras_Actividades_Base[[#This Row],[Fecha Financiero]])=TRUE,MONTH(Otras_Actividades_Base[[#This Row],[Fecha Financiero]]),0)</f>
        <v>0</v>
      </c>
      <c r="AG49" s="890">
        <f>IF(ISNUMBER(Otras_Actividades_Base[[#This Row],[Fecha Financiero]])=TRUE,YEAR(Otras_Actividades_Base[[#This Row],[Fecha Financiero]]),0)</f>
        <v>0</v>
      </c>
      <c r="AH49" s="891">
        <f>SUMPRODUCT((Otras_Actividades_Base[[#This Row],[Mes Financiero]]=Tipo_Cambio[Mes])*(Otras_Actividades_Base[[#This Row],[Año Financiero]]=Tipo_Cambio[Año])*(Tipo_Cambio[$/U$S]))</f>
        <v>0</v>
      </c>
      <c r="AI49" s="891">
        <f>SUMPRODUCT((Otras_Actividades_Base[[#This Row],[Mes Financiero]]=Tipo_Cambio[Mes])*(Otras_Actividades_Base[[#This Row],[Año Financiero]]=Tipo_Cambio[Año])*(Tipo_Cambio[Actualización]))</f>
        <v>0</v>
      </c>
      <c r="AJ49" s="916">
        <f>IF(Económico!$F$4=0,0,Otras_Actividades_Base[Centro de Costo])</f>
        <v>0</v>
      </c>
    </row>
    <row r="50" spans="2:36" x14ac:dyDescent="0.25">
      <c r="D50" s="42">
        <f t="shared" si="5"/>
        <v>43556</v>
      </c>
      <c r="E50" s="353"/>
      <c r="F50" s="988" t="str">
        <f t="shared" si="4"/>
        <v>2018-2019</v>
      </c>
      <c r="G50" s="32" t="s">
        <v>511</v>
      </c>
      <c r="H50" s="32"/>
      <c r="I50" s="32" t="s">
        <v>200</v>
      </c>
      <c r="J50" s="32"/>
      <c r="K50" s="29"/>
      <c r="L50" s="77"/>
      <c r="M50" s="41"/>
      <c r="N50" s="41" t="s">
        <v>48</v>
      </c>
      <c r="O50" s="51"/>
      <c r="P50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50" s="913">
        <f>IFERROR(Otras_Actividades_Base[[#This Row],[Económico $Corrientes]]/Otras_Actividades_Base[[#This Row],[Indexación Económico]],0)</f>
        <v>0</v>
      </c>
      <c r="R50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50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50" s="913">
        <f>IFERROR(Otras_Actividades_Base[[#This Row],[Financiero $Corrientes]]/Otras_Actividades_Base[[#This Row],[Indexación Financiero]],0)</f>
        <v>0</v>
      </c>
      <c r="U50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50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50" s="890">
        <f>IFERROR(Otras_Actividades_Base[[#This Row],[Intereses $Corrientes]]/Otras_Actividades_Base[[#This Row],[Indexación Financiero]],0)</f>
        <v>0</v>
      </c>
      <c r="X50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50" s="915" t="str">
        <f>IFERROR(INDEX(Otras_Actividades_Cuentas[],MATCH(Otras_Actividades_Base[[#This Row],[Cuenta Contable]],Otras_Actividades_Cuentas[Cuenta Contable],0),2),0)</f>
        <v>Egreso</v>
      </c>
      <c r="Z50" s="887" t="str">
        <f>IFERROR(INDEX(Tabla9[],MATCH(Otras_Actividades_Base[[#This Row],[Movimiento]],Tabla9[Movimientos],0),2),0)</f>
        <v>Si</v>
      </c>
      <c r="AA50" s="889" t="str">
        <f>IFERROR(INDEX(Tabla9[],MATCH(Otras_Actividades_Base[[#This Row],[Movimiento]],Tabla9[Movimientos],0),3),0)</f>
        <v>(-)</v>
      </c>
      <c r="AB50" s="884">
        <f>IF(Otras_Actividades_Base[[#This Row],[Fecha Económico]]=0,0,MONTH(Otras_Actividades_Base[[#This Row],[Fecha Económico]]))</f>
        <v>4</v>
      </c>
      <c r="AC50" s="890">
        <f>IF(Otras_Actividades_Base[[#This Row],[Fecha Económico]]=0,0,YEAR(Otras_Actividades_Base[[#This Row],[Fecha Económico]]))</f>
        <v>2019</v>
      </c>
      <c r="AD50" s="891">
        <f>SUMPRODUCT((Otras_Actividades_Base[[#This Row],[Mes Económico]]=Tipo_Cambio[Mes])*(Otras_Actividades_Base[[#This Row],[Año Económico]]=Tipo_Cambio[Año])*(Tipo_Cambio[$/U$S]))</f>
        <v>24.061075999055937</v>
      </c>
      <c r="AE50" s="891">
        <f>SUMPRODUCT((Otras_Actividades_Base[[#This Row],[Mes Económico]]=Tipo_Cambio[Mes])*(Otras_Actividades_Base[[#This Row],[Año Económico]]=Tipo_Cambio[Año])*(Tipo_Cambio[Actualización]))</f>
        <v>1.1950925686223111</v>
      </c>
      <c r="AF50" s="890">
        <f>IF(ISNUMBER(Otras_Actividades_Base[[#This Row],[Fecha Financiero]])=TRUE,MONTH(Otras_Actividades_Base[[#This Row],[Fecha Financiero]]),0)</f>
        <v>0</v>
      </c>
      <c r="AG50" s="890">
        <f>IF(ISNUMBER(Otras_Actividades_Base[[#This Row],[Fecha Financiero]])=TRUE,YEAR(Otras_Actividades_Base[[#This Row],[Fecha Financiero]]),0)</f>
        <v>0</v>
      </c>
      <c r="AH50" s="891">
        <f>SUMPRODUCT((Otras_Actividades_Base[[#This Row],[Mes Financiero]]=Tipo_Cambio[Mes])*(Otras_Actividades_Base[[#This Row],[Año Financiero]]=Tipo_Cambio[Año])*(Tipo_Cambio[$/U$S]))</f>
        <v>0</v>
      </c>
      <c r="AI50" s="891">
        <f>SUMPRODUCT((Otras_Actividades_Base[[#This Row],[Mes Financiero]]=Tipo_Cambio[Mes])*(Otras_Actividades_Base[[#This Row],[Año Financiero]]=Tipo_Cambio[Año])*(Tipo_Cambio[Actualización]))</f>
        <v>0</v>
      </c>
      <c r="AJ50" s="916">
        <f>IF(Económico!$F$4=0,0,Otras_Actividades_Base[Centro de Costo])</f>
        <v>0</v>
      </c>
    </row>
    <row r="51" spans="2:36" x14ac:dyDescent="0.25">
      <c r="D51" s="42">
        <f t="shared" si="5"/>
        <v>43586</v>
      </c>
      <c r="E51" s="353"/>
      <c r="F51" s="988" t="str">
        <f t="shared" si="4"/>
        <v>2018-2019</v>
      </c>
      <c r="G51" s="32" t="s">
        <v>511</v>
      </c>
      <c r="H51" s="32"/>
      <c r="I51" s="32" t="s">
        <v>200</v>
      </c>
      <c r="J51" s="32"/>
      <c r="K51" s="29"/>
      <c r="L51" s="77"/>
      <c r="M51" s="41"/>
      <c r="N51" s="41" t="s">
        <v>48</v>
      </c>
      <c r="O51" s="51"/>
      <c r="P51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51" s="913">
        <f>IFERROR(Otras_Actividades_Base[[#This Row],[Económico $Corrientes]]/Otras_Actividades_Base[[#This Row],[Indexación Económico]],0)</f>
        <v>0</v>
      </c>
      <c r="R51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51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51" s="913">
        <f>IFERROR(Otras_Actividades_Base[[#This Row],[Financiero $Corrientes]]/Otras_Actividades_Base[[#This Row],[Indexación Financiero]],0)</f>
        <v>0</v>
      </c>
      <c r="U51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51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51" s="890">
        <f>IFERROR(Otras_Actividades_Base[[#This Row],[Intereses $Corrientes]]/Otras_Actividades_Base[[#This Row],[Indexación Financiero]],0)</f>
        <v>0</v>
      </c>
      <c r="X51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51" s="915" t="str">
        <f>IFERROR(INDEX(Otras_Actividades_Cuentas[],MATCH(Otras_Actividades_Base[[#This Row],[Cuenta Contable]],Otras_Actividades_Cuentas[Cuenta Contable],0),2),0)</f>
        <v>Egreso</v>
      </c>
      <c r="Z51" s="887" t="str">
        <f>IFERROR(INDEX(Tabla9[],MATCH(Otras_Actividades_Base[[#This Row],[Movimiento]],Tabla9[Movimientos],0),2),0)</f>
        <v>Si</v>
      </c>
      <c r="AA51" s="889" t="str">
        <f>IFERROR(INDEX(Tabla9[],MATCH(Otras_Actividades_Base[[#This Row],[Movimiento]],Tabla9[Movimientos],0),3),0)</f>
        <v>(-)</v>
      </c>
      <c r="AB51" s="884">
        <f>IF(Otras_Actividades_Base[[#This Row],[Fecha Económico]]=0,0,MONTH(Otras_Actividades_Base[[#This Row],[Fecha Económico]]))</f>
        <v>5</v>
      </c>
      <c r="AC51" s="890">
        <f>IF(Otras_Actividades_Base[[#This Row],[Fecha Económico]]=0,0,YEAR(Otras_Actividades_Base[[#This Row],[Fecha Económico]]))</f>
        <v>2019</v>
      </c>
      <c r="AD51" s="891">
        <f>SUMPRODUCT((Otras_Actividades_Base[[#This Row],[Mes Económico]]=Tipo_Cambio[Mes])*(Otras_Actividades_Base[[#This Row],[Año Económico]]=Tipo_Cambio[Año])*(Tipo_Cambio[$/U$S]))</f>
        <v>24.301686759046497</v>
      </c>
      <c r="AE51" s="891">
        <f>SUMPRODUCT((Otras_Actividades_Base[[#This Row],[Mes Económico]]=Tipo_Cambio[Mes])*(Otras_Actividades_Base[[#This Row],[Año Económico]]=Tipo_Cambio[Año])*(Tipo_Cambio[Actualización]))</f>
        <v>1.2189944199947573</v>
      </c>
      <c r="AF51" s="890">
        <f>IF(ISNUMBER(Otras_Actividades_Base[[#This Row],[Fecha Financiero]])=TRUE,MONTH(Otras_Actividades_Base[[#This Row],[Fecha Financiero]]),0)</f>
        <v>0</v>
      </c>
      <c r="AG51" s="890">
        <f>IF(ISNUMBER(Otras_Actividades_Base[[#This Row],[Fecha Financiero]])=TRUE,YEAR(Otras_Actividades_Base[[#This Row],[Fecha Financiero]]),0)</f>
        <v>0</v>
      </c>
      <c r="AH51" s="891">
        <f>SUMPRODUCT((Otras_Actividades_Base[[#This Row],[Mes Financiero]]=Tipo_Cambio[Mes])*(Otras_Actividades_Base[[#This Row],[Año Financiero]]=Tipo_Cambio[Año])*(Tipo_Cambio[$/U$S]))</f>
        <v>0</v>
      </c>
      <c r="AI51" s="891">
        <f>SUMPRODUCT((Otras_Actividades_Base[[#This Row],[Mes Financiero]]=Tipo_Cambio[Mes])*(Otras_Actividades_Base[[#This Row],[Año Financiero]]=Tipo_Cambio[Año])*(Tipo_Cambio[Actualización]))</f>
        <v>0</v>
      </c>
      <c r="AJ51" s="916">
        <f>IF(Económico!$F$4=0,0,Otras_Actividades_Base[Centro de Costo])</f>
        <v>0</v>
      </c>
    </row>
    <row r="52" spans="2:36" x14ac:dyDescent="0.25">
      <c r="D52" s="42">
        <f t="shared" si="5"/>
        <v>43617</v>
      </c>
      <c r="E52" s="353"/>
      <c r="F52" s="988" t="str">
        <f t="shared" si="4"/>
        <v>2018-2019</v>
      </c>
      <c r="G52" s="32" t="s">
        <v>511</v>
      </c>
      <c r="H52" s="32"/>
      <c r="I52" s="32" t="s">
        <v>200</v>
      </c>
      <c r="J52" s="32"/>
      <c r="K52" s="29"/>
      <c r="L52" s="77"/>
      <c r="M52" s="41"/>
      <c r="N52" s="41" t="s">
        <v>48</v>
      </c>
      <c r="O52" s="51"/>
      <c r="P52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52" s="913">
        <f>IFERROR(Otras_Actividades_Base[[#This Row],[Económico $Corrientes]]/Otras_Actividades_Base[[#This Row],[Indexación Económico]],0)</f>
        <v>0</v>
      </c>
      <c r="R52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52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52" s="913">
        <f>IFERROR(Otras_Actividades_Base[[#This Row],[Financiero $Corrientes]]/Otras_Actividades_Base[[#This Row],[Indexación Financiero]],0)</f>
        <v>0</v>
      </c>
      <c r="U52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52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52" s="890">
        <f>IFERROR(Otras_Actividades_Base[[#This Row],[Intereses $Corrientes]]/Otras_Actividades_Base[[#This Row],[Indexación Financiero]],0)</f>
        <v>0</v>
      </c>
      <c r="X52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52" s="915" t="str">
        <f>IFERROR(INDEX(Otras_Actividades_Cuentas[],MATCH(Otras_Actividades_Base[[#This Row],[Cuenta Contable]],Otras_Actividades_Cuentas[Cuenta Contable],0),2),0)</f>
        <v>Egreso</v>
      </c>
      <c r="Z52" s="887" t="str">
        <f>IFERROR(INDEX(Tabla9[],MATCH(Otras_Actividades_Base[[#This Row],[Movimiento]],Tabla9[Movimientos],0),2),0)</f>
        <v>Si</v>
      </c>
      <c r="AA52" s="889" t="str">
        <f>IFERROR(INDEX(Tabla9[],MATCH(Otras_Actividades_Base[[#This Row],[Movimiento]],Tabla9[Movimientos],0),3),0)</f>
        <v>(-)</v>
      </c>
      <c r="AB52" s="884">
        <f>IF(Otras_Actividades_Base[[#This Row],[Fecha Económico]]=0,0,MONTH(Otras_Actividades_Base[[#This Row],[Fecha Económico]]))</f>
        <v>6</v>
      </c>
      <c r="AC52" s="890">
        <f>IF(Otras_Actividades_Base[[#This Row],[Fecha Económico]]=0,0,YEAR(Otras_Actividades_Base[[#This Row],[Fecha Económico]]))</f>
        <v>2019</v>
      </c>
      <c r="AD52" s="891">
        <f>SUMPRODUCT((Otras_Actividades_Base[[#This Row],[Mes Económico]]=Tipo_Cambio[Mes])*(Otras_Actividades_Base[[#This Row],[Año Económico]]=Tipo_Cambio[Año])*(Tipo_Cambio[$/U$S]))</f>
        <v>24.544703626636963</v>
      </c>
      <c r="AE52" s="891">
        <f>SUMPRODUCT((Otras_Actividades_Base[[#This Row],[Mes Económico]]=Tipo_Cambio[Mes])*(Otras_Actividades_Base[[#This Row],[Año Económico]]=Tipo_Cambio[Año])*(Tipo_Cambio[Actualización]))</f>
        <v>1.2433743083946525</v>
      </c>
      <c r="AF52" s="890">
        <f>IF(ISNUMBER(Otras_Actividades_Base[[#This Row],[Fecha Financiero]])=TRUE,MONTH(Otras_Actividades_Base[[#This Row],[Fecha Financiero]]),0)</f>
        <v>0</v>
      </c>
      <c r="AG52" s="890">
        <f>IF(ISNUMBER(Otras_Actividades_Base[[#This Row],[Fecha Financiero]])=TRUE,YEAR(Otras_Actividades_Base[[#This Row],[Fecha Financiero]]),0)</f>
        <v>0</v>
      </c>
      <c r="AH52" s="891">
        <f>SUMPRODUCT((Otras_Actividades_Base[[#This Row],[Mes Financiero]]=Tipo_Cambio[Mes])*(Otras_Actividades_Base[[#This Row],[Año Financiero]]=Tipo_Cambio[Año])*(Tipo_Cambio[$/U$S]))</f>
        <v>0</v>
      </c>
      <c r="AI52" s="891">
        <f>SUMPRODUCT((Otras_Actividades_Base[[#This Row],[Mes Financiero]]=Tipo_Cambio[Mes])*(Otras_Actividades_Base[[#This Row],[Año Financiero]]=Tipo_Cambio[Año])*(Tipo_Cambio[Actualización]))</f>
        <v>0</v>
      </c>
      <c r="AJ52" s="916">
        <f>IF(Económico!$F$4=0,0,Otras_Actividades_Base[Centro de Costo])</f>
        <v>0</v>
      </c>
    </row>
    <row r="53" spans="2:36" ht="15" customHeight="1" x14ac:dyDescent="0.25">
      <c r="D53" s="428"/>
      <c r="E53" s="434"/>
      <c r="F53" s="1076" t="str">
        <f t="shared" si="4"/>
        <v>2018-2019</v>
      </c>
      <c r="G53" s="429"/>
      <c r="H53" s="429"/>
      <c r="I53" s="429"/>
      <c r="J53" s="429"/>
      <c r="K53" s="430"/>
      <c r="L53" s="431"/>
      <c r="M53" s="429"/>
      <c r="N53" s="433"/>
      <c r="O53" s="432"/>
      <c r="P53" s="1046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53" s="1044">
        <f>IFERROR(Otras_Actividades_Base[[#This Row],[Económico $Corrientes]]/Otras_Actividades_Base[[#This Row],[Indexación Económico]],0)</f>
        <v>0</v>
      </c>
      <c r="R53" s="1045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53" s="1046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53" s="1044">
        <f>IFERROR(Otras_Actividades_Base[[#This Row],[Financiero $Corrientes]]/Otras_Actividades_Base[[#This Row],[Indexación Financiero]],0)</f>
        <v>0</v>
      </c>
      <c r="U53" s="1052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53" s="1047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53" s="1048">
        <f>IFERROR(Otras_Actividades_Base[[#This Row],[Intereses $Corrientes]]/Otras_Actividades_Base[[#This Row],[Indexación Financiero]],0)</f>
        <v>0</v>
      </c>
      <c r="X53" s="1048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53" s="1053">
        <f>IFERROR(INDEX(Otras_Actividades_Cuentas[],MATCH(Otras_Actividades_Base[[#This Row],[Cuenta Contable]],Otras_Actividades_Cuentas[Cuenta Contable],0),2),0)</f>
        <v>0</v>
      </c>
      <c r="Z53" s="1050">
        <f>IFERROR(INDEX(Tabla9[],MATCH(Otras_Actividades_Base[[#This Row],[Movimiento]],Tabla9[Movimientos],0),2),0)</f>
        <v>0</v>
      </c>
      <c r="AA53" s="1051">
        <f>IFERROR(INDEX(Tabla9[],MATCH(Otras_Actividades_Base[[#This Row],[Movimiento]],Tabla9[Movimientos],0),3),0)</f>
        <v>0</v>
      </c>
      <c r="AB53" s="1047">
        <f>IF(Otras_Actividades_Base[[#This Row],[Fecha Económico]]=0,0,MONTH(Otras_Actividades_Base[[#This Row],[Fecha Económico]]))</f>
        <v>0</v>
      </c>
      <c r="AC53" s="1048">
        <f>IF(Otras_Actividades_Base[[#This Row],[Fecha Económico]]=0,0,YEAR(Otras_Actividades_Base[[#This Row],[Fecha Económico]]))</f>
        <v>0</v>
      </c>
      <c r="AD53" s="1051">
        <f>SUMPRODUCT((Otras_Actividades_Base[[#This Row],[Mes Económico]]=Tipo_Cambio[Mes])*(Otras_Actividades_Base[[#This Row],[Año Económico]]=Tipo_Cambio[Año])*(Tipo_Cambio[$/U$S]))</f>
        <v>0</v>
      </c>
      <c r="AE53" s="1051">
        <f>SUMPRODUCT((Otras_Actividades_Base[[#This Row],[Mes Económico]]=Tipo_Cambio[Mes])*(Otras_Actividades_Base[[#This Row],[Año Económico]]=Tipo_Cambio[Año])*(Tipo_Cambio[Actualización]))</f>
        <v>0</v>
      </c>
      <c r="AF53" s="1048">
        <f>IF(ISNUMBER(Otras_Actividades_Base[[#This Row],[Fecha Financiero]])=TRUE,MONTH(Otras_Actividades_Base[[#This Row],[Fecha Financiero]]),0)</f>
        <v>0</v>
      </c>
      <c r="AG53" s="1048">
        <f>IF(ISNUMBER(Otras_Actividades_Base[[#This Row],[Fecha Financiero]])=TRUE,YEAR(Otras_Actividades_Base[[#This Row],[Fecha Financiero]]),0)</f>
        <v>0</v>
      </c>
      <c r="AH53" s="1051">
        <f>SUMPRODUCT((Otras_Actividades_Base[[#This Row],[Mes Financiero]]=Tipo_Cambio[Mes])*(Otras_Actividades_Base[[#This Row],[Año Financiero]]=Tipo_Cambio[Año])*(Tipo_Cambio[$/U$S]))</f>
        <v>0</v>
      </c>
      <c r="AI53" s="1051">
        <f>SUMPRODUCT((Otras_Actividades_Base[[#This Row],[Mes Financiero]]=Tipo_Cambio[Mes])*(Otras_Actividades_Base[[#This Row],[Año Financiero]]=Tipo_Cambio[Año])*(Tipo_Cambio[Actualización]))</f>
        <v>0</v>
      </c>
      <c r="AJ53" s="1054">
        <f>IF(Económico!$F$4=0,0,Otras_Actividades_Base[Centro de Costo])</f>
        <v>0</v>
      </c>
    </row>
    <row r="54" spans="2:36" ht="15" customHeight="1" thickBot="1" x14ac:dyDescent="0.3">
      <c r="B54" s="373" t="s">
        <v>101</v>
      </c>
      <c r="D54" s="88"/>
      <c r="E54" s="427"/>
      <c r="F54" s="1024" t="str">
        <f t="shared" si="4"/>
        <v>2018-2019</v>
      </c>
      <c r="G54" s="89"/>
      <c r="H54" s="89"/>
      <c r="I54" s="89"/>
      <c r="J54" s="89"/>
      <c r="K54" s="91"/>
      <c r="L54" s="182"/>
      <c r="M54" s="89"/>
      <c r="N54" s="89"/>
      <c r="O54" s="90"/>
      <c r="P54" s="1055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54" s="1055">
        <f>IFERROR(Otras_Actividades_Base[[#This Row],[Económico $Corrientes]]/Otras_Actividades_Base[[#This Row],[Indexación Económico]],0)</f>
        <v>0</v>
      </c>
      <c r="R54" s="1056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54" s="1057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54" s="1055">
        <f>IFERROR(Otras_Actividades_Base[[#This Row],[Financiero $Corrientes]]/Otras_Actividades_Base[[#This Row],[Indexación Financiero]],0)</f>
        <v>0</v>
      </c>
      <c r="U54" s="1055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54" s="1058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54" s="1059">
        <f>IFERROR(Otras_Actividades_Base[[#This Row],[Intereses $Corrientes]]/Otras_Actividades_Base[[#This Row],[Indexación Financiero]],0)</f>
        <v>0</v>
      </c>
      <c r="X54" s="1059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54" s="1060">
        <f>IFERROR(INDEX(Otras_Actividades_Cuentas[],MATCH(Otras_Actividades_Base[[#This Row],[Cuenta Contable]],Otras_Actividades_Cuentas[Cuenta Contable],0),2),0)</f>
        <v>0</v>
      </c>
      <c r="Z54" s="1061">
        <f>IFERROR(INDEX(Tabla9[],MATCH(Otras_Actividades_Base[[#This Row],[Movimiento]],Tabla9[Movimientos],0),2),0)</f>
        <v>0</v>
      </c>
      <c r="AA54" s="1062">
        <f>IFERROR(INDEX(Tabla9[],MATCH(Otras_Actividades_Base[[#This Row],[Movimiento]],Tabla9[Movimientos],0),3),0)</f>
        <v>0</v>
      </c>
      <c r="AB54" s="1058">
        <f>IF(Otras_Actividades_Base[[#This Row],[Fecha Económico]]=0,0,MONTH(Otras_Actividades_Base[[#This Row],[Fecha Económico]]))</f>
        <v>0</v>
      </c>
      <c r="AC54" s="1059">
        <f>IF(Otras_Actividades_Base[[#This Row],[Fecha Económico]]=0,0,YEAR(Otras_Actividades_Base[[#This Row],[Fecha Económico]]))</f>
        <v>0</v>
      </c>
      <c r="AD54" s="1062">
        <f>SUMPRODUCT((Otras_Actividades_Base[[#This Row],[Mes Económico]]=Tipo_Cambio[Mes])*(Otras_Actividades_Base[[#This Row],[Año Económico]]=Tipo_Cambio[Año])*(Tipo_Cambio[$/U$S]))</f>
        <v>0</v>
      </c>
      <c r="AE54" s="1062">
        <f>SUMPRODUCT((Otras_Actividades_Base[[#This Row],[Mes Económico]]=Tipo_Cambio[Mes])*(Otras_Actividades_Base[[#This Row],[Año Económico]]=Tipo_Cambio[Año])*(Tipo_Cambio[Actualización]))</f>
        <v>0</v>
      </c>
      <c r="AF54" s="1059">
        <f>IF(ISNUMBER(Otras_Actividades_Base[[#This Row],[Fecha Financiero]])=TRUE,MONTH(Otras_Actividades_Base[[#This Row],[Fecha Financiero]]),0)</f>
        <v>0</v>
      </c>
      <c r="AG54" s="1059">
        <f>IF(ISNUMBER(Otras_Actividades_Base[[#This Row],[Fecha Financiero]])=TRUE,YEAR(Otras_Actividades_Base[[#This Row],[Fecha Financiero]]),0)</f>
        <v>0</v>
      </c>
      <c r="AH54" s="1062">
        <f>SUMPRODUCT((Otras_Actividades_Base[[#This Row],[Mes Financiero]]=Tipo_Cambio[Mes])*(Otras_Actividades_Base[[#This Row],[Año Financiero]]=Tipo_Cambio[Año])*(Tipo_Cambio[$/U$S]))</f>
        <v>0</v>
      </c>
      <c r="AI54" s="1062">
        <f>SUMPRODUCT((Otras_Actividades_Base[[#This Row],[Mes Financiero]]=Tipo_Cambio[Mes])*(Otras_Actividades_Base[[#This Row],[Año Financiero]]=Tipo_Cambio[Año])*(Tipo_Cambio[Actualización]))</f>
        <v>0</v>
      </c>
      <c r="AJ54" s="1061">
        <f>IF(Económico!$F$4=0,0,Otras_Actividades_Base[Centro de Costo])</f>
        <v>0</v>
      </c>
    </row>
    <row r="55" spans="2:36" ht="15.75" thickTop="1" x14ac:dyDescent="0.25">
      <c r="B55" s="1136" t="s">
        <v>513</v>
      </c>
      <c r="D55" s="42"/>
      <c r="E55" s="353"/>
      <c r="F55" s="988" t="str">
        <f t="shared" si="4"/>
        <v>2018-2019</v>
      </c>
      <c r="G55" s="32" t="s">
        <v>202</v>
      </c>
      <c r="H55" s="32"/>
      <c r="I55" s="32" t="s">
        <v>200</v>
      </c>
      <c r="J55" s="32"/>
      <c r="K55" s="29"/>
      <c r="L55" s="77"/>
      <c r="M55" s="41"/>
      <c r="N55" s="40" t="s">
        <v>48</v>
      </c>
      <c r="O55" s="51"/>
      <c r="P55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55" s="913">
        <f>IFERROR(Otras_Actividades_Base[[#This Row],[Económico $Corrientes]]/Otras_Actividades_Base[[#This Row],[Indexación Económico]],0)</f>
        <v>0</v>
      </c>
      <c r="R55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55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55" s="913">
        <f>IFERROR(Otras_Actividades_Base[[#This Row],[Financiero $Corrientes]]/Otras_Actividades_Base[[#This Row],[Indexación Financiero]],0)</f>
        <v>0</v>
      </c>
      <c r="U55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55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55" s="890">
        <f>IFERROR(Otras_Actividades_Base[[#This Row],[Intereses $Corrientes]]/Otras_Actividades_Base[[#This Row],[Indexación Financiero]],0)</f>
        <v>0</v>
      </c>
      <c r="X55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55" s="915" t="str">
        <f>IFERROR(INDEX(Otras_Actividades_Cuentas[],MATCH(Otras_Actividades_Base[[#This Row],[Cuenta Contable]],Otras_Actividades_Cuentas[Cuenta Contable],0),2),0)</f>
        <v>Ingreso</v>
      </c>
      <c r="Z55" s="887" t="str">
        <f>IFERROR(INDEX(Tabla9[],MATCH(Otras_Actividades_Base[[#This Row],[Movimiento]],Tabla9[Movimientos],0),2),0)</f>
        <v>Si</v>
      </c>
      <c r="AA55" s="889" t="str">
        <f>IFERROR(INDEX(Tabla9[],MATCH(Otras_Actividades_Base[[#This Row],[Movimiento]],Tabla9[Movimientos],0),3),0)</f>
        <v>(+)</v>
      </c>
      <c r="AB55" s="884">
        <f>IF(Otras_Actividades_Base[[#This Row],[Fecha Económico]]=0,0,MONTH(Otras_Actividades_Base[[#This Row],[Fecha Económico]]))</f>
        <v>0</v>
      </c>
      <c r="AC55" s="890">
        <f>IF(Otras_Actividades_Base[[#This Row],[Fecha Económico]]=0,0,YEAR(Otras_Actividades_Base[[#This Row],[Fecha Económico]]))</f>
        <v>0</v>
      </c>
      <c r="AD55" s="891">
        <f>SUMPRODUCT((Otras_Actividades_Base[[#This Row],[Mes Económico]]=Tipo_Cambio[Mes])*(Otras_Actividades_Base[[#This Row],[Año Económico]]=Tipo_Cambio[Año])*(Tipo_Cambio[$/U$S]))</f>
        <v>0</v>
      </c>
      <c r="AE55" s="891">
        <f>SUMPRODUCT((Otras_Actividades_Base[[#This Row],[Mes Económico]]=Tipo_Cambio[Mes])*(Otras_Actividades_Base[[#This Row],[Año Económico]]=Tipo_Cambio[Año])*(Tipo_Cambio[Actualización]))</f>
        <v>0</v>
      </c>
      <c r="AF55" s="890">
        <f>IF(ISNUMBER(Otras_Actividades_Base[[#This Row],[Fecha Financiero]])=TRUE,MONTH(Otras_Actividades_Base[[#This Row],[Fecha Financiero]]),0)</f>
        <v>0</v>
      </c>
      <c r="AG55" s="890">
        <f>IF(ISNUMBER(Otras_Actividades_Base[[#This Row],[Fecha Financiero]])=TRUE,YEAR(Otras_Actividades_Base[[#This Row],[Fecha Financiero]]),0)</f>
        <v>0</v>
      </c>
      <c r="AH55" s="891">
        <f>SUMPRODUCT((Otras_Actividades_Base[[#This Row],[Mes Financiero]]=Tipo_Cambio[Mes])*(Otras_Actividades_Base[[#This Row],[Año Financiero]]=Tipo_Cambio[Año])*(Tipo_Cambio[$/U$S]))</f>
        <v>0</v>
      </c>
      <c r="AI55" s="891">
        <f>SUMPRODUCT((Otras_Actividades_Base[[#This Row],[Mes Financiero]]=Tipo_Cambio[Mes])*(Otras_Actividades_Base[[#This Row],[Año Financiero]]=Tipo_Cambio[Año])*(Tipo_Cambio[Actualización]))</f>
        <v>0</v>
      </c>
      <c r="AJ55" s="916">
        <f>IF(Económico!$F$4=0,0,Otras_Actividades_Base[Centro de Costo])</f>
        <v>0</v>
      </c>
    </row>
    <row r="56" spans="2:36" x14ac:dyDescent="0.25">
      <c r="B56" s="1136"/>
      <c r="D56" s="42"/>
      <c r="E56" s="353"/>
      <c r="F56" s="1009" t="str">
        <f t="shared" si="4"/>
        <v>2018-2019</v>
      </c>
      <c r="G56" s="32" t="s">
        <v>202</v>
      </c>
      <c r="H56" s="32"/>
      <c r="I56" s="32" t="s">
        <v>200</v>
      </c>
      <c r="J56" s="32"/>
      <c r="K56" s="29"/>
      <c r="L56" s="77"/>
      <c r="M56" s="41"/>
      <c r="N56" s="40" t="s">
        <v>48</v>
      </c>
      <c r="O56" s="51"/>
      <c r="P56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56" s="913">
        <f>IFERROR(Otras_Actividades_Base[[#This Row],[Económico $Corrientes]]/Otras_Actividades_Base[[#This Row],[Indexación Económico]],0)</f>
        <v>0</v>
      </c>
      <c r="R56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56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56" s="913">
        <f>IFERROR(Otras_Actividades_Base[[#This Row],[Financiero $Corrientes]]/Otras_Actividades_Base[[#This Row],[Indexación Financiero]],0)</f>
        <v>0</v>
      </c>
      <c r="U56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56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56" s="890">
        <f>IFERROR(Otras_Actividades_Base[[#This Row],[Intereses $Corrientes]]/Otras_Actividades_Base[[#This Row],[Indexación Financiero]],0)</f>
        <v>0</v>
      </c>
      <c r="X56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56" s="915" t="str">
        <f>IFERROR(INDEX(Otras_Actividades_Cuentas[],MATCH(Otras_Actividades_Base[[#This Row],[Cuenta Contable]],Otras_Actividades_Cuentas[Cuenta Contable],0),2),0)</f>
        <v>Ingreso</v>
      </c>
      <c r="Z56" s="887" t="str">
        <f>IFERROR(INDEX(Tabla9[],MATCH(Otras_Actividades_Base[[#This Row],[Movimiento]],Tabla9[Movimientos],0),2),0)</f>
        <v>Si</v>
      </c>
      <c r="AA56" s="889" t="str">
        <f>IFERROR(INDEX(Tabla9[],MATCH(Otras_Actividades_Base[[#This Row],[Movimiento]],Tabla9[Movimientos],0),3),0)</f>
        <v>(+)</v>
      </c>
      <c r="AB56" s="884">
        <f>IF(Otras_Actividades_Base[[#This Row],[Fecha Económico]]=0,0,MONTH(Otras_Actividades_Base[[#This Row],[Fecha Económico]]))</f>
        <v>0</v>
      </c>
      <c r="AC56" s="890">
        <f>IF(Otras_Actividades_Base[[#This Row],[Fecha Económico]]=0,0,YEAR(Otras_Actividades_Base[[#This Row],[Fecha Económico]]))</f>
        <v>0</v>
      </c>
      <c r="AD56" s="891">
        <f>SUMPRODUCT((Otras_Actividades_Base[[#This Row],[Mes Económico]]=Tipo_Cambio[Mes])*(Otras_Actividades_Base[[#This Row],[Año Económico]]=Tipo_Cambio[Año])*(Tipo_Cambio[$/U$S]))</f>
        <v>0</v>
      </c>
      <c r="AE56" s="891">
        <f>SUMPRODUCT((Otras_Actividades_Base[[#This Row],[Mes Económico]]=Tipo_Cambio[Mes])*(Otras_Actividades_Base[[#This Row],[Año Económico]]=Tipo_Cambio[Año])*(Tipo_Cambio[Actualización]))</f>
        <v>0</v>
      </c>
      <c r="AF56" s="890">
        <f>IF(ISNUMBER(Otras_Actividades_Base[[#This Row],[Fecha Financiero]])=TRUE,MONTH(Otras_Actividades_Base[[#This Row],[Fecha Financiero]]),0)</f>
        <v>0</v>
      </c>
      <c r="AG56" s="890">
        <f>IF(ISNUMBER(Otras_Actividades_Base[[#This Row],[Fecha Financiero]])=TRUE,YEAR(Otras_Actividades_Base[[#This Row],[Fecha Financiero]]),0)</f>
        <v>0</v>
      </c>
      <c r="AH56" s="891">
        <f>SUMPRODUCT((Otras_Actividades_Base[[#This Row],[Mes Financiero]]=Tipo_Cambio[Mes])*(Otras_Actividades_Base[[#This Row],[Año Financiero]]=Tipo_Cambio[Año])*(Tipo_Cambio[$/U$S]))</f>
        <v>0</v>
      </c>
      <c r="AI56" s="891">
        <f>SUMPRODUCT((Otras_Actividades_Base[[#This Row],[Mes Financiero]]=Tipo_Cambio[Mes])*(Otras_Actividades_Base[[#This Row],[Año Financiero]]=Tipo_Cambio[Año])*(Tipo_Cambio[Actualización]))</f>
        <v>0</v>
      </c>
      <c r="AJ56" s="916">
        <f>IF(Económico!$F$4=0,0,Otras_Actividades_Base[Centro de Costo])</f>
        <v>0</v>
      </c>
    </row>
    <row r="57" spans="2:36" x14ac:dyDescent="0.25">
      <c r="B57" s="1136"/>
      <c r="D57" s="42"/>
      <c r="E57" s="353"/>
      <c r="F57" s="1009" t="str">
        <f t="shared" si="4"/>
        <v>2018-2019</v>
      </c>
      <c r="G57" s="32" t="s">
        <v>202</v>
      </c>
      <c r="H57" s="32"/>
      <c r="I57" s="32" t="s">
        <v>200</v>
      </c>
      <c r="J57" s="32"/>
      <c r="K57" s="29"/>
      <c r="L57" s="77"/>
      <c r="M57" s="41"/>
      <c r="N57" s="40" t="s">
        <v>48</v>
      </c>
      <c r="O57" s="51"/>
      <c r="P57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57" s="913">
        <f>IFERROR(Otras_Actividades_Base[[#This Row],[Económico $Corrientes]]/Otras_Actividades_Base[[#This Row],[Indexación Económico]],0)</f>
        <v>0</v>
      </c>
      <c r="R57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57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57" s="913">
        <f>IFERROR(Otras_Actividades_Base[[#This Row],[Financiero $Corrientes]]/Otras_Actividades_Base[[#This Row],[Indexación Financiero]],0)</f>
        <v>0</v>
      </c>
      <c r="U57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57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57" s="890">
        <f>IFERROR(Otras_Actividades_Base[[#This Row],[Intereses $Corrientes]]/Otras_Actividades_Base[[#This Row],[Indexación Financiero]],0)</f>
        <v>0</v>
      </c>
      <c r="X57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57" s="915" t="str">
        <f>IFERROR(INDEX(Otras_Actividades_Cuentas[],MATCH(Otras_Actividades_Base[[#This Row],[Cuenta Contable]],Otras_Actividades_Cuentas[Cuenta Contable],0),2),0)</f>
        <v>Ingreso</v>
      </c>
      <c r="Z57" s="887" t="str">
        <f>IFERROR(INDEX(Tabla9[],MATCH(Otras_Actividades_Base[[#This Row],[Movimiento]],Tabla9[Movimientos],0),2),0)</f>
        <v>Si</v>
      </c>
      <c r="AA57" s="889" t="str">
        <f>IFERROR(INDEX(Tabla9[],MATCH(Otras_Actividades_Base[[#This Row],[Movimiento]],Tabla9[Movimientos],0),3),0)</f>
        <v>(+)</v>
      </c>
      <c r="AB57" s="884">
        <f>IF(Otras_Actividades_Base[[#This Row],[Fecha Económico]]=0,0,MONTH(Otras_Actividades_Base[[#This Row],[Fecha Económico]]))</f>
        <v>0</v>
      </c>
      <c r="AC57" s="890">
        <f>IF(Otras_Actividades_Base[[#This Row],[Fecha Económico]]=0,0,YEAR(Otras_Actividades_Base[[#This Row],[Fecha Económico]]))</f>
        <v>0</v>
      </c>
      <c r="AD57" s="891">
        <f>SUMPRODUCT((Otras_Actividades_Base[[#This Row],[Mes Económico]]=Tipo_Cambio[Mes])*(Otras_Actividades_Base[[#This Row],[Año Económico]]=Tipo_Cambio[Año])*(Tipo_Cambio[$/U$S]))</f>
        <v>0</v>
      </c>
      <c r="AE57" s="891">
        <f>SUMPRODUCT((Otras_Actividades_Base[[#This Row],[Mes Económico]]=Tipo_Cambio[Mes])*(Otras_Actividades_Base[[#This Row],[Año Económico]]=Tipo_Cambio[Año])*(Tipo_Cambio[Actualización]))</f>
        <v>0</v>
      </c>
      <c r="AF57" s="890">
        <f>IF(ISNUMBER(Otras_Actividades_Base[[#This Row],[Fecha Financiero]])=TRUE,MONTH(Otras_Actividades_Base[[#This Row],[Fecha Financiero]]),0)</f>
        <v>0</v>
      </c>
      <c r="AG57" s="890">
        <f>IF(ISNUMBER(Otras_Actividades_Base[[#This Row],[Fecha Financiero]])=TRUE,YEAR(Otras_Actividades_Base[[#This Row],[Fecha Financiero]]),0)</f>
        <v>0</v>
      </c>
      <c r="AH57" s="891">
        <f>SUMPRODUCT((Otras_Actividades_Base[[#This Row],[Mes Financiero]]=Tipo_Cambio[Mes])*(Otras_Actividades_Base[[#This Row],[Año Financiero]]=Tipo_Cambio[Año])*(Tipo_Cambio[$/U$S]))</f>
        <v>0</v>
      </c>
      <c r="AI57" s="891">
        <f>SUMPRODUCT((Otras_Actividades_Base[[#This Row],[Mes Financiero]]=Tipo_Cambio[Mes])*(Otras_Actividades_Base[[#This Row],[Año Financiero]]=Tipo_Cambio[Año])*(Tipo_Cambio[Actualización]))</f>
        <v>0</v>
      </c>
      <c r="AJ57" s="916">
        <f>IF(Económico!$F$4=0,0,Otras_Actividades_Base[Centro de Costo])</f>
        <v>0</v>
      </c>
    </row>
    <row r="58" spans="2:36" x14ac:dyDescent="0.25">
      <c r="D58" s="42"/>
      <c r="E58" s="353"/>
      <c r="F58" s="1009" t="str">
        <f t="shared" si="4"/>
        <v>2018-2019</v>
      </c>
      <c r="G58" s="32" t="s">
        <v>202</v>
      </c>
      <c r="H58" s="32"/>
      <c r="I58" s="32" t="s">
        <v>200</v>
      </c>
      <c r="J58" s="32"/>
      <c r="K58" s="29"/>
      <c r="L58" s="77"/>
      <c r="M58" s="41"/>
      <c r="N58" s="40" t="s">
        <v>48</v>
      </c>
      <c r="O58" s="51"/>
      <c r="P58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58" s="913">
        <f>IFERROR(Otras_Actividades_Base[[#This Row],[Económico $Corrientes]]/Otras_Actividades_Base[[#This Row],[Indexación Económico]],0)</f>
        <v>0</v>
      </c>
      <c r="R58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58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58" s="913">
        <f>IFERROR(Otras_Actividades_Base[[#This Row],[Financiero $Corrientes]]/Otras_Actividades_Base[[#This Row],[Indexación Financiero]],0)</f>
        <v>0</v>
      </c>
      <c r="U58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58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58" s="890">
        <f>IFERROR(Otras_Actividades_Base[[#This Row],[Intereses $Corrientes]]/Otras_Actividades_Base[[#This Row],[Indexación Financiero]],0)</f>
        <v>0</v>
      </c>
      <c r="X58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58" s="915" t="str">
        <f>IFERROR(INDEX(Otras_Actividades_Cuentas[],MATCH(Otras_Actividades_Base[[#This Row],[Cuenta Contable]],Otras_Actividades_Cuentas[Cuenta Contable],0),2),0)</f>
        <v>Ingreso</v>
      </c>
      <c r="Z58" s="887" t="str">
        <f>IFERROR(INDEX(Tabla9[],MATCH(Otras_Actividades_Base[[#This Row],[Movimiento]],Tabla9[Movimientos],0),2),0)</f>
        <v>Si</v>
      </c>
      <c r="AA58" s="889" t="str">
        <f>IFERROR(INDEX(Tabla9[],MATCH(Otras_Actividades_Base[[#This Row],[Movimiento]],Tabla9[Movimientos],0),3),0)</f>
        <v>(+)</v>
      </c>
      <c r="AB58" s="884">
        <f>IF(Otras_Actividades_Base[[#This Row],[Fecha Económico]]=0,0,MONTH(Otras_Actividades_Base[[#This Row],[Fecha Económico]]))</f>
        <v>0</v>
      </c>
      <c r="AC58" s="890">
        <f>IF(Otras_Actividades_Base[[#This Row],[Fecha Económico]]=0,0,YEAR(Otras_Actividades_Base[[#This Row],[Fecha Económico]]))</f>
        <v>0</v>
      </c>
      <c r="AD58" s="891">
        <f>SUMPRODUCT((Otras_Actividades_Base[[#This Row],[Mes Económico]]=Tipo_Cambio[Mes])*(Otras_Actividades_Base[[#This Row],[Año Económico]]=Tipo_Cambio[Año])*(Tipo_Cambio[$/U$S]))</f>
        <v>0</v>
      </c>
      <c r="AE58" s="891">
        <f>SUMPRODUCT((Otras_Actividades_Base[[#This Row],[Mes Económico]]=Tipo_Cambio[Mes])*(Otras_Actividades_Base[[#This Row],[Año Económico]]=Tipo_Cambio[Año])*(Tipo_Cambio[Actualización]))</f>
        <v>0</v>
      </c>
      <c r="AF58" s="890">
        <f>IF(ISNUMBER(Otras_Actividades_Base[[#This Row],[Fecha Financiero]])=TRUE,MONTH(Otras_Actividades_Base[[#This Row],[Fecha Financiero]]),0)</f>
        <v>0</v>
      </c>
      <c r="AG58" s="890">
        <f>IF(ISNUMBER(Otras_Actividades_Base[[#This Row],[Fecha Financiero]])=TRUE,YEAR(Otras_Actividades_Base[[#This Row],[Fecha Financiero]]),0)</f>
        <v>0</v>
      </c>
      <c r="AH58" s="891">
        <f>SUMPRODUCT((Otras_Actividades_Base[[#This Row],[Mes Financiero]]=Tipo_Cambio[Mes])*(Otras_Actividades_Base[[#This Row],[Año Financiero]]=Tipo_Cambio[Año])*(Tipo_Cambio[$/U$S]))</f>
        <v>0</v>
      </c>
      <c r="AI58" s="891">
        <f>SUMPRODUCT((Otras_Actividades_Base[[#This Row],[Mes Financiero]]=Tipo_Cambio[Mes])*(Otras_Actividades_Base[[#This Row],[Año Financiero]]=Tipo_Cambio[Año])*(Tipo_Cambio[Actualización]))</f>
        <v>0</v>
      </c>
      <c r="AJ58" s="916">
        <f>IF(Económico!$F$4=0,0,Otras_Actividades_Base[Centro de Costo])</f>
        <v>0</v>
      </c>
    </row>
    <row r="59" spans="2:36" x14ac:dyDescent="0.25">
      <c r="D59" s="42"/>
      <c r="E59" s="353"/>
      <c r="F59" s="1009" t="str">
        <f t="shared" si="4"/>
        <v>2018-2019</v>
      </c>
      <c r="G59" s="32" t="s">
        <v>202</v>
      </c>
      <c r="H59" s="32"/>
      <c r="I59" s="32" t="s">
        <v>200</v>
      </c>
      <c r="J59" s="32"/>
      <c r="K59" s="29"/>
      <c r="L59" s="77"/>
      <c r="M59" s="41"/>
      <c r="N59" s="40" t="s">
        <v>48</v>
      </c>
      <c r="O59" s="51"/>
      <c r="P59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59" s="913">
        <f>IFERROR(Otras_Actividades_Base[[#This Row],[Económico $Corrientes]]/Otras_Actividades_Base[[#This Row],[Indexación Económico]],0)</f>
        <v>0</v>
      </c>
      <c r="R59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59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59" s="913">
        <f>IFERROR(Otras_Actividades_Base[[#This Row],[Financiero $Corrientes]]/Otras_Actividades_Base[[#This Row],[Indexación Financiero]],0)</f>
        <v>0</v>
      </c>
      <c r="U59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59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59" s="890">
        <f>IFERROR(Otras_Actividades_Base[[#This Row],[Intereses $Corrientes]]/Otras_Actividades_Base[[#This Row],[Indexación Financiero]],0)</f>
        <v>0</v>
      </c>
      <c r="X59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59" s="915" t="str">
        <f>IFERROR(INDEX(Otras_Actividades_Cuentas[],MATCH(Otras_Actividades_Base[[#This Row],[Cuenta Contable]],Otras_Actividades_Cuentas[Cuenta Contable],0),2),0)</f>
        <v>Ingreso</v>
      </c>
      <c r="Z59" s="887" t="str">
        <f>IFERROR(INDEX(Tabla9[],MATCH(Otras_Actividades_Base[[#This Row],[Movimiento]],Tabla9[Movimientos],0),2),0)</f>
        <v>Si</v>
      </c>
      <c r="AA59" s="889" t="str">
        <f>IFERROR(INDEX(Tabla9[],MATCH(Otras_Actividades_Base[[#This Row],[Movimiento]],Tabla9[Movimientos],0),3),0)</f>
        <v>(+)</v>
      </c>
      <c r="AB59" s="884">
        <f>IF(Otras_Actividades_Base[[#This Row],[Fecha Económico]]=0,0,MONTH(Otras_Actividades_Base[[#This Row],[Fecha Económico]]))</f>
        <v>0</v>
      </c>
      <c r="AC59" s="890">
        <f>IF(Otras_Actividades_Base[[#This Row],[Fecha Económico]]=0,0,YEAR(Otras_Actividades_Base[[#This Row],[Fecha Económico]]))</f>
        <v>0</v>
      </c>
      <c r="AD59" s="891">
        <f>SUMPRODUCT((Otras_Actividades_Base[[#This Row],[Mes Económico]]=Tipo_Cambio[Mes])*(Otras_Actividades_Base[[#This Row],[Año Económico]]=Tipo_Cambio[Año])*(Tipo_Cambio[$/U$S]))</f>
        <v>0</v>
      </c>
      <c r="AE59" s="891">
        <f>SUMPRODUCT((Otras_Actividades_Base[[#This Row],[Mes Económico]]=Tipo_Cambio[Mes])*(Otras_Actividades_Base[[#This Row],[Año Económico]]=Tipo_Cambio[Año])*(Tipo_Cambio[Actualización]))</f>
        <v>0</v>
      </c>
      <c r="AF59" s="890">
        <f>IF(ISNUMBER(Otras_Actividades_Base[[#This Row],[Fecha Financiero]])=TRUE,MONTH(Otras_Actividades_Base[[#This Row],[Fecha Financiero]]),0)</f>
        <v>0</v>
      </c>
      <c r="AG59" s="890">
        <f>IF(ISNUMBER(Otras_Actividades_Base[[#This Row],[Fecha Financiero]])=TRUE,YEAR(Otras_Actividades_Base[[#This Row],[Fecha Financiero]]),0)</f>
        <v>0</v>
      </c>
      <c r="AH59" s="891">
        <f>SUMPRODUCT((Otras_Actividades_Base[[#This Row],[Mes Financiero]]=Tipo_Cambio[Mes])*(Otras_Actividades_Base[[#This Row],[Año Financiero]]=Tipo_Cambio[Año])*(Tipo_Cambio[$/U$S]))</f>
        <v>0</v>
      </c>
      <c r="AI59" s="891">
        <f>SUMPRODUCT((Otras_Actividades_Base[[#This Row],[Mes Financiero]]=Tipo_Cambio[Mes])*(Otras_Actividades_Base[[#This Row],[Año Financiero]]=Tipo_Cambio[Año])*(Tipo_Cambio[Actualización]))</f>
        <v>0</v>
      </c>
      <c r="AJ59" s="916">
        <f>IF(Económico!$F$4=0,0,Otras_Actividades_Base[Centro de Costo])</f>
        <v>0</v>
      </c>
    </row>
    <row r="60" spans="2:36" x14ac:dyDescent="0.25">
      <c r="D60" s="42"/>
      <c r="E60" s="353"/>
      <c r="F60" s="1009" t="str">
        <f t="shared" si="4"/>
        <v>2018-2019</v>
      </c>
      <c r="G60" s="280"/>
      <c r="H60" s="32"/>
      <c r="I60" s="32"/>
      <c r="J60" s="32"/>
      <c r="K60" s="29"/>
      <c r="L60" s="77"/>
      <c r="M60" s="41"/>
      <c r="N60" s="40" t="s">
        <v>48</v>
      </c>
      <c r="O60" s="51"/>
      <c r="P60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60" s="913">
        <f>IFERROR(Otras_Actividades_Base[[#This Row],[Económico $Corrientes]]/Otras_Actividades_Base[[#This Row],[Indexación Económico]],0)</f>
        <v>0</v>
      </c>
      <c r="R60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60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60" s="913">
        <f>IFERROR(Otras_Actividades_Base[[#This Row],[Financiero $Corrientes]]/Otras_Actividades_Base[[#This Row],[Indexación Financiero]],0)</f>
        <v>0</v>
      </c>
      <c r="U60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60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60" s="890">
        <f>IFERROR(Otras_Actividades_Base[[#This Row],[Intereses $Corrientes]]/Otras_Actividades_Base[[#This Row],[Indexación Financiero]],0)</f>
        <v>0</v>
      </c>
      <c r="X60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60" s="915">
        <f>IFERROR(INDEX(Otras_Actividades_Cuentas[],MATCH(Otras_Actividades_Base[[#This Row],[Cuenta Contable]],Otras_Actividades_Cuentas[Cuenta Contable],0),2),0)</f>
        <v>0</v>
      </c>
      <c r="Z60" s="887">
        <f>IFERROR(INDEX(Tabla9[],MATCH(Otras_Actividades_Base[[#This Row],[Movimiento]],Tabla9[Movimientos],0),2),0)</f>
        <v>0</v>
      </c>
      <c r="AA60" s="889">
        <f>IFERROR(INDEX(Tabla9[],MATCH(Otras_Actividades_Base[[#This Row],[Movimiento]],Tabla9[Movimientos],0),3),0)</f>
        <v>0</v>
      </c>
      <c r="AB60" s="884">
        <f>IF(Otras_Actividades_Base[[#This Row],[Fecha Económico]]=0,0,MONTH(Otras_Actividades_Base[[#This Row],[Fecha Económico]]))</f>
        <v>0</v>
      </c>
      <c r="AC60" s="890">
        <f>IF(Otras_Actividades_Base[[#This Row],[Fecha Económico]]=0,0,YEAR(Otras_Actividades_Base[[#This Row],[Fecha Económico]]))</f>
        <v>0</v>
      </c>
      <c r="AD60" s="891">
        <f>SUMPRODUCT((Otras_Actividades_Base[[#This Row],[Mes Económico]]=Tipo_Cambio[Mes])*(Otras_Actividades_Base[[#This Row],[Año Económico]]=Tipo_Cambio[Año])*(Tipo_Cambio[$/U$S]))</f>
        <v>0</v>
      </c>
      <c r="AE60" s="891">
        <f>SUMPRODUCT((Otras_Actividades_Base[[#This Row],[Mes Económico]]=Tipo_Cambio[Mes])*(Otras_Actividades_Base[[#This Row],[Año Económico]]=Tipo_Cambio[Año])*(Tipo_Cambio[Actualización]))</f>
        <v>0</v>
      </c>
      <c r="AF60" s="890">
        <f>IF(ISNUMBER(Otras_Actividades_Base[[#This Row],[Fecha Financiero]])=TRUE,MONTH(Otras_Actividades_Base[[#This Row],[Fecha Financiero]]),0)</f>
        <v>0</v>
      </c>
      <c r="AG60" s="890">
        <f>IF(ISNUMBER(Otras_Actividades_Base[[#This Row],[Fecha Financiero]])=TRUE,YEAR(Otras_Actividades_Base[[#This Row],[Fecha Financiero]]),0)</f>
        <v>0</v>
      </c>
      <c r="AH60" s="891">
        <f>SUMPRODUCT((Otras_Actividades_Base[[#This Row],[Mes Financiero]]=Tipo_Cambio[Mes])*(Otras_Actividades_Base[[#This Row],[Año Financiero]]=Tipo_Cambio[Año])*(Tipo_Cambio[$/U$S]))</f>
        <v>0</v>
      </c>
      <c r="AI60" s="891">
        <f>SUMPRODUCT((Otras_Actividades_Base[[#This Row],[Mes Financiero]]=Tipo_Cambio[Mes])*(Otras_Actividades_Base[[#This Row],[Año Financiero]]=Tipo_Cambio[Año])*(Tipo_Cambio[Actualización]))</f>
        <v>0</v>
      </c>
      <c r="AJ60" s="916">
        <f>IF(Económico!$F$4=0,0,Otras_Actividades_Base[Centro de Costo])</f>
        <v>0</v>
      </c>
    </row>
    <row r="61" spans="2:36" x14ac:dyDescent="0.25">
      <c r="D61" s="42"/>
      <c r="E61" s="353"/>
      <c r="F61" s="1009" t="str">
        <f t="shared" si="4"/>
        <v>2018-2019</v>
      </c>
      <c r="G61" s="280"/>
      <c r="H61" s="32"/>
      <c r="I61" s="32"/>
      <c r="J61" s="32"/>
      <c r="K61" s="29"/>
      <c r="L61" s="77"/>
      <c r="M61" s="41"/>
      <c r="N61" s="40"/>
      <c r="O61" s="51"/>
      <c r="P61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61" s="913">
        <f>IFERROR(Otras_Actividades_Base[[#This Row],[Económico $Corrientes]]/Otras_Actividades_Base[[#This Row],[Indexación Económico]],0)</f>
        <v>0</v>
      </c>
      <c r="R61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61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61" s="913">
        <f>IFERROR(Otras_Actividades_Base[[#This Row],[Financiero $Corrientes]]/Otras_Actividades_Base[[#This Row],[Indexación Financiero]],0)</f>
        <v>0</v>
      </c>
      <c r="U61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61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61" s="890">
        <f>IFERROR(Otras_Actividades_Base[[#This Row],[Intereses $Corrientes]]/Otras_Actividades_Base[[#This Row],[Indexación Financiero]],0)</f>
        <v>0</v>
      </c>
      <c r="X61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61" s="915">
        <f>IFERROR(INDEX(Otras_Actividades_Cuentas[],MATCH(Otras_Actividades_Base[[#This Row],[Cuenta Contable]],Otras_Actividades_Cuentas[Cuenta Contable],0),2),0)</f>
        <v>0</v>
      </c>
      <c r="Z61" s="887">
        <f>IFERROR(INDEX(Tabla9[],MATCH(Otras_Actividades_Base[[#This Row],[Movimiento]],Tabla9[Movimientos],0),2),0)</f>
        <v>0</v>
      </c>
      <c r="AA61" s="889">
        <f>IFERROR(INDEX(Tabla9[],MATCH(Otras_Actividades_Base[[#This Row],[Movimiento]],Tabla9[Movimientos],0),3),0)</f>
        <v>0</v>
      </c>
      <c r="AB61" s="884">
        <f>IF(Otras_Actividades_Base[[#This Row],[Fecha Económico]]=0,0,MONTH(Otras_Actividades_Base[[#This Row],[Fecha Económico]]))</f>
        <v>0</v>
      </c>
      <c r="AC61" s="890">
        <f>IF(Otras_Actividades_Base[[#This Row],[Fecha Económico]]=0,0,YEAR(Otras_Actividades_Base[[#This Row],[Fecha Económico]]))</f>
        <v>0</v>
      </c>
      <c r="AD61" s="891">
        <f>SUMPRODUCT((Otras_Actividades_Base[[#This Row],[Mes Económico]]=Tipo_Cambio[Mes])*(Otras_Actividades_Base[[#This Row],[Año Económico]]=Tipo_Cambio[Año])*(Tipo_Cambio[$/U$S]))</f>
        <v>0</v>
      </c>
      <c r="AE61" s="891">
        <f>SUMPRODUCT((Otras_Actividades_Base[[#This Row],[Mes Económico]]=Tipo_Cambio[Mes])*(Otras_Actividades_Base[[#This Row],[Año Económico]]=Tipo_Cambio[Año])*(Tipo_Cambio[Actualización]))</f>
        <v>0</v>
      </c>
      <c r="AF61" s="890">
        <f>IF(ISNUMBER(Otras_Actividades_Base[[#This Row],[Fecha Financiero]])=TRUE,MONTH(Otras_Actividades_Base[[#This Row],[Fecha Financiero]]),0)</f>
        <v>0</v>
      </c>
      <c r="AG61" s="890">
        <f>IF(ISNUMBER(Otras_Actividades_Base[[#This Row],[Fecha Financiero]])=TRUE,YEAR(Otras_Actividades_Base[[#This Row],[Fecha Financiero]]),0)</f>
        <v>0</v>
      </c>
      <c r="AH61" s="891">
        <f>SUMPRODUCT((Otras_Actividades_Base[[#This Row],[Mes Financiero]]=Tipo_Cambio[Mes])*(Otras_Actividades_Base[[#This Row],[Año Financiero]]=Tipo_Cambio[Año])*(Tipo_Cambio[$/U$S]))</f>
        <v>0</v>
      </c>
      <c r="AI61" s="891">
        <f>SUMPRODUCT((Otras_Actividades_Base[[#This Row],[Mes Financiero]]=Tipo_Cambio[Mes])*(Otras_Actividades_Base[[#This Row],[Año Financiero]]=Tipo_Cambio[Año])*(Tipo_Cambio[Actualización]))</f>
        <v>0</v>
      </c>
      <c r="AJ61" s="916">
        <f>IF(Económico!$F$4=0,0,Otras_Actividades_Base[Centro de Costo])</f>
        <v>0</v>
      </c>
    </row>
    <row r="62" spans="2:36" x14ac:dyDescent="0.25">
      <c r="D62" s="42"/>
      <c r="E62" s="353"/>
      <c r="F62" s="1009" t="str">
        <f t="shared" si="4"/>
        <v>2018-2019</v>
      </c>
      <c r="G62" s="280"/>
      <c r="H62" s="32"/>
      <c r="I62" s="32"/>
      <c r="J62" s="32"/>
      <c r="K62" s="29"/>
      <c r="L62" s="77"/>
      <c r="M62" s="41"/>
      <c r="N62" s="40"/>
      <c r="O62" s="51"/>
      <c r="P62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62" s="913">
        <f>IFERROR(Otras_Actividades_Base[[#This Row],[Económico $Corrientes]]/Otras_Actividades_Base[[#This Row],[Indexación Económico]],0)</f>
        <v>0</v>
      </c>
      <c r="R62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62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62" s="913">
        <f>IFERROR(Otras_Actividades_Base[[#This Row],[Financiero $Corrientes]]/Otras_Actividades_Base[[#This Row],[Indexación Financiero]],0)</f>
        <v>0</v>
      </c>
      <c r="U62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62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62" s="890">
        <f>IFERROR(Otras_Actividades_Base[[#This Row],[Intereses $Corrientes]]/Otras_Actividades_Base[[#This Row],[Indexación Financiero]],0)</f>
        <v>0</v>
      </c>
      <c r="X62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62" s="915">
        <f>IFERROR(INDEX(Otras_Actividades_Cuentas[],MATCH(Otras_Actividades_Base[[#This Row],[Cuenta Contable]],Otras_Actividades_Cuentas[Cuenta Contable],0),2),0)</f>
        <v>0</v>
      </c>
      <c r="Z62" s="887">
        <f>IFERROR(INDEX(Tabla9[],MATCH(Otras_Actividades_Base[[#This Row],[Movimiento]],Tabla9[Movimientos],0),2),0)</f>
        <v>0</v>
      </c>
      <c r="AA62" s="889">
        <f>IFERROR(INDEX(Tabla9[],MATCH(Otras_Actividades_Base[[#This Row],[Movimiento]],Tabla9[Movimientos],0),3),0)</f>
        <v>0</v>
      </c>
      <c r="AB62" s="884">
        <f>IF(Otras_Actividades_Base[[#This Row],[Fecha Económico]]=0,0,MONTH(Otras_Actividades_Base[[#This Row],[Fecha Económico]]))</f>
        <v>0</v>
      </c>
      <c r="AC62" s="890">
        <f>IF(Otras_Actividades_Base[[#This Row],[Fecha Económico]]=0,0,YEAR(Otras_Actividades_Base[[#This Row],[Fecha Económico]]))</f>
        <v>0</v>
      </c>
      <c r="AD62" s="891">
        <f>SUMPRODUCT((Otras_Actividades_Base[[#This Row],[Mes Económico]]=Tipo_Cambio[Mes])*(Otras_Actividades_Base[[#This Row],[Año Económico]]=Tipo_Cambio[Año])*(Tipo_Cambio[$/U$S]))</f>
        <v>0</v>
      </c>
      <c r="AE62" s="891">
        <f>SUMPRODUCT((Otras_Actividades_Base[[#This Row],[Mes Económico]]=Tipo_Cambio[Mes])*(Otras_Actividades_Base[[#This Row],[Año Económico]]=Tipo_Cambio[Año])*(Tipo_Cambio[Actualización]))</f>
        <v>0</v>
      </c>
      <c r="AF62" s="890">
        <f>IF(ISNUMBER(Otras_Actividades_Base[[#This Row],[Fecha Financiero]])=TRUE,MONTH(Otras_Actividades_Base[[#This Row],[Fecha Financiero]]),0)</f>
        <v>0</v>
      </c>
      <c r="AG62" s="890">
        <f>IF(ISNUMBER(Otras_Actividades_Base[[#This Row],[Fecha Financiero]])=TRUE,YEAR(Otras_Actividades_Base[[#This Row],[Fecha Financiero]]),0)</f>
        <v>0</v>
      </c>
      <c r="AH62" s="891">
        <f>SUMPRODUCT((Otras_Actividades_Base[[#This Row],[Mes Financiero]]=Tipo_Cambio[Mes])*(Otras_Actividades_Base[[#This Row],[Año Financiero]]=Tipo_Cambio[Año])*(Tipo_Cambio[$/U$S]))</f>
        <v>0</v>
      </c>
      <c r="AI62" s="891">
        <f>SUMPRODUCT((Otras_Actividades_Base[[#This Row],[Mes Financiero]]=Tipo_Cambio[Mes])*(Otras_Actividades_Base[[#This Row],[Año Financiero]]=Tipo_Cambio[Año])*(Tipo_Cambio[Actualización]))</f>
        <v>0</v>
      </c>
      <c r="AJ62" s="916">
        <f>IF(Económico!$F$4=0,0,Otras_Actividades_Base[Centro de Costo])</f>
        <v>0</v>
      </c>
    </row>
    <row r="63" spans="2:36" x14ac:dyDescent="0.25">
      <c r="D63" s="42"/>
      <c r="E63" s="353"/>
      <c r="F63" s="1009" t="str">
        <f t="shared" si="4"/>
        <v>2018-2019</v>
      </c>
      <c r="G63" s="280"/>
      <c r="H63" s="32"/>
      <c r="I63" s="32"/>
      <c r="J63" s="32"/>
      <c r="K63" s="29"/>
      <c r="L63" s="77"/>
      <c r="M63" s="41"/>
      <c r="N63" s="40"/>
      <c r="O63" s="51"/>
      <c r="P63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63" s="913">
        <f>IFERROR(Otras_Actividades_Base[[#This Row],[Económico $Corrientes]]/Otras_Actividades_Base[[#This Row],[Indexación Económico]],0)</f>
        <v>0</v>
      </c>
      <c r="R63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63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63" s="913">
        <f>IFERROR(Otras_Actividades_Base[[#This Row],[Financiero $Corrientes]]/Otras_Actividades_Base[[#This Row],[Indexación Financiero]],0)</f>
        <v>0</v>
      </c>
      <c r="U63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63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63" s="890">
        <f>IFERROR(Otras_Actividades_Base[[#This Row],[Intereses $Corrientes]]/Otras_Actividades_Base[[#This Row],[Indexación Financiero]],0)</f>
        <v>0</v>
      </c>
      <c r="X63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63" s="915">
        <f>IFERROR(INDEX(Otras_Actividades_Cuentas[],MATCH(Otras_Actividades_Base[[#This Row],[Cuenta Contable]],Otras_Actividades_Cuentas[Cuenta Contable],0),2),0)</f>
        <v>0</v>
      </c>
      <c r="Z63" s="887">
        <f>IFERROR(INDEX(Tabla9[],MATCH(Otras_Actividades_Base[[#This Row],[Movimiento]],Tabla9[Movimientos],0),2),0)</f>
        <v>0</v>
      </c>
      <c r="AA63" s="889">
        <f>IFERROR(INDEX(Tabla9[],MATCH(Otras_Actividades_Base[[#This Row],[Movimiento]],Tabla9[Movimientos],0),3),0)</f>
        <v>0</v>
      </c>
      <c r="AB63" s="884">
        <f>IF(Otras_Actividades_Base[[#This Row],[Fecha Económico]]=0,0,MONTH(Otras_Actividades_Base[[#This Row],[Fecha Económico]]))</f>
        <v>0</v>
      </c>
      <c r="AC63" s="890">
        <f>IF(Otras_Actividades_Base[[#This Row],[Fecha Económico]]=0,0,YEAR(Otras_Actividades_Base[[#This Row],[Fecha Económico]]))</f>
        <v>0</v>
      </c>
      <c r="AD63" s="891">
        <f>SUMPRODUCT((Otras_Actividades_Base[[#This Row],[Mes Económico]]=Tipo_Cambio[Mes])*(Otras_Actividades_Base[[#This Row],[Año Económico]]=Tipo_Cambio[Año])*(Tipo_Cambio[$/U$S]))</f>
        <v>0</v>
      </c>
      <c r="AE63" s="891">
        <f>SUMPRODUCT((Otras_Actividades_Base[[#This Row],[Mes Económico]]=Tipo_Cambio[Mes])*(Otras_Actividades_Base[[#This Row],[Año Económico]]=Tipo_Cambio[Año])*(Tipo_Cambio[Actualización]))</f>
        <v>0</v>
      </c>
      <c r="AF63" s="890">
        <f>IF(ISNUMBER(Otras_Actividades_Base[[#This Row],[Fecha Financiero]])=TRUE,MONTH(Otras_Actividades_Base[[#This Row],[Fecha Financiero]]),0)</f>
        <v>0</v>
      </c>
      <c r="AG63" s="890">
        <f>IF(ISNUMBER(Otras_Actividades_Base[[#This Row],[Fecha Financiero]])=TRUE,YEAR(Otras_Actividades_Base[[#This Row],[Fecha Financiero]]),0)</f>
        <v>0</v>
      </c>
      <c r="AH63" s="891">
        <f>SUMPRODUCT((Otras_Actividades_Base[[#This Row],[Mes Financiero]]=Tipo_Cambio[Mes])*(Otras_Actividades_Base[[#This Row],[Año Financiero]]=Tipo_Cambio[Año])*(Tipo_Cambio[$/U$S]))</f>
        <v>0</v>
      </c>
      <c r="AI63" s="891">
        <f>SUMPRODUCT((Otras_Actividades_Base[[#This Row],[Mes Financiero]]=Tipo_Cambio[Mes])*(Otras_Actividades_Base[[#This Row],[Año Financiero]]=Tipo_Cambio[Año])*(Tipo_Cambio[Actualización]))</f>
        <v>0</v>
      </c>
      <c r="AJ63" s="916">
        <f>IF(Económico!$F$4=0,0,Otras_Actividades_Base[Centro de Costo])</f>
        <v>0</v>
      </c>
    </row>
    <row r="64" spans="2:36" x14ac:dyDescent="0.25">
      <c r="D64" s="42"/>
      <c r="E64" s="353"/>
      <c r="F64" s="1009" t="str">
        <f t="shared" si="4"/>
        <v>2018-2019</v>
      </c>
      <c r="G64" s="280"/>
      <c r="H64" s="32"/>
      <c r="I64" s="32"/>
      <c r="J64" s="32"/>
      <c r="K64" s="29"/>
      <c r="L64" s="77"/>
      <c r="M64" s="41"/>
      <c r="N64" s="40"/>
      <c r="O64" s="51"/>
      <c r="P64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64" s="913">
        <f>IFERROR(Otras_Actividades_Base[[#This Row],[Económico $Corrientes]]/Otras_Actividades_Base[[#This Row],[Indexación Económico]],0)</f>
        <v>0</v>
      </c>
      <c r="R64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64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64" s="913">
        <f>IFERROR(Otras_Actividades_Base[[#This Row],[Financiero $Corrientes]]/Otras_Actividades_Base[[#This Row],[Indexación Financiero]],0)</f>
        <v>0</v>
      </c>
      <c r="U64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64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64" s="890">
        <f>IFERROR(Otras_Actividades_Base[[#This Row],[Intereses $Corrientes]]/Otras_Actividades_Base[[#This Row],[Indexación Financiero]],0)</f>
        <v>0</v>
      </c>
      <c r="X64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64" s="915">
        <f>IFERROR(INDEX(Otras_Actividades_Cuentas[],MATCH(Otras_Actividades_Base[[#This Row],[Cuenta Contable]],Otras_Actividades_Cuentas[Cuenta Contable],0),2),0)</f>
        <v>0</v>
      </c>
      <c r="Z64" s="887">
        <f>IFERROR(INDEX(Tabla9[],MATCH(Otras_Actividades_Base[[#This Row],[Movimiento]],Tabla9[Movimientos],0),2),0)</f>
        <v>0</v>
      </c>
      <c r="AA64" s="889">
        <f>IFERROR(INDEX(Tabla9[],MATCH(Otras_Actividades_Base[[#This Row],[Movimiento]],Tabla9[Movimientos],0),3),0)</f>
        <v>0</v>
      </c>
      <c r="AB64" s="884">
        <f>IF(Otras_Actividades_Base[[#This Row],[Fecha Económico]]=0,0,MONTH(Otras_Actividades_Base[[#This Row],[Fecha Económico]]))</f>
        <v>0</v>
      </c>
      <c r="AC64" s="890">
        <f>IF(Otras_Actividades_Base[[#This Row],[Fecha Económico]]=0,0,YEAR(Otras_Actividades_Base[[#This Row],[Fecha Económico]]))</f>
        <v>0</v>
      </c>
      <c r="AD64" s="891">
        <f>SUMPRODUCT((Otras_Actividades_Base[[#This Row],[Mes Económico]]=Tipo_Cambio[Mes])*(Otras_Actividades_Base[[#This Row],[Año Económico]]=Tipo_Cambio[Año])*(Tipo_Cambio[$/U$S]))</f>
        <v>0</v>
      </c>
      <c r="AE64" s="891">
        <f>SUMPRODUCT((Otras_Actividades_Base[[#This Row],[Mes Económico]]=Tipo_Cambio[Mes])*(Otras_Actividades_Base[[#This Row],[Año Económico]]=Tipo_Cambio[Año])*(Tipo_Cambio[Actualización]))</f>
        <v>0</v>
      </c>
      <c r="AF64" s="890">
        <f>IF(ISNUMBER(Otras_Actividades_Base[[#This Row],[Fecha Financiero]])=TRUE,MONTH(Otras_Actividades_Base[[#This Row],[Fecha Financiero]]),0)</f>
        <v>0</v>
      </c>
      <c r="AG64" s="890">
        <f>IF(ISNUMBER(Otras_Actividades_Base[[#This Row],[Fecha Financiero]])=TRUE,YEAR(Otras_Actividades_Base[[#This Row],[Fecha Financiero]]),0)</f>
        <v>0</v>
      </c>
      <c r="AH64" s="891">
        <f>SUMPRODUCT((Otras_Actividades_Base[[#This Row],[Mes Financiero]]=Tipo_Cambio[Mes])*(Otras_Actividades_Base[[#This Row],[Año Financiero]]=Tipo_Cambio[Año])*(Tipo_Cambio[$/U$S]))</f>
        <v>0</v>
      </c>
      <c r="AI64" s="891">
        <f>SUMPRODUCT((Otras_Actividades_Base[[#This Row],[Mes Financiero]]=Tipo_Cambio[Mes])*(Otras_Actividades_Base[[#This Row],[Año Financiero]]=Tipo_Cambio[Año])*(Tipo_Cambio[Actualización]))</f>
        <v>0</v>
      </c>
      <c r="AJ64" s="916">
        <f>IF(Económico!$F$4=0,0,Otras_Actividades_Base[Centro de Costo])</f>
        <v>0</v>
      </c>
    </row>
    <row r="65" spans="2:36" x14ac:dyDescent="0.25">
      <c r="D65" s="42"/>
      <c r="E65" s="353"/>
      <c r="F65" s="1009" t="str">
        <f t="shared" si="4"/>
        <v>2018-2019</v>
      </c>
      <c r="G65" s="280"/>
      <c r="H65" s="32"/>
      <c r="I65" s="32"/>
      <c r="J65" s="32"/>
      <c r="K65" s="29"/>
      <c r="L65" s="77"/>
      <c r="M65" s="41"/>
      <c r="N65" s="40"/>
      <c r="O65" s="51"/>
      <c r="P65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65" s="913">
        <f>IFERROR(Otras_Actividades_Base[[#This Row],[Económico $Corrientes]]/Otras_Actividades_Base[[#This Row],[Indexación Económico]],0)</f>
        <v>0</v>
      </c>
      <c r="R65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65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65" s="913">
        <f>IFERROR(Otras_Actividades_Base[[#This Row],[Financiero $Corrientes]]/Otras_Actividades_Base[[#This Row],[Indexación Financiero]],0)</f>
        <v>0</v>
      </c>
      <c r="U65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65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65" s="890">
        <f>IFERROR(Otras_Actividades_Base[[#This Row],[Intereses $Corrientes]]/Otras_Actividades_Base[[#This Row],[Indexación Financiero]],0)</f>
        <v>0</v>
      </c>
      <c r="X65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65" s="915">
        <f>IFERROR(INDEX(Otras_Actividades_Cuentas[],MATCH(Otras_Actividades_Base[[#This Row],[Cuenta Contable]],Otras_Actividades_Cuentas[Cuenta Contable],0),2),0)</f>
        <v>0</v>
      </c>
      <c r="Z65" s="887">
        <f>IFERROR(INDEX(Tabla9[],MATCH(Otras_Actividades_Base[[#This Row],[Movimiento]],Tabla9[Movimientos],0),2),0)</f>
        <v>0</v>
      </c>
      <c r="AA65" s="889">
        <f>IFERROR(INDEX(Tabla9[],MATCH(Otras_Actividades_Base[[#This Row],[Movimiento]],Tabla9[Movimientos],0),3),0)</f>
        <v>0</v>
      </c>
      <c r="AB65" s="884">
        <f>IF(Otras_Actividades_Base[[#This Row],[Fecha Económico]]=0,0,MONTH(Otras_Actividades_Base[[#This Row],[Fecha Económico]]))</f>
        <v>0</v>
      </c>
      <c r="AC65" s="890">
        <f>IF(Otras_Actividades_Base[[#This Row],[Fecha Económico]]=0,0,YEAR(Otras_Actividades_Base[[#This Row],[Fecha Económico]]))</f>
        <v>0</v>
      </c>
      <c r="AD65" s="891">
        <f>SUMPRODUCT((Otras_Actividades_Base[[#This Row],[Mes Económico]]=Tipo_Cambio[Mes])*(Otras_Actividades_Base[[#This Row],[Año Económico]]=Tipo_Cambio[Año])*(Tipo_Cambio[$/U$S]))</f>
        <v>0</v>
      </c>
      <c r="AE65" s="891">
        <f>SUMPRODUCT((Otras_Actividades_Base[[#This Row],[Mes Económico]]=Tipo_Cambio[Mes])*(Otras_Actividades_Base[[#This Row],[Año Económico]]=Tipo_Cambio[Año])*(Tipo_Cambio[Actualización]))</f>
        <v>0</v>
      </c>
      <c r="AF65" s="890">
        <f>IF(ISNUMBER(Otras_Actividades_Base[[#This Row],[Fecha Financiero]])=TRUE,MONTH(Otras_Actividades_Base[[#This Row],[Fecha Financiero]]),0)</f>
        <v>0</v>
      </c>
      <c r="AG65" s="890">
        <f>IF(ISNUMBER(Otras_Actividades_Base[[#This Row],[Fecha Financiero]])=TRUE,YEAR(Otras_Actividades_Base[[#This Row],[Fecha Financiero]]),0)</f>
        <v>0</v>
      </c>
      <c r="AH65" s="891">
        <f>SUMPRODUCT((Otras_Actividades_Base[[#This Row],[Mes Financiero]]=Tipo_Cambio[Mes])*(Otras_Actividades_Base[[#This Row],[Año Financiero]]=Tipo_Cambio[Año])*(Tipo_Cambio[$/U$S]))</f>
        <v>0</v>
      </c>
      <c r="AI65" s="891">
        <f>SUMPRODUCT((Otras_Actividades_Base[[#This Row],[Mes Financiero]]=Tipo_Cambio[Mes])*(Otras_Actividades_Base[[#This Row],[Año Financiero]]=Tipo_Cambio[Año])*(Tipo_Cambio[Actualización]))</f>
        <v>0</v>
      </c>
      <c r="AJ65" s="916">
        <f>IF(Económico!$F$4=0,0,Otras_Actividades_Base[Centro de Costo])</f>
        <v>0</v>
      </c>
    </row>
    <row r="66" spans="2:36" x14ac:dyDescent="0.25">
      <c r="D66" s="42"/>
      <c r="E66" s="353"/>
      <c r="F66" s="1009" t="str">
        <f t="shared" si="4"/>
        <v>2018-2019</v>
      </c>
      <c r="G66" s="280"/>
      <c r="H66" s="32"/>
      <c r="I66" s="32"/>
      <c r="J66" s="32"/>
      <c r="K66" s="29"/>
      <c r="L66" s="77"/>
      <c r="M66" s="41"/>
      <c r="N66" s="40"/>
      <c r="O66" s="51"/>
      <c r="P66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66" s="913">
        <f>IFERROR(Otras_Actividades_Base[[#This Row],[Económico $Corrientes]]/Otras_Actividades_Base[[#This Row],[Indexación Económico]],0)</f>
        <v>0</v>
      </c>
      <c r="R66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66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66" s="913">
        <f>IFERROR(Otras_Actividades_Base[[#This Row],[Financiero $Corrientes]]/Otras_Actividades_Base[[#This Row],[Indexación Financiero]],0)</f>
        <v>0</v>
      </c>
      <c r="U66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66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66" s="890">
        <f>IFERROR(Otras_Actividades_Base[[#This Row],[Intereses $Corrientes]]/Otras_Actividades_Base[[#This Row],[Indexación Financiero]],0)</f>
        <v>0</v>
      </c>
      <c r="X66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66" s="915">
        <f>IFERROR(INDEX(Otras_Actividades_Cuentas[],MATCH(Otras_Actividades_Base[[#This Row],[Cuenta Contable]],Otras_Actividades_Cuentas[Cuenta Contable],0),2),0)</f>
        <v>0</v>
      </c>
      <c r="Z66" s="887">
        <f>IFERROR(INDEX(Tabla9[],MATCH(Otras_Actividades_Base[[#This Row],[Movimiento]],Tabla9[Movimientos],0),2),0)</f>
        <v>0</v>
      </c>
      <c r="AA66" s="889">
        <f>IFERROR(INDEX(Tabla9[],MATCH(Otras_Actividades_Base[[#This Row],[Movimiento]],Tabla9[Movimientos],0),3),0)</f>
        <v>0</v>
      </c>
      <c r="AB66" s="884">
        <f>IF(Otras_Actividades_Base[[#This Row],[Fecha Económico]]=0,0,MONTH(Otras_Actividades_Base[[#This Row],[Fecha Económico]]))</f>
        <v>0</v>
      </c>
      <c r="AC66" s="890">
        <f>IF(Otras_Actividades_Base[[#This Row],[Fecha Económico]]=0,0,YEAR(Otras_Actividades_Base[[#This Row],[Fecha Económico]]))</f>
        <v>0</v>
      </c>
      <c r="AD66" s="891">
        <f>SUMPRODUCT((Otras_Actividades_Base[[#This Row],[Mes Económico]]=Tipo_Cambio[Mes])*(Otras_Actividades_Base[[#This Row],[Año Económico]]=Tipo_Cambio[Año])*(Tipo_Cambio[$/U$S]))</f>
        <v>0</v>
      </c>
      <c r="AE66" s="891">
        <f>SUMPRODUCT((Otras_Actividades_Base[[#This Row],[Mes Económico]]=Tipo_Cambio[Mes])*(Otras_Actividades_Base[[#This Row],[Año Económico]]=Tipo_Cambio[Año])*(Tipo_Cambio[Actualización]))</f>
        <v>0</v>
      </c>
      <c r="AF66" s="890">
        <f>IF(ISNUMBER(Otras_Actividades_Base[[#This Row],[Fecha Financiero]])=TRUE,MONTH(Otras_Actividades_Base[[#This Row],[Fecha Financiero]]),0)</f>
        <v>0</v>
      </c>
      <c r="AG66" s="890">
        <f>IF(ISNUMBER(Otras_Actividades_Base[[#This Row],[Fecha Financiero]])=TRUE,YEAR(Otras_Actividades_Base[[#This Row],[Fecha Financiero]]),0)</f>
        <v>0</v>
      </c>
      <c r="AH66" s="891">
        <f>SUMPRODUCT((Otras_Actividades_Base[[#This Row],[Mes Financiero]]=Tipo_Cambio[Mes])*(Otras_Actividades_Base[[#This Row],[Año Financiero]]=Tipo_Cambio[Año])*(Tipo_Cambio[$/U$S]))</f>
        <v>0</v>
      </c>
      <c r="AI66" s="891">
        <f>SUMPRODUCT((Otras_Actividades_Base[[#This Row],[Mes Financiero]]=Tipo_Cambio[Mes])*(Otras_Actividades_Base[[#This Row],[Año Financiero]]=Tipo_Cambio[Año])*(Tipo_Cambio[Actualización]))</f>
        <v>0</v>
      </c>
      <c r="AJ66" s="916">
        <f>IF(Económico!$F$4=0,0,Otras_Actividades_Base[Centro de Costo])</f>
        <v>0</v>
      </c>
    </row>
    <row r="67" spans="2:36" x14ac:dyDescent="0.25">
      <c r="D67" s="42"/>
      <c r="E67" s="353"/>
      <c r="F67" s="988" t="str">
        <f t="shared" si="4"/>
        <v>2018-2019</v>
      </c>
      <c r="G67" s="32"/>
      <c r="H67" s="32"/>
      <c r="I67" s="32"/>
      <c r="J67" s="32"/>
      <c r="K67" s="29"/>
      <c r="L67" s="77"/>
      <c r="M67" s="41"/>
      <c r="N67" s="40"/>
      <c r="O67" s="51"/>
      <c r="P67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67" s="913">
        <f>IFERROR(Otras_Actividades_Base[[#This Row],[Económico $Corrientes]]/Otras_Actividades_Base[[#This Row],[Indexación Económico]],0)</f>
        <v>0</v>
      </c>
      <c r="R67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67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67" s="913">
        <f>IFERROR(Otras_Actividades_Base[[#This Row],[Financiero $Corrientes]]/Otras_Actividades_Base[[#This Row],[Indexación Financiero]],0)</f>
        <v>0</v>
      </c>
      <c r="U67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67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67" s="890">
        <f>IFERROR(Otras_Actividades_Base[[#This Row],[Intereses $Corrientes]]/Otras_Actividades_Base[[#This Row],[Indexación Financiero]],0)</f>
        <v>0</v>
      </c>
      <c r="X67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67" s="915">
        <f>IFERROR(INDEX(Otras_Actividades_Cuentas[],MATCH(Otras_Actividades_Base[[#This Row],[Cuenta Contable]],Otras_Actividades_Cuentas[Cuenta Contable],0),2),0)</f>
        <v>0</v>
      </c>
      <c r="Z67" s="887">
        <f>IFERROR(INDEX(Tabla9[],MATCH(Otras_Actividades_Base[[#This Row],[Movimiento]],Tabla9[Movimientos],0),2),0)</f>
        <v>0</v>
      </c>
      <c r="AA67" s="889">
        <f>IFERROR(INDEX(Tabla9[],MATCH(Otras_Actividades_Base[[#This Row],[Movimiento]],Tabla9[Movimientos],0),3),0)</f>
        <v>0</v>
      </c>
      <c r="AB67" s="884">
        <f>IF(Otras_Actividades_Base[[#This Row],[Fecha Económico]]=0,0,MONTH(Otras_Actividades_Base[[#This Row],[Fecha Económico]]))</f>
        <v>0</v>
      </c>
      <c r="AC67" s="890">
        <f>IF(Otras_Actividades_Base[[#This Row],[Fecha Económico]]=0,0,YEAR(Otras_Actividades_Base[[#This Row],[Fecha Económico]]))</f>
        <v>0</v>
      </c>
      <c r="AD67" s="891">
        <f>SUMPRODUCT((Otras_Actividades_Base[[#This Row],[Mes Económico]]=Tipo_Cambio[Mes])*(Otras_Actividades_Base[[#This Row],[Año Económico]]=Tipo_Cambio[Año])*(Tipo_Cambio[$/U$S]))</f>
        <v>0</v>
      </c>
      <c r="AE67" s="891">
        <f>SUMPRODUCT((Otras_Actividades_Base[[#This Row],[Mes Económico]]=Tipo_Cambio[Mes])*(Otras_Actividades_Base[[#This Row],[Año Económico]]=Tipo_Cambio[Año])*(Tipo_Cambio[Actualización]))</f>
        <v>0</v>
      </c>
      <c r="AF67" s="890">
        <f>IF(ISNUMBER(Otras_Actividades_Base[[#This Row],[Fecha Financiero]])=TRUE,MONTH(Otras_Actividades_Base[[#This Row],[Fecha Financiero]]),0)</f>
        <v>0</v>
      </c>
      <c r="AG67" s="890">
        <f>IF(ISNUMBER(Otras_Actividades_Base[[#This Row],[Fecha Financiero]])=TRUE,YEAR(Otras_Actividades_Base[[#This Row],[Fecha Financiero]]),0)</f>
        <v>0</v>
      </c>
      <c r="AH67" s="891">
        <f>SUMPRODUCT((Otras_Actividades_Base[[#This Row],[Mes Financiero]]=Tipo_Cambio[Mes])*(Otras_Actividades_Base[[#This Row],[Año Financiero]]=Tipo_Cambio[Año])*(Tipo_Cambio[$/U$S]))</f>
        <v>0</v>
      </c>
      <c r="AI67" s="891">
        <f>SUMPRODUCT((Otras_Actividades_Base[[#This Row],[Mes Financiero]]=Tipo_Cambio[Mes])*(Otras_Actividades_Base[[#This Row],[Año Financiero]]=Tipo_Cambio[Año])*(Tipo_Cambio[Actualización]))</f>
        <v>0</v>
      </c>
      <c r="AJ67" s="916">
        <f>IF(Económico!$F$4=0,0,Otras_Actividades_Base[Centro de Costo])</f>
        <v>0</v>
      </c>
    </row>
    <row r="68" spans="2:36" ht="15.75" thickBot="1" x14ac:dyDescent="0.3">
      <c r="B68" s="373" t="s">
        <v>101</v>
      </c>
      <c r="D68" s="88"/>
      <c r="E68" s="427"/>
      <c r="F68" s="1024" t="str">
        <f t="shared" si="4"/>
        <v>2018-2019</v>
      </c>
      <c r="G68" s="89"/>
      <c r="H68" s="89"/>
      <c r="I68" s="89"/>
      <c r="J68" s="89"/>
      <c r="K68" s="91"/>
      <c r="L68" s="182"/>
      <c r="M68" s="89"/>
      <c r="N68" s="89"/>
      <c r="O68" s="90"/>
      <c r="P68" s="1055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68" s="1055">
        <f>IFERROR(Otras_Actividades_Base[[#This Row],[Económico $Corrientes]]/Otras_Actividades_Base[[#This Row],[Indexación Económico]],0)</f>
        <v>0</v>
      </c>
      <c r="R68" s="1056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68" s="1057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68" s="1055">
        <f>IFERROR(Otras_Actividades_Base[[#This Row],[Financiero $Corrientes]]/Otras_Actividades_Base[[#This Row],[Indexación Financiero]],0)</f>
        <v>0</v>
      </c>
      <c r="U68" s="1055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68" s="1058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68" s="1059">
        <f>IFERROR(Otras_Actividades_Base[[#This Row],[Intereses $Corrientes]]/Otras_Actividades_Base[[#This Row],[Indexación Financiero]],0)</f>
        <v>0</v>
      </c>
      <c r="X68" s="1059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68" s="1060">
        <f>IFERROR(INDEX(Otras_Actividades_Cuentas[],MATCH(Otras_Actividades_Base[[#This Row],[Cuenta Contable]],Otras_Actividades_Cuentas[Cuenta Contable],0),2),0)</f>
        <v>0</v>
      </c>
      <c r="Z68" s="1061">
        <f>IFERROR(INDEX(Tabla9[],MATCH(Otras_Actividades_Base[[#This Row],[Movimiento]],Tabla9[Movimientos],0),2),0)</f>
        <v>0</v>
      </c>
      <c r="AA68" s="1062">
        <f>IFERROR(INDEX(Tabla9[],MATCH(Otras_Actividades_Base[[#This Row],[Movimiento]],Tabla9[Movimientos],0),3),0)</f>
        <v>0</v>
      </c>
      <c r="AB68" s="1058">
        <f>IF(Otras_Actividades_Base[[#This Row],[Fecha Económico]]=0,0,MONTH(Otras_Actividades_Base[[#This Row],[Fecha Económico]]))</f>
        <v>0</v>
      </c>
      <c r="AC68" s="1059">
        <f>IF(Otras_Actividades_Base[[#This Row],[Fecha Económico]]=0,0,YEAR(Otras_Actividades_Base[[#This Row],[Fecha Económico]]))</f>
        <v>0</v>
      </c>
      <c r="AD68" s="1062">
        <f>SUMPRODUCT((Otras_Actividades_Base[[#This Row],[Mes Económico]]=Tipo_Cambio[Mes])*(Otras_Actividades_Base[[#This Row],[Año Económico]]=Tipo_Cambio[Año])*(Tipo_Cambio[$/U$S]))</f>
        <v>0</v>
      </c>
      <c r="AE68" s="1062">
        <f>SUMPRODUCT((Otras_Actividades_Base[[#This Row],[Mes Económico]]=Tipo_Cambio[Mes])*(Otras_Actividades_Base[[#This Row],[Año Económico]]=Tipo_Cambio[Año])*(Tipo_Cambio[Actualización]))</f>
        <v>0</v>
      </c>
      <c r="AF68" s="1059">
        <f>IF(ISNUMBER(Otras_Actividades_Base[[#This Row],[Fecha Financiero]])=TRUE,MONTH(Otras_Actividades_Base[[#This Row],[Fecha Financiero]]),0)</f>
        <v>0</v>
      </c>
      <c r="AG68" s="1059">
        <f>IF(ISNUMBER(Otras_Actividades_Base[[#This Row],[Fecha Financiero]])=TRUE,YEAR(Otras_Actividades_Base[[#This Row],[Fecha Financiero]]),0)</f>
        <v>0</v>
      </c>
      <c r="AH68" s="1062">
        <f>SUMPRODUCT((Otras_Actividades_Base[[#This Row],[Mes Financiero]]=Tipo_Cambio[Mes])*(Otras_Actividades_Base[[#This Row],[Año Financiero]]=Tipo_Cambio[Año])*(Tipo_Cambio[$/U$S]))</f>
        <v>0</v>
      </c>
      <c r="AI68" s="1062">
        <f>SUMPRODUCT((Otras_Actividades_Base[[#This Row],[Mes Financiero]]=Tipo_Cambio[Mes])*(Otras_Actividades_Base[[#This Row],[Año Financiero]]=Tipo_Cambio[Año])*(Tipo_Cambio[Actualización]))</f>
        <v>0</v>
      </c>
      <c r="AJ68" s="1061">
        <f>IF(Económico!$F$4=0,0,Otras_Actividades_Base[Centro de Costo])</f>
        <v>0</v>
      </c>
    </row>
    <row r="69" spans="2:36" ht="15.75" thickTop="1" x14ac:dyDescent="0.25">
      <c r="B69" s="1136" t="s">
        <v>512</v>
      </c>
      <c r="D69" s="43">
        <v>43282</v>
      </c>
      <c r="E69" s="353"/>
      <c r="F69" s="988" t="s">
        <v>11</v>
      </c>
      <c r="G69" s="32" t="s">
        <v>107</v>
      </c>
      <c r="H69" s="32"/>
      <c r="I69" s="32" t="s">
        <v>36</v>
      </c>
      <c r="J69" s="32"/>
      <c r="K69" s="29"/>
      <c r="L69" s="77"/>
      <c r="M69" s="41"/>
      <c r="N69" s="41" t="s">
        <v>48</v>
      </c>
      <c r="O69" s="51"/>
      <c r="P69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69" s="913">
        <f>IFERROR(Otras_Actividades_Base[[#This Row],[Económico $Corrientes]]/Otras_Actividades_Base[[#This Row],[Indexación Económico]],0)</f>
        <v>0</v>
      </c>
      <c r="R69" s="881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69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69" s="913">
        <f>IFERROR(Otras_Actividades_Base[[#This Row],[Financiero $Corrientes]]/Otras_Actividades_Base[[#This Row],[Indexación Financiero]],0)</f>
        <v>0</v>
      </c>
      <c r="U69" s="913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69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69" s="890">
        <f>IFERROR(Otras_Actividades_Base[[#This Row],[Intereses $Corrientes]]/Otras_Actividades_Base[[#This Row],[Indexación Financiero]],0)</f>
        <v>0</v>
      </c>
      <c r="X69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69" s="886" t="str">
        <f>IFERROR(INDEX(Otras_Actividades_Cuentas[],MATCH(Otras_Actividades_Base[[#This Row],[Cuenta Contable]],Otras_Actividades_Cuentas[Cuenta Contable],0),2),0)</f>
        <v>Egreso</v>
      </c>
      <c r="Z69" s="887" t="str">
        <f>IFERROR(INDEX(Tabla9[],MATCH(Otras_Actividades_Base[[#This Row],[Movimiento]],Tabla9[Movimientos],0),2),0)</f>
        <v>Si</v>
      </c>
      <c r="AA69" s="889" t="str">
        <f>IFERROR(INDEX(Tabla9[],MATCH(Otras_Actividades_Base[[#This Row],[Movimiento]],Tabla9[Movimientos],0),3),0)</f>
        <v>(-)</v>
      </c>
      <c r="AB69" s="884">
        <f>IF(Otras_Actividades_Base[[#This Row],[Fecha Económico]]=0,0,MONTH(Otras_Actividades_Base[[#This Row],[Fecha Económico]]))</f>
        <v>7</v>
      </c>
      <c r="AC69" s="890">
        <f>IF(Otras_Actividades_Base[[#This Row],[Fecha Económico]]=0,0,YEAR(Otras_Actividades_Base[[#This Row],[Fecha Económico]]))</f>
        <v>2018</v>
      </c>
      <c r="AD69" s="891">
        <f>SUMPRODUCT((Otras_Actividades_Base[[#This Row],[Mes Económico]]=Tipo_Cambio[Mes])*(Otras_Actividades_Base[[#This Row],[Año Económico]]=Tipo_Cambio[Año])*(Tipo_Cambio[$/U$S]))</f>
        <v>22</v>
      </c>
      <c r="AE69" s="891">
        <f>SUMPRODUCT((Otras_Actividades_Base[[#This Row],[Mes Económico]]=Tipo_Cambio[Mes])*(Otras_Actividades_Base[[#This Row],[Año Económico]]=Tipo_Cambio[Año])*(Tipo_Cambio[Actualización]))</f>
        <v>1</v>
      </c>
      <c r="AF69" s="890">
        <f>IF(ISNUMBER(Otras_Actividades_Base[[#This Row],[Fecha Financiero]])=TRUE,MONTH(Otras_Actividades_Base[[#This Row],[Fecha Financiero]]),0)</f>
        <v>0</v>
      </c>
      <c r="AG69" s="890">
        <f>IF(ISNUMBER(Otras_Actividades_Base[[#This Row],[Fecha Financiero]])=TRUE,YEAR(Otras_Actividades_Base[[#This Row],[Fecha Financiero]]),0)</f>
        <v>0</v>
      </c>
      <c r="AH69" s="891">
        <f>SUMPRODUCT((Otras_Actividades_Base[[#This Row],[Mes Financiero]]=Tipo_Cambio[Mes])*(Otras_Actividades_Base[[#This Row],[Año Financiero]]=Tipo_Cambio[Año])*(Tipo_Cambio[$/U$S]))</f>
        <v>0</v>
      </c>
      <c r="AI69" s="891">
        <f>SUMPRODUCT((Otras_Actividades_Base[[#This Row],[Mes Financiero]]=Tipo_Cambio[Mes])*(Otras_Actividades_Base[[#This Row],[Año Financiero]]=Tipo_Cambio[Año])*(Tipo_Cambio[Actualización]))</f>
        <v>0</v>
      </c>
      <c r="AJ69" s="887">
        <f>IF(Económico!$F$4=0,0,Otras_Actividades_Base[Centro de Costo])</f>
        <v>0</v>
      </c>
    </row>
    <row r="70" spans="2:36" x14ac:dyDescent="0.25">
      <c r="B70" s="1136"/>
      <c r="D70" s="42">
        <v>43313</v>
      </c>
      <c r="E70" s="353"/>
      <c r="F70" s="988" t="s">
        <v>11</v>
      </c>
      <c r="G70" s="32" t="s">
        <v>107</v>
      </c>
      <c r="H70" s="32"/>
      <c r="I70" s="32" t="s">
        <v>36</v>
      </c>
      <c r="J70" s="32"/>
      <c r="K70" s="29"/>
      <c r="L70" s="77"/>
      <c r="M70" s="41"/>
      <c r="N70" s="40" t="s">
        <v>48</v>
      </c>
      <c r="O70" s="51"/>
      <c r="P70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70" s="913">
        <f>IFERROR(Otras_Actividades_Base[[#This Row],[Económico $Corrientes]]/Otras_Actividades_Base[[#This Row],[Indexación Económico]],0)</f>
        <v>0</v>
      </c>
      <c r="R70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70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70" s="913">
        <f>IFERROR(Otras_Actividades_Base[[#This Row],[Financiero $Corrientes]]/Otras_Actividades_Base[[#This Row],[Indexación Financiero]],0)</f>
        <v>0</v>
      </c>
      <c r="U70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70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70" s="890">
        <f>IFERROR(Otras_Actividades_Base[[#This Row],[Intereses $Corrientes]]/Otras_Actividades_Base[[#This Row],[Indexación Financiero]],0)</f>
        <v>0</v>
      </c>
      <c r="X70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70" s="915" t="str">
        <f>IFERROR(INDEX(Otras_Actividades_Cuentas[],MATCH(Otras_Actividades_Base[[#This Row],[Cuenta Contable]],Otras_Actividades_Cuentas[Cuenta Contable],0),2),0)</f>
        <v>Egreso</v>
      </c>
      <c r="Z70" s="887" t="str">
        <f>IFERROR(INDEX(Tabla9[],MATCH(Otras_Actividades_Base[[#This Row],[Movimiento]],Tabla9[Movimientos],0),2),0)</f>
        <v>Si</v>
      </c>
      <c r="AA70" s="889" t="str">
        <f>IFERROR(INDEX(Tabla9[],MATCH(Otras_Actividades_Base[[#This Row],[Movimiento]],Tabla9[Movimientos],0),3),0)</f>
        <v>(-)</v>
      </c>
      <c r="AB70" s="884">
        <f>IF(Otras_Actividades_Base[[#This Row],[Fecha Económico]]=0,0,MONTH(Otras_Actividades_Base[[#This Row],[Fecha Económico]]))</f>
        <v>8</v>
      </c>
      <c r="AC70" s="890">
        <f>IF(Otras_Actividades_Base[[#This Row],[Fecha Económico]]=0,0,YEAR(Otras_Actividades_Base[[#This Row],[Fecha Económico]]))</f>
        <v>2018</v>
      </c>
      <c r="AD70" s="891">
        <f>SUMPRODUCT((Otras_Actividades_Base[[#This Row],[Mes Económico]]=Tipo_Cambio[Mes])*(Otras_Actividades_Base[[#This Row],[Año Económico]]=Tipo_Cambio[Año])*(Tipo_Cambio[$/U$S]))</f>
        <v>22.22</v>
      </c>
      <c r="AE70" s="891">
        <f>SUMPRODUCT((Otras_Actividades_Base[[#This Row],[Mes Económico]]=Tipo_Cambio[Mes])*(Otras_Actividades_Base[[#This Row],[Año Económico]]=Tipo_Cambio[Año])*(Tipo_Cambio[Actualización]))</f>
        <v>1.02</v>
      </c>
      <c r="AF70" s="890">
        <f>IF(ISNUMBER(Otras_Actividades_Base[[#This Row],[Fecha Financiero]])=TRUE,MONTH(Otras_Actividades_Base[[#This Row],[Fecha Financiero]]),0)</f>
        <v>0</v>
      </c>
      <c r="AG70" s="890">
        <f>IF(ISNUMBER(Otras_Actividades_Base[[#This Row],[Fecha Financiero]])=TRUE,YEAR(Otras_Actividades_Base[[#This Row],[Fecha Financiero]]),0)</f>
        <v>0</v>
      </c>
      <c r="AH70" s="891">
        <f>SUMPRODUCT((Otras_Actividades_Base[[#This Row],[Mes Financiero]]=Tipo_Cambio[Mes])*(Otras_Actividades_Base[[#This Row],[Año Financiero]]=Tipo_Cambio[Año])*(Tipo_Cambio[$/U$S]))</f>
        <v>0</v>
      </c>
      <c r="AI70" s="891">
        <f>SUMPRODUCT((Otras_Actividades_Base[[#This Row],[Mes Financiero]]=Tipo_Cambio[Mes])*(Otras_Actividades_Base[[#This Row],[Año Financiero]]=Tipo_Cambio[Año])*(Tipo_Cambio[Actualización]))</f>
        <v>0</v>
      </c>
      <c r="AJ70" s="916">
        <f>IF(Económico!$F$4=0,0,Otras_Actividades_Base[Centro de Costo])</f>
        <v>0</v>
      </c>
    </row>
    <row r="71" spans="2:36" x14ac:dyDescent="0.25">
      <c r="B71" s="1136"/>
      <c r="D71" s="42">
        <v>43344</v>
      </c>
      <c r="E71" s="353"/>
      <c r="F71" s="988" t="s">
        <v>11</v>
      </c>
      <c r="G71" s="32" t="s">
        <v>107</v>
      </c>
      <c r="H71" s="32"/>
      <c r="I71" s="32" t="s">
        <v>36</v>
      </c>
      <c r="J71" s="32"/>
      <c r="K71" s="29"/>
      <c r="L71" s="77"/>
      <c r="M71" s="41"/>
      <c r="N71" s="40" t="s">
        <v>48</v>
      </c>
      <c r="O71" s="51"/>
      <c r="P71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71" s="913">
        <f>IFERROR(Otras_Actividades_Base[[#This Row],[Económico $Corrientes]]/Otras_Actividades_Base[[#This Row],[Indexación Económico]],0)</f>
        <v>0</v>
      </c>
      <c r="R71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71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71" s="913">
        <f>IFERROR(Otras_Actividades_Base[[#This Row],[Financiero $Corrientes]]/Otras_Actividades_Base[[#This Row],[Indexación Financiero]],0)</f>
        <v>0</v>
      </c>
      <c r="U71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71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71" s="890">
        <f>IFERROR(Otras_Actividades_Base[[#This Row],[Intereses $Corrientes]]/Otras_Actividades_Base[[#This Row],[Indexación Financiero]],0)</f>
        <v>0</v>
      </c>
      <c r="X71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71" s="915" t="str">
        <f>IFERROR(INDEX(Otras_Actividades_Cuentas[],MATCH(Otras_Actividades_Base[[#This Row],[Cuenta Contable]],Otras_Actividades_Cuentas[Cuenta Contable],0),2),0)</f>
        <v>Egreso</v>
      </c>
      <c r="Z71" s="887" t="str">
        <f>IFERROR(INDEX(Tabla9[],MATCH(Otras_Actividades_Base[[#This Row],[Movimiento]],Tabla9[Movimientos],0),2),0)</f>
        <v>Si</v>
      </c>
      <c r="AA71" s="889" t="str">
        <f>IFERROR(INDEX(Tabla9[],MATCH(Otras_Actividades_Base[[#This Row],[Movimiento]],Tabla9[Movimientos],0),3),0)</f>
        <v>(-)</v>
      </c>
      <c r="AB71" s="884">
        <f>IF(Otras_Actividades_Base[[#This Row],[Fecha Económico]]=0,0,MONTH(Otras_Actividades_Base[[#This Row],[Fecha Económico]]))</f>
        <v>9</v>
      </c>
      <c r="AC71" s="890">
        <f>IF(Otras_Actividades_Base[[#This Row],[Fecha Económico]]=0,0,YEAR(Otras_Actividades_Base[[#This Row],[Fecha Económico]]))</f>
        <v>2018</v>
      </c>
      <c r="AD71" s="891">
        <f>SUMPRODUCT((Otras_Actividades_Base[[#This Row],[Mes Económico]]=Tipo_Cambio[Mes])*(Otras_Actividades_Base[[#This Row],[Año Económico]]=Tipo_Cambio[Año])*(Tipo_Cambio[$/U$S]))</f>
        <v>22.4422</v>
      </c>
      <c r="AE71" s="891">
        <f>SUMPRODUCT((Otras_Actividades_Base[[#This Row],[Mes Económico]]=Tipo_Cambio[Mes])*(Otras_Actividades_Base[[#This Row],[Año Económico]]=Tipo_Cambio[Año])*(Tipo_Cambio[Actualización]))</f>
        <v>1.0404</v>
      </c>
      <c r="AF71" s="890">
        <f>IF(ISNUMBER(Otras_Actividades_Base[[#This Row],[Fecha Financiero]])=TRUE,MONTH(Otras_Actividades_Base[[#This Row],[Fecha Financiero]]),0)</f>
        <v>0</v>
      </c>
      <c r="AG71" s="890">
        <f>IF(ISNUMBER(Otras_Actividades_Base[[#This Row],[Fecha Financiero]])=TRUE,YEAR(Otras_Actividades_Base[[#This Row],[Fecha Financiero]]),0)</f>
        <v>0</v>
      </c>
      <c r="AH71" s="891">
        <f>SUMPRODUCT((Otras_Actividades_Base[[#This Row],[Mes Financiero]]=Tipo_Cambio[Mes])*(Otras_Actividades_Base[[#This Row],[Año Financiero]]=Tipo_Cambio[Año])*(Tipo_Cambio[$/U$S]))</f>
        <v>0</v>
      </c>
      <c r="AI71" s="891">
        <f>SUMPRODUCT((Otras_Actividades_Base[[#This Row],[Mes Financiero]]=Tipo_Cambio[Mes])*(Otras_Actividades_Base[[#This Row],[Año Financiero]]=Tipo_Cambio[Año])*(Tipo_Cambio[Actualización]))</f>
        <v>0</v>
      </c>
      <c r="AJ71" s="916">
        <f>IF(Económico!$F$4=0,0,Otras_Actividades_Base[Centro de Costo])</f>
        <v>0</v>
      </c>
    </row>
    <row r="72" spans="2:36" x14ac:dyDescent="0.25">
      <c r="D72" s="42">
        <v>43374</v>
      </c>
      <c r="E72" s="353"/>
      <c r="F72" s="988" t="s">
        <v>11</v>
      </c>
      <c r="G72" s="32" t="s">
        <v>107</v>
      </c>
      <c r="H72" s="32"/>
      <c r="I72" s="32" t="s">
        <v>36</v>
      </c>
      <c r="J72" s="32"/>
      <c r="K72" s="29"/>
      <c r="L72" s="77"/>
      <c r="M72" s="41"/>
      <c r="N72" s="40" t="s">
        <v>48</v>
      </c>
      <c r="O72" s="51"/>
      <c r="P72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72" s="913">
        <f>IFERROR(Otras_Actividades_Base[[#This Row],[Económico $Corrientes]]/Otras_Actividades_Base[[#This Row],[Indexación Económico]],0)</f>
        <v>0</v>
      </c>
      <c r="R72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72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72" s="913">
        <f>IFERROR(Otras_Actividades_Base[[#This Row],[Financiero $Corrientes]]/Otras_Actividades_Base[[#This Row],[Indexación Financiero]],0)</f>
        <v>0</v>
      </c>
      <c r="U72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72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72" s="890">
        <f>IFERROR(Otras_Actividades_Base[[#This Row],[Intereses $Corrientes]]/Otras_Actividades_Base[[#This Row],[Indexación Financiero]],0)</f>
        <v>0</v>
      </c>
      <c r="X72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72" s="915" t="str">
        <f>IFERROR(INDEX(Otras_Actividades_Cuentas[],MATCH(Otras_Actividades_Base[[#This Row],[Cuenta Contable]],Otras_Actividades_Cuentas[Cuenta Contable],0),2),0)</f>
        <v>Egreso</v>
      </c>
      <c r="Z72" s="887" t="str">
        <f>IFERROR(INDEX(Tabla9[],MATCH(Otras_Actividades_Base[[#This Row],[Movimiento]],Tabla9[Movimientos],0),2),0)</f>
        <v>Si</v>
      </c>
      <c r="AA72" s="889" t="str">
        <f>IFERROR(INDEX(Tabla9[],MATCH(Otras_Actividades_Base[[#This Row],[Movimiento]],Tabla9[Movimientos],0),3),0)</f>
        <v>(-)</v>
      </c>
      <c r="AB72" s="884">
        <f>IF(Otras_Actividades_Base[[#This Row],[Fecha Económico]]=0,0,MONTH(Otras_Actividades_Base[[#This Row],[Fecha Económico]]))</f>
        <v>10</v>
      </c>
      <c r="AC72" s="890">
        <f>IF(Otras_Actividades_Base[[#This Row],[Fecha Económico]]=0,0,YEAR(Otras_Actividades_Base[[#This Row],[Fecha Económico]]))</f>
        <v>2018</v>
      </c>
      <c r="AD72" s="891">
        <f>SUMPRODUCT((Otras_Actividades_Base[[#This Row],[Mes Económico]]=Tipo_Cambio[Mes])*(Otras_Actividades_Base[[#This Row],[Año Económico]]=Tipo_Cambio[Año])*(Tipo_Cambio[$/U$S]))</f>
        <v>22.666622</v>
      </c>
      <c r="AE72" s="891">
        <f>SUMPRODUCT((Otras_Actividades_Base[[#This Row],[Mes Económico]]=Tipo_Cambio[Mes])*(Otras_Actividades_Base[[#This Row],[Año Económico]]=Tipo_Cambio[Año])*(Tipo_Cambio[Actualización]))</f>
        <v>1.0612079999999999</v>
      </c>
      <c r="AF72" s="890">
        <f>IF(ISNUMBER(Otras_Actividades_Base[[#This Row],[Fecha Financiero]])=TRUE,MONTH(Otras_Actividades_Base[[#This Row],[Fecha Financiero]]),0)</f>
        <v>0</v>
      </c>
      <c r="AG72" s="890">
        <f>IF(ISNUMBER(Otras_Actividades_Base[[#This Row],[Fecha Financiero]])=TRUE,YEAR(Otras_Actividades_Base[[#This Row],[Fecha Financiero]]),0)</f>
        <v>0</v>
      </c>
      <c r="AH72" s="891">
        <f>SUMPRODUCT((Otras_Actividades_Base[[#This Row],[Mes Financiero]]=Tipo_Cambio[Mes])*(Otras_Actividades_Base[[#This Row],[Año Financiero]]=Tipo_Cambio[Año])*(Tipo_Cambio[$/U$S]))</f>
        <v>0</v>
      </c>
      <c r="AI72" s="891">
        <f>SUMPRODUCT((Otras_Actividades_Base[[#This Row],[Mes Financiero]]=Tipo_Cambio[Mes])*(Otras_Actividades_Base[[#This Row],[Año Financiero]]=Tipo_Cambio[Año])*(Tipo_Cambio[Actualización]))</f>
        <v>0</v>
      </c>
      <c r="AJ72" s="916">
        <f>IF(Económico!$F$4=0,0,Otras_Actividades_Base[Centro de Costo])</f>
        <v>0</v>
      </c>
    </row>
    <row r="73" spans="2:36" x14ac:dyDescent="0.25">
      <c r="D73" s="42">
        <v>43405</v>
      </c>
      <c r="E73" s="353"/>
      <c r="F73" s="988" t="s">
        <v>11</v>
      </c>
      <c r="G73" s="32" t="s">
        <v>107</v>
      </c>
      <c r="H73" s="32"/>
      <c r="I73" s="32" t="s">
        <v>36</v>
      </c>
      <c r="J73" s="32"/>
      <c r="K73" s="29"/>
      <c r="L73" s="77"/>
      <c r="M73" s="41"/>
      <c r="N73" s="40" t="s">
        <v>48</v>
      </c>
      <c r="O73" s="51"/>
      <c r="P73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73" s="913">
        <f>IFERROR(Otras_Actividades_Base[[#This Row],[Económico $Corrientes]]/Otras_Actividades_Base[[#This Row],[Indexación Económico]],0)</f>
        <v>0</v>
      </c>
      <c r="R73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73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73" s="913">
        <f>IFERROR(Otras_Actividades_Base[[#This Row],[Financiero $Corrientes]]/Otras_Actividades_Base[[#This Row],[Indexación Financiero]],0)</f>
        <v>0</v>
      </c>
      <c r="U73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73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73" s="890">
        <f>IFERROR(Otras_Actividades_Base[[#This Row],[Intereses $Corrientes]]/Otras_Actividades_Base[[#This Row],[Indexación Financiero]],0)</f>
        <v>0</v>
      </c>
      <c r="X73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73" s="915" t="str">
        <f>IFERROR(INDEX(Otras_Actividades_Cuentas[],MATCH(Otras_Actividades_Base[[#This Row],[Cuenta Contable]],Otras_Actividades_Cuentas[Cuenta Contable],0),2),0)</f>
        <v>Egreso</v>
      </c>
      <c r="Z73" s="887" t="str">
        <f>IFERROR(INDEX(Tabla9[],MATCH(Otras_Actividades_Base[[#This Row],[Movimiento]],Tabla9[Movimientos],0),2),0)</f>
        <v>Si</v>
      </c>
      <c r="AA73" s="889" t="str">
        <f>IFERROR(INDEX(Tabla9[],MATCH(Otras_Actividades_Base[[#This Row],[Movimiento]],Tabla9[Movimientos],0),3),0)</f>
        <v>(-)</v>
      </c>
      <c r="AB73" s="884">
        <f>IF(Otras_Actividades_Base[[#This Row],[Fecha Económico]]=0,0,MONTH(Otras_Actividades_Base[[#This Row],[Fecha Económico]]))</f>
        <v>11</v>
      </c>
      <c r="AC73" s="890">
        <f>IF(Otras_Actividades_Base[[#This Row],[Fecha Económico]]=0,0,YEAR(Otras_Actividades_Base[[#This Row],[Fecha Económico]]))</f>
        <v>2018</v>
      </c>
      <c r="AD73" s="891">
        <f>SUMPRODUCT((Otras_Actividades_Base[[#This Row],[Mes Económico]]=Tipo_Cambio[Mes])*(Otras_Actividades_Base[[#This Row],[Año Económico]]=Tipo_Cambio[Año])*(Tipo_Cambio[$/U$S]))</f>
        <v>22.893288219999999</v>
      </c>
      <c r="AE73" s="891">
        <f>SUMPRODUCT((Otras_Actividades_Base[[#This Row],[Mes Económico]]=Tipo_Cambio[Mes])*(Otras_Actividades_Base[[#This Row],[Año Económico]]=Tipo_Cambio[Año])*(Tipo_Cambio[Actualización]))</f>
        <v>1.08243216</v>
      </c>
      <c r="AF73" s="890">
        <f>IF(ISNUMBER(Otras_Actividades_Base[[#This Row],[Fecha Financiero]])=TRUE,MONTH(Otras_Actividades_Base[[#This Row],[Fecha Financiero]]),0)</f>
        <v>0</v>
      </c>
      <c r="AG73" s="890">
        <f>IF(ISNUMBER(Otras_Actividades_Base[[#This Row],[Fecha Financiero]])=TRUE,YEAR(Otras_Actividades_Base[[#This Row],[Fecha Financiero]]),0)</f>
        <v>0</v>
      </c>
      <c r="AH73" s="891">
        <f>SUMPRODUCT((Otras_Actividades_Base[[#This Row],[Mes Financiero]]=Tipo_Cambio[Mes])*(Otras_Actividades_Base[[#This Row],[Año Financiero]]=Tipo_Cambio[Año])*(Tipo_Cambio[$/U$S]))</f>
        <v>0</v>
      </c>
      <c r="AI73" s="891">
        <f>SUMPRODUCT((Otras_Actividades_Base[[#This Row],[Mes Financiero]]=Tipo_Cambio[Mes])*(Otras_Actividades_Base[[#This Row],[Año Financiero]]=Tipo_Cambio[Año])*(Tipo_Cambio[Actualización]))</f>
        <v>0</v>
      </c>
      <c r="AJ73" s="916">
        <f>IF(Económico!$F$4=0,0,Otras_Actividades_Base[Centro de Costo])</f>
        <v>0</v>
      </c>
    </row>
    <row r="74" spans="2:36" x14ac:dyDescent="0.25">
      <c r="D74" s="42">
        <v>43435</v>
      </c>
      <c r="E74" s="353"/>
      <c r="F74" s="988" t="s">
        <v>11</v>
      </c>
      <c r="G74" s="32" t="s">
        <v>107</v>
      </c>
      <c r="H74" s="32"/>
      <c r="I74" s="32" t="s">
        <v>36</v>
      </c>
      <c r="J74" s="32"/>
      <c r="K74" s="29"/>
      <c r="L74" s="77"/>
      <c r="M74" s="41"/>
      <c r="N74" s="40" t="s">
        <v>48</v>
      </c>
      <c r="O74" s="51"/>
      <c r="P74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74" s="913">
        <f>IFERROR(Otras_Actividades_Base[[#This Row],[Económico $Corrientes]]/Otras_Actividades_Base[[#This Row],[Indexación Económico]],0)</f>
        <v>0</v>
      </c>
      <c r="R74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74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74" s="913">
        <f>IFERROR(Otras_Actividades_Base[[#This Row],[Financiero $Corrientes]]/Otras_Actividades_Base[[#This Row],[Indexación Financiero]],0)</f>
        <v>0</v>
      </c>
      <c r="U74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74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74" s="890">
        <f>IFERROR(Otras_Actividades_Base[[#This Row],[Intereses $Corrientes]]/Otras_Actividades_Base[[#This Row],[Indexación Financiero]],0)</f>
        <v>0</v>
      </c>
      <c r="X74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74" s="915" t="str">
        <f>IFERROR(INDEX(Otras_Actividades_Cuentas[],MATCH(Otras_Actividades_Base[[#This Row],[Cuenta Contable]],Otras_Actividades_Cuentas[Cuenta Contable],0),2),0)</f>
        <v>Egreso</v>
      </c>
      <c r="Z74" s="887" t="str">
        <f>IFERROR(INDEX(Tabla9[],MATCH(Otras_Actividades_Base[[#This Row],[Movimiento]],Tabla9[Movimientos],0),2),0)</f>
        <v>Si</v>
      </c>
      <c r="AA74" s="889" t="str">
        <f>IFERROR(INDEX(Tabla9[],MATCH(Otras_Actividades_Base[[#This Row],[Movimiento]],Tabla9[Movimientos],0),3),0)</f>
        <v>(-)</v>
      </c>
      <c r="AB74" s="884">
        <f>IF(Otras_Actividades_Base[[#This Row],[Fecha Económico]]=0,0,MONTH(Otras_Actividades_Base[[#This Row],[Fecha Económico]]))</f>
        <v>12</v>
      </c>
      <c r="AC74" s="890">
        <f>IF(Otras_Actividades_Base[[#This Row],[Fecha Económico]]=0,0,YEAR(Otras_Actividades_Base[[#This Row],[Fecha Económico]]))</f>
        <v>2018</v>
      </c>
      <c r="AD74" s="891">
        <f>SUMPRODUCT((Otras_Actividades_Base[[#This Row],[Mes Económico]]=Tipo_Cambio[Mes])*(Otras_Actividades_Base[[#This Row],[Año Económico]]=Tipo_Cambio[Año])*(Tipo_Cambio[$/U$S]))</f>
        <v>23.122221102199997</v>
      </c>
      <c r="AE74" s="891">
        <f>SUMPRODUCT((Otras_Actividades_Base[[#This Row],[Mes Económico]]=Tipo_Cambio[Mes])*(Otras_Actividades_Base[[#This Row],[Año Económico]]=Tipo_Cambio[Año])*(Tipo_Cambio[Actualización]))</f>
        <v>1.1040808032</v>
      </c>
      <c r="AF74" s="890">
        <f>IF(ISNUMBER(Otras_Actividades_Base[[#This Row],[Fecha Financiero]])=TRUE,MONTH(Otras_Actividades_Base[[#This Row],[Fecha Financiero]]),0)</f>
        <v>0</v>
      </c>
      <c r="AG74" s="890">
        <f>IF(ISNUMBER(Otras_Actividades_Base[[#This Row],[Fecha Financiero]])=TRUE,YEAR(Otras_Actividades_Base[[#This Row],[Fecha Financiero]]),0)</f>
        <v>0</v>
      </c>
      <c r="AH74" s="891">
        <f>SUMPRODUCT((Otras_Actividades_Base[[#This Row],[Mes Financiero]]=Tipo_Cambio[Mes])*(Otras_Actividades_Base[[#This Row],[Año Financiero]]=Tipo_Cambio[Año])*(Tipo_Cambio[$/U$S]))</f>
        <v>0</v>
      </c>
      <c r="AI74" s="891">
        <f>SUMPRODUCT((Otras_Actividades_Base[[#This Row],[Mes Financiero]]=Tipo_Cambio[Mes])*(Otras_Actividades_Base[[#This Row],[Año Financiero]]=Tipo_Cambio[Año])*(Tipo_Cambio[Actualización]))</f>
        <v>0</v>
      </c>
      <c r="AJ74" s="916">
        <f>IF(Económico!$F$4=0,0,Otras_Actividades_Base[Centro de Costo])</f>
        <v>0</v>
      </c>
    </row>
    <row r="75" spans="2:36" x14ac:dyDescent="0.25">
      <c r="D75" s="42">
        <v>43466</v>
      </c>
      <c r="E75" s="353"/>
      <c r="F75" s="988" t="s">
        <v>11</v>
      </c>
      <c r="G75" s="32" t="s">
        <v>107</v>
      </c>
      <c r="H75" s="32"/>
      <c r="I75" s="32" t="s">
        <v>36</v>
      </c>
      <c r="J75" s="32"/>
      <c r="K75" s="29"/>
      <c r="L75" s="77"/>
      <c r="M75" s="41"/>
      <c r="N75" s="40" t="s">
        <v>48</v>
      </c>
      <c r="O75" s="51"/>
      <c r="P75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75" s="913">
        <f>IFERROR(Otras_Actividades_Base[[#This Row],[Económico $Corrientes]]/Otras_Actividades_Base[[#This Row],[Indexación Económico]],0)</f>
        <v>0</v>
      </c>
      <c r="R75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75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75" s="913">
        <f>IFERROR(Otras_Actividades_Base[[#This Row],[Financiero $Corrientes]]/Otras_Actividades_Base[[#This Row],[Indexación Financiero]],0)</f>
        <v>0</v>
      </c>
      <c r="U75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75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75" s="890">
        <f>IFERROR(Otras_Actividades_Base[[#This Row],[Intereses $Corrientes]]/Otras_Actividades_Base[[#This Row],[Indexación Financiero]],0)</f>
        <v>0</v>
      </c>
      <c r="X75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75" s="915" t="str">
        <f>IFERROR(INDEX(Otras_Actividades_Cuentas[],MATCH(Otras_Actividades_Base[[#This Row],[Cuenta Contable]],Otras_Actividades_Cuentas[Cuenta Contable],0),2),0)</f>
        <v>Egreso</v>
      </c>
      <c r="Z75" s="887" t="str">
        <f>IFERROR(INDEX(Tabla9[],MATCH(Otras_Actividades_Base[[#This Row],[Movimiento]],Tabla9[Movimientos],0),2),0)</f>
        <v>Si</v>
      </c>
      <c r="AA75" s="889" t="str">
        <f>IFERROR(INDEX(Tabla9[],MATCH(Otras_Actividades_Base[[#This Row],[Movimiento]],Tabla9[Movimientos],0),3),0)</f>
        <v>(-)</v>
      </c>
      <c r="AB75" s="884">
        <f>IF(Otras_Actividades_Base[[#This Row],[Fecha Económico]]=0,0,MONTH(Otras_Actividades_Base[[#This Row],[Fecha Económico]]))</f>
        <v>1</v>
      </c>
      <c r="AC75" s="890">
        <f>IF(Otras_Actividades_Base[[#This Row],[Fecha Económico]]=0,0,YEAR(Otras_Actividades_Base[[#This Row],[Fecha Económico]]))</f>
        <v>2019</v>
      </c>
      <c r="AD75" s="891">
        <f>SUMPRODUCT((Otras_Actividades_Base[[#This Row],[Mes Económico]]=Tipo_Cambio[Mes])*(Otras_Actividades_Base[[#This Row],[Año Económico]]=Tipo_Cambio[Año])*(Tipo_Cambio[$/U$S]))</f>
        <v>23.353443313221998</v>
      </c>
      <c r="AE75" s="891">
        <f>SUMPRODUCT((Otras_Actividades_Base[[#This Row],[Mes Económico]]=Tipo_Cambio[Mes])*(Otras_Actividades_Base[[#This Row],[Año Económico]]=Tipo_Cambio[Año])*(Tipo_Cambio[Actualización]))</f>
        <v>1.1261624192640001</v>
      </c>
      <c r="AF75" s="890">
        <f>IF(ISNUMBER(Otras_Actividades_Base[[#This Row],[Fecha Financiero]])=TRUE,MONTH(Otras_Actividades_Base[[#This Row],[Fecha Financiero]]),0)</f>
        <v>0</v>
      </c>
      <c r="AG75" s="890">
        <f>IF(ISNUMBER(Otras_Actividades_Base[[#This Row],[Fecha Financiero]])=TRUE,YEAR(Otras_Actividades_Base[[#This Row],[Fecha Financiero]]),0)</f>
        <v>0</v>
      </c>
      <c r="AH75" s="891">
        <f>SUMPRODUCT((Otras_Actividades_Base[[#This Row],[Mes Financiero]]=Tipo_Cambio[Mes])*(Otras_Actividades_Base[[#This Row],[Año Financiero]]=Tipo_Cambio[Año])*(Tipo_Cambio[$/U$S]))</f>
        <v>0</v>
      </c>
      <c r="AI75" s="891">
        <f>SUMPRODUCT((Otras_Actividades_Base[[#This Row],[Mes Financiero]]=Tipo_Cambio[Mes])*(Otras_Actividades_Base[[#This Row],[Año Financiero]]=Tipo_Cambio[Año])*(Tipo_Cambio[Actualización]))</f>
        <v>0</v>
      </c>
      <c r="AJ75" s="916">
        <f>IF(Económico!$F$4=0,0,Otras_Actividades_Base[Centro de Costo])</f>
        <v>0</v>
      </c>
    </row>
    <row r="76" spans="2:36" x14ac:dyDescent="0.25">
      <c r="D76" s="42">
        <v>43497</v>
      </c>
      <c r="E76" s="353"/>
      <c r="F76" s="988" t="s">
        <v>11</v>
      </c>
      <c r="G76" s="32" t="s">
        <v>107</v>
      </c>
      <c r="H76" s="32"/>
      <c r="I76" s="32" t="s">
        <v>36</v>
      </c>
      <c r="J76" s="32"/>
      <c r="K76" s="29"/>
      <c r="L76" s="77"/>
      <c r="M76" s="41"/>
      <c r="N76" s="40" t="s">
        <v>48</v>
      </c>
      <c r="O76" s="51"/>
      <c r="P76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76" s="913">
        <f>IFERROR(Otras_Actividades_Base[[#This Row],[Económico $Corrientes]]/Otras_Actividades_Base[[#This Row],[Indexación Económico]],0)</f>
        <v>0</v>
      </c>
      <c r="R76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76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76" s="913">
        <f>IFERROR(Otras_Actividades_Base[[#This Row],[Financiero $Corrientes]]/Otras_Actividades_Base[[#This Row],[Indexación Financiero]],0)</f>
        <v>0</v>
      </c>
      <c r="U76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76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76" s="890">
        <f>IFERROR(Otras_Actividades_Base[[#This Row],[Intereses $Corrientes]]/Otras_Actividades_Base[[#This Row],[Indexación Financiero]],0)</f>
        <v>0</v>
      </c>
      <c r="X76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76" s="915" t="str">
        <f>IFERROR(INDEX(Otras_Actividades_Cuentas[],MATCH(Otras_Actividades_Base[[#This Row],[Cuenta Contable]],Otras_Actividades_Cuentas[Cuenta Contable],0),2),0)</f>
        <v>Egreso</v>
      </c>
      <c r="Z76" s="887" t="str">
        <f>IFERROR(INDEX(Tabla9[],MATCH(Otras_Actividades_Base[[#This Row],[Movimiento]],Tabla9[Movimientos],0),2),0)</f>
        <v>Si</v>
      </c>
      <c r="AA76" s="889" t="str">
        <f>IFERROR(INDEX(Tabla9[],MATCH(Otras_Actividades_Base[[#This Row],[Movimiento]],Tabla9[Movimientos],0),3),0)</f>
        <v>(-)</v>
      </c>
      <c r="AB76" s="884">
        <f>IF(Otras_Actividades_Base[[#This Row],[Fecha Económico]]=0,0,MONTH(Otras_Actividades_Base[[#This Row],[Fecha Económico]]))</f>
        <v>2</v>
      </c>
      <c r="AC76" s="890">
        <f>IF(Otras_Actividades_Base[[#This Row],[Fecha Económico]]=0,0,YEAR(Otras_Actividades_Base[[#This Row],[Fecha Económico]]))</f>
        <v>2019</v>
      </c>
      <c r="AD76" s="891">
        <f>SUMPRODUCT((Otras_Actividades_Base[[#This Row],[Mes Económico]]=Tipo_Cambio[Mes])*(Otras_Actividades_Base[[#This Row],[Año Económico]]=Tipo_Cambio[Año])*(Tipo_Cambio[$/U$S]))</f>
        <v>23.586977746354219</v>
      </c>
      <c r="AE76" s="891">
        <f>SUMPRODUCT((Otras_Actividades_Base[[#This Row],[Mes Económico]]=Tipo_Cambio[Mes])*(Otras_Actividades_Base[[#This Row],[Año Económico]]=Tipo_Cambio[Año])*(Tipo_Cambio[Actualización]))</f>
        <v>1.14868566764928</v>
      </c>
      <c r="AF76" s="890">
        <f>IF(ISNUMBER(Otras_Actividades_Base[[#This Row],[Fecha Financiero]])=TRUE,MONTH(Otras_Actividades_Base[[#This Row],[Fecha Financiero]]),0)</f>
        <v>0</v>
      </c>
      <c r="AG76" s="890">
        <f>IF(ISNUMBER(Otras_Actividades_Base[[#This Row],[Fecha Financiero]])=TRUE,YEAR(Otras_Actividades_Base[[#This Row],[Fecha Financiero]]),0)</f>
        <v>0</v>
      </c>
      <c r="AH76" s="891">
        <f>SUMPRODUCT((Otras_Actividades_Base[[#This Row],[Mes Financiero]]=Tipo_Cambio[Mes])*(Otras_Actividades_Base[[#This Row],[Año Financiero]]=Tipo_Cambio[Año])*(Tipo_Cambio[$/U$S]))</f>
        <v>0</v>
      </c>
      <c r="AI76" s="891">
        <f>SUMPRODUCT((Otras_Actividades_Base[[#This Row],[Mes Financiero]]=Tipo_Cambio[Mes])*(Otras_Actividades_Base[[#This Row],[Año Financiero]]=Tipo_Cambio[Año])*(Tipo_Cambio[Actualización]))</f>
        <v>0</v>
      </c>
      <c r="AJ76" s="916">
        <f>IF(Económico!$F$4=0,0,Otras_Actividades_Base[Centro de Costo])</f>
        <v>0</v>
      </c>
    </row>
    <row r="77" spans="2:36" x14ac:dyDescent="0.25">
      <c r="D77" s="42">
        <v>43525</v>
      </c>
      <c r="E77" s="353"/>
      <c r="F77" s="1009" t="s">
        <v>11</v>
      </c>
      <c r="G77" s="280" t="s">
        <v>107</v>
      </c>
      <c r="H77" s="32"/>
      <c r="I77" s="32" t="s">
        <v>36</v>
      </c>
      <c r="J77" s="32"/>
      <c r="K77" s="29"/>
      <c r="L77" s="77"/>
      <c r="M77" s="41"/>
      <c r="N77" s="40" t="s">
        <v>48</v>
      </c>
      <c r="O77" s="51"/>
      <c r="P77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77" s="913">
        <f>IFERROR(Otras_Actividades_Base[[#This Row],[Económico $Corrientes]]/Otras_Actividades_Base[[#This Row],[Indexación Económico]],0)</f>
        <v>0</v>
      </c>
      <c r="R77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77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77" s="913">
        <f>IFERROR(Otras_Actividades_Base[[#This Row],[Financiero $Corrientes]]/Otras_Actividades_Base[[#This Row],[Indexación Financiero]],0)</f>
        <v>0</v>
      </c>
      <c r="U77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77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77" s="890">
        <f>IFERROR(Otras_Actividades_Base[[#This Row],[Intereses $Corrientes]]/Otras_Actividades_Base[[#This Row],[Indexación Financiero]],0)</f>
        <v>0</v>
      </c>
      <c r="X77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77" s="915" t="str">
        <f>IFERROR(INDEX(Otras_Actividades_Cuentas[],MATCH(Otras_Actividades_Base[[#This Row],[Cuenta Contable]],Otras_Actividades_Cuentas[Cuenta Contable],0),2),0)</f>
        <v>Egreso</v>
      </c>
      <c r="Z77" s="887" t="str">
        <f>IFERROR(INDEX(Tabla9[],MATCH(Otras_Actividades_Base[[#This Row],[Movimiento]],Tabla9[Movimientos],0),2),0)</f>
        <v>Si</v>
      </c>
      <c r="AA77" s="889" t="str">
        <f>IFERROR(INDEX(Tabla9[],MATCH(Otras_Actividades_Base[[#This Row],[Movimiento]],Tabla9[Movimientos],0),3),0)</f>
        <v>(-)</v>
      </c>
      <c r="AB77" s="884">
        <f>IF(Otras_Actividades_Base[[#This Row],[Fecha Económico]]=0,0,MONTH(Otras_Actividades_Base[[#This Row],[Fecha Económico]]))</f>
        <v>3</v>
      </c>
      <c r="AC77" s="890">
        <f>IF(Otras_Actividades_Base[[#This Row],[Fecha Económico]]=0,0,YEAR(Otras_Actividades_Base[[#This Row],[Fecha Económico]]))</f>
        <v>2019</v>
      </c>
      <c r="AD77" s="891">
        <f>SUMPRODUCT((Otras_Actividades_Base[[#This Row],[Mes Económico]]=Tipo_Cambio[Mes])*(Otras_Actividades_Base[[#This Row],[Año Económico]]=Tipo_Cambio[Año])*(Tipo_Cambio[$/U$S]))</f>
        <v>23.82284752381776</v>
      </c>
      <c r="AE77" s="891">
        <f>SUMPRODUCT((Otras_Actividades_Base[[#This Row],[Mes Económico]]=Tipo_Cambio[Mes])*(Otras_Actividades_Base[[#This Row],[Año Económico]]=Tipo_Cambio[Año])*(Tipo_Cambio[Actualización]))</f>
        <v>1.1716593810022657</v>
      </c>
      <c r="AF77" s="890">
        <f>IF(ISNUMBER(Otras_Actividades_Base[[#This Row],[Fecha Financiero]])=TRUE,MONTH(Otras_Actividades_Base[[#This Row],[Fecha Financiero]]),0)</f>
        <v>0</v>
      </c>
      <c r="AG77" s="890">
        <f>IF(ISNUMBER(Otras_Actividades_Base[[#This Row],[Fecha Financiero]])=TRUE,YEAR(Otras_Actividades_Base[[#This Row],[Fecha Financiero]]),0)</f>
        <v>0</v>
      </c>
      <c r="AH77" s="891">
        <f>SUMPRODUCT((Otras_Actividades_Base[[#This Row],[Mes Financiero]]=Tipo_Cambio[Mes])*(Otras_Actividades_Base[[#This Row],[Año Financiero]]=Tipo_Cambio[Año])*(Tipo_Cambio[$/U$S]))</f>
        <v>0</v>
      </c>
      <c r="AI77" s="891">
        <f>SUMPRODUCT((Otras_Actividades_Base[[#This Row],[Mes Financiero]]=Tipo_Cambio[Mes])*(Otras_Actividades_Base[[#This Row],[Año Financiero]]=Tipo_Cambio[Año])*(Tipo_Cambio[Actualización]))</f>
        <v>0</v>
      </c>
      <c r="AJ77" s="916">
        <f>IF(Económico!$F$4=0,0,Otras_Actividades_Base[Centro de Costo])</f>
        <v>0</v>
      </c>
    </row>
    <row r="78" spans="2:36" x14ac:dyDescent="0.25">
      <c r="D78" s="42">
        <v>43556</v>
      </c>
      <c r="E78" s="353"/>
      <c r="F78" s="1009" t="s">
        <v>11</v>
      </c>
      <c r="G78" s="280" t="s">
        <v>107</v>
      </c>
      <c r="H78" s="32"/>
      <c r="I78" s="32" t="s">
        <v>36</v>
      </c>
      <c r="J78" s="32"/>
      <c r="K78" s="29"/>
      <c r="L78" s="77"/>
      <c r="M78" s="41"/>
      <c r="N78" s="40" t="s">
        <v>48</v>
      </c>
      <c r="O78" s="51"/>
      <c r="P78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78" s="913">
        <f>IFERROR(Otras_Actividades_Base[[#This Row],[Económico $Corrientes]]/Otras_Actividades_Base[[#This Row],[Indexación Económico]],0)</f>
        <v>0</v>
      </c>
      <c r="R78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78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78" s="913">
        <f>IFERROR(Otras_Actividades_Base[[#This Row],[Financiero $Corrientes]]/Otras_Actividades_Base[[#This Row],[Indexación Financiero]],0)</f>
        <v>0</v>
      </c>
      <c r="U78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78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78" s="890">
        <f>IFERROR(Otras_Actividades_Base[[#This Row],[Intereses $Corrientes]]/Otras_Actividades_Base[[#This Row],[Indexación Financiero]],0)</f>
        <v>0</v>
      </c>
      <c r="X78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78" s="915" t="str">
        <f>IFERROR(INDEX(Otras_Actividades_Cuentas[],MATCH(Otras_Actividades_Base[[#This Row],[Cuenta Contable]],Otras_Actividades_Cuentas[Cuenta Contable],0),2),0)</f>
        <v>Egreso</v>
      </c>
      <c r="Z78" s="887" t="str">
        <f>IFERROR(INDEX(Tabla9[],MATCH(Otras_Actividades_Base[[#This Row],[Movimiento]],Tabla9[Movimientos],0),2),0)</f>
        <v>Si</v>
      </c>
      <c r="AA78" s="889" t="str">
        <f>IFERROR(INDEX(Tabla9[],MATCH(Otras_Actividades_Base[[#This Row],[Movimiento]],Tabla9[Movimientos],0),3),0)</f>
        <v>(-)</v>
      </c>
      <c r="AB78" s="884">
        <f>IF(Otras_Actividades_Base[[#This Row],[Fecha Económico]]=0,0,MONTH(Otras_Actividades_Base[[#This Row],[Fecha Económico]]))</f>
        <v>4</v>
      </c>
      <c r="AC78" s="890">
        <f>IF(Otras_Actividades_Base[[#This Row],[Fecha Económico]]=0,0,YEAR(Otras_Actividades_Base[[#This Row],[Fecha Económico]]))</f>
        <v>2019</v>
      </c>
      <c r="AD78" s="891">
        <f>SUMPRODUCT((Otras_Actividades_Base[[#This Row],[Mes Económico]]=Tipo_Cambio[Mes])*(Otras_Actividades_Base[[#This Row],[Año Económico]]=Tipo_Cambio[Año])*(Tipo_Cambio[$/U$S]))</f>
        <v>24.061075999055937</v>
      </c>
      <c r="AE78" s="891">
        <f>SUMPRODUCT((Otras_Actividades_Base[[#This Row],[Mes Económico]]=Tipo_Cambio[Mes])*(Otras_Actividades_Base[[#This Row],[Año Económico]]=Tipo_Cambio[Año])*(Tipo_Cambio[Actualización]))</f>
        <v>1.1950925686223111</v>
      </c>
      <c r="AF78" s="890">
        <f>IF(ISNUMBER(Otras_Actividades_Base[[#This Row],[Fecha Financiero]])=TRUE,MONTH(Otras_Actividades_Base[[#This Row],[Fecha Financiero]]),0)</f>
        <v>0</v>
      </c>
      <c r="AG78" s="890">
        <f>IF(ISNUMBER(Otras_Actividades_Base[[#This Row],[Fecha Financiero]])=TRUE,YEAR(Otras_Actividades_Base[[#This Row],[Fecha Financiero]]),0)</f>
        <v>0</v>
      </c>
      <c r="AH78" s="891">
        <f>SUMPRODUCT((Otras_Actividades_Base[[#This Row],[Mes Financiero]]=Tipo_Cambio[Mes])*(Otras_Actividades_Base[[#This Row],[Año Financiero]]=Tipo_Cambio[Año])*(Tipo_Cambio[$/U$S]))</f>
        <v>0</v>
      </c>
      <c r="AI78" s="891">
        <f>SUMPRODUCT((Otras_Actividades_Base[[#This Row],[Mes Financiero]]=Tipo_Cambio[Mes])*(Otras_Actividades_Base[[#This Row],[Año Financiero]]=Tipo_Cambio[Año])*(Tipo_Cambio[Actualización]))</f>
        <v>0</v>
      </c>
      <c r="AJ78" s="916">
        <f>IF(Económico!$F$4=0,0,Otras_Actividades_Base[Centro de Costo])</f>
        <v>0</v>
      </c>
    </row>
    <row r="79" spans="2:36" x14ac:dyDescent="0.25">
      <c r="D79" s="42">
        <v>43586</v>
      </c>
      <c r="E79" s="353"/>
      <c r="F79" s="1009" t="s">
        <v>11</v>
      </c>
      <c r="G79" s="280" t="s">
        <v>107</v>
      </c>
      <c r="H79" s="32"/>
      <c r="I79" s="32" t="s">
        <v>36</v>
      </c>
      <c r="J79" s="32"/>
      <c r="K79" s="29"/>
      <c r="L79" s="77"/>
      <c r="M79" s="41"/>
      <c r="N79" s="40" t="s">
        <v>48</v>
      </c>
      <c r="O79" s="51"/>
      <c r="P79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79" s="913">
        <f>IFERROR(Otras_Actividades_Base[[#This Row],[Económico $Corrientes]]/Otras_Actividades_Base[[#This Row],[Indexación Económico]],0)</f>
        <v>0</v>
      </c>
      <c r="R79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79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79" s="913">
        <f>IFERROR(Otras_Actividades_Base[[#This Row],[Financiero $Corrientes]]/Otras_Actividades_Base[[#This Row],[Indexación Financiero]],0)</f>
        <v>0</v>
      </c>
      <c r="U79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79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79" s="890">
        <f>IFERROR(Otras_Actividades_Base[[#This Row],[Intereses $Corrientes]]/Otras_Actividades_Base[[#This Row],[Indexación Financiero]],0)</f>
        <v>0</v>
      </c>
      <c r="X79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79" s="915" t="str">
        <f>IFERROR(INDEX(Otras_Actividades_Cuentas[],MATCH(Otras_Actividades_Base[[#This Row],[Cuenta Contable]],Otras_Actividades_Cuentas[Cuenta Contable],0),2),0)</f>
        <v>Egreso</v>
      </c>
      <c r="Z79" s="887" t="str">
        <f>IFERROR(INDEX(Tabla9[],MATCH(Otras_Actividades_Base[[#This Row],[Movimiento]],Tabla9[Movimientos],0),2),0)</f>
        <v>Si</v>
      </c>
      <c r="AA79" s="889" t="str">
        <f>IFERROR(INDEX(Tabla9[],MATCH(Otras_Actividades_Base[[#This Row],[Movimiento]],Tabla9[Movimientos],0),3),0)</f>
        <v>(-)</v>
      </c>
      <c r="AB79" s="884">
        <f>IF(Otras_Actividades_Base[[#This Row],[Fecha Económico]]=0,0,MONTH(Otras_Actividades_Base[[#This Row],[Fecha Económico]]))</f>
        <v>5</v>
      </c>
      <c r="AC79" s="890">
        <f>IF(Otras_Actividades_Base[[#This Row],[Fecha Económico]]=0,0,YEAR(Otras_Actividades_Base[[#This Row],[Fecha Económico]]))</f>
        <v>2019</v>
      </c>
      <c r="AD79" s="891">
        <f>SUMPRODUCT((Otras_Actividades_Base[[#This Row],[Mes Económico]]=Tipo_Cambio[Mes])*(Otras_Actividades_Base[[#This Row],[Año Económico]]=Tipo_Cambio[Año])*(Tipo_Cambio[$/U$S]))</f>
        <v>24.301686759046497</v>
      </c>
      <c r="AE79" s="891">
        <f>SUMPRODUCT((Otras_Actividades_Base[[#This Row],[Mes Económico]]=Tipo_Cambio[Mes])*(Otras_Actividades_Base[[#This Row],[Año Económico]]=Tipo_Cambio[Año])*(Tipo_Cambio[Actualización]))</f>
        <v>1.2189944199947573</v>
      </c>
      <c r="AF79" s="890">
        <f>IF(ISNUMBER(Otras_Actividades_Base[[#This Row],[Fecha Financiero]])=TRUE,MONTH(Otras_Actividades_Base[[#This Row],[Fecha Financiero]]),0)</f>
        <v>0</v>
      </c>
      <c r="AG79" s="890">
        <f>IF(ISNUMBER(Otras_Actividades_Base[[#This Row],[Fecha Financiero]])=TRUE,YEAR(Otras_Actividades_Base[[#This Row],[Fecha Financiero]]),0)</f>
        <v>0</v>
      </c>
      <c r="AH79" s="891">
        <f>SUMPRODUCT((Otras_Actividades_Base[[#This Row],[Mes Financiero]]=Tipo_Cambio[Mes])*(Otras_Actividades_Base[[#This Row],[Año Financiero]]=Tipo_Cambio[Año])*(Tipo_Cambio[$/U$S]))</f>
        <v>0</v>
      </c>
      <c r="AI79" s="891">
        <f>SUMPRODUCT((Otras_Actividades_Base[[#This Row],[Mes Financiero]]=Tipo_Cambio[Mes])*(Otras_Actividades_Base[[#This Row],[Año Financiero]]=Tipo_Cambio[Año])*(Tipo_Cambio[Actualización]))</f>
        <v>0</v>
      </c>
      <c r="AJ79" s="916">
        <f>IF(Económico!$F$4=0,0,Otras_Actividades_Base[Centro de Costo])</f>
        <v>0</v>
      </c>
    </row>
    <row r="80" spans="2:36" x14ac:dyDescent="0.25">
      <c r="D80" s="42">
        <v>43617</v>
      </c>
      <c r="E80" s="353"/>
      <c r="F80" s="1009" t="s">
        <v>11</v>
      </c>
      <c r="G80" s="280" t="s">
        <v>107</v>
      </c>
      <c r="H80" s="32"/>
      <c r="I80" s="32" t="s">
        <v>36</v>
      </c>
      <c r="J80" s="32"/>
      <c r="K80" s="29"/>
      <c r="L80" s="77"/>
      <c r="M80" s="41"/>
      <c r="N80" s="40" t="s">
        <v>48</v>
      </c>
      <c r="O80" s="51"/>
      <c r="P80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80" s="913">
        <f>IFERROR(Otras_Actividades_Base[[#This Row],[Económico $Corrientes]]/Otras_Actividades_Base[[#This Row],[Indexación Económico]],0)</f>
        <v>0</v>
      </c>
      <c r="R80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80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80" s="913">
        <f>IFERROR(Otras_Actividades_Base[[#This Row],[Financiero $Corrientes]]/Otras_Actividades_Base[[#This Row],[Indexación Financiero]],0)</f>
        <v>0</v>
      </c>
      <c r="U80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80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80" s="890">
        <f>IFERROR(Otras_Actividades_Base[[#This Row],[Intereses $Corrientes]]/Otras_Actividades_Base[[#This Row],[Indexación Financiero]],0)</f>
        <v>0</v>
      </c>
      <c r="X80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80" s="915" t="str">
        <f>IFERROR(INDEX(Otras_Actividades_Cuentas[],MATCH(Otras_Actividades_Base[[#This Row],[Cuenta Contable]],Otras_Actividades_Cuentas[Cuenta Contable],0),2),0)</f>
        <v>Egreso</v>
      </c>
      <c r="Z80" s="887" t="str">
        <f>IFERROR(INDEX(Tabla9[],MATCH(Otras_Actividades_Base[[#This Row],[Movimiento]],Tabla9[Movimientos],0),2),0)</f>
        <v>Si</v>
      </c>
      <c r="AA80" s="889" t="str">
        <f>IFERROR(INDEX(Tabla9[],MATCH(Otras_Actividades_Base[[#This Row],[Movimiento]],Tabla9[Movimientos],0),3),0)</f>
        <v>(-)</v>
      </c>
      <c r="AB80" s="884">
        <f>IF(Otras_Actividades_Base[[#This Row],[Fecha Económico]]=0,0,MONTH(Otras_Actividades_Base[[#This Row],[Fecha Económico]]))</f>
        <v>6</v>
      </c>
      <c r="AC80" s="890">
        <f>IF(Otras_Actividades_Base[[#This Row],[Fecha Económico]]=0,0,YEAR(Otras_Actividades_Base[[#This Row],[Fecha Económico]]))</f>
        <v>2019</v>
      </c>
      <c r="AD80" s="891">
        <f>SUMPRODUCT((Otras_Actividades_Base[[#This Row],[Mes Económico]]=Tipo_Cambio[Mes])*(Otras_Actividades_Base[[#This Row],[Año Económico]]=Tipo_Cambio[Año])*(Tipo_Cambio[$/U$S]))</f>
        <v>24.544703626636963</v>
      </c>
      <c r="AE80" s="891">
        <f>SUMPRODUCT((Otras_Actividades_Base[[#This Row],[Mes Económico]]=Tipo_Cambio[Mes])*(Otras_Actividades_Base[[#This Row],[Año Económico]]=Tipo_Cambio[Año])*(Tipo_Cambio[Actualización]))</f>
        <v>1.2433743083946525</v>
      </c>
      <c r="AF80" s="890">
        <f>IF(ISNUMBER(Otras_Actividades_Base[[#This Row],[Fecha Financiero]])=TRUE,MONTH(Otras_Actividades_Base[[#This Row],[Fecha Financiero]]),0)</f>
        <v>0</v>
      </c>
      <c r="AG80" s="890">
        <f>IF(ISNUMBER(Otras_Actividades_Base[[#This Row],[Fecha Financiero]])=TRUE,YEAR(Otras_Actividades_Base[[#This Row],[Fecha Financiero]]),0)</f>
        <v>0</v>
      </c>
      <c r="AH80" s="891">
        <f>SUMPRODUCT((Otras_Actividades_Base[[#This Row],[Mes Financiero]]=Tipo_Cambio[Mes])*(Otras_Actividades_Base[[#This Row],[Año Financiero]]=Tipo_Cambio[Año])*(Tipo_Cambio[$/U$S]))</f>
        <v>0</v>
      </c>
      <c r="AI80" s="891">
        <f>SUMPRODUCT((Otras_Actividades_Base[[#This Row],[Mes Financiero]]=Tipo_Cambio[Mes])*(Otras_Actividades_Base[[#This Row],[Año Financiero]]=Tipo_Cambio[Año])*(Tipo_Cambio[Actualización]))</f>
        <v>0</v>
      </c>
      <c r="AJ80" s="916">
        <f>IF(Económico!$F$4=0,0,Otras_Actividades_Base[Centro de Costo])</f>
        <v>0</v>
      </c>
    </row>
    <row r="81" spans="4:36" x14ac:dyDescent="0.25">
      <c r="D81" s="428">
        <v>43282</v>
      </c>
      <c r="E81" s="434"/>
      <c r="F81" s="1077" t="s">
        <v>11</v>
      </c>
      <c r="G81" s="435" t="s">
        <v>108</v>
      </c>
      <c r="H81" s="429"/>
      <c r="I81" s="429" t="s">
        <v>36</v>
      </c>
      <c r="J81" s="429"/>
      <c r="K81" s="430"/>
      <c r="L81" s="431"/>
      <c r="M81" s="429"/>
      <c r="N81" s="433" t="s">
        <v>48</v>
      </c>
      <c r="O81" s="432"/>
      <c r="P81" s="1046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81" s="1044">
        <f>IFERROR(Otras_Actividades_Base[[#This Row],[Económico $Corrientes]]/Otras_Actividades_Base[[#This Row],[Indexación Económico]],0)</f>
        <v>0</v>
      </c>
      <c r="R81" s="1045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81" s="1046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81" s="1044">
        <f>IFERROR(Otras_Actividades_Base[[#This Row],[Financiero $Corrientes]]/Otras_Actividades_Base[[#This Row],[Indexación Financiero]],0)</f>
        <v>0</v>
      </c>
      <c r="U81" s="1052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81" s="1047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81" s="1048">
        <f>IFERROR(Otras_Actividades_Base[[#This Row],[Intereses $Corrientes]]/Otras_Actividades_Base[[#This Row],[Indexación Financiero]],0)</f>
        <v>0</v>
      </c>
      <c r="X81" s="1048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81" s="1053" t="str">
        <f>IFERROR(INDEX(Otras_Actividades_Cuentas[],MATCH(Otras_Actividades_Base[[#This Row],[Cuenta Contable]],Otras_Actividades_Cuentas[Cuenta Contable],0),2),0)</f>
        <v>Egreso</v>
      </c>
      <c r="Z81" s="1050" t="str">
        <f>IFERROR(INDEX(Tabla9[],MATCH(Otras_Actividades_Base[[#This Row],[Movimiento]],Tabla9[Movimientos],0),2),0)</f>
        <v>Si</v>
      </c>
      <c r="AA81" s="1051" t="str">
        <f>IFERROR(INDEX(Tabla9[],MATCH(Otras_Actividades_Base[[#This Row],[Movimiento]],Tabla9[Movimientos],0),3),0)</f>
        <v>(-)</v>
      </c>
      <c r="AB81" s="1047">
        <f>IF(Otras_Actividades_Base[[#This Row],[Fecha Económico]]=0,0,MONTH(Otras_Actividades_Base[[#This Row],[Fecha Económico]]))</f>
        <v>7</v>
      </c>
      <c r="AC81" s="1048">
        <f>IF(Otras_Actividades_Base[[#This Row],[Fecha Económico]]=0,0,YEAR(Otras_Actividades_Base[[#This Row],[Fecha Económico]]))</f>
        <v>2018</v>
      </c>
      <c r="AD81" s="1051">
        <f>SUMPRODUCT((Otras_Actividades_Base[[#This Row],[Mes Económico]]=Tipo_Cambio[Mes])*(Otras_Actividades_Base[[#This Row],[Año Económico]]=Tipo_Cambio[Año])*(Tipo_Cambio[$/U$S]))</f>
        <v>22</v>
      </c>
      <c r="AE81" s="1051">
        <f>SUMPRODUCT((Otras_Actividades_Base[[#This Row],[Mes Económico]]=Tipo_Cambio[Mes])*(Otras_Actividades_Base[[#This Row],[Año Económico]]=Tipo_Cambio[Año])*(Tipo_Cambio[Actualización]))</f>
        <v>1</v>
      </c>
      <c r="AF81" s="1048">
        <f>IF(ISNUMBER(Otras_Actividades_Base[[#This Row],[Fecha Financiero]])=TRUE,MONTH(Otras_Actividades_Base[[#This Row],[Fecha Financiero]]),0)</f>
        <v>0</v>
      </c>
      <c r="AG81" s="1048">
        <f>IF(ISNUMBER(Otras_Actividades_Base[[#This Row],[Fecha Financiero]])=TRUE,YEAR(Otras_Actividades_Base[[#This Row],[Fecha Financiero]]),0)</f>
        <v>0</v>
      </c>
      <c r="AH81" s="1051">
        <f>SUMPRODUCT((Otras_Actividades_Base[[#This Row],[Mes Financiero]]=Tipo_Cambio[Mes])*(Otras_Actividades_Base[[#This Row],[Año Financiero]]=Tipo_Cambio[Año])*(Tipo_Cambio[$/U$S]))</f>
        <v>0</v>
      </c>
      <c r="AI81" s="1051">
        <f>SUMPRODUCT((Otras_Actividades_Base[[#This Row],[Mes Financiero]]=Tipo_Cambio[Mes])*(Otras_Actividades_Base[[#This Row],[Año Financiero]]=Tipo_Cambio[Año])*(Tipo_Cambio[Actualización]))</f>
        <v>0</v>
      </c>
      <c r="AJ81" s="1054">
        <f>IF(Económico!$F$4=0,0,Otras_Actividades_Base[Centro de Costo])</f>
        <v>0</v>
      </c>
    </row>
    <row r="82" spans="4:36" x14ac:dyDescent="0.25">
      <c r="D82" s="42">
        <v>43313</v>
      </c>
      <c r="E82" s="353"/>
      <c r="F82" s="1009" t="s">
        <v>11</v>
      </c>
      <c r="G82" s="280" t="s">
        <v>108</v>
      </c>
      <c r="H82" s="32"/>
      <c r="I82" s="32" t="s">
        <v>36</v>
      </c>
      <c r="J82" s="32"/>
      <c r="K82" s="29"/>
      <c r="L82" s="77"/>
      <c r="M82" s="41"/>
      <c r="N82" s="40" t="s">
        <v>48</v>
      </c>
      <c r="O82" s="51"/>
      <c r="P82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82" s="913">
        <f>IFERROR(Otras_Actividades_Base[[#This Row],[Económico $Corrientes]]/Otras_Actividades_Base[[#This Row],[Indexación Económico]],0)</f>
        <v>0</v>
      </c>
      <c r="R82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82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82" s="913">
        <f>IFERROR(Otras_Actividades_Base[[#This Row],[Financiero $Corrientes]]/Otras_Actividades_Base[[#This Row],[Indexación Financiero]],0)</f>
        <v>0</v>
      </c>
      <c r="U82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82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82" s="890">
        <f>IFERROR(Otras_Actividades_Base[[#This Row],[Intereses $Corrientes]]/Otras_Actividades_Base[[#This Row],[Indexación Financiero]],0)</f>
        <v>0</v>
      </c>
      <c r="X82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82" s="915" t="str">
        <f>IFERROR(INDEX(Otras_Actividades_Cuentas[],MATCH(Otras_Actividades_Base[[#This Row],[Cuenta Contable]],Otras_Actividades_Cuentas[Cuenta Contable],0),2),0)</f>
        <v>Egreso</v>
      </c>
      <c r="Z82" s="887" t="str">
        <f>IFERROR(INDEX(Tabla9[],MATCH(Otras_Actividades_Base[[#This Row],[Movimiento]],Tabla9[Movimientos],0),2),0)</f>
        <v>Si</v>
      </c>
      <c r="AA82" s="889" t="str">
        <f>IFERROR(INDEX(Tabla9[],MATCH(Otras_Actividades_Base[[#This Row],[Movimiento]],Tabla9[Movimientos],0),3),0)</f>
        <v>(-)</v>
      </c>
      <c r="AB82" s="884">
        <f>IF(Otras_Actividades_Base[[#This Row],[Fecha Económico]]=0,0,MONTH(Otras_Actividades_Base[[#This Row],[Fecha Económico]]))</f>
        <v>8</v>
      </c>
      <c r="AC82" s="890">
        <f>IF(Otras_Actividades_Base[[#This Row],[Fecha Económico]]=0,0,YEAR(Otras_Actividades_Base[[#This Row],[Fecha Económico]]))</f>
        <v>2018</v>
      </c>
      <c r="AD82" s="891">
        <f>SUMPRODUCT((Otras_Actividades_Base[[#This Row],[Mes Económico]]=Tipo_Cambio[Mes])*(Otras_Actividades_Base[[#This Row],[Año Económico]]=Tipo_Cambio[Año])*(Tipo_Cambio[$/U$S]))</f>
        <v>22.22</v>
      </c>
      <c r="AE82" s="891">
        <f>SUMPRODUCT((Otras_Actividades_Base[[#This Row],[Mes Económico]]=Tipo_Cambio[Mes])*(Otras_Actividades_Base[[#This Row],[Año Económico]]=Tipo_Cambio[Año])*(Tipo_Cambio[Actualización]))</f>
        <v>1.02</v>
      </c>
      <c r="AF82" s="890">
        <f>IF(ISNUMBER(Otras_Actividades_Base[[#This Row],[Fecha Financiero]])=TRUE,MONTH(Otras_Actividades_Base[[#This Row],[Fecha Financiero]]),0)</f>
        <v>0</v>
      </c>
      <c r="AG82" s="890">
        <f>IF(ISNUMBER(Otras_Actividades_Base[[#This Row],[Fecha Financiero]])=TRUE,YEAR(Otras_Actividades_Base[[#This Row],[Fecha Financiero]]),0)</f>
        <v>0</v>
      </c>
      <c r="AH82" s="891">
        <f>SUMPRODUCT((Otras_Actividades_Base[[#This Row],[Mes Financiero]]=Tipo_Cambio[Mes])*(Otras_Actividades_Base[[#This Row],[Año Financiero]]=Tipo_Cambio[Año])*(Tipo_Cambio[$/U$S]))</f>
        <v>0</v>
      </c>
      <c r="AI82" s="891">
        <f>SUMPRODUCT((Otras_Actividades_Base[[#This Row],[Mes Financiero]]=Tipo_Cambio[Mes])*(Otras_Actividades_Base[[#This Row],[Año Financiero]]=Tipo_Cambio[Año])*(Tipo_Cambio[Actualización]))</f>
        <v>0</v>
      </c>
      <c r="AJ82" s="916">
        <f>IF(Económico!$F$4=0,0,Otras_Actividades_Base[Centro de Costo])</f>
        <v>0</v>
      </c>
    </row>
    <row r="83" spans="4:36" x14ac:dyDescent="0.25">
      <c r="D83" s="42">
        <v>43344</v>
      </c>
      <c r="E83" s="353"/>
      <c r="F83" s="1009" t="s">
        <v>11</v>
      </c>
      <c r="G83" s="280" t="s">
        <v>108</v>
      </c>
      <c r="H83" s="32"/>
      <c r="I83" s="32" t="s">
        <v>36</v>
      </c>
      <c r="J83" s="32"/>
      <c r="K83" s="29"/>
      <c r="L83" s="77"/>
      <c r="M83" s="41"/>
      <c r="N83" s="40" t="s">
        <v>48</v>
      </c>
      <c r="O83" s="51"/>
      <c r="P83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83" s="913">
        <f>IFERROR(Otras_Actividades_Base[[#This Row],[Económico $Corrientes]]/Otras_Actividades_Base[[#This Row],[Indexación Económico]],0)</f>
        <v>0</v>
      </c>
      <c r="R83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83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83" s="913">
        <f>IFERROR(Otras_Actividades_Base[[#This Row],[Financiero $Corrientes]]/Otras_Actividades_Base[[#This Row],[Indexación Financiero]],0)</f>
        <v>0</v>
      </c>
      <c r="U83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83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83" s="890">
        <f>IFERROR(Otras_Actividades_Base[[#This Row],[Intereses $Corrientes]]/Otras_Actividades_Base[[#This Row],[Indexación Financiero]],0)</f>
        <v>0</v>
      </c>
      <c r="X83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83" s="915" t="str">
        <f>IFERROR(INDEX(Otras_Actividades_Cuentas[],MATCH(Otras_Actividades_Base[[#This Row],[Cuenta Contable]],Otras_Actividades_Cuentas[Cuenta Contable],0),2),0)</f>
        <v>Egreso</v>
      </c>
      <c r="Z83" s="887" t="str">
        <f>IFERROR(INDEX(Tabla9[],MATCH(Otras_Actividades_Base[[#This Row],[Movimiento]],Tabla9[Movimientos],0),2),0)</f>
        <v>Si</v>
      </c>
      <c r="AA83" s="889" t="str">
        <f>IFERROR(INDEX(Tabla9[],MATCH(Otras_Actividades_Base[[#This Row],[Movimiento]],Tabla9[Movimientos],0),3),0)</f>
        <v>(-)</v>
      </c>
      <c r="AB83" s="884">
        <f>IF(Otras_Actividades_Base[[#This Row],[Fecha Económico]]=0,0,MONTH(Otras_Actividades_Base[[#This Row],[Fecha Económico]]))</f>
        <v>9</v>
      </c>
      <c r="AC83" s="890">
        <f>IF(Otras_Actividades_Base[[#This Row],[Fecha Económico]]=0,0,YEAR(Otras_Actividades_Base[[#This Row],[Fecha Económico]]))</f>
        <v>2018</v>
      </c>
      <c r="AD83" s="891">
        <f>SUMPRODUCT((Otras_Actividades_Base[[#This Row],[Mes Económico]]=Tipo_Cambio[Mes])*(Otras_Actividades_Base[[#This Row],[Año Económico]]=Tipo_Cambio[Año])*(Tipo_Cambio[$/U$S]))</f>
        <v>22.4422</v>
      </c>
      <c r="AE83" s="891">
        <f>SUMPRODUCT((Otras_Actividades_Base[[#This Row],[Mes Económico]]=Tipo_Cambio[Mes])*(Otras_Actividades_Base[[#This Row],[Año Económico]]=Tipo_Cambio[Año])*(Tipo_Cambio[Actualización]))</f>
        <v>1.0404</v>
      </c>
      <c r="AF83" s="890">
        <f>IF(ISNUMBER(Otras_Actividades_Base[[#This Row],[Fecha Financiero]])=TRUE,MONTH(Otras_Actividades_Base[[#This Row],[Fecha Financiero]]),0)</f>
        <v>0</v>
      </c>
      <c r="AG83" s="890">
        <f>IF(ISNUMBER(Otras_Actividades_Base[[#This Row],[Fecha Financiero]])=TRUE,YEAR(Otras_Actividades_Base[[#This Row],[Fecha Financiero]]),0)</f>
        <v>0</v>
      </c>
      <c r="AH83" s="891">
        <f>SUMPRODUCT((Otras_Actividades_Base[[#This Row],[Mes Financiero]]=Tipo_Cambio[Mes])*(Otras_Actividades_Base[[#This Row],[Año Financiero]]=Tipo_Cambio[Año])*(Tipo_Cambio[$/U$S]))</f>
        <v>0</v>
      </c>
      <c r="AI83" s="891">
        <f>SUMPRODUCT((Otras_Actividades_Base[[#This Row],[Mes Financiero]]=Tipo_Cambio[Mes])*(Otras_Actividades_Base[[#This Row],[Año Financiero]]=Tipo_Cambio[Año])*(Tipo_Cambio[Actualización]))</f>
        <v>0</v>
      </c>
      <c r="AJ83" s="916">
        <f>IF(Económico!$F$4=0,0,Otras_Actividades_Base[Centro de Costo])</f>
        <v>0</v>
      </c>
    </row>
    <row r="84" spans="4:36" x14ac:dyDescent="0.25">
      <c r="D84" s="42">
        <v>43374</v>
      </c>
      <c r="E84" s="353"/>
      <c r="F84" s="1009" t="s">
        <v>11</v>
      </c>
      <c r="G84" s="280" t="s">
        <v>108</v>
      </c>
      <c r="H84" s="32"/>
      <c r="I84" s="32" t="s">
        <v>36</v>
      </c>
      <c r="J84" s="32"/>
      <c r="K84" s="29"/>
      <c r="L84" s="77"/>
      <c r="M84" s="41"/>
      <c r="N84" s="40" t="s">
        <v>48</v>
      </c>
      <c r="O84" s="51"/>
      <c r="P84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84" s="913">
        <f>IFERROR(Otras_Actividades_Base[[#This Row],[Económico $Corrientes]]/Otras_Actividades_Base[[#This Row],[Indexación Económico]],0)</f>
        <v>0</v>
      </c>
      <c r="R84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84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84" s="913">
        <f>IFERROR(Otras_Actividades_Base[[#This Row],[Financiero $Corrientes]]/Otras_Actividades_Base[[#This Row],[Indexación Financiero]],0)</f>
        <v>0</v>
      </c>
      <c r="U84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84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84" s="890">
        <f>IFERROR(Otras_Actividades_Base[[#This Row],[Intereses $Corrientes]]/Otras_Actividades_Base[[#This Row],[Indexación Financiero]],0)</f>
        <v>0</v>
      </c>
      <c r="X84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84" s="915" t="str">
        <f>IFERROR(INDEX(Otras_Actividades_Cuentas[],MATCH(Otras_Actividades_Base[[#This Row],[Cuenta Contable]],Otras_Actividades_Cuentas[Cuenta Contable],0),2),0)</f>
        <v>Egreso</v>
      </c>
      <c r="Z84" s="887" t="str">
        <f>IFERROR(INDEX(Tabla9[],MATCH(Otras_Actividades_Base[[#This Row],[Movimiento]],Tabla9[Movimientos],0),2),0)</f>
        <v>Si</v>
      </c>
      <c r="AA84" s="889" t="str">
        <f>IFERROR(INDEX(Tabla9[],MATCH(Otras_Actividades_Base[[#This Row],[Movimiento]],Tabla9[Movimientos],0),3),0)</f>
        <v>(-)</v>
      </c>
      <c r="AB84" s="884">
        <f>IF(Otras_Actividades_Base[[#This Row],[Fecha Económico]]=0,0,MONTH(Otras_Actividades_Base[[#This Row],[Fecha Económico]]))</f>
        <v>10</v>
      </c>
      <c r="AC84" s="890">
        <f>IF(Otras_Actividades_Base[[#This Row],[Fecha Económico]]=0,0,YEAR(Otras_Actividades_Base[[#This Row],[Fecha Económico]]))</f>
        <v>2018</v>
      </c>
      <c r="AD84" s="891">
        <f>SUMPRODUCT((Otras_Actividades_Base[[#This Row],[Mes Económico]]=Tipo_Cambio[Mes])*(Otras_Actividades_Base[[#This Row],[Año Económico]]=Tipo_Cambio[Año])*(Tipo_Cambio[$/U$S]))</f>
        <v>22.666622</v>
      </c>
      <c r="AE84" s="891">
        <f>SUMPRODUCT((Otras_Actividades_Base[[#This Row],[Mes Económico]]=Tipo_Cambio[Mes])*(Otras_Actividades_Base[[#This Row],[Año Económico]]=Tipo_Cambio[Año])*(Tipo_Cambio[Actualización]))</f>
        <v>1.0612079999999999</v>
      </c>
      <c r="AF84" s="890">
        <f>IF(ISNUMBER(Otras_Actividades_Base[[#This Row],[Fecha Financiero]])=TRUE,MONTH(Otras_Actividades_Base[[#This Row],[Fecha Financiero]]),0)</f>
        <v>0</v>
      </c>
      <c r="AG84" s="890">
        <f>IF(ISNUMBER(Otras_Actividades_Base[[#This Row],[Fecha Financiero]])=TRUE,YEAR(Otras_Actividades_Base[[#This Row],[Fecha Financiero]]),0)</f>
        <v>0</v>
      </c>
      <c r="AH84" s="891">
        <f>SUMPRODUCT((Otras_Actividades_Base[[#This Row],[Mes Financiero]]=Tipo_Cambio[Mes])*(Otras_Actividades_Base[[#This Row],[Año Financiero]]=Tipo_Cambio[Año])*(Tipo_Cambio[$/U$S]))</f>
        <v>0</v>
      </c>
      <c r="AI84" s="891">
        <f>SUMPRODUCT((Otras_Actividades_Base[[#This Row],[Mes Financiero]]=Tipo_Cambio[Mes])*(Otras_Actividades_Base[[#This Row],[Año Financiero]]=Tipo_Cambio[Año])*(Tipo_Cambio[Actualización]))</f>
        <v>0</v>
      </c>
      <c r="AJ84" s="916">
        <f>IF(Económico!$F$4=0,0,Otras_Actividades_Base[Centro de Costo])</f>
        <v>0</v>
      </c>
    </row>
    <row r="85" spans="4:36" x14ac:dyDescent="0.25">
      <c r="D85" s="42">
        <v>43405</v>
      </c>
      <c r="E85" s="353"/>
      <c r="F85" s="1009" t="s">
        <v>11</v>
      </c>
      <c r="G85" s="280" t="s">
        <v>108</v>
      </c>
      <c r="H85" s="32"/>
      <c r="I85" s="32" t="s">
        <v>36</v>
      </c>
      <c r="J85" s="32"/>
      <c r="K85" s="29"/>
      <c r="L85" s="77"/>
      <c r="M85" s="41"/>
      <c r="N85" s="40" t="s">
        <v>48</v>
      </c>
      <c r="O85" s="51"/>
      <c r="P85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85" s="913">
        <f>IFERROR(Otras_Actividades_Base[[#This Row],[Económico $Corrientes]]/Otras_Actividades_Base[[#This Row],[Indexación Económico]],0)</f>
        <v>0</v>
      </c>
      <c r="R85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85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85" s="913">
        <f>IFERROR(Otras_Actividades_Base[[#This Row],[Financiero $Corrientes]]/Otras_Actividades_Base[[#This Row],[Indexación Financiero]],0)</f>
        <v>0</v>
      </c>
      <c r="U85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85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85" s="890">
        <f>IFERROR(Otras_Actividades_Base[[#This Row],[Intereses $Corrientes]]/Otras_Actividades_Base[[#This Row],[Indexación Financiero]],0)</f>
        <v>0</v>
      </c>
      <c r="X85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85" s="915" t="str">
        <f>IFERROR(INDEX(Otras_Actividades_Cuentas[],MATCH(Otras_Actividades_Base[[#This Row],[Cuenta Contable]],Otras_Actividades_Cuentas[Cuenta Contable],0),2),0)</f>
        <v>Egreso</v>
      </c>
      <c r="Z85" s="887" t="str">
        <f>IFERROR(INDEX(Tabla9[],MATCH(Otras_Actividades_Base[[#This Row],[Movimiento]],Tabla9[Movimientos],0),2),0)</f>
        <v>Si</v>
      </c>
      <c r="AA85" s="889" t="str">
        <f>IFERROR(INDEX(Tabla9[],MATCH(Otras_Actividades_Base[[#This Row],[Movimiento]],Tabla9[Movimientos],0),3),0)</f>
        <v>(-)</v>
      </c>
      <c r="AB85" s="884">
        <f>IF(Otras_Actividades_Base[[#This Row],[Fecha Económico]]=0,0,MONTH(Otras_Actividades_Base[[#This Row],[Fecha Económico]]))</f>
        <v>11</v>
      </c>
      <c r="AC85" s="890">
        <f>IF(Otras_Actividades_Base[[#This Row],[Fecha Económico]]=0,0,YEAR(Otras_Actividades_Base[[#This Row],[Fecha Económico]]))</f>
        <v>2018</v>
      </c>
      <c r="AD85" s="891">
        <f>SUMPRODUCT((Otras_Actividades_Base[[#This Row],[Mes Económico]]=Tipo_Cambio[Mes])*(Otras_Actividades_Base[[#This Row],[Año Económico]]=Tipo_Cambio[Año])*(Tipo_Cambio[$/U$S]))</f>
        <v>22.893288219999999</v>
      </c>
      <c r="AE85" s="891">
        <f>SUMPRODUCT((Otras_Actividades_Base[[#This Row],[Mes Económico]]=Tipo_Cambio[Mes])*(Otras_Actividades_Base[[#This Row],[Año Económico]]=Tipo_Cambio[Año])*(Tipo_Cambio[Actualización]))</f>
        <v>1.08243216</v>
      </c>
      <c r="AF85" s="890">
        <f>IF(ISNUMBER(Otras_Actividades_Base[[#This Row],[Fecha Financiero]])=TRUE,MONTH(Otras_Actividades_Base[[#This Row],[Fecha Financiero]]),0)</f>
        <v>0</v>
      </c>
      <c r="AG85" s="890">
        <f>IF(ISNUMBER(Otras_Actividades_Base[[#This Row],[Fecha Financiero]])=TRUE,YEAR(Otras_Actividades_Base[[#This Row],[Fecha Financiero]]),0)</f>
        <v>0</v>
      </c>
      <c r="AH85" s="891">
        <f>SUMPRODUCT((Otras_Actividades_Base[[#This Row],[Mes Financiero]]=Tipo_Cambio[Mes])*(Otras_Actividades_Base[[#This Row],[Año Financiero]]=Tipo_Cambio[Año])*(Tipo_Cambio[$/U$S]))</f>
        <v>0</v>
      </c>
      <c r="AI85" s="891">
        <f>SUMPRODUCT((Otras_Actividades_Base[[#This Row],[Mes Financiero]]=Tipo_Cambio[Mes])*(Otras_Actividades_Base[[#This Row],[Año Financiero]]=Tipo_Cambio[Año])*(Tipo_Cambio[Actualización]))</f>
        <v>0</v>
      </c>
      <c r="AJ85" s="916">
        <f>IF(Económico!$F$4=0,0,Otras_Actividades_Base[Centro de Costo])</f>
        <v>0</v>
      </c>
    </row>
    <row r="86" spans="4:36" x14ac:dyDescent="0.25">
      <c r="D86" s="42">
        <v>43435</v>
      </c>
      <c r="E86" s="353"/>
      <c r="F86" s="1009" t="s">
        <v>11</v>
      </c>
      <c r="G86" s="280" t="s">
        <v>108</v>
      </c>
      <c r="H86" s="32"/>
      <c r="I86" s="32" t="s">
        <v>36</v>
      </c>
      <c r="J86" s="32"/>
      <c r="K86" s="29"/>
      <c r="L86" s="77"/>
      <c r="M86" s="41"/>
      <c r="N86" s="40" t="s">
        <v>48</v>
      </c>
      <c r="O86" s="51"/>
      <c r="P86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86" s="913">
        <f>IFERROR(Otras_Actividades_Base[[#This Row],[Económico $Corrientes]]/Otras_Actividades_Base[[#This Row],[Indexación Económico]],0)</f>
        <v>0</v>
      </c>
      <c r="R86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86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86" s="913">
        <f>IFERROR(Otras_Actividades_Base[[#This Row],[Financiero $Corrientes]]/Otras_Actividades_Base[[#This Row],[Indexación Financiero]],0)</f>
        <v>0</v>
      </c>
      <c r="U86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86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86" s="890">
        <f>IFERROR(Otras_Actividades_Base[[#This Row],[Intereses $Corrientes]]/Otras_Actividades_Base[[#This Row],[Indexación Financiero]],0)</f>
        <v>0</v>
      </c>
      <c r="X86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86" s="915" t="str">
        <f>IFERROR(INDEX(Otras_Actividades_Cuentas[],MATCH(Otras_Actividades_Base[[#This Row],[Cuenta Contable]],Otras_Actividades_Cuentas[Cuenta Contable],0),2),0)</f>
        <v>Egreso</v>
      </c>
      <c r="Z86" s="887" t="str">
        <f>IFERROR(INDEX(Tabla9[],MATCH(Otras_Actividades_Base[[#This Row],[Movimiento]],Tabla9[Movimientos],0),2),0)</f>
        <v>Si</v>
      </c>
      <c r="AA86" s="889" t="str">
        <f>IFERROR(INDEX(Tabla9[],MATCH(Otras_Actividades_Base[[#This Row],[Movimiento]],Tabla9[Movimientos],0),3),0)</f>
        <v>(-)</v>
      </c>
      <c r="AB86" s="884">
        <f>IF(Otras_Actividades_Base[[#This Row],[Fecha Económico]]=0,0,MONTH(Otras_Actividades_Base[[#This Row],[Fecha Económico]]))</f>
        <v>12</v>
      </c>
      <c r="AC86" s="890">
        <f>IF(Otras_Actividades_Base[[#This Row],[Fecha Económico]]=0,0,YEAR(Otras_Actividades_Base[[#This Row],[Fecha Económico]]))</f>
        <v>2018</v>
      </c>
      <c r="AD86" s="891">
        <f>SUMPRODUCT((Otras_Actividades_Base[[#This Row],[Mes Económico]]=Tipo_Cambio[Mes])*(Otras_Actividades_Base[[#This Row],[Año Económico]]=Tipo_Cambio[Año])*(Tipo_Cambio[$/U$S]))</f>
        <v>23.122221102199997</v>
      </c>
      <c r="AE86" s="891">
        <f>SUMPRODUCT((Otras_Actividades_Base[[#This Row],[Mes Económico]]=Tipo_Cambio[Mes])*(Otras_Actividades_Base[[#This Row],[Año Económico]]=Tipo_Cambio[Año])*(Tipo_Cambio[Actualización]))</f>
        <v>1.1040808032</v>
      </c>
      <c r="AF86" s="890">
        <f>IF(ISNUMBER(Otras_Actividades_Base[[#This Row],[Fecha Financiero]])=TRUE,MONTH(Otras_Actividades_Base[[#This Row],[Fecha Financiero]]),0)</f>
        <v>0</v>
      </c>
      <c r="AG86" s="890">
        <f>IF(ISNUMBER(Otras_Actividades_Base[[#This Row],[Fecha Financiero]])=TRUE,YEAR(Otras_Actividades_Base[[#This Row],[Fecha Financiero]]),0)</f>
        <v>0</v>
      </c>
      <c r="AH86" s="891">
        <f>SUMPRODUCT((Otras_Actividades_Base[[#This Row],[Mes Financiero]]=Tipo_Cambio[Mes])*(Otras_Actividades_Base[[#This Row],[Año Financiero]]=Tipo_Cambio[Año])*(Tipo_Cambio[$/U$S]))</f>
        <v>0</v>
      </c>
      <c r="AI86" s="891">
        <f>SUMPRODUCT((Otras_Actividades_Base[[#This Row],[Mes Financiero]]=Tipo_Cambio[Mes])*(Otras_Actividades_Base[[#This Row],[Año Financiero]]=Tipo_Cambio[Año])*(Tipo_Cambio[Actualización]))</f>
        <v>0</v>
      </c>
      <c r="AJ86" s="916">
        <f>IF(Económico!$F$4=0,0,Otras_Actividades_Base[Centro de Costo])</f>
        <v>0</v>
      </c>
    </row>
    <row r="87" spans="4:36" x14ac:dyDescent="0.25">
      <c r="D87" s="42">
        <v>43466</v>
      </c>
      <c r="E87" s="353"/>
      <c r="F87" s="1009" t="s">
        <v>11</v>
      </c>
      <c r="G87" s="280" t="s">
        <v>108</v>
      </c>
      <c r="H87" s="32"/>
      <c r="I87" s="32" t="s">
        <v>36</v>
      </c>
      <c r="J87" s="32"/>
      <c r="K87" s="29"/>
      <c r="L87" s="77"/>
      <c r="M87" s="41"/>
      <c r="N87" s="40" t="s">
        <v>48</v>
      </c>
      <c r="O87" s="51"/>
      <c r="P87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87" s="913">
        <f>IFERROR(Otras_Actividades_Base[[#This Row],[Económico $Corrientes]]/Otras_Actividades_Base[[#This Row],[Indexación Económico]],0)</f>
        <v>0</v>
      </c>
      <c r="R87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87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87" s="913">
        <f>IFERROR(Otras_Actividades_Base[[#This Row],[Financiero $Corrientes]]/Otras_Actividades_Base[[#This Row],[Indexación Financiero]],0)</f>
        <v>0</v>
      </c>
      <c r="U87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87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87" s="890">
        <f>IFERROR(Otras_Actividades_Base[[#This Row],[Intereses $Corrientes]]/Otras_Actividades_Base[[#This Row],[Indexación Financiero]],0)</f>
        <v>0</v>
      </c>
      <c r="X87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87" s="915" t="str">
        <f>IFERROR(INDEX(Otras_Actividades_Cuentas[],MATCH(Otras_Actividades_Base[[#This Row],[Cuenta Contable]],Otras_Actividades_Cuentas[Cuenta Contable],0),2),0)</f>
        <v>Egreso</v>
      </c>
      <c r="Z87" s="887" t="str">
        <f>IFERROR(INDEX(Tabla9[],MATCH(Otras_Actividades_Base[[#This Row],[Movimiento]],Tabla9[Movimientos],0),2),0)</f>
        <v>Si</v>
      </c>
      <c r="AA87" s="889" t="str">
        <f>IFERROR(INDEX(Tabla9[],MATCH(Otras_Actividades_Base[[#This Row],[Movimiento]],Tabla9[Movimientos],0),3),0)</f>
        <v>(-)</v>
      </c>
      <c r="AB87" s="884">
        <f>IF(Otras_Actividades_Base[[#This Row],[Fecha Económico]]=0,0,MONTH(Otras_Actividades_Base[[#This Row],[Fecha Económico]]))</f>
        <v>1</v>
      </c>
      <c r="AC87" s="890">
        <f>IF(Otras_Actividades_Base[[#This Row],[Fecha Económico]]=0,0,YEAR(Otras_Actividades_Base[[#This Row],[Fecha Económico]]))</f>
        <v>2019</v>
      </c>
      <c r="AD87" s="891">
        <f>SUMPRODUCT((Otras_Actividades_Base[[#This Row],[Mes Económico]]=Tipo_Cambio[Mes])*(Otras_Actividades_Base[[#This Row],[Año Económico]]=Tipo_Cambio[Año])*(Tipo_Cambio[$/U$S]))</f>
        <v>23.353443313221998</v>
      </c>
      <c r="AE87" s="891">
        <f>SUMPRODUCT((Otras_Actividades_Base[[#This Row],[Mes Económico]]=Tipo_Cambio[Mes])*(Otras_Actividades_Base[[#This Row],[Año Económico]]=Tipo_Cambio[Año])*(Tipo_Cambio[Actualización]))</f>
        <v>1.1261624192640001</v>
      </c>
      <c r="AF87" s="890">
        <f>IF(ISNUMBER(Otras_Actividades_Base[[#This Row],[Fecha Financiero]])=TRUE,MONTH(Otras_Actividades_Base[[#This Row],[Fecha Financiero]]),0)</f>
        <v>0</v>
      </c>
      <c r="AG87" s="890">
        <f>IF(ISNUMBER(Otras_Actividades_Base[[#This Row],[Fecha Financiero]])=TRUE,YEAR(Otras_Actividades_Base[[#This Row],[Fecha Financiero]]),0)</f>
        <v>0</v>
      </c>
      <c r="AH87" s="891">
        <f>SUMPRODUCT((Otras_Actividades_Base[[#This Row],[Mes Financiero]]=Tipo_Cambio[Mes])*(Otras_Actividades_Base[[#This Row],[Año Financiero]]=Tipo_Cambio[Año])*(Tipo_Cambio[$/U$S]))</f>
        <v>0</v>
      </c>
      <c r="AI87" s="891">
        <f>SUMPRODUCT((Otras_Actividades_Base[[#This Row],[Mes Financiero]]=Tipo_Cambio[Mes])*(Otras_Actividades_Base[[#This Row],[Año Financiero]]=Tipo_Cambio[Año])*(Tipo_Cambio[Actualización]))</f>
        <v>0</v>
      </c>
      <c r="AJ87" s="916">
        <f>IF(Económico!$F$4=0,0,Otras_Actividades_Base[Centro de Costo])</f>
        <v>0</v>
      </c>
    </row>
    <row r="88" spans="4:36" x14ac:dyDescent="0.25">
      <c r="D88" s="42">
        <v>43497</v>
      </c>
      <c r="E88" s="353"/>
      <c r="F88" s="1009" t="s">
        <v>11</v>
      </c>
      <c r="G88" s="280" t="s">
        <v>108</v>
      </c>
      <c r="H88" s="32"/>
      <c r="I88" s="32" t="s">
        <v>36</v>
      </c>
      <c r="J88" s="32"/>
      <c r="K88" s="29"/>
      <c r="L88" s="77"/>
      <c r="M88" s="41"/>
      <c r="N88" s="40" t="s">
        <v>48</v>
      </c>
      <c r="O88" s="51"/>
      <c r="P88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88" s="913">
        <f>IFERROR(Otras_Actividades_Base[[#This Row],[Económico $Corrientes]]/Otras_Actividades_Base[[#This Row],[Indexación Económico]],0)</f>
        <v>0</v>
      </c>
      <c r="R88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88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88" s="913">
        <f>IFERROR(Otras_Actividades_Base[[#This Row],[Financiero $Corrientes]]/Otras_Actividades_Base[[#This Row],[Indexación Financiero]],0)</f>
        <v>0</v>
      </c>
      <c r="U88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88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88" s="890">
        <f>IFERROR(Otras_Actividades_Base[[#This Row],[Intereses $Corrientes]]/Otras_Actividades_Base[[#This Row],[Indexación Financiero]],0)</f>
        <v>0</v>
      </c>
      <c r="X88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88" s="915" t="str">
        <f>IFERROR(INDEX(Otras_Actividades_Cuentas[],MATCH(Otras_Actividades_Base[[#This Row],[Cuenta Contable]],Otras_Actividades_Cuentas[Cuenta Contable],0),2),0)</f>
        <v>Egreso</v>
      </c>
      <c r="Z88" s="887" t="str">
        <f>IFERROR(INDEX(Tabla9[],MATCH(Otras_Actividades_Base[[#This Row],[Movimiento]],Tabla9[Movimientos],0),2),0)</f>
        <v>Si</v>
      </c>
      <c r="AA88" s="889" t="str">
        <f>IFERROR(INDEX(Tabla9[],MATCH(Otras_Actividades_Base[[#This Row],[Movimiento]],Tabla9[Movimientos],0),3),0)</f>
        <v>(-)</v>
      </c>
      <c r="AB88" s="884">
        <f>IF(Otras_Actividades_Base[[#This Row],[Fecha Económico]]=0,0,MONTH(Otras_Actividades_Base[[#This Row],[Fecha Económico]]))</f>
        <v>2</v>
      </c>
      <c r="AC88" s="890">
        <f>IF(Otras_Actividades_Base[[#This Row],[Fecha Económico]]=0,0,YEAR(Otras_Actividades_Base[[#This Row],[Fecha Económico]]))</f>
        <v>2019</v>
      </c>
      <c r="AD88" s="891">
        <f>SUMPRODUCT((Otras_Actividades_Base[[#This Row],[Mes Económico]]=Tipo_Cambio[Mes])*(Otras_Actividades_Base[[#This Row],[Año Económico]]=Tipo_Cambio[Año])*(Tipo_Cambio[$/U$S]))</f>
        <v>23.586977746354219</v>
      </c>
      <c r="AE88" s="891">
        <f>SUMPRODUCT((Otras_Actividades_Base[[#This Row],[Mes Económico]]=Tipo_Cambio[Mes])*(Otras_Actividades_Base[[#This Row],[Año Económico]]=Tipo_Cambio[Año])*(Tipo_Cambio[Actualización]))</f>
        <v>1.14868566764928</v>
      </c>
      <c r="AF88" s="890">
        <f>IF(ISNUMBER(Otras_Actividades_Base[[#This Row],[Fecha Financiero]])=TRUE,MONTH(Otras_Actividades_Base[[#This Row],[Fecha Financiero]]),0)</f>
        <v>0</v>
      </c>
      <c r="AG88" s="890">
        <f>IF(ISNUMBER(Otras_Actividades_Base[[#This Row],[Fecha Financiero]])=TRUE,YEAR(Otras_Actividades_Base[[#This Row],[Fecha Financiero]]),0)</f>
        <v>0</v>
      </c>
      <c r="AH88" s="891">
        <f>SUMPRODUCT((Otras_Actividades_Base[[#This Row],[Mes Financiero]]=Tipo_Cambio[Mes])*(Otras_Actividades_Base[[#This Row],[Año Financiero]]=Tipo_Cambio[Año])*(Tipo_Cambio[$/U$S]))</f>
        <v>0</v>
      </c>
      <c r="AI88" s="891">
        <f>SUMPRODUCT((Otras_Actividades_Base[[#This Row],[Mes Financiero]]=Tipo_Cambio[Mes])*(Otras_Actividades_Base[[#This Row],[Año Financiero]]=Tipo_Cambio[Año])*(Tipo_Cambio[Actualización]))</f>
        <v>0</v>
      </c>
      <c r="AJ88" s="916">
        <f>IF(Económico!$F$4=0,0,Otras_Actividades_Base[Centro de Costo])</f>
        <v>0</v>
      </c>
    </row>
    <row r="89" spans="4:36" x14ac:dyDescent="0.25">
      <c r="D89" s="42">
        <v>43525</v>
      </c>
      <c r="E89" s="353"/>
      <c r="F89" s="1009" t="s">
        <v>11</v>
      </c>
      <c r="G89" s="280" t="s">
        <v>108</v>
      </c>
      <c r="H89" s="32"/>
      <c r="I89" s="32" t="s">
        <v>36</v>
      </c>
      <c r="J89" s="32"/>
      <c r="K89" s="29"/>
      <c r="L89" s="77"/>
      <c r="M89" s="41"/>
      <c r="N89" s="40" t="s">
        <v>48</v>
      </c>
      <c r="O89" s="51"/>
      <c r="P89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89" s="913">
        <f>IFERROR(Otras_Actividades_Base[[#This Row],[Económico $Corrientes]]/Otras_Actividades_Base[[#This Row],[Indexación Económico]],0)</f>
        <v>0</v>
      </c>
      <c r="R89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89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89" s="913">
        <f>IFERROR(Otras_Actividades_Base[[#This Row],[Financiero $Corrientes]]/Otras_Actividades_Base[[#This Row],[Indexación Financiero]],0)</f>
        <v>0</v>
      </c>
      <c r="U89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89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89" s="890">
        <f>IFERROR(Otras_Actividades_Base[[#This Row],[Intereses $Corrientes]]/Otras_Actividades_Base[[#This Row],[Indexación Financiero]],0)</f>
        <v>0</v>
      </c>
      <c r="X89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89" s="915" t="str">
        <f>IFERROR(INDEX(Otras_Actividades_Cuentas[],MATCH(Otras_Actividades_Base[[#This Row],[Cuenta Contable]],Otras_Actividades_Cuentas[Cuenta Contable],0),2),0)</f>
        <v>Egreso</v>
      </c>
      <c r="Z89" s="887" t="str">
        <f>IFERROR(INDEX(Tabla9[],MATCH(Otras_Actividades_Base[[#This Row],[Movimiento]],Tabla9[Movimientos],0),2),0)</f>
        <v>Si</v>
      </c>
      <c r="AA89" s="889" t="str">
        <f>IFERROR(INDEX(Tabla9[],MATCH(Otras_Actividades_Base[[#This Row],[Movimiento]],Tabla9[Movimientos],0),3),0)</f>
        <v>(-)</v>
      </c>
      <c r="AB89" s="884">
        <f>IF(Otras_Actividades_Base[[#This Row],[Fecha Económico]]=0,0,MONTH(Otras_Actividades_Base[[#This Row],[Fecha Económico]]))</f>
        <v>3</v>
      </c>
      <c r="AC89" s="890">
        <f>IF(Otras_Actividades_Base[[#This Row],[Fecha Económico]]=0,0,YEAR(Otras_Actividades_Base[[#This Row],[Fecha Económico]]))</f>
        <v>2019</v>
      </c>
      <c r="AD89" s="891">
        <f>SUMPRODUCT((Otras_Actividades_Base[[#This Row],[Mes Económico]]=Tipo_Cambio[Mes])*(Otras_Actividades_Base[[#This Row],[Año Económico]]=Tipo_Cambio[Año])*(Tipo_Cambio[$/U$S]))</f>
        <v>23.82284752381776</v>
      </c>
      <c r="AE89" s="891">
        <f>SUMPRODUCT((Otras_Actividades_Base[[#This Row],[Mes Económico]]=Tipo_Cambio[Mes])*(Otras_Actividades_Base[[#This Row],[Año Económico]]=Tipo_Cambio[Año])*(Tipo_Cambio[Actualización]))</f>
        <v>1.1716593810022657</v>
      </c>
      <c r="AF89" s="890">
        <f>IF(ISNUMBER(Otras_Actividades_Base[[#This Row],[Fecha Financiero]])=TRUE,MONTH(Otras_Actividades_Base[[#This Row],[Fecha Financiero]]),0)</f>
        <v>0</v>
      </c>
      <c r="AG89" s="890">
        <f>IF(ISNUMBER(Otras_Actividades_Base[[#This Row],[Fecha Financiero]])=TRUE,YEAR(Otras_Actividades_Base[[#This Row],[Fecha Financiero]]),0)</f>
        <v>0</v>
      </c>
      <c r="AH89" s="891">
        <f>SUMPRODUCT((Otras_Actividades_Base[[#This Row],[Mes Financiero]]=Tipo_Cambio[Mes])*(Otras_Actividades_Base[[#This Row],[Año Financiero]]=Tipo_Cambio[Año])*(Tipo_Cambio[$/U$S]))</f>
        <v>0</v>
      </c>
      <c r="AI89" s="891">
        <f>SUMPRODUCT((Otras_Actividades_Base[[#This Row],[Mes Financiero]]=Tipo_Cambio[Mes])*(Otras_Actividades_Base[[#This Row],[Año Financiero]]=Tipo_Cambio[Año])*(Tipo_Cambio[Actualización]))</f>
        <v>0</v>
      </c>
      <c r="AJ89" s="916">
        <f>IF(Económico!$F$4=0,0,Otras_Actividades_Base[Centro de Costo])</f>
        <v>0</v>
      </c>
    </row>
    <row r="90" spans="4:36" x14ac:dyDescent="0.25">
      <c r="D90" s="42">
        <v>43556</v>
      </c>
      <c r="E90" s="353"/>
      <c r="F90" s="1009" t="s">
        <v>11</v>
      </c>
      <c r="G90" s="280" t="s">
        <v>108</v>
      </c>
      <c r="H90" s="32"/>
      <c r="I90" s="32" t="s">
        <v>36</v>
      </c>
      <c r="J90" s="32"/>
      <c r="K90" s="29"/>
      <c r="L90" s="77"/>
      <c r="M90" s="41"/>
      <c r="N90" s="40" t="s">
        <v>48</v>
      </c>
      <c r="O90" s="51"/>
      <c r="P90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90" s="913">
        <f>IFERROR(Otras_Actividades_Base[[#This Row],[Económico $Corrientes]]/Otras_Actividades_Base[[#This Row],[Indexación Económico]],0)</f>
        <v>0</v>
      </c>
      <c r="R90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90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90" s="913">
        <f>IFERROR(Otras_Actividades_Base[[#This Row],[Financiero $Corrientes]]/Otras_Actividades_Base[[#This Row],[Indexación Financiero]],0)</f>
        <v>0</v>
      </c>
      <c r="U90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90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90" s="890">
        <f>IFERROR(Otras_Actividades_Base[[#This Row],[Intereses $Corrientes]]/Otras_Actividades_Base[[#This Row],[Indexación Financiero]],0)</f>
        <v>0</v>
      </c>
      <c r="X90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90" s="915" t="str">
        <f>IFERROR(INDEX(Otras_Actividades_Cuentas[],MATCH(Otras_Actividades_Base[[#This Row],[Cuenta Contable]],Otras_Actividades_Cuentas[Cuenta Contable],0),2),0)</f>
        <v>Egreso</v>
      </c>
      <c r="Z90" s="887" t="str">
        <f>IFERROR(INDEX(Tabla9[],MATCH(Otras_Actividades_Base[[#This Row],[Movimiento]],Tabla9[Movimientos],0),2),0)</f>
        <v>Si</v>
      </c>
      <c r="AA90" s="889" t="str">
        <f>IFERROR(INDEX(Tabla9[],MATCH(Otras_Actividades_Base[[#This Row],[Movimiento]],Tabla9[Movimientos],0),3),0)</f>
        <v>(-)</v>
      </c>
      <c r="AB90" s="884">
        <f>IF(Otras_Actividades_Base[[#This Row],[Fecha Económico]]=0,0,MONTH(Otras_Actividades_Base[[#This Row],[Fecha Económico]]))</f>
        <v>4</v>
      </c>
      <c r="AC90" s="890">
        <f>IF(Otras_Actividades_Base[[#This Row],[Fecha Económico]]=0,0,YEAR(Otras_Actividades_Base[[#This Row],[Fecha Económico]]))</f>
        <v>2019</v>
      </c>
      <c r="AD90" s="891">
        <f>SUMPRODUCT((Otras_Actividades_Base[[#This Row],[Mes Económico]]=Tipo_Cambio[Mes])*(Otras_Actividades_Base[[#This Row],[Año Económico]]=Tipo_Cambio[Año])*(Tipo_Cambio[$/U$S]))</f>
        <v>24.061075999055937</v>
      </c>
      <c r="AE90" s="891">
        <f>SUMPRODUCT((Otras_Actividades_Base[[#This Row],[Mes Económico]]=Tipo_Cambio[Mes])*(Otras_Actividades_Base[[#This Row],[Año Económico]]=Tipo_Cambio[Año])*(Tipo_Cambio[Actualización]))</f>
        <v>1.1950925686223111</v>
      </c>
      <c r="AF90" s="890">
        <f>IF(ISNUMBER(Otras_Actividades_Base[[#This Row],[Fecha Financiero]])=TRUE,MONTH(Otras_Actividades_Base[[#This Row],[Fecha Financiero]]),0)</f>
        <v>0</v>
      </c>
      <c r="AG90" s="890">
        <f>IF(ISNUMBER(Otras_Actividades_Base[[#This Row],[Fecha Financiero]])=TRUE,YEAR(Otras_Actividades_Base[[#This Row],[Fecha Financiero]]),0)</f>
        <v>0</v>
      </c>
      <c r="AH90" s="891">
        <f>SUMPRODUCT((Otras_Actividades_Base[[#This Row],[Mes Financiero]]=Tipo_Cambio[Mes])*(Otras_Actividades_Base[[#This Row],[Año Financiero]]=Tipo_Cambio[Año])*(Tipo_Cambio[$/U$S]))</f>
        <v>0</v>
      </c>
      <c r="AI90" s="891">
        <f>SUMPRODUCT((Otras_Actividades_Base[[#This Row],[Mes Financiero]]=Tipo_Cambio[Mes])*(Otras_Actividades_Base[[#This Row],[Año Financiero]]=Tipo_Cambio[Año])*(Tipo_Cambio[Actualización]))</f>
        <v>0</v>
      </c>
      <c r="AJ90" s="916">
        <f>IF(Económico!$F$4=0,0,Otras_Actividades_Base[Centro de Costo])</f>
        <v>0</v>
      </c>
    </row>
    <row r="91" spans="4:36" x14ac:dyDescent="0.25">
      <c r="D91" s="42">
        <v>43586</v>
      </c>
      <c r="E91" s="353"/>
      <c r="F91" s="1009" t="s">
        <v>11</v>
      </c>
      <c r="G91" s="280" t="s">
        <v>108</v>
      </c>
      <c r="H91" s="32"/>
      <c r="I91" s="32" t="s">
        <v>36</v>
      </c>
      <c r="J91" s="32"/>
      <c r="K91" s="29"/>
      <c r="L91" s="77"/>
      <c r="M91" s="41"/>
      <c r="N91" s="40" t="s">
        <v>48</v>
      </c>
      <c r="O91" s="51"/>
      <c r="P91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91" s="913">
        <f>IFERROR(Otras_Actividades_Base[[#This Row],[Económico $Corrientes]]/Otras_Actividades_Base[[#This Row],[Indexación Económico]],0)</f>
        <v>0</v>
      </c>
      <c r="R91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91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91" s="913">
        <f>IFERROR(Otras_Actividades_Base[[#This Row],[Financiero $Corrientes]]/Otras_Actividades_Base[[#This Row],[Indexación Financiero]],0)</f>
        <v>0</v>
      </c>
      <c r="U91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91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91" s="890">
        <f>IFERROR(Otras_Actividades_Base[[#This Row],[Intereses $Corrientes]]/Otras_Actividades_Base[[#This Row],[Indexación Financiero]],0)</f>
        <v>0</v>
      </c>
      <c r="X91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91" s="915" t="str">
        <f>IFERROR(INDEX(Otras_Actividades_Cuentas[],MATCH(Otras_Actividades_Base[[#This Row],[Cuenta Contable]],Otras_Actividades_Cuentas[Cuenta Contable],0),2),0)</f>
        <v>Egreso</v>
      </c>
      <c r="Z91" s="887" t="str">
        <f>IFERROR(INDEX(Tabla9[],MATCH(Otras_Actividades_Base[[#This Row],[Movimiento]],Tabla9[Movimientos],0),2),0)</f>
        <v>Si</v>
      </c>
      <c r="AA91" s="889" t="str">
        <f>IFERROR(INDEX(Tabla9[],MATCH(Otras_Actividades_Base[[#This Row],[Movimiento]],Tabla9[Movimientos],0),3),0)</f>
        <v>(-)</v>
      </c>
      <c r="AB91" s="884">
        <f>IF(Otras_Actividades_Base[[#This Row],[Fecha Económico]]=0,0,MONTH(Otras_Actividades_Base[[#This Row],[Fecha Económico]]))</f>
        <v>5</v>
      </c>
      <c r="AC91" s="890">
        <f>IF(Otras_Actividades_Base[[#This Row],[Fecha Económico]]=0,0,YEAR(Otras_Actividades_Base[[#This Row],[Fecha Económico]]))</f>
        <v>2019</v>
      </c>
      <c r="AD91" s="891">
        <f>SUMPRODUCT((Otras_Actividades_Base[[#This Row],[Mes Económico]]=Tipo_Cambio[Mes])*(Otras_Actividades_Base[[#This Row],[Año Económico]]=Tipo_Cambio[Año])*(Tipo_Cambio[$/U$S]))</f>
        <v>24.301686759046497</v>
      </c>
      <c r="AE91" s="891">
        <f>SUMPRODUCT((Otras_Actividades_Base[[#This Row],[Mes Económico]]=Tipo_Cambio[Mes])*(Otras_Actividades_Base[[#This Row],[Año Económico]]=Tipo_Cambio[Año])*(Tipo_Cambio[Actualización]))</f>
        <v>1.2189944199947573</v>
      </c>
      <c r="AF91" s="890">
        <f>IF(ISNUMBER(Otras_Actividades_Base[[#This Row],[Fecha Financiero]])=TRUE,MONTH(Otras_Actividades_Base[[#This Row],[Fecha Financiero]]),0)</f>
        <v>0</v>
      </c>
      <c r="AG91" s="890">
        <f>IF(ISNUMBER(Otras_Actividades_Base[[#This Row],[Fecha Financiero]])=TRUE,YEAR(Otras_Actividades_Base[[#This Row],[Fecha Financiero]]),0)</f>
        <v>0</v>
      </c>
      <c r="AH91" s="891">
        <f>SUMPRODUCT((Otras_Actividades_Base[[#This Row],[Mes Financiero]]=Tipo_Cambio[Mes])*(Otras_Actividades_Base[[#This Row],[Año Financiero]]=Tipo_Cambio[Año])*(Tipo_Cambio[$/U$S]))</f>
        <v>0</v>
      </c>
      <c r="AI91" s="891">
        <f>SUMPRODUCT((Otras_Actividades_Base[[#This Row],[Mes Financiero]]=Tipo_Cambio[Mes])*(Otras_Actividades_Base[[#This Row],[Año Financiero]]=Tipo_Cambio[Año])*(Tipo_Cambio[Actualización]))</f>
        <v>0</v>
      </c>
      <c r="AJ91" s="916">
        <f>IF(Económico!$F$4=0,0,Otras_Actividades_Base[Centro de Costo])</f>
        <v>0</v>
      </c>
    </row>
    <row r="92" spans="4:36" x14ac:dyDescent="0.25">
      <c r="D92" s="42">
        <v>43617</v>
      </c>
      <c r="E92" s="353"/>
      <c r="F92" s="1009" t="s">
        <v>11</v>
      </c>
      <c r="G92" s="280" t="s">
        <v>108</v>
      </c>
      <c r="H92" s="32"/>
      <c r="I92" s="32" t="s">
        <v>36</v>
      </c>
      <c r="J92" s="32"/>
      <c r="K92" s="29"/>
      <c r="L92" s="77"/>
      <c r="M92" s="41"/>
      <c r="N92" s="40" t="s">
        <v>48</v>
      </c>
      <c r="O92" s="51"/>
      <c r="P92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92" s="913">
        <f>IFERROR(Otras_Actividades_Base[[#This Row],[Económico $Corrientes]]/Otras_Actividades_Base[[#This Row],[Indexación Económico]],0)</f>
        <v>0</v>
      </c>
      <c r="R92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92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92" s="913">
        <f>IFERROR(Otras_Actividades_Base[[#This Row],[Financiero $Corrientes]]/Otras_Actividades_Base[[#This Row],[Indexación Financiero]],0)</f>
        <v>0</v>
      </c>
      <c r="U92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92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92" s="890">
        <f>IFERROR(Otras_Actividades_Base[[#This Row],[Intereses $Corrientes]]/Otras_Actividades_Base[[#This Row],[Indexación Financiero]],0)</f>
        <v>0</v>
      </c>
      <c r="X92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92" s="915" t="str">
        <f>IFERROR(INDEX(Otras_Actividades_Cuentas[],MATCH(Otras_Actividades_Base[[#This Row],[Cuenta Contable]],Otras_Actividades_Cuentas[Cuenta Contable],0),2),0)</f>
        <v>Egreso</v>
      </c>
      <c r="Z92" s="887" t="str">
        <f>IFERROR(INDEX(Tabla9[],MATCH(Otras_Actividades_Base[[#This Row],[Movimiento]],Tabla9[Movimientos],0),2),0)</f>
        <v>Si</v>
      </c>
      <c r="AA92" s="889" t="str">
        <f>IFERROR(INDEX(Tabla9[],MATCH(Otras_Actividades_Base[[#This Row],[Movimiento]],Tabla9[Movimientos],0),3),0)</f>
        <v>(-)</v>
      </c>
      <c r="AB92" s="884">
        <f>IF(Otras_Actividades_Base[[#This Row],[Fecha Económico]]=0,0,MONTH(Otras_Actividades_Base[[#This Row],[Fecha Económico]]))</f>
        <v>6</v>
      </c>
      <c r="AC92" s="890">
        <f>IF(Otras_Actividades_Base[[#This Row],[Fecha Económico]]=0,0,YEAR(Otras_Actividades_Base[[#This Row],[Fecha Económico]]))</f>
        <v>2019</v>
      </c>
      <c r="AD92" s="891">
        <f>SUMPRODUCT((Otras_Actividades_Base[[#This Row],[Mes Económico]]=Tipo_Cambio[Mes])*(Otras_Actividades_Base[[#This Row],[Año Económico]]=Tipo_Cambio[Año])*(Tipo_Cambio[$/U$S]))</f>
        <v>24.544703626636963</v>
      </c>
      <c r="AE92" s="891">
        <f>SUMPRODUCT((Otras_Actividades_Base[[#This Row],[Mes Económico]]=Tipo_Cambio[Mes])*(Otras_Actividades_Base[[#This Row],[Año Económico]]=Tipo_Cambio[Año])*(Tipo_Cambio[Actualización]))</f>
        <v>1.2433743083946525</v>
      </c>
      <c r="AF92" s="890">
        <f>IF(ISNUMBER(Otras_Actividades_Base[[#This Row],[Fecha Financiero]])=TRUE,MONTH(Otras_Actividades_Base[[#This Row],[Fecha Financiero]]),0)</f>
        <v>0</v>
      </c>
      <c r="AG92" s="890">
        <f>IF(ISNUMBER(Otras_Actividades_Base[[#This Row],[Fecha Financiero]])=TRUE,YEAR(Otras_Actividades_Base[[#This Row],[Fecha Financiero]]),0)</f>
        <v>0</v>
      </c>
      <c r="AH92" s="891">
        <f>SUMPRODUCT((Otras_Actividades_Base[[#This Row],[Mes Financiero]]=Tipo_Cambio[Mes])*(Otras_Actividades_Base[[#This Row],[Año Financiero]]=Tipo_Cambio[Año])*(Tipo_Cambio[$/U$S]))</f>
        <v>0</v>
      </c>
      <c r="AI92" s="891">
        <f>SUMPRODUCT((Otras_Actividades_Base[[#This Row],[Mes Financiero]]=Tipo_Cambio[Mes])*(Otras_Actividades_Base[[#This Row],[Año Financiero]]=Tipo_Cambio[Año])*(Tipo_Cambio[Actualización]))</f>
        <v>0</v>
      </c>
      <c r="AJ92" s="916">
        <f>IF(Económico!$F$4=0,0,Otras_Actividades_Base[Centro de Costo])</f>
        <v>0</v>
      </c>
    </row>
    <row r="93" spans="4:36" x14ac:dyDescent="0.25">
      <c r="D93" s="428">
        <v>43282</v>
      </c>
      <c r="E93" s="434"/>
      <c r="F93" s="1077" t="s">
        <v>11</v>
      </c>
      <c r="G93" s="435" t="s">
        <v>112</v>
      </c>
      <c r="H93" s="429"/>
      <c r="I93" s="429" t="s">
        <v>36</v>
      </c>
      <c r="J93" s="429"/>
      <c r="K93" s="430"/>
      <c r="L93" s="431"/>
      <c r="M93" s="429"/>
      <c r="N93" s="433" t="s">
        <v>48</v>
      </c>
      <c r="O93" s="432"/>
      <c r="P93" s="1046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93" s="1044">
        <f>IFERROR(Otras_Actividades_Base[[#This Row],[Económico $Corrientes]]/Otras_Actividades_Base[[#This Row],[Indexación Económico]],0)</f>
        <v>0</v>
      </c>
      <c r="R93" s="1045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93" s="1046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93" s="1044">
        <f>IFERROR(Otras_Actividades_Base[[#This Row],[Financiero $Corrientes]]/Otras_Actividades_Base[[#This Row],[Indexación Financiero]],0)</f>
        <v>0</v>
      </c>
      <c r="U93" s="1052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93" s="1047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93" s="1048">
        <f>IFERROR(Otras_Actividades_Base[[#This Row],[Intereses $Corrientes]]/Otras_Actividades_Base[[#This Row],[Indexación Financiero]],0)</f>
        <v>0</v>
      </c>
      <c r="X93" s="1048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93" s="1053" t="str">
        <f>IFERROR(INDEX(Otras_Actividades_Cuentas[],MATCH(Otras_Actividades_Base[[#This Row],[Cuenta Contable]],Otras_Actividades_Cuentas[Cuenta Contable],0),2),0)</f>
        <v>Egreso</v>
      </c>
      <c r="Z93" s="1050" t="str">
        <f>IFERROR(INDEX(Tabla9[],MATCH(Otras_Actividades_Base[[#This Row],[Movimiento]],Tabla9[Movimientos],0),2),0)</f>
        <v>Si</v>
      </c>
      <c r="AA93" s="1051" t="str">
        <f>IFERROR(INDEX(Tabla9[],MATCH(Otras_Actividades_Base[[#This Row],[Movimiento]],Tabla9[Movimientos],0),3),0)</f>
        <v>(-)</v>
      </c>
      <c r="AB93" s="1047">
        <f>IF(Otras_Actividades_Base[[#This Row],[Fecha Económico]]=0,0,MONTH(Otras_Actividades_Base[[#This Row],[Fecha Económico]]))</f>
        <v>7</v>
      </c>
      <c r="AC93" s="1048">
        <f>IF(Otras_Actividades_Base[[#This Row],[Fecha Económico]]=0,0,YEAR(Otras_Actividades_Base[[#This Row],[Fecha Económico]]))</f>
        <v>2018</v>
      </c>
      <c r="AD93" s="1051">
        <f>SUMPRODUCT((Otras_Actividades_Base[[#This Row],[Mes Económico]]=Tipo_Cambio[Mes])*(Otras_Actividades_Base[[#This Row],[Año Económico]]=Tipo_Cambio[Año])*(Tipo_Cambio[$/U$S]))</f>
        <v>22</v>
      </c>
      <c r="AE93" s="1051">
        <f>SUMPRODUCT((Otras_Actividades_Base[[#This Row],[Mes Económico]]=Tipo_Cambio[Mes])*(Otras_Actividades_Base[[#This Row],[Año Económico]]=Tipo_Cambio[Año])*(Tipo_Cambio[Actualización]))</f>
        <v>1</v>
      </c>
      <c r="AF93" s="1048">
        <f>IF(ISNUMBER(Otras_Actividades_Base[[#This Row],[Fecha Financiero]])=TRUE,MONTH(Otras_Actividades_Base[[#This Row],[Fecha Financiero]]),0)</f>
        <v>0</v>
      </c>
      <c r="AG93" s="1048">
        <f>IF(ISNUMBER(Otras_Actividades_Base[[#This Row],[Fecha Financiero]])=TRUE,YEAR(Otras_Actividades_Base[[#This Row],[Fecha Financiero]]),0)</f>
        <v>0</v>
      </c>
      <c r="AH93" s="1051">
        <f>SUMPRODUCT((Otras_Actividades_Base[[#This Row],[Mes Financiero]]=Tipo_Cambio[Mes])*(Otras_Actividades_Base[[#This Row],[Año Financiero]]=Tipo_Cambio[Año])*(Tipo_Cambio[$/U$S]))</f>
        <v>0</v>
      </c>
      <c r="AI93" s="1051">
        <f>SUMPRODUCT((Otras_Actividades_Base[[#This Row],[Mes Financiero]]=Tipo_Cambio[Mes])*(Otras_Actividades_Base[[#This Row],[Año Financiero]]=Tipo_Cambio[Año])*(Tipo_Cambio[Actualización]))</f>
        <v>0</v>
      </c>
      <c r="AJ93" s="1054">
        <f>IF(Económico!$F$4=0,0,Otras_Actividades_Base[Centro de Costo])</f>
        <v>0</v>
      </c>
    </row>
    <row r="94" spans="4:36" x14ac:dyDescent="0.25">
      <c r="D94" s="42">
        <v>43313</v>
      </c>
      <c r="E94" s="353"/>
      <c r="F94" s="1009" t="s">
        <v>11</v>
      </c>
      <c r="G94" s="280" t="s">
        <v>112</v>
      </c>
      <c r="H94" s="32"/>
      <c r="I94" s="32" t="s">
        <v>36</v>
      </c>
      <c r="J94" s="32"/>
      <c r="K94" s="29"/>
      <c r="L94" s="77"/>
      <c r="M94" s="41"/>
      <c r="N94" s="40" t="s">
        <v>48</v>
      </c>
      <c r="O94" s="51"/>
      <c r="P94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94" s="913">
        <f>IFERROR(Otras_Actividades_Base[[#This Row],[Económico $Corrientes]]/Otras_Actividades_Base[[#This Row],[Indexación Económico]],0)</f>
        <v>0</v>
      </c>
      <c r="R94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94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94" s="913">
        <f>IFERROR(Otras_Actividades_Base[[#This Row],[Financiero $Corrientes]]/Otras_Actividades_Base[[#This Row],[Indexación Financiero]],0)</f>
        <v>0</v>
      </c>
      <c r="U94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94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94" s="890">
        <f>IFERROR(Otras_Actividades_Base[[#This Row],[Intereses $Corrientes]]/Otras_Actividades_Base[[#This Row],[Indexación Financiero]],0)</f>
        <v>0</v>
      </c>
      <c r="X94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94" s="915" t="str">
        <f>IFERROR(INDEX(Otras_Actividades_Cuentas[],MATCH(Otras_Actividades_Base[[#This Row],[Cuenta Contable]],Otras_Actividades_Cuentas[Cuenta Contable],0),2),0)</f>
        <v>Egreso</v>
      </c>
      <c r="Z94" s="887" t="str">
        <f>IFERROR(INDEX(Tabla9[],MATCH(Otras_Actividades_Base[[#This Row],[Movimiento]],Tabla9[Movimientos],0),2),0)</f>
        <v>Si</v>
      </c>
      <c r="AA94" s="889" t="str">
        <f>IFERROR(INDEX(Tabla9[],MATCH(Otras_Actividades_Base[[#This Row],[Movimiento]],Tabla9[Movimientos],0),3),0)</f>
        <v>(-)</v>
      </c>
      <c r="AB94" s="884">
        <f>IF(Otras_Actividades_Base[[#This Row],[Fecha Económico]]=0,0,MONTH(Otras_Actividades_Base[[#This Row],[Fecha Económico]]))</f>
        <v>8</v>
      </c>
      <c r="AC94" s="890">
        <f>IF(Otras_Actividades_Base[[#This Row],[Fecha Económico]]=0,0,YEAR(Otras_Actividades_Base[[#This Row],[Fecha Económico]]))</f>
        <v>2018</v>
      </c>
      <c r="AD94" s="891">
        <f>SUMPRODUCT((Otras_Actividades_Base[[#This Row],[Mes Económico]]=Tipo_Cambio[Mes])*(Otras_Actividades_Base[[#This Row],[Año Económico]]=Tipo_Cambio[Año])*(Tipo_Cambio[$/U$S]))</f>
        <v>22.22</v>
      </c>
      <c r="AE94" s="891">
        <f>SUMPRODUCT((Otras_Actividades_Base[[#This Row],[Mes Económico]]=Tipo_Cambio[Mes])*(Otras_Actividades_Base[[#This Row],[Año Económico]]=Tipo_Cambio[Año])*(Tipo_Cambio[Actualización]))</f>
        <v>1.02</v>
      </c>
      <c r="AF94" s="890">
        <f>IF(ISNUMBER(Otras_Actividades_Base[[#This Row],[Fecha Financiero]])=TRUE,MONTH(Otras_Actividades_Base[[#This Row],[Fecha Financiero]]),0)</f>
        <v>0</v>
      </c>
      <c r="AG94" s="890">
        <f>IF(ISNUMBER(Otras_Actividades_Base[[#This Row],[Fecha Financiero]])=TRUE,YEAR(Otras_Actividades_Base[[#This Row],[Fecha Financiero]]),0)</f>
        <v>0</v>
      </c>
      <c r="AH94" s="891">
        <f>SUMPRODUCT((Otras_Actividades_Base[[#This Row],[Mes Financiero]]=Tipo_Cambio[Mes])*(Otras_Actividades_Base[[#This Row],[Año Financiero]]=Tipo_Cambio[Año])*(Tipo_Cambio[$/U$S]))</f>
        <v>0</v>
      </c>
      <c r="AI94" s="891">
        <f>SUMPRODUCT((Otras_Actividades_Base[[#This Row],[Mes Financiero]]=Tipo_Cambio[Mes])*(Otras_Actividades_Base[[#This Row],[Año Financiero]]=Tipo_Cambio[Año])*(Tipo_Cambio[Actualización]))</f>
        <v>0</v>
      </c>
      <c r="AJ94" s="916">
        <f>IF(Económico!$F$4=0,0,Otras_Actividades_Base[Centro de Costo])</f>
        <v>0</v>
      </c>
    </row>
    <row r="95" spans="4:36" x14ac:dyDescent="0.25">
      <c r="D95" s="42">
        <v>43344</v>
      </c>
      <c r="E95" s="353"/>
      <c r="F95" s="1009" t="s">
        <v>11</v>
      </c>
      <c r="G95" s="280" t="s">
        <v>112</v>
      </c>
      <c r="H95" s="32"/>
      <c r="I95" s="32" t="s">
        <v>36</v>
      </c>
      <c r="J95" s="32"/>
      <c r="K95" s="29"/>
      <c r="L95" s="77"/>
      <c r="M95" s="41"/>
      <c r="N95" s="40" t="s">
        <v>48</v>
      </c>
      <c r="O95" s="51"/>
      <c r="P95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95" s="913">
        <f>IFERROR(Otras_Actividades_Base[[#This Row],[Económico $Corrientes]]/Otras_Actividades_Base[[#This Row],[Indexación Económico]],0)</f>
        <v>0</v>
      </c>
      <c r="R95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95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95" s="913">
        <f>IFERROR(Otras_Actividades_Base[[#This Row],[Financiero $Corrientes]]/Otras_Actividades_Base[[#This Row],[Indexación Financiero]],0)</f>
        <v>0</v>
      </c>
      <c r="U95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95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95" s="890">
        <f>IFERROR(Otras_Actividades_Base[[#This Row],[Intereses $Corrientes]]/Otras_Actividades_Base[[#This Row],[Indexación Financiero]],0)</f>
        <v>0</v>
      </c>
      <c r="X95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95" s="915" t="str">
        <f>IFERROR(INDEX(Otras_Actividades_Cuentas[],MATCH(Otras_Actividades_Base[[#This Row],[Cuenta Contable]],Otras_Actividades_Cuentas[Cuenta Contable],0),2),0)</f>
        <v>Egreso</v>
      </c>
      <c r="Z95" s="887" t="str">
        <f>IFERROR(INDEX(Tabla9[],MATCH(Otras_Actividades_Base[[#This Row],[Movimiento]],Tabla9[Movimientos],0),2),0)</f>
        <v>Si</v>
      </c>
      <c r="AA95" s="889" t="str">
        <f>IFERROR(INDEX(Tabla9[],MATCH(Otras_Actividades_Base[[#This Row],[Movimiento]],Tabla9[Movimientos],0),3),0)</f>
        <v>(-)</v>
      </c>
      <c r="AB95" s="884">
        <f>IF(Otras_Actividades_Base[[#This Row],[Fecha Económico]]=0,0,MONTH(Otras_Actividades_Base[[#This Row],[Fecha Económico]]))</f>
        <v>9</v>
      </c>
      <c r="AC95" s="890">
        <f>IF(Otras_Actividades_Base[[#This Row],[Fecha Económico]]=0,0,YEAR(Otras_Actividades_Base[[#This Row],[Fecha Económico]]))</f>
        <v>2018</v>
      </c>
      <c r="AD95" s="891">
        <f>SUMPRODUCT((Otras_Actividades_Base[[#This Row],[Mes Económico]]=Tipo_Cambio[Mes])*(Otras_Actividades_Base[[#This Row],[Año Económico]]=Tipo_Cambio[Año])*(Tipo_Cambio[$/U$S]))</f>
        <v>22.4422</v>
      </c>
      <c r="AE95" s="891">
        <f>SUMPRODUCT((Otras_Actividades_Base[[#This Row],[Mes Económico]]=Tipo_Cambio[Mes])*(Otras_Actividades_Base[[#This Row],[Año Económico]]=Tipo_Cambio[Año])*(Tipo_Cambio[Actualización]))</f>
        <v>1.0404</v>
      </c>
      <c r="AF95" s="890">
        <f>IF(ISNUMBER(Otras_Actividades_Base[[#This Row],[Fecha Financiero]])=TRUE,MONTH(Otras_Actividades_Base[[#This Row],[Fecha Financiero]]),0)</f>
        <v>0</v>
      </c>
      <c r="AG95" s="890">
        <f>IF(ISNUMBER(Otras_Actividades_Base[[#This Row],[Fecha Financiero]])=TRUE,YEAR(Otras_Actividades_Base[[#This Row],[Fecha Financiero]]),0)</f>
        <v>0</v>
      </c>
      <c r="AH95" s="891">
        <f>SUMPRODUCT((Otras_Actividades_Base[[#This Row],[Mes Financiero]]=Tipo_Cambio[Mes])*(Otras_Actividades_Base[[#This Row],[Año Financiero]]=Tipo_Cambio[Año])*(Tipo_Cambio[$/U$S]))</f>
        <v>0</v>
      </c>
      <c r="AI95" s="891">
        <f>SUMPRODUCT((Otras_Actividades_Base[[#This Row],[Mes Financiero]]=Tipo_Cambio[Mes])*(Otras_Actividades_Base[[#This Row],[Año Financiero]]=Tipo_Cambio[Año])*(Tipo_Cambio[Actualización]))</f>
        <v>0</v>
      </c>
      <c r="AJ95" s="916">
        <f>IF(Económico!$F$4=0,0,Otras_Actividades_Base[Centro de Costo])</f>
        <v>0</v>
      </c>
    </row>
    <row r="96" spans="4:36" x14ac:dyDescent="0.25">
      <c r="D96" s="42">
        <v>43374</v>
      </c>
      <c r="E96" s="353"/>
      <c r="F96" s="1009" t="s">
        <v>11</v>
      </c>
      <c r="G96" s="280" t="s">
        <v>112</v>
      </c>
      <c r="H96" s="32"/>
      <c r="I96" s="32" t="s">
        <v>36</v>
      </c>
      <c r="J96" s="32"/>
      <c r="K96" s="29"/>
      <c r="L96" s="77"/>
      <c r="M96" s="41"/>
      <c r="N96" s="40" t="s">
        <v>48</v>
      </c>
      <c r="O96" s="51"/>
      <c r="P96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96" s="913">
        <f>IFERROR(Otras_Actividades_Base[[#This Row],[Económico $Corrientes]]/Otras_Actividades_Base[[#This Row],[Indexación Económico]],0)</f>
        <v>0</v>
      </c>
      <c r="R96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96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96" s="913">
        <f>IFERROR(Otras_Actividades_Base[[#This Row],[Financiero $Corrientes]]/Otras_Actividades_Base[[#This Row],[Indexación Financiero]],0)</f>
        <v>0</v>
      </c>
      <c r="U96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96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96" s="890">
        <f>IFERROR(Otras_Actividades_Base[[#This Row],[Intereses $Corrientes]]/Otras_Actividades_Base[[#This Row],[Indexación Financiero]],0)</f>
        <v>0</v>
      </c>
      <c r="X96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96" s="915" t="str">
        <f>IFERROR(INDEX(Otras_Actividades_Cuentas[],MATCH(Otras_Actividades_Base[[#This Row],[Cuenta Contable]],Otras_Actividades_Cuentas[Cuenta Contable],0),2),0)</f>
        <v>Egreso</v>
      </c>
      <c r="Z96" s="887" t="str">
        <f>IFERROR(INDEX(Tabla9[],MATCH(Otras_Actividades_Base[[#This Row],[Movimiento]],Tabla9[Movimientos],0),2),0)</f>
        <v>Si</v>
      </c>
      <c r="AA96" s="889" t="str">
        <f>IFERROR(INDEX(Tabla9[],MATCH(Otras_Actividades_Base[[#This Row],[Movimiento]],Tabla9[Movimientos],0),3),0)</f>
        <v>(-)</v>
      </c>
      <c r="AB96" s="884">
        <f>IF(Otras_Actividades_Base[[#This Row],[Fecha Económico]]=0,0,MONTH(Otras_Actividades_Base[[#This Row],[Fecha Económico]]))</f>
        <v>10</v>
      </c>
      <c r="AC96" s="890">
        <f>IF(Otras_Actividades_Base[[#This Row],[Fecha Económico]]=0,0,YEAR(Otras_Actividades_Base[[#This Row],[Fecha Económico]]))</f>
        <v>2018</v>
      </c>
      <c r="AD96" s="891">
        <f>SUMPRODUCT((Otras_Actividades_Base[[#This Row],[Mes Económico]]=Tipo_Cambio[Mes])*(Otras_Actividades_Base[[#This Row],[Año Económico]]=Tipo_Cambio[Año])*(Tipo_Cambio[$/U$S]))</f>
        <v>22.666622</v>
      </c>
      <c r="AE96" s="891">
        <f>SUMPRODUCT((Otras_Actividades_Base[[#This Row],[Mes Económico]]=Tipo_Cambio[Mes])*(Otras_Actividades_Base[[#This Row],[Año Económico]]=Tipo_Cambio[Año])*(Tipo_Cambio[Actualización]))</f>
        <v>1.0612079999999999</v>
      </c>
      <c r="AF96" s="890">
        <f>IF(ISNUMBER(Otras_Actividades_Base[[#This Row],[Fecha Financiero]])=TRUE,MONTH(Otras_Actividades_Base[[#This Row],[Fecha Financiero]]),0)</f>
        <v>0</v>
      </c>
      <c r="AG96" s="890">
        <f>IF(ISNUMBER(Otras_Actividades_Base[[#This Row],[Fecha Financiero]])=TRUE,YEAR(Otras_Actividades_Base[[#This Row],[Fecha Financiero]]),0)</f>
        <v>0</v>
      </c>
      <c r="AH96" s="891">
        <f>SUMPRODUCT((Otras_Actividades_Base[[#This Row],[Mes Financiero]]=Tipo_Cambio[Mes])*(Otras_Actividades_Base[[#This Row],[Año Financiero]]=Tipo_Cambio[Año])*(Tipo_Cambio[$/U$S]))</f>
        <v>0</v>
      </c>
      <c r="AI96" s="891">
        <f>SUMPRODUCT((Otras_Actividades_Base[[#This Row],[Mes Financiero]]=Tipo_Cambio[Mes])*(Otras_Actividades_Base[[#This Row],[Año Financiero]]=Tipo_Cambio[Año])*(Tipo_Cambio[Actualización]))</f>
        <v>0</v>
      </c>
      <c r="AJ96" s="916">
        <f>IF(Económico!$F$4=0,0,Otras_Actividades_Base[Centro de Costo])</f>
        <v>0</v>
      </c>
    </row>
    <row r="97" spans="4:36" x14ac:dyDescent="0.25">
      <c r="D97" s="42">
        <v>43405</v>
      </c>
      <c r="E97" s="353"/>
      <c r="F97" s="1009" t="s">
        <v>11</v>
      </c>
      <c r="G97" s="280" t="s">
        <v>112</v>
      </c>
      <c r="H97" s="32"/>
      <c r="I97" s="32" t="s">
        <v>36</v>
      </c>
      <c r="J97" s="32"/>
      <c r="K97" s="29"/>
      <c r="L97" s="77"/>
      <c r="M97" s="41"/>
      <c r="N97" s="40" t="s">
        <v>48</v>
      </c>
      <c r="O97" s="51"/>
      <c r="P97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97" s="913">
        <f>IFERROR(Otras_Actividades_Base[[#This Row],[Económico $Corrientes]]/Otras_Actividades_Base[[#This Row],[Indexación Económico]],0)</f>
        <v>0</v>
      </c>
      <c r="R97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97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97" s="913">
        <f>IFERROR(Otras_Actividades_Base[[#This Row],[Financiero $Corrientes]]/Otras_Actividades_Base[[#This Row],[Indexación Financiero]],0)</f>
        <v>0</v>
      </c>
      <c r="U97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97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97" s="890">
        <f>IFERROR(Otras_Actividades_Base[[#This Row],[Intereses $Corrientes]]/Otras_Actividades_Base[[#This Row],[Indexación Financiero]],0)</f>
        <v>0</v>
      </c>
      <c r="X97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97" s="915" t="str">
        <f>IFERROR(INDEX(Otras_Actividades_Cuentas[],MATCH(Otras_Actividades_Base[[#This Row],[Cuenta Contable]],Otras_Actividades_Cuentas[Cuenta Contable],0),2),0)</f>
        <v>Egreso</v>
      </c>
      <c r="Z97" s="887" t="str">
        <f>IFERROR(INDEX(Tabla9[],MATCH(Otras_Actividades_Base[[#This Row],[Movimiento]],Tabla9[Movimientos],0),2),0)</f>
        <v>Si</v>
      </c>
      <c r="AA97" s="889" t="str">
        <f>IFERROR(INDEX(Tabla9[],MATCH(Otras_Actividades_Base[[#This Row],[Movimiento]],Tabla9[Movimientos],0),3),0)</f>
        <v>(-)</v>
      </c>
      <c r="AB97" s="884">
        <f>IF(Otras_Actividades_Base[[#This Row],[Fecha Económico]]=0,0,MONTH(Otras_Actividades_Base[[#This Row],[Fecha Económico]]))</f>
        <v>11</v>
      </c>
      <c r="AC97" s="890">
        <f>IF(Otras_Actividades_Base[[#This Row],[Fecha Económico]]=0,0,YEAR(Otras_Actividades_Base[[#This Row],[Fecha Económico]]))</f>
        <v>2018</v>
      </c>
      <c r="AD97" s="891">
        <f>SUMPRODUCT((Otras_Actividades_Base[[#This Row],[Mes Económico]]=Tipo_Cambio[Mes])*(Otras_Actividades_Base[[#This Row],[Año Económico]]=Tipo_Cambio[Año])*(Tipo_Cambio[$/U$S]))</f>
        <v>22.893288219999999</v>
      </c>
      <c r="AE97" s="891">
        <f>SUMPRODUCT((Otras_Actividades_Base[[#This Row],[Mes Económico]]=Tipo_Cambio[Mes])*(Otras_Actividades_Base[[#This Row],[Año Económico]]=Tipo_Cambio[Año])*(Tipo_Cambio[Actualización]))</f>
        <v>1.08243216</v>
      </c>
      <c r="AF97" s="890">
        <f>IF(ISNUMBER(Otras_Actividades_Base[[#This Row],[Fecha Financiero]])=TRUE,MONTH(Otras_Actividades_Base[[#This Row],[Fecha Financiero]]),0)</f>
        <v>0</v>
      </c>
      <c r="AG97" s="890">
        <f>IF(ISNUMBER(Otras_Actividades_Base[[#This Row],[Fecha Financiero]])=TRUE,YEAR(Otras_Actividades_Base[[#This Row],[Fecha Financiero]]),0)</f>
        <v>0</v>
      </c>
      <c r="AH97" s="891">
        <f>SUMPRODUCT((Otras_Actividades_Base[[#This Row],[Mes Financiero]]=Tipo_Cambio[Mes])*(Otras_Actividades_Base[[#This Row],[Año Financiero]]=Tipo_Cambio[Año])*(Tipo_Cambio[$/U$S]))</f>
        <v>0</v>
      </c>
      <c r="AI97" s="891">
        <f>SUMPRODUCT((Otras_Actividades_Base[[#This Row],[Mes Financiero]]=Tipo_Cambio[Mes])*(Otras_Actividades_Base[[#This Row],[Año Financiero]]=Tipo_Cambio[Año])*(Tipo_Cambio[Actualización]))</f>
        <v>0</v>
      </c>
      <c r="AJ97" s="916">
        <f>IF(Económico!$F$4=0,0,Otras_Actividades_Base[Centro de Costo])</f>
        <v>0</v>
      </c>
    </row>
    <row r="98" spans="4:36" x14ac:dyDescent="0.25">
      <c r="D98" s="42">
        <v>43435</v>
      </c>
      <c r="E98" s="353"/>
      <c r="F98" s="1009" t="s">
        <v>11</v>
      </c>
      <c r="G98" s="280" t="s">
        <v>112</v>
      </c>
      <c r="H98" s="32"/>
      <c r="I98" s="32" t="s">
        <v>36</v>
      </c>
      <c r="J98" s="32"/>
      <c r="K98" s="29"/>
      <c r="L98" s="77"/>
      <c r="M98" s="41"/>
      <c r="N98" s="40" t="s">
        <v>48</v>
      </c>
      <c r="O98" s="51"/>
      <c r="P98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98" s="913">
        <f>IFERROR(Otras_Actividades_Base[[#This Row],[Económico $Corrientes]]/Otras_Actividades_Base[[#This Row],[Indexación Económico]],0)</f>
        <v>0</v>
      </c>
      <c r="R98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98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98" s="913">
        <f>IFERROR(Otras_Actividades_Base[[#This Row],[Financiero $Corrientes]]/Otras_Actividades_Base[[#This Row],[Indexación Financiero]],0)</f>
        <v>0</v>
      </c>
      <c r="U98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98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98" s="890">
        <f>IFERROR(Otras_Actividades_Base[[#This Row],[Intereses $Corrientes]]/Otras_Actividades_Base[[#This Row],[Indexación Financiero]],0)</f>
        <v>0</v>
      </c>
      <c r="X98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98" s="915" t="str">
        <f>IFERROR(INDEX(Otras_Actividades_Cuentas[],MATCH(Otras_Actividades_Base[[#This Row],[Cuenta Contable]],Otras_Actividades_Cuentas[Cuenta Contable],0),2),0)</f>
        <v>Egreso</v>
      </c>
      <c r="Z98" s="887" t="str">
        <f>IFERROR(INDEX(Tabla9[],MATCH(Otras_Actividades_Base[[#This Row],[Movimiento]],Tabla9[Movimientos],0),2),0)</f>
        <v>Si</v>
      </c>
      <c r="AA98" s="889" t="str">
        <f>IFERROR(INDEX(Tabla9[],MATCH(Otras_Actividades_Base[[#This Row],[Movimiento]],Tabla9[Movimientos],0),3),0)</f>
        <v>(-)</v>
      </c>
      <c r="AB98" s="884">
        <f>IF(Otras_Actividades_Base[[#This Row],[Fecha Económico]]=0,0,MONTH(Otras_Actividades_Base[[#This Row],[Fecha Económico]]))</f>
        <v>12</v>
      </c>
      <c r="AC98" s="890">
        <f>IF(Otras_Actividades_Base[[#This Row],[Fecha Económico]]=0,0,YEAR(Otras_Actividades_Base[[#This Row],[Fecha Económico]]))</f>
        <v>2018</v>
      </c>
      <c r="AD98" s="891">
        <f>SUMPRODUCT((Otras_Actividades_Base[[#This Row],[Mes Económico]]=Tipo_Cambio[Mes])*(Otras_Actividades_Base[[#This Row],[Año Económico]]=Tipo_Cambio[Año])*(Tipo_Cambio[$/U$S]))</f>
        <v>23.122221102199997</v>
      </c>
      <c r="AE98" s="891">
        <f>SUMPRODUCT((Otras_Actividades_Base[[#This Row],[Mes Económico]]=Tipo_Cambio[Mes])*(Otras_Actividades_Base[[#This Row],[Año Económico]]=Tipo_Cambio[Año])*(Tipo_Cambio[Actualización]))</f>
        <v>1.1040808032</v>
      </c>
      <c r="AF98" s="890">
        <f>IF(ISNUMBER(Otras_Actividades_Base[[#This Row],[Fecha Financiero]])=TRUE,MONTH(Otras_Actividades_Base[[#This Row],[Fecha Financiero]]),0)</f>
        <v>0</v>
      </c>
      <c r="AG98" s="890">
        <f>IF(ISNUMBER(Otras_Actividades_Base[[#This Row],[Fecha Financiero]])=TRUE,YEAR(Otras_Actividades_Base[[#This Row],[Fecha Financiero]]),0)</f>
        <v>0</v>
      </c>
      <c r="AH98" s="891">
        <f>SUMPRODUCT((Otras_Actividades_Base[[#This Row],[Mes Financiero]]=Tipo_Cambio[Mes])*(Otras_Actividades_Base[[#This Row],[Año Financiero]]=Tipo_Cambio[Año])*(Tipo_Cambio[$/U$S]))</f>
        <v>0</v>
      </c>
      <c r="AI98" s="891">
        <f>SUMPRODUCT((Otras_Actividades_Base[[#This Row],[Mes Financiero]]=Tipo_Cambio[Mes])*(Otras_Actividades_Base[[#This Row],[Año Financiero]]=Tipo_Cambio[Año])*(Tipo_Cambio[Actualización]))</f>
        <v>0</v>
      </c>
      <c r="AJ98" s="916">
        <f>IF(Económico!$F$4=0,0,Otras_Actividades_Base[Centro de Costo])</f>
        <v>0</v>
      </c>
    </row>
    <row r="99" spans="4:36" x14ac:dyDescent="0.25">
      <c r="D99" s="42">
        <v>43466</v>
      </c>
      <c r="E99" s="353"/>
      <c r="F99" s="1009" t="s">
        <v>11</v>
      </c>
      <c r="G99" s="280" t="s">
        <v>112</v>
      </c>
      <c r="H99" s="32"/>
      <c r="I99" s="32" t="s">
        <v>36</v>
      </c>
      <c r="J99" s="32"/>
      <c r="K99" s="29"/>
      <c r="L99" s="77"/>
      <c r="M99" s="41"/>
      <c r="N99" s="40" t="s">
        <v>48</v>
      </c>
      <c r="O99" s="51"/>
      <c r="P99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99" s="913">
        <f>IFERROR(Otras_Actividades_Base[[#This Row],[Económico $Corrientes]]/Otras_Actividades_Base[[#This Row],[Indexación Económico]],0)</f>
        <v>0</v>
      </c>
      <c r="R99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99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99" s="913">
        <f>IFERROR(Otras_Actividades_Base[[#This Row],[Financiero $Corrientes]]/Otras_Actividades_Base[[#This Row],[Indexación Financiero]],0)</f>
        <v>0</v>
      </c>
      <c r="U99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99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99" s="890">
        <f>IFERROR(Otras_Actividades_Base[[#This Row],[Intereses $Corrientes]]/Otras_Actividades_Base[[#This Row],[Indexación Financiero]],0)</f>
        <v>0</v>
      </c>
      <c r="X99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99" s="915" t="str">
        <f>IFERROR(INDEX(Otras_Actividades_Cuentas[],MATCH(Otras_Actividades_Base[[#This Row],[Cuenta Contable]],Otras_Actividades_Cuentas[Cuenta Contable],0),2),0)</f>
        <v>Egreso</v>
      </c>
      <c r="Z99" s="887" t="str">
        <f>IFERROR(INDEX(Tabla9[],MATCH(Otras_Actividades_Base[[#This Row],[Movimiento]],Tabla9[Movimientos],0),2),0)</f>
        <v>Si</v>
      </c>
      <c r="AA99" s="889" t="str">
        <f>IFERROR(INDEX(Tabla9[],MATCH(Otras_Actividades_Base[[#This Row],[Movimiento]],Tabla9[Movimientos],0),3),0)</f>
        <v>(-)</v>
      </c>
      <c r="AB99" s="884">
        <f>IF(Otras_Actividades_Base[[#This Row],[Fecha Económico]]=0,0,MONTH(Otras_Actividades_Base[[#This Row],[Fecha Económico]]))</f>
        <v>1</v>
      </c>
      <c r="AC99" s="890">
        <f>IF(Otras_Actividades_Base[[#This Row],[Fecha Económico]]=0,0,YEAR(Otras_Actividades_Base[[#This Row],[Fecha Económico]]))</f>
        <v>2019</v>
      </c>
      <c r="AD99" s="891">
        <f>SUMPRODUCT((Otras_Actividades_Base[[#This Row],[Mes Económico]]=Tipo_Cambio[Mes])*(Otras_Actividades_Base[[#This Row],[Año Económico]]=Tipo_Cambio[Año])*(Tipo_Cambio[$/U$S]))</f>
        <v>23.353443313221998</v>
      </c>
      <c r="AE99" s="891">
        <f>SUMPRODUCT((Otras_Actividades_Base[[#This Row],[Mes Económico]]=Tipo_Cambio[Mes])*(Otras_Actividades_Base[[#This Row],[Año Económico]]=Tipo_Cambio[Año])*(Tipo_Cambio[Actualización]))</f>
        <v>1.1261624192640001</v>
      </c>
      <c r="AF99" s="890">
        <f>IF(ISNUMBER(Otras_Actividades_Base[[#This Row],[Fecha Financiero]])=TRUE,MONTH(Otras_Actividades_Base[[#This Row],[Fecha Financiero]]),0)</f>
        <v>0</v>
      </c>
      <c r="AG99" s="890">
        <f>IF(ISNUMBER(Otras_Actividades_Base[[#This Row],[Fecha Financiero]])=TRUE,YEAR(Otras_Actividades_Base[[#This Row],[Fecha Financiero]]),0)</f>
        <v>0</v>
      </c>
      <c r="AH99" s="891">
        <f>SUMPRODUCT((Otras_Actividades_Base[[#This Row],[Mes Financiero]]=Tipo_Cambio[Mes])*(Otras_Actividades_Base[[#This Row],[Año Financiero]]=Tipo_Cambio[Año])*(Tipo_Cambio[$/U$S]))</f>
        <v>0</v>
      </c>
      <c r="AI99" s="891">
        <f>SUMPRODUCT((Otras_Actividades_Base[[#This Row],[Mes Financiero]]=Tipo_Cambio[Mes])*(Otras_Actividades_Base[[#This Row],[Año Financiero]]=Tipo_Cambio[Año])*(Tipo_Cambio[Actualización]))</f>
        <v>0</v>
      </c>
      <c r="AJ99" s="916">
        <f>IF(Económico!$F$4=0,0,Otras_Actividades_Base[Centro de Costo])</f>
        <v>0</v>
      </c>
    </row>
    <row r="100" spans="4:36" x14ac:dyDescent="0.25">
      <c r="D100" s="42">
        <v>43497</v>
      </c>
      <c r="E100" s="353"/>
      <c r="F100" s="1009" t="s">
        <v>11</v>
      </c>
      <c r="G100" s="280" t="s">
        <v>112</v>
      </c>
      <c r="H100" s="32"/>
      <c r="I100" s="32" t="s">
        <v>36</v>
      </c>
      <c r="J100" s="32"/>
      <c r="K100" s="29"/>
      <c r="L100" s="77"/>
      <c r="M100" s="41"/>
      <c r="N100" s="40" t="s">
        <v>48</v>
      </c>
      <c r="O100" s="51"/>
      <c r="P100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00" s="913">
        <f>IFERROR(Otras_Actividades_Base[[#This Row],[Económico $Corrientes]]/Otras_Actividades_Base[[#This Row],[Indexación Económico]],0)</f>
        <v>0</v>
      </c>
      <c r="R100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00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00" s="913">
        <f>IFERROR(Otras_Actividades_Base[[#This Row],[Financiero $Corrientes]]/Otras_Actividades_Base[[#This Row],[Indexación Financiero]],0)</f>
        <v>0</v>
      </c>
      <c r="U100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00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00" s="890">
        <f>IFERROR(Otras_Actividades_Base[[#This Row],[Intereses $Corrientes]]/Otras_Actividades_Base[[#This Row],[Indexación Financiero]],0)</f>
        <v>0</v>
      </c>
      <c r="X100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00" s="915" t="str">
        <f>IFERROR(INDEX(Otras_Actividades_Cuentas[],MATCH(Otras_Actividades_Base[[#This Row],[Cuenta Contable]],Otras_Actividades_Cuentas[Cuenta Contable],0),2),0)</f>
        <v>Egreso</v>
      </c>
      <c r="Z100" s="887" t="str">
        <f>IFERROR(INDEX(Tabla9[],MATCH(Otras_Actividades_Base[[#This Row],[Movimiento]],Tabla9[Movimientos],0),2),0)</f>
        <v>Si</v>
      </c>
      <c r="AA100" s="889" t="str">
        <f>IFERROR(INDEX(Tabla9[],MATCH(Otras_Actividades_Base[[#This Row],[Movimiento]],Tabla9[Movimientos],0),3),0)</f>
        <v>(-)</v>
      </c>
      <c r="AB100" s="884">
        <f>IF(Otras_Actividades_Base[[#This Row],[Fecha Económico]]=0,0,MONTH(Otras_Actividades_Base[[#This Row],[Fecha Económico]]))</f>
        <v>2</v>
      </c>
      <c r="AC100" s="890">
        <f>IF(Otras_Actividades_Base[[#This Row],[Fecha Económico]]=0,0,YEAR(Otras_Actividades_Base[[#This Row],[Fecha Económico]]))</f>
        <v>2019</v>
      </c>
      <c r="AD100" s="891">
        <f>SUMPRODUCT((Otras_Actividades_Base[[#This Row],[Mes Económico]]=Tipo_Cambio[Mes])*(Otras_Actividades_Base[[#This Row],[Año Económico]]=Tipo_Cambio[Año])*(Tipo_Cambio[$/U$S]))</f>
        <v>23.586977746354219</v>
      </c>
      <c r="AE100" s="891">
        <f>SUMPRODUCT((Otras_Actividades_Base[[#This Row],[Mes Económico]]=Tipo_Cambio[Mes])*(Otras_Actividades_Base[[#This Row],[Año Económico]]=Tipo_Cambio[Año])*(Tipo_Cambio[Actualización]))</f>
        <v>1.14868566764928</v>
      </c>
      <c r="AF100" s="890">
        <f>IF(ISNUMBER(Otras_Actividades_Base[[#This Row],[Fecha Financiero]])=TRUE,MONTH(Otras_Actividades_Base[[#This Row],[Fecha Financiero]]),0)</f>
        <v>0</v>
      </c>
      <c r="AG100" s="890">
        <f>IF(ISNUMBER(Otras_Actividades_Base[[#This Row],[Fecha Financiero]])=TRUE,YEAR(Otras_Actividades_Base[[#This Row],[Fecha Financiero]]),0)</f>
        <v>0</v>
      </c>
      <c r="AH100" s="891">
        <f>SUMPRODUCT((Otras_Actividades_Base[[#This Row],[Mes Financiero]]=Tipo_Cambio[Mes])*(Otras_Actividades_Base[[#This Row],[Año Financiero]]=Tipo_Cambio[Año])*(Tipo_Cambio[$/U$S]))</f>
        <v>0</v>
      </c>
      <c r="AI100" s="891">
        <f>SUMPRODUCT((Otras_Actividades_Base[[#This Row],[Mes Financiero]]=Tipo_Cambio[Mes])*(Otras_Actividades_Base[[#This Row],[Año Financiero]]=Tipo_Cambio[Año])*(Tipo_Cambio[Actualización]))</f>
        <v>0</v>
      </c>
      <c r="AJ100" s="916">
        <f>IF(Económico!$F$4=0,0,Otras_Actividades_Base[Centro de Costo])</f>
        <v>0</v>
      </c>
    </row>
    <row r="101" spans="4:36" x14ac:dyDescent="0.25">
      <c r="D101" s="42">
        <v>43525</v>
      </c>
      <c r="E101" s="353"/>
      <c r="F101" s="1009" t="s">
        <v>11</v>
      </c>
      <c r="G101" s="280" t="s">
        <v>112</v>
      </c>
      <c r="H101" s="32"/>
      <c r="I101" s="32" t="s">
        <v>36</v>
      </c>
      <c r="J101" s="32"/>
      <c r="K101" s="29"/>
      <c r="L101" s="77"/>
      <c r="M101" s="41"/>
      <c r="N101" s="40" t="s">
        <v>48</v>
      </c>
      <c r="O101" s="51"/>
      <c r="P101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01" s="913">
        <f>IFERROR(Otras_Actividades_Base[[#This Row],[Económico $Corrientes]]/Otras_Actividades_Base[[#This Row],[Indexación Económico]],0)</f>
        <v>0</v>
      </c>
      <c r="R101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01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01" s="913">
        <f>IFERROR(Otras_Actividades_Base[[#This Row],[Financiero $Corrientes]]/Otras_Actividades_Base[[#This Row],[Indexación Financiero]],0)</f>
        <v>0</v>
      </c>
      <c r="U101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01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01" s="890">
        <f>IFERROR(Otras_Actividades_Base[[#This Row],[Intereses $Corrientes]]/Otras_Actividades_Base[[#This Row],[Indexación Financiero]],0)</f>
        <v>0</v>
      </c>
      <c r="X101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01" s="915" t="str">
        <f>IFERROR(INDEX(Otras_Actividades_Cuentas[],MATCH(Otras_Actividades_Base[[#This Row],[Cuenta Contable]],Otras_Actividades_Cuentas[Cuenta Contable],0),2),0)</f>
        <v>Egreso</v>
      </c>
      <c r="Z101" s="887" t="str">
        <f>IFERROR(INDEX(Tabla9[],MATCH(Otras_Actividades_Base[[#This Row],[Movimiento]],Tabla9[Movimientos],0),2),0)</f>
        <v>Si</v>
      </c>
      <c r="AA101" s="889" t="str">
        <f>IFERROR(INDEX(Tabla9[],MATCH(Otras_Actividades_Base[[#This Row],[Movimiento]],Tabla9[Movimientos],0),3),0)</f>
        <v>(-)</v>
      </c>
      <c r="AB101" s="884">
        <f>IF(Otras_Actividades_Base[[#This Row],[Fecha Económico]]=0,0,MONTH(Otras_Actividades_Base[[#This Row],[Fecha Económico]]))</f>
        <v>3</v>
      </c>
      <c r="AC101" s="890">
        <f>IF(Otras_Actividades_Base[[#This Row],[Fecha Económico]]=0,0,YEAR(Otras_Actividades_Base[[#This Row],[Fecha Económico]]))</f>
        <v>2019</v>
      </c>
      <c r="AD101" s="891">
        <f>SUMPRODUCT((Otras_Actividades_Base[[#This Row],[Mes Económico]]=Tipo_Cambio[Mes])*(Otras_Actividades_Base[[#This Row],[Año Económico]]=Tipo_Cambio[Año])*(Tipo_Cambio[$/U$S]))</f>
        <v>23.82284752381776</v>
      </c>
      <c r="AE101" s="891">
        <f>SUMPRODUCT((Otras_Actividades_Base[[#This Row],[Mes Económico]]=Tipo_Cambio[Mes])*(Otras_Actividades_Base[[#This Row],[Año Económico]]=Tipo_Cambio[Año])*(Tipo_Cambio[Actualización]))</f>
        <v>1.1716593810022657</v>
      </c>
      <c r="AF101" s="890">
        <f>IF(ISNUMBER(Otras_Actividades_Base[[#This Row],[Fecha Financiero]])=TRUE,MONTH(Otras_Actividades_Base[[#This Row],[Fecha Financiero]]),0)</f>
        <v>0</v>
      </c>
      <c r="AG101" s="890">
        <f>IF(ISNUMBER(Otras_Actividades_Base[[#This Row],[Fecha Financiero]])=TRUE,YEAR(Otras_Actividades_Base[[#This Row],[Fecha Financiero]]),0)</f>
        <v>0</v>
      </c>
      <c r="AH101" s="891">
        <f>SUMPRODUCT((Otras_Actividades_Base[[#This Row],[Mes Financiero]]=Tipo_Cambio[Mes])*(Otras_Actividades_Base[[#This Row],[Año Financiero]]=Tipo_Cambio[Año])*(Tipo_Cambio[$/U$S]))</f>
        <v>0</v>
      </c>
      <c r="AI101" s="891">
        <f>SUMPRODUCT((Otras_Actividades_Base[[#This Row],[Mes Financiero]]=Tipo_Cambio[Mes])*(Otras_Actividades_Base[[#This Row],[Año Financiero]]=Tipo_Cambio[Año])*(Tipo_Cambio[Actualización]))</f>
        <v>0</v>
      </c>
      <c r="AJ101" s="916">
        <f>IF(Económico!$F$4=0,0,Otras_Actividades_Base[Centro de Costo])</f>
        <v>0</v>
      </c>
    </row>
    <row r="102" spans="4:36" x14ac:dyDescent="0.25">
      <c r="D102" s="42">
        <v>43556</v>
      </c>
      <c r="E102" s="353"/>
      <c r="F102" s="1009" t="s">
        <v>11</v>
      </c>
      <c r="G102" s="280" t="s">
        <v>112</v>
      </c>
      <c r="H102" s="32"/>
      <c r="I102" s="32" t="s">
        <v>36</v>
      </c>
      <c r="J102" s="32"/>
      <c r="K102" s="29"/>
      <c r="L102" s="77"/>
      <c r="M102" s="41"/>
      <c r="N102" s="40" t="s">
        <v>48</v>
      </c>
      <c r="O102" s="51"/>
      <c r="P102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02" s="913">
        <f>IFERROR(Otras_Actividades_Base[[#This Row],[Económico $Corrientes]]/Otras_Actividades_Base[[#This Row],[Indexación Económico]],0)</f>
        <v>0</v>
      </c>
      <c r="R102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02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02" s="913">
        <f>IFERROR(Otras_Actividades_Base[[#This Row],[Financiero $Corrientes]]/Otras_Actividades_Base[[#This Row],[Indexación Financiero]],0)</f>
        <v>0</v>
      </c>
      <c r="U102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02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02" s="890">
        <f>IFERROR(Otras_Actividades_Base[[#This Row],[Intereses $Corrientes]]/Otras_Actividades_Base[[#This Row],[Indexación Financiero]],0)</f>
        <v>0</v>
      </c>
      <c r="X102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02" s="915" t="str">
        <f>IFERROR(INDEX(Otras_Actividades_Cuentas[],MATCH(Otras_Actividades_Base[[#This Row],[Cuenta Contable]],Otras_Actividades_Cuentas[Cuenta Contable],0),2),0)</f>
        <v>Egreso</v>
      </c>
      <c r="Z102" s="887" t="str">
        <f>IFERROR(INDEX(Tabla9[],MATCH(Otras_Actividades_Base[[#This Row],[Movimiento]],Tabla9[Movimientos],0),2),0)</f>
        <v>Si</v>
      </c>
      <c r="AA102" s="889" t="str">
        <f>IFERROR(INDEX(Tabla9[],MATCH(Otras_Actividades_Base[[#This Row],[Movimiento]],Tabla9[Movimientos],0),3),0)</f>
        <v>(-)</v>
      </c>
      <c r="AB102" s="884">
        <f>IF(Otras_Actividades_Base[[#This Row],[Fecha Económico]]=0,0,MONTH(Otras_Actividades_Base[[#This Row],[Fecha Económico]]))</f>
        <v>4</v>
      </c>
      <c r="AC102" s="890">
        <f>IF(Otras_Actividades_Base[[#This Row],[Fecha Económico]]=0,0,YEAR(Otras_Actividades_Base[[#This Row],[Fecha Económico]]))</f>
        <v>2019</v>
      </c>
      <c r="AD102" s="891">
        <f>SUMPRODUCT((Otras_Actividades_Base[[#This Row],[Mes Económico]]=Tipo_Cambio[Mes])*(Otras_Actividades_Base[[#This Row],[Año Económico]]=Tipo_Cambio[Año])*(Tipo_Cambio[$/U$S]))</f>
        <v>24.061075999055937</v>
      </c>
      <c r="AE102" s="891">
        <f>SUMPRODUCT((Otras_Actividades_Base[[#This Row],[Mes Económico]]=Tipo_Cambio[Mes])*(Otras_Actividades_Base[[#This Row],[Año Económico]]=Tipo_Cambio[Año])*(Tipo_Cambio[Actualización]))</f>
        <v>1.1950925686223111</v>
      </c>
      <c r="AF102" s="890">
        <f>IF(ISNUMBER(Otras_Actividades_Base[[#This Row],[Fecha Financiero]])=TRUE,MONTH(Otras_Actividades_Base[[#This Row],[Fecha Financiero]]),0)</f>
        <v>0</v>
      </c>
      <c r="AG102" s="890">
        <f>IF(ISNUMBER(Otras_Actividades_Base[[#This Row],[Fecha Financiero]])=TRUE,YEAR(Otras_Actividades_Base[[#This Row],[Fecha Financiero]]),0)</f>
        <v>0</v>
      </c>
      <c r="AH102" s="891">
        <f>SUMPRODUCT((Otras_Actividades_Base[[#This Row],[Mes Financiero]]=Tipo_Cambio[Mes])*(Otras_Actividades_Base[[#This Row],[Año Financiero]]=Tipo_Cambio[Año])*(Tipo_Cambio[$/U$S]))</f>
        <v>0</v>
      </c>
      <c r="AI102" s="891">
        <f>SUMPRODUCT((Otras_Actividades_Base[[#This Row],[Mes Financiero]]=Tipo_Cambio[Mes])*(Otras_Actividades_Base[[#This Row],[Año Financiero]]=Tipo_Cambio[Año])*(Tipo_Cambio[Actualización]))</f>
        <v>0</v>
      </c>
      <c r="AJ102" s="916">
        <f>IF(Económico!$F$4=0,0,Otras_Actividades_Base[Centro de Costo])</f>
        <v>0</v>
      </c>
    </row>
    <row r="103" spans="4:36" x14ac:dyDescent="0.25">
      <c r="D103" s="42">
        <v>43586</v>
      </c>
      <c r="E103" s="353"/>
      <c r="F103" s="1009" t="s">
        <v>11</v>
      </c>
      <c r="G103" s="280" t="s">
        <v>112</v>
      </c>
      <c r="H103" s="32"/>
      <c r="I103" s="32" t="s">
        <v>36</v>
      </c>
      <c r="J103" s="32"/>
      <c r="K103" s="29"/>
      <c r="L103" s="77"/>
      <c r="M103" s="41"/>
      <c r="N103" s="40" t="s">
        <v>48</v>
      </c>
      <c r="O103" s="51"/>
      <c r="P103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03" s="913">
        <f>IFERROR(Otras_Actividades_Base[[#This Row],[Económico $Corrientes]]/Otras_Actividades_Base[[#This Row],[Indexación Económico]],0)</f>
        <v>0</v>
      </c>
      <c r="R103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03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03" s="913">
        <f>IFERROR(Otras_Actividades_Base[[#This Row],[Financiero $Corrientes]]/Otras_Actividades_Base[[#This Row],[Indexación Financiero]],0)</f>
        <v>0</v>
      </c>
      <c r="U103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03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03" s="890">
        <f>IFERROR(Otras_Actividades_Base[[#This Row],[Intereses $Corrientes]]/Otras_Actividades_Base[[#This Row],[Indexación Financiero]],0)</f>
        <v>0</v>
      </c>
      <c r="X103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03" s="915" t="str">
        <f>IFERROR(INDEX(Otras_Actividades_Cuentas[],MATCH(Otras_Actividades_Base[[#This Row],[Cuenta Contable]],Otras_Actividades_Cuentas[Cuenta Contable],0),2),0)</f>
        <v>Egreso</v>
      </c>
      <c r="Z103" s="887" t="str">
        <f>IFERROR(INDEX(Tabla9[],MATCH(Otras_Actividades_Base[[#This Row],[Movimiento]],Tabla9[Movimientos],0),2),0)</f>
        <v>Si</v>
      </c>
      <c r="AA103" s="889" t="str">
        <f>IFERROR(INDEX(Tabla9[],MATCH(Otras_Actividades_Base[[#This Row],[Movimiento]],Tabla9[Movimientos],0),3),0)</f>
        <v>(-)</v>
      </c>
      <c r="AB103" s="884">
        <f>IF(Otras_Actividades_Base[[#This Row],[Fecha Económico]]=0,0,MONTH(Otras_Actividades_Base[[#This Row],[Fecha Económico]]))</f>
        <v>5</v>
      </c>
      <c r="AC103" s="890">
        <f>IF(Otras_Actividades_Base[[#This Row],[Fecha Económico]]=0,0,YEAR(Otras_Actividades_Base[[#This Row],[Fecha Económico]]))</f>
        <v>2019</v>
      </c>
      <c r="AD103" s="891">
        <f>SUMPRODUCT((Otras_Actividades_Base[[#This Row],[Mes Económico]]=Tipo_Cambio[Mes])*(Otras_Actividades_Base[[#This Row],[Año Económico]]=Tipo_Cambio[Año])*(Tipo_Cambio[$/U$S]))</f>
        <v>24.301686759046497</v>
      </c>
      <c r="AE103" s="891">
        <f>SUMPRODUCT((Otras_Actividades_Base[[#This Row],[Mes Económico]]=Tipo_Cambio[Mes])*(Otras_Actividades_Base[[#This Row],[Año Económico]]=Tipo_Cambio[Año])*(Tipo_Cambio[Actualización]))</f>
        <v>1.2189944199947573</v>
      </c>
      <c r="AF103" s="890">
        <f>IF(ISNUMBER(Otras_Actividades_Base[[#This Row],[Fecha Financiero]])=TRUE,MONTH(Otras_Actividades_Base[[#This Row],[Fecha Financiero]]),0)</f>
        <v>0</v>
      </c>
      <c r="AG103" s="890">
        <f>IF(ISNUMBER(Otras_Actividades_Base[[#This Row],[Fecha Financiero]])=TRUE,YEAR(Otras_Actividades_Base[[#This Row],[Fecha Financiero]]),0)</f>
        <v>0</v>
      </c>
      <c r="AH103" s="891">
        <f>SUMPRODUCT((Otras_Actividades_Base[[#This Row],[Mes Financiero]]=Tipo_Cambio[Mes])*(Otras_Actividades_Base[[#This Row],[Año Financiero]]=Tipo_Cambio[Año])*(Tipo_Cambio[$/U$S]))</f>
        <v>0</v>
      </c>
      <c r="AI103" s="891">
        <f>SUMPRODUCT((Otras_Actividades_Base[[#This Row],[Mes Financiero]]=Tipo_Cambio[Mes])*(Otras_Actividades_Base[[#This Row],[Año Financiero]]=Tipo_Cambio[Año])*(Tipo_Cambio[Actualización]))</f>
        <v>0</v>
      </c>
      <c r="AJ103" s="916">
        <f>IF(Económico!$F$4=0,0,Otras_Actividades_Base[Centro de Costo])</f>
        <v>0</v>
      </c>
    </row>
    <row r="104" spans="4:36" x14ac:dyDescent="0.25">
      <c r="D104" s="42">
        <v>43617</v>
      </c>
      <c r="E104" s="353"/>
      <c r="F104" s="1009" t="s">
        <v>11</v>
      </c>
      <c r="G104" s="280" t="s">
        <v>112</v>
      </c>
      <c r="H104" s="32"/>
      <c r="I104" s="32" t="s">
        <v>36</v>
      </c>
      <c r="J104" s="32"/>
      <c r="K104" s="29"/>
      <c r="L104" s="77"/>
      <c r="M104" s="41"/>
      <c r="N104" s="40" t="s">
        <v>48</v>
      </c>
      <c r="O104" s="51"/>
      <c r="P104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04" s="913">
        <f>IFERROR(Otras_Actividades_Base[[#This Row],[Económico $Corrientes]]/Otras_Actividades_Base[[#This Row],[Indexación Económico]],0)</f>
        <v>0</v>
      </c>
      <c r="R104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04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04" s="913">
        <f>IFERROR(Otras_Actividades_Base[[#This Row],[Financiero $Corrientes]]/Otras_Actividades_Base[[#This Row],[Indexación Financiero]],0)</f>
        <v>0</v>
      </c>
      <c r="U104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04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04" s="890">
        <f>IFERROR(Otras_Actividades_Base[[#This Row],[Intereses $Corrientes]]/Otras_Actividades_Base[[#This Row],[Indexación Financiero]],0)</f>
        <v>0</v>
      </c>
      <c r="X104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04" s="915" t="str">
        <f>IFERROR(INDEX(Otras_Actividades_Cuentas[],MATCH(Otras_Actividades_Base[[#This Row],[Cuenta Contable]],Otras_Actividades_Cuentas[Cuenta Contable],0),2),0)</f>
        <v>Egreso</v>
      </c>
      <c r="Z104" s="887" t="str">
        <f>IFERROR(INDEX(Tabla9[],MATCH(Otras_Actividades_Base[[#This Row],[Movimiento]],Tabla9[Movimientos],0),2),0)</f>
        <v>Si</v>
      </c>
      <c r="AA104" s="889" t="str">
        <f>IFERROR(INDEX(Tabla9[],MATCH(Otras_Actividades_Base[[#This Row],[Movimiento]],Tabla9[Movimientos],0),3),0)</f>
        <v>(-)</v>
      </c>
      <c r="AB104" s="884">
        <f>IF(Otras_Actividades_Base[[#This Row],[Fecha Económico]]=0,0,MONTH(Otras_Actividades_Base[[#This Row],[Fecha Económico]]))</f>
        <v>6</v>
      </c>
      <c r="AC104" s="890">
        <f>IF(Otras_Actividades_Base[[#This Row],[Fecha Económico]]=0,0,YEAR(Otras_Actividades_Base[[#This Row],[Fecha Económico]]))</f>
        <v>2019</v>
      </c>
      <c r="AD104" s="891">
        <f>SUMPRODUCT((Otras_Actividades_Base[[#This Row],[Mes Económico]]=Tipo_Cambio[Mes])*(Otras_Actividades_Base[[#This Row],[Año Económico]]=Tipo_Cambio[Año])*(Tipo_Cambio[$/U$S]))</f>
        <v>24.544703626636963</v>
      </c>
      <c r="AE104" s="891">
        <f>SUMPRODUCT((Otras_Actividades_Base[[#This Row],[Mes Económico]]=Tipo_Cambio[Mes])*(Otras_Actividades_Base[[#This Row],[Año Económico]]=Tipo_Cambio[Año])*(Tipo_Cambio[Actualización]))</f>
        <v>1.2433743083946525</v>
      </c>
      <c r="AF104" s="890">
        <f>IF(ISNUMBER(Otras_Actividades_Base[[#This Row],[Fecha Financiero]])=TRUE,MONTH(Otras_Actividades_Base[[#This Row],[Fecha Financiero]]),0)</f>
        <v>0</v>
      </c>
      <c r="AG104" s="890">
        <f>IF(ISNUMBER(Otras_Actividades_Base[[#This Row],[Fecha Financiero]])=TRUE,YEAR(Otras_Actividades_Base[[#This Row],[Fecha Financiero]]),0)</f>
        <v>0</v>
      </c>
      <c r="AH104" s="891">
        <f>SUMPRODUCT((Otras_Actividades_Base[[#This Row],[Mes Financiero]]=Tipo_Cambio[Mes])*(Otras_Actividades_Base[[#This Row],[Año Financiero]]=Tipo_Cambio[Año])*(Tipo_Cambio[$/U$S]))</f>
        <v>0</v>
      </c>
      <c r="AI104" s="891">
        <f>SUMPRODUCT((Otras_Actividades_Base[[#This Row],[Mes Financiero]]=Tipo_Cambio[Mes])*(Otras_Actividades_Base[[#This Row],[Año Financiero]]=Tipo_Cambio[Año])*(Tipo_Cambio[Actualización]))</f>
        <v>0</v>
      </c>
      <c r="AJ104" s="916">
        <f>IF(Económico!$F$4=0,0,Otras_Actividades_Base[Centro de Costo])</f>
        <v>0</v>
      </c>
    </row>
    <row r="105" spans="4:36" x14ac:dyDescent="0.25">
      <c r="D105" s="428">
        <v>43282</v>
      </c>
      <c r="E105" s="434"/>
      <c r="F105" s="1077" t="s">
        <v>11</v>
      </c>
      <c r="G105" s="435" t="s">
        <v>116</v>
      </c>
      <c r="H105" s="429"/>
      <c r="I105" s="429" t="s">
        <v>36</v>
      </c>
      <c r="J105" s="429"/>
      <c r="K105" s="430"/>
      <c r="L105" s="431"/>
      <c r="M105" s="429"/>
      <c r="N105" s="433" t="s">
        <v>48</v>
      </c>
      <c r="O105" s="432"/>
      <c r="P105" s="1046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05" s="1044">
        <f>IFERROR(Otras_Actividades_Base[[#This Row],[Económico $Corrientes]]/Otras_Actividades_Base[[#This Row],[Indexación Económico]],0)</f>
        <v>0</v>
      </c>
      <c r="R105" s="1045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05" s="1046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05" s="1044">
        <f>IFERROR(Otras_Actividades_Base[[#This Row],[Financiero $Corrientes]]/Otras_Actividades_Base[[#This Row],[Indexación Financiero]],0)</f>
        <v>0</v>
      </c>
      <c r="U105" s="1052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05" s="1047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05" s="1048">
        <f>IFERROR(Otras_Actividades_Base[[#This Row],[Intereses $Corrientes]]/Otras_Actividades_Base[[#This Row],[Indexación Financiero]],0)</f>
        <v>0</v>
      </c>
      <c r="X105" s="1048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05" s="1053" t="str">
        <f>IFERROR(INDEX(Otras_Actividades_Cuentas[],MATCH(Otras_Actividades_Base[[#This Row],[Cuenta Contable]],Otras_Actividades_Cuentas[Cuenta Contable],0),2),0)</f>
        <v>Egreso</v>
      </c>
      <c r="Z105" s="1050" t="str">
        <f>IFERROR(INDEX(Tabla9[],MATCH(Otras_Actividades_Base[[#This Row],[Movimiento]],Tabla9[Movimientos],0),2),0)</f>
        <v>Si</v>
      </c>
      <c r="AA105" s="1051" t="str">
        <f>IFERROR(INDEX(Tabla9[],MATCH(Otras_Actividades_Base[[#This Row],[Movimiento]],Tabla9[Movimientos],0),3),0)</f>
        <v>(-)</v>
      </c>
      <c r="AB105" s="1047">
        <f>IF(Otras_Actividades_Base[[#This Row],[Fecha Económico]]=0,0,MONTH(Otras_Actividades_Base[[#This Row],[Fecha Económico]]))</f>
        <v>7</v>
      </c>
      <c r="AC105" s="1048">
        <f>IF(Otras_Actividades_Base[[#This Row],[Fecha Económico]]=0,0,YEAR(Otras_Actividades_Base[[#This Row],[Fecha Económico]]))</f>
        <v>2018</v>
      </c>
      <c r="AD105" s="1051">
        <f>SUMPRODUCT((Otras_Actividades_Base[[#This Row],[Mes Económico]]=Tipo_Cambio[Mes])*(Otras_Actividades_Base[[#This Row],[Año Económico]]=Tipo_Cambio[Año])*(Tipo_Cambio[$/U$S]))</f>
        <v>22</v>
      </c>
      <c r="AE105" s="1051">
        <f>SUMPRODUCT((Otras_Actividades_Base[[#This Row],[Mes Económico]]=Tipo_Cambio[Mes])*(Otras_Actividades_Base[[#This Row],[Año Económico]]=Tipo_Cambio[Año])*(Tipo_Cambio[Actualización]))</f>
        <v>1</v>
      </c>
      <c r="AF105" s="1048">
        <f>IF(ISNUMBER(Otras_Actividades_Base[[#This Row],[Fecha Financiero]])=TRUE,MONTH(Otras_Actividades_Base[[#This Row],[Fecha Financiero]]),0)</f>
        <v>0</v>
      </c>
      <c r="AG105" s="1048">
        <f>IF(ISNUMBER(Otras_Actividades_Base[[#This Row],[Fecha Financiero]])=TRUE,YEAR(Otras_Actividades_Base[[#This Row],[Fecha Financiero]]),0)</f>
        <v>0</v>
      </c>
      <c r="AH105" s="1051">
        <f>SUMPRODUCT((Otras_Actividades_Base[[#This Row],[Mes Financiero]]=Tipo_Cambio[Mes])*(Otras_Actividades_Base[[#This Row],[Año Financiero]]=Tipo_Cambio[Año])*(Tipo_Cambio[$/U$S]))</f>
        <v>0</v>
      </c>
      <c r="AI105" s="1051">
        <f>SUMPRODUCT((Otras_Actividades_Base[[#This Row],[Mes Financiero]]=Tipo_Cambio[Mes])*(Otras_Actividades_Base[[#This Row],[Año Financiero]]=Tipo_Cambio[Año])*(Tipo_Cambio[Actualización]))</f>
        <v>0</v>
      </c>
      <c r="AJ105" s="1054">
        <f>IF(Económico!$F$4=0,0,Otras_Actividades_Base[Centro de Costo])</f>
        <v>0</v>
      </c>
    </row>
    <row r="106" spans="4:36" x14ac:dyDescent="0.25">
      <c r="D106" s="42">
        <v>43313</v>
      </c>
      <c r="E106" s="353"/>
      <c r="F106" s="1009" t="s">
        <v>11</v>
      </c>
      <c r="G106" s="280" t="s">
        <v>116</v>
      </c>
      <c r="H106" s="32"/>
      <c r="I106" s="32" t="s">
        <v>36</v>
      </c>
      <c r="J106" s="32"/>
      <c r="K106" s="29"/>
      <c r="L106" s="77"/>
      <c r="M106" s="41"/>
      <c r="N106" s="40" t="s">
        <v>48</v>
      </c>
      <c r="O106" s="51"/>
      <c r="P106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06" s="913">
        <f>IFERROR(Otras_Actividades_Base[[#This Row],[Económico $Corrientes]]/Otras_Actividades_Base[[#This Row],[Indexación Económico]],0)</f>
        <v>0</v>
      </c>
      <c r="R106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06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06" s="913">
        <f>IFERROR(Otras_Actividades_Base[[#This Row],[Financiero $Corrientes]]/Otras_Actividades_Base[[#This Row],[Indexación Financiero]],0)</f>
        <v>0</v>
      </c>
      <c r="U106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06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06" s="890">
        <f>IFERROR(Otras_Actividades_Base[[#This Row],[Intereses $Corrientes]]/Otras_Actividades_Base[[#This Row],[Indexación Financiero]],0)</f>
        <v>0</v>
      </c>
      <c r="X106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06" s="915" t="str">
        <f>IFERROR(INDEX(Otras_Actividades_Cuentas[],MATCH(Otras_Actividades_Base[[#This Row],[Cuenta Contable]],Otras_Actividades_Cuentas[Cuenta Contable],0),2),0)</f>
        <v>Egreso</v>
      </c>
      <c r="Z106" s="887" t="str">
        <f>IFERROR(INDEX(Tabla9[],MATCH(Otras_Actividades_Base[[#This Row],[Movimiento]],Tabla9[Movimientos],0),2),0)</f>
        <v>Si</v>
      </c>
      <c r="AA106" s="889" t="str">
        <f>IFERROR(INDEX(Tabla9[],MATCH(Otras_Actividades_Base[[#This Row],[Movimiento]],Tabla9[Movimientos],0),3),0)</f>
        <v>(-)</v>
      </c>
      <c r="AB106" s="884">
        <f>IF(Otras_Actividades_Base[[#This Row],[Fecha Económico]]=0,0,MONTH(Otras_Actividades_Base[[#This Row],[Fecha Económico]]))</f>
        <v>8</v>
      </c>
      <c r="AC106" s="890">
        <f>IF(Otras_Actividades_Base[[#This Row],[Fecha Económico]]=0,0,YEAR(Otras_Actividades_Base[[#This Row],[Fecha Económico]]))</f>
        <v>2018</v>
      </c>
      <c r="AD106" s="891">
        <f>SUMPRODUCT((Otras_Actividades_Base[[#This Row],[Mes Económico]]=Tipo_Cambio[Mes])*(Otras_Actividades_Base[[#This Row],[Año Económico]]=Tipo_Cambio[Año])*(Tipo_Cambio[$/U$S]))</f>
        <v>22.22</v>
      </c>
      <c r="AE106" s="891">
        <f>SUMPRODUCT((Otras_Actividades_Base[[#This Row],[Mes Económico]]=Tipo_Cambio[Mes])*(Otras_Actividades_Base[[#This Row],[Año Económico]]=Tipo_Cambio[Año])*(Tipo_Cambio[Actualización]))</f>
        <v>1.02</v>
      </c>
      <c r="AF106" s="890">
        <f>IF(ISNUMBER(Otras_Actividades_Base[[#This Row],[Fecha Financiero]])=TRUE,MONTH(Otras_Actividades_Base[[#This Row],[Fecha Financiero]]),0)</f>
        <v>0</v>
      </c>
      <c r="AG106" s="890">
        <f>IF(ISNUMBER(Otras_Actividades_Base[[#This Row],[Fecha Financiero]])=TRUE,YEAR(Otras_Actividades_Base[[#This Row],[Fecha Financiero]]),0)</f>
        <v>0</v>
      </c>
      <c r="AH106" s="891">
        <f>SUMPRODUCT((Otras_Actividades_Base[[#This Row],[Mes Financiero]]=Tipo_Cambio[Mes])*(Otras_Actividades_Base[[#This Row],[Año Financiero]]=Tipo_Cambio[Año])*(Tipo_Cambio[$/U$S]))</f>
        <v>0</v>
      </c>
      <c r="AI106" s="891">
        <f>SUMPRODUCT((Otras_Actividades_Base[[#This Row],[Mes Financiero]]=Tipo_Cambio[Mes])*(Otras_Actividades_Base[[#This Row],[Año Financiero]]=Tipo_Cambio[Año])*(Tipo_Cambio[Actualización]))</f>
        <v>0</v>
      </c>
      <c r="AJ106" s="916">
        <f>IF(Económico!$F$4=0,0,Otras_Actividades_Base[Centro de Costo])</f>
        <v>0</v>
      </c>
    </row>
    <row r="107" spans="4:36" x14ac:dyDescent="0.25">
      <c r="D107" s="42">
        <v>43344</v>
      </c>
      <c r="E107" s="353"/>
      <c r="F107" s="1009" t="s">
        <v>11</v>
      </c>
      <c r="G107" s="280" t="s">
        <v>116</v>
      </c>
      <c r="H107" s="32"/>
      <c r="I107" s="32" t="s">
        <v>36</v>
      </c>
      <c r="J107" s="32"/>
      <c r="K107" s="29"/>
      <c r="L107" s="77"/>
      <c r="M107" s="41"/>
      <c r="N107" s="40" t="s">
        <v>48</v>
      </c>
      <c r="O107" s="51"/>
      <c r="P107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07" s="913">
        <f>IFERROR(Otras_Actividades_Base[[#This Row],[Económico $Corrientes]]/Otras_Actividades_Base[[#This Row],[Indexación Económico]],0)</f>
        <v>0</v>
      </c>
      <c r="R107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07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07" s="913">
        <f>IFERROR(Otras_Actividades_Base[[#This Row],[Financiero $Corrientes]]/Otras_Actividades_Base[[#This Row],[Indexación Financiero]],0)</f>
        <v>0</v>
      </c>
      <c r="U107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07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07" s="890">
        <f>IFERROR(Otras_Actividades_Base[[#This Row],[Intereses $Corrientes]]/Otras_Actividades_Base[[#This Row],[Indexación Financiero]],0)</f>
        <v>0</v>
      </c>
      <c r="X107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07" s="915" t="str">
        <f>IFERROR(INDEX(Otras_Actividades_Cuentas[],MATCH(Otras_Actividades_Base[[#This Row],[Cuenta Contable]],Otras_Actividades_Cuentas[Cuenta Contable],0),2),0)</f>
        <v>Egreso</v>
      </c>
      <c r="Z107" s="887" t="str">
        <f>IFERROR(INDEX(Tabla9[],MATCH(Otras_Actividades_Base[[#This Row],[Movimiento]],Tabla9[Movimientos],0),2),0)</f>
        <v>Si</v>
      </c>
      <c r="AA107" s="889" t="str">
        <f>IFERROR(INDEX(Tabla9[],MATCH(Otras_Actividades_Base[[#This Row],[Movimiento]],Tabla9[Movimientos],0),3),0)</f>
        <v>(-)</v>
      </c>
      <c r="AB107" s="884">
        <f>IF(Otras_Actividades_Base[[#This Row],[Fecha Económico]]=0,0,MONTH(Otras_Actividades_Base[[#This Row],[Fecha Económico]]))</f>
        <v>9</v>
      </c>
      <c r="AC107" s="890">
        <f>IF(Otras_Actividades_Base[[#This Row],[Fecha Económico]]=0,0,YEAR(Otras_Actividades_Base[[#This Row],[Fecha Económico]]))</f>
        <v>2018</v>
      </c>
      <c r="AD107" s="891">
        <f>SUMPRODUCT((Otras_Actividades_Base[[#This Row],[Mes Económico]]=Tipo_Cambio[Mes])*(Otras_Actividades_Base[[#This Row],[Año Económico]]=Tipo_Cambio[Año])*(Tipo_Cambio[$/U$S]))</f>
        <v>22.4422</v>
      </c>
      <c r="AE107" s="891">
        <f>SUMPRODUCT((Otras_Actividades_Base[[#This Row],[Mes Económico]]=Tipo_Cambio[Mes])*(Otras_Actividades_Base[[#This Row],[Año Económico]]=Tipo_Cambio[Año])*(Tipo_Cambio[Actualización]))</f>
        <v>1.0404</v>
      </c>
      <c r="AF107" s="890">
        <f>IF(ISNUMBER(Otras_Actividades_Base[[#This Row],[Fecha Financiero]])=TRUE,MONTH(Otras_Actividades_Base[[#This Row],[Fecha Financiero]]),0)</f>
        <v>0</v>
      </c>
      <c r="AG107" s="890">
        <f>IF(ISNUMBER(Otras_Actividades_Base[[#This Row],[Fecha Financiero]])=TRUE,YEAR(Otras_Actividades_Base[[#This Row],[Fecha Financiero]]),0)</f>
        <v>0</v>
      </c>
      <c r="AH107" s="891">
        <f>SUMPRODUCT((Otras_Actividades_Base[[#This Row],[Mes Financiero]]=Tipo_Cambio[Mes])*(Otras_Actividades_Base[[#This Row],[Año Financiero]]=Tipo_Cambio[Año])*(Tipo_Cambio[$/U$S]))</f>
        <v>0</v>
      </c>
      <c r="AI107" s="891">
        <f>SUMPRODUCT((Otras_Actividades_Base[[#This Row],[Mes Financiero]]=Tipo_Cambio[Mes])*(Otras_Actividades_Base[[#This Row],[Año Financiero]]=Tipo_Cambio[Año])*(Tipo_Cambio[Actualización]))</f>
        <v>0</v>
      </c>
      <c r="AJ107" s="916">
        <f>IF(Económico!$F$4=0,0,Otras_Actividades_Base[Centro de Costo])</f>
        <v>0</v>
      </c>
    </row>
    <row r="108" spans="4:36" x14ac:dyDescent="0.25">
      <c r="D108" s="42">
        <v>43374</v>
      </c>
      <c r="E108" s="353"/>
      <c r="F108" s="1009" t="s">
        <v>11</v>
      </c>
      <c r="G108" s="280" t="s">
        <v>116</v>
      </c>
      <c r="H108" s="32"/>
      <c r="I108" s="32" t="s">
        <v>36</v>
      </c>
      <c r="J108" s="32"/>
      <c r="K108" s="29"/>
      <c r="L108" s="77"/>
      <c r="M108" s="41"/>
      <c r="N108" s="40" t="s">
        <v>48</v>
      </c>
      <c r="O108" s="51"/>
      <c r="P108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08" s="913">
        <f>IFERROR(Otras_Actividades_Base[[#This Row],[Económico $Corrientes]]/Otras_Actividades_Base[[#This Row],[Indexación Económico]],0)</f>
        <v>0</v>
      </c>
      <c r="R108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08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08" s="913">
        <f>IFERROR(Otras_Actividades_Base[[#This Row],[Financiero $Corrientes]]/Otras_Actividades_Base[[#This Row],[Indexación Financiero]],0)</f>
        <v>0</v>
      </c>
      <c r="U108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08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08" s="890">
        <f>IFERROR(Otras_Actividades_Base[[#This Row],[Intereses $Corrientes]]/Otras_Actividades_Base[[#This Row],[Indexación Financiero]],0)</f>
        <v>0</v>
      </c>
      <c r="X108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08" s="915" t="str">
        <f>IFERROR(INDEX(Otras_Actividades_Cuentas[],MATCH(Otras_Actividades_Base[[#This Row],[Cuenta Contable]],Otras_Actividades_Cuentas[Cuenta Contable],0),2),0)</f>
        <v>Egreso</v>
      </c>
      <c r="Z108" s="887" t="str">
        <f>IFERROR(INDEX(Tabla9[],MATCH(Otras_Actividades_Base[[#This Row],[Movimiento]],Tabla9[Movimientos],0),2),0)</f>
        <v>Si</v>
      </c>
      <c r="AA108" s="889" t="str">
        <f>IFERROR(INDEX(Tabla9[],MATCH(Otras_Actividades_Base[[#This Row],[Movimiento]],Tabla9[Movimientos],0),3),0)</f>
        <v>(-)</v>
      </c>
      <c r="AB108" s="884">
        <f>IF(Otras_Actividades_Base[[#This Row],[Fecha Económico]]=0,0,MONTH(Otras_Actividades_Base[[#This Row],[Fecha Económico]]))</f>
        <v>10</v>
      </c>
      <c r="AC108" s="890">
        <f>IF(Otras_Actividades_Base[[#This Row],[Fecha Económico]]=0,0,YEAR(Otras_Actividades_Base[[#This Row],[Fecha Económico]]))</f>
        <v>2018</v>
      </c>
      <c r="AD108" s="891">
        <f>SUMPRODUCT((Otras_Actividades_Base[[#This Row],[Mes Económico]]=Tipo_Cambio[Mes])*(Otras_Actividades_Base[[#This Row],[Año Económico]]=Tipo_Cambio[Año])*(Tipo_Cambio[$/U$S]))</f>
        <v>22.666622</v>
      </c>
      <c r="AE108" s="891">
        <f>SUMPRODUCT((Otras_Actividades_Base[[#This Row],[Mes Económico]]=Tipo_Cambio[Mes])*(Otras_Actividades_Base[[#This Row],[Año Económico]]=Tipo_Cambio[Año])*(Tipo_Cambio[Actualización]))</f>
        <v>1.0612079999999999</v>
      </c>
      <c r="AF108" s="890">
        <f>IF(ISNUMBER(Otras_Actividades_Base[[#This Row],[Fecha Financiero]])=TRUE,MONTH(Otras_Actividades_Base[[#This Row],[Fecha Financiero]]),0)</f>
        <v>0</v>
      </c>
      <c r="AG108" s="890">
        <f>IF(ISNUMBER(Otras_Actividades_Base[[#This Row],[Fecha Financiero]])=TRUE,YEAR(Otras_Actividades_Base[[#This Row],[Fecha Financiero]]),0)</f>
        <v>0</v>
      </c>
      <c r="AH108" s="891">
        <f>SUMPRODUCT((Otras_Actividades_Base[[#This Row],[Mes Financiero]]=Tipo_Cambio[Mes])*(Otras_Actividades_Base[[#This Row],[Año Financiero]]=Tipo_Cambio[Año])*(Tipo_Cambio[$/U$S]))</f>
        <v>0</v>
      </c>
      <c r="AI108" s="891">
        <f>SUMPRODUCT((Otras_Actividades_Base[[#This Row],[Mes Financiero]]=Tipo_Cambio[Mes])*(Otras_Actividades_Base[[#This Row],[Año Financiero]]=Tipo_Cambio[Año])*(Tipo_Cambio[Actualización]))</f>
        <v>0</v>
      </c>
      <c r="AJ108" s="916">
        <f>IF(Económico!$F$4=0,0,Otras_Actividades_Base[Centro de Costo])</f>
        <v>0</v>
      </c>
    </row>
    <row r="109" spans="4:36" x14ac:dyDescent="0.25">
      <c r="D109" s="42">
        <v>43405</v>
      </c>
      <c r="E109" s="353"/>
      <c r="F109" s="1009" t="s">
        <v>11</v>
      </c>
      <c r="G109" s="280" t="s">
        <v>116</v>
      </c>
      <c r="H109" s="32"/>
      <c r="I109" s="32" t="s">
        <v>36</v>
      </c>
      <c r="J109" s="32"/>
      <c r="K109" s="29"/>
      <c r="L109" s="77"/>
      <c r="M109" s="41"/>
      <c r="N109" s="40" t="s">
        <v>48</v>
      </c>
      <c r="O109" s="51"/>
      <c r="P109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09" s="913">
        <f>IFERROR(Otras_Actividades_Base[[#This Row],[Económico $Corrientes]]/Otras_Actividades_Base[[#This Row],[Indexación Económico]],0)</f>
        <v>0</v>
      </c>
      <c r="R109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09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09" s="913">
        <f>IFERROR(Otras_Actividades_Base[[#This Row],[Financiero $Corrientes]]/Otras_Actividades_Base[[#This Row],[Indexación Financiero]],0)</f>
        <v>0</v>
      </c>
      <c r="U109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09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09" s="890">
        <f>IFERROR(Otras_Actividades_Base[[#This Row],[Intereses $Corrientes]]/Otras_Actividades_Base[[#This Row],[Indexación Financiero]],0)</f>
        <v>0</v>
      </c>
      <c r="X109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09" s="915" t="str">
        <f>IFERROR(INDEX(Otras_Actividades_Cuentas[],MATCH(Otras_Actividades_Base[[#This Row],[Cuenta Contable]],Otras_Actividades_Cuentas[Cuenta Contable],0),2),0)</f>
        <v>Egreso</v>
      </c>
      <c r="Z109" s="887" t="str">
        <f>IFERROR(INDEX(Tabla9[],MATCH(Otras_Actividades_Base[[#This Row],[Movimiento]],Tabla9[Movimientos],0),2),0)</f>
        <v>Si</v>
      </c>
      <c r="AA109" s="889" t="str">
        <f>IFERROR(INDEX(Tabla9[],MATCH(Otras_Actividades_Base[[#This Row],[Movimiento]],Tabla9[Movimientos],0),3),0)</f>
        <v>(-)</v>
      </c>
      <c r="AB109" s="884">
        <f>IF(Otras_Actividades_Base[[#This Row],[Fecha Económico]]=0,0,MONTH(Otras_Actividades_Base[[#This Row],[Fecha Económico]]))</f>
        <v>11</v>
      </c>
      <c r="AC109" s="890">
        <f>IF(Otras_Actividades_Base[[#This Row],[Fecha Económico]]=0,0,YEAR(Otras_Actividades_Base[[#This Row],[Fecha Económico]]))</f>
        <v>2018</v>
      </c>
      <c r="AD109" s="891">
        <f>SUMPRODUCT((Otras_Actividades_Base[[#This Row],[Mes Económico]]=Tipo_Cambio[Mes])*(Otras_Actividades_Base[[#This Row],[Año Económico]]=Tipo_Cambio[Año])*(Tipo_Cambio[$/U$S]))</f>
        <v>22.893288219999999</v>
      </c>
      <c r="AE109" s="891">
        <f>SUMPRODUCT((Otras_Actividades_Base[[#This Row],[Mes Económico]]=Tipo_Cambio[Mes])*(Otras_Actividades_Base[[#This Row],[Año Económico]]=Tipo_Cambio[Año])*(Tipo_Cambio[Actualización]))</f>
        <v>1.08243216</v>
      </c>
      <c r="AF109" s="890">
        <f>IF(ISNUMBER(Otras_Actividades_Base[[#This Row],[Fecha Financiero]])=TRUE,MONTH(Otras_Actividades_Base[[#This Row],[Fecha Financiero]]),0)</f>
        <v>0</v>
      </c>
      <c r="AG109" s="890">
        <f>IF(ISNUMBER(Otras_Actividades_Base[[#This Row],[Fecha Financiero]])=TRUE,YEAR(Otras_Actividades_Base[[#This Row],[Fecha Financiero]]),0)</f>
        <v>0</v>
      </c>
      <c r="AH109" s="891">
        <f>SUMPRODUCT((Otras_Actividades_Base[[#This Row],[Mes Financiero]]=Tipo_Cambio[Mes])*(Otras_Actividades_Base[[#This Row],[Año Financiero]]=Tipo_Cambio[Año])*(Tipo_Cambio[$/U$S]))</f>
        <v>0</v>
      </c>
      <c r="AI109" s="891">
        <f>SUMPRODUCT((Otras_Actividades_Base[[#This Row],[Mes Financiero]]=Tipo_Cambio[Mes])*(Otras_Actividades_Base[[#This Row],[Año Financiero]]=Tipo_Cambio[Año])*(Tipo_Cambio[Actualización]))</f>
        <v>0</v>
      </c>
      <c r="AJ109" s="916">
        <f>IF(Económico!$F$4=0,0,Otras_Actividades_Base[Centro de Costo])</f>
        <v>0</v>
      </c>
    </row>
    <row r="110" spans="4:36" x14ac:dyDescent="0.25">
      <c r="D110" s="42">
        <v>43435</v>
      </c>
      <c r="E110" s="353"/>
      <c r="F110" s="1009" t="s">
        <v>11</v>
      </c>
      <c r="G110" s="280" t="s">
        <v>116</v>
      </c>
      <c r="H110" s="32"/>
      <c r="I110" s="32" t="s">
        <v>36</v>
      </c>
      <c r="J110" s="32"/>
      <c r="K110" s="29"/>
      <c r="L110" s="77"/>
      <c r="M110" s="41"/>
      <c r="N110" s="40" t="s">
        <v>48</v>
      </c>
      <c r="O110" s="51"/>
      <c r="P110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10" s="913">
        <f>IFERROR(Otras_Actividades_Base[[#This Row],[Económico $Corrientes]]/Otras_Actividades_Base[[#This Row],[Indexación Económico]],0)</f>
        <v>0</v>
      </c>
      <c r="R110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10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10" s="913">
        <f>IFERROR(Otras_Actividades_Base[[#This Row],[Financiero $Corrientes]]/Otras_Actividades_Base[[#This Row],[Indexación Financiero]],0)</f>
        <v>0</v>
      </c>
      <c r="U110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10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10" s="890">
        <f>IFERROR(Otras_Actividades_Base[[#This Row],[Intereses $Corrientes]]/Otras_Actividades_Base[[#This Row],[Indexación Financiero]],0)</f>
        <v>0</v>
      </c>
      <c r="X110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10" s="915" t="str">
        <f>IFERROR(INDEX(Otras_Actividades_Cuentas[],MATCH(Otras_Actividades_Base[[#This Row],[Cuenta Contable]],Otras_Actividades_Cuentas[Cuenta Contable],0),2),0)</f>
        <v>Egreso</v>
      </c>
      <c r="Z110" s="887" t="str">
        <f>IFERROR(INDEX(Tabla9[],MATCH(Otras_Actividades_Base[[#This Row],[Movimiento]],Tabla9[Movimientos],0),2),0)</f>
        <v>Si</v>
      </c>
      <c r="AA110" s="889" t="str">
        <f>IFERROR(INDEX(Tabla9[],MATCH(Otras_Actividades_Base[[#This Row],[Movimiento]],Tabla9[Movimientos],0),3),0)</f>
        <v>(-)</v>
      </c>
      <c r="AB110" s="884">
        <f>IF(Otras_Actividades_Base[[#This Row],[Fecha Económico]]=0,0,MONTH(Otras_Actividades_Base[[#This Row],[Fecha Económico]]))</f>
        <v>12</v>
      </c>
      <c r="AC110" s="890">
        <f>IF(Otras_Actividades_Base[[#This Row],[Fecha Económico]]=0,0,YEAR(Otras_Actividades_Base[[#This Row],[Fecha Económico]]))</f>
        <v>2018</v>
      </c>
      <c r="AD110" s="891">
        <f>SUMPRODUCT((Otras_Actividades_Base[[#This Row],[Mes Económico]]=Tipo_Cambio[Mes])*(Otras_Actividades_Base[[#This Row],[Año Económico]]=Tipo_Cambio[Año])*(Tipo_Cambio[$/U$S]))</f>
        <v>23.122221102199997</v>
      </c>
      <c r="AE110" s="891">
        <f>SUMPRODUCT((Otras_Actividades_Base[[#This Row],[Mes Económico]]=Tipo_Cambio[Mes])*(Otras_Actividades_Base[[#This Row],[Año Económico]]=Tipo_Cambio[Año])*(Tipo_Cambio[Actualización]))</f>
        <v>1.1040808032</v>
      </c>
      <c r="AF110" s="890">
        <f>IF(ISNUMBER(Otras_Actividades_Base[[#This Row],[Fecha Financiero]])=TRUE,MONTH(Otras_Actividades_Base[[#This Row],[Fecha Financiero]]),0)</f>
        <v>0</v>
      </c>
      <c r="AG110" s="890">
        <f>IF(ISNUMBER(Otras_Actividades_Base[[#This Row],[Fecha Financiero]])=TRUE,YEAR(Otras_Actividades_Base[[#This Row],[Fecha Financiero]]),0)</f>
        <v>0</v>
      </c>
      <c r="AH110" s="891">
        <f>SUMPRODUCT((Otras_Actividades_Base[[#This Row],[Mes Financiero]]=Tipo_Cambio[Mes])*(Otras_Actividades_Base[[#This Row],[Año Financiero]]=Tipo_Cambio[Año])*(Tipo_Cambio[$/U$S]))</f>
        <v>0</v>
      </c>
      <c r="AI110" s="891">
        <f>SUMPRODUCT((Otras_Actividades_Base[[#This Row],[Mes Financiero]]=Tipo_Cambio[Mes])*(Otras_Actividades_Base[[#This Row],[Año Financiero]]=Tipo_Cambio[Año])*(Tipo_Cambio[Actualización]))</f>
        <v>0</v>
      </c>
      <c r="AJ110" s="916">
        <f>IF(Económico!$F$4=0,0,Otras_Actividades_Base[Centro de Costo])</f>
        <v>0</v>
      </c>
    </row>
    <row r="111" spans="4:36" x14ac:dyDescent="0.25">
      <c r="D111" s="42">
        <v>43466</v>
      </c>
      <c r="E111" s="353"/>
      <c r="F111" s="1009" t="s">
        <v>11</v>
      </c>
      <c r="G111" s="280" t="s">
        <v>116</v>
      </c>
      <c r="H111" s="32"/>
      <c r="I111" s="32" t="s">
        <v>36</v>
      </c>
      <c r="J111" s="32"/>
      <c r="K111" s="29"/>
      <c r="L111" s="77"/>
      <c r="M111" s="41"/>
      <c r="N111" s="40" t="s">
        <v>48</v>
      </c>
      <c r="O111" s="51"/>
      <c r="P111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11" s="913">
        <f>IFERROR(Otras_Actividades_Base[[#This Row],[Económico $Corrientes]]/Otras_Actividades_Base[[#This Row],[Indexación Económico]],0)</f>
        <v>0</v>
      </c>
      <c r="R111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11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11" s="913">
        <f>IFERROR(Otras_Actividades_Base[[#This Row],[Financiero $Corrientes]]/Otras_Actividades_Base[[#This Row],[Indexación Financiero]],0)</f>
        <v>0</v>
      </c>
      <c r="U111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11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11" s="890">
        <f>IFERROR(Otras_Actividades_Base[[#This Row],[Intereses $Corrientes]]/Otras_Actividades_Base[[#This Row],[Indexación Financiero]],0)</f>
        <v>0</v>
      </c>
      <c r="X111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11" s="915" t="str">
        <f>IFERROR(INDEX(Otras_Actividades_Cuentas[],MATCH(Otras_Actividades_Base[[#This Row],[Cuenta Contable]],Otras_Actividades_Cuentas[Cuenta Contable],0),2),0)</f>
        <v>Egreso</v>
      </c>
      <c r="Z111" s="887" t="str">
        <f>IFERROR(INDEX(Tabla9[],MATCH(Otras_Actividades_Base[[#This Row],[Movimiento]],Tabla9[Movimientos],0),2),0)</f>
        <v>Si</v>
      </c>
      <c r="AA111" s="889" t="str">
        <f>IFERROR(INDEX(Tabla9[],MATCH(Otras_Actividades_Base[[#This Row],[Movimiento]],Tabla9[Movimientos],0),3),0)</f>
        <v>(-)</v>
      </c>
      <c r="AB111" s="884">
        <f>IF(Otras_Actividades_Base[[#This Row],[Fecha Económico]]=0,0,MONTH(Otras_Actividades_Base[[#This Row],[Fecha Económico]]))</f>
        <v>1</v>
      </c>
      <c r="AC111" s="890">
        <f>IF(Otras_Actividades_Base[[#This Row],[Fecha Económico]]=0,0,YEAR(Otras_Actividades_Base[[#This Row],[Fecha Económico]]))</f>
        <v>2019</v>
      </c>
      <c r="AD111" s="891">
        <f>SUMPRODUCT((Otras_Actividades_Base[[#This Row],[Mes Económico]]=Tipo_Cambio[Mes])*(Otras_Actividades_Base[[#This Row],[Año Económico]]=Tipo_Cambio[Año])*(Tipo_Cambio[$/U$S]))</f>
        <v>23.353443313221998</v>
      </c>
      <c r="AE111" s="891">
        <f>SUMPRODUCT((Otras_Actividades_Base[[#This Row],[Mes Económico]]=Tipo_Cambio[Mes])*(Otras_Actividades_Base[[#This Row],[Año Económico]]=Tipo_Cambio[Año])*(Tipo_Cambio[Actualización]))</f>
        <v>1.1261624192640001</v>
      </c>
      <c r="AF111" s="890">
        <f>IF(ISNUMBER(Otras_Actividades_Base[[#This Row],[Fecha Financiero]])=TRUE,MONTH(Otras_Actividades_Base[[#This Row],[Fecha Financiero]]),0)</f>
        <v>0</v>
      </c>
      <c r="AG111" s="890">
        <f>IF(ISNUMBER(Otras_Actividades_Base[[#This Row],[Fecha Financiero]])=TRUE,YEAR(Otras_Actividades_Base[[#This Row],[Fecha Financiero]]),0)</f>
        <v>0</v>
      </c>
      <c r="AH111" s="891">
        <f>SUMPRODUCT((Otras_Actividades_Base[[#This Row],[Mes Financiero]]=Tipo_Cambio[Mes])*(Otras_Actividades_Base[[#This Row],[Año Financiero]]=Tipo_Cambio[Año])*(Tipo_Cambio[$/U$S]))</f>
        <v>0</v>
      </c>
      <c r="AI111" s="891">
        <f>SUMPRODUCT((Otras_Actividades_Base[[#This Row],[Mes Financiero]]=Tipo_Cambio[Mes])*(Otras_Actividades_Base[[#This Row],[Año Financiero]]=Tipo_Cambio[Año])*(Tipo_Cambio[Actualización]))</f>
        <v>0</v>
      </c>
      <c r="AJ111" s="916">
        <f>IF(Económico!$F$4=0,0,Otras_Actividades_Base[Centro de Costo])</f>
        <v>0</v>
      </c>
    </row>
    <row r="112" spans="4:36" x14ac:dyDescent="0.25">
      <c r="D112" s="42">
        <v>43497</v>
      </c>
      <c r="E112" s="353"/>
      <c r="F112" s="1009" t="s">
        <v>11</v>
      </c>
      <c r="G112" s="280" t="s">
        <v>116</v>
      </c>
      <c r="H112" s="32"/>
      <c r="I112" s="32" t="s">
        <v>36</v>
      </c>
      <c r="J112" s="32"/>
      <c r="K112" s="29"/>
      <c r="L112" s="77"/>
      <c r="M112" s="41"/>
      <c r="N112" s="40" t="s">
        <v>48</v>
      </c>
      <c r="O112" s="51"/>
      <c r="P112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12" s="913">
        <f>IFERROR(Otras_Actividades_Base[[#This Row],[Económico $Corrientes]]/Otras_Actividades_Base[[#This Row],[Indexación Económico]],0)</f>
        <v>0</v>
      </c>
      <c r="R112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12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12" s="913">
        <f>IFERROR(Otras_Actividades_Base[[#This Row],[Financiero $Corrientes]]/Otras_Actividades_Base[[#This Row],[Indexación Financiero]],0)</f>
        <v>0</v>
      </c>
      <c r="U112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12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12" s="890">
        <f>IFERROR(Otras_Actividades_Base[[#This Row],[Intereses $Corrientes]]/Otras_Actividades_Base[[#This Row],[Indexación Financiero]],0)</f>
        <v>0</v>
      </c>
      <c r="X112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12" s="915" t="str">
        <f>IFERROR(INDEX(Otras_Actividades_Cuentas[],MATCH(Otras_Actividades_Base[[#This Row],[Cuenta Contable]],Otras_Actividades_Cuentas[Cuenta Contable],0),2),0)</f>
        <v>Egreso</v>
      </c>
      <c r="Z112" s="887" t="str">
        <f>IFERROR(INDEX(Tabla9[],MATCH(Otras_Actividades_Base[[#This Row],[Movimiento]],Tabla9[Movimientos],0),2),0)</f>
        <v>Si</v>
      </c>
      <c r="AA112" s="889" t="str">
        <f>IFERROR(INDEX(Tabla9[],MATCH(Otras_Actividades_Base[[#This Row],[Movimiento]],Tabla9[Movimientos],0),3),0)</f>
        <v>(-)</v>
      </c>
      <c r="AB112" s="884">
        <f>IF(Otras_Actividades_Base[[#This Row],[Fecha Económico]]=0,0,MONTH(Otras_Actividades_Base[[#This Row],[Fecha Económico]]))</f>
        <v>2</v>
      </c>
      <c r="AC112" s="890">
        <f>IF(Otras_Actividades_Base[[#This Row],[Fecha Económico]]=0,0,YEAR(Otras_Actividades_Base[[#This Row],[Fecha Económico]]))</f>
        <v>2019</v>
      </c>
      <c r="AD112" s="891">
        <f>SUMPRODUCT((Otras_Actividades_Base[[#This Row],[Mes Económico]]=Tipo_Cambio[Mes])*(Otras_Actividades_Base[[#This Row],[Año Económico]]=Tipo_Cambio[Año])*(Tipo_Cambio[$/U$S]))</f>
        <v>23.586977746354219</v>
      </c>
      <c r="AE112" s="891">
        <f>SUMPRODUCT((Otras_Actividades_Base[[#This Row],[Mes Económico]]=Tipo_Cambio[Mes])*(Otras_Actividades_Base[[#This Row],[Año Económico]]=Tipo_Cambio[Año])*(Tipo_Cambio[Actualización]))</f>
        <v>1.14868566764928</v>
      </c>
      <c r="AF112" s="890">
        <f>IF(ISNUMBER(Otras_Actividades_Base[[#This Row],[Fecha Financiero]])=TRUE,MONTH(Otras_Actividades_Base[[#This Row],[Fecha Financiero]]),0)</f>
        <v>0</v>
      </c>
      <c r="AG112" s="890">
        <f>IF(ISNUMBER(Otras_Actividades_Base[[#This Row],[Fecha Financiero]])=TRUE,YEAR(Otras_Actividades_Base[[#This Row],[Fecha Financiero]]),0)</f>
        <v>0</v>
      </c>
      <c r="AH112" s="891">
        <f>SUMPRODUCT((Otras_Actividades_Base[[#This Row],[Mes Financiero]]=Tipo_Cambio[Mes])*(Otras_Actividades_Base[[#This Row],[Año Financiero]]=Tipo_Cambio[Año])*(Tipo_Cambio[$/U$S]))</f>
        <v>0</v>
      </c>
      <c r="AI112" s="891">
        <f>SUMPRODUCT((Otras_Actividades_Base[[#This Row],[Mes Financiero]]=Tipo_Cambio[Mes])*(Otras_Actividades_Base[[#This Row],[Año Financiero]]=Tipo_Cambio[Año])*(Tipo_Cambio[Actualización]))</f>
        <v>0</v>
      </c>
      <c r="AJ112" s="916">
        <f>IF(Económico!$F$4=0,0,Otras_Actividades_Base[Centro de Costo])</f>
        <v>0</v>
      </c>
    </row>
    <row r="113" spans="2:36" x14ac:dyDescent="0.25">
      <c r="D113" s="42">
        <v>43525</v>
      </c>
      <c r="E113" s="353"/>
      <c r="F113" s="1009" t="s">
        <v>11</v>
      </c>
      <c r="G113" s="280" t="s">
        <v>116</v>
      </c>
      <c r="H113" s="32"/>
      <c r="I113" s="32" t="s">
        <v>36</v>
      </c>
      <c r="J113" s="32"/>
      <c r="K113" s="29"/>
      <c r="L113" s="77"/>
      <c r="M113" s="41"/>
      <c r="N113" s="40" t="s">
        <v>48</v>
      </c>
      <c r="O113" s="51"/>
      <c r="P113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13" s="913">
        <f>IFERROR(Otras_Actividades_Base[[#This Row],[Económico $Corrientes]]/Otras_Actividades_Base[[#This Row],[Indexación Económico]],0)</f>
        <v>0</v>
      </c>
      <c r="R113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13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13" s="913">
        <f>IFERROR(Otras_Actividades_Base[[#This Row],[Financiero $Corrientes]]/Otras_Actividades_Base[[#This Row],[Indexación Financiero]],0)</f>
        <v>0</v>
      </c>
      <c r="U113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13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13" s="890">
        <f>IFERROR(Otras_Actividades_Base[[#This Row],[Intereses $Corrientes]]/Otras_Actividades_Base[[#This Row],[Indexación Financiero]],0)</f>
        <v>0</v>
      </c>
      <c r="X113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13" s="915" t="str">
        <f>IFERROR(INDEX(Otras_Actividades_Cuentas[],MATCH(Otras_Actividades_Base[[#This Row],[Cuenta Contable]],Otras_Actividades_Cuentas[Cuenta Contable],0),2),0)</f>
        <v>Egreso</v>
      </c>
      <c r="Z113" s="887" t="str">
        <f>IFERROR(INDEX(Tabla9[],MATCH(Otras_Actividades_Base[[#This Row],[Movimiento]],Tabla9[Movimientos],0),2),0)</f>
        <v>Si</v>
      </c>
      <c r="AA113" s="889" t="str">
        <f>IFERROR(INDEX(Tabla9[],MATCH(Otras_Actividades_Base[[#This Row],[Movimiento]],Tabla9[Movimientos],0),3),0)</f>
        <v>(-)</v>
      </c>
      <c r="AB113" s="884">
        <f>IF(Otras_Actividades_Base[[#This Row],[Fecha Económico]]=0,0,MONTH(Otras_Actividades_Base[[#This Row],[Fecha Económico]]))</f>
        <v>3</v>
      </c>
      <c r="AC113" s="890">
        <f>IF(Otras_Actividades_Base[[#This Row],[Fecha Económico]]=0,0,YEAR(Otras_Actividades_Base[[#This Row],[Fecha Económico]]))</f>
        <v>2019</v>
      </c>
      <c r="AD113" s="891">
        <f>SUMPRODUCT((Otras_Actividades_Base[[#This Row],[Mes Económico]]=Tipo_Cambio[Mes])*(Otras_Actividades_Base[[#This Row],[Año Económico]]=Tipo_Cambio[Año])*(Tipo_Cambio[$/U$S]))</f>
        <v>23.82284752381776</v>
      </c>
      <c r="AE113" s="891">
        <f>SUMPRODUCT((Otras_Actividades_Base[[#This Row],[Mes Económico]]=Tipo_Cambio[Mes])*(Otras_Actividades_Base[[#This Row],[Año Económico]]=Tipo_Cambio[Año])*(Tipo_Cambio[Actualización]))</f>
        <v>1.1716593810022657</v>
      </c>
      <c r="AF113" s="890">
        <f>IF(ISNUMBER(Otras_Actividades_Base[[#This Row],[Fecha Financiero]])=TRUE,MONTH(Otras_Actividades_Base[[#This Row],[Fecha Financiero]]),0)</f>
        <v>0</v>
      </c>
      <c r="AG113" s="890">
        <f>IF(ISNUMBER(Otras_Actividades_Base[[#This Row],[Fecha Financiero]])=TRUE,YEAR(Otras_Actividades_Base[[#This Row],[Fecha Financiero]]),0)</f>
        <v>0</v>
      </c>
      <c r="AH113" s="891">
        <f>SUMPRODUCT((Otras_Actividades_Base[[#This Row],[Mes Financiero]]=Tipo_Cambio[Mes])*(Otras_Actividades_Base[[#This Row],[Año Financiero]]=Tipo_Cambio[Año])*(Tipo_Cambio[$/U$S]))</f>
        <v>0</v>
      </c>
      <c r="AI113" s="891">
        <f>SUMPRODUCT((Otras_Actividades_Base[[#This Row],[Mes Financiero]]=Tipo_Cambio[Mes])*(Otras_Actividades_Base[[#This Row],[Año Financiero]]=Tipo_Cambio[Año])*(Tipo_Cambio[Actualización]))</f>
        <v>0</v>
      </c>
      <c r="AJ113" s="916">
        <f>IF(Económico!$F$4=0,0,Otras_Actividades_Base[Centro de Costo])</f>
        <v>0</v>
      </c>
    </row>
    <row r="114" spans="2:36" x14ac:dyDescent="0.25">
      <c r="D114" s="42">
        <v>43556</v>
      </c>
      <c r="E114" s="353"/>
      <c r="F114" s="1009" t="s">
        <v>11</v>
      </c>
      <c r="G114" s="280" t="s">
        <v>116</v>
      </c>
      <c r="H114" s="32"/>
      <c r="I114" s="32" t="s">
        <v>36</v>
      </c>
      <c r="J114" s="32"/>
      <c r="K114" s="29"/>
      <c r="L114" s="77"/>
      <c r="M114" s="41"/>
      <c r="N114" s="40" t="s">
        <v>48</v>
      </c>
      <c r="O114" s="51"/>
      <c r="P114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14" s="913">
        <f>IFERROR(Otras_Actividades_Base[[#This Row],[Económico $Corrientes]]/Otras_Actividades_Base[[#This Row],[Indexación Económico]],0)</f>
        <v>0</v>
      </c>
      <c r="R114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14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14" s="913">
        <f>IFERROR(Otras_Actividades_Base[[#This Row],[Financiero $Corrientes]]/Otras_Actividades_Base[[#This Row],[Indexación Financiero]],0)</f>
        <v>0</v>
      </c>
      <c r="U114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14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14" s="890">
        <f>IFERROR(Otras_Actividades_Base[[#This Row],[Intereses $Corrientes]]/Otras_Actividades_Base[[#This Row],[Indexación Financiero]],0)</f>
        <v>0</v>
      </c>
      <c r="X114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14" s="915" t="str">
        <f>IFERROR(INDEX(Otras_Actividades_Cuentas[],MATCH(Otras_Actividades_Base[[#This Row],[Cuenta Contable]],Otras_Actividades_Cuentas[Cuenta Contable],0),2),0)</f>
        <v>Egreso</v>
      </c>
      <c r="Z114" s="887" t="str">
        <f>IFERROR(INDEX(Tabla9[],MATCH(Otras_Actividades_Base[[#This Row],[Movimiento]],Tabla9[Movimientos],0),2),0)</f>
        <v>Si</v>
      </c>
      <c r="AA114" s="889" t="str">
        <f>IFERROR(INDEX(Tabla9[],MATCH(Otras_Actividades_Base[[#This Row],[Movimiento]],Tabla9[Movimientos],0),3),0)</f>
        <v>(-)</v>
      </c>
      <c r="AB114" s="884">
        <f>IF(Otras_Actividades_Base[[#This Row],[Fecha Económico]]=0,0,MONTH(Otras_Actividades_Base[[#This Row],[Fecha Económico]]))</f>
        <v>4</v>
      </c>
      <c r="AC114" s="890">
        <f>IF(Otras_Actividades_Base[[#This Row],[Fecha Económico]]=0,0,YEAR(Otras_Actividades_Base[[#This Row],[Fecha Económico]]))</f>
        <v>2019</v>
      </c>
      <c r="AD114" s="891">
        <f>SUMPRODUCT((Otras_Actividades_Base[[#This Row],[Mes Económico]]=Tipo_Cambio[Mes])*(Otras_Actividades_Base[[#This Row],[Año Económico]]=Tipo_Cambio[Año])*(Tipo_Cambio[$/U$S]))</f>
        <v>24.061075999055937</v>
      </c>
      <c r="AE114" s="891">
        <f>SUMPRODUCT((Otras_Actividades_Base[[#This Row],[Mes Económico]]=Tipo_Cambio[Mes])*(Otras_Actividades_Base[[#This Row],[Año Económico]]=Tipo_Cambio[Año])*(Tipo_Cambio[Actualización]))</f>
        <v>1.1950925686223111</v>
      </c>
      <c r="AF114" s="890">
        <f>IF(ISNUMBER(Otras_Actividades_Base[[#This Row],[Fecha Financiero]])=TRUE,MONTH(Otras_Actividades_Base[[#This Row],[Fecha Financiero]]),0)</f>
        <v>0</v>
      </c>
      <c r="AG114" s="890">
        <f>IF(ISNUMBER(Otras_Actividades_Base[[#This Row],[Fecha Financiero]])=TRUE,YEAR(Otras_Actividades_Base[[#This Row],[Fecha Financiero]]),0)</f>
        <v>0</v>
      </c>
      <c r="AH114" s="891">
        <f>SUMPRODUCT((Otras_Actividades_Base[[#This Row],[Mes Financiero]]=Tipo_Cambio[Mes])*(Otras_Actividades_Base[[#This Row],[Año Financiero]]=Tipo_Cambio[Año])*(Tipo_Cambio[$/U$S]))</f>
        <v>0</v>
      </c>
      <c r="AI114" s="891">
        <f>SUMPRODUCT((Otras_Actividades_Base[[#This Row],[Mes Financiero]]=Tipo_Cambio[Mes])*(Otras_Actividades_Base[[#This Row],[Año Financiero]]=Tipo_Cambio[Año])*(Tipo_Cambio[Actualización]))</f>
        <v>0</v>
      </c>
      <c r="AJ114" s="916">
        <f>IF(Económico!$F$4=0,0,Otras_Actividades_Base[Centro de Costo])</f>
        <v>0</v>
      </c>
    </row>
    <row r="115" spans="2:36" x14ac:dyDescent="0.25">
      <c r="D115" s="42">
        <v>43586</v>
      </c>
      <c r="E115" s="353"/>
      <c r="F115" s="1009" t="s">
        <v>11</v>
      </c>
      <c r="G115" s="280" t="s">
        <v>116</v>
      </c>
      <c r="H115" s="32"/>
      <c r="I115" s="32" t="s">
        <v>36</v>
      </c>
      <c r="J115" s="32"/>
      <c r="K115" s="29"/>
      <c r="L115" s="77"/>
      <c r="M115" s="41"/>
      <c r="N115" s="40" t="s">
        <v>48</v>
      </c>
      <c r="O115" s="51"/>
      <c r="P115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15" s="913">
        <f>IFERROR(Otras_Actividades_Base[[#This Row],[Económico $Corrientes]]/Otras_Actividades_Base[[#This Row],[Indexación Económico]],0)</f>
        <v>0</v>
      </c>
      <c r="R115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15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15" s="913">
        <f>IFERROR(Otras_Actividades_Base[[#This Row],[Financiero $Corrientes]]/Otras_Actividades_Base[[#This Row],[Indexación Financiero]],0)</f>
        <v>0</v>
      </c>
      <c r="U115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15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15" s="890">
        <f>IFERROR(Otras_Actividades_Base[[#This Row],[Intereses $Corrientes]]/Otras_Actividades_Base[[#This Row],[Indexación Financiero]],0)</f>
        <v>0</v>
      </c>
      <c r="X115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15" s="915" t="str">
        <f>IFERROR(INDEX(Otras_Actividades_Cuentas[],MATCH(Otras_Actividades_Base[[#This Row],[Cuenta Contable]],Otras_Actividades_Cuentas[Cuenta Contable],0),2),0)</f>
        <v>Egreso</v>
      </c>
      <c r="Z115" s="887" t="str">
        <f>IFERROR(INDEX(Tabla9[],MATCH(Otras_Actividades_Base[[#This Row],[Movimiento]],Tabla9[Movimientos],0),2),0)</f>
        <v>Si</v>
      </c>
      <c r="AA115" s="889" t="str">
        <f>IFERROR(INDEX(Tabla9[],MATCH(Otras_Actividades_Base[[#This Row],[Movimiento]],Tabla9[Movimientos],0),3),0)</f>
        <v>(-)</v>
      </c>
      <c r="AB115" s="884">
        <f>IF(Otras_Actividades_Base[[#This Row],[Fecha Económico]]=0,0,MONTH(Otras_Actividades_Base[[#This Row],[Fecha Económico]]))</f>
        <v>5</v>
      </c>
      <c r="AC115" s="890">
        <f>IF(Otras_Actividades_Base[[#This Row],[Fecha Económico]]=0,0,YEAR(Otras_Actividades_Base[[#This Row],[Fecha Económico]]))</f>
        <v>2019</v>
      </c>
      <c r="AD115" s="891">
        <f>SUMPRODUCT((Otras_Actividades_Base[[#This Row],[Mes Económico]]=Tipo_Cambio[Mes])*(Otras_Actividades_Base[[#This Row],[Año Económico]]=Tipo_Cambio[Año])*(Tipo_Cambio[$/U$S]))</f>
        <v>24.301686759046497</v>
      </c>
      <c r="AE115" s="891">
        <f>SUMPRODUCT((Otras_Actividades_Base[[#This Row],[Mes Económico]]=Tipo_Cambio[Mes])*(Otras_Actividades_Base[[#This Row],[Año Económico]]=Tipo_Cambio[Año])*(Tipo_Cambio[Actualización]))</f>
        <v>1.2189944199947573</v>
      </c>
      <c r="AF115" s="890">
        <f>IF(ISNUMBER(Otras_Actividades_Base[[#This Row],[Fecha Financiero]])=TRUE,MONTH(Otras_Actividades_Base[[#This Row],[Fecha Financiero]]),0)</f>
        <v>0</v>
      </c>
      <c r="AG115" s="890">
        <f>IF(ISNUMBER(Otras_Actividades_Base[[#This Row],[Fecha Financiero]])=TRUE,YEAR(Otras_Actividades_Base[[#This Row],[Fecha Financiero]]),0)</f>
        <v>0</v>
      </c>
      <c r="AH115" s="891">
        <f>SUMPRODUCT((Otras_Actividades_Base[[#This Row],[Mes Financiero]]=Tipo_Cambio[Mes])*(Otras_Actividades_Base[[#This Row],[Año Financiero]]=Tipo_Cambio[Año])*(Tipo_Cambio[$/U$S]))</f>
        <v>0</v>
      </c>
      <c r="AI115" s="891">
        <f>SUMPRODUCT((Otras_Actividades_Base[[#This Row],[Mes Financiero]]=Tipo_Cambio[Mes])*(Otras_Actividades_Base[[#This Row],[Año Financiero]]=Tipo_Cambio[Año])*(Tipo_Cambio[Actualización]))</f>
        <v>0</v>
      </c>
      <c r="AJ115" s="916">
        <f>IF(Económico!$F$4=0,0,Otras_Actividades_Base[Centro de Costo])</f>
        <v>0</v>
      </c>
    </row>
    <row r="116" spans="2:36" x14ac:dyDescent="0.25">
      <c r="D116" s="365">
        <v>43617</v>
      </c>
      <c r="E116" s="426"/>
      <c r="F116" s="1040" t="s">
        <v>11</v>
      </c>
      <c r="G116" s="369" t="s">
        <v>116</v>
      </c>
      <c r="H116" s="219"/>
      <c r="I116" s="219" t="s">
        <v>36</v>
      </c>
      <c r="J116" s="219"/>
      <c r="K116" s="367"/>
      <c r="L116" s="368"/>
      <c r="M116" s="219"/>
      <c r="N116" s="359" t="s">
        <v>48</v>
      </c>
      <c r="O116" s="366"/>
      <c r="P116" s="895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16" s="893">
        <f>IFERROR(Otras_Actividades_Base[[#This Row],[Económico $Corrientes]]/Otras_Actividades_Base[[#This Row],[Indexación Económico]],0)</f>
        <v>0</v>
      </c>
      <c r="R116" s="894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16" s="895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16" s="893">
        <f>IFERROR(Otras_Actividades_Base[[#This Row],[Financiero $Corrientes]]/Otras_Actividades_Base[[#This Row],[Indexación Financiero]],0)</f>
        <v>0</v>
      </c>
      <c r="U116" s="921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16" s="896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16" s="897">
        <f>IFERROR(Otras_Actividades_Base[[#This Row],[Intereses $Corrientes]]/Otras_Actividades_Base[[#This Row],[Indexación Financiero]],0)</f>
        <v>0</v>
      </c>
      <c r="X116" s="897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16" s="922" t="str">
        <f>IFERROR(INDEX(Otras_Actividades_Cuentas[],MATCH(Otras_Actividades_Base[[#This Row],[Cuenta Contable]],Otras_Actividades_Cuentas[Cuenta Contable],0),2),0)</f>
        <v>Egreso</v>
      </c>
      <c r="Z116" s="899" t="str">
        <f>IFERROR(INDEX(Tabla9[],MATCH(Otras_Actividades_Base[[#This Row],[Movimiento]],Tabla9[Movimientos],0),2),0)</f>
        <v>Si</v>
      </c>
      <c r="AA116" s="901" t="str">
        <f>IFERROR(INDEX(Tabla9[],MATCH(Otras_Actividades_Base[[#This Row],[Movimiento]],Tabla9[Movimientos],0),3),0)</f>
        <v>(-)</v>
      </c>
      <c r="AB116" s="896">
        <f>IF(Otras_Actividades_Base[[#This Row],[Fecha Económico]]=0,0,MONTH(Otras_Actividades_Base[[#This Row],[Fecha Económico]]))</f>
        <v>6</v>
      </c>
      <c r="AC116" s="897">
        <f>IF(Otras_Actividades_Base[[#This Row],[Fecha Económico]]=0,0,YEAR(Otras_Actividades_Base[[#This Row],[Fecha Económico]]))</f>
        <v>2019</v>
      </c>
      <c r="AD116" s="901">
        <f>SUMPRODUCT((Otras_Actividades_Base[[#This Row],[Mes Económico]]=Tipo_Cambio[Mes])*(Otras_Actividades_Base[[#This Row],[Año Económico]]=Tipo_Cambio[Año])*(Tipo_Cambio[$/U$S]))</f>
        <v>24.544703626636963</v>
      </c>
      <c r="AE116" s="901">
        <f>SUMPRODUCT((Otras_Actividades_Base[[#This Row],[Mes Económico]]=Tipo_Cambio[Mes])*(Otras_Actividades_Base[[#This Row],[Año Económico]]=Tipo_Cambio[Año])*(Tipo_Cambio[Actualización]))</f>
        <v>1.2433743083946525</v>
      </c>
      <c r="AF116" s="897">
        <f>IF(ISNUMBER(Otras_Actividades_Base[[#This Row],[Fecha Financiero]])=TRUE,MONTH(Otras_Actividades_Base[[#This Row],[Fecha Financiero]]),0)</f>
        <v>0</v>
      </c>
      <c r="AG116" s="897">
        <f>IF(ISNUMBER(Otras_Actividades_Base[[#This Row],[Fecha Financiero]])=TRUE,YEAR(Otras_Actividades_Base[[#This Row],[Fecha Financiero]]),0)</f>
        <v>0</v>
      </c>
      <c r="AH116" s="901">
        <f>SUMPRODUCT((Otras_Actividades_Base[[#This Row],[Mes Financiero]]=Tipo_Cambio[Mes])*(Otras_Actividades_Base[[#This Row],[Año Financiero]]=Tipo_Cambio[Año])*(Tipo_Cambio[$/U$S]))</f>
        <v>0</v>
      </c>
      <c r="AI116" s="901">
        <f>SUMPRODUCT((Otras_Actividades_Base[[#This Row],[Mes Financiero]]=Tipo_Cambio[Mes])*(Otras_Actividades_Base[[#This Row],[Año Financiero]]=Tipo_Cambio[Año])*(Tipo_Cambio[Actualización]))</f>
        <v>0</v>
      </c>
      <c r="AJ116" s="923">
        <f>IF(Económico!$F$4=0,0,Otras_Actividades_Base[Centro de Costo])</f>
        <v>0</v>
      </c>
    </row>
    <row r="117" spans="2:36" x14ac:dyDescent="0.25">
      <c r="D117" s="42"/>
      <c r="E117" s="353"/>
      <c r="F117" s="1009" t="str">
        <f t="shared" ref="F117:F143" si="6">Campaña_Actual</f>
        <v>2018-2019</v>
      </c>
      <c r="G117" s="280"/>
      <c r="H117" s="32"/>
      <c r="I117" s="32"/>
      <c r="J117" s="32"/>
      <c r="K117" s="29"/>
      <c r="L117" s="77"/>
      <c r="M117" s="41"/>
      <c r="N117" s="40"/>
      <c r="O117" s="51"/>
      <c r="P117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17" s="913">
        <f>IFERROR(Otras_Actividades_Base[[#This Row],[Económico $Corrientes]]/Otras_Actividades_Base[[#This Row],[Indexación Económico]],0)</f>
        <v>0</v>
      </c>
      <c r="R117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17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17" s="913">
        <f>IFERROR(Otras_Actividades_Base[[#This Row],[Financiero $Corrientes]]/Otras_Actividades_Base[[#This Row],[Indexación Financiero]],0)</f>
        <v>0</v>
      </c>
      <c r="U117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17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17" s="890">
        <f>IFERROR(Otras_Actividades_Base[[#This Row],[Intereses $Corrientes]]/Otras_Actividades_Base[[#This Row],[Indexación Financiero]],0)</f>
        <v>0</v>
      </c>
      <c r="X117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17" s="915">
        <f>IFERROR(INDEX(Otras_Actividades_Cuentas[],MATCH(Otras_Actividades_Base[[#This Row],[Cuenta Contable]],Otras_Actividades_Cuentas[Cuenta Contable],0),2),0)</f>
        <v>0</v>
      </c>
      <c r="Z117" s="887">
        <f>IFERROR(INDEX(Tabla9[],MATCH(Otras_Actividades_Base[[#This Row],[Movimiento]],Tabla9[Movimientos],0),2),0)</f>
        <v>0</v>
      </c>
      <c r="AA117" s="889">
        <f>IFERROR(INDEX(Tabla9[],MATCH(Otras_Actividades_Base[[#This Row],[Movimiento]],Tabla9[Movimientos],0),3),0)</f>
        <v>0</v>
      </c>
      <c r="AB117" s="884">
        <f>IF(Otras_Actividades_Base[[#This Row],[Fecha Económico]]=0,0,MONTH(Otras_Actividades_Base[[#This Row],[Fecha Económico]]))</f>
        <v>0</v>
      </c>
      <c r="AC117" s="890">
        <f>IF(Otras_Actividades_Base[[#This Row],[Fecha Económico]]=0,0,YEAR(Otras_Actividades_Base[[#This Row],[Fecha Económico]]))</f>
        <v>0</v>
      </c>
      <c r="AD117" s="891">
        <f>SUMPRODUCT((Otras_Actividades_Base[[#This Row],[Mes Económico]]=Tipo_Cambio[Mes])*(Otras_Actividades_Base[[#This Row],[Año Económico]]=Tipo_Cambio[Año])*(Tipo_Cambio[$/U$S]))</f>
        <v>0</v>
      </c>
      <c r="AE117" s="891">
        <f>SUMPRODUCT((Otras_Actividades_Base[[#This Row],[Mes Económico]]=Tipo_Cambio[Mes])*(Otras_Actividades_Base[[#This Row],[Año Económico]]=Tipo_Cambio[Año])*(Tipo_Cambio[Actualización]))</f>
        <v>0</v>
      </c>
      <c r="AF117" s="890">
        <f>IF(ISNUMBER(Otras_Actividades_Base[[#This Row],[Fecha Financiero]])=TRUE,MONTH(Otras_Actividades_Base[[#This Row],[Fecha Financiero]]),0)</f>
        <v>0</v>
      </c>
      <c r="AG117" s="890">
        <f>IF(ISNUMBER(Otras_Actividades_Base[[#This Row],[Fecha Financiero]])=TRUE,YEAR(Otras_Actividades_Base[[#This Row],[Fecha Financiero]]),0)</f>
        <v>0</v>
      </c>
      <c r="AH117" s="891">
        <f>SUMPRODUCT((Otras_Actividades_Base[[#This Row],[Mes Financiero]]=Tipo_Cambio[Mes])*(Otras_Actividades_Base[[#This Row],[Año Financiero]]=Tipo_Cambio[Año])*(Tipo_Cambio[$/U$S]))</f>
        <v>0</v>
      </c>
      <c r="AI117" s="891">
        <f>SUMPRODUCT((Otras_Actividades_Base[[#This Row],[Mes Financiero]]=Tipo_Cambio[Mes])*(Otras_Actividades_Base[[#This Row],[Año Financiero]]=Tipo_Cambio[Año])*(Tipo_Cambio[Actualización]))</f>
        <v>0</v>
      </c>
      <c r="AJ117" s="916">
        <f>IF(Económico!$F$4=0,0,Otras_Actividades_Base[Centro de Costo])</f>
        <v>0</v>
      </c>
    </row>
    <row r="118" spans="2:36" x14ac:dyDescent="0.25">
      <c r="D118" s="42"/>
      <c r="E118" s="353"/>
      <c r="F118" s="1009" t="str">
        <f t="shared" si="6"/>
        <v>2018-2019</v>
      </c>
      <c r="G118" s="280"/>
      <c r="H118" s="32"/>
      <c r="I118" s="32"/>
      <c r="J118" s="32"/>
      <c r="K118" s="29"/>
      <c r="L118" s="77"/>
      <c r="M118" s="41"/>
      <c r="N118" s="40"/>
      <c r="O118" s="51"/>
      <c r="P118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18" s="913">
        <f>IFERROR(Otras_Actividades_Base[[#This Row],[Económico $Corrientes]]/Otras_Actividades_Base[[#This Row],[Indexación Económico]],0)</f>
        <v>0</v>
      </c>
      <c r="R118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18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18" s="913">
        <f>IFERROR(Otras_Actividades_Base[[#This Row],[Financiero $Corrientes]]/Otras_Actividades_Base[[#This Row],[Indexación Financiero]],0)</f>
        <v>0</v>
      </c>
      <c r="U118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18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18" s="890">
        <f>IFERROR(Otras_Actividades_Base[[#This Row],[Intereses $Corrientes]]/Otras_Actividades_Base[[#This Row],[Indexación Financiero]],0)</f>
        <v>0</v>
      </c>
      <c r="X118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18" s="915">
        <f>IFERROR(INDEX(Otras_Actividades_Cuentas[],MATCH(Otras_Actividades_Base[[#This Row],[Cuenta Contable]],Otras_Actividades_Cuentas[Cuenta Contable],0),2),0)</f>
        <v>0</v>
      </c>
      <c r="Z118" s="887">
        <f>IFERROR(INDEX(Tabla9[],MATCH(Otras_Actividades_Base[[#This Row],[Movimiento]],Tabla9[Movimientos],0),2),0)</f>
        <v>0</v>
      </c>
      <c r="AA118" s="889">
        <f>IFERROR(INDEX(Tabla9[],MATCH(Otras_Actividades_Base[[#This Row],[Movimiento]],Tabla9[Movimientos],0),3),0)</f>
        <v>0</v>
      </c>
      <c r="AB118" s="884">
        <f>IF(Otras_Actividades_Base[[#This Row],[Fecha Económico]]=0,0,MONTH(Otras_Actividades_Base[[#This Row],[Fecha Económico]]))</f>
        <v>0</v>
      </c>
      <c r="AC118" s="890">
        <f>IF(Otras_Actividades_Base[[#This Row],[Fecha Económico]]=0,0,YEAR(Otras_Actividades_Base[[#This Row],[Fecha Económico]]))</f>
        <v>0</v>
      </c>
      <c r="AD118" s="891">
        <f>SUMPRODUCT((Otras_Actividades_Base[[#This Row],[Mes Económico]]=Tipo_Cambio[Mes])*(Otras_Actividades_Base[[#This Row],[Año Económico]]=Tipo_Cambio[Año])*(Tipo_Cambio[$/U$S]))</f>
        <v>0</v>
      </c>
      <c r="AE118" s="891">
        <f>SUMPRODUCT((Otras_Actividades_Base[[#This Row],[Mes Económico]]=Tipo_Cambio[Mes])*(Otras_Actividades_Base[[#This Row],[Año Económico]]=Tipo_Cambio[Año])*(Tipo_Cambio[Actualización]))</f>
        <v>0</v>
      </c>
      <c r="AF118" s="890">
        <f>IF(ISNUMBER(Otras_Actividades_Base[[#This Row],[Fecha Financiero]])=TRUE,MONTH(Otras_Actividades_Base[[#This Row],[Fecha Financiero]]),0)</f>
        <v>0</v>
      </c>
      <c r="AG118" s="890">
        <f>IF(ISNUMBER(Otras_Actividades_Base[[#This Row],[Fecha Financiero]])=TRUE,YEAR(Otras_Actividades_Base[[#This Row],[Fecha Financiero]]),0)</f>
        <v>0</v>
      </c>
      <c r="AH118" s="891">
        <f>SUMPRODUCT((Otras_Actividades_Base[[#This Row],[Mes Financiero]]=Tipo_Cambio[Mes])*(Otras_Actividades_Base[[#This Row],[Año Financiero]]=Tipo_Cambio[Año])*(Tipo_Cambio[$/U$S]))</f>
        <v>0</v>
      </c>
      <c r="AI118" s="891">
        <f>SUMPRODUCT((Otras_Actividades_Base[[#This Row],[Mes Financiero]]=Tipo_Cambio[Mes])*(Otras_Actividades_Base[[#This Row],[Año Financiero]]=Tipo_Cambio[Año])*(Tipo_Cambio[Actualización]))</f>
        <v>0</v>
      </c>
      <c r="AJ118" s="916">
        <f>IF(Económico!$F$4=0,0,Otras_Actividades_Base[Centro de Costo])</f>
        <v>0</v>
      </c>
    </row>
    <row r="119" spans="2:36" ht="15.75" thickBot="1" x14ac:dyDescent="0.3">
      <c r="B119" s="373" t="s">
        <v>101</v>
      </c>
      <c r="D119" s="88"/>
      <c r="E119" s="427"/>
      <c r="F119" s="1024" t="str">
        <f t="shared" si="6"/>
        <v>2018-2019</v>
      </c>
      <c r="G119" s="89"/>
      <c r="H119" s="89"/>
      <c r="I119" s="89"/>
      <c r="J119" s="89"/>
      <c r="K119" s="91"/>
      <c r="L119" s="182"/>
      <c r="M119" s="89"/>
      <c r="N119" s="89"/>
      <c r="O119" s="90"/>
      <c r="P119" s="1055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19" s="1055">
        <f>IFERROR(Otras_Actividades_Base[[#This Row],[Económico $Corrientes]]/Otras_Actividades_Base[[#This Row],[Indexación Económico]],0)</f>
        <v>0</v>
      </c>
      <c r="R119" s="1056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19" s="1057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19" s="1055">
        <f>IFERROR(Otras_Actividades_Base[[#This Row],[Financiero $Corrientes]]/Otras_Actividades_Base[[#This Row],[Indexación Financiero]],0)</f>
        <v>0</v>
      </c>
      <c r="U119" s="1055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19" s="1058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19" s="1059">
        <f>IFERROR(Otras_Actividades_Base[[#This Row],[Intereses $Corrientes]]/Otras_Actividades_Base[[#This Row],[Indexación Financiero]],0)</f>
        <v>0</v>
      </c>
      <c r="X119" s="1059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19" s="1060">
        <f>IFERROR(INDEX(Otras_Actividades_Cuentas[],MATCH(Otras_Actividades_Base[[#This Row],[Cuenta Contable]],Otras_Actividades_Cuentas[Cuenta Contable],0),2),0)</f>
        <v>0</v>
      </c>
      <c r="Z119" s="1061">
        <f>IFERROR(INDEX(Tabla9[],MATCH(Otras_Actividades_Base[[#This Row],[Movimiento]],Tabla9[Movimientos],0),2),0)</f>
        <v>0</v>
      </c>
      <c r="AA119" s="1062">
        <f>IFERROR(INDEX(Tabla9[],MATCH(Otras_Actividades_Base[[#This Row],[Movimiento]],Tabla9[Movimientos],0),3),0)</f>
        <v>0</v>
      </c>
      <c r="AB119" s="1058">
        <f>IF(Otras_Actividades_Base[[#This Row],[Fecha Económico]]=0,0,MONTH(Otras_Actividades_Base[[#This Row],[Fecha Económico]]))</f>
        <v>0</v>
      </c>
      <c r="AC119" s="1059">
        <f>IF(Otras_Actividades_Base[[#This Row],[Fecha Económico]]=0,0,YEAR(Otras_Actividades_Base[[#This Row],[Fecha Económico]]))</f>
        <v>0</v>
      </c>
      <c r="AD119" s="1062">
        <f>SUMPRODUCT((Otras_Actividades_Base[[#This Row],[Mes Económico]]=Tipo_Cambio[Mes])*(Otras_Actividades_Base[[#This Row],[Año Económico]]=Tipo_Cambio[Año])*(Tipo_Cambio[$/U$S]))</f>
        <v>0</v>
      </c>
      <c r="AE119" s="1062">
        <f>SUMPRODUCT((Otras_Actividades_Base[[#This Row],[Mes Económico]]=Tipo_Cambio[Mes])*(Otras_Actividades_Base[[#This Row],[Año Económico]]=Tipo_Cambio[Año])*(Tipo_Cambio[Actualización]))</f>
        <v>0</v>
      </c>
      <c r="AF119" s="1059">
        <f>IF(ISNUMBER(Otras_Actividades_Base[[#This Row],[Fecha Financiero]])=TRUE,MONTH(Otras_Actividades_Base[[#This Row],[Fecha Financiero]]),0)</f>
        <v>0</v>
      </c>
      <c r="AG119" s="1059">
        <f>IF(ISNUMBER(Otras_Actividades_Base[[#This Row],[Fecha Financiero]])=TRUE,YEAR(Otras_Actividades_Base[[#This Row],[Fecha Financiero]]),0)</f>
        <v>0</v>
      </c>
      <c r="AH119" s="1062">
        <f>SUMPRODUCT((Otras_Actividades_Base[[#This Row],[Mes Financiero]]=Tipo_Cambio[Mes])*(Otras_Actividades_Base[[#This Row],[Año Financiero]]=Tipo_Cambio[Año])*(Tipo_Cambio[$/U$S]))</f>
        <v>0</v>
      </c>
      <c r="AI119" s="1062">
        <f>SUMPRODUCT((Otras_Actividades_Base[[#This Row],[Mes Financiero]]=Tipo_Cambio[Mes])*(Otras_Actividades_Base[[#This Row],[Año Financiero]]=Tipo_Cambio[Año])*(Tipo_Cambio[Actualización]))</f>
        <v>0</v>
      </c>
      <c r="AJ119" s="1061">
        <f>IF(Económico!$F$4=0,0,Otras_Actividades_Base[Centro de Costo])</f>
        <v>0</v>
      </c>
    </row>
    <row r="120" spans="2:36" ht="15.75" thickTop="1" x14ac:dyDescent="0.25">
      <c r="B120" s="1136" t="s">
        <v>514</v>
      </c>
      <c r="D120" s="43"/>
      <c r="E120" s="353"/>
      <c r="F120" s="988" t="str">
        <f t="shared" si="6"/>
        <v>2018-2019</v>
      </c>
      <c r="G120" s="32" t="s">
        <v>56</v>
      </c>
      <c r="H120" s="32"/>
      <c r="I120" s="32" t="s">
        <v>36</v>
      </c>
      <c r="J120" s="32"/>
      <c r="K120" s="29"/>
      <c r="L120" s="77"/>
      <c r="M120" s="41"/>
      <c r="N120" s="41"/>
      <c r="O120" s="51"/>
      <c r="P120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20" s="913">
        <f>IFERROR(Otras_Actividades_Base[[#This Row],[Económico $Corrientes]]/Otras_Actividades_Base[[#This Row],[Indexación Económico]],0)</f>
        <v>0</v>
      </c>
      <c r="R120" s="881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20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20" s="913">
        <f>IFERROR(Otras_Actividades_Base[[#This Row],[Financiero $Corrientes]]/Otras_Actividades_Base[[#This Row],[Indexación Financiero]],0)</f>
        <v>0</v>
      </c>
      <c r="U120" s="913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20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20" s="890">
        <f>IFERROR(Otras_Actividades_Base[[#This Row],[Intereses $Corrientes]]/Otras_Actividades_Base[[#This Row],[Indexación Financiero]],0)</f>
        <v>0</v>
      </c>
      <c r="X120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20" s="886" t="str">
        <f>IFERROR(INDEX(Otras_Actividades_Cuentas[],MATCH(Otras_Actividades_Base[[#This Row],[Cuenta Contable]],Otras_Actividades_Cuentas[Cuenta Contable],0),2),0)</f>
        <v>Ingreso</v>
      </c>
      <c r="Z120" s="887" t="str">
        <f>IFERROR(INDEX(Tabla9[],MATCH(Otras_Actividades_Base[[#This Row],[Movimiento]],Tabla9[Movimientos],0),2),0)</f>
        <v>Si</v>
      </c>
      <c r="AA120" s="889" t="str">
        <f>IFERROR(INDEX(Tabla9[],MATCH(Otras_Actividades_Base[[#This Row],[Movimiento]],Tabla9[Movimientos],0),3),0)</f>
        <v>(+)</v>
      </c>
      <c r="AB120" s="884">
        <f>IF(Otras_Actividades_Base[[#This Row],[Fecha Económico]]=0,0,MONTH(Otras_Actividades_Base[[#This Row],[Fecha Económico]]))</f>
        <v>0</v>
      </c>
      <c r="AC120" s="890">
        <f>IF(Otras_Actividades_Base[[#This Row],[Fecha Económico]]=0,0,YEAR(Otras_Actividades_Base[[#This Row],[Fecha Económico]]))</f>
        <v>0</v>
      </c>
      <c r="AD120" s="891">
        <f>SUMPRODUCT((Otras_Actividades_Base[[#This Row],[Mes Económico]]=Tipo_Cambio[Mes])*(Otras_Actividades_Base[[#This Row],[Año Económico]]=Tipo_Cambio[Año])*(Tipo_Cambio[$/U$S]))</f>
        <v>0</v>
      </c>
      <c r="AE120" s="891">
        <f>SUMPRODUCT((Otras_Actividades_Base[[#This Row],[Mes Económico]]=Tipo_Cambio[Mes])*(Otras_Actividades_Base[[#This Row],[Año Económico]]=Tipo_Cambio[Año])*(Tipo_Cambio[Actualización]))</f>
        <v>0</v>
      </c>
      <c r="AF120" s="890">
        <f>IF(ISNUMBER(Otras_Actividades_Base[[#This Row],[Fecha Financiero]])=TRUE,MONTH(Otras_Actividades_Base[[#This Row],[Fecha Financiero]]),0)</f>
        <v>0</v>
      </c>
      <c r="AG120" s="890">
        <f>IF(ISNUMBER(Otras_Actividades_Base[[#This Row],[Fecha Financiero]])=TRUE,YEAR(Otras_Actividades_Base[[#This Row],[Fecha Financiero]]),0)</f>
        <v>0</v>
      </c>
      <c r="AH120" s="891">
        <f>SUMPRODUCT((Otras_Actividades_Base[[#This Row],[Mes Financiero]]=Tipo_Cambio[Mes])*(Otras_Actividades_Base[[#This Row],[Año Financiero]]=Tipo_Cambio[Año])*(Tipo_Cambio[$/U$S]))</f>
        <v>0</v>
      </c>
      <c r="AI120" s="891">
        <f>SUMPRODUCT((Otras_Actividades_Base[[#This Row],[Mes Financiero]]=Tipo_Cambio[Mes])*(Otras_Actividades_Base[[#This Row],[Año Financiero]]=Tipo_Cambio[Año])*(Tipo_Cambio[Actualización]))</f>
        <v>0</v>
      </c>
      <c r="AJ120" s="887">
        <f>IF(Económico!$F$4=0,0,Otras_Actividades_Base[Centro de Costo])</f>
        <v>0</v>
      </c>
    </row>
    <row r="121" spans="2:36" x14ac:dyDescent="0.25">
      <c r="B121" s="1136"/>
      <c r="D121" s="42"/>
      <c r="E121" s="353"/>
      <c r="F121" s="1009" t="str">
        <f t="shared" si="6"/>
        <v>2018-2019</v>
      </c>
      <c r="G121" s="32" t="s">
        <v>56</v>
      </c>
      <c r="H121" s="32"/>
      <c r="I121" s="32" t="s">
        <v>36</v>
      </c>
      <c r="J121" s="32"/>
      <c r="K121" s="29"/>
      <c r="L121" s="77"/>
      <c r="M121" s="41"/>
      <c r="N121" s="40"/>
      <c r="O121" s="51"/>
      <c r="P121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21" s="913">
        <f>IFERROR(Otras_Actividades_Base[[#This Row],[Económico $Corrientes]]/Otras_Actividades_Base[[#This Row],[Indexación Económico]],0)</f>
        <v>0</v>
      </c>
      <c r="R121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21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21" s="913">
        <f>IFERROR(Otras_Actividades_Base[[#This Row],[Financiero $Corrientes]]/Otras_Actividades_Base[[#This Row],[Indexación Financiero]],0)</f>
        <v>0</v>
      </c>
      <c r="U121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21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21" s="890">
        <f>IFERROR(Otras_Actividades_Base[[#This Row],[Intereses $Corrientes]]/Otras_Actividades_Base[[#This Row],[Indexación Financiero]],0)</f>
        <v>0</v>
      </c>
      <c r="X121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21" s="915" t="str">
        <f>IFERROR(INDEX(Otras_Actividades_Cuentas[],MATCH(Otras_Actividades_Base[[#This Row],[Cuenta Contable]],Otras_Actividades_Cuentas[Cuenta Contable],0),2),0)</f>
        <v>Ingreso</v>
      </c>
      <c r="Z121" s="887" t="str">
        <f>IFERROR(INDEX(Tabla9[],MATCH(Otras_Actividades_Base[[#This Row],[Movimiento]],Tabla9[Movimientos],0),2),0)</f>
        <v>Si</v>
      </c>
      <c r="AA121" s="889" t="str">
        <f>IFERROR(INDEX(Tabla9[],MATCH(Otras_Actividades_Base[[#This Row],[Movimiento]],Tabla9[Movimientos],0),3),0)</f>
        <v>(+)</v>
      </c>
      <c r="AB121" s="884">
        <f>IF(Otras_Actividades_Base[[#This Row],[Fecha Económico]]=0,0,MONTH(Otras_Actividades_Base[[#This Row],[Fecha Económico]]))</f>
        <v>0</v>
      </c>
      <c r="AC121" s="890">
        <f>IF(Otras_Actividades_Base[[#This Row],[Fecha Económico]]=0,0,YEAR(Otras_Actividades_Base[[#This Row],[Fecha Económico]]))</f>
        <v>0</v>
      </c>
      <c r="AD121" s="891">
        <f>SUMPRODUCT((Otras_Actividades_Base[[#This Row],[Mes Económico]]=Tipo_Cambio[Mes])*(Otras_Actividades_Base[[#This Row],[Año Económico]]=Tipo_Cambio[Año])*(Tipo_Cambio[$/U$S]))</f>
        <v>0</v>
      </c>
      <c r="AE121" s="891">
        <f>SUMPRODUCT((Otras_Actividades_Base[[#This Row],[Mes Económico]]=Tipo_Cambio[Mes])*(Otras_Actividades_Base[[#This Row],[Año Económico]]=Tipo_Cambio[Año])*(Tipo_Cambio[Actualización]))</f>
        <v>0</v>
      </c>
      <c r="AF121" s="890">
        <f>IF(ISNUMBER(Otras_Actividades_Base[[#This Row],[Fecha Financiero]])=TRUE,MONTH(Otras_Actividades_Base[[#This Row],[Fecha Financiero]]),0)</f>
        <v>0</v>
      </c>
      <c r="AG121" s="890">
        <f>IF(ISNUMBER(Otras_Actividades_Base[[#This Row],[Fecha Financiero]])=TRUE,YEAR(Otras_Actividades_Base[[#This Row],[Fecha Financiero]]),0)</f>
        <v>0</v>
      </c>
      <c r="AH121" s="891">
        <f>SUMPRODUCT((Otras_Actividades_Base[[#This Row],[Mes Financiero]]=Tipo_Cambio[Mes])*(Otras_Actividades_Base[[#This Row],[Año Financiero]]=Tipo_Cambio[Año])*(Tipo_Cambio[$/U$S]))</f>
        <v>0</v>
      </c>
      <c r="AI121" s="891">
        <f>SUMPRODUCT((Otras_Actividades_Base[[#This Row],[Mes Financiero]]=Tipo_Cambio[Mes])*(Otras_Actividades_Base[[#This Row],[Año Financiero]]=Tipo_Cambio[Año])*(Tipo_Cambio[Actualización]))</f>
        <v>0</v>
      </c>
      <c r="AJ121" s="916">
        <f>IF(Económico!$F$4=0,0,Otras_Actividades_Base[Centro de Costo])</f>
        <v>0</v>
      </c>
    </row>
    <row r="122" spans="2:36" x14ac:dyDescent="0.25">
      <c r="B122" s="1136"/>
      <c r="D122" s="42"/>
      <c r="E122" s="353"/>
      <c r="F122" s="1009" t="str">
        <f t="shared" si="6"/>
        <v>2018-2019</v>
      </c>
      <c r="G122" s="32" t="s">
        <v>56</v>
      </c>
      <c r="H122" s="32"/>
      <c r="I122" s="32" t="s">
        <v>36</v>
      </c>
      <c r="J122" s="32"/>
      <c r="K122" s="29"/>
      <c r="L122" s="77"/>
      <c r="M122" s="41"/>
      <c r="N122" s="40"/>
      <c r="O122" s="51"/>
      <c r="P122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22" s="913">
        <f>IFERROR(Otras_Actividades_Base[[#This Row],[Económico $Corrientes]]/Otras_Actividades_Base[[#This Row],[Indexación Económico]],0)</f>
        <v>0</v>
      </c>
      <c r="R122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22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22" s="913">
        <f>IFERROR(Otras_Actividades_Base[[#This Row],[Financiero $Corrientes]]/Otras_Actividades_Base[[#This Row],[Indexación Financiero]],0)</f>
        <v>0</v>
      </c>
      <c r="U122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22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22" s="890">
        <f>IFERROR(Otras_Actividades_Base[[#This Row],[Intereses $Corrientes]]/Otras_Actividades_Base[[#This Row],[Indexación Financiero]],0)</f>
        <v>0</v>
      </c>
      <c r="X122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22" s="915" t="str">
        <f>IFERROR(INDEX(Otras_Actividades_Cuentas[],MATCH(Otras_Actividades_Base[[#This Row],[Cuenta Contable]],Otras_Actividades_Cuentas[Cuenta Contable],0),2),0)</f>
        <v>Ingreso</v>
      </c>
      <c r="Z122" s="887" t="str">
        <f>IFERROR(INDEX(Tabla9[],MATCH(Otras_Actividades_Base[[#This Row],[Movimiento]],Tabla9[Movimientos],0),2),0)</f>
        <v>Si</v>
      </c>
      <c r="AA122" s="889" t="str">
        <f>IFERROR(INDEX(Tabla9[],MATCH(Otras_Actividades_Base[[#This Row],[Movimiento]],Tabla9[Movimientos],0),3),0)</f>
        <v>(+)</v>
      </c>
      <c r="AB122" s="884">
        <f>IF(Otras_Actividades_Base[[#This Row],[Fecha Económico]]=0,0,MONTH(Otras_Actividades_Base[[#This Row],[Fecha Económico]]))</f>
        <v>0</v>
      </c>
      <c r="AC122" s="890">
        <f>IF(Otras_Actividades_Base[[#This Row],[Fecha Económico]]=0,0,YEAR(Otras_Actividades_Base[[#This Row],[Fecha Económico]]))</f>
        <v>0</v>
      </c>
      <c r="AD122" s="891">
        <f>SUMPRODUCT((Otras_Actividades_Base[[#This Row],[Mes Económico]]=Tipo_Cambio[Mes])*(Otras_Actividades_Base[[#This Row],[Año Económico]]=Tipo_Cambio[Año])*(Tipo_Cambio[$/U$S]))</f>
        <v>0</v>
      </c>
      <c r="AE122" s="891">
        <f>SUMPRODUCT((Otras_Actividades_Base[[#This Row],[Mes Económico]]=Tipo_Cambio[Mes])*(Otras_Actividades_Base[[#This Row],[Año Económico]]=Tipo_Cambio[Año])*(Tipo_Cambio[Actualización]))</f>
        <v>0</v>
      </c>
      <c r="AF122" s="890">
        <f>IF(ISNUMBER(Otras_Actividades_Base[[#This Row],[Fecha Financiero]])=TRUE,MONTH(Otras_Actividades_Base[[#This Row],[Fecha Financiero]]),0)</f>
        <v>0</v>
      </c>
      <c r="AG122" s="890">
        <f>IF(ISNUMBER(Otras_Actividades_Base[[#This Row],[Fecha Financiero]])=TRUE,YEAR(Otras_Actividades_Base[[#This Row],[Fecha Financiero]]),0)</f>
        <v>0</v>
      </c>
      <c r="AH122" s="891">
        <f>SUMPRODUCT((Otras_Actividades_Base[[#This Row],[Mes Financiero]]=Tipo_Cambio[Mes])*(Otras_Actividades_Base[[#This Row],[Año Financiero]]=Tipo_Cambio[Año])*(Tipo_Cambio[$/U$S]))</f>
        <v>0</v>
      </c>
      <c r="AI122" s="891">
        <f>SUMPRODUCT((Otras_Actividades_Base[[#This Row],[Mes Financiero]]=Tipo_Cambio[Mes])*(Otras_Actividades_Base[[#This Row],[Año Financiero]]=Tipo_Cambio[Año])*(Tipo_Cambio[Actualización]))</f>
        <v>0</v>
      </c>
      <c r="AJ122" s="916">
        <f>IF(Económico!$F$4=0,0,Otras_Actividades_Base[Centro de Costo])</f>
        <v>0</v>
      </c>
    </row>
    <row r="123" spans="2:36" x14ac:dyDescent="0.25">
      <c r="D123" s="42"/>
      <c r="E123" s="353"/>
      <c r="F123" s="1009" t="str">
        <f t="shared" si="6"/>
        <v>2018-2019</v>
      </c>
      <c r="G123" s="32" t="s">
        <v>56</v>
      </c>
      <c r="H123" s="32"/>
      <c r="I123" s="32" t="s">
        <v>36</v>
      </c>
      <c r="J123" s="32"/>
      <c r="K123" s="29"/>
      <c r="L123" s="77"/>
      <c r="M123" s="41"/>
      <c r="N123" s="40"/>
      <c r="O123" s="51"/>
      <c r="P123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23" s="913">
        <f>IFERROR(Otras_Actividades_Base[[#This Row],[Económico $Corrientes]]/Otras_Actividades_Base[[#This Row],[Indexación Económico]],0)</f>
        <v>0</v>
      </c>
      <c r="R123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23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23" s="913">
        <f>IFERROR(Otras_Actividades_Base[[#This Row],[Financiero $Corrientes]]/Otras_Actividades_Base[[#This Row],[Indexación Financiero]],0)</f>
        <v>0</v>
      </c>
      <c r="U123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23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23" s="890">
        <f>IFERROR(Otras_Actividades_Base[[#This Row],[Intereses $Corrientes]]/Otras_Actividades_Base[[#This Row],[Indexación Financiero]],0)</f>
        <v>0</v>
      </c>
      <c r="X123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23" s="915" t="str">
        <f>IFERROR(INDEX(Otras_Actividades_Cuentas[],MATCH(Otras_Actividades_Base[[#This Row],[Cuenta Contable]],Otras_Actividades_Cuentas[Cuenta Contable],0),2),0)</f>
        <v>Ingreso</v>
      </c>
      <c r="Z123" s="887" t="str">
        <f>IFERROR(INDEX(Tabla9[],MATCH(Otras_Actividades_Base[[#This Row],[Movimiento]],Tabla9[Movimientos],0),2),0)</f>
        <v>Si</v>
      </c>
      <c r="AA123" s="889" t="str">
        <f>IFERROR(INDEX(Tabla9[],MATCH(Otras_Actividades_Base[[#This Row],[Movimiento]],Tabla9[Movimientos],0),3),0)</f>
        <v>(+)</v>
      </c>
      <c r="AB123" s="884">
        <f>IF(Otras_Actividades_Base[[#This Row],[Fecha Económico]]=0,0,MONTH(Otras_Actividades_Base[[#This Row],[Fecha Económico]]))</f>
        <v>0</v>
      </c>
      <c r="AC123" s="890">
        <f>IF(Otras_Actividades_Base[[#This Row],[Fecha Económico]]=0,0,YEAR(Otras_Actividades_Base[[#This Row],[Fecha Económico]]))</f>
        <v>0</v>
      </c>
      <c r="AD123" s="891">
        <f>SUMPRODUCT((Otras_Actividades_Base[[#This Row],[Mes Económico]]=Tipo_Cambio[Mes])*(Otras_Actividades_Base[[#This Row],[Año Económico]]=Tipo_Cambio[Año])*(Tipo_Cambio[$/U$S]))</f>
        <v>0</v>
      </c>
      <c r="AE123" s="891">
        <f>SUMPRODUCT((Otras_Actividades_Base[[#This Row],[Mes Económico]]=Tipo_Cambio[Mes])*(Otras_Actividades_Base[[#This Row],[Año Económico]]=Tipo_Cambio[Año])*(Tipo_Cambio[Actualización]))</f>
        <v>0</v>
      </c>
      <c r="AF123" s="890">
        <f>IF(ISNUMBER(Otras_Actividades_Base[[#This Row],[Fecha Financiero]])=TRUE,MONTH(Otras_Actividades_Base[[#This Row],[Fecha Financiero]]),0)</f>
        <v>0</v>
      </c>
      <c r="AG123" s="890">
        <f>IF(ISNUMBER(Otras_Actividades_Base[[#This Row],[Fecha Financiero]])=TRUE,YEAR(Otras_Actividades_Base[[#This Row],[Fecha Financiero]]),0)</f>
        <v>0</v>
      </c>
      <c r="AH123" s="891">
        <f>SUMPRODUCT((Otras_Actividades_Base[[#This Row],[Mes Financiero]]=Tipo_Cambio[Mes])*(Otras_Actividades_Base[[#This Row],[Año Financiero]]=Tipo_Cambio[Año])*(Tipo_Cambio[$/U$S]))</f>
        <v>0</v>
      </c>
      <c r="AI123" s="891">
        <f>SUMPRODUCT((Otras_Actividades_Base[[#This Row],[Mes Financiero]]=Tipo_Cambio[Mes])*(Otras_Actividades_Base[[#This Row],[Año Financiero]]=Tipo_Cambio[Año])*(Tipo_Cambio[Actualización]))</f>
        <v>0</v>
      </c>
      <c r="AJ123" s="916">
        <f>IF(Económico!$F$4=0,0,Otras_Actividades_Base[Centro de Costo])</f>
        <v>0</v>
      </c>
    </row>
    <row r="124" spans="2:36" x14ac:dyDescent="0.25">
      <c r="D124" s="42"/>
      <c r="E124" s="353"/>
      <c r="F124" s="1009" t="str">
        <f t="shared" si="6"/>
        <v>2018-2019</v>
      </c>
      <c r="G124" s="32" t="s">
        <v>56</v>
      </c>
      <c r="H124" s="32"/>
      <c r="I124" s="32" t="s">
        <v>36</v>
      </c>
      <c r="J124" s="32"/>
      <c r="K124" s="29"/>
      <c r="L124" s="77"/>
      <c r="M124" s="41"/>
      <c r="N124" s="40"/>
      <c r="O124" s="51"/>
      <c r="P124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24" s="913">
        <f>IFERROR(Otras_Actividades_Base[[#This Row],[Económico $Corrientes]]/Otras_Actividades_Base[[#This Row],[Indexación Económico]],0)</f>
        <v>0</v>
      </c>
      <c r="R124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24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24" s="913">
        <f>IFERROR(Otras_Actividades_Base[[#This Row],[Financiero $Corrientes]]/Otras_Actividades_Base[[#This Row],[Indexación Financiero]],0)</f>
        <v>0</v>
      </c>
      <c r="U124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24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24" s="890">
        <f>IFERROR(Otras_Actividades_Base[[#This Row],[Intereses $Corrientes]]/Otras_Actividades_Base[[#This Row],[Indexación Financiero]],0)</f>
        <v>0</v>
      </c>
      <c r="X124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24" s="915" t="str">
        <f>IFERROR(INDEX(Otras_Actividades_Cuentas[],MATCH(Otras_Actividades_Base[[#This Row],[Cuenta Contable]],Otras_Actividades_Cuentas[Cuenta Contable],0),2),0)</f>
        <v>Ingreso</v>
      </c>
      <c r="Z124" s="887" t="str">
        <f>IFERROR(INDEX(Tabla9[],MATCH(Otras_Actividades_Base[[#This Row],[Movimiento]],Tabla9[Movimientos],0),2),0)</f>
        <v>Si</v>
      </c>
      <c r="AA124" s="889" t="str">
        <f>IFERROR(INDEX(Tabla9[],MATCH(Otras_Actividades_Base[[#This Row],[Movimiento]],Tabla9[Movimientos],0),3),0)</f>
        <v>(+)</v>
      </c>
      <c r="AB124" s="884">
        <f>IF(Otras_Actividades_Base[[#This Row],[Fecha Económico]]=0,0,MONTH(Otras_Actividades_Base[[#This Row],[Fecha Económico]]))</f>
        <v>0</v>
      </c>
      <c r="AC124" s="890">
        <f>IF(Otras_Actividades_Base[[#This Row],[Fecha Económico]]=0,0,YEAR(Otras_Actividades_Base[[#This Row],[Fecha Económico]]))</f>
        <v>0</v>
      </c>
      <c r="AD124" s="891">
        <f>SUMPRODUCT((Otras_Actividades_Base[[#This Row],[Mes Económico]]=Tipo_Cambio[Mes])*(Otras_Actividades_Base[[#This Row],[Año Económico]]=Tipo_Cambio[Año])*(Tipo_Cambio[$/U$S]))</f>
        <v>0</v>
      </c>
      <c r="AE124" s="891">
        <f>SUMPRODUCT((Otras_Actividades_Base[[#This Row],[Mes Económico]]=Tipo_Cambio[Mes])*(Otras_Actividades_Base[[#This Row],[Año Económico]]=Tipo_Cambio[Año])*(Tipo_Cambio[Actualización]))</f>
        <v>0</v>
      </c>
      <c r="AF124" s="890">
        <f>IF(ISNUMBER(Otras_Actividades_Base[[#This Row],[Fecha Financiero]])=TRUE,MONTH(Otras_Actividades_Base[[#This Row],[Fecha Financiero]]),0)</f>
        <v>0</v>
      </c>
      <c r="AG124" s="890">
        <f>IF(ISNUMBER(Otras_Actividades_Base[[#This Row],[Fecha Financiero]])=TRUE,YEAR(Otras_Actividades_Base[[#This Row],[Fecha Financiero]]),0)</f>
        <v>0</v>
      </c>
      <c r="AH124" s="891">
        <f>SUMPRODUCT((Otras_Actividades_Base[[#This Row],[Mes Financiero]]=Tipo_Cambio[Mes])*(Otras_Actividades_Base[[#This Row],[Año Financiero]]=Tipo_Cambio[Año])*(Tipo_Cambio[$/U$S]))</f>
        <v>0</v>
      </c>
      <c r="AI124" s="891">
        <f>SUMPRODUCT((Otras_Actividades_Base[[#This Row],[Mes Financiero]]=Tipo_Cambio[Mes])*(Otras_Actividades_Base[[#This Row],[Año Financiero]]=Tipo_Cambio[Año])*(Tipo_Cambio[Actualización]))</f>
        <v>0</v>
      </c>
      <c r="AJ124" s="916">
        <f>IF(Económico!$F$4=0,0,Otras_Actividades_Base[Centro de Costo])</f>
        <v>0</v>
      </c>
    </row>
    <row r="125" spans="2:36" x14ac:dyDescent="0.25">
      <c r="D125" s="42"/>
      <c r="E125" s="353"/>
      <c r="F125" s="1009" t="str">
        <f t="shared" si="6"/>
        <v>2018-2019</v>
      </c>
      <c r="G125" s="280"/>
      <c r="H125" s="32"/>
      <c r="I125" s="32"/>
      <c r="J125" s="32"/>
      <c r="K125" s="29"/>
      <c r="L125" s="77"/>
      <c r="M125" s="41"/>
      <c r="N125" s="40"/>
      <c r="O125" s="51"/>
      <c r="P125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25" s="913">
        <f>IFERROR(Otras_Actividades_Base[[#This Row],[Económico $Corrientes]]/Otras_Actividades_Base[[#This Row],[Indexación Económico]],0)</f>
        <v>0</v>
      </c>
      <c r="R125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25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25" s="913">
        <f>IFERROR(Otras_Actividades_Base[[#This Row],[Financiero $Corrientes]]/Otras_Actividades_Base[[#This Row],[Indexación Financiero]],0)</f>
        <v>0</v>
      </c>
      <c r="U125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25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25" s="890">
        <f>IFERROR(Otras_Actividades_Base[[#This Row],[Intereses $Corrientes]]/Otras_Actividades_Base[[#This Row],[Indexación Financiero]],0)</f>
        <v>0</v>
      </c>
      <c r="X125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25" s="915">
        <f>IFERROR(INDEX(Otras_Actividades_Cuentas[],MATCH(Otras_Actividades_Base[[#This Row],[Cuenta Contable]],Otras_Actividades_Cuentas[Cuenta Contable],0),2),0)</f>
        <v>0</v>
      </c>
      <c r="Z125" s="887">
        <f>IFERROR(INDEX(Tabla9[],MATCH(Otras_Actividades_Base[[#This Row],[Movimiento]],Tabla9[Movimientos],0),2),0)</f>
        <v>0</v>
      </c>
      <c r="AA125" s="889">
        <f>IFERROR(INDEX(Tabla9[],MATCH(Otras_Actividades_Base[[#This Row],[Movimiento]],Tabla9[Movimientos],0),3),0)</f>
        <v>0</v>
      </c>
      <c r="AB125" s="884">
        <f>IF(Otras_Actividades_Base[[#This Row],[Fecha Económico]]=0,0,MONTH(Otras_Actividades_Base[[#This Row],[Fecha Económico]]))</f>
        <v>0</v>
      </c>
      <c r="AC125" s="890">
        <f>IF(Otras_Actividades_Base[[#This Row],[Fecha Económico]]=0,0,YEAR(Otras_Actividades_Base[[#This Row],[Fecha Económico]]))</f>
        <v>0</v>
      </c>
      <c r="AD125" s="891">
        <f>SUMPRODUCT((Otras_Actividades_Base[[#This Row],[Mes Económico]]=Tipo_Cambio[Mes])*(Otras_Actividades_Base[[#This Row],[Año Económico]]=Tipo_Cambio[Año])*(Tipo_Cambio[$/U$S]))</f>
        <v>0</v>
      </c>
      <c r="AE125" s="891">
        <f>SUMPRODUCT((Otras_Actividades_Base[[#This Row],[Mes Económico]]=Tipo_Cambio[Mes])*(Otras_Actividades_Base[[#This Row],[Año Económico]]=Tipo_Cambio[Año])*(Tipo_Cambio[Actualización]))</f>
        <v>0</v>
      </c>
      <c r="AF125" s="890">
        <f>IF(ISNUMBER(Otras_Actividades_Base[[#This Row],[Fecha Financiero]])=TRUE,MONTH(Otras_Actividades_Base[[#This Row],[Fecha Financiero]]),0)</f>
        <v>0</v>
      </c>
      <c r="AG125" s="890">
        <f>IF(ISNUMBER(Otras_Actividades_Base[[#This Row],[Fecha Financiero]])=TRUE,YEAR(Otras_Actividades_Base[[#This Row],[Fecha Financiero]]),0)</f>
        <v>0</v>
      </c>
      <c r="AH125" s="891">
        <f>SUMPRODUCT((Otras_Actividades_Base[[#This Row],[Mes Financiero]]=Tipo_Cambio[Mes])*(Otras_Actividades_Base[[#This Row],[Año Financiero]]=Tipo_Cambio[Año])*(Tipo_Cambio[$/U$S]))</f>
        <v>0</v>
      </c>
      <c r="AI125" s="891">
        <f>SUMPRODUCT((Otras_Actividades_Base[[#This Row],[Mes Financiero]]=Tipo_Cambio[Mes])*(Otras_Actividades_Base[[#This Row],[Año Financiero]]=Tipo_Cambio[Año])*(Tipo_Cambio[Actualización]))</f>
        <v>0</v>
      </c>
      <c r="AJ125" s="916">
        <f>IF(Económico!$F$4=0,0,Otras_Actividades_Base[Centro de Costo])</f>
        <v>0</v>
      </c>
    </row>
    <row r="126" spans="2:36" x14ac:dyDescent="0.25">
      <c r="D126" s="42"/>
      <c r="E126" s="353"/>
      <c r="F126" s="1009" t="str">
        <f t="shared" si="6"/>
        <v>2018-2019</v>
      </c>
      <c r="G126" s="280"/>
      <c r="H126" s="32"/>
      <c r="I126" s="32"/>
      <c r="J126" s="32"/>
      <c r="K126" s="29"/>
      <c r="L126" s="77"/>
      <c r="M126" s="41"/>
      <c r="N126" s="40"/>
      <c r="O126" s="51"/>
      <c r="P126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26" s="913">
        <f>IFERROR(Otras_Actividades_Base[[#This Row],[Económico $Corrientes]]/Otras_Actividades_Base[[#This Row],[Indexación Económico]],0)</f>
        <v>0</v>
      </c>
      <c r="R126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26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26" s="913">
        <f>IFERROR(Otras_Actividades_Base[[#This Row],[Financiero $Corrientes]]/Otras_Actividades_Base[[#This Row],[Indexación Financiero]],0)</f>
        <v>0</v>
      </c>
      <c r="U126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26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26" s="890">
        <f>IFERROR(Otras_Actividades_Base[[#This Row],[Intereses $Corrientes]]/Otras_Actividades_Base[[#This Row],[Indexación Financiero]],0)</f>
        <v>0</v>
      </c>
      <c r="X126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26" s="915">
        <f>IFERROR(INDEX(Otras_Actividades_Cuentas[],MATCH(Otras_Actividades_Base[[#This Row],[Cuenta Contable]],Otras_Actividades_Cuentas[Cuenta Contable],0),2),0)</f>
        <v>0</v>
      </c>
      <c r="Z126" s="887">
        <f>IFERROR(INDEX(Tabla9[],MATCH(Otras_Actividades_Base[[#This Row],[Movimiento]],Tabla9[Movimientos],0),2),0)</f>
        <v>0</v>
      </c>
      <c r="AA126" s="889">
        <f>IFERROR(INDEX(Tabla9[],MATCH(Otras_Actividades_Base[[#This Row],[Movimiento]],Tabla9[Movimientos],0),3),0)</f>
        <v>0</v>
      </c>
      <c r="AB126" s="884">
        <f>IF(Otras_Actividades_Base[[#This Row],[Fecha Económico]]=0,0,MONTH(Otras_Actividades_Base[[#This Row],[Fecha Económico]]))</f>
        <v>0</v>
      </c>
      <c r="AC126" s="890">
        <f>IF(Otras_Actividades_Base[[#This Row],[Fecha Económico]]=0,0,YEAR(Otras_Actividades_Base[[#This Row],[Fecha Económico]]))</f>
        <v>0</v>
      </c>
      <c r="AD126" s="891">
        <f>SUMPRODUCT((Otras_Actividades_Base[[#This Row],[Mes Económico]]=Tipo_Cambio[Mes])*(Otras_Actividades_Base[[#This Row],[Año Económico]]=Tipo_Cambio[Año])*(Tipo_Cambio[$/U$S]))</f>
        <v>0</v>
      </c>
      <c r="AE126" s="891">
        <f>SUMPRODUCT((Otras_Actividades_Base[[#This Row],[Mes Económico]]=Tipo_Cambio[Mes])*(Otras_Actividades_Base[[#This Row],[Año Económico]]=Tipo_Cambio[Año])*(Tipo_Cambio[Actualización]))</f>
        <v>0</v>
      </c>
      <c r="AF126" s="890">
        <f>IF(ISNUMBER(Otras_Actividades_Base[[#This Row],[Fecha Financiero]])=TRUE,MONTH(Otras_Actividades_Base[[#This Row],[Fecha Financiero]]),0)</f>
        <v>0</v>
      </c>
      <c r="AG126" s="890">
        <f>IF(ISNUMBER(Otras_Actividades_Base[[#This Row],[Fecha Financiero]])=TRUE,YEAR(Otras_Actividades_Base[[#This Row],[Fecha Financiero]]),0)</f>
        <v>0</v>
      </c>
      <c r="AH126" s="891">
        <f>SUMPRODUCT((Otras_Actividades_Base[[#This Row],[Mes Financiero]]=Tipo_Cambio[Mes])*(Otras_Actividades_Base[[#This Row],[Año Financiero]]=Tipo_Cambio[Año])*(Tipo_Cambio[$/U$S]))</f>
        <v>0</v>
      </c>
      <c r="AI126" s="891">
        <f>SUMPRODUCT((Otras_Actividades_Base[[#This Row],[Mes Financiero]]=Tipo_Cambio[Mes])*(Otras_Actividades_Base[[#This Row],[Año Financiero]]=Tipo_Cambio[Año])*(Tipo_Cambio[Actualización]))</f>
        <v>0</v>
      </c>
      <c r="AJ126" s="916">
        <f>IF(Económico!$F$4=0,0,Otras_Actividades_Base[Centro de Costo])</f>
        <v>0</v>
      </c>
    </row>
    <row r="127" spans="2:36" x14ac:dyDescent="0.25">
      <c r="D127" s="42"/>
      <c r="E127" s="353"/>
      <c r="F127" s="1009" t="str">
        <f t="shared" si="6"/>
        <v>2018-2019</v>
      </c>
      <c r="G127" s="280"/>
      <c r="H127" s="32"/>
      <c r="I127" s="32"/>
      <c r="J127" s="32"/>
      <c r="K127" s="29"/>
      <c r="L127" s="77"/>
      <c r="M127" s="41"/>
      <c r="N127" s="40"/>
      <c r="O127" s="51"/>
      <c r="P127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27" s="913">
        <f>IFERROR(Otras_Actividades_Base[[#This Row],[Económico $Corrientes]]/Otras_Actividades_Base[[#This Row],[Indexación Económico]],0)</f>
        <v>0</v>
      </c>
      <c r="R127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27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27" s="913">
        <f>IFERROR(Otras_Actividades_Base[[#This Row],[Financiero $Corrientes]]/Otras_Actividades_Base[[#This Row],[Indexación Financiero]],0)</f>
        <v>0</v>
      </c>
      <c r="U127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27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27" s="890">
        <f>IFERROR(Otras_Actividades_Base[[#This Row],[Intereses $Corrientes]]/Otras_Actividades_Base[[#This Row],[Indexación Financiero]],0)</f>
        <v>0</v>
      </c>
      <c r="X127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27" s="915">
        <f>IFERROR(INDEX(Otras_Actividades_Cuentas[],MATCH(Otras_Actividades_Base[[#This Row],[Cuenta Contable]],Otras_Actividades_Cuentas[Cuenta Contable],0),2),0)</f>
        <v>0</v>
      </c>
      <c r="Z127" s="887">
        <f>IFERROR(INDEX(Tabla9[],MATCH(Otras_Actividades_Base[[#This Row],[Movimiento]],Tabla9[Movimientos],0),2),0)</f>
        <v>0</v>
      </c>
      <c r="AA127" s="889">
        <f>IFERROR(INDEX(Tabla9[],MATCH(Otras_Actividades_Base[[#This Row],[Movimiento]],Tabla9[Movimientos],0),3),0)</f>
        <v>0</v>
      </c>
      <c r="AB127" s="884">
        <f>IF(Otras_Actividades_Base[[#This Row],[Fecha Económico]]=0,0,MONTH(Otras_Actividades_Base[[#This Row],[Fecha Económico]]))</f>
        <v>0</v>
      </c>
      <c r="AC127" s="890">
        <f>IF(Otras_Actividades_Base[[#This Row],[Fecha Económico]]=0,0,YEAR(Otras_Actividades_Base[[#This Row],[Fecha Económico]]))</f>
        <v>0</v>
      </c>
      <c r="AD127" s="891">
        <f>SUMPRODUCT((Otras_Actividades_Base[[#This Row],[Mes Económico]]=Tipo_Cambio[Mes])*(Otras_Actividades_Base[[#This Row],[Año Económico]]=Tipo_Cambio[Año])*(Tipo_Cambio[$/U$S]))</f>
        <v>0</v>
      </c>
      <c r="AE127" s="891">
        <f>SUMPRODUCT((Otras_Actividades_Base[[#This Row],[Mes Económico]]=Tipo_Cambio[Mes])*(Otras_Actividades_Base[[#This Row],[Año Económico]]=Tipo_Cambio[Año])*(Tipo_Cambio[Actualización]))</f>
        <v>0</v>
      </c>
      <c r="AF127" s="890">
        <f>IF(ISNUMBER(Otras_Actividades_Base[[#This Row],[Fecha Financiero]])=TRUE,MONTH(Otras_Actividades_Base[[#This Row],[Fecha Financiero]]),0)</f>
        <v>0</v>
      </c>
      <c r="AG127" s="890">
        <f>IF(ISNUMBER(Otras_Actividades_Base[[#This Row],[Fecha Financiero]])=TRUE,YEAR(Otras_Actividades_Base[[#This Row],[Fecha Financiero]]),0)</f>
        <v>0</v>
      </c>
      <c r="AH127" s="891">
        <f>SUMPRODUCT((Otras_Actividades_Base[[#This Row],[Mes Financiero]]=Tipo_Cambio[Mes])*(Otras_Actividades_Base[[#This Row],[Año Financiero]]=Tipo_Cambio[Año])*(Tipo_Cambio[$/U$S]))</f>
        <v>0</v>
      </c>
      <c r="AI127" s="891">
        <f>SUMPRODUCT((Otras_Actividades_Base[[#This Row],[Mes Financiero]]=Tipo_Cambio[Mes])*(Otras_Actividades_Base[[#This Row],[Año Financiero]]=Tipo_Cambio[Año])*(Tipo_Cambio[Actualización]))</f>
        <v>0</v>
      </c>
      <c r="AJ127" s="916">
        <f>IF(Económico!$F$4=0,0,Otras_Actividades_Base[Centro de Costo])</f>
        <v>0</v>
      </c>
    </row>
    <row r="128" spans="2:36" ht="15.75" thickBot="1" x14ac:dyDescent="0.3">
      <c r="D128" s="88"/>
      <c r="E128" s="427"/>
      <c r="F128" s="1024" t="str">
        <f t="shared" si="6"/>
        <v>2018-2019</v>
      </c>
      <c r="G128" s="89"/>
      <c r="H128" s="89"/>
      <c r="I128" s="89"/>
      <c r="J128" s="89"/>
      <c r="K128" s="91"/>
      <c r="L128" s="182"/>
      <c r="M128" s="89"/>
      <c r="N128" s="89"/>
      <c r="O128" s="90"/>
      <c r="P128" s="1055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28" s="1055">
        <f>IFERROR(Otras_Actividades_Base[[#This Row],[Económico $Corrientes]]/Otras_Actividades_Base[[#This Row],[Indexación Económico]],0)</f>
        <v>0</v>
      </c>
      <c r="R128" s="1056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28" s="1057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28" s="1055">
        <f>IFERROR(Otras_Actividades_Base[[#This Row],[Financiero $Corrientes]]/Otras_Actividades_Base[[#This Row],[Indexación Financiero]],0)</f>
        <v>0</v>
      </c>
      <c r="U128" s="1055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28" s="1058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28" s="1059">
        <f>IFERROR(Otras_Actividades_Base[[#This Row],[Intereses $Corrientes]]/Otras_Actividades_Base[[#This Row],[Indexación Financiero]],0)</f>
        <v>0</v>
      </c>
      <c r="X128" s="1059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28" s="1060">
        <f>IFERROR(INDEX(Otras_Actividades_Cuentas[],MATCH(Otras_Actividades_Base[[#This Row],[Cuenta Contable]],Otras_Actividades_Cuentas[Cuenta Contable],0),2),0)</f>
        <v>0</v>
      </c>
      <c r="Z128" s="1061">
        <f>IFERROR(INDEX(Tabla9[],MATCH(Otras_Actividades_Base[[#This Row],[Movimiento]],Tabla9[Movimientos],0),2),0)</f>
        <v>0</v>
      </c>
      <c r="AA128" s="1062">
        <f>IFERROR(INDEX(Tabla9[],MATCH(Otras_Actividades_Base[[#This Row],[Movimiento]],Tabla9[Movimientos],0),3),0)</f>
        <v>0</v>
      </c>
      <c r="AB128" s="1058">
        <f>IF(Otras_Actividades_Base[[#This Row],[Fecha Económico]]=0,0,MONTH(Otras_Actividades_Base[[#This Row],[Fecha Económico]]))</f>
        <v>0</v>
      </c>
      <c r="AC128" s="1059">
        <f>IF(Otras_Actividades_Base[[#This Row],[Fecha Económico]]=0,0,YEAR(Otras_Actividades_Base[[#This Row],[Fecha Económico]]))</f>
        <v>0</v>
      </c>
      <c r="AD128" s="1062">
        <f>SUMPRODUCT((Otras_Actividades_Base[[#This Row],[Mes Económico]]=Tipo_Cambio[Mes])*(Otras_Actividades_Base[[#This Row],[Año Económico]]=Tipo_Cambio[Año])*(Tipo_Cambio[$/U$S]))</f>
        <v>0</v>
      </c>
      <c r="AE128" s="1062">
        <f>SUMPRODUCT((Otras_Actividades_Base[[#This Row],[Mes Económico]]=Tipo_Cambio[Mes])*(Otras_Actividades_Base[[#This Row],[Año Económico]]=Tipo_Cambio[Año])*(Tipo_Cambio[Actualización]))</f>
        <v>0</v>
      </c>
      <c r="AF128" s="1059">
        <f>IF(ISNUMBER(Otras_Actividades_Base[[#This Row],[Fecha Financiero]])=TRUE,MONTH(Otras_Actividades_Base[[#This Row],[Fecha Financiero]]),0)</f>
        <v>0</v>
      </c>
      <c r="AG128" s="1059">
        <f>IF(ISNUMBER(Otras_Actividades_Base[[#This Row],[Fecha Financiero]])=TRUE,YEAR(Otras_Actividades_Base[[#This Row],[Fecha Financiero]]),0)</f>
        <v>0</v>
      </c>
      <c r="AH128" s="1062">
        <f>SUMPRODUCT((Otras_Actividades_Base[[#This Row],[Mes Financiero]]=Tipo_Cambio[Mes])*(Otras_Actividades_Base[[#This Row],[Año Financiero]]=Tipo_Cambio[Año])*(Tipo_Cambio[$/U$S]))</f>
        <v>0</v>
      </c>
      <c r="AI128" s="1062">
        <f>SUMPRODUCT((Otras_Actividades_Base[[#This Row],[Mes Financiero]]=Tipo_Cambio[Mes])*(Otras_Actividades_Base[[#This Row],[Año Financiero]]=Tipo_Cambio[Año])*(Tipo_Cambio[Actualización]))</f>
        <v>0</v>
      </c>
      <c r="AJ128" s="1061">
        <f>IF(Económico!$F$4=0,0,Otras_Actividades_Base[Centro de Costo])</f>
        <v>0</v>
      </c>
    </row>
    <row r="129" spans="2:36" ht="15.75" thickTop="1" x14ac:dyDescent="0.25">
      <c r="B129" s="1136" t="s">
        <v>510</v>
      </c>
      <c r="D129" s="43"/>
      <c r="E129" s="353"/>
      <c r="F129" s="988" t="str">
        <f t="shared" si="6"/>
        <v>2018-2019</v>
      </c>
      <c r="G129" s="32" t="s">
        <v>201</v>
      </c>
      <c r="H129" s="32" t="s">
        <v>2</v>
      </c>
      <c r="I129" s="32" t="s">
        <v>200</v>
      </c>
      <c r="J129" s="32"/>
      <c r="K129" s="29"/>
      <c r="L129" s="77"/>
      <c r="M129" s="41"/>
      <c r="N129" s="41"/>
      <c r="O129" s="51"/>
      <c r="P129" s="881">
        <f>-(SUMPRODUCT((Otras_Actividades_Base[[#This Row],[Cuenta Contable]]=Producción_Agricola[Cuenta Contable])*(Producción_Agricola[Económico $Corrientes])*(Otras_Actividades_Base[[#This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$Corrientes])*(Otras_Actividades_Base[[#This Row],[Campaña]]=Comercial_Agricola[Campaña]))+SUMPRODUCT((Otras_Actividades_Base[[#This Row],[Cuenta Contable]]=Producción_Ganadera[Cuenta Contable])*(Producción_Ganadera[Económico $Corrientes])*(Otras_Actividades_Base[[#This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$Corrientes])*(Otras_Actividades_Base[[#This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$Corrientes])*(Otras_Actividades_Base[[#This Row],[Campaña]]=Indirectos[Campaña])*(Otras_Actividades_Base[[#This Row],[Centro de Costo]]=Indirectos[Centro de Costo])))</f>
        <v>0</v>
      </c>
      <c r="Q129" s="913">
        <f>IFERROR(Otras_Actividades_Base[[#This Row],[Económico $Corrientes]]/Otras_Actividades_Base[[#This Row],[Indexación Económico]],0)</f>
        <v>0</v>
      </c>
      <c r="R129" s="881">
        <f>-(SUMPRODUCT((Otras_Actividades_Base[[#This Row],[Cuenta Contable]]=Producción_Agricola[Cuenta Contable])*(Producción_Agricola[Económico U$S Dólares])*(Otras_Actividades_Base[[#This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U$S Dólares])*(Otras_Actividades_Base[[#This Row],[Campaña]]=Comercial_Agricola[Campaña]))+SUMPRODUCT((Otras_Actividades_Base[[#This Row],[Cuenta Contable]]=Producción_Ganadera[Cuenta Contable])*(Producción_Ganadera[Económico U$S Dólares])*(Otras_Actividades_Base[[#This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U$S Dólares])*(Otras_Actividades_Base[[#This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U$S Dólares])*(Otras_Actividades_Base[[#This Row],[Campaña]]=Indirectos[Campaña])*(Otras_Actividades_Base[[#This Row],[Centro de Costo]]=Indirectos[Centro de Costo])))</f>
        <v>0</v>
      </c>
      <c r="S129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29" s="913">
        <f>IFERROR(Otras_Actividades_Base[[#This Row],[Financiero $Corrientes]]/Otras_Actividades_Base[[#This Row],[Indexación Financiero]],0)</f>
        <v>0</v>
      </c>
      <c r="U129" s="913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29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29" s="890">
        <f>IFERROR(Otras_Actividades_Base[[#This Row],[Intereses $Corrientes]]/Otras_Actividades_Base[[#This Row],[Indexación Financiero]],0)</f>
        <v>0</v>
      </c>
      <c r="X129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29" s="886" t="str">
        <f>IFERROR(INDEX(Otras_Actividades_Cuentas[],MATCH(Otras_Actividades_Base[[#This Row],[Cuenta Contable]],Otras_Actividades_Cuentas[Cuenta Contable],0),2),0)</f>
        <v>Ingreso Cesión</v>
      </c>
      <c r="Z129" s="887" t="str">
        <f>IFERROR(INDEX(Tabla9[],MATCH(Otras_Actividades_Base[[#This Row],[Movimiento]],Tabla9[Movimientos],0),2),0)</f>
        <v>No</v>
      </c>
      <c r="AA129" s="889" t="str">
        <f>IFERROR(INDEX(Tabla9[],MATCH(Otras_Actividades_Base[[#This Row],[Movimiento]],Tabla9[Movimientos],0),3),0)</f>
        <v>(+)</v>
      </c>
      <c r="AB129" s="884">
        <f>IF(Otras_Actividades_Base[[#This Row],[Fecha Económico]]=0,0,MONTH(Otras_Actividades_Base[[#This Row],[Fecha Económico]]))</f>
        <v>0</v>
      </c>
      <c r="AC129" s="890">
        <f>IF(Otras_Actividades_Base[[#This Row],[Fecha Económico]]=0,0,YEAR(Otras_Actividades_Base[[#This Row],[Fecha Económico]]))</f>
        <v>0</v>
      </c>
      <c r="AD129" s="891">
        <f>SUMPRODUCT((Otras_Actividades_Base[[#This Row],[Mes Económico]]=Tipo_Cambio[Mes])*(Otras_Actividades_Base[[#This Row],[Año Económico]]=Tipo_Cambio[Año])*(Tipo_Cambio[$/U$S]))</f>
        <v>0</v>
      </c>
      <c r="AE129" s="891">
        <f>SUMPRODUCT((Otras_Actividades_Base[[#This Row],[Mes Económico]]=Tipo_Cambio[Mes])*(Otras_Actividades_Base[[#This Row],[Año Económico]]=Tipo_Cambio[Año])*(Tipo_Cambio[Actualización]))</f>
        <v>0</v>
      </c>
      <c r="AF129" s="890">
        <f>IF(ISNUMBER(Otras_Actividades_Base[[#This Row],[Fecha Financiero]])=TRUE,MONTH(Otras_Actividades_Base[[#This Row],[Fecha Financiero]]),0)</f>
        <v>0</v>
      </c>
      <c r="AG129" s="890">
        <f>IF(ISNUMBER(Otras_Actividades_Base[[#This Row],[Fecha Financiero]])=TRUE,YEAR(Otras_Actividades_Base[[#This Row],[Fecha Financiero]]),0)</f>
        <v>0</v>
      </c>
      <c r="AH129" s="891">
        <f>SUMPRODUCT((Otras_Actividades_Base[[#This Row],[Mes Financiero]]=Tipo_Cambio[Mes])*(Otras_Actividades_Base[[#This Row],[Año Financiero]]=Tipo_Cambio[Año])*(Tipo_Cambio[$/U$S]))</f>
        <v>0</v>
      </c>
      <c r="AI129" s="891">
        <f>SUMPRODUCT((Otras_Actividades_Base[[#This Row],[Mes Financiero]]=Tipo_Cambio[Mes])*(Otras_Actividades_Base[[#This Row],[Año Financiero]]=Tipo_Cambio[Año])*(Tipo_Cambio[Actualización]))</f>
        <v>0</v>
      </c>
      <c r="AJ129" s="887" t="str">
        <f>IF(Económico!$F$4=0,0,Otras_Actividades_Base[Centro de Costo])</f>
        <v>Campo 1</v>
      </c>
    </row>
    <row r="130" spans="2:36" x14ac:dyDescent="0.25">
      <c r="B130" s="1136"/>
      <c r="D130" s="43"/>
      <c r="E130" s="353"/>
      <c r="F130" s="988" t="str">
        <f t="shared" si="6"/>
        <v>2018-2019</v>
      </c>
      <c r="G130" s="32" t="s">
        <v>204</v>
      </c>
      <c r="H130" s="32" t="s">
        <v>2</v>
      </c>
      <c r="I130" s="32" t="s">
        <v>43</v>
      </c>
      <c r="J130" s="32"/>
      <c r="K130" s="29"/>
      <c r="L130" s="77"/>
      <c r="M130" s="32"/>
      <c r="N130" s="41"/>
      <c r="O130" s="51"/>
      <c r="P130" s="881">
        <f>-(SUMPRODUCT((Otras_Actividades_Base[[#This Row],[Cuenta Contable]]=Producción_Agricola[Cuenta Contable])*(Producción_Agricola[Económico $Corrientes])*(Otras_Actividades_Base[[#This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$Corrientes])*(Otras_Actividades_Base[[#This Row],[Campaña]]=Comercial_Agricola[Campaña]))+SUMPRODUCT((Otras_Actividades_Base[[#This Row],[Cuenta Contable]]=Producción_Ganadera[Cuenta Contable])*(Producción_Ganadera[Económico $Corrientes])*(Otras_Actividades_Base[[#This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$Corrientes])*(Otras_Actividades_Base[[#This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$Corrientes])*(Otras_Actividades_Base[[#This Row],[Campaña]]=Indirectos[Campaña])*(Otras_Actividades_Base[[#This Row],[Centro de Costo]]=Indirectos[Centro de Costo])))</f>
        <v>0</v>
      </c>
      <c r="Q130" s="913">
        <f>IFERROR(Otras_Actividades_Base[[#This Row],[Económico $Corrientes]]/Otras_Actividades_Base[[#This Row],[Indexación Económico]],0)</f>
        <v>0</v>
      </c>
      <c r="R130" s="882">
        <f>-(SUMPRODUCT((Otras_Actividades_Base[[#This Row],[Cuenta Contable]]=Producción_Agricola[Cuenta Contable])*(Producción_Agricola[Económico U$S Dólares])*(Otras_Actividades_Base[[#This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U$S Dólares])*(Otras_Actividades_Base[[#This Row],[Campaña]]=Comercial_Agricola[Campaña]))+SUMPRODUCT((Otras_Actividades_Base[[#This Row],[Cuenta Contable]]=Producción_Ganadera[Cuenta Contable])*(Producción_Ganadera[Económico U$S Dólares])*(Otras_Actividades_Base[[#This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U$S Dólares])*(Otras_Actividades_Base[[#This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U$S Dólares])*(Otras_Actividades_Base[[#This Row],[Campaña]]=Indirectos[Campaña])*(Otras_Actividades_Base[[#This Row],[Centro de Costo]]=Indirectos[Centro de Costo])))</f>
        <v>0</v>
      </c>
      <c r="S130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30" s="913">
        <f>IFERROR(Otras_Actividades_Base[[#This Row],[Financiero $Corrientes]]/Otras_Actividades_Base[[#This Row],[Indexación Financiero]],0)</f>
        <v>0</v>
      </c>
      <c r="U130" s="913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30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30" s="890">
        <f>IFERROR(Otras_Actividades_Base[[#This Row],[Intereses $Corrientes]]/Otras_Actividades_Base[[#This Row],[Indexación Financiero]],0)</f>
        <v>0</v>
      </c>
      <c r="X130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30" s="886" t="str">
        <f>IFERROR(INDEX(Otras_Actividades_Cuentas[],MATCH(Otras_Actividades_Base[[#This Row],[Cuenta Contable]],Otras_Actividades_Cuentas[Cuenta Contable],0),2),0)</f>
        <v>Ingreso Cesión</v>
      </c>
      <c r="Z130" s="887" t="str">
        <f>IFERROR(INDEX(Tabla9[],MATCH(Otras_Actividades_Base[[#This Row],[Movimiento]],Tabla9[Movimientos],0),2),0)</f>
        <v>No</v>
      </c>
      <c r="AA130" s="889" t="str">
        <f>IFERROR(INDEX(Tabla9[],MATCH(Otras_Actividades_Base[[#This Row],[Movimiento]],Tabla9[Movimientos],0),3),0)</f>
        <v>(+)</v>
      </c>
      <c r="AB130" s="884">
        <f>IF(Otras_Actividades_Base[[#This Row],[Fecha Económico]]=0,0,MONTH(Otras_Actividades_Base[[#This Row],[Fecha Económico]]))</f>
        <v>0</v>
      </c>
      <c r="AC130" s="890">
        <f>IF(Otras_Actividades_Base[[#This Row],[Fecha Económico]]=0,0,YEAR(Otras_Actividades_Base[[#This Row],[Fecha Económico]]))</f>
        <v>0</v>
      </c>
      <c r="AD130" s="891">
        <f>SUMPRODUCT((Otras_Actividades_Base[[#This Row],[Mes Económico]]=Tipo_Cambio[Mes])*(Otras_Actividades_Base[[#This Row],[Año Económico]]=Tipo_Cambio[Año])*(Tipo_Cambio[$/U$S]))</f>
        <v>0</v>
      </c>
      <c r="AE130" s="891">
        <f>SUMPRODUCT((Otras_Actividades_Base[[#This Row],[Mes Económico]]=Tipo_Cambio[Mes])*(Otras_Actividades_Base[[#This Row],[Año Económico]]=Tipo_Cambio[Año])*(Tipo_Cambio[Actualización]))</f>
        <v>0</v>
      </c>
      <c r="AF130" s="890">
        <f>IF(ISNUMBER(Otras_Actividades_Base[[#This Row],[Fecha Financiero]])=TRUE,MONTH(Otras_Actividades_Base[[#This Row],[Fecha Financiero]]),0)</f>
        <v>0</v>
      </c>
      <c r="AG130" s="890">
        <f>IF(ISNUMBER(Otras_Actividades_Base[[#This Row],[Fecha Financiero]])=TRUE,YEAR(Otras_Actividades_Base[[#This Row],[Fecha Financiero]]),0)</f>
        <v>0</v>
      </c>
      <c r="AH130" s="891">
        <f>SUMPRODUCT((Otras_Actividades_Base[[#This Row],[Mes Financiero]]=Tipo_Cambio[Mes])*(Otras_Actividades_Base[[#This Row],[Año Financiero]]=Tipo_Cambio[Año])*(Tipo_Cambio[$/U$S]))</f>
        <v>0</v>
      </c>
      <c r="AI130" s="891">
        <f>SUMPRODUCT((Otras_Actividades_Base[[#This Row],[Mes Financiero]]=Tipo_Cambio[Mes])*(Otras_Actividades_Base[[#This Row],[Año Financiero]]=Tipo_Cambio[Año])*(Tipo_Cambio[Actualización]))</f>
        <v>0</v>
      </c>
      <c r="AJ130" s="887" t="str">
        <f>IF(Económico!$F$4=0,0,Otras_Actividades_Base[Centro de Costo])</f>
        <v>Campo 1</v>
      </c>
    </row>
    <row r="131" spans="2:36" x14ac:dyDescent="0.25">
      <c r="B131" s="1136"/>
      <c r="D131" s="43"/>
      <c r="E131" s="353"/>
      <c r="F131" s="988" t="str">
        <f t="shared" si="6"/>
        <v>2018-2019</v>
      </c>
      <c r="G131" s="32" t="s">
        <v>201</v>
      </c>
      <c r="H131" s="32" t="s">
        <v>8</v>
      </c>
      <c r="I131" s="32" t="s">
        <v>200</v>
      </c>
      <c r="J131" s="32"/>
      <c r="K131" s="29"/>
      <c r="L131" s="77"/>
      <c r="M131" s="32"/>
      <c r="N131" s="40"/>
      <c r="O131" s="51"/>
      <c r="P131" s="883">
        <f>-(SUMPRODUCT((Otras_Actividades_Base[[#This Row],[Cuenta Contable]]=Producción_Agricola[Cuenta Contable])*(Producción_Agricola[Económico $Corrientes])*(Otras_Actividades_Base[[#This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$Corrientes])*(Otras_Actividades_Base[[#This Row],[Campaña]]=Comercial_Agricola[Campaña]))+SUMPRODUCT((Otras_Actividades_Base[[#This Row],[Cuenta Contable]]=Producción_Ganadera[Cuenta Contable])*(Producción_Ganadera[Económico $Corrientes])*(Otras_Actividades_Base[[#This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$Corrientes])*(Otras_Actividades_Base[[#This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$Corrientes])*(Otras_Actividades_Base[[#This Row],[Campaña]]=Indirectos[Campaña])*(Otras_Actividades_Base[[#This Row],[Centro de Costo]]=Indirectos[Centro de Costo])))</f>
        <v>0</v>
      </c>
      <c r="Q131" s="913">
        <f>IFERROR(Otras_Actividades_Base[[#This Row],[Económico $Corrientes]]/Otras_Actividades_Base[[#This Row],[Indexación Económico]],0)</f>
        <v>0</v>
      </c>
      <c r="R131" s="882">
        <f>-(SUMPRODUCT((Otras_Actividades_Base[[#This Row],[Cuenta Contable]]=Producción_Agricola[Cuenta Contable])*(Producción_Agricola[Económico U$S Dólares])*(Otras_Actividades_Base[[#This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U$S Dólares])*(Otras_Actividades_Base[[#This Row],[Campaña]]=Comercial_Agricola[Campaña]))+SUMPRODUCT((Otras_Actividades_Base[[#This Row],[Cuenta Contable]]=Producción_Ganadera[Cuenta Contable])*(Producción_Ganadera[Económico U$S Dólares])*(Otras_Actividades_Base[[#This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U$S Dólares])*(Otras_Actividades_Base[[#This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U$S Dólares])*(Otras_Actividades_Base[[#This Row],[Campaña]]=Indirectos[Campaña])*(Otras_Actividades_Base[[#This Row],[Centro de Costo]]=Indirectos[Centro de Costo])))</f>
        <v>0</v>
      </c>
      <c r="S131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31" s="913">
        <f>IFERROR(Otras_Actividades_Base[[#This Row],[Financiero $Corrientes]]/Otras_Actividades_Base[[#This Row],[Indexación Financiero]],0)</f>
        <v>0</v>
      </c>
      <c r="U131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31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31" s="890">
        <f>IFERROR(Otras_Actividades_Base[[#This Row],[Intereses $Corrientes]]/Otras_Actividades_Base[[#This Row],[Indexación Financiero]],0)</f>
        <v>0</v>
      </c>
      <c r="X131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31" s="915" t="str">
        <f>IFERROR(INDEX(Otras_Actividades_Cuentas[],MATCH(Otras_Actividades_Base[[#This Row],[Cuenta Contable]],Otras_Actividades_Cuentas[Cuenta Contable],0),2),0)</f>
        <v>Ingreso Cesión</v>
      </c>
      <c r="Z131" s="887" t="str">
        <f>IFERROR(INDEX(Tabla9[],MATCH(Otras_Actividades_Base[[#This Row],[Movimiento]],Tabla9[Movimientos],0),2),0)</f>
        <v>No</v>
      </c>
      <c r="AA131" s="891" t="str">
        <f>IFERROR(INDEX(Tabla9[],MATCH(Otras_Actividades_Base[[#This Row],[Movimiento]],Tabla9[Movimientos],0),3),0)</f>
        <v>(+)</v>
      </c>
      <c r="AB131" s="884">
        <f>IF(Otras_Actividades_Base[[#This Row],[Fecha Económico]]=0,0,MONTH(Otras_Actividades_Base[[#This Row],[Fecha Económico]]))</f>
        <v>0</v>
      </c>
      <c r="AC131" s="890">
        <f>IF(Otras_Actividades_Base[[#This Row],[Fecha Económico]]=0,0,YEAR(Otras_Actividades_Base[[#This Row],[Fecha Económico]]))</f>
        <v>0</v>
      </c>
      <c r="AD131" s="891">
        <f>SUMPRODUCT((Otras_Actividades_Base[[#This Row],[Mes Económico]]=Tipo_Cambio[Mes])*(Otras_Actividades_Base[[#This Row],[Año Económico]]=Tipo_Cambio[Año])*(Tipo_Cambio[$/U$S]))</f>
        <v>0</v>
      </c>
      <c r="AE131" s="891">
        <f>SUMPRODUCT((Otras_Actividades_Base[[#This Row],[Mes Económico]]=Tipo_Cambio[Mes])*(Otras_Actividades_Base[[#This Row],[Año Económico]]=Tipo_Cambio[Año])*(Tipo_Cambio[Actualización]))</f>
        <v>0</v>
      </c>
      <c r="AF131" s="890">
        <f>IF(ISNUMBER(Otras_Actividades_Base[[#This Row],[Fecha Financiero]])=TRUE,MONTH(Otras_Actividades_Base[[#This Row],[Fecha Financiero]]),0)</f>
        <v>0</v>
      </c>
      <c r="AG131" s="890">
        <f>IF(ISNUMBER(Otras_Actividades_Base[[#This Row],[Fecha Financiero]])=TRUE,YEAR(Otras_Actividades_Base[[#This Row],[Fecha Financiero]]),0)</f>
        <v>0</v>
      </c>
      <c r="AH131" s="891">
        <f>SUMPRODUCT((Otras_Actividades_Base[[#This Row],[Mes Financiero]]=Tipo_Cambio[Mes])*(Otras_Actividades_Base[[#This Row],[Año Financiero]]=Tipo_Cambio[Año])*(Tipo_Cambio[$/U$S]))</f>
        <v>0</v>
      </c>
      <c r="AI131" s="891">
        <f>SUMPRODUCT((Otras_Actividades_Base[[#This Row],[Mes Financiero]]=Tipo_Cambio[Mes])*(Otras_Actividades_Base[[#This Row],[Año Financiero]]=Tipo_Cambio[Año])*(Tipo_Cambio[Actualización]))</f>
        <v>0</v>
      </c>
      <c r="AJ131" s="887" t="str">
        <f>IF(Económico!$F$4=0,0,Otras_Actividades_Base[Centro de Costo])</f>
        <v>Campo 2</v>
      </c>
    </row>
    <row r="132" spans="2:36" x14ac:dyDescent="0.25">
      <c r="D132" s="43"/>
      <c r="E132" s="353"/>
      <c r="F132" s="988" t="str">
        <f t="shared" si="6"/>
        <v>2018-2019</v>
      </c>
      <c r="G132" s="32" t="s">
        <v>204</v>
      </c>
      <c r="H132" s="32" t="s">
        <v>8</v>
      </c>
      <c r="I132" s="32" t="s">
        <v>43</v>
      </c>
      <c r="J132" s="32"/>
      <c r="K132" s="29"/>
      <c r="L132" s="77"/>
      <c r="M132" s="32"/>
      <c r="N132" s="40"/>
      <c r="O132" s="51"/>
      <c r="P132" s="883">
        <f>-(SUMPRODUCT((Otras_Actividades_Base[[#This Row],[Cuenta Contable]]=Producción_Agricola[Cuenta Contable])*(Producción_Agricola[Económico $Corrientes])*(Otras_Actividades_Base[[#This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$Corrientes])*(Otras_Actividades_Base[[#This Row],[Campaña]]=Comercial_Agricola[Campaña]))+SUMPRODUCT((Otras_Actividades_Base[[#This Row],[Cuenta Contable]]=Producción_Ganadera[Cuenta Contable])*(Producción_Ganadera[Económico $Corrientes])*(Otras_Actividades_Base[[#This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$Corrientes])*(Otras_Actividades_Base[[#This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$Corrientes])*(Otras_Actividades_Base[[#This Row],[Campaña]]=Indirectos[Campaña])*(Otras_Actividades_Base[[#This Row],[Centro de Costo]]=Indirectos[Centro de Costo])))</f>
        <v>0</v>
      </c>
      <c r="Q132" s="913">
        <f>IFERROR(Otras_Actividades_Base[[#This Row],[Económico $Corrientes]]/Otras_Actividades_Base[[#This Row],[Indexación Económico]],0)</f>
        <v>0</v>
      </c>
      <c r="R132" s="882">
        <f>-(SUMPRODUCT((Otras_Actividades_Base[[#This Row],[Cuenta Contable]]=Producción_Agricola[Cuenta Contable])*(Producción_Agricola[Económico U$S Dólares])*(Otras_Actividades_Base[[#This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U$S Dólares])*(Otras_Actividades_Base[[#This Row],[Campaña]]=Comercial_Agricola[Campaña]))+SUMPRODUCT((Otras_Actividades_Base[[#This Row],[Cuenta Contable]]=Producción_Ganadera[Cuenta Contable])*(Producción_Ganadera[Económico U$S Dólares])*(Otras_Actividades_Base[[#This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U$S Dólares])*(Otras_Actividades_Base[[#This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U$S Dólares])*(Otras_Actividades_Base[[#This Row],[Campaña]]=Indirectos[Campaña])*(Otras_Actividades_Base[[#This Row],[Centro de Costo]]=Indirectos[Centro de Costo])))</f>
        <v>0</v>
      </c>
      <c r="S132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32" s="913">
        <f>IFERROR(Otras_Actividades_Base[[#This Row],[Financiero $Corrientes]]/Otras_Actividades_Base[[#This Row],[Indexación Financiero]],0)</f>
        <v>0</v>
      </c>
      <c r="U132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32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32" s="890">
        <f>IFERROR(Otras_Actividades_Base[[#This Row],[Intereses $Corrientes]]/Otras_Actividades_Base[[#This Row],[Indexación Financiero]],0)</f>
        <v>0</v>
      </c>
      <c r="X132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32" s="915" t="str">
        <f>IFERROR(INDEX(Otras_Actividades_Cuentas[],MATCH(Otras_Actividades_Base[[#This Row],[Cuenta Contable]],Otras_Actividades_Cuentas[Cuenta Contable],0),2),0)</f>
        <v>Ingreso Cesión</v>
      </c>
      <c r="Z132" s="887" t="str">
        <f>IFERROR(INDEX(Tabla9[],MATCH(Otras_Actividades_Base[[#This Row],[Movimiento]],Tabla9[Movimientos],0),2),0)</f>
        <v>No</v>
      </c>
      <c r="AA132" s="891" t="str">
        <f>IFERROR(INDEX(Tabla9[],MATCH(Otras_Actividades_Base[[#This Row],[Movimiento]],Tabla9[Movimientos],0),3),0)</f>
        <v>(+)</v>
      </c>
      <c r="AB132" s="884">
        <f>IF(Otras_Actividades_Base[[#This Row],[Fecha Económico]]=0,0,MONTH(Otras_Actividades_Base[[#This Row],[Fecha Económico]]))</f>
        <v>0</v>
      </c>
      <c r="AC132" s="890">
        <f>IF(Otras_Actividades_Base[[#This Row],[Fecha Económico]]=0,0,YEAR(Otras_Actividades_Base[[#This Row],[Fecha Económico]]))</f>
        <v>0</v>
      </c>
      <c r="AD132" s="891">
        <f>SUMPRODUCT((Otras_Actividades_Base[[#This Row],[Mes Económico]]=Tipo_Cambio[Mes])*(Otras_Actividades_Base[[#This Row],[Año Económico]]=Tipo_Cambio[Año])*(Tipo_Cambio[$/U$S]))</f>
        <v>0</v>
      </c>
      <c r="AE132" s="891">
        <f>SUMPRODUCT((Otras_Actividades_Base[[#This Row],[Mes Económico]]=Tipo_Cambio[Mes])*(Otras_Actividades_Base[[#This Row],[Año Económico]]=Tipo_Cambio[Año])*(Tipo_Cambio[Actualización]))</f>
        <v>0</v>
      </c>
      <c r="AF132" s="890">
        <f>IF(ISNUMBER(Otras_Actividades_Base[[#This Row],[Fecha Financiero]])=TRUE,MONTH(Otras_Actividades_Base[[#This Row],[Fecha Financiero]]),0)</f>
        <v>0</v>
      </c>
      <c r="AG132" s="890">
        <f>IF(ISNUMBER(Otras_Actividades_Base[[#This Row],[Fecha Financiero]])=TRUE,YEAR(Otras_Actividades_Base[[#This Row],[Fecha Financiero]]),0)</f>
        <v>0</v>
      </c>
      <c r="AH132" s="891">
        <f>SUMPRODUCT((Otras_Actividades_Base[[#This Row],[Mes Financiero]]=Tipo_Cambio[Mes])*(Otras_Actividades_Base[[#This Row],[Año Financiero]]=Tipo_Cambio[Año])*(Tipo_Cambio[$/U$S]))</f>
        <v>0</v>
      </c>
      <c r="AI132" s="891">
        <f>SUMPRODUCT((Otras_Actividades_Base[[#This Row],[Mes Financiero]]=Tipo_Cambio[Mes])*(Otras_Actividades_Base[[#This Row],[Año Financiero]]=Tipo_Cambio[Año])*(Tipo_Cambio[Actualización]))</f>
        <v>0</v>
      </c>
      <c r="AJ132" s="916" t="str">
        <f>IF(Económico!$F$4=0,0,Otras_Actividades_Base[Centro de Costo])</f>
        <v>Campo 2</v>
      </c>
    </row>
    <row r="133" spans="2:36" x14ac:dyDescent="0.25">
      <c r="D133" s="43"/>
      <c r="E133" s="353"/>
      <c r="F133" s="988" t="str">
        <f t="shared" si="6"/>
        <v>2018-2019</v>
      </c>
      <c r="G133" s="32" t="s">
        <v>201</v>
      </c>
      <c r="H133" s="32" t="s">
        <v>9</v>
      </c>
      <c r="I133" s="32" t="s">
        <v>200</v>
      </c>
      <c r="J133" s="32"/>
      <c r="K133" s="29"/>
      <c r="L133" s="77"/>
      <c r="M133" s="32"/>
      <c r="N133" s="40"/>
      <c r="O133" s="51"/>
      <c r="P133" s="883">
        <f>-(SUMPRODUCT((Otras_Actividades_Base[[#This Row],[Cuenta Contable]]=Producción_Agricola[Cuenta Contable])*(Producción_Agricola[Económico $Corrientes])*(Otras_Actividades_Base[[#This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$Corrientes])*(Otras_Actividades_Base[[#This Row],[Campaña]]=Comercial_Agricola[Campaña]))+SUMPRODUCT((Otras_Actividades_Base[[#This Row],[Cuenta Contable]]=Producción_Ganadera[Cuenta Contable])*(Producción_Ganadera[Económico $Corrientes])*(Otras_Actividades_Base[[#This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$Corrientes])*(Otras_Actividades_Base[[#This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$Corrientes])*(Otras_Actividades_Base[[#This Row],[Campaña]]=Indirectos[Campaña])*(Otras_Actividades_Base[[#This Row],[Centro de Costo]]=Indirectos[Centro de Costo])))</f>
        <v>0</v>
      </c>
      <c r="Q133" s="913">
        <f>IFERROR(Otras_Actividades_Base[[#This Row],[Económico $Corrientes]]/Otras_Actividades_Base[[#This Row],[Indexación Económico]],0)</f>
        <v>0</v>
      </c>
      <c r="R133" s="882">
        <f>-(SUMPRODUCT((Otras_Actividades_Base[[#This Row],[Cuenta Contable]]=Producción_Agricola[Cuenta Contable])*(Producción_Agricola[Económico U$S Dólares])*(Otras_Actividades_Base[[#This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U$S Dólares])*(Otras_Actividades_Base[[#This Row],[Campaña]]=Comercial_Agricola[Campaña]))+SUMPRODUCT((Otras_Actividades_Base[[#This Row],[Cuenta Contable]]=Producción_Ganadera[Cuenta Contable])*(Producción_Ganadera[Económico U$S Dólares])*(Otras_Actividades_Base[[#This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U$S Dólares])*(Otras_Actividades_Base[[#This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U$S Dólares])*(Otras_Actividades_Base[[#This Row],[Campaña]]=Indirectos[Campaña])*(Otras_Actividades_Base[[#This Row],[Centro de Costo]]=Indirectos[Centro de Costo])))</f>
        <v>0</v>
      </c>
      <c r="S133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33" s="913">
        <f>IFERROR(Otras_Actividades_Base[[#This Row],[Financiero $Corrientes]]/Otras_Actividades_Base[[#This Row],[Indexación Financiero]],0)</f>
        <v>0</v>
      </c>
      <c r="U133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33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33" s="890">
        <f>IFERROR(Otras_Actividades_Base[[#This Row],[Intereses $Corrientes]]/Otras_Actividades_Base[[#This Row],[Indexación Financiero]],0)</f>
        <v>0</v>
      </c>
      <c r="X133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33" s="915" t="str">
        <f>IFERROR(INDEX(Otras_Actividades_Cuentas[],MATCH(Otras_Actividades_Base[[#This Row],[Cuenta Contable]],Otras_Actividades_Cuentas[Cuenta Contable],0),2),0)</f>
        <v>Ingreso Cesión</v>
      </c>
      <c r="Z133" s="887" t="str">
        <f>IFERROR(INDEX(Tabla9[],MATCH(Otras_Actividades_Base[[#This Row],[Movimiento]],Tabla9[Movimientos],0),2),0)</f>
        <v>No</v>
      </c>
      <c r="AA133" s="891" t="str">
        <f>IFERROR(INDEX(Tabla9[],MATCH(Otras_Actividades_Base[[#This Row],[Movimiento]],Tabla9[Movimientos],0),3),0)</f>
        <v>(+)</v>
      </c>
      <c r="AB133" s="884">
        <f>IF(Otras_Actividades_Base[[#This Row],[Fecha Económico]]=0,0,MONTH(Otras_Actividades_Base[[#This Row],[Fecha Económico]]))</f>
        <v>0</v>
      </c>
      <c r="AC133" s="890">
        <f>IF(Otras_Actividades_Base[[#This Row],[Fecha Económico]]=0,0,YEAR(Otras_Actividades_Base[[#This Row],[Fecha Económico]]))</f>
        <v>0</v>
      </c>
      <c r="AD133" s="891">
        <f>SUMPRODUCT((Otras_Actividades_Base[[#This Row],[Mes Económico]]=Tipo_Cambio[Mes])*(Otras_Actividades_Base[[#This Row],[Año Económico]]=Tipo_Cambio[Año])*(Tipo_Cambio[$/U$S]))</f>
        <v>0</v>
      </c>
      <c r="AE133" s="891">
        <f>SUMPRODUCT((Otras_Actividades_Base[[#This Row],[Mes Económico]]=Tipo_Cambio[Mes])*(Otras_Actividades_Base[[#This Row],[Año Económico]]=Tipo_Cambio[Año])*(Tipo_Cambio[Actualización]))</f>
        <v>0</v>
      </c>
      <c r="AF133" s="890">
        <f>IF(ISNUMBER(Otras_Actividades_Base[[#This Row],[Fecha Financiero]])=TRUE,MONTH(Otras_Actividades_Base[[#This Row],[Fecha Financiero]]),0)</f>
        <v>0</v>
      </c>
      <c r="AG133" s="890">
        <f>IF(ISNUMBER(Otras_Actividades_Base[[#This Row],[Fecha Financiero]])=TRUE,YEAR(Otras_Actividades_Base[[#This Row],[Fecha Financiero]]),0)</f>
        <v>0</v>
      </c>
      <c r="AH133" s="891">
        <f>SUMPRODUCT((Otras_Actividades_Base[[#This Row],[Mes Financiero]]=Tipo_Cambio[Mes])*(Otras_Actividades_Base[[#This Row],[Año Financiero]]=Tipo_Cambio[Año])*(Tipo_Cambio[$/U$S]))</f>
        <v>0</v>
      </c>
      <c r="AI133" s="891">
        <f>SUMPRODUCT((Otras_Actividades_Base[[#This Row],[Mes Financiero]]=Tipo_Cambio[Mes])*(Otras_Actividades_Base[[#This Row],[Año Financiero]]=Tipo_Cambio[Año])*(Tipo_Cambio[Actualización]))</f>
        <v>0</v>
      </c>
      <c r="AJ133" s="916" t="str">
        <f>IF(Económico!$F$4=0,0,Otras_Actividades_Base[Centro de Costo])</f>
        <v>Campo 3</v>
      </c>
    </row>
    <row r="134" spans="2:36" x14ac:dyDescent="0.25">
      <c r="D134" s="43"/>
      <c r="E134" s="353"/>
      <c r="F134" s="988" t="str">
        <f t="shared" si="6"/>
        <v>2018-2019</v>
      </c>
      <c r="G134" s="32" t="s">
        <v>204</v>
      </c>
      <c r="H134" s="32" t="s">
        <v>9</v>
      </c>
      <c r="I134" s="32" t="s">
        <v>43</v>
      </c>
      <c r="J134" s="32"/>
      <c r="K134" s="29"/>
      <c r="L134" s="77"/>
      <c r="M134" s="32"/>
      <c r="N134" s="40"/>
      <c r="O134" s="51"/>
      <c r="P134" s="883">
        <f>-(SUMPRODUCT((Otras_Actividades_Base[[#This Row],[Cuenta Contable]]=Producción_Agricola[Cuenta Contable])*(Producción_Agricola[Económico $Corrientes])*(Otras_Actividades_Base[[#This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$Corrientes])*(Otras_Actividades_Base[[#This Row],[Campaña]]=Comercial_Agricola[Campaña]))+SUMPRODUCT((Otras_Actividades_Base[[#This Row],[Cuenta Contable]]=Producción_Ganadera[Cuenta Contable])*(Producción_Ganadera[Económico $Corrientes])*(Otras_Actividades_Base[[#This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$Corrientes])*(Otras_Actividades_Base[[#This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$Corrientes])*(Otras_Actividades_Base[[#This Row],[Campaña]]=Indirectos[Campaña])*(Otras_Actividades_Base[[#This Row],[Centro de Costo]]=Indirectos[Centro de Costo])))</f>
        <v>0</v>
      </c>
      <c r="Q134" s="913">
        <f>IFERROR(Otras_Actividades_Base[[#This Row],[Económico $Corrientes]]/Otras_Actividades_Base[[#This Row],[Indexación Económico]],0)</f>
        <v>0</v>
      </c>
      <c r="R134" s="882">
        <f>-(SUMPRODUCT((Otras_Actividades_Base[[#This Row],[Cuenta Contable]]=Producción_Agricola[Cuenta Contable])*(Producción_Agricola[Económico U$S Dólares])*(Otras_Actividades_Base[[#This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U$S Dólares])*(Otras_Actividades_Base[[#This Row],[Campaña]]=Comercial_Agricola[Campaña]))+SUMPRODUCT((Otras_Actividades_Base[[#This Row],[Cuenta Contable]]=Producción_Ganadera[Cuenta Contable])*(Producción_Ganadera[Económico U$S Dólares])*(Otras_Actividades_Base[[#This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U$S Dólares])*(Otras_Actividades_Base[[#This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U$S Dólares])*(Otras_Actividades_Base[[#This Row],[Campaña]]=Indirectos[Campaña])*(Otras_Actividades_Base[[#This Row],[Centro de Costo]]=Indirectos[Centro de Costo])))</f>
        <v>0</v>
      </c>
      <c r="S134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34" s="913">
        <f>IFERROR(Otras_Actividades_Base[[#This Row],[Financiero $Corrientes]]/Otras_Actividades_Base[[#This Row],[Indexación Financiero]],0)</f>
        <v>0</v>
      </c>
      <c r="U134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34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34" s="890">
        <f>IFERROR(Otras_Actividades_Base[[#This Row],[Intereses $Corrientes]]/Otras_Actividades_Base[[#This Row],[Indexación Financiero]],0)</f>
        <v>0</v>
      </c>
      <c r="X134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34" s="915" t="str">
        <f>IFERROR(INDEX(Otras_Actividades_Cuentas[],MATCH(Otras_Actividades_Base[[#This Row],[Cuenta Contable]],Otras_Actividades_Cuentas[Cuenta Contable],0),2),0)</f>
        <v>Ingreso Cesión</v>
      </c>
      <c r="Z134" s="887" t="str">
        <f>IFERROR(INDEX(Tabla9[],MATCH(Otras_Actividades_Base[[#This Row],[Movimiento]],Tabla9[Movimientos],0),2),0)</f>
        <v>No</v>
      </c>
      <c r="AA134" s="891" t="str">
        <f>IFERROR(INDEX(Tabla9[],MATCH(Otras_Actividades_Base[[#This Row],[Movimiento]],Tabla9[Movimientos],0),3),0)</f>
        <v>(+)</v>
      </c>
      <c r="AB134" s="884">
        <f>IF(Otras_Actividades_Base[[#This Row],[Fecha Económico]]=0,0,MONTH(Otras_Actividades_Base[[#This Row],[Fecha Económico]]))</f>
        <v>0</v>
      </c>
      <c r="AC134" s="890">
        <f>IF(Otras_Actividades_Base[[#This Row],[Fecha Económico]]=0,0,YEAR(Otras_Actividades_Base[[#This Row],[Fecha Económico]]))</f>
        <v>0</v>
      </c>
      <c r="AD134" s="891">
        <f>SUMPRODUCT((Otras_Actividades_Base[[#This Row],[Mes Económico]]=Tipo_Cambio[Mes])*(Otras_Actividades_Base[[#This Row],[Año Económico]]=Tipo_Cambio[Año])*(Tipo_Cambio[$/U$S]))</f>
        <v>0</v>
      </c>
      <c r="AE134" s="891">
        <f>SUMPRODUCT((Otras_Actividades_Base[[#This Row],[Mes Económico]]=Tipo_Cambio[Mes])*(Otras_Actividades_Base[[#This Row],[Año Económico]]=Tipo_Cambio[Año])*(Tipo_Cambio[Actualización]))</f>
        <v>0</v>
      </c>
      <c r="AF134" s="890">
        <f>IF(ISNUMBER(Otras_Actividades_Base[[#This Row],[Fecha Financiero]])=TRUE,MONTH(Otras_Actividades_Base[[#This Row],[Fecha Financiero]]),0)</f>
        <v>0</v>
      </c>
      <c r="AG134" s="890">
        <f>IF(ISNUMBER(Otras_Actividades_Base[[#This Row],[Fecha Financiero]])=TRUE,YEAR(Otras_Actividades_Base[[#This Row],[Fecha Financiero]]),0)</f>
        <v>0</v>
      </c>
      <c r="AH134" s="891">
        <f>SUMPRODUCT((Otras_Actividades_Base[[#This Row],[Mes Financiero]]=Tipo_Cambio[Mes])*(Otras_Actividades_Base[[#This Row],[Año Financiero]]=Tipo_Cambio[Año])*(Tipo_Cambio[$/U$S]))</f>
        <v>0</v>
      </c>
      <c r="AI134" s="891">
        <f>SUMPRODUCT((Otras_Actividades_Base[[#This Row],[Mes Financiero]]=Tipo_Cambio[Mes])*(Otras_Actividades_Base[[#This Row],[Año Financiero]]=Tipo_Cambio[Año])*(Tipo_Cambio[Actualización]))</f>
        <v>0</v>
      </c>
      <c r="AJ134" s="916" t="str">
        <f>IF(Económico!$F$4=0,0,Otras_Actividades_Base[Centro de Costo])</f>
        <v>Campo 3</v>
      </c>
    </row>
    <row r="135" spans="2:36" x14ac:dyDescent="0.25">
      <c r="D135" s="43"/>
      <c r="E135" s="353"/>
      <c r="F135" s="988" t="str">
        <f t="shared" si="6"/>
        <v>2018-2019</v>
      </c>
      <c r="G135" s="32" t="s">
        <v>203</v>
      </c>
      <c r="H135" s="32"/>
      <c r="I135" s="32" t="s">
        <v>226</v>
      </c>
      <c r="J135" s="32"/>
      <c r="K135" s="29"/>
      <c r="L135" s="77"/>
      <c r="M135" s="32"/>
      <c r="N135" s="40"/>
      <c r="O135" s="51"/>
      <c r="P135" s="883">
        <f>-(SUMPRODUCT((Otras_Actividades_Base[[#This Row],[Cuenta Contable]]=Producción_Agricola[Cuenta Contable])*(Producción_Agricola[Económico $Corrientes])*(Otras_Actividades_Base[[#This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$Corrientes])*(Otras_Actividades_Base[[#This Row],[Campaña]]=Comercial_Agricola[Campaña]))+SUMPRODUCT((Otras_Actividades_Base[[#This Row],[Cuenta Contable]]=Producción_Ganadera[Cuenta Contable])*(Producción_Ganadera[Económico $Corrientes])*(Otras_Actividades_Base[[#This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$Corrientes])*(Otras_Actividades_Base[[#This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$Corrientes])*(Otras_Actividades_Base[[#This Row],[Campaña]]=Indirectos[Campaña])*(Otras_Actividades_Base[[#This Row],[Centro de Costo]]=Indirectos[Centro de Costo])))</f>
        <v>0</v>
      </c>
      <c r="Q135" s="913">
        <f>IFERROR(Otras_Actividades_Base[[#This Row],[Económico $Corrientes]]/Otras_Actividades_Base[[#This Row],[Indexación Económico]],0)</f>
        <v>0</v>
      </c>
      <c r="R135" s="882">
        <f>-(SUMPRODUCT((Otras_Actividades_Base[[#This Row],[Cuenta Contable]]=Producción_Agricola[Cuenta Contable])*(Producción_Agricola[Económico U$S Dólares])*(Otras_Actividades_Base[[#This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U$S Dólares])*(Otras_Actividades_Base[[#This Row],[Campaña]]=Comercial_Agricola[Campaña]))+SUMPRODUCT((Otras_Actividades_Base[[#This Row],[Cuenta Contable]]=Producción_Ganadera[Cuenta Contable])*(Producción_Ganadera[Económico U$S Dólares])*(Otras_Actividades_Base[[#This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U$S Dólares])*(Otras_Actividades_Base[[#This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U$S Dólares])*(Otras_Actividades_Base[[#This Row],[Campaña]]=Indirectos[Campaña])*(Otras_Actividades_Base[[#This Row],[Centro de Costo]]=Indirectos[Centro de Costo])))</f>
        <v>0</v>
      </c>
      <c r="S135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35" s="913">
        <f>IFERROR(Otras_Actividades_Base[[#This Row],[Financiero $Corrientes]]/Otras_Actividades_Base[[#This Row],[Indexación Financiero]],0)</f>
        <v>0</v>
      </c>
      <c r="U135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35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35" s="890">
        <f>IFERROR(Otras_Actividades_Base[[#This Row],[Intereses $Corrientes]]/Otras_Actividades_Base[[#This Row],[Indexación Financiero]],0)</f>
        <v>0</v>
      </c>
      <c r="X135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35" s="915" t="str">
        <f>IFERROR(INDEX(Otras_Actividades_Cuentas[],MATCH(Otras_Actividades_Base[[#This Row],[Cuenta Contable]],Otras_Actividades_Cuentas[Cuenta Contable],0),2),0)</f>
        <v>Ingreso Cesión</v>
      </c>
      <c r="Z135" s="887" t="str">
        <f>IFERROR(INDEX(Tabla9[],MATCH(Otras_Actividades_Base[[#This Row],[Movimiento]],Tabla9[Movimientos],0),2),0)</f>
        <v>No</v>
      </c>
      <c r="AA135" s="891" t="str">
        <f>IFERROR(INDEX(Tabla9[],MATCH(Otras_Actividades_Base[[#This Row],[Movimiento]],Tabla9[Movimientos],0),3),0)</f>
        <v>(+)</v>
      </c>
      <c r="AB135" s="884">
        <f>IF(Otras_Actividades_Base[[#This Row],[Fecha Económico]]=0,0,MONTH(Otras_Actividades_Base[[#This Row],[Fecha Económico]]))</f>
        <v>0</v>
      </c>
      <c r="AC135" s="890">
        <f>IF(Otras_Actividades_Base[[#This Row],[Fecha Económico]]=0,0,YEAR(Otras_Actividades_Base[[#This Row],[Fecha Económico]]))</f>
        <v>0</v>
      </c>
      <c r="AD135" s="891">
        <f>SUMPRODUCT((Otras_Actividades_Base[[#This Row],[Mes Económico]]=Tipo_Cambio[Mes])*(Otras_Actividades_Base[[#This Row],[Año Económico]]=Tipo_Cambio[Año])*(Tipo_Cambio[$/U$S]))</f>
        <v>0</v>
      </c>
      <c r="AE135" s="891">
        <f>SUMPRODUCT((Otras_Actividades_Base[[#This Row],[Mes Económico]]=Tipo_Cambio[Mes])*(Otras_Actividades_Base[[#This Row],[Año Económico]]=Tipo_Cambio[Año])*(Tipo_Cambio[Actualización]))</f>
        <v>0</v>
      </c>
      <c r="AF135" s="890">
        <f>IF(ISNUMBER(Otras_Actividades_Base[[#This Row],[Fecha Financiero]])=TRUE,MONTH(Otras_Actividades_Base[[#This Row],[Fecha Financiero]]),0)</f>
        <v>0</v>
      </c>
      <c r="AG135" s="890">
        <f>IF(ISNUMBER(Otras_Actividades_Base[[#This Row],[Fecha Financiero]])=TRUE,YEAR(Otras_Actividades_Base[[#This Row],[Fecha Financiero]]),0)</f>
        <v>0</v>
      </c>
      <c r="AH135" s="891">
        <f>SUMPRODUCT((Otras_Actividades_Base[[#This Row],[Mes Financiero]]=Tipo_Cambio[Mes])*(Otras_Actividades_Base[[#This Row],[Año Financiero]]=Tipo_Cambio[Año])*(Tipo_Cambio[$/U$S]))</f>
        <v>0</v>
      </c>
      <c r="AI135" s="891">
        <f>SUMPRODUCT((Otras_Actividades_Base[[#This Row],[Mes Financiero]]=Tipo_Cambio[Mes])*(Otras_Actividades_Base[[#This Row],[Año Financiero]]=Tipo_Cambio[Año])*(Tipo_Cambio[Actualización]))</f>
        <v>0</v>
      </c>
      <c r="AJ135" s="887">
        <f>IF(Económico!$F$4=0,0,Otras_Actividades_Base[Centro de Costo])</f>
        <v>0</v>
      </c>
    </row>
    <row r="136" spans="2:36" x14ac:dyDescent="0.25">
      <c r="D136" s="43"/>
      <c r="E136" s="353"/>
      <c r="F136" s="988" t="str">
        <f t="shared" si="6"/>
        <v>2018-2019</v>
      </c>
      <c r="G136" s="32"/>
      <c r="H136" s="32"/>
      <c r="I136" s="32"/>
      <c r="J136" s="32"/>
      <c r="K136" s="29"/>
      <c r="L136" s="77"/>
      <c r="M136" s="32"/>
      <c r="N136" s="40"/>
      <c r="O136" s="51"/>
      <c r="P136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36" s="913">
        <f>IFERROR(Otras_Actividades_Base[[#This Row],[Económico $Corrientes]]/Otras_Actividades_Base[[#This Row],[Indexación Económico]],0)</f>
        <v>0</v>
      </c>
      <c r="R136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36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36" s="913">
        <f>IFERROR(Otras_Actividades_Base[[#This Row],[Financiero $Corrientes]]/Otras_Actividades_Base[[#This Row],[Indexación Financiero]],0)</f>
        <v>0</v>
      </c>
      <c r="U136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36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36" s="890">
        <f>IFERROR(Otras_Actividades_Base[[#This Row],[Intereses $Corrientes]]/Otras_Actividades_Base[[#This Row],[Indexación Financiero]],0)</f>
        <v>0</v>
      </c>
      <c r="X136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36" s="915">
        <f>IFERROR(INDEX(Otras_Actividades_Cuentas[],MATCH(Otras_Actividades_Base[[#This Row],[Cuenta Contable]],Otras_Actividades_Cuentas[Cuenta Contable],0),2),0)</f>
        <v>0</v>
      </c>
      <c r="Z136" s="887">
        <f>IFERROR(INDEX(Tabla9[],MATCH(Otras_Actividades_Base[[#This Row],[Movimiento]],Tabla9[Movimientos],0),2),0)</f>
        <v>0</v>
      </c>
      <c r="AA136" s="891">
        <f>IFERROR(INDEX(Tabla9[],MATCH(Otras_Actividades_Base[[#This Row],[Movimiento]],Tabla9[Movimientos],0),3),0)</f>
        <v>0</v>
      </c>
      <c r="AB136" s="884">
        <f>IF(Otras_Actividades_Base[[#This Row],[Fecha Económico]]=0,0,MONTH(Otras_Actividades_Base[[#This Row],[Fecha Económico]]))</f>
        <v>0</v>
      </c>
      <c r="AC136" s="890">
        <f>IF(Otras_Actividades_Base[[#This Row],[Fecha Económico]]=0,0,YEAR(Otras_Actividades_Base[[#This Row],[Fecha Económico]]))</f>
        <v>0</v>
      </c>
      <c r="AD136" s="891">
        <f>SUMPRODUCT((Otras_Actividades_Base[[#This Row],[Mes Económico]]=Tipo_Cambio[Mes])*(Otras_Actividades_Base[[#This Row],[Año Económico]]=Tipo_Cambio[Año])*(Tipo_Cambio[$/U$S]))</f>
        <v>0</v>
      </c>
      <c r="AE136" s="891">
        <f>SUMPRODUCT((Otras_Actividades_Base[[#This Row],[Mes Económico]]=Tipo_Cambio[Mes])*(Otras_Actividades_Base[[#This Row],[Año Económico]]=Tipo_Cambio[Año])*(Tipo_Cambio[Actualización]))</f>
        <v>0</v>
      </c>
      <c r="AF136" s="890">
        <f>IF(ISNUMBER(Otras_Actividades_Base[[#This Row],[Fecha Financiero]])=TRUE,MONTH(Otras_Actividades_Base[[#This Row],[Fecha Financiero]]),0)</f>
        <v>0</v>
      </c>
      <c r="AG136" s="890">
        <f>IF(ISNUMBER(Otras_Actividades_Base[[#This Row],[Fecha Financiero]])=TRUE,YEAR(Otras_Actividades_Base[[#This Row],[Fecha Financiero]]),0)</f>
        <v>0</v>
      </c>
      <c r="AH136" s="891">
        <f>SUMPRODUCT((Otras_Actividades_Base[[#This Row],[Mes Financiero]]=Tipo_Cambio[Mes])*(Otras_Actividades_Base[[#This Row],[Año Financiero]]=Tipo_Cambio[Año])*(Tipo_Cambio[$/U$S]))</f>
        <v>0</v>
      </c>
      <c r="AI136" s="891">
        <f>SUMPRODUCT((Otras_Actividades_Base[[#This Row],[Mes Financiero]]=Tipo_Cambio[Mes])*(Otras_Actividades_Base[[#This Row],[Año Financiero]]=Tipo_Cambio[Año])*(Tipo_Cambio[Actualización]))</f>
        <v>0</v>
      </c>
      <c r="AJ136" s="916">
        <f>IF(Económico!$F$4=0,0,Otras_Actividades_Base[Centro de Costo])</f>
        <v>0</v>
      </c>
    </row>
    <row r="137" spans="2:36" x14ac:dyDescent="0.25">
      <c r="D137" s="43"/>
      <c r="E137" s="353"/>
      <c r="F137" s="988" t="str">
        <f t="shared" si="6"/>
        <v>2018-2019</v>
      </c>
      <c r="G137" s="32"/>
      <c r="H137" s="32"/>
      <c r="I137" s="32"/>
      <c r="J137" s="32"/>
      <c r="K137" s="29"/>
      <c r="L137" s="77"/>
      <c r="M137" s="32"/>
      <c r="N137" s="40"/>
      <c r="O137" s="51"/>
      <c r="P137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37" s="913">
        <f>IFERROR(Otras_Actividades_Base[[#This Row],[Económico $Corrientes]]/Otras_Actividades_Base[[#This Row],[Indexación Económico]],0)</f>
        <v>0</v>
      </c>
      <c r="R137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37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37" s="913">
        <f>IFERROR(Otras_Actividades_Base[[#This Row],[Financiero $Corrientes]]/Otras_Actividades_Base[[#This Row],[Indexación Financiero]],0)</f>
        <v>0</v>
      </c>
      <c r="U137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37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37" s="890">
        <f>IFERROR(Otras_Actividades_Base[[#This Row],[Intereses $Corrientes]]/Otras_Actividades_Base[[#This Row],[Indexación Financiero]],0)</f>
        <v>0</v>
      </c>
      <c r="X137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37" s="915">
        <f>IFERROR(INDEX(Otras_Actividades_Cuentas[],MATCH(Otras_Actividades_Base[[#This Row],[Cuenta Contable]],Otras_Actividades_Cuentas[Cuenta Contable],0),2),0)</f>
        <v>0</v>
      </c>
      <c r="Z137" s="887">
        <f>IFERROR(INDEX(Tabla9[],MATCH(Otras_Actividades_Base[[#This Row],[Movimiento]],Tabla9[Movimientos],0),2),0)</f>
        <v>0</v>
      </c>
      <c r="AA137" s="891">
        <f>IFERROR(INDEX(Tabla9[],MATCH(Otras_Actividades_Base[[#This Row],[Movimiento]],Tabla9[Movimientos],0),3),0)</f>
        <v>0</v>
      </c>
      <c r="AB137" s="884">
        <f>IF(Otras_Actividades_Base[[#This Row],[Fecha Económico]]=0,0,MONTH(Otras_Actividades_Base[[#This Row],[Fecha Económico]]))</f>
        <v>0</v>
      </c>
      <c r="AC137" s="890">
        <f>IF(Otras_Actividades_Base[[#This Row],[Fecha Económico]]=0,0,YEAR(Otras_Actividades_Base[[#This Row],[Fecha Económico]]))</f>
        <v>0</v>
      </c>
      <c r="AD137" s="891">
        <f>SUMPRODUCT((Otras_Actividades_Base[[#This Row],[Mes Económico]]=Tipo_Cambio[Mes])*(Otras_Actividades_Base[[#This Row],[Año Económico]]=Tipo_Cambio[Año])*(Tipo_Cambio[$/U$S]))</f>
        <v>0</v>
      </c>
      <c r="AE137" s="891">
        <f>SUMPRODUCT((Otras_Actividades_Base[[#This Row],[Mes Económico]]=Tipo_Cambio[Mes])*(Otras_Actividades_Base[[#This Row],[Año Económico]]=Tipo_Cambio[Año])*(Tipo_Cambio[Actualización]))</f>
        <v>0</v>
      </c>
      <c r="AF137" s="890">
        <f>IF(ISNUMBER(Otras_Actividades_Base[[#This Row],[Fecha Financiero]])=TRUE,MONTH(Otras_Actividades_Base[[#This Row],[Fecha Financiero]]),0)</f>
        <v>0</v>
      </c>
      <c r="AG137" s="890">
        <f>IF(ISNUMBER(Otras_Actividades_Base[[#This Row],[Fecha Financiero]])=TRUE,YEAR(Otras_Actividades_Base[[#This Row],[Fecha Financiero]]),0)</f>
        <v>0</v>
      </c>
      <c r="AH137" s="891">
        <f>SUMPRODUCT((Otras_Actividades_Base[[#This Row],[Mes Financiero]]=Tipo_Cambio[Mes])*(Otras_Actividades_Base[[#This Row],[Año Financiero]]=Tipo_Cambio[Año])*(Tipo_Cambio[$/U$S]))</f>
        <v>0</v>
      </c>
      <c r="AI137" s="891">
        <f>SUMPRODUCT((Otras_Actividades_Base[[#This Row],[Mes Financiero]]=Tipo_Cambio[Mes])*(Otras_Actividades_Base[[#This Row],[Año Financiero]]=Tipo_Cambio[Año])*(Tipo_Cambio[Actualización]))</f>
        <v>0</v>
      </c>
      <c r="AJ137" s="916">
        <f>IF(Económico!$F$4=0,0,Otras_Actividades_Base[Centro de Costo])</f>
        <v>0</v>
      </c>
    </row>
    <row r="138" spans="2:36" ht="15.75" thickBot="1" x14ac:dyDescent="0.3">
      <c r="D138" s="88"/>
      <c r="E138" s="427"/>
      <c r="F138" s="1024" t="str">
        <f t="shared" si="6"/>
        <v>2018-2019</v>
      </c>
      <c r="G138" s="89"/>
      <c r="H138" s="89"/>
      <c r="I138" s="89"/>
      <c r="J138" s="89"/>
      <c r="K138" s="91"/>
      <c r="L138" s="182"/>
      <c r="M138" s="89"/>
      <c r="N138" s="89"/>
      <c r="O138" s="90"/>
      <c r="P138" s="1055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38" s="1055">
        <f>IFERROR(Otras_Actividades_Base[[#This Row],[Económico $Corrientes]]/Otras_Actividades_Base[[#This Row],[Indexación Económico]],0)</f>
        <v>0</v>
      </c>
      <c r="R138" s="1056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38" s="1057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38" s="1055">
        <f>IFERROR(Otras_Actividades_Base[[#This Row],[Financiero $Corrientes]]/Otras_Actividades_Base[[#This Row],[Indexación Financiero]],0)</f>
        <v>0</v>
      </c>
      <c r="U138" s="1055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38" s="1058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38" s="1059">
        <f>IFERROR(Otras_Actividades_Base[[#This Row],[Intereses $Corrientes]]/Otras_Actividades_Base[[#This Row],[Indexación Financiero]],0)</f>
        <v>0</v>
      </c>
      <c r="X138" s="1059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38" s="1060">
        <f>IFERROR(INDEX(Otras_Actividades_Cuentas[],MATCH(Otras_Actividades_Base[[#This Row],[Cuenta Contable]],Otras_Actividades_Cuentas[Cuenta Contable],0),2),0)</f>
        <v>0</v>
      </c>
      <c r="Z138" s="1061">
        <f>IFERROR(INDEX(Tabla9[],MATCH(Otras_Actividades_Base[[#This Row],[Movimiento]],Tabla9[Movimientos],0),2),0)</f>
        <v>0</v>
      </c>
      <c r="AA138" s="1062">
        <f>IFERROR(INDEX(Tabla9[],MATCH(Otras_Actividades_Base[[#This Row],[Movimiento]],Tabla9[Movimientos],0),3),0)</f>
        <v>0</v>
      </c>
      <c r="AB138" s="1058">
        <f>IF(Otras_Actividades_Base[[#This Row],[Fecha Económico]]=0,0,MONTH(Otras_Actividades_Base[[#This Row],[Fecha Económico]]))</f>
        <v>0</v>
      </c>
      <c r="AC138" s="1059">
        <f>IF(Otras_Actividades_Base[[#This Row],[Fecha Económico]]=0,0,YEAR(Otras_Actividades_Base[[#This Row],[Fecha Económico]]))</f>
        <v>0</v>
      </c>
      <c r="AD138" s="1062">
        <f>SUMPRODUCT((Otras_Actividades_Base[[#This Row],[Mes Económico]]=Tipo_Cambio[Mes])*(Otras_Actividades_Base[[#This Row],[Año Económico]]=Tipo_Cambio[Año])*(Tipo_Cambio[$/U$S]))</f>
        <v>0</v>
      </c>
      <c r="AE138" s="1062">
        <f>SUMPRODUCT((Otras_Actividades_Base[[#This Row],[Mes Económico]]=Tipo_Cambio[Mes])*(Otras_Actividades_Base[[#This Row],[Año Económico]]=Tipo_Cambio[Año])*(Tipo_Cambio[Actualización]))</f>
        <v>0</v>
      </c>
      <c r="AF138" s="1059">
        <f>IF(ISNUMBER(Otras_Actividades_Base[[#This Row],[Fecha Financiero]])=TRUE,MONTH(Otras_Actividades_Base[[#This Row],[Fecha Financiero]]),0)</f>
        <v>0</v>
      </c>
      <c r="AG138" s="1059">
        <f>IF(ISNUMBER(Otras_Actividades_Base[[#This Row],[Fecha Financiero]])=TRUE,YEAR(Otras_Actividades_Base[[#This Row],[Fecha Financiero]]),0)</f>
        <v>0</v>
      </c>
      <c r="AH138" s="1062">
        <f>SUMPRODUCT((Otras_Actividades_Base[[#This Row],[Mes Financiero]]=Tipo_Cambio[Mes])*(Otras_Actividades_Base[[#This Row],[Año Financiero]]=Tipo_Cambio[Año])*(Tipo_Cambio[$/U$S]))</f>
        <v>0</v>
      </c>
      <c r="AI138" s="1062">
        <f>SUMPRODUCT((Otras_Actividades_Base[[#This Row],[Mes Financiero]]=Tipo_Cambio[Mes])*(Otras_Actividades_Base[[#This Row],[Año Financiero]]=Tipo_Cambio[Año])*(Tipo_Cambio[Actualización]))</f>
        <v>0</v>
      </c>
      <c r="AJ138" s="1061">
        <f>IF(Económico!$F$4=0,0,Otras_Actividades_Base[Centro de Costo])</f>
        <v>0</v>
      </c>
    </row>
    <row r="139" spans="2:36" ht="15.75" thickTop="1" x14ac:dyDescent="0.25">
      <c r="B139" s="1136" t="s">
        <v>509</v>
      </c>
      <c r="D139" s="43"/>
      <c r="E139" s="353"/>
      <c r="F139" s="988" t="str">
        <f t="shared" si="6"/>
        <v>2018-2019</v>
      </c>
      <c r="G139" s="32" t="s">
        <v>57</v>
      </c>
      <c r="H139" s="32" t="s">
        <v>2</v>
      </c>
      <c r="I139" s="32" t="s">
        <v>36</v>
      </c>
      <c r="J139" s="32"/>
      <c r="K139" s="29"/>
      <c r="L139" s="77"/>
      <c r="M139" s="41"/>
      <c r="N139" s="41"/>
      <c r="O139" s="51"/>
      <c r="P139" s="881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39" s="913">
        <f>IFERROR(Otras_Actividades_Base[[#This Row],[Económico $Corrientes]]/Otras_Actividades_Base[[#This Row],[Indexación Económico]],0)</f>
        <v>0</v>
      </c>
      <c r="R139" s="881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39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39" s="913">
        <f>IFERROR(Otras_Actividades_Base[[#This Row],[Financiero $Corrientes]]/Otras_Actividades_Base[[#This Row],[Indexación Financiero]],0)</f>
        <v>0</v>
      </c>
      <c r="U139" s="913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39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39" s="890">
        <f>IFERROR(Otras_Actividades_Base[[#This Row],[Intereses $Corrientes]]/Otras_Actividades_Base[[#This Row],[Indexación Financiero]],0)</f>
        <v>0</v>
      </c>
      <c r="X139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39" s="886" t="str">
        <f>IFERROR(INDEX(Otras_Actividades_Cuentas[],MATCH(Otras_Actividades_Base[[#This Row],[Cuenta Contable]],Otras_Actividades_Cuentas[Cuenta Contable],0),2),0)</f>
        <v>Ingreso Cesión</v>
      </c>
      <c r="Z139" s="887" t="str">
        <f>IFERROR(INDEX(Tabla9[],MATCH(Otras_Actividades_Base[[#This Row],[Movimiento]],Tabla9[Movimientos],0),2),0)</f>
        <v>No</v>
      </c>
      <c r="AA139" s="889" t="str">
        <f>IFERROR(INDEX(Tabla9[],MATCH(Otras_Actividades_Base[[#This Row],[Movimiento]],Tabla9[Movimientos],0),3),0)</f>
        <v>(+)</v>
      </c>
      <c r="AB139" s="884">
        <f>IF(Otras_Actividades_Base[[#This Row],[Fecha Económico]]=0,0,MONTH(Otras_Actividades_Base[[#This Row],[Fecha Económico]]))</f>
        <v>0</v>
      </c>
      <c r="AC139" s="890">
        <f>IF(Otras_Actividades_Base[[#This Row],[Fecha Económico]]=0,0,YEAR(Otras_Actividades_Base[[#This Row],[Fecha Económico]]))</f>
        <v>0</v>
      </c>
      <c r="AD139" s="891">
        <f>SUMPRODUCT((Otras_Actividades_Base[[#This Row],[Mes Económico]]=Tipo_Cambio[Mes])*(Otras_Actividades_Base[[#This Row],[Año Económico]]=Tipo_Cambio[Año])*(Tipo_Cambio[$/U$S]))</f>
        <v>0</v>
      </c>
      <c r="AE139" s="891">
        <f>SUMPRODUCT((Otras_Actividades_Base[[#This Row],[Mes Económico]]=Tipo_Cambio[Mes])*(Otras_Actividades_Base[[#This Row],[Año Económico]]=Tipo_Cambio[Año])*(Tipo_Cambio[Actualización]))</f>
        <v>0</v>
      </c>
      <c r="AF139" s="890">
        <f>IF(ISNUMBER(Otras_Actividades_Base[[#This Row],[Fecha Financiero]])=TRUE,MONTH(Otras_Actividades_Base[[#This Row],[Fecha Financiero]]),0)</f>
        <v>0</v>
      </c>
      <c r="AG139" s="890">
        <f>IF(ISNUMBER(Otras_Actividades_Base[[#This Row],[Fecha Financiero]])=TRUE,YEAR(Otras_Actividades_Base[[#This Row],[Fecha Financiero]]),0)</f>
        <v>0</v>
      </c>
      <c r="AH139" s="891">
        <f>SUMPRODUCT((Otras_Actividades_Base[[#This Row],[Mes Financiero]]=Tipo_Cambio[Mes])*(Otras_Actividades_Base[[#This Row],[Año Financiero]]=Tipo_Cambio[Año])*(Tipo_Cambio[$/U$S]))</f>
        <v>0</v>
      </c>
      <c r="AI139" s="891">
        <f>SUMPRODUCT((Otras_Actividades_Base[[#This Row],[Mes Financiero]]=Tipo_Cambio[Mes])*(Otras_Actividades_Base[[#This Row],[Año Financiero]]=Tipo_Cambio[Año])*(Tipo_Cambio[Actualización]))</f>
        <v>0</v>
      </c>
      <c r="AJ139" s="887" t="str">
        <f>IF(Económico!$F$4=0,0,Otras_Actividades_Base[Centro de Costo])</f>
        <v>Campo 1</v>
      </c>
    </row>
    <row r="140" spans="2:36" x14ac:dyDescent="0.25">
      <c r="B140" s="1136"/>
      <c r="D140" s="43"/>
      <c r="E140" s="353"/>
      <c r="F140" s="988" t="str">
        <f t="shared" si="6"/>
        <v>2018-2019</v>
      </c>
      <c r="G140" s="32" t="s">
        <v>57</v>
      </c>
      <c r="H140" s="32" t="s">
        <v>8</v>
      </c>
      <c r="I140" s="32" t="s">
        <v>36</v>
      </c>
      <c r="J140" s="32"/>
      <c r="K140" s="29"/>
      <c r="L140" s="77"/>
      <c r="M140" s="32"/>
      <c r="N140" s="40"/>
      <c r="O140" s="51"/>
      <c r="P140" s="883">
        <f>-(SUMPRODUCT((Otras_Actividades_Base[[#This Row],[Cuenta Contable]]=Producción_Agricola[Cuenta Contable])*(Producción_Agricola[Económico $Corrientes])*(Otras_Actividades_Base[[#This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$Corrientes])*(Otras_Actividades_Base[[#This Row],[Campaña]]=Comercial_Agricola[Campaña]))+SUMPRODUCT((Otras_Actividades_Base[[#This Row],[Cuenta Contable]]=Producción_Ganadera[Cuenta Contable])*(Producción_Ganadera[Económico $Corrientes])*(Otras_Actividades_Base[[#This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$Corrientes])*(Otras_Actividades_Base[[#This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$Corrientes])*(Otras_Actividades_Base[[#This Row],[Campaña]]=Indirectos[Campaña])*(Otras_Actividades_Base[[#This Row],[Centro de Costo]]=Indirectos[Centro de Costo])))</f>
        <v>0</v>
      </c>
      <c r="Q140" s="913">
        <f>IFERROR(Otras_Actividades_Base[[#This Row],[Económico $Corrientes]]/Otras_Actividades_Base[[#This Row],[Indexación Económico]],0)</f>
        <v>0</v>
      </c>
      <c r="R140" s="882">
        <f>-(SUMPRODUCT((Otras_Actividades_Base[[#This Row],[Cuenta Contable]]=Producción_Agricola[Cuenta Contable])*(Producción_Agricola[Económico U$S Dólares])*(Otras_Actividades_Base[[#This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U$S Dólares])*(Otras_Actividades_Base[[#This Row],[Campaña]]=Comercial_Agricola[Campaña]))+SUMPRODUCT((Otras_Actividades_Base[[#This Row],[Cuenta Contable]]=Producción_Ganadera[Cuenta Contable])*(Producción_Ganadera[Económico U$S Dólares])*(Otras_Actividades_Base[[#This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U$S Dólares])*(Otras_Actividades_Base[[#This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U$S Dólares])*(Otras_Actividades_Base[[#This Row],[Campaña]]=Indirectos[Campaña])*(Otras_Actividades_Base[[#This Row],[Centro de Costo]]=Indirectos[Centro de Costo])))</f>
        <v>0</v>
      </c>
      <c r="S140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40" s="913">
        <f>IFERROR(Otras_Actividades_Base[[#This Row],[Financiero $Corrientes]]/Otras_Actividades_Base[[#This Row],[Indexación Financiero]],0)</f>
        <v>0</v>
      </c>
      <c r="U140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40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40" s="890">
        <f>IFERROR(Otras_Actividades_Base[[#This Row],[Intereses $Corrientes]]/Otras_Actividades_Base[[#This Row],[Indexación Financiero]],0)</f>
        <v>0</v>
      </c>
      <c r="X140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40" s="915" t="str">
        <f>IFERROR(INDEX(Otras_Actividades_Cuentas[],MATCH(Otras_Actividades_Base[[#This Row],[Cuenta Contable]],Otras_Actividades_Cuentas[Cuenta Contable],0),2),0)</f>
        <v>Ingreso Cesión</v>
      </c>
      <c r="Z140" s="887" t="str">
        <f>IFERROR(INDEX(Tabla9[],MATCH(Otras_Actividades_Base[[#This Row],[Movimiento]],Tabla9[Movimientos],0),2),0)</f>
        <v>No</v>
      </c>
      <c r="AA140" s="891" t="str">
        <f>IFERROR(INDEX(Tabla9[],MATCH(Otras_Actividades_Base[[#This Row],[Movimiento]],Tabla9[Movimientos],0),3),0)</f>
        <v>(+)</v>
      </c>
      <c r="AB140" s="884">
        <f>IF(Otras_Actividades_Base[[#This Row],[Fecha Económico]]=0,0,MONTH(Otras_Actividades_Base[[#This Row],[Fecha Económico]]))</f>
        <v>0</v>
      </c>
      <c r="AC140" s="890">
        <f>IF(Otras_Actividades_Base[[#This Row],[Fecha Económico]]=0,0,YEAR(Otras_Actividades_Base[[#This Row],[Fecha Económico]]))</f>
        <v>0</v>
      </c>
      <c r="AD140" s="891">
        <f>SUMPRODUCT((Otras_Actividades_Base[[#This Row],[Mes Económico]]=Tipo_Cambio[Mes])*(Otras_Actividades_Base[[#This Row],[Año Económico]]=Tipo_Cambio[Año])*(Tipo_Cambio[$/U$S]))</f>
        <v>0</v>
      </c>
      <c r="AE140" s="891">
        <f>SUMPRODUCT((Otras_Actividades_Base[[#This Row],[Mes Económico]]=Tipo_Cambio[Mes])*(Otras_Actividades_Base[[#This Row],[Año Económico]]=Tipo_Cambio[Año])*(Tipo_Cambio[Actualización]))</f>
        <v>0</v>
      </c>
      <c r="AF140" s="890">
        <f>IF(ISNUMBER(Otras_Actividades_Base[[#This Row],[Fecha Financiero]])=TRUE,MONTH(Otras_Actividades_Base[[#This Row],[Fecha Financiero]]),0)</f>
        <v>0</v>
      </c>
      <c r="AG140" s="890">
        <f>IF(ISNUMBER(Otras_Actividades_Base[[#This Row],[Fecha Financiero]])=TRUE,YEAR(Otras_Actividades_Base[[#This Row],[Fecha Financiero]]),0)</f>
        <v>0</v>
      </c>
      <c r="AH140" s="891">
        <f>SUMPRODUCT((Otras_Actividades_Base[[#This Row],[Mes Financiero]]=Tipo_Cambio[Mes])*(Otras_Actividades_Base[[#This Row],[Año Financiero]]=Tipo_Cambio[Año])*(Tipo_Cambio[$/U$S]))</f>
        <v>0</v>
      </c>
      <c r="AI140" s="891">
        <f>SUMPRODUCT((Otras_Actividades_Base[[#This Row],[Mes Financiero]]=Tipo_Cambio[Mes])*(Otras_Actividades_Base[[#This Row],[Año Financiero]]=Tipo_Cambio[Año])*(Tipo_Cambio[Actualización]))</f>
        <v>0</v>
      </c>
      <c r="AJ140" s="887" t="str">
        <f>IF(Económico!$F$4=0,0,Otras_Actividades_Base[Centro de Costo])</f>
        <v>Campo 2</v>
      </c>
    </row>
    <row r="141" spans="2:36" x14ac:dyDescent="0.25">
      <c r="B141" s="1136"/>
      <c r="D141" s="43"/>
      <c r="E141" s="353"/>
      <c r="F141" s="988" t="str">
        <f t="shared" si="6"/>
        <v>2018-2019</v>
      </c>
      <c r="G141" s="32" t="s">
        <v>57</v>
      </c>
      <c r="H141" s="32" t="s">
        <v>9</v>
      </c>
      <c r="I141" s="32" t="s">
        <v>36</v>
      </c>
      <c r="J141" s="32"/>
      <c r="K141" s="29"/>
      <c r="L141" s="77"/>
      <c r="M141" s="32"/>
      <c r="N141" s="40"/>
      <c r="O141" s="51"/>
      <c r="P141" s="883">
        <f>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Económico]]),0)</f>
        <v>0</v>
      </c>
      <c r="Q141" s="913">
        <f>IFERROR(Otras_Actividades_Base[[#This Row],[Económico $Corrientes]]/Otras_Actividades_Base[[#This Row],[Indexación Económico]],0)</f>
        <v>0</v>
      </c>
      <c r="R141" s="882">
        <f>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Económico]]),0)</f>
        <v>0</v>
      </c>
      <c r="S141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41" s="913">
        <f>IFERROR(Otras_Actividades_Base[[#This Row],[Financiero $Corrientes]]/Otras_Actividades_Base[[#This Row],[Indexación Financiero]],0)</f>
        <v>0</v>
      </c>
      <c r="U141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41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41" s="890">
        <f>IFERROR(Otras_Actividades_Base[[#This Row],[Intereses $Corrientes]]/Otras_Actividades_Base[[#This Row],[Indexación Financiero]],0)</f>
        <v>0</v>
      </c>
      <c r="X141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41" s="915" t="str">
        <f>IFERROR(INDEX(Otras_Actividades_Cuentas[],MATCH(Otras_Actividades_Base[[#This Row],[Cuenta Contable]],Otras_Actividades_Cuentas[Cuenta Contable],0),2),0)</f>
        <v>Ingreso Cesión</v>
      </c>
      <c r="Z141" s="887" t="str">
        <f>IFERROR(INDEX(Tabla9[],MATCH(Otras_Actividades_Base[[#This Row],[Movimiento]],Tabla9[Movimientos],0),2),0)</f>
        <v>No</v>
      </c>
      <c r="AA141" s="891" t="str">
        <f>IFERROR(INDEX(Tabla9[],MATCH(Otras_Actividades_Base[[#This Row],[Movimiento]],Tabla9[Movimientos],0),3),0)</f>
        <v>(+)</v>
      </c>
      <c r="AB141" s="884">
        <f>IF(Otras_Actividades_Base[[#This Row],[Fecha Económico]]=0,0,MONTH(Otras_Actividades_Base[[#This Row],[Fecha Económico]]))</f>
        <v>0</v>
      </c>
      <c r="AC141" s="890">
        <f>IF(Otras_Actividades_Base[[#This Row],[Fecha Económico]]=0,0,YEAR(Otras_Actividades_Base[[#This Row],[Fecha Económico]]))</f>
        <v>0</v>
      </c>
      <c r="AD141" s="891">
        <f>SUMPRODUCT((Otras_Actividades_Base[[#This Row],[Mes Económico]]=Tipo_Cambio[Mes])*(Otras_Actividades_Base[[#This Row],[Año Económico]]=Tipo_Cambio[Año])*(Tipo_Cambio[$/U$S]))</f>
        <v>0</v>
      </c>
      <c r="AE141" s="891">
        <f>SUMPRODUCT((Otras_Actividades_Base[[#This Row],[Mes Económico]]=Tipo_Cambio[Mes])*(Otras_Actividades_Base[[#This Row],[Año Económico]]=Tipo_Cambio[Año])*(Tipo_Cambio[Actualización]))</f>
        <v>0</v>
      </c>
      <c r="AF141" s="890">
        <f>IF(ISNUMBER(Otras_Actividades_Base[[#This Row],[Fecha Financiero]])=TRUE,MONTH(Otras_Actividades_Base[[#This Row],[Fecha Financiero]]),0)</f>
        <v>0</v>
      </c>
      <c r="AG141" s="890">
        <f>IF(ISNUMBER(Otras_Actividades_Base[[#This Row],[Fecha Financiero]])=TRUE,YEAR(Otras_Actividades_Base[[#This Row],[Fecha Financiero]]),0)</f>
        <v>0</v>
      </c>
      <c r="AH141" s="891">
        <f>SUMPRODUCT((Otras_Actividades_Base[[#This Row],[Mes Financiero]]=Tipo_Cambio[Mes])*(Otras_Actividades_Base[[#This Row],[Año Financiero]]=Tipo_Cambio[Año])*(Tipo_Cambio[$/U$S]))</f>
        <v>0</v>
      </c>
      <c r="AI141" s="891">
        <f>SUMPRODUCT((Otras_Actividades_Base[[#This Row],[Mes Financiero]]=Tipo_Cambio[Mes])*(Otras_Actividades_Base[[#This Row],[Año Financiero]]=Tipo_Cambio[Año])*(Tipo_Cambio[Actualización]))</f>
        <v>0</v>
      </c>
      <c r="AJ141" s="916" t="str">
        <f>IF(Económico!$F$4=0,0,Otras_Actividades_Base[Centro de Costo])</f>
        <v>Campo 3</v>
      </c>
    </row>
    <row r="142" spans="2:36" x14ac:dyDescent="0.25">
      <c r="D142" s="43"/>
      <c r="E142" s="353"/>
      <c r="F142" s="988" t="str">
        <f t="shared" si="6"/>
        <v>2018-2019</v>
      </c>
      <c r="G142" s="32"/>
      <c r="H142" s="32"/>
      <c r="I142" s="32"/>
      <c r="J142" s="32"/>
      <c r="K142" s="29"/>
      <c r="L142" s="77"/>
      <c r="M142" s="32"/>
      <c r="N142" s="40"/>
      <c r="O142" s="51"/>
      <c r="P142" s="883">
        <f>-(SUMPRODUCT((Otras_Actividades_Base[[#This Row],[Cuenta Contable]]=Producción_Agricola[Cuenta Contable])*(Producción_Agricola[Económico $Corrientes])*(Otras_Actividades_Base[[#This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$Corrientes])*(Otras_Actividades_Base[[#This Row],[Campaña]]=Comercial_Agricola[Campaña]))+SUMPRODUCT((Otras_Actividades_Base[[#This Row],[Cuenta Contable]]=Producción_Ganadera[Cuenta Contable])*(Producción_Ganadera[Económico $Corrientes])*(Otras_Actividades_Base[[#This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$Corrientes])*(Otras_Actividades_Base[[#This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$Corrientes])*(Otras_Actividades_Base[[#This Row],[Campaña]]=Indirectos[Campaña])*(Otras_Actividades_Base[[#This Row],[Centro de Costo]]=Indirectos[Centro de Costo])))</f>
        <v>0</v>
      </c>
      <c r="Q142" s="913">
        <f>IFERROR(Otras_Actividades_Base[[#This Row],[Económico $Corrientes]]/Otras_Actividades_Base[[#This Row],[Indexación Económico]],0)</f>
        <v>0</v>
      </c>
      <c r="R142" s="882">
        <f>-(SUMPRODUCT((Otras_Actividades_Base[[#This Row],[Cuenta Contable]]=Producción_Agricola[Cuenta Contable])*(Producción_Agricola[Económico U$S Dólares])*(Otras_Actividades_Base[[#This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U$S Dólares])*(Otras_Actividades_Base[[#This Row],[Campaña]]=Comercial_Agricola[Campaña]))+SUMPRODUCT((Otras_Actividades_Base[[#This Row],[Cuenta Contable]]=Producción_Ganadera[Cuenta Contable])*(Producción_Ganadera[Económico U$S Dólares])*(Otras_Actividades_Base[[#This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U$S Dólares])*(Otras_Actividades_Base[[#This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U$S Dólares])*(Otras_Actividades_Base[[#This Row],[Campaña]]=Indirectos[Campaña])*(Otras_Actividades_Base[[#This Row],[Centro de Costo]]=Indirectos[Centro de Costo])))</f>
        <v>0</v>
      </c>
      <c r="S142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42" s="913">
        <f>IFERROR(Otras_Actividades_Base[[#This Row],[Financiero $Corrientes]]/Otras_Actividades_Base[[#This Row],[Indexación Financiero]],0)</f>
        <v>0</v>
      </c>
      <c r="U142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42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42" s="890">
        <f>IFERROR(Otras_Actividades_Base[[#This Row],[Intereses $Corrientes]]/Otras_Actividades_Base[[#This Row],[Indexación Financiero]],0)</f>
        <v>0</v>
      </c>
      <c r="X142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42" s="915">
        <f>IFERROR(INDEX(Otras_Actividades_Cuentas[],MATCH(Otras_Actividades_Base[[#This Row],[Cuenta Contable]],Otras_Actividades_Cuentas[Cuenta Contable],0),2),0)</f>
        <v>0</v>
      </c>
      <c r="Z142" s="887">
        <f>IFERROR(INDEX(Tabla9[],MATCH(Otras_Actividades_Base[[#This Row],[Movimiento]],Tabla9[Movimientos],0),2),0)</f>
        <v>0</v>
      </c>
      <c r="AA142" s="891">
        <f>IFERROR(INDEX(Tabla9[],MATCH(Otras_Actividades_Base[[#This Row],[Movimiento]],Tabla9[Movimientos],0),3),0)</f>
        <v>0</v>
      </c>
      <c r="AB142" s="884">
        <f>IF(Otras_Actividades_Base[[#This Row],[Fecha Económico]]=0,0,MONTH(Otras_Actividades_Base[[#This Row],[Fecha Económico]]))</f>
        <v>0</v>
      </c>
      <c r="AC142" s="890">
        <f>IF(Otras_Actividades_Base[[#This Row],[Fecha Económico]]=0,0,YEAR(Otras_Actividades_Base[[#This Row],[Fecha Económico]]))</f>
        <v>0</v>
      </c>
      <c r="AD142" s="891">
        <f>SUMPRODUCT((Otras_Actividades_Base[[#This Row],[Mes Económico]]=Tipo_Cambio[Mes])*(Otras_Actividades_Base[[#This Row],[Año Económico]]=Tipo_Cambio[Año])*(Tipo_Cambio[$/U$S]))</f>
        <v>0</v>
      </c>
      <c r="AE142" s="891">
        <f>SUMPRODUCT((Otras_Actividades_Base[[#This Row],[Mes Económico]]=Tipo_Cambio[Mes])*(Otras_Actividades_Base[[#This Row],[Año Económico]]=Tipo_Cambio[Año])*(Tipo_Cambio[Actualización]))</f>
        <v>0</v>
      </c>
      <c r="AF142" s="890">
        <f>IF(ISNUMBER(Otras_Actividades_Base[[#This Row],[Fecha Financiero]])=TRUE,MONTH(Otras_Actividades_Base[[#This Row],[Fecha Financiero]]),0)</f>
        <v>0</v>
      </c>
      <c r="AG142" s="890">
        <f>IF(ISNUMBER(Otras_Actividades_Base[[#This Row],[Fecha Financiero]])=TRUE,YEAR(Otras_Actividades_Base[[#This Row],[Fecha Financiero]]),0)</f>
        <v>0</v>
      </c>
      <c r="AH142" s="891">
        <f>SUMPRODUCT((Otras_Actividades_Base[[#This Row],[Mes Financiero]]=Tipo_Cambio[Mes])*(Otras_Actividades_Base[[#This Row],[Año Financiero]]=Tipo_Cambio[Año])*(Tipo_Cambio[$/U$S]))</f>
        <v>0</v>
      </c>
      <c r="AI142" s="891">
        <f>SUMPRODUCT((Otras_Actividades_Base[[#This Row],[Mes Financiero]]=Tipo_Cambio[Mes])*(Otras_Actividades_Base[[#This Row],[Año Financiero]]=Tipo_Cambio[Año])*(Tipo_Cambio[Actualización]))</f>
        <v>0</v>
      </c>
      <c r="AJ142" s="916">
        <f>IF(Económico!$F$4=0,0,Otras_Actividades_Base[Centro de Costo])</f>
        <v>0</v>
      </c>
    </row>
    <row r="143" spans="2:36" x14ac:dyDescent="0.25">
      <c r="D143" s="43"/>
      <c r="E143" s="353"/>
      <c r="F143" s="988" t="str">
        <f t="shared" si="6"/>
        <v>2018-2019</v>
      </c>
      <c r="G143" s="32"/>
      <c r="H143" s="32"/>
      <c r="I143" s="32"/>
      <c r="J143" s="32"/>
      <c r="K143" s="29"/>
      <c r="L143" s="77"/>
      <c r="M143" s="32"/>
      <c r="N143" s="40"/>
      <c r="O143" s="51"/>
      <c r="P143" s="883">
        <f>-(SUMPRODUCT((Otras_Actividades_Base[[#This Row],[Cuenta Contable]]=Producción_Agricola[Cuenta Contable])*(Producción_Agricola[Económico $Corrientes])*(Otras_Actividades_Base[[#This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$Corrientes])*(Otras_Actividades_Base[[#This Row],[Campaña]]=Comercial_Agricola[Campaña]))+SUMPRODUCT((Otras_Actividades_Base[[#This Row],[Cuenta Contable]]=Producción_Ganadera[Cuenta Contable])*(Producción_Ganadera[Económico $Corrientes])*(Otras_Actividades_Base[[#This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$Corrientes])*(Otras_Actividades_Base[[#This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$Corrientes])*(Otras_Actividades_Base[[#This Row],[Campaña]]=Indirectos[Campaña])*(Otras_Actividades_Base[[#This Row],[Centro de Costo]]=Indirectos[Centro de Costo])))</f>
        <v>0</v>
      </c>
      <c r="Q143" s="913">
        <f>IFERROR(Otras_Actividades_Base[[#This Row],[Económico $Corrientes]]/Otras_Actividades_Base[[#This Row],[Indexación Económico]],0)</f>
        <v>0</v>
      </c>
      <c r="R143" s="882">
        <f>-(SUMPRODUCT((Otras_Actividades_Base[[#This Row],[Cuenta Contable]]=Producción_Agricola[Cuenta Contable])*(Producción_Agricola[Económico U$S Dólares])*(Otras_Actividades_Base[[#This Row],[Campaña]]=Producción_Agricola[Campaña])*(Otras_Actividades_Base[[#This Row],[Centro de Costo]]=Producción_Agricola[Centro de Costo]))+SUMPRODUCT((Otras_Actividades_Base[[#This Row],[Cuenta Contable]]=Comercial_Agricola[Cuenta Contable])*(Comercial_Agricola[Económico U$S Dólares])*(Otras_Actividades_Base[[#This Row],[Campaña]]=Comercial_Agricola[Campaña]))+SUMPRODUCT((Otras_Actividades_Base[[#This Row],[Cuenta Contable]]=Producción_Ganadera[Cuenta Contable])*(Producción_Ganadera[Económico U$S Dólares])*(Otras_Actividades_Base[[#This Row],[Campaña]]=Producción_Ganadera[Campaña])*(Otras_Actividades_Base[[#This Row],[Centro de Costo]]=Producción_Ganadera[Centro de Costo]))+SUMPRODUCT((Otras_Actividades_Base[[#This Row],[Cuenta Contable]]=Producción_Lecheria[Cuenta Contable])*(Producción_Lecheria[Económico U$S Dólares])*(Otras_Actividades_Base[[#This Row],[Campaña]]=Producción_Lecheria[Campaña])*(Otras_Actividades_Base[[#This Row],[Centro de Costo]]=Producción_Lecheria[Centro de Costo]))+SUMPRODUCT((Otras_Actividades_Base[[#This Row],[Cuenta Contable]]=Indirectos[Cuenta Contable])*(Indirectos[Económico U$S Dólares])*(Otras_Actividades_Base[[#This Row],[Campaña]]=Indirectos[Campaña])*(Otras_Actividades_Base[[#This Row],[Centro de Costo]]=Indirectos[Centro de Costo])))</f>
        <v>0</v>
      </c>
      <c r="S143" s="883">
        <f>IF(Otras_Actividades_Base[[#This Row],[Fin.]]="No",0,1)*IF(Otras_Actividades_Base[[#This Row],[Signo]]="(+)",1,-1)*IFERROR(IF(Otras_Actividades_Base[[#This Row],[Moneda]]="$",Otras_Actividades_Base[[#This Row],[Cantidad Total]]*Otras_Actividades_Base[[#This Row],[Precio Unitario]],Otras_Actividades_Base[[#This Row],[Cantidad Total]]*Otras_Actividades_Base[[#This Row],[Precio Unitario]]*Otras_Actividades_Base[[#This Row],[T. Cambio Financiero]]),0)</f>
        <v>0</v>
      </c>
      <c r="T143" s="913">
        <f>IFERROR(Otras_Actividades_Base[[#This Row],[Financiero $Corrientes]]/Otras_Actividades_Base[[#This Row],[Indexación Financiero]],0)</f>
        <v>0</v>
      </c>
      <c r="U143" s="914">
        <f>IF(Otras_Actividades_Base[[#This Row],[Fin.]]="No",0,1)*IF(Otras_Actividades_Base[[#This Row],[Signo]]="(+)",1,-1)*IFERROR(IF(Otras_Actividades_Base[[#This Row],[Moneda]]="U$S",Otras_Actividades_Base[[#This Row],[Cantidad Total]]*Otras_Actividades_Base[[#This Row],[Precio Unitario]],Otras_Actividades_Base[[#This Row],[Cantidad Total]]*Otras_Actividades_Base[[#This Row],[Precio Unitario]]/Otras_Actividades_Base[[#This Row],[T. Cambio Financiero]]),0)</f>
        <v>0</v>
      </c>
      <c r="V143" s="884">
        <f>IFERROR((Otras_Actividades_Base[[#This Row],[Tasa Anual de Interés]]/12)*((Otras_Actividades_Base[[#This Row],[Fecha Financiero]]-Otras_Actividades_Base[[#This Row],[Fecha Económico]])/30)*IF(Otras_Actividades_Base[[#This Row],[Moneda]]="$",Otras_Actividades_Base[[#This Row],[Económico $Corrientes]],Otras_Actividades_Base[[#This Row],[Económico U$S Dólares]]*Otras_Actividades_Base[[#This Row],[T. Cambio Financiero]]),0)</f>
        <v>0</v>
      </c>
      <c r="W143" s="890">
        <f>IFERROR(Otras_Actividades_Base[[#This Row],[Intereses $Corrientes]]/Otras_Actividades_Base[[#This Row],[Indexación Financiero]],0)</f>
        <v>0</v>
      </c>
      <c r="X143" s="890">
        <f>IFERROR((Otras_Actividades_Base[[#This Row],[Tasa Anual de Interés]]/12)*((Otras_Actividades_Base[[#This Row],[Fecha Financiero]]-Otras_Actividades_Base[[#This Row],[Fecha Económico]])/30)*IF(Otras_Actividades_Base[[#This Row],[Moneda]]="U$$",Otras_Actividades_Base[[#This Row],[Económico U$S Dólares]],Otras_Actividades_Base[[#This Row],[Económico $Corrientes]]/Otras_Actividades_Base[[#This Row],[T. Cambio Financiero]]),0)</f>
        <v>0</v>
      </c>
      <c r="Y143" s="915">
        <f>IFERROR(INDEX(Otras_Actividades_Cuentas[],MATCH(Otras_Actividades_Base[[#This Row],[Cuenta Contable]],Otras_Actividades_Cuentas[Cuenta Contable],0),2),0)</f>
        <v>0</v>
      </c>
      <c r="Z143" s="887">
        <f>IFERROR(INDEX(Tabla9[],MATCH(Otras_Actividades_Base[[#This Row],[Movimiento]],Tabla9[Movimientos],0),2),0)</f>
        <v>0</v>
      </c>
      <c r="AA143" s="891">
        <f>IFERROR(INDEX(Tabla9[],MATCH(Otras_Actividades_Base[[#This Row],[Movimiento]],Tabla9[Movimientos],0),3),0)</f>
        <v>0</v>
      </c>
      <c r="AB143" s="884">
        <f>IF(Otras_Actividades_Base[[#This Row],[Fecha Económico]]=0,0,MONTH(Otras_Actividades_Base[[#This Row],[Fecha Económico]]))</f>
        <v>0</v>
      </c>
      <c r="AC143" s="890">
        <f>IF(Otras_Actividades_Base[[#This Row],[Fecha Económico]]=0,0,YEAR(Otras_Actividades_Base[[#This Row],[Fecha Económico]]))</f>
        <v>0</v>
      </c>
      <c r="AD143" s="891">
        <f>SUMPRODUCT((Otras_Actividades_Base[[#This Row],[Mes Económico]]=Tipo_Cambio[Mes])*(Otras_Actividades_Base[[#This Row],[Año Económico]]=Tipo_Cambio[Año])*(Tipo_Cambio[$/U$S]))</f>
        <v>0</v>
      </c>
      <c r="AE143" s="891">
        <f>SUMPRODUCT((Otras_Actividades_Base[[#This Row],[Mes Económico]]=Tipo_Cambio[Mes])*(Otras_Actividades_Base[[#This Row],[Año Económico]]=Tipo_Cambio[Año])*(Tipo_Cambio[Actualización]))</f>
        <v>0</v>
      </c>
      <c r="AF143" s="890">
        <f>IF(ISNUMBER(Otras_Actividades_Base[[#This Row],[Fecha Financiero]])=TRUE,MONTH(Otras_Actividades_Base[[#This Row],[Fecha Financiero]]),0)</f>
        <v>0</v>
      </c>
      <c r="AG143" s="890">
        <f>IF(ISNUMBER(Otras_Actividades_Base[[#This Row],[Fecha Financiero]])=TRUE,YEAR(Otras_Actividades_Base[[#This Row],[Fecha Financiero]]),0)</f>
        <v>0</v>
      </c>
      <c r="AH143" s="891">
        <f>SUMPRODUCT((Otras_Actividades_Base[[#This Row],[Mes Financiero]]=Tipo_Cambio[Mes])*(Otras_Actividades_Base[[#This Row],[Año Financiero]]=Tipo_Cambio[Año])*(Tipo_Cambio[$/U$S]))</f>
        <v>0</v>
      </c>
      <c r="AI143" s="891">
        <f>SUMPRODUCT((Otras_Actividades_Base[[#This Row],[Mes Financiero]]=Tipo_Cambio[Mes])*(Otras_Actividades_Base[[#This Row],[Año Financiero]]=Tipo_Cambio[Año])*(Tipo_Cambio[Actualización]))</f>
        <v>0</v>
      </c>
      <c r="AJ143" s="916">
        <f>IF(Económico!$F$4=0,0,Otras_Actividades_Base[Centro de Costo])</f>
        <v>0</v>
      </c>
    </row>
  </sheetData>
  <mergeCells count="6">
    <mergeCell ref="B5:B7"/>
    <mergeCell ref="B129:B131"/>
    <mergeCell ref="B139:B141"/>
    <mergeCell ref="B69:B71"/>
    <mergeCell ref="B55:B57"/>
    <mergeCell ref="B120:B122"/>
  </mergeCells>
  <conditionalFormatting sqref="E5:E28 E140:E143 E54 E128:E137">
    <cfRule type="expression" dxfId="117" priority="22">
      <formula>Z5="No"</formula>
    </cfRule>
  </conditionalFormatting>
  <conditionalFormatting sqref="E138:E139">
    <cfRule type="expression" dxfId="116" priority="19">
      <formula>Z138="No"</formula>
    </cfRule>
  </conditionalFormatting>
  <conditionalFormatting sqref="E29:E40 E53 E70:E104 E117:E118 E55:E67 E121:E127">
    <cfRule type="expression" dxfId="115" priority="18">
      <formula>Z29="No"</formula>
    </cfRule>
  </conditionalFormatting>
  <conditionalFormatting sqref="E41:E52">
    <cfRule type="expression" dxfId="114" priority="17">
      <formula>Z41="No"</formula>
    </cfRule>
  </conditionalFormatting>
  <conditionalFormatting sqref="E68:E69">
    <cfRule type="expression" dxfId="113" priority="14">
      <formula>Z68="No"</formula>
    </cfRule>
  </conditionalFormatting>
  <conditionalFormatting sqref="E105:E116">
    <cfRule type="expression" dxfId="112" priority="11">
      <formula>Z105="No"</formula>
    </cfRule>
  </conditionalFormatting>
  <conditionalFormatting sqref="E119:E120">
    <cfRule type="expression" dxfId="111" priority="5">
      <formula>Z119="No"</formula>
    </cfRule>
  </conditionalFormatting>
  <conditionalFormatting sqref="O5:O143">
    <cfRule type="expression" dxfId="110" priority="1">
      <formula>Z5="No"</formula>
    </cfRule>
  </conditionalFormatting>
  <dataValidations count="5">
    <dataValidation type="list" allowBlank="1" showInputMessage="1" showErrorMessage="1" sqref="F5:F143">
      <formula1>INDIRECT("Campaña")</formula1>
    </dataValidation>
    <dataValidation type="list" allowBlank="1" showInputMessage="1" showErrorMessage="1" sqref="H5:H143">
      <formula1>INDIRECT("Centros_Costo")</formula1>
    </dataValidation>
    <dataValidation type="list" allowBlank="1" showInputMessage="1" showErrorMessage="1" sqref="I5:I143">
      <formula1>Otras</formula1>
    </dataValidation>
    <dataValidation type="list" allowBlank="1" showInputMessage="1" showErrorMessage="1" sqref="N5:N143">
      <formula1>"$,U$S"</formula1>
    </dataValidation>
    <dataValidation type="list" allowBlank="1" showInputMessage="1" showErrorMessage="1" sqref="G5:G143">
      <formula1>Otras_Cuentas</formula1>
    </dataValidation>
  </dataValidations>
  <hyperlinks>
    <hyperlink ref="D2" location="'Asistente de Carga'!A1" display="Volver al Asistente de Carga"/>
    <hyperlink ref="E2" location="'Financiero U$S'!A1" display="Presupuesto Financiero"/>
  </hyperlinks>
  <pageMargins left="0.7" right="0.7" top="0.75" bottom="0.75" header="0.3" footer="0.3"/>
  <legacy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</sheetPr>
  <dimension ref="A1:AN125"/>
  <sheetViews>
    <sheetView showGridLines="0" zoomScale="80" zoomScaleNormal="80" workbookViewId="0">
      <pane ySplit="4" topLeftCell="A5" activePane="bottomLeft" state="frozen"/>
      <selection pane="bottomLeft" activeCell="E6" sqref="E6"/>
    </sheetView>
  </sheetViews>
  <sheetFormatPr baseColWidth="10" defaultColWidth="0" defaultRowHeight="15" outlineLevelCol="2" x14ac:dyDescent="0.25"/>
  <cols>
    <col min="1" max="1" width="2.7109375" customWidth="1"/>
    <col min="2" max="2" width="20.42578125" customWidth="1"/>
    <col min="3" max="3" width="2.7109375" customWidth="1"/>
    <col min="4" max="5" width="11.5703125" style="465" bestFit="1" customWidth="1"/>
    <col min="6" max="6" width="11.7109375" style="465" customWidth="1"/>
    <col min="7" max="7" width="28.85546875" style="464" customWidth="1"/>
    <col min="8" max="8" width="15" style="464" bestFit="1" customWidth="1"/>
    <col min="9" max="9" width="35.7109375" style="464" customWidth="1"/>
    <col min="10" max="10" width="19.5703125" style="464" customWidth="1"/>
    <col min="11" max="11" width="10.5703125" style="465" customWidth="1"/>
    <col min="12" max="12" width="7.42578125" style="464" bestFit="1" customWidth="1"/>
    <col min="13" max="13" width="12.42578125" style="464" customWidth="1"/>
    <col min="14" max="14" width="9.140625" style="464" customWidth="1"/>
    <col min="15" max="15" width="10.85546875" style="464" bestFit="1" customWidth="1"/>
    <col min="16" max="16" width="10.85546875" hidden="1" customWidth="1" outlineLevel="2"/>
    <col min="17" max="19" width="13.28515625" hidden="1" customWidth="1" outlineLevel="2"/>
    <col min="20" max="24" width="12.85546875" hidden="1" customWidth="1" outlineLevel="2"/>
    <col min="25" max="25" width="15" hidden="1" customWidth="1" outlineLevel="2"/>
    <col min="26" max="27" width="16.7109375" hidden="1" customWidth="1" outlineLevel="2"/>
    <col min="28" max="28" width="9.28515625" hidden="1" customWidth="1" outlineLevel="2"/>
    <col min="29" max="29" width="10.7109375" hidden="1" customWidth="1" outlineLevel="2"/>
    <col min="30" max="30" width="11.28515625" hidden="1" customWidth="1" outlineLevel="2"/>
    <col min="31" max="32" width="11.28515625" style="22" hidden="1" customWidth="1" outlineLevel="2"/>
    <col min="33" max="33" width="12.85546875" style="22" hidden="1" customWidth="1" outlineLevel="2"/>
    <col min="34" max="35" width="11.28515625" style="22" hidden="1" customWidth="1" outlineLevel="2"/>
    <col min="36" max="36" width="10.5703125" style="22" hidden="1" customWidth="1" outlineLevel="2"/>
    <col min="37" max="37" width="12.42578125" hidden="1" customWidth="1" outlineLevel="2"/>
    <col min="38" max="38" width="12.42578125" customWidth="1" outlineLevel="1" collapsed="1"/>
    <col min="39" max="39" width="12.42578125" hidden="1" customWidth="1" outlineLevel="1" collapsed="1"/>
    <col min="40" max="40" width="0" hidden="1" customWidth="1" outlineLevel="1" collapsed="1"/>
    <col min="41" max="16384" width="12.42578125" hidden="1" outlineLevel="1"/>
  </cols>
  <sheetData>
    <row r="1" spans="2:37" x14ac:dyDescent="0.25">
      <c r="P1" s="4"/>
      <c r="R1" s="4"/>
      <c r="U1" s="4"/>
      <c r="V1" s="4"/>
      <c r="W1" s="4"/>
      <c r="X1" s="4"/>
      <c r="Z1" s="4"/>
      <c r="AA1" s="4"/>
      <c r="AB1" s="4"/>
      <c r="AC1" s="22"/>
      <c r="AD1" s="22"/>
      <c r="AI1"/>
      <c r="AJ1"/>
    </row>
    <row r="2" spans="2:37" ht="45" x14ac:dyDescent="0.25">
      <c r="B2" s="361" t="s">
        <v>105</v>
      </c>
      <c r="D2" s="467" t="s">
        <v>477</v>
      </c>
      <c r="E2" s="468" t="s">
        <v>478</v>
      </c>
      <c r="P2" s="4"/>
      <c r="R2" s="4"/>
      <c r="U2" s="4"/>
      <c r="V2" s="4"/>
      <c r="W2" s="4"/>
      <c r="X2" s="4"/>
      <c r="Z2" s="4"/>
      <c r="AA2" s="4"/>
      <c r="AB2" s="4"/>
      <c r="AC2" s="406"/>
      <c r="AD2" s="406"/>
      <c r="AE2" s="406"/>
      <c r="AF2" s="406"/>
      <c r="AG2" s="406"/>
      <c r="AH2" s="406"/>
      <c r="AI2"/>
      <c r="AJ2"/>
    </row>
    <row r="3" spans="2:37" x14ac:dyDescent="0.25">
      <c r="I3" s="465"/>
      <c r="J3" s="465"/>
      <c r="L3" s="465"/>
      <c r="M3" s="469"/>
      <c r="N3" s="469"/>
      <c r="O3" s="469"/>
      <c r="P3" s="17"/>
      <c r="Q3" s="17"/>
      <c r="AC3" s="22"/>
      <c r="AD3" s="22"/>
      <c r="AI3"/>
      <c r="AJ3"/>
    </row>
    <row r="4" spans="2:37" s="5" customFormat="1" ht="31.5" customHeight="1" x14ac:dyDescent="0.25">
      <c r="D4" s="471" t="s">
        <v>352</v>
      </c>
      <c r="E4" s="471" t="s">
        <v>15</v>
      </c>
      <c r="F4" s="472" t="s">
        <v>4</v>
      </c>
      <c r="G4" s="470" t="s">
        <v>78</v>
      </c>
      <c r="H4" s="470" t="s">
        <v>0</v>
      </c>
      <c r="I4" s="470" t="s">
        <v>86</v>
      </c>
      <c r="J4" s="470" t="s">
        <v>16</v>
      </c>
      <c r="K4" s="476" t="s">
        <v>89</v>
      </c>
      <c r="L4" s="475" t="s">
        <v>27</v>
      </c>
      <c r="M4" s="471" t="s">
        <v>87</v>
      </c>
      <c r="N4" s="471" t="s">
        <v>1</v>
      </c>
      <c r="O4" s="472" t="s">
        <v>353</v>
      </c>
      <c r="P4" s="6" t="s">
        <v>354</v>
      </c>
      <c r="Q4" s="6" t="s">
        <v>355</v>
      </c>
      <c r="R4" s="7" t="s">
        <v>356</v>
      </c>
      <c r="S4" s="8" t="s">
        <v>236</v>
      </c>
      <c r="T4" s="6" t="s">
        <v>235</v>
      </c>
      <c r="U4" s="6" t="s">
        <v>357</v>
      </c>
      <c r="V4" s="38" t="s">
        <v>92</v>
      </c>
      <c r="W4" s="20" t="s">
        <v>93</v>
      </c>
      <c r="X4" s="20" t="s">
        <v>345</v>
      </c>
      <c r="Y4" s="33" t="s">
        <v>39</v>
      </c>
      <c r="Z4" s="38" t="s">
        <v>91</v>
      </c>
      <c r="AA4" s="20" t="s">
        <v>292</v>
      </c>
      <c r="AB4" s="20" t="s">
        <v>64</v>
      </c>
      <c r="AC4" s="38" t="s">
        <v>346</v>
      </c>
      <c r="AD4" s="2" t="s">
        <v>347</v>
      </c>
      <c r="AE4" s="2" t="s">
        <v>348</v>
      </c>
      <c r="AF4" s="2" t="s">
        <v>349</v>
      </c>
      <c r="AG4" s="2" t="s">
        <v>33</v>
      </c>
      <c r="AH4" s="2" t="s">
        <v>34</v>
      </c>
      <c r="AI4" s="2" t="s">
        <v>90</v>
      </c>
      <c r="AJ4" s="2" t="s">
        <v>350</v>
      </c>
      <c r="AK4" s="38" t="s">
        <v>281</v>
      </c>
    </row>
    <row r="5" spans="2:37" x14ac:dyDescent="0.25">
      <c r="B5" s="437" t="s">
        <v>6</v>
      </c>
      <c r="D5" s="478">
        <f>DATE(LEFT(Indirectos[[#This Row],[Campaña]],4),7,1)</f>
        <v>43282</v>
      </c>
      <c r="E5" s="493"/>
      <c r="F5" s="866" t="str">
        <f t="shared" ref="F5:F36" si="0">Campaña_Actual</f>
        <v>2018-2019</v>
      </c>
      <c r="G5" s="481" t="s">
        <v>107</v>
      </c>
      <c r="H5" s="481"/>
      <c r="I5" s="481" t="s">
        <v>6</v>
      </c>
      <c r="J5" s="481"/>
      <c r="K5" s="533"/>
      <c r="L5" s="484"/>
      <c r="M5" s="491"/>
      <c r="N5" s="491" t="s">
        <v>48</v>
      </c>
      <c r="O5" s="485"/>
      <c r="P5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5" s="881">
        <f>IFERROR(Indirectos[[#This Row],[Económico $Corrientes]]/Indirectos[[#This Row],[Indexación Económico]],0)</f>
        <v>0</v>
      </c>
      <c r="R5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5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5" s="881">
        <f>IFERROR(Indirectos[[#This Row],[Financiero $Corrientes]]/Indirectos[[#This Row],[Indexación Financiero]],0)</f>
        <v>0</v>
      </c>
      <c r="U5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5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5" s="885">
        <f>IFERROR(Indirectos[[#This Row],[Intereses $Corrientes]]/Indirectos[[#This Row],[Indexación Financiero]],0)</f>
        <v>0</v>
      </c>
      <c r="X5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5" s="886" t="str">
        <f>IFERROR(INDEX(Costos_Indirectos_Cuentas[],MATCH(Indirectos[[#This Row],[Cuenta Contable]],Costos_Indirectos_Cuentas[Cuenta Contable],0),2),0)</f>
        <v>Egreso</v>
      </c>
      <c r="Z5" s="887" t="str">
        <f>IFERROR(INDEX(Tabla9[],MATCH(Indirectos[[#This Row],[Movimiento]],Tabla9[Movimientos],0),2),0)</f>
        <v>Si</v>
      </c>
      <c r="AA5" s="889" t="str">
        <f>IFERROR(INDEX(Costos_Indirectos_Cuentas[],MATCH(Indirectos[[#This Row],[Cuenta Contable]],Costos_Indirectos_Cuentas[Cuenta Contable],0),3),0)</f>
        <v>Si</v>
      </c>
      <c r="AB5" s="889" t="str">
        <f>IFERROR(INDEX(Tabla9[],MATCH(Indirectos[[#This Row],[Movimiento]],Tabla9[Movimientos],0),3),0)</f>
        <v>(-)</v>
      </c>
      <c r="AC5" s="884">
        <f>IF(Indirectos[[#This Row],[Fecha Económico]]=0,0,MONTH(Indirectos[[#This Row],[Fecha Económico]]))</f>
        <v>7</v>
      </c>
      <c r="AD5" s="890">
        <f>IF(Indirectos[[#This Row],[Fecha Económico]]=0,0,YEAR(Indirectos[[#This Row],[Fecha Económico]]))</f>
        <v>2018</v>
      </c>
      <c r="AE5" s="891">
        <f>SUMPRODUCT((Indirectos[[#This Row],[Mes Económico]]=Tipo_Cambio[Mes])*(Indirectos[[#This Row],[Año Económico]]=Tipo_Cambio[Año])*(Tipo_Cambio[$/U$S]))</f>
        <v>22</v>
      </c>
      <c r="AF5" s="891">
        <f>SUMPRODUCT((Indirectos[[#This Row],[Mes Económico]]=Tipo_Cambio[Mes])*(Indirectos[[#This Row],[Año Económico]]=Tipo_Cambio[Año])*(Tipo_Cambio[Actualización]))</f>
        <v>1</v>
      </c>
      <c r="AG5" s="890">
        <f>IF(ISNUMBER(Indirectos[[#This Row],[Fecha Financiero]])=TRUE,MONTH(Indirectos[[#This Row],[Fecha Financiero]]),0)</f>
        <v>0</v>
      </c>
      <c r="AH5" s="890">
        <f>IF(ISNUMBER(Indirectos[[#This Row],[Fecha Financiero]])=TRUE,YEAR(Indirectos[[#This Row],[Fecha Financiero]]),0)</f>
        <v>0</v>
      </c>
      <c r="AI5" s="891">
        <f>SUMPRODUCT((Indirectos[[#This Row],[Mes Financiero]]=Tipo_Cambio[Mes])*(Indirectos[[#This Row],[Año Financiero]]=Tipo_Cambio[Año])*(Tipo_Cambio[$/U$S]))</f>
        <v>0</v>
      </c>
      <c r="AJ5" s="891">
        <f>SUMPRODUCT((Indirectos[[#This Row],[Mes Financiero]]=Tipo_Cambio[Mes])*(Indirectos[[#This Row],[Año Financiero]]=Tipo_Cambio[Año])*(Tipo_Cambio[Actualización]))</f>
        <v>0</v>
      </c>
      <c r="AK5" s="887">
        <f>IF(Económico!$F$4=0,0,Indirectos[Centro de Costo])</f>
        <v>0</v>
      </c>
    </row>
    <row r="6" spans="2:37" x14ac:dyDescent="0.25">
      <c r="D6" s="478">
        <f>DATE(IF(MONTH(D5)=1,YEAR(D5+1),YEAR(D5)),MONTH(D5)+1,1)</f>
        <v>43313</v>
      </c>
      <c r="E6" s="493">
        <f>Indirectos[[#This Row],[Fecha Económico]]</f>
        <v>43313</v>
      </c>
      <c r="F6" s="866" t="str">
        <f t="shared" si="0"/>
        <v>2018-2019</v>
      </c>
      <c r="G6" s="481" t="s">
        <v>107</v>
      </c>
      <c r="H6" s="481"/>
      <c r="I6" s="481" t="s">
        <v>6</v>
      </c>
      <c r="J6" s="481"/>
      <c r="K6" s="533"/>
      <c r="L6" s="484"/>
      <c r="M6" s="491"/>
      <c r="N6" s="491" t="s">
        <v>48</v>
      </c>
      <c r="O6" s="485"/>
      <c r="P6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6" s="881">
        <f>IFERROR(Indirectos[[#This Row],[Económico $Corrientes]]/Indirectos[[#This Row],[Indexación Económico]],0)</f>
        <v>0</v>
      </c>
      <c r="R6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6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6" s="881">
        <f>IFERROR(Indirectos[[#This Row],[Financiero $Corrientes]]/Indirectos[[#This Row],[Indexación Financiero]],0)</f>
        <v>0</v>
      </c>
      <c r="U6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6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6" s="885">
        <f>IFERROR(Indirectos[[#This Row],[Intereses $Corrientes]]/Indirectos[[#This Row],[Indexación Financiero]],0)</f>
        <v>0</v>
      </c>
      <c r="X6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6" s="886" t="str">
        <f>IFERROR(INDEX(Costos_Indirectos_Cuentas[],MATCH(Indirectos[[#This Row],[Cuenta Contable]],Costos_Indirectos_Cuentas[Cuenta Contable],0),2),0)</f>
        <v>Egreso</v>
      </c>
      <c r="Z6" s="887" t="str">
        <f>IFERROR(INDEX(Tabla9[],MATCH(Indirectos[[#This Row],[Movimiento]],Tabla9[Movimientos],0),2),0)</f>
        <v>Si</v>
      </c>
      <c r="AA6" s="889" t="str">
        <f>IFERROR(INDEX(Costos_Indirectos_Cuentas[],MATCH(Indirectos[[#This Row],[Cuenta Contable]],Costos_Indirectos_Cuentas[Cuenta Contable],0),3),0)</f>
        <v>Si</v>
      </c>
      <c r="AB6" s="889" t="str">
        <f>IFERROR(INDEX(Tabla9[],MATCH(Indirectos[[#This Row],[Movimiento]],Tabla9[Movimientos],0),3),0)</f>
        <v>(-)</v>
      </c>
      <c r="AC6" s="884">
        <f>IF(Indirectos[[#This Row],[Fecha Económico]]=0,0,MONTH(Indirectos[[#This Row],[Fecha Económico]]))</f>
        <v>8</v>
      </c>
      <c r="AD6" s="890">
        <f>IF(Indirectos[[#This Row],[Fecha Económico]]=0,0,YEAR(Indirectos[[#This Row],[Fecha Económico]]))</f>
        <v>2018</v>
      </c>
      <c r="AE6" s="891">
        <f>SUMPRODUCT((Indirectos[[#This Row],[Mes Económico]]=Tipo_Cambio[Mes])*(Indirectos[[#This Row],[Año Económico]]=Tipo_Cambio[Año])*(Tipo_Cambio[$/U$S]))</f>
        <v>22.22</v>
      </c>
      <c r="AF6" s="891">
        <f>SUMPRODUCT((Indirectos[[#This Row],[Mes Económico]]=Tipo_Cambio[Mes])*(Indirectos[[#This Row],[Año Económico]]=Tipo_Cambio[Año])*(Tipo_Cambio[Actualización]))</f>
        <v>1.02</v>
      </c>
      <c r="AG6" s="890">
        <f>IF(ISNUMBER(Indirectos[[#This Row],[Fecha Financiero]])=TRUE,MONTH(Indirectos[[#This Row],[Fecha Financiero]]),0)</f>
        <v>8</v>
      </c>
      <c r="AH6" s="890">
        <f>IF(ISNUMBER(Indirectos[[#This Row],[Fecha Financiero]])=TRUE,YEAR(Indirectos[[#This Row],[Fecha Financiero]]),0)</f>
        <v>2018</v>
      </c>
      <c r="AI6" s="891">
        <f>SUMPRODUCT((Indirectos[[#This Row],[Mes Financiero]]=Tipo_Cambio[Mes])*(Indirectos[[#This Row],[Año Financiero]]=Tipo_Cambio[Año])*(Tipo_Cambio[$/U$S]))</f>
        <v>22.22</v>
      </c>
      <c r="AJ6" s="891">
        <f>SUMPRODUCT((Indirectos[[#This Row],[Mes Financiero]]=Tipo_Cambio[Mes])*(Indirectos[[#This Row],[Año Financiero]]=Tipo_Cambio[Año])*(Tipo_Cambio[Actualización]))</f>
        <v>1.02</v>
      </c>
      <c r="AK6" s="887">
        <f>IF(Económico!$F$4=0,0,Indirectos[Centro de Costo])</f>
        <v>0</v>
      </c>
    </row>
    <row r="7" spans="2:37" x14ac:dyDescent="0.25">
      <c r="D7" s="478">
        <f t="shared" ref="D7:D16" si="1">DATE(IF(MONTH(D6)=1,YEAR(D6+1),YEAR(D6)),MONTH(D6)+1,1)</f>
        <v>43344</v>
      </c>
      <c r="E7" s="493"/>
      <c r="F7" s="866" t="str">
        <f t="shared" si="0"/>
        <v>2018-2019</v>
      </c>
      <c r="G7" s="481" t="s">
        <v>107</v>
      </c>
      <c r="H7" s="481"/>
      <c r="I7" s="481" t="s">
        <v>6</v>
      </c>
      <c r="J7" s="481"/>
      <c r="K7" s="533"/>
      <c r="L7" s="484"/>
      <c r="M7" s="491"/>
      <c r="N7" s="491" t="s">
        <v>48</v>
      </c>
      <c r="O7" s="485"/>
      <c r="P7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7" s="881">
        <f>IFERROR(Indirectos[[#This Row],[Económico $Corrientes]]/Indirectos[[#This Row],[Indexación Económico]],0)</f>
        <v>0</v>
      </c>
      <c r="R7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7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7" s="881">
        <f>IFERROR(Indirectos[[#This Row],[Financiero $Corrientes]]/Indirectos[[#This Row],[Indexación Financiero]],0)</f>
        <v>0</v>
      </c>
      <c r="U7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7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7" s="885">
        <f>IFERROR(Indirectos[[#This Row],[Intereses $Corrientes]]/Indirectos[[#This Row],[Indexación Financiero]],0)</f>
        <v>0</v>
      </c>
      <c r="X7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7" s="886" t="str">
        <f>IFERROR(INDEX(Costos_Indirectos_Cuentas[],MATCH(Indirectos[[#This Row],[Cuenta Contable]],Costos_Indirectos_Cuentas[Cuenta Contable],0),2),0)</f>
        <v>Egreso</v>
      </c>
      <c r="Z7" s="887" t="str">
        <f>IFERROR(INDEX(Tabla9[],MATCH(Indirectos[[#This Row],[Movimiento]],Tabla9[Movimientos],0),2),0)</f>
        <v>Si</v>
      </c>
      <c r="AA7" s="889" t="str">
        <f>IFERROR(INDEX(Costos_Indirectos_Cuentas[],MATCH(Indirectos[[#This Row],[Cuenta Contable]],Costos_Indirectos_Cuentas[Cuenta Contable],0),3),0)</f>
        <v>Si</v>
      </c>
      <c r="AB7" s="889" t="str">
        <f>IFERROR(INDEX(Tabla9[],MATCH(Indirectos[[#This Row],[Movimiento]],Tabla9[Movimientos],0),3),0)</f>
        <v>(-)</v>
      </c>
      <c r="AC7" s="884">
        <f>IF(Indirectos[[#This Row],[Fecha Económico]]=0,0,MONTH(Indirectos[[#This Row],[Fecha Económico]]))</f>
        <v>9</v>
      </c>
      <c r="AD7" s="890">
        <f>IF(Indirectos[[#This Row],[Fecha Económico]]=0,0,YEAR(Indirectos[[#This Row],[Fecha Económico]]))</f>
        <v>2018</v>
      </c>
      <c r="AE7" s="891">
        <f>SUMPRODUCT((Indirectos[[#This Row],[Mes Económico]]=Tipo_Cambio[Mes])*(Indirectos[[#This Row],[Año Económico]]=Tipo_Cambio[Año])*(Tipo_Cambio[$/U$S]))</f>
        <v>22.4422</v>
      </c>
      <c r="AF7" s="891">
        <f>SUMPRODUCT((Indirectos[[#This Row],[Mes Económico]]=Tipo_Cambio[Mes])*(Indirectos[[#This Row],[Año Económico]]=Tipo_Cambio[Año])*(Tipo_Cambio[Actualización]))</f>
        <v>1.0404</v>
      </c>
      <c r="AG7" s="890">
        <f>IF(ISNUMBER(Indirectos[[#This Row],[Fecha Financiero]])=TRUE,MONTH(Indirectos[[#This Row],[Fecha Financiero]]),0)</f>
        <v>0</v>
      </c>
      <c r="AH7" s="890">
        <f>IF(ISNUMBER(Indirectos[[#This Row],[Fecha Financiero]])=TRUE,YEAR(Indirectos[[#This Row],[Fecha Financiero]]),0)</f>
        <v>0</v>
      </c>
      <c r="AI7" s="891">
        <f>SUMPRODUCT((Indirectos[[#This Row],[Mes Financiero]]=Tipo_Cambio[Mes])*(Indirectos[[#This Row],[Año Financiero]]=Tipo_Cambio[Año])*(Tipo_Cambio[$/U$S]))</f>
        <v>0</v>
      </c>
      <c r="AJ7" s="891">
        <f>SUMPRODUCT((Indirectos[[#This Row],[Mes Financiero]]=Tipo_Cambio[Mes])*(Indirectos[[#This Row],[Año Financiero]]=Tipo_Cambio[Año])*(Tipo_Cambio[Actualización]))</f>
        <v>0</v>
      </c>
      <c r="AK7" s="887">
        <f>IF(Económico!$F$4=0,0,Indirectos[Centro de Costo])</f>
        <v>0</v>
      </c>
    </row>
    <row r="8" spans="2:37" x14ac:dyDescent="0.25">
      <c r="D8" s="478">
        <f t="shared" si="1"/>
        <v>43374</v>
      </c>
      <c r="E8" s="493"/>
      <c r="F8" s="866" t="str">
        <f t="shared" si="0"/>
        <v>2018-2019</v>
      </c>
      <c r="G8" s="481" t="s">
        <v>107</v>
      </c>
      <c r="H8" s="481"/>
      <c r="I8" s="481" t="s">
        <v>6</v>
      </c>
      <c r="J8" s="481"/>
      <c r="K8" s="533"/>
      <c r="L8" s="484"/>
      <c r="M8" s="491"/>
      <c r="N8" s="491" t="s">
        <v>48</v>
      </c>
      <c r="O8" s="485"/>
      <c r="P8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8" s="881">
        <f>IFERROR(Indirectos[[#This Row],[Económico $Corrientes]]/Indirectos[[#This Row],[Indexación Económico]],0)</f>
        <v>0</v>
      </c>
      <c r="R8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8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8" s="881">
        <f>IFERROR(Indirectos[[#This Row],[Financiero $Corrientes]]/Indirectos[[#This Row],[Indexación Financiero]],0)</f>
        <v>0</v>
      </c>
      <c r="U8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8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8" s="885">
        <f>IFERROR(Indirectos[[#This Row],[Intereses $Corrientes]]/Indirectos[[#This Row],[Indexación Financiero]],0)</f>
        <v>0</v>
      </c>
      <c r="X8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8" s="886" t="str">
        <f>IFERROR(INDEX(Costos_Indirectos_Cuentas[],MATCH(Indirectos[[#This Row],[Cuenta Contable]],Costos_Indirectos_Cuentas[Cuenta Contable],0),2),0)</f>
        <v>Egreso</v>
      </c>
      <c r="Z8" s="887" t="str">
        <f>IFERROR(INDEX(Tabla9[],MATCH(Indirectos[[#This Row],[Movimiento]],Tabla9[Movimientos],0),2),0)</f>
        <v>Si</v>
      </c>
      <c r="AA8" s="889" t="str">
        <f>IFERROR(INDEX(Costos_Indirectos_Cuentas[],MATCH(Indirectos[[#This Row],[Cuenta Contable]],Costos_Indirectos_Cuentas[Cuenta Contable],0),3),0)</f>
        <v>Si</v>
      </c>
      <c r="AB8" s="889" t="str">
        <f>IFERROR(INDEX(Tabla9[],MATCH(Indirectos[[#This Row],[Movimiento]],Tabla9[Movimientos],0),3),0)</f>
        <v>(-)</v>
      </c>
      <c r="AC8" s="884">
        <f>IF(Indirectos[[#This Row],[Fecha Económico]]=0,0,MONTH(Indirectos[[#This Row],[Fecha Económico]]))</f>
        <v>10</v>
      </c>
      <c r="AD8" s="890">
        <f>IF(Indirectos[[#This Row],[Fecha Económico]]=0,0,YEAR(Indirectos[[#This Row],[Fecha Económico]]))</f>
        <v>2018</v>
      </c>
      <c r="AE8" s="891">
        <f>SUMPRODUCT((Indirectos[[#This Row],[Mes Económico]]=Tipo_Cambio[Mes])*(Indirectos[[#This Row],[Año Económico]]=Tipo_Cambio[Año])*(Tipo_Cambio[$/U$S]))</f>
        <v>22.666622</v>
      </c>
      <c r="AF8" s="891">
        <f>SUMPRODUCT((Indirectos[[#This Row],[Mes Económico]]=Tipo_Cambio[Mes])*(Indirectos[[#This Row],[Año Económico]]=Tipo_Cambio[Año])*(Tipo_Cambio[Actualización]))</f>
        <v>1.0612079999999999</v>
      </c>
      <c r="AG8" s="890">
        <f>IF(ISNUMBER(Indirectos[[#This Row],[Fecha Financiero]])=TRUE,MONTH(Indirectos[[#This Row],[Fecha Financiero]]),0)</f>
        <v>0</v>
      </c>
      <c r="AH8" s="890">
        <f>IF(ISNUMBER(Indirectos[[#This Row],[Fecha Financiero]])=TRUE,YEAR(Indirectos[[#This Row],[Fecha Financiero]]),0)</f>
        <v>0</v>
      </c>
      <c r="AI8" s="891">
        <f>SUMPRODUCT((Indirectos[[#This Row],[Mes Financiero]]=Tipo_Cambio[Mes])*(Indirectos[[#This Row],[Año Financiero]]=Tipo_Cambio[Año])*(Tipo_Cambio[$/U$S]))</f>
        <v>0</v>
      </c>
      <c r="AJ8" s="891">
        <f>SUMPRODUCT((Indirectos[[#This Row],[Mes Financiero]]=Tipo_Cambio[Mes])*(Indirectos[[#This Row],[Año Financiero]]=Tipo_Cambio[Año])*(Tipo_Cambio[Actualización]))</f>
        <v>0</v>
      </c>
      <c r="AK8" s="887">
        <f>IF(Económico!$F$4=0,0,Indirectos[Centro de Costo])</f>
        <v>0</v>
      </c>
    </row>
    <row r="9" spans="2:37" x14ac:dyDescent="0.25">
      <c r="D9" s="478">
        <f t="shared" si="1"/>
        <v>43405</v>
      </c>
      <c r="E9" s="493"/>
      <c r="F9" s="866" t="str">
        <f t="shared" si="0"/>
        <v>2018-2019</v>
      </c>
      <c r="G9" s="481" t="s">
        <v>107</v>
      </c>
      <c r="H9" s="481"/>
      <c r="I9" s="481" t="s">
        <v>6</v>
      </c>
      <c r="J9" s="481"/>
      <c r="K9" s="533"/>
      <c r="L9" s="484"/>
      <c r="M9" s="491"/>
      <c r="N9" s="491" t="s">
        <v>48</v>
      </c>
      <c r="O9" s="485"/>
      <c r="P9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9" s="881">
        <f>IFERROR(Indirectos[[#This Row],[Económico $Corrientes]]/Indirectos[[#This Row],[Indexación Económico]],0)</f>
        <v>0</v>
      </c>
      <c r="R9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9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9" s="881">
        <f>IFERROR(Indirectos[[#This Row],[Financiero $Corrientes]]/Indirectos[[#This Row],[Indexación Financiero]],0)</f>
        <v>0</v>
      </c>
      <c r="U9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9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9" s="885">
        <f>IFERROR(Indirectos[[#This Row],[Intereses $Corrientes]]/Indirectos[[#This Row],[Indexación Financiero]],0)</f>
        <v>0</v>
      </c>
      <c r="X9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9" s="886" t="str">
        <f>IFERROR(INDEX(Costos_Indirectos_Cuentas[],MATCH(Indirectos[[#This Row],[Cuenta Contable]],Costos_Indirectos_Cuentas[Cuenta Contable],0),2),0)</f>
        <v>Egreso</v>
      </c>
      <c r="Z9" s="887" t="str">
        <f>IFERROR(INDEX(Tabla9[],MATCH(Indirectos[[#This Row],[Movimiento]],Tabla9[Movimientos],0),2),0)</f>
        <v>Si</v>
      </c>
      <c r="AA9" s="889" t="str">
        <f>IFERROR(INDEX(Costos_Indirectos_Cuentas[],MATCH(Indirectos[[#This Row],[Cuenta Contable]],Costos_Indirectos_Cuentas[Cuenta Contable],0),3),0)</f>
        <v>Si</v>
      </c>
      <c r="AB9" s="889" t="str">
        <f>IFERROR(INDEX(Tabla9[],MATCH(Indirectos[[#This Row],[Movimiento]],Tabla9[Movimientos],0),3),0)</f>
        <v>(-)</v>
      </c>
      <c r="AC9" s="884">
        <f>IF(Indirectos[[#This Row],[Fecha Económico]]=0,0,MONTH(Indirectos[[#This Row],[Fecha Económico]]))</f>
        <v>11</v>
      </c>
      <c r="AD9" s="890">
        <f>IF(Indirectos[[#This Row],[Fecha Económico]]=0,0,YEAR(Indirectos[[#This Row],[Fecha Económico]]))</f>
        <v>2018</v>
      </c>
      <c r="AE9" s="891">
        <f>SUMPRODUCT((Indirectos[[#This Row],[Mes Económico]]=Tipo_Cambio[Mes])*(Indirectos[[#This Row],[Año Económico]]=Tipo_Cambio[Año])*(Tipo_Cambio[$/U$S]))</f>
        <v>22.893288219999999</v>
      </c>
      <c r="AF9" s="891">
        <f>SUMPRODUCT((Indirectos[[#This Row],[Mes Económico]]=Tipo_Cambio[Mes])*(Indirectos[[#This Row],[Año Económico]]=Tipo_Cambio[Año])*(Tipo_Cambio[Actualización]))</f>
        <v>1.08243216</v>
      </c>
      <c r="AG9" s="890">
        <f>IF(ISNUMBER(Indirectos[[#This Row],[Fecha Financiero]])=TRUE,MONTH(Indirectos[[#This Row],[Fecha Financiero]]),0)</f>
        <v>0</v>
      </c>
      <c r="AH9" s="890">
        <f>IF(ISNUMBER(Indirectos[[#This Row],[Fecha Financiero]])=TRUE,YEAR(Indirectos[[#This Row],[Fecha Financiero]]),0)</f>
        <v>0</v>
      </c>
      <c r="AI9" s="891">
        <f>SUMPRODUCT((Indirectos[[#This Row],[Mes Financiero]]=Tipo_Cambio[Mes])*(Indirectos[[#This Row],[Año Financiero]]=Tipo_Cambio[Año])*(Tipo_Cambio[$/U$S]))</f>
        <v>0</v>
      </c>
      <c r="AJ9" s="891">
        <f>SUMPRODUCT((Indirectos[[#This Row],[Mes Financiero]]=Tipo_Cambio[Mes])*(Indirectos[[#This Row],[Año Financiero]]=Tipo_Cambio[Año])*(Tipo_Cambio[Actualización]))</f>
        <v>0</v>
      </c>
      <c r="AK9" s="887">
        <f>IF(Económico!$F$4=0,0,Indirectos[Centro de Costo])</f>
        <v>0</v>
      </c>
    </row>
    <row r="10" spans="2:37" x14ac:dyDescent="0.25">
      <c r="D10" s="478">
        <f t="shared" si="1"/>
        <v>43435</v>
      </c>
      <c r="E10" s="493"/>
      <c r="F10" s="866" t="str">
        <f t="shared" si="0"/>
        <v>2018-2019</v>
      </c>
      <c r="G10" s="481" t="s">
        <v>107</v>
      </c>
      <c r="H10" s="481"/>
      <c r="I10" s="481" t="s">
        <v>6</v>
      </c>
      <c r="J10" s="481"/>
      <c r="K10" s="533"/>
      <c r="L10" s="484"/>
      <c r="M10" s="491"/>
      <c r="N10" s="491"/>
      <c r="O10" s="485"/>
      <c r="P10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0" s="881">
        <f>IFERROR(Indirectos[[#This Row],[Económico $Corrientes]]/Indirectos[[#This Row],[Indexación Económico]],0)</f>
        <v>0</v>
      </c>
      <c r="R10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0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0" s="881">
        <f>IFERROR(Indirectos[[#This Row],[Financiero $Corrientes]]/Indirectos[[#This Row],[Indexación Financiero]],0)</f>
        <v>0</v>
      </c>
      <c r="U10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0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0" s="885">
        <f>IFERROR(Indirectos[[#This Row],[Intereses $Corrientes]]/Indirectos[[#This Row],[Indexación Financiero]],0)</f>
        <v>0</v>
      </c>
      <c r="X10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0" s="886" t="str">
        <f>IFERROR(INDEX(Costos_Indirectos_Cuentas[],MATCH(Indirectos[[#This Row],[Cuenta Contable]],Costos_Indirectos_Cuentas[Cuenta Contable],0),2),0)</f>
        <v>Egreso</v>
      </c>
      <c r="Z10" s="887" t="str">
        <f>IFERROR(INDEX(Tabla9[],MATCH(Indirectos[[#This Row],[Movimiento]],Tabla9[Movimientos],0),2),0)</f>
        <v>Si</v>
      </c>
      <c r="AA10" s="889" t="str">
        <f>IFERROR(INDEX(Costos_Indirectos_Cuentas[],MATCH(Indirectos[[#This Row],[Cuenta Contable]],Costos_Indirectos_Cuentas[Cuenta Contable],0),3),0)</f>
        <v>Si</v>
      </c>
      <c r="AB10" s="889" t="str">
        <f>IFERROR(INDEX(Tabla9[],MATCH(Indirectos[[#This Row],[Movimiento]],Tabla9[Movimientos],0),3),0)</f>
        <v>(-)</v>
      </c>
      <c r="AC10" s="884">
        <f>IF(Indirectos[[#This Row],[Fecha Económico]]=0,0,MONTH(Indirectos[[#This Row],[Fecha Económico]]))</f>
        <v>12</v>
      </c>
      <c r="AD10" s="890">
        <f>IF(Indirectos[[#This Row],[Fecha Económico]]=0,0,YEAR(Indirectos[[#This Row],[Fecha Económico]]))</f>
        <v>2018</v>
      </c>
      <c r="AE10" s="891">
        <f>SUMPRODUCT((Indirectos[[#This Row],[Mes Económico]]=Tipo_Cambio[Mes])*(Indirectos[[#This Row],[Año Económico]]=Tipo_Cambio[Año])*(Tipo_Cambio[$/U$S]))</f>
        <v>23.122221102199997</v>
      </c>
      <c r="AF10" s="891">
        <f>SUMPRODUCT((Indirectos[[#This Row],[Mes Económico]]=Tipo_Cambio[Mes])*(Indirectos[[#This Row],[Año Económico]]=Tipo_Cambio[Año])*(Tipo_Cambio[Actualización]))</f>
        <v>1.1040808032</v>
      </c>
      <c r="AG10" s="890">
        <f>IF(ISNUMBER(Indirectos[[#This Row],[Fecha Financiero]])=TRUE,MONTH(Indirectos[[#This Row],[Fecha Financiero]]),0)</f>
        <v>0</v>
      </c>
      <c r="AH10" s="890">
        <f>IF(ISNUMBER(Indirectos[[#This Row],[Fecha Financiero]])=TRUE,YEAR(Indirectos[[#This Row],[Fecha Financiero]]),0)</f>
        <v>0</v>
      </c>
      <c r="AI10" s="891">
        <f>SUMPRODUCT((Indirectos[[#This Row],[Mes Financiero]]=Tipo_Cambio[Mes])*(Indirectos[[#This Row],[Año Financiero]]=Tipo_Cambio[Año])*(Tipo_Cambio[$/U$S]))</f>
        <v>0</v>
      </c>
      <c r="AJ10" s="891">
        <f>SUMPRODUCT((Indirectos[[#This Row],[Mes Financiero]]=Tipo_Cambio[Mes])*(Indirectos[[#This Row],[Año Financiero]]=Tipo_Cambio[Año])*(Tipo_Cambio[Actualización]))</f>
        <v>0</v>
      </c>
      <c r="AK10" s="887">
        <f>IF(Económico!$F$4=0,0,Indirectos[Centro de Costo])</f>
        <v>0</v>
      </c>
    </row>
    <row r="11" spans="2:37" x14ac:dyDescent="0.25">
      <c r="D11" s="478">
        <f t="shared" si="1"/>
        <v>43466</v>
      </c>
      <c r="E11" s="493"/>
      <c r="F11" s="866" t="str">
        <f t="shared" si="0"/>
        <v>2018-2019</v>
      </c>
      <c r="G11" s="481" t="s">
        <v>107</v>
      </c>
      <c r="H11" s="481"/>
      <c r="I11" s="481" t="s">
        <v>6</v>
      </c>
      <c r="J11" s="481"/>
      <c r="K11" s="533"/>
      <c r="L11" s="484"/>
      <c r="M11" s="491"/>
      <c r="N11" s="491"/>
      <c r="O11" s="485"/>
      <c r="P11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1" s="881">
        <f>IFERROR(Indirectos[[#This Row],[Económico $Corrientes]]/Indirectos[[#This Row],[Indexación Económico]],0)</f>
        <v>0</v>
      </c>
      <c r="R11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1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1" s="881">
        <f>IFERROR(Indirectos[[#This Row],[Financiero $Corrientes]]/Indirectos[[#This Row],[Indexación Financiero]],0)</f>
        <v>0</v>
      </c>
      <c r="U11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1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1" s="885">
        <f>IFERROR(Indirectos[[#This Row],[Intereses $Corrientes]]/Indirectos[[#This Row],[Indexación Financiero]],0)</f>
        <v>0</v>
      </c>
      <c r="X11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1" s="886" t="str">
        <f>IFERROR(INDEX(Costos_Indirectos_Cuentas[],MATCH(Indirectos[[#This Row],[Cuenta Contable]],Costos_Indirectos_Cuentas[Cuenta Contable],0),2),0)</f>
        <v>Egreso</v>
      </c>
      <c r="Z11" s="887" t="str">
        <f>IFERROR(INDEX(Tabla9[],MATCH(Indirectos[[#This Row],[Movimiento]],Tabla9[Movimientos],0),2),0)</f>
        <v>Si</v>
      </c>
      <c r="AA11" s="889" t="str">
        <f>IFERROR(INDEX(Costos_Indirectos_Cuentas[],MATCH(Indirectos[[#This Row],[Cuenta Contable]],Costos_Indirectos_Cuentas[Cuenta Contable],0),3),0)</f>
        <v>Si</v>
      </c>
      <c r="AB11" s="889" t="str">
        <f>IFERROR(INDEX(Tabla9[],MATCH(Indirectos[[#This Row],[Movimiento]],Tabla9[Movimientos],0),3),0)</f>
        <v>(-)</v>
      </c>
      <c r="AC11" s="884">
        <f>IF(Indirectos[[#This Row],[Fecha Económico]]=0,0,MONTH(Indirectos[[#This Row],[Fecha Económico]]))</f>
        <v>1</v>
      </c>
      <c r="AD11" s="890">
        <f>IF(Indirectos[[#This Row],[Fecha Económico]]=0,0,YEAR(Indirectos[[#This Row],[Fecha Económico]]))</f>
        <v>2019</v>
      </c>
      <c r="AE11" s="891">
        <f>SUMPRODUCT((Indirectos[[#This Row],[Mes Económico]]=Tipo_Cambio[Mes])*(Indirectos[[#This Row],[Año Económico]]=Tipo_Cambio[Año])*(Tipo_Cambio[$/U$S]))</f>
        <v>23.353443313221998</v>
      </c>
      <c r="AF11" s="891">
        <f>SUMPRODUCT((Indirectos[[#This Row],[Mes Económico]]=Tipo_Cambio[Mes])*(Indirectos[[#This Row],[Año Económico]]=Tipo_Cambio[Año])*(Tipo_Cambio[Actualización]))</f>
        <v>1.1261624192640001</v>
      </c>
      <c r="AG11" s="890">
        <f>IF(ISNUMBER(Indirectos[[#This Row],[Fecha Financiero]])=TRUE,MONTH(Indirectos[[#This Row],[Fecha Financiero]]),0)</f>
        <v>0</v>
      </c>
      <c r="AH11" s="890">
        <f>IF(ISNUMBER(Indirectos[[#This Row],[Fecha Financiero]])=TRUE,YEAR(Indirectos[[#This Row],[Fecha Financiero]]),0)</f>
        <v>0</v>
      </c>
      <c r="AI11" s="891">
        <f>SUMPRODUCT((Indirectos[[#This Row],[Mes Financiero]]=Tipo_Cambio[Mes])*(Indirectos[[#This Row],[Año Financiero]]=Tipo_Cambio[Año])*(Tipo_Cambio[$/U$S]))</f>
        <v>0</v>
      </c>
      <c r="AJ11" s="891">
        <f>SUMPRODUCT((Indirectos[[#This Row],[Mes Financiero]]=Tipo_Cambio[Mes])*(Indirectos[[#This Row],[Año Financiero]]=Tipo_Cambio[Año])*(Tipo_Cambio[Actualización]))</f>
        <v>0</v>
      </c>
      <c r="AK11" s="887">
        <f>IF(Económico!$F$4=0,0,Indirectos[Centro de Costo])</f>
        <v>0</v>
      </c>
    </row>
    <row r="12" spans="2:37" x14ac:dyDescent="0.25">
      <c r="D12" s="478">
        <f t="shared" si="1"/>
        <v>43497</v>
      </c>
      <c r="E12" s="493"/>
      <c r="F12" s="866" t="str">
        <f t="shared" si="0"/>
        <v>2018-2019</v>
      </c>
      <c r="G12" s="481" t="s">
        <v>107</v>
      </c>
      <c r="H12" s="481"/>
      <c r="I12" s="481" t="s">
        <v>6</v>
      </c>
      <c r="J12" s="481"/>
      <c r="K12" s="533"/>
      <c r="L12" s="484"/>
      <c r="M12" s="491"/>
      <c r="N12" s="491"/>
      <c r="O12" s="485"/>
      <c r="P12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2" s="881">
        <f>IFERROR(Indirectos[[#This Row],[Económico $Corrientes]]/Indirectos[[#This Row],[Indexación Económico]],0)</f>
        <v>0</v>
      </c>
      <c r="R12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2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2" s="881">
        <f>IFERROR(Indirectos[[#This Row],[Financiero $Corrientes]]/Indirectos[[#This Row],[Indexación Financiero]],0)</f>
        <v>0</v>
      </c>
      <c r="U12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2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2" s="885">
        <f>IFERROR(Indirectos[[#This Row],[Intereses $Corrientes]]/Indirectos[[#This Row],[Indexación Financiero]],0)</f>
        <v>0</v>
      </c>
      <c r="X12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2" s="886" t="str">
        <f>IFERROR(INDEX(Costos_Indirectos_Cuentas[],MATCH(Indirectos[[#This Row],[Cuenta Contable]],Costos_Indirectos_Cuentas[Cuenta Contable],0),2),0)</f>
        <v>Egreso</v>
      </c>
      <c r="Z12" s="887" t="str">
        <f>IFERROR(INDEX(Tabla9[],MATCH(Indirectos[[#This Row],[Movimiento]],Tabla9[Movimientos],0),2),0)</f>
        <v>Si</v>
      </c>
      <c r="AA12" s="889" t="str">
        <f>IFERROR(INDEX(Costos_Indirectos_Cuentas[],MATCH(Indirectos[[#This Row],[Cuenta Contable]],Costos_Indirectos_Cuentas[Cuenta Contable],0),3),0)</f>
        <v>Si</v>
      </c>
      <c r="AB12" s="889" t="str">
        <f>IFERROR(INDEX(Tabla9[],MATCH(Indirectos[[#This Row],[Movimiento]],Tabla9[Movimientos],0),3),0)</f>
        <v>(-)</v>
      </c>
      <c r="AC12" s="884">
        <f>IF(Indirectos[[#This Row],[Fecha Económico]]=0,0,MONTH(Indirectos[[#This Row],[Fecha Económico]]))</f>
        <v>2</v>
      </c>
      <c r="AD12" s="890">
        <f>IF(Indirectos[[#This Row],[Fecha Económico]]=0,0,YEAR(Indirectos[[#This Row],[Fecha Económico]]))</f>
        <v>2019</v>
      </c>
      <c r="AE12" s="891">
        <f>SUMPRODUCT((Indirectos[[#This Row],[Mes Económico]]=Tipo_Cambio[Mes])*(Indirectos[[#This Row],[Año Económico]]=Tipo_Cambio[Año])*(Tipo_Cambio[$/U$S]))</f>
        <v>23.586977746354219</v>
      </c>
      <c r="AF12" s="891">
        <f>SUMPRODUCT((Indirectos[[#This Row],[Mes Económico]]=Tipo_Cambio[Mes])*(Indirectos[[#This Row],[Año Económico]]=Tipo_Cambio[Año])*(Tipo_Cambio[Actualización]))</f>
        <v>1.14868566764928</v>
      </c>
      <c r="AG12" s="890">
        <f>IF(ISNUMBER(Indirectos[[#This Row],[Fecha Financiero]])=TRUE,MONTH(Indirectos[[#This Row],[Fecha Financiero]]),0)</f>
        <v>0</v>
      </c>
      <c r="AH12" s="890">
        <f>IF(ISNUMBER(Indirectos[[#This Row],[Fecha Financiero]])=TRUE,YEAR(Indirectos[[#This Row],[Fecha Financiero]]),0)</f>
        <v>0</v>
      </c>
      <c r="AI12" s="891">
        <f>SUMPRODUCT((Indirectos[[#This Row],[Mes Financiero]]=Tipo_Cambio[Mes])*(Indirectos[[#This Row],[Año Financiero]]=Tipo_Cambio[Año])*(Tipo_Cambio[$/U$S]))</f>
        <v>0</v>
      </c>
      <c r="AJ12" s="891">
        <f>SUMPRODUCT((Indirectos[[#This Row],[Mes Financiero]]=Tipo_Cambio[Mes])*(Indirectos[[#This Row],[Año Financiero]]=Tipo_Cambio[Año])*(Tipo_Cambio[Actualización]))</f>
        <v>0</v>
      </c>
      <c r="AK12" s="887">
        <f>IF(Económico!$F$4=0,0,Indirectos[Centro de Costo])</f>
        <v>0</v>
      </c>
    </row>
    <row r="13" spans="2:37" x14ac:dyDescent="0.25">
      <c r="D13" s="478">
        <f t="shared" si="1"/>
        <v>43525</v>
      </c>
      <c r="E13" s="493"/>
      <c r="F13" s="866" t="str">
        <f t="shared" si="0"/>
        <v>2018-2019</v>
      </c>
      <c r="G13" s="481" t="s">
        <v>107</v>
      </c>
      <c r="H13" s="481"/>
      <c r="I13" s="481" t="s">
        <v>6</v>
      </c>
      <c r="J13" s="481"/>
      <c r="K13" s="533"/>
      <c r="L13" s="484"/>
      <c r="M13" s="491"/>
      <c r="N13" s="491"/>
      <c r="O13" s="485"/>
      <c r="P13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3" s="881">
        <f>IFERROR(Indirectos[[#This Row],[Económico $Corrientes]]/Indirectos[[#This Row],[Indexación Económico]],0)</f>
        <v>0</v>
      </c>
      <c r="R13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3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3" s="881">
        <f>IFERROR(Indirectos[[#This Row],[Financiero $Corrientes]]/Indirectos[[#This Row],[Indexación Financiero]],0)</f>
        <v>0</v>
      </c>
      <c r="U13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3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3" s="885">
        <f>IFERROR(Indirectos[[#This Row],[Intereses $Corrientes]]/Indirectos[[#This Row],[Indexación Financiero]],0)</f>
        <v>0</v>
      </c>
      <c r="X13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3" s="886" t="str">
        <f>IFERROR(INDEX(Costos_Indirectos_Cuentas[],MATCH(Indirectos[[#This Row],[Cuenta Contable]],Costos_Indirectos_Cuentas[Cuenta Contable],0),2),0)</f>
        <v>Egreso</v>
      </c>
      <c r="Z13" s="887" t="str">
        <f>IFERROR(INDEX(Tabla9[],MATCH(Indirectos[[#This Row],[Movimiento]],Tabla9[Movimientos],0),2),0)</f>
        <v>Si</v>
      </c>
      <c r="AA13" s="889" t="str">
        <f>IFERROR(INDEX(Costos_Indirectos_Cuentas[],MATCH(Indirectos[[#This Row],[Cuenta Contable]],Costos_Indirectos_Cuentas[Cuenta Contable],0),3),0)</f>
        <v>Si</v>
      </c>
      <c r="AB13" s="889" t="str">
        <f>IFERROR(INDEX(Tabla9[],MATCH(Indirectos[[#This Row],[Movimiento]],Tabla9[Movimientos],0),3),0)</f>
        <v>(-)</v>
      </c>
      <c r="AC13" s="884">
        <f>IF(Indirectos[[#This Row],[Fecha Económico]]=0,0,MONTH(Indirectos[[#This Row],[Fecha Económico]]))</f>
        <v>3</v>
      </c>
      <c r="AD13" s="890">
        <f>IF(Indirectos[[#This Row],[Fecha Económico]]=0,0,YEAR(Indirectos[[#This Row],[Fecha Económico]]))</f>
        <v>2019</v>
      </c>
      <c r="AE13" s="891">
        <f>SUMPRODUCT((Indirectos[[#This Row],[Mes Económico]]=Tipo_Cambio[Mes])*(Indirectos[[#This Row],[Año Económico]]=Tipo_Cambio[Año])*(Tipo_Cambio[$/U$S]))</f>
        <v>23.82284752381776</v>
      </c>
      <c r="AF13" s="891">
        <f>SUMPRODUCT((Indirectos[[#This Row],[Mes Económico]]=Tipo_Cambio[Mes])*(Indirectos[[#This Row],[Año Económico]]=Tipo_Cambio[Año])*(Tipo_Cambio[Actualización]))</f>
        <v>1.1716593810022657</v>
      </c>
      <c r="AG13" s="890">
        <f>IF(ISNUMBER(Indirectos[[#This Row],[Fecha Financiero]])=TRUE,MONTH(Indirectos[[#This Row],[Fecha Financiero]]),0)</f>
        <v>0</v>
      </c>
      <c r="AH13" s="890">
        <f>IF(ISNUMBER(Indirectos[[#This Row],[Fecha Financiero]])=TRUE,YEAR(Indirectos[[#This Row],[Fecha Financiero]]),0)</f>
        <v>0</v>
      </c>
      <c r="AI13" s="891">
        <f>SUMPRODUCT((Indirectos[[#This Row],[Mes Financiero]]=Tipo_Cambio[Mes])*(Indirectos[[#This Row],[Año Financiero]]=Tipo_Cambio[Año])*(Tipo_Cambio[$/U$S]))</f>
        <v>0</v>
      </c>
      <c r="AJ13" s="891">
        <f>SUMPRODUCT((Indirectos[[#This Row],[Mes Financiero]]=Tipo_Cambio[Mes])*(Indirectos[[#This Row],[Año Financiero]]=Tipo_Cambio[Año])*(Tipo_Cambio[Actualización]))</f>
        <v>0</v>
      </c>
      <c r="AK13" s="887">
        <f>IF(Económico!$F$4=0,0,Indirectos[Centro de Costo])</f>
        <v>0</v>
      </c>
    </row>
    <row r="14" spans="2:37" x14ac:dyDescent="0.25">
      <c r="D14" s="478">
        <f t="shared" si="1"/>
        <v>43556</v>
      </c>
      <c r="E14" s="493"/>
      <c r="F14" s="866" t="str">
        <f t="shared" si="0"/>
        <v>2018-2019</v>
      </c>
      <c r="G14" s="481" t="s">
        <v>107</v>
      </c>
      <c r="H14" s="481"/>
      <c r="I14" s="481" t="s">
        <v>6</v>
      </c>
      <c r="J14" s="481"/>
      <c r="K14" s="533"/>
      <c r="L14" s="484"/>
      <c r="M14" s="491"/>
      <c r="N14" s="491"/>
      <c r="O14" s="485"/>
      <c r="P14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4" s="881">
        <f>IFERROR(Indirectos[[#This Row],[Económico $Corrientes]]/Indirectos[[#This Row],[Indexación Económico]],0)</f>
        <v>0</v>
      </c>
      <c r="R14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4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4" s="881">
        <f>IFERROR(Indirectos[[#This Row],[Financiero $Corrientes]]/Indirectos[[#This Row],[Indexación Financiero]],0)</f>
        <v>0</v>
      </c>
      <c r="U14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4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4" s="885">
        <f>IFERROR(Indirectos[[#This Row],[Intereses $Corrientes]]/Indirectos[[#This Row],[Indexación Financiero]],0)</f>
        <v>0</v>
      </c>
      <c r="X14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4" s="886" t="str">
        <f>IFERROR(INDEX(Costos_Indirectos_Cuentas[],MATCH(Indirectos[[#This Row],[Cuenta Contable]],Costos_Indirectos_Cuentas[Cuenta Contable],0),2),0)</f>
        <v>Egreso</v>
      </c>
      <c r="Z14" s="887" t="str">
        <f>IFERROR(INDEX(Tabla9[],MATCH(Indirectos[[#This Row],[Movimiento]],Tabla9[Movimientos],0),2),0)</f>
        <v>Si</v>
      </c>
      <c r="AA14" s="889" t="str">
        <f>IFERROR(INDEX(Costos_Indirectos_Cuentas[],MATCH(Indirectos[[#This Row],[Cuenta Contable]],Costos_Indirectos_Cuentas[Cuenta Contable],0),3),0)</f>
        <v>Si</v>
      </c>
      <c r="AB14" s="889" t="str">
        <f>IFERROR(INDEX(Tabla9[],MATCH(Indirectos[[#This Row],[Movimiento]],Tabla9[Movimientos],0),3),0)</f>
        <v>(-)</v>
      </c>
      <c r="AC14" s="884">
        <f>IF(Indirectos[[#This Row],[Fecha Económico]]=0,0,MONTH(Indirectos[[#This Row],[Fecha Económico]]))</f>
        <v>4</v>
      </c>
      <c r="AD14" s="890">
        <f>IF(Indirectos[[#This Row],[Fecha Económico]]=0,0,YEAR(Indirectos[[#This Row],[Fecha Económico]]))</f>
        <v>2019</v>
      </c>
      <c r="AE14" s="891">
        <f>SUMPRODUCT((Indirectos[[#This Row],[Mes Económico]]=Tipo_Cambio[Mes])*(Indirectos[[#This Row],[Año Económico]]=Tipo_Cambio[Año])*(Tipo_Cambio[$/U$S]))</f>
        <v>24.061075999055937</v>
      </c>
      <c r="AF14" s="891">
        <f>SUMPRODUCT((Indirectos[[#This Row],[Mes Económico]]=Tipo_Cambio[Mes])*(Indirectos[[#This Row],[Año Económico]]=Tipo_Cambio[Año])*(Tipo_Cambio[Actualización]))</f>
        <v>1.1950925686223111</v>
      </c>
      <c r="AG14" s="890">
        <f>IF(ISNUMBER(Indirectos[[#This Row],[Fecha Financiero]])=TRUE,MONTH(Indirectos[[#This Row],[Fecha Financiero]]),0)</f>
        <v>0</v>
      </c>
      <c r="AH14" s="890">
        <f>IF(ISNUMBER(Indirectos[[#This Row],[Fecha Financiero]])=TRUE,YEAR(Indirectos[[#This Row],[Fecha Financiero]]),0)</f>
        <v>0</v>
      </c>
      <c r="AI14" s="891">
        <f>SUMPRODUCT((Indirectos[[#This Row],[Mes Financiero]]=Tipo_Cambio[Mes])*(Indirectos[[#This Row],[Año Financiero]]=Tipo_Cambio[Año])*(Tipo_Cambio[$/U$S]))</f>
        <v>0</v>
      </c>
      <c r="AJ14" s="891">
        <f>SUMPRODUCT((Indirectos[[#This Row],[Mes Financiero]]=Tipo_Cambio[Mes])*(Indirectos[[#This Row],[Año Financiero]]=Tipo_Cambio[Año])*(Tipo_Cambio[Actualización]))</f>
        <v>0</v>
      </c>
      <c r="AK14" s="887">
        <f>IF(Económico!$F$4=0,0,Indirectos[Centro de Costo])</f>
        <v>0</v>
      </c>
    </row>
    <row r="15" spans="2:37" x14ac:dyDescent="0.25">
      <c r="D15" s="478">
        <f t="shared" si="1"/>
        <v>43586</v>
      </c>
      <c r="E15" s="493"/>
      <c r="F15" s="866" t="str">
        <f t="shared" si="0"/>
        <v>2018-2019</v>
      </c>
      <c r="G15" s="481" t="s">
        <v>107</v>
      </c>
      <c r="H15" s="481"/>
      <c r="I15" s="481" t="s">
        <v>6</v>
      </c>
      <c r="J15" s="481"/>
      <c r="K15" s="533"/>
      <c r="L15" s="534"/>
      <c r="M15" s="491"/>
      <c r="N15" s="491"/>
      <c r="O15" s="485"/>
      <c r="P15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5" s="881">
        <f>IFERROR(Indirectos[[#This Row],[Económico $Corrientes]]/Indirectos[[#This Row],[Indexación Económico]],0)</f>
        <v>0</v>
      </c>
      <c r="R15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5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5" s="881">
        <f>IFERROR(Indirectos[[#This Row],[Financiero $Corrientes]]/Indirectos[[#This Row],[Indexación Financiero]],0)</f>
        <v>0</v>
      </c>
      <c r="U15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5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5" s="885">
        <f>IFERROR(Indirectos[[#This Row],[Intereses $Corrientes]]/Indirectos[[#This Row],[Indexación Financiero]],0)</f>
        <v>0</v>
      </c>
      <c r="X15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5" s="886" t="str">
        <f>IFERROR(INDEX(Costos_Indirectos_Cuentas[],MATCH(Indirectos[[#This Row],[Cuenta Contable]],Costos_Indirectos_Cuentas[Cuenta Contable],0),2),0)</f>
        <v>Egreso</v>
      </c>
      <c r="Z15" s="887" t="str">
        <f>IFERROR(INDEX(Tabla9[],MATCH(Indirectos[[#This Row],[Movimiento]],Tabla9[Movimientos],0),2),0)</f>
        <v>Si</v>
      </c>
      <c r="AA15" s="889" t="str">
        <f>IFERROR(INDEX(Costos_Indirectos_Cuentas[],MATCH(Indirectos[[#This Row],[Cuenta Contable]],Costos_Indirectos_Cuentas[Cuenta Contable],0),3),0)</f>
        <v>Si</v>
      </c>
      <c r="AB15" s="889" t="str">
        <f>IFERROR(INDEX(Tabla9[],MATCH(Indirectos[[#This Row],[Movimiento]],Tabla9[Movimientos],0),3),0)</f>
        <v>(-)</v>
      </c>
      <c r="AC15" s="884">
        <f>IF(Indirectos[[#This Row],[Fecha Económico]]=0,0,MONTH(Indirectos[[#This Row],[Fecha Económico]]))</f>
        <v>5</v>
      </c>
      <c r="AD15" s="890">
        <f>IF(Indirectos[[#This Row],[Fecha Económico]]=0,0,YEAR(Indirectos[[#This Row],[Fecha Económico]]))</f>
        <v>2019</v>
      </c>
      <c r="AE15" s="891">
        <f>SUMPRODUCT((Indirectos[[#This Row],[Mes Económico]]=Tipo_Cambio[Mes])*(Indirectos[[#This Row],[Año Económico]]=Tipo_Cambio[Año])*(Tipo_Cambio[$/U$S]))</f>
        <v>24.301686759046497</v>
      </c>
      <c r="AF15" s="891">
        <f>SUMPRODUCT((Indirectos[[#This Row],[Mes Económico]]=Tipo_Cambio[Mes])*(Indirectos[[#This Row],[Año Económico]]=Tipo_Cambio[Año])*(Tipo_Cambio[Actualización]))</f>
        <v>1.2189944199947573</v>
      </c>
      <c r="AG15" s="890">
        <f>IF(ISNUMBER(Indirectos[[#This Row],[Fecha Financiero]])=TRUE,MONTH(Indirectos[[#This Row],[Fecha Financiero]]),0)</f>
        <v>0</v>
      </c>
      <c r="AH15" s="890">
        <f>IF(ISNUMBER(Indirectos[[#This Row],[Fecha Financiero]])=TRUE,YEAR(Indirectos[[#This Row],[Fecha Financiero]]),0)</f>
        <v>0</v>
      </c>
      <c r="AI15" s="891">
        <f>SUMPRODUCT((Indirectos[[#This Row],[Mes Financiero]]=Tipo_Cambio[Mes])*(Indirectos[[#This Row],[Año Financiero]]=Tipo_Cambio[Año])*(Tipo_Cambio[$/U$S]))</f>
        <v>0</v>
      </c>
      <c r="AJ15" s="891">
        <f>SUMPRODUCT((Indirectos[[#This Row],[Mes Financiero]]=Tipo_Cambio[Mes])*(Indirectos[[#This Row],[Año Financiero]]=Tipo_Cambio[Año])*(Tipo_Cambio[Actualización]))</f>
        <v>0</v>
      </c>
      <c r="AK15" s="887">
        <f>IF(Económico!$F$4=0,0,Indirectos[Centro de Costo])</f>
        <v>0</v>
      </c>
    </row>
    <row r="16" spans="2:37" x14ac:dyDescent="0.25">
      <c r="D16" s="535">
        <f t="shared" si="1"/>
        <v>43617</v>
      </c>
      <c r="E16" s="536"/>
      <c r="F16" s="867" t="str">
        <f t="shared" si="0"/>
        <v>2018-2019</v>
      </c>
      <c r="G16" s="538" t="s">
        <v>107</v>
      </c>
      <c r="H16" s="538"/>
      <c r="I16" s="538" t="s">
        <v>6</v>
      </c>
      <c r="J16" s="538"/>
      <c r="K16" s="539"/>
      <c r="L16" s="540"/>
      <c r="M16" s="538"/>
      <c r="N16" s="538"/>
      <c r="O16" s="541"/>
      <c r="P16" s="89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6" s="893">
        <f>IFERROR(Indirectos[[#This Row],[Económico $Corrientes]]/Indirectos[[#This Row],[Indexación Económico]],0)</f>
        <v>0</v>
      </c>
      <c r="R16" s="894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6" s="895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6" s="893">
        <f>IFERROR(Indirectos[[#This Row],[Financiero $Corrientes]]/Indirectos[[#This Row],[Indexación Financiero]],0)</f>
        <v>0</v>
      </c>
      <c r="U16" s="893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6" s="896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6" s="897">
        <f>IFERROR(Indirectos[[#This Row],[Intereses $Corrientes]]/Indirectos[[#This Row],[Indexación Financiero]],0)</f>
        <v>0</v>
      </c>
      <c r="X16" s="897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6" s="898" t="str">
        <f>IFERROR(INDEX(Costos_Indirectos_Cuentas[],MATCH(Indirectos[[#This Row],[Cuenta Contable]],Costos_Indirectos_Cuentas[Cuenta Contable],0),2),0)</f>
        <v>Egreso</v>
      </c>
      <c r="Z16" s="899" t="str">
        <f>IFERROR(INDEX(Tabla9[],MATCH(Indirectos[[#This Row],[Movimiento]],Tabla9[Movimientos],0),2),0)</f>
        <v>Si</v>
      </c>
      <c r="AA16" s="901" t="str">
        <f>IFERROR(INDEX(Costos_Indirectos_Cuentas[],MATCH(Indirectos[[#This Row],[Cuenta Contable]],Costos_Indirectos_Cuentas[Cuenta Contable],0),3),0)</f>
        <v>Si</v>
      </c>
      <c r="AB16" s="901" t="str">
        <f>IFERROR(INDEX(Tabla9[],MATCH(Indirectos[[#This Row],[Movimiento]],Tabla9[Movimientos],0),3),0)</f>
        <v>(-)</v>
      </c>
      <c r="AC16" s="896">
        <f>IF(Indirectos[[#This Row],[Fecha Económico]]=0,0,MONTH(Indirectos[[#This Row],[Fecha Económico]]))</f>
        <v>6</v>
      </c>
      <c r="AD16" s="897">
        <f>IF(Indirectos[[#This Row],[Fecha Económico]]=0,0,YEAR(Indirectos[[#This Row],[Fecha Económico]]))</f>
        <v>2019</v>
      </c>
      <c r="AE16" s="901">
        <f>SUMPRODUCT((Indirectos[[#This Row],[Mes Económico]]=Tipo_Cambio[Mes])*(Indirectos[[#This Row],[Año Económico]]=Tipo_Cambio[Año])*(Tipo_Cambio[$/U$S]))</f>
        <v>24.544703626636963</v>
      </c>
      <c r="AF16" s="901">
        <f>SUMPRODUCT((Indirectos[[#This Row],[Mes Económico]]=Tipo_Cambio[Mes])*(Indirectos[[#This Row],[Año Económico]]=Tipo_Cambio[Año])*(Tipo_Cambio[Actualización]))</f>
        <v>1.2433743083946525</v>
      </c>
      <c r="AG16" s="897">
        <f>IF(ISNUMBER(Indirectos[[#This Row],[Fecha Financiero]])=TRUE,MONTH(Indirectos[[#This Row],[Fecha Financiero]]),0)</f>
        <v>0</v>
      </c>
      <c r="AH16" s="897">
        <f>IF(ISNUMBER(Indirectos[[#This Row],[Fecha Financiero]])=TRUE,YEAR(Indirectos[[#This Row],[Fecha Financiero]]),0)</f>
        <v>0</v>
      </c>
      <c r="AI16" s="901">
        <f>SUMPRODUCT((Indirectos[[#This Row],[Mes Financiero]]=Tipo_Cambio[Mes])*(Indirectos[[#This Row],[Año Financiero]]=Tipo_Cambio[Año])*(Tipo_Cambio[$/U$S]))</f>
        <v>0</v>
      </c>
      <c r="AJ16" s="901">
        <f>SUMPRODUCT((Indirectos[[#This Row],[Mes Financiero]]=Tipo_Cambio[Mes])*(Indirectos[[#This Row],[Año Financiero]]=Tipo_Cambio[Año])*(Tipo_Cambio[Actualización]))</f>
        <v>0</v>
      </c>
      <c r="AK16" s="899">
        <f>IF(Económico!$F$4=0,0,Indirectos[Centro de Costo])</f>
        <v>0</v>
      </c>
    </row>
    <row r="17" spans="4:37" x14ac:dyDescent="0.25">
      <c r="D17" s="478">
        <f>DATE(LEFT(Indirectos[[#This Row],[Campaña]],4),7,1)</f>
        <v>43282</v>
      </c>
      <c r="E17" s="493"/>
      <c r="F17" s="866" t="str">
        <f t="shared" si="0"/>
        <v>2018-2019</v>
      </c>
      <c r="G17" s="491" t="s">
        <v>108</v>
      </c>
      <c r="H17" s="481"/>
      <c r="I17" s="481" t="s">
        <v>6</v>
      </c>
      <c r="J17" s="481"/>
      <c r="K17" s="533"/>
      <c r="L17" s="484"/>
      <c r="M17" s="491"/>
      <c r="N17" s="491"/>
      <c r="O17" s="485"/>
      <c r="P17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7" s="881">
        <f>IFERROR(Indirectos[[#This Row],[Económico $Corrientes]]/Indirectos[[#This Row],[Indexación Económico]],0)</f>
        <v>0</v>
      </c>
      <c r="R17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7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7" s="881">
        <f>IFERROR(Indirectos[[#This Row],[Financiero $Corrientes]]/Indirectos[[#This Row],[Indexación Financiero]],0)</f>
        <v>0</v>
      </c>
      <c r="U17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7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7" s="885">
        <f>IFERROR(Indirectos[[#This Row],[Intereses $Corrientes]]/Indirectos[[#This Row],[Indexación Financiero]],0)</f>
        <v>0</v>
      </c>
      <c r="X17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7" s="886" t="str">
        <f>IFERROR(INDEX(Costos_Indirectos_Cuentas[],MATCH(Indirectos[[#This Row],[Cuenta Contable]],Costos_Indirectos_Cuentas[Cuenta Contable],0),2),0)</f>
        <v>Egreso</v>
      </c>
      <c r="Z17" s="887" t="str">
        <f>IFERROR(INDEX(Tabla9[],MATCH(Indirectos[[#This Row],[Movimiento]],Tabla9[Movimientos],0),2),0)</f>
        <v>Si</v>
      </c>
      <c r="AA17" s="889" t="str">
        <f>IFERROR(INDEX(Costos_Indirectos_Cuentas[],MATCH(Indirectos[[#This Row],[Cuenta Contable]],Costos_Indirectos_Cuentas[Cuenta Contable],0),3),0)</f>
        <v>Si</v>
      </c>
      <c r="AB17" s="889" t="str">
        <f>IFERROR(INDEX(Tabla9[],MATCH(Indirectos[[#This Row],[Movimiento]],Tabla9[Movimientos],0),3),0)</f>
        <v>(-)</v>
      </c>
      <c r="AC17" s="884">
        <f>IF(Indirectos[[#This Row],[Fecha Económico]]=0,0,MONTH(Indirectos[[#This Row],[Fecha Económico]]))</f>
        <v>7</v>
      </c>
      <c r="AD17" s="890">
        <f>IF(Indirectos[[#This Row],[Fecha Económico]]=0,0,YEAR(Indirectos[[#This Row],[Fecha Económico]]))</f>
        <v>2018</v>
      </c>
      <c r="AE17" s="891">
        <f>SUMPRODUCT((Indirectos[[#This Row],[Mes Económico]]=Tipo_Cambio[Mes])*(Indirectos[[#This Row],[Año Económico]]=Tipo_Cambio[Año])*(Tipo_Cambio[$/U$S]))</f>
        <v>22</v>
      </c>
      <c r="AF17" s="891">
        <f>SUMPRODUCT((Indirectos[[#This Row],[Mes Económico]]=Tipo_Cambio[Mes])*(Indirectos[[#This Row],[Año Económico]]=Tipo_Cambio[Año])*(Tipo_Cambio[Actualización]))</f>
        <v>1</v>
      </c>
      <c r="AG17" s="890">
        <f>IF(ISNUMBER(Indirectos[[#This Row],[Fecha Financiero]])=TRUE,MONTH(Indirectos[[#This Row],[Fecha Financiero]]),0)</f>
        <v>0</v>
      </c>
      <c r="AH17" s="890">
        <f>IF(ISNUMBER(Indirectos[[#This Row],[Fecha Financiero]])=TRUE,YEAR(Indirectos[[#This Row],[Fecha Financiero]]),0)</f>
        <v>0</v>
      </c>
      <c r="AI17" s="891">
        <f>SUMPRODUCT((Indirectos[[#This Row],[Mes Financiero]]=Tipo_Cambio[Mes])*(Indirectos[[#This Row],[Año Financiero]]=Tipo_Cambio[Año])*(Tipo_Cambio[$/U$S]))</f>
        <v>0</v>
      </c>
      <c r="AJ17" s="891">
        <f>SUMPRODUCT((Indirectos[[#This Row],[Mes Financiero]]=Tipo_Cambio[Mes])*(Indirectos[[#This Row],[Año Financiero]]=Tipo_Cambio[Año])*(Tipo_Cambio[Actualización]))</f>
        <v>0</v>
      </c>
      <c r="AK17" s="887">
        <f>IF(Económico!$F$4=0,0,Indirectos[Centro de Costo])</f>
        <v>0</v>
      </c>
    </row>
    <row r="18" spans="4:37" x14ac:dyDescent="0.25">
      <c r="D18" s="478">
        <f>DATE(IF(MONTH(D17)=1,YEAR(D17+1),YEAR(D17)),MONTH(D17)+1,1)</f>
        <v>43313</v>
      </c>
      <c r="E18" s="493"/>
      <c r="F18" s="866" t="str">
        <f t="shared" si="0"/>
        <v>2018-2019</v>
      </c>
      <c r="G18" s="481" t="s">
        <v>108</v>
      </c>
      <c r="H18" s="481"/>
      <c r="I18" s="481" t="s">
        <v>6</v>
      </c>
      <c r="J18" s="481"/>
      <c r="K18" s="533"/>
      <c r="L18" s="484"/>
      <c r="M18" s="491"/>
      <c r="N18" s="491"/>
      <c r="O18" s="485"/>
      <c r="P18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8" s="881">
        <f>IFERROR(Indirectos[[#This Row],[Económico $Corrientes]]/Indirectos[[#This Row],[Indexación Económico]],0)</f>
        <v>0</v>
      </c>
      <c r="R18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8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8" s="881">
        <f>IFERROR(Indirectos[[#This Row],[Financiero $Corrientes]]/Indirectos[[#This Row],[Indexación Financiero]],0)</f>
        <v>0</v>
      </c>
      <c r="U18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8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8" s="885">
        <f>IFERROR(Indirectos[[#This Row],[Intereses $Corrientes]]/Indirectos[[#This Row],[Indexación Financiero]],0)</f>
        <v>0</v>
      </c>
      <c r="X18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8" s="886" t="str">
        <f>IFERROR(INDEX(Costos_Indirectos_Cuentas[],MATCH(Indirectos[[#This Row],[Cuenta Contable]],Costos_Indirectos_Cuentas[Cuenta Contable],0),2),0)</f>
        <v>Egreso</v>
      </c>
      <c r="Z18" s="887" t="str">
        <f>IFERROR(INDEX(Tabla9[],MATCH(Indirectos[[#This Row],[Movimiento]],Tabla9[Movimientos],0),2),0)</f>
        <v>Si</v>
      </c>
      <c r="AA18" s="889" t="str">
        <f>IFERROR(INDEX(Costos_Indirectos_Cuentas[],MATCH(Indirectos[[#This Row],[Cuenta Contable]],Costos_Indirectos_Cuentas[Cuenta Contable],0),3),0)</f>
        <v>Si</v>
      </c>
      <c r="AB18" s="889" t="str">
        <f>IFERROR(INDEX(Tabla9[],MATCH(Indirectos[[#This Row],[Movimiento]],Tabla9[Movimientos],0),3),0)</f>
        <v>(-)</v>
      </c>
      <c r="AC18" s="884">
        <f>IF(Indirectos[[#This Row],[Fecha Económico]]=0,0,MONTH(Indirectos[[#This Row],[Fecha Económico]]))</f>
        <v>8</v>
      </c>
      <c r="AD18" s="890">
        <f>IF(Indirectos[[#This Row],[Fecha Económico]]=0,0,YEAR(Indirectos[[#This Row],[Fecha Económico]]))</f>
        <v>2018</v>
      </c>
      <c r="AE18" s="891">
        <f>SUMPRODUCT((Indirectos[[#This Row],[Mes Económico]]=Tipo_Cambio[Mes])*(Indirectos[[#This Row],[Año Económico]]=Tipo_Cambio[Año])*(Tipo_Cambio[$/U$S]))</f>
        <v>22.22</v>
      </c>
      <c r="AF18" s="891">
        <f>SUMPRODUCT((Indirectos[[#This Row],[Mes Económico]]=Tipo_Cambio[Mes])*(Indirectos[[#This Row],[Año Económico]]=Tipo_Cambio[Año])*(Tipo_Cambio[Actualización]))</f>
        <v>1.02</v>
      </c>
      <c r="AG18" s="890">
        <f>IF(ISNUMBER(Indirectos[[#This Row],[Fecha Financiero]])=TRUE,MONTH(Indirectos[[#This Row],[Fecha Financiero]]),0)</f>
        <v>0</v>
      </c>
      <c r="AH18" s="890">
        <f>IF(ISNUMBER(Indirectos[[#This Row],[Fecha Financiero]])=TRUE,YEAR(Indirectos[[#This Row],[Fecha Financiero]]),0)</f>
        <v>0</v>
      </c>
      <c r="AI18" s="891">
        <f>SUMPRODUCT((Indirectos[[#This Row],[Mes Financiero]]=Tipo_Cambio[Mes])*(Indirectos[[#This Row],[Año Financiero]]=Tipo_Cambio[Año])*(Tipo_Cambio[$/U$S]))</f>
        <v>0</v>
      </c>
      <c r="AJ18" s="891">
        <f>SUMPRODUCT((Indirectos[[#This Row],[Mes Financiero]]=Tipo_Cambio[Mes])*(Indirectos[[#This Row],[Año Financiero]]=Tipo_Cambio[Año])*(Tipo_Cambio[Actualización]))</f>
        <v>0</v>
      </c>
      <c r="AK18" s="887">
        <f>IF(Económico!$F$4=0,0,Indirectos[Centro de Costo])</f>
        <v>0</v>
      </c>
    </row>
    <row r="19" spans="4:37" x14ac:dyDescent="0.25">
      <c r="D19" s="478">
        <f t="shared" ref="D19:D28" si="2">DATE(IF(MONTH(D18)=1,YEAR(D18+1),YEAR(D18)),MONTH(D18)+1,1)</f>
        <v>43344</v>
      </c>
      <c r="E19" s="493"/>
      <c r="F19" s="866" t="str">
        <f t="shared" si="0"/>
        <v>2018-2019</v>
      </c>
      <c r="G19" s="481" t="s">
        <v>108</v>
      </c>
      <c r="H19" s="481"/>
      <c r="I19" s="481" t="s">
        <v>6</v>
      </c>
      <c r="J19" s="481"/>
      <c r="K19" s="533"/>
      <c r="L19" s="484"/>
      <c r="M19" s="491"/>
      <c r="N19" s="491"/>
      <c r="O19" s="485"/>
      <c r="P19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9" s="881">
        <f>IFERROR(Indirectos[[#This Row],[Económico $Corrientes]]/Indirectos[[#This Row],[Indexación Económico]],0)</f>
        <v>0</v>
      </c>
      <c r="R19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9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9" s="881">
        <f>IFERROR(Indirectos[[#This Row],[Financiero $Corrientes]]/Indirectos[[#This Row],[Indexación Financiero]],0)</f>
        <v>0</v>
      </c>
      <c r="U19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9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9" s="885">
        <f>IFERROR(Indirectos[[#This Row],[Intereses $Corrientes]]/Indirectos[[#This Row],[Indexación Financiero]],0)</f>
        <v>0</v>
      </c>
      <c r="X19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9" s="886" t="str">
        <f>IFERROR(INDEX(Costos_Indirectos_Cuentas[],MATCH(Indirectos[[#This Row],[Cuenta Contable]],Costos_Indirectos_Cuentas[Cuenta Contable],0),2),0)</f>
        <v>Egreso</v>
      </c>
      <c r="Z19" s="887" t="str">
        <f>IFERROR(INDEX(Tabla9[],MATCH(Indirectos[[#This Row],[Movimiento]],Tabla9[Movimientos],0),2),0)</f>
        <v>Si</v>
      </c>
      <c r="AA19" s="889" t="str">
        <f>IFERROR(INDEX(Costos_Indirectos_Cuentas[],MATCH(Indirectos[[#This Row],[Cuenta Contable]],Costos_Indirectos_Cuentas[Cuenta Contable],0),3),0)</f>
        <v>Si</v>
      </c>
      <c r="AB19" s="889" t="str">
        <f>IFERROR(INDEX(Tabla9[],MATCH(Indirectos[[#This Row],[Movimiento]],Tabla9[Movimientos],0),3),0)</f>
        <v>(-)</v>
      </c>
      <c r="AC19" s="884">
        <f>IF(Indirectos[[#This Row],[Fecha Económico]]=0,0,MONTH(Indirectos[[#This Row],[Fecha Económico]]))</f>
        <v>9</v>
      </c>
      <c r="AD19" s="890">
        <f>IF(Indirectos[[#This Row],[Fecha Económico]]=0,0,YEAR(Indirectos[[#This Row],[Fecha Económico]]))</f>
        <v>2018</v>
      </c>
      <c r="AE19" s="891">
        <f>SUMPRODUCT((Indirectos[[#This Row],[Mes Económico]]=Tipo_Cambio[Mes])*(Indirectos[[#This Row],[Año Económico]]=Tipo_Cambio[Año])*(Tipo_Cambio[$/U$S]))</f>
        <v>22.4422</v>
      </c>
      <c r="AF19" s="891">
        <f>SUMPRODUCT((Indirectos[[#This Row],[Mes Económico]]=Tipo_Cambio[Mes])*(Indirectos[[#This Row],[Año Económico]]=Tipo_Cambio[Año])*(Tipo_Cambio[Actualización]))</f>
        <v>1.0404</v>
      </c>
      <c r="AG19" s="890">
        <f>IF(ISNUMBER(Indirectos[[#This Row],[Fecha Financiero]])=TRUE,MONTH(Indirectos[[#This Row],[Fecha Financiero]]),0)</f>
        <v>0</v>
      </c>
      <c r="AH19" s="890">
        <f>IF(ISNUMBER(Indirectos[[#This Row],[Fecha Financiero]])=TRUE,YEAR(Indirectos[[#This Row],[Fecha Financiero]]),0)</f>
        <v>0</v>
      </c>
      <c r="AI19" s="891">
        <f>SUMPRODUCT((Indirectos[[#This Row],[Mes Financiero]]=Tipo_Cambio[Mes])*(Indirectos[[#This Row],[Año Financiero]]=Tipo_Cambio[Año])*(Tipo_Cambio[$/U$S]))</f>
        <v>0</v>
      </c>
      <c r="AJ19" s="891">
        <f>SUMPRODUCT((Indirectos[[#This Row],[Mes Financiero]]=Tipo_Cambio[Mes])*(Indirectos[[#This Row],[Año Financiero]]=Tipo_Cambio[Año])*(Tipo_Cambio[Actualización]))</f>
        <v>0</v>
      </c>
      <c r="AK19" s="887">
        <f>IF(Económico!$F$4=0,0,Indirectos[Centro de Costo])</f>
        <v>0</v>
      </c>
    </row>
    <row r="20" spans="4:37" x14ac:dyDescent="0.25">
      <c r="D20" s="478">
        <f t="shared" si="2"/>
        <v>43374</v>
      </c>
      <c r="E20" s="493"/>
      <c r="F20" s="866" t="str">
        <f t="shared" si="0"/>
        <v>2018-2019</v>
      </c>
      <c r="G20" s="481" t="s">
        <v>108</v>
      </c>
      <c r="H20" s="481"/>
      <c r="I20" s="481" t="s">
        <v>6</v>
      </c>
      <c r="J20" s="481"/>
      <c r="K20" s="533"/>
      <c r="L20" s="484"/>
      <c r="M20" s="491"/>
      <c r="N20" s="491"/>
      <c r="O20" s="485"/>
      <c r="P20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20" s="881">
        <f>IFERROR(Indirectos[[#This Row],[Económico $Corrientes]]/Indirectos[[#This Row],[Indexación Económico]],0)</f>
        <v>0</v>
      </c>
      <c r="R20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20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20" s="881">
        <f>IFERROR(Indirectos[[#This Row],[Financiero $Corrientes]]/Indirectos[[#This Row],[Indexación Financiero]],0)</f>
        <v>0</v>
      </c>
      <c r="U20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20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20" s="885">
        <f>IFERROR(Indirectos[[#This Row],[Intereses $Corrientes]]/Indirectos[[#This Row],[Indexación Financiero]],0)</f>
        <v>0</v>
      </c>
      <c r="X20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20" s="886" t="str">
        <f>IFERROR(INDEX(Costos_Indirectos_Cuentas[],MATCH(Indirectos[[#This Row],[Cuenta Contable]],Costos_Indirectos_Cuentas[Cuenta Contable],0),2),0)</f>
        <v>Egreso</v>
      </c>
      <c r="Z20" s="887" t="str">
        <f>IFERROR(INDEX(Tabla9[],MATCH(Indirectos[[#This Row],[Movimiento]],Tabla9[Movimientos],0),2),0)</f>
        <v>Si</v>
      </c>
      <c r="AA20" s="889" t="str">
        <f>IFERROR(INDEX(Costos_Indirectos_Cuentas[],MATCH(Indirectos[[#This Row],[Cuenta Contable]],Costos_Indirectos_Cuentas[Cuenta Contable],0),3),0)</f>
        <v>Si</v>
      </c>
      <c r="AB20" s="889" t="str">
        <f>IFERROR(INDEX(Tabla9[],MATCH(Indirectos[[#This Row],[Movimiento]],Tabla9[Movimientos],0),3),0)</f>
        <v>(-)</v>
      </c>
      <c r="AC20" s="884">
        <f>IF(Indirectos[[#This Row],[Fecha Económico]]=0,0,MONTH(Indirectos[[#This Row],[Fecha Económico]]))</f>
        <v>10</v>
      </c>
      <c r="AD20" s="890">
        <f>IF(Indirectos[[#This Row],[Fecha Económico]]=0,0,YEAR(Indirectos[[#This Row],[Fecha Económico]]))</f>
        <v>2018</v>
      </c>
      <c r="AE20" s="891">
        <f>SUMPRODUCT((Indirectos[[#This Row],[Mes Económico]]=Tipo_Cambio[Mes])*(Indirectos[[#This Row],[Año Económico]]=Tipo_Cambio[Año])*(Tipo_Cambio[$/U$S]))</f>
        <v>22.666622</v>
      </c>
      <c r="AF20" s="891">
        <f>SUMPRODUCT((Indirectos[[#This Row],[Mes Económico]]=Tipo_Cambio[Mes])*(Indirectos[[#This Row],[Año Económico]]=Tipo_Cambio[Año])*(Tipo_Cambio[Actualización]))</f>
        <v>1.0612079999999999</v>
      </c>
      <c r="AG20" s="890">
        <f>IF(ISNUMBER(Indirectos[[#This Row],[Fecha Financiero]])=TRUE,MONTH(Indirectos[[#This Row],[Fecha Financiero]]),0)</f>
        <v>0</v>
      </c>
      <c r="AH20" s="890">
        <f>IF(ISNUMBER(Indirectos[[#This Row],[Fecha Financiero]])=TRUE,YEAR(Indirectos[[#This Row],[Fecha Financiero]]),0)</f>
        <v>0</v>
      </c>
      <c r="AI20" s="891">
        <f>SUMPRODUCT((Indirectos[[#This Row],[Mes Financiero]]=Tipo_Cambio[Mes])*(Indirectos[[#This Row],[Año Financiero]]=Tipo_Cambio[Año])*(Tipo_Cambio[$/U$S]))</f>
        <v>0</v>
      </c>
      <c r="AJ20" s="891">
        <f>SUMPRODUCT((Indirectos[[#This Row],[Mes Financiero]]=Tipo_Cambio[Mes])*(Indirectos[[#This Row],[Año Financiero]]=Tipo_Cambio[Año])*(Tipo_Cambio[Actualización]))</f>
        <v>0</v>
      </c>
      <c r="AK20" s="887">
        <f>IF(Económico!$F$4=0,0,Indirectos[Centro de Costo])</f>
        <v>0</v>
      </c>
    </row>
    <row r="21" spans="4:37" x14ac:dyDescent="0.25">
      <c r="D21" s="478">
        <f t="shared" si="2"/>
        <v>43405</v>
      </c>
      <c r="E21" s="493"/>
      <c r="F21" s="866" t="str">
        <f t="shared" si="0"/>
        <v>2018-2019</v>
      </c>
      <c r="G21" s="481" t="s">
        <v>108</v>
      </c>
      <c r="H21" s="481"/>
      <c r="I21" s="481" t="s">
        <v>6</v>
      </c>
      <c r="J21" s="481"/>
      <c r="K21" s="533"/>
      <c r="L21" s="484"/>
      <c r="M21" s="491"/>
      <c r="N21" s="491"/>
      <c r="O21" s="485"/>
      <c r="P21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21" s="881">
        <f>IFERROR(Indirectos[[#This Row],[Económico $Corrientes]]/Indirectos[[#This Row],[Indexación Económico]],0)</f>
        <v>0</v>
      </c>
      <c r="R21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21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21" s="881">
        <f>IFERROR(Indirectos[[#This Row],[Financiero $Corrientes]]/Indirectos[[#This Row],[Indexación Financiero]],0)</f>
        <v>0</v>
      </c>
      <c r="U21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21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21" s="885">
        <f>IFERROR(Indirectos[[#This Row],[Intereses $Corrientes]]/Indirectos[[#This Row],[Indexación Financiero]],0)</f>
        <v>0</v>
      </c>
      <c r="X21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21" s="886" t="str">
        <f>IFERROR(INDEX(Costos_Indirectos_Cuentas[],MATCH(Indirectos[[#This Row],[Cuenta Contable]],Costos_Indirectos_Cuentas[Cuenta Contable],0),2),0)</f>
        <v>Egreso</v>
      </c>
      <c r="Z21" s="887" t="str">
        <f>IFERROR(INDEX(Tabla9[],MATCH(Indirectos[[#This Row],[Movimiento]],Tabla9[Movimientos],0),2),0)</f>
        <v>Si</v>
      </c>
      <c r="AA21" s="889" t="str">
        <f>IFERROR(INDEX(Costos_Indirectos_Cuentas[],MATCH(Indirectos[[#This Row],[Cuenta Contable]],Costos_Indirectos_Cuentas[Cuenta Contable],0),3),0)</f>
        <v>Si</v>
      </c>
      <c r="AB21" s="889" t="str">
        <f>IFERROR(INDEX(Tabla9[],MATCH(Indirectos[[#This Row],[Movimiento]],Tabla9[Movimientos],0),3),0)</f>
        <v>(-)</v>
      </c>
      <c r="AC21" s="884">
        <f>IF(Indirectos[[#This Row],[Fecha Económico]]=0,0,MONTH(Indirectos[[#This Row],[Fecha Económico]]))</f>
        <v>11</v>
      </c>
      <c r="AD21" s="890">
        <f>IF(Indirectos[[#This Row],[Fecha Económico]]=0,0,YEAR(Indirectos[[#This Row],[Fecha Económico]]))</f>
        <v>2018</v>
      </c>
      <c r="AE21" s="891">
        <f>SUMPRODUCT((Indirectos[[#This Row],[Mes Económico]]=Tipo_Cambio[Mes])*(Indirectos[[#This Row],[Año Económico]]=Tipo_Cambio[Año])*(Tipo_Cambio[$/U$S]))</f>
        <v>22.893288219999999</v>
      </c>
      <c r="AF21" s="891">
        <f>SUMPRODUCT((Indirectos[[#This Row],[Mes Económico]]=Tipo_Cambio[Mes])*(Indirectos[[#This Row],[Año Económico]]=Tipo_Cambio[Año])*(Tipo_Cambio[Actualización]))</f>
        <v>1.08243216</v>
      </c>
      <c r="AG21" s="890">
        <f>IF(ISNUMBER(Indirectos[[#This Row],[Fecha Financiero]])=TRUE,MONTH(Indirectos[[#This Row],[Fecha Financiero]]),0)</f>
        <v>0</v>
      </c>
      <c r="AH21" s="890">
        <f>IF(ISNUMBER(Indirectos[[#This Row],[Fecha Financiero]])=TRUE,YEAR(Indirectos[[#This Row],[Fecha Financiero]]),0)</f>
        <v>0</v>
      </c>
      <c r="AI21" s="891">
        <f>SUMPRODUCT((Indirectos[[#This Row],[Mes Financiero]]=Tipo_Cambio[Mes])*(Indirectos[[#This Row],[Año Financiero]]=Tipo_Cambio[Año])*(Tipo_Cambio[$/U$S]))</f>
        <v>0</v>
      </c>
      <c r="AJ21" s="891">
        <f>SUMPRODUCT((Indirectos[[#This Row],[Mes Financiero]]=Tipo_Cambio[Mes])*(Indirectos[[#This Row],[Año Financiero]]=Tipo_Cambio[Año])*(Tipo_Cambio[Actualización]))</f>
        <v>0</v>
      </c>
      <c r="AK21" s="887">
        <f>IF(Económico!$F$4=0,0,Indirectos[Centro de Costo])</f>
        <v>0</v>
      </c>
    </row>
    <row r="22" spans="4:37" x14ac:dyDescent="0.25">
      <c r="D22" s="478">
        <f t="shared" si="2"/>
        <v>43435</v>
      </c>
      <c r="E22" s="493"/>
      <c r="F22" s="866" t="str">
        <f t="shared" si="0"/>
        <v>2018-2019</v>
      </c>
      <c r="G22" s="481" t="s">
        <v>108</v>
      </c>
      <c r="H22" s="481"/>
      <c r="I22" s="481" t="s">
        <v>6</v>
      </c>
      <c r="J22" s="481"/>
      <c r="K22" s="533"/>
      <c r="L22" s="484"/>
      <c r="M22" s="491"/>
      <c r="N22" s="491"/>
      <c r="O22" s="485"/>
      <c r="P22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22" s="881">
        <f>IFERROR(Indirectos[[#This Row],[Económico $Corrientes]]/Indirectos[[#This Row],[Indexación Económico]],0)</f>
        <v>0</v>
      </c>
      <c r="R22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22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22" s="881">
        <f>IFERROR(Indirectos[[#This Row],[Financiero $Corrientes]]/Indirectos[[#This Row],[Indexación Financiero]],0)</f>
        <v>0</v>
      </c>
      <c r="U22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22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22" s="885">
        <f>IFERROR(Indirectos[[#This Row],[Intereses $Corrientes]]/Indirectos[[#This Row],[Indexación Financiero]],0)</f>
        <v>0</v>
      </c>
      <c r="X22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22" s="886" t="str">
        <f>IFERROR(INDEX(Costos_Indirectos_Cuentas[],MATCH(Indirectos[[#This Row],[Cuenta Contable]],Costos_Indirectos_Cuentas[Cuenta Contable],0),2),0)</f>
        <v>Egreso</v>
      </c>
      <c r="Z22" s="887" t="str">
        <f>IFERROR(INDEX(Tabla9[],MATCH(Indirectos[[#This Row],[Movimiento]],Tabla9[Movimientos],0),2),0)</f>
        <v>Si</v>
      </c>
      <c r="AA22" s="889" t="str">
        <f>IFERROR(INDEX(Costos_Indirectos_Cuentas[],MATCH(Indirectos[[#This Row],[Cuenta Contable]],Costos_Indirectos_Cuentas[Cuenta Contable],0),3),0)</f>
        <v>Si</v>
      </c>
      <c r="AB22" s="889" t="str">
        <f>IFERROR(INDEX(Tabla9[],MATCH(Indirectos[[#This Row],[Movimiento]],Tabla9[Movimientos],0),3),0)</f>
        <v>(-)</v>
      </c>
      <c r="AC22" s="884">
        <f>IF(Indirectos[[#This Row],[Fecha Económico]]=0,0,MONTH(Indirectos[[#This Row],[Fecha Económico]]))</f>
        <v>12</v>
      </c>
      <c r="AD22" s="890">
        <f>IF(Indirectos[[#This Row],[Fecha Económico]]=0,0,YEAR(Indirectos[[#This Row],[Fecha Económico]]))</f>
        <v>2018</v>
      </c>
      <c r="AE22" s="891">
        <f>SUMPRODUCT((Indirectos[[#This Row],[Mes Económico]]=Tipo_Cambio[Mes])*(Indirectos[[#This Row],[Año Económico]]=Tipo_Cambio[Año])*(Tipo_Cambio[$/U$S]))</f>
        <v>23.122221102199997</v>
      </c>
      <c r="AF22" s="891">
        <f>SUMPRODUCT((Indirectos[[#This Row],[Mes Económico]]=Tipo_Cambio[Mes])*(Indirectos[[#This Row],[Año Económico]]=Tipo_Cambio[Año])*(Tipo_Cambio[Actualización]))</f>
        <v>1.1040808032</v>
      </c>
      <c r="AG22" s="890">
        <f>IF(ISNUMBER(Indirectos[[#This Row],[Fecha Financiero]])=TRUE,MONTH(Indirectos[[#This Row],[Fecha Financiero]]),0)</f>
        <v>0</v>
      </c>
      <c r="AH22" s="890">
        <f>IF(ISNUMBER(Indirectos[[#This Row],[Fecha Financiero]])=TRUE,YEAR(Indirectos[[#This Row],[Fecha Financiero]]),0)</f>
        <v>0</v>
      </c>
      <c r="AI22" s="891">
        <f>SUMPRODUCT((Indirectos[[#This Row],[Mes Financiero]]=Tipo_Cambio[Mes])*(Indirectos[[#This Row],[Año Financiero]]=Tipo_Cambio[Año])*(Tipo_Cambio[$/U$S]))</f>
        <v>0</v>
      </c>
      <c r="AJ22" s="891">
        <f>SUMPRODUCT((Indirectos[[#This Row],[Mes Financiero]]=Tipo_Cambio[Mes])*(Indirectos[[#This Row],[Año Financiero]]=Tipo_Cambio[Año])*(Tipo_Cambio[Actualización]))</f>
        <v>0</v>
      </c>
      <c r="AK22" s="887">
        <f>IF(Económico!$F$4=0,0,Indirectos[Centro de Costo])</f>
        <v>0</v>
      </c>
    </row>
    <row r="23" spans="4:37" x14ac:dyDescent="0.25">
      <c r="D23" s="478">
        <f t="shared" si="2"/>
        <v>43466</v>
      </c>
      <c r="E23" s="493"/>
      <c r="F23" s="866" t="str">
        <f t="shared" si="0"/>
        <v>2018-2019</v>
      </c>
      <c r="G23" s="481" t="s">
        <v>108</v>
      </c>
      <c r="H23" s="481"/>
      <c r="I23" s="481" t="s">
        <v>6</v>
      </c>
      <c r="J23" s="481"/>
      <c r="K23" s="533"/>
      <c r="L23" s="484"/>
      <c r="M23" s="491"/>
      <c r="N23" s="491"/>
      <c r="O23" s="485"/>
      <c r="P23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23" s="881">
        <f>IFERROR(Indirectos[[#This Row],[Económico $Corrientes]]/Indirectos[[#This Row],[Indexación Económico]],0)</f>
        <v>0</v>
      </c>
      <c r="R23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23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23" s="881">
        <f>IFERROR(Indirectos[[#This Row],[Financiero $Corrientes]]/Indirectos[[#This Row],[Indexación Financiero]],0)</f>
        <v>0</v>
      </c>
      <c r="U23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23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23" s="885">
        <f>IFERROR(Indirectos[[#This Row],[Intereses $Corrientes]]/Indirectos[[#This Row],[Indexación Financiero]],0)</f>
        <v>0</v>
      </c>
      <c r="X23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23" s="886" t="str">
        <f>IFERROR(INDEX(Costos_Indirectos_Cuentas[],MATCH(Indirectos[[#This Row],[Cuenta Contable]],Costos_Indirectos_Cuentas[Cuenta Contable],0),2),0)</f>
        <v>Egreso</v>
      </c>
      <c r="Z23" s="887" t="str">
        <f>IFERROR(INDEX(Tabla9[],MATCH(Indirectos[[#This Row],[Movimiento]],Tabla9[Movimientos],0),2),0)</f>
        <v>Si</v>
      </c>
      <c r="AA23" s="889" t="str">
        <f>IFERROR(INDEX(Costos_Indirectos_Cuentas[],MATCH(Indirectos[[#This Row],[Cuenta Contable]],Costos_Indirectos_Cuentas[Cuenta Contable],0),3),0)</f>
        <v>Si</v>
      </c>
      <c r="AB23" s="889" t="str">
        <f>IFERROR(INDEX(Tabla9[],MATCH(Indirectos[[#This Row],[Movimiento]],Tabla9[Movimientos],0),3),0)</f>
        <v>(-)</v>
      </c>
      <c r="AC23" s="884">
        <f>IF(Indirectos[[#This Row],[Fecha Económico]]=0,0,MONTH(Indirectos[[#This Row],[Fecha Económico]]))</f>
        <v>1</v>
      </c>
      <c r="AD23" s="890">
        <f>IF(Indirectos[[#This Row],[Fecha Económico]]=0,0,YEAR(Indirectos[[#This Row],[Fecha Económico]]))</f>
        <v>2019</v>
      </c>
      <c r="AE23" s="891">
        <f>SUMPRODUCT((Indirectos[[#This Row],[Mes Económico]]=Tipo_Cambio[Mes])*(Indirectos[[#This Row],[Año Económico]]=Tipo_Cambio[Año])*(Tipo_Cambio[$/U$S]))</f>
        <v>23.353443313221998</v>
      </c>
      <c r="AF23" s="891">
        <f>SUMPRODUCT((Indirectos[[#This Row],[Mes Económico]]=Tipo_Cambio[Mes])*(Indirectos[[#This Row],[Año Económico]]=Tipo_Cambio[Año])*(Tipo_Cambio[Actualización]))</f>
        <v>1.1261624192640001</v>
      </c>
      <c r="AG23" s="890">
        <f>IF(ISNUMBER(Indirectos[[#This Row],[Fecha Financiero]])=TRUE,MONTH(Indirectos[[#This Row],[Fecha Financiero]]),0)</f>
        <v>0</v>
      </c>
      <c r="AH23" s="890">
        <f>IF(ISNUMBER(Indirectos[[#This Row],[Fecha Financiero]])=TRUE,YEAR(Indirectos[[#This Row],[Fecha Financiero]]),0)</f>
        <v>0</v>
      </c>
      <c r="AI23" s="891">
        <f>SUMPRODUCT((Indirectos[[#This Row],[Mes Financiero]]=Tipo_Cambio[Mes])*(Indirectos[[#This Row],[Año Financiero]]=Tipo_Cambio[Año])*(Tipo_Cambio[$/U$S]))</f>
        <v>0</v>
      </c>
      <c r="AJ23" s="891">
        <f>SUMPRODUCT((Indirectos[[#This Row],[Mes Financiero]]=Tipo_Cambio[Mes])*(Indirectos[[#This Row],[Año Financiero]]=Tipo_Cambio[Año])*(Tipo_Cambio[Actualización]))</f>
        <v>0</v>
      </c>
      <c r="AK23" s="887">
        <f>IF(Económico!$F$4=0,0,Indirectos[Centro de Costo])</f>
        <v>0</v>
      </c>
    </row>
    <row r="24" spans="4:37" x14ac:dyDescent="0.25">
      <c r="D24" s="478">
        <f t="shared" si="2"/>
        <v>43497</v>
      </c>
      <c r="E24" s="493"/>
      <c r="F24" s="866" t="str">
        <f t="shared" si="0"/>
        <v>2018-2019</v>
      </c>
      <c r="G24" s="481" t="s">
        <v>108</v>
      </c>
      <c r="H24" s="481"/>
      <c r="I24" s="481" t="s">
        <v>6</v>
      </c>
      <c r="J24" s="481"/>
      <c r="K24" s="533"/>
      <c r="L24" s="484"/>
      <c r="M24" s="491"/>
      <c r="N24" s="491"/>
      <c r="O24" s="485"/>
      <c r="P24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24" s="913">
        <f>IFERROR(Indirectos[[#This Row],[Económico $Corrientes]]/Indirectos[[#This Row],[Indexación Económico]],0)</f>
        <v>0</v>
      </c>
      <c r="R24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24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24" s="913">
        <f>IFERROR(Indirectos[[#This Row],[Financiero $Corrientes]]/Indirectos[[#This Row],[Indexación Financiero]],0)</f>
        <v>0</v>
      </c>
      <c r="U24" s="88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24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24" s="885">
        <f>IFERROR(Indirectos[[#This Row],[Intereses $Corrientes]]/Indirectos[[#This Row],[Indexación Financiero]],0)</f>
        <v>0</v>
      </c>
      <c r="X24" s="885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24" s="886" t="str">
        <f>IFERROR(INDEX(Costos_Indirectos_Cuentas[],MATCH(Indirectos[[#This Row],[Cuenta Contable]],Costos_Indirectos_Cuentas[Cuenta Contable],0),2),0)</f>
        <v>Egreso</v>
      </c>
      <c r="Z24" s="887" t="str">
        <f>IFERROR(INDEX(Tabla9[],MATCH(Indirectos[[#This Row],[Movimiento]],Tabla9[Movimientos],0),2),0)</f>
        <v>Si</v>
      </c>
      <c r="AA24" s="889" t="str">
        <f>IFERROR(INDEX(Costos_Indirectos_Cuentas[],MATCH(Indirectos[[#This Row],[Cuenta Contable]],Costos_Indirectos_Cuentas[Cuenta Contable],0),3),0)</f>
        <v>Si</v>
      </c>
      <c r="AB24" s="889" t="str">
        <f>IFERROR(INDEX(Tabla9[],MATCH(Indirectos[[#This Row],[Movimiento]],Tabla9[Movimientos],0),3),0)</f>
        <v>(-)</v>
      </c>
      <c r="AC24" s="884">
        <f>IF(Indirectos[[#This Row],[Fecha Económico]]=0,0,MONTH(Indirectos[[#This Row],[Fecha Económico]]))</f>
        <v>2</v>
      </c>
      <c r="AD24" s="890">
        <f>IF(Indirectos[[#This Row],[Fecha Económico]]=0,0,YEAR(Indirectos[[#This Row],[Fecha Económico]]))</f>
        <v>2019</v>
      </c>
      <c r="AE24" s="891">
        <f>SUMPRODUCT((Indirectos[[#This Row],[Mes Económico]]=Tipo_Cambio[Mes])*(Indirectos[[#This Row],[Año Económico]]=Tipo_Cambio[Año])*(Tipo_Cambio[$/U$S]))</f>
        <v>23.586977746354219</v>
      </c>
      <c r="AF24" s="891">
        <f>SUMPRODUCT((Indirectos[[#This Row],[Mes Económico]]=Tipo_Cambio[Mes])*(Indirectos[[#This Row],[Año Económico]]=Tipo_Cambio[Año])*(Tipo_Cambio[Actualización]))</f>
        <v>1.14868566764928</v>
      </c>
      <c r="AG24" s="890">
        <f>IF(ISNUMBER(Indirectos[[#This Row],[Fecha Financiero]])=TRUE,MONTH(Indirectos[[#This Row],[Fecha Financiero]]),0)</f>
        <v>0</v>
      </c>
      <c r="AH24" s="890">
        <f>IF(ISNUMBER(Indirectos[[#This Row],[Fecha Financiero]])=TRUE,YEAR(Indirectos[[#This Row],[Fecha Financiero]]),0)</f>
        <v>0</v>
      </c>
      <c r="AI24" s="891">
        <f>SUMPRODUCT((Indirectos[[#This Row],[Mes Financiero]]=Tipo_Cambio[Mes])*(Indirectos[[#This Row],[Año Financiero]]=Tipo_Cambio[Año])*(Tipo_Cambio[$/U$S]))</f>
        <v>0</v>
      </c>
      <c r="AJ24" s="891">
        <f>SUMPRODUCT((Indirectos[[#This Row],[Mes Financiero]]=Tipo_Cambio[Mes])*(Indirectos[[#This Row],[Año Financiero]]=Tipo_Cambio[Año])*(Tipo_Cambio[Actualización]))</f>
        <v>0</v>
      </c>
      <c r="AK24" s="887">
        <f>IF(Económico!$F$4=0,0,Indirectos[Centro de Costo])</f>
        <v>0</v>
      </c>
    </row>
    <row r="25" spans="4:37" x14ac:dyDescent="0.25">
      <c r="D25" s="478">
        <f t="shared" si="2"/>
        <v>43525</v>
      </c>
      <c r="E25" s="493"/>
      <c r="F25" s="866" t="str">
        <f t="shared" si="0"/>
        <v>2018-2019</v>
      </c>
      <c r="G25" s="481" t="s">
        <v>108</v>
      </c>
      <c r="H25" s="481"/>
      <c r="I25" s="481" t="s">
        <v>6</v>
      </c>
      <c r="J25" s="481"/>
      <c r="K25" s="533"/>
      <c r="L25" s="484"/>
      <c r="M25" s="491"/>
      <c r="N25" s="491"/>
      <c r="O25" s="485"/>
      <c r="P25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25" s="913">
        <f>IFERROR(Indirectos[[#This Row],[Económico $Corrientes]]/Indirectos[[#This Row],[Indexación Económico]],0)</f>
        <v>0</v>
      </c>
      <c r="R25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25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25" s="913">
        <f>IFERROR(Indirectos[[#This Row],[Financiero $Corrientes]]/Indirectos[[#This Row],[Indexación Financiero]],0)</f>
        <v>0</v>
      </c>
      <c r="U25" s="913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25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25" s="890">
        <f>IFERROR(Indirectos[[#This Row],[Intereses $Corrientes]]/Indirectos[[#This Row],[Indexación Financiero]],0)</f>
        <v>0</v>
      </c>
      <c r="X25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25" s="886" t="str">
        <f>IFERROR(INDEX(Costos_Indirectos_Cuentas[],MATCH(Indirectos[[#This Row],[Cuenta Contable]],Costos_Indirectos_Cuentas[Cuenta Contable],0),2),0)</f>
        <v>Egreso</v>
      </c>
      <c r="Z25" s="887" t="str">
        <f>IFERROR(INDEX(Tabla9[],MATCH(Indirectos[[#This Row],[Movimiento]],Tabla9[Movimientos],0),2),0)</f>
        <v>Si</v>
      </c>
      <c r="AA25" s="889" t="str">
        <f>IFERROR(INDEX(Costos_Indirectos_Cuentas[],MATCH(Indirectos[[#This Row],[Cuenta Contable]],Costos_Indirectos_Cuentas[Cuenta Contable],0),3),0)</f>
        <v>Si</v>
      </c>
      <c r="AB25" s="889" t="str">
        <f>IFERROR(INDEX(Tabla9[],MATCH(Indirectos[[#This Row],[Movimiento]],Tabla9[Movimientos],0),3),0)</f>
        <v>(-)</v>
      </c>
      <c r="AC25" s="884">
        <f>IF(Indirectos[[#This Row],[Fecha Económico]]=0,0,MONTH(Indirectos[[#This Row],[Fecha Económico]]))</f>
        <v>3</v>
      </c>
      <c r="AD25" s="890">
        <f>IF(Indirectos[[#This Row],[Fecha Económico]]=0,0,YEAR(Indirectos[[#This Row],[Fecha Económico]]))</f>
        <v>2019</v>
      </c>
      <c r="AE25" s="891">
        <f>SUMPRODUCT((Indirectos[[#This Row],[Mes Económico]]=Tipo_Cambio[Mes])*(Indirectos[[#This Row],[Año Económico]]=Tipo_Cambio[Año])*(Tipo_Cambio[$/U$S]))</f>
        <v>23.82284752381776</v>
      </c>
      <c r="AF25" s="891">
        <f>SUMPRODUCT((Indirectos[[#This Row],[Mes Económico]]=Tipo_Cambio[Mes])*(Indirectos[[#This Row],[Año Económico]]=Tipo_Cambio[Año])*(Tipo_Cambio[Actualización]))</f>
        <v>1.1716593810022657</v>
      </c>
      <c r="AG25" s="890">
        <f>IF(ISNUMBER(Indirectos[[#This Row],[Fecha Financiero]])=TRUE,MONTH(Indirectos[[#This Row],[Fecha Financiero]]),0)</f>
        <v>0</v>
      </c>
      <c r="AH25" s="890">
        <f>IF(ISNUMBER(Indirectos[[#This Row],[Fecha Financiero]])=TRUE,YEAR(Indirectos[[#This Row],[Fecha Financiero]]),0)</f>
        <v>0</v>
      </c>
      <c r="AI25" s="891">
        <f>SUMPRODUCT((Indirectos[[#This Row],[Mes Financiero]]=Tipo_Cambio[Mes])*(Indirectos[[#This Row],[Año Financiero]]=Tipo_Cambio[Año])*(Tipo_Cambio[$/U$S]))</f>
        <v>0</v>
      </c>
      <c r="AJ25" s="891">
        <f>SUMPRODUCT((Indirectos[[#This Row],[Mes Financiero]]=Tipo_Cambio[Mes])*(Indirectos[[#This Row],[Año Financiero]]=Tipo_Cambio[Año])*(Tipo_Cambio[Actualización]))</f>
        <v>0</v>
      </c>
      <c r="AK25" s="887">
        <f>IF(Económico!$F$4=0,0,Indirectos[Centro de Costo])</f>
        <v>0</v>
      </c>
    </row>
    <row r="26" spans="4:37" x14ac:dyDescent="0.25">
      <c r="D26" s="478">
        <f t="shared" si="2"/>
        <v>43556</v>
      </c>
      <c r="E26" s="493"/>
      <c r="F26" s="866" t="str">
        <f t="shared" si="0"/>
        <v>2018-2019</v>
      </c>
      <c r="G26" s="481" t="s">
        <v>108</v>
      </c>
      <c r="H26" s="481"/>
      <c r="I26" s="481" t="s">
        <v>6</v>
      </c>
      <c r="J26" s="481"/>
      <c r="K26" s="533"/>
      <c r="L26" s="484"/>
      <c r="M26" s="491"/>
      <c r="N26" s="491"/>
      <c r="O26" s="485"/>
      <c r="P26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26" s="913">
        <f>IFERROR(Indirectos[[#This Row],[Económico $Corrientes]]/Indirectos[[#This Row],[Indexación Económico]],0)</f>
        <v>0</v>
      </c>
      <c r="R26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26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26" s="913">
        <f>IFERROR(Indirectos[[#This Row],[Financiero $Corrientes]]/Indirectos[[#This Row],[Indexación Financiero]],0)</f>
        <v>0</v>
      </c>
      <c r="U26" s="913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26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26" s="890">
        <f>IFERROR(Indirectos[[#This Row],[Intereses $Corrientes]]/Indirectos[[#This Row],[Indexación Financiero]],0)</f>
        <v>0</v>
      </c>
      <c r="X26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26" s="886" t="str">
        <f>IFERROR(INDEX(Costos_Indirectos_Cuentas[],MATCH(Indirectos[[#This Row],[Cuenta Contable]],Costos_Indirectos_Cuentas[Cuenta Contable],0),2),0)</f>
        <v>Egreso</v>
      </c>
      <c r="Z26" s="887" t="str">
        <f>IFERROR(INDEX(Tabla9[],MATCH(Indirectos[[#This Row],[Movimiento]],Tabla9[Movimientos],0),2),0)</f>
        <v>Si</v>
      </c>
      <c r="AA26" s="889" t="str">
        <f>IFERROR(INDEX(Costos_Indirectos_Cuentas[],MATCH(Indirectos[[#This Row],[Cuenta Contable]],Costos_Indirectos_Cuentas[Cuenta Contable],0),3),0)</f>
        <v>Si</v>
      </c>
      <c r="AB26" s="889" t="str">
        <f>IFERROR(INDEX(Tabla9[],MATCH(Indirectos[[#This Row],[Movimiento]],Tabla9[Movimientos],0),3),0)</f>
        <v>(-)</v>
      </c>
      <c r="AC26" s="884">
        <f>IF(Indirectos[[#This Row],[Fecha Económico]]=0,0,MONTH(Indirectos[[#This Row],[Fecha Económico]]))</f>
        <v>4</v>
      </c>
      <c r="AD26" s="890">
        <f>IF(Indirectos[[#This Row],[Fecha Económico]]=0,0,YEAR(Indirectos[[#This Row],[Fecha Económico]]))</f>
        <v>2019</v>
      </c>
      <c r="AE26" s="891">
        <f>SUMPRODUCT((Indirectos[[#This Row],[Mes Económico]]=Tipo_Cambio[Mes])*(Indirectos[[#This Row],[Año Económico]]=Tipo_Cambio[Año])*(Tipo_Cambio[$/U$S]))</f>
        <v>24.061075999055937</v>
      </c>
      <c r="AF26" s="891">
        <f>SUMPRODUCT((Indirectos[[#This Row],[Mes Económico]]=Tipo_Cambio[Mes])*(Indirectos[[#This Row],[Año Económico]]=Tipo_Cambio[Año])*(Tipo_Cambio[Actualización]))</f>
        <v>1.1950925686223111</v>
      </c>
      <c r="AG26" s="890">
        <f>IF(ISNUMBER(Indirectos[[#This Row],[Fecha Financiero]])=TRUE,MONTH(Indirectos[[#This Row],[Fecha Financiero]]),0)</f>
        <v>0</v>
      </c>
      <c r="AH26" s="890">
        <f>IF(ISNUMBER(Indirectos[[#This Row],[Fecha Financiero]])=TRUE,YEAR(Indirectos[[#This Row],[Fecha Financiero]]),0)</f>
        <v>0</v>
      </c>
      <c r="AI26" s="891">
        <f>SUMPRODUCT((Indirectos[[#This Row],[Mes Financiero]]=Tipo_Cambio[Mes])*(Indirectos[[#This Row],[Año Financiero]]=Tipo_Cambio[Año])*(Tipo_Cambio[$/U$S]))</f>
        <v>0</v>
      </c>
      <c r="AJ26" s="891">
        <f>SUMPRODUCT((Indirectos[[#This Row],[Mes Financiero]]=Tipo_Cambio[Mes])*(Indirectos[[#This Row],[Año Financiero]]=Tipo_Cambio[Año])*(Tipo_Cambio[Actualización]))</f>
        <v>0</v>
      </c>
      <c r="AK26" s="887">
        <f>IF(Económico!$F$4=0,0,Indirectos[Centro de Costo])</f>
        <v>0</v>
      </c>
    </row>
    <row r="27" spans="4:37" x14ac:dyDescent="0.25">
      <c r="D27" s="478">
        <f t="shared" si="2"/>
        <v>43586</v>
      </c>
      <c r="E27" s="493"/>
      <c r="F27" s="866" t="str">
        <f t="shared" si="0"/>
        <v>2018-2019</v>
      </c>
      <c r="G27" s="481" t="s">
        <v>108</v>
      </c>
      <c r="H27" s="481"/>
      <c r="I27" s="481" t="s">
        <v>6</v>
      </c>
      <c r="J27" s="481"/>
      <c r="K27" s="533"/>
      <c r="L27" s="484"/>
      <c r="M27" s="491"/>
      <c r="N27" s="491"/>
      <c r="O27" s="485"/>
      <c r="P27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27" s="913">
        <f>IFERROR(Indirectos[[#This Row],[Económico $Corrientes]]/Indirectos[[#This Row],[Indexación Económico]],0)</f>
        <v>0</v>
      </c>
      <c r="R27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27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27" s="913">
        <f>IFERROR(Indirectos[[#This Row],[Financiero $Corrientes]]/Indirectos[[#This Row],[Indexación Financiero]],0)</f>
        <v>0</v>
      </c>
      <c r="U27" s="913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27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27" s="890">
        <f>IFERROR(Indirectos[[#This Row],[Intereses $Corrientes]]/Indirectos[[#This Row],[Indexación Financiero]],0)</f>
        <v>0</v>
      </c>
      <c r="X27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27" s="886" t="str">
        <f>IFERROR(INDEX(Costos_Indirectos_Cuentas[],MATCH(Indirectos[[#This Row],[Cuenta Contable]],Costos_Indirectos_Cuentas[Cuenta Contable],0),2),0)</f>
        <v>Egreso</v>
      </c>
      <c r="Z27" s="887" t="str">
        <f>IFERROR(INDEX(Tabla9[],MATCH(Indirectos[[#This Row],[Movimiento]],Tabla9[Movimientos],0),2),0)</f>
        <v>Si</v>
      </c>
      <c r="AA27" s="889" t="str">
        <f>IFERROR(INDEX(Costos_Indirectos_Cuentas[],MATCH(Indirectos[[#This Row],[Cuenta Contable]],Costos_Indirectos_Cuentas[Cuenta Contable],0),3),0)</f>
        <v>Si</v>
      </c>
      <c r="AB27" s="889" t="str">
        <f>IFERROR(INDEX(Tabla9[],MATCH(Indirectos[[#This Row],[Movimiento]],Tabla9[Movimientos],0),3),0)</f>
        <v>(-)</v>
      </c>
      <c r="AC27" s="884">
        <f>IF(Indirectos[[#This Row],[Fecha Económico]]=0,0,MONTH(Indirectos[[#This Row],[Fecha Económico]]))</f>
        <v>5</v>
      </c>
      <c r="AD27" s="890">
        <f>IF(Indirectos[[#This Row],[Fecha Económico]]=0,0,YEAR(Indirectos[[#This Row],[Fecha Económico]]))</f>
        <v>2019</v>
      </c>
      <c r="AE27" s="891">
        <f>SUMPRODUCT((Indirectos[[#This Row],[Mes Económico]]=Tipo_Cambio[Mes])*(Indirectos[[#This Row],[Año Económico]]=Tipo_Cambio[Año])*(Tipo_Cambio[$/U$S]))</f>
        <v>24.301686759046497</v>
      </c>
      <c r="AF27" s="891">
        <f>SUMPRODUCT((Indirectos[[#This Row],[Mes Económico]]=Tipo_Cambio[Mes])*(Indirectos[[#This Row],[Año Económico]]=Tipo_Cambio[Año])*(Tipo_Cambio[Actualización]))</f>
        <v>1.2189944199947573</v>
      </c>
      <c r="AG27" s="890">
        <f>IF(ISNUMBER(Indirectos[[#This Row],[Fecha Financiero]])=TRUE,MONTH(Indirectos[[#This Row],[Fecha Financiero]]),0)</f>
        <v>0</v>
      </c>
      <c r="AH27" s="890">
        <f>IF(ISNUMBER(Indirectos[[#This Row],[Fecha Financiero]])=TRUE,YEAR(Indirectos[[#This Row],[Fecha Financiero]]),0)</f>
        <v>0</v>
      </c>
      <c r="AI27" s="891">
        <f>SUMPRODUCT((Indirectos[[#This Row],[Mes Financiero]]=Tipo_Cambio[Mes])*(Indirectos[[#This Row],[Año Financiero]]=Tipo_Cambio[Año])*(Tipo_Cambio[$/U$S]))</f>
        <v>0</v>
      </c>
      <c r="AJ27" s="891">
        <f>SUMPRODUCT((Indirectos[[#This Row],[Mes Financiero]]=Tipo_Cambio[Mes])*(Indirectos[[#This Row],[Año Financiero]]=Tipo_Cambio[Año])*(Tipo_Cambio[Actualización]))</f>
        <v>0</v>
      </c>
      <c r="AK27" s="887">
        <f>IF(Económico!$F$4=0,0,Indirectos[Centro de Costo])</f>
        <v>0</v>
      </c>
    </row>
    <row r="28" spans="4:37" x14ac:dyDescent="0.25">
      <c r="D28" s="535">
        <f t="shared" si="2"/>
        <v>43617</v>
      </c>
      <c r="E28" s="536"/>
      <c r="F28" s="867" t="str">
        <f t="shared" si="0"/>
        <v>2018-2019</v>
      </c>
      <c r="G28" s="538" t="s">
        <v>108</v>
      </c>
      <c r="H28" s="538"/>
      <c r="I28" s="538" t="s">
        <v>6</v>
      </c>
      <c r="J28" s="538"/>
      <c r="K28" s="539"/>
      <c r="L28" s="540"/>
      <c r="M28" s="538"/>
      <c r="N28" s="542"/>
      <c r="O28" s="541"/>
      <c r="P28" s="895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28" s="893">
        <f>IFERROR(Indirectos[[#This Row],[Económico $Corrientes]]/Indirectos[[#This Row],[Indexación Económico]],0)</f>
        <v>0</v>
      </c>
      <c r="R28" s="894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28" s="895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28" s="893">
        <f>IFERROR(Indirectos[[#This Row],[Financiero $Corrientes]]/Indirectos[[#This Row],[Indexación Financiero]],0)</f>
        <v>0</v>
      </c>
      <c r="U28" s="92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28" s="896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28" s="897">
        <f>IFERROR(Indirectos[[#This Row],[Intereses $Corrientes]]/Indirectos[[#This Row],[Indexación Financiero]],0)</f>
        <v>0</v>
      </c>
      <c r="X28" s="897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28" s="922" t="str">
        <f>IFERROR(INDEX(Costos_Indirectos_Cuentas[],MATCH(Indirectos[[#This Row],[Cuenta Contable]],Costos_Indirectos_Cuentas[Cuenta Contable],0),2),0)</f>
        <v>Egreso</v>
      </c>
      <c r="Z28" s="899" t="str">
        <f>IFERROR(INDEX(Tabla9[],MATCH(Indirectos[[#This Row],[Movimiento]],Tabla9[Movimientos],0),2),0)</f>
        <v>Si</v>
      </c>
      <c r="AA28" s="925" t="str">
        <f>IFERROR(INDEX(Costos_Indirectos_Cuentas[],MATCH(Indirectos[[#This Row],[Cuenta Contable]],Costos_Indirectos_Cuentas[Cuenta Contable],0),3),0)</f>
        <v>Si</v>
      </c>
      <c r="AB28" s="901" t="str">
        <f>IFERROR(INDEX(Tabla9[],MATCH(Indirectos[[#This Row],[Movimiento]],Tabla9[Movimientos],0),3),0)</f>
        <v>(-)</v>
      </c>
      <c r="AC28" s="896">
        <f>IF(Indirectos[[#This Row],[Fecha Económico]]=0,0,MONTH(Indirectos[[#This Row],[Fecha Económico]]))</f>
        <v>6</v>
      </c>
      <c r="AD28" s="897">
        <f>IF(Indirectos[[#This Row],[Fecha Económico]]=0,0,YEAR(Indirectos[[#This Row],[Fecha Económico]]))</f>
        <v>2019</v>
      </c>
      <c r="AE28" s="901">
        <f>SUMPRODUCT((Indirectos[[#This Row],[Mes Económico]]=Tipo_Cambio[Mes])*(Indirectos[[#This Row],[Año Económico]]=Tipo_Cambio[Año])*(Tipo_Cambio[$/U$S]))</f>
        <v>24.544703626636963</v>
      </c>
      <c r="AF28" s="901">
        <f>SUMPRODUCT((Indirectos[[#This Row],[Mes Económico]]=Tipo_Cambio[Mes])*(Indirectos[[#This Row],[Año Económico]]=Tipo_Cambio[Año])*(Tipo_Cambio[Actualización]))</f>
        <v>1.2433743083946525</v>
      </c>
      <c r="AG28" s="897">
        <f>IF(ISNUMBER(Indirectos[[#This Row],[Fecha Financiero]])=TRUE,MONTH(Indirectos[[#This Row],[Fecha Financiero]]),0)</f>
        <v>0</v>
      </c>
      <c r="AH28" s="897">
        <f>IF(ISNUMBER(Indirectos[[#This Row],[Fecha Financiero]])=TRUE,YEAR(Indirectos[[#This Row],[Fecha Financiero]]),0)</f>
        <v>0</v>
      </c>
      <c r="AI28" s="901">
        <f>SUMPRODUCT((Indirectos[[#This Row],[Mes Financiero]]=Tipo_Cambio[Mes])*(Indirectos[[#This Row],[Año Financiero]]=Tipo_Cambio[Año])*(Tipo_Cambio[$/U$S]))</f>
        <v>0</v>
      </c>
      <c r="AJ28" s="900">
        <f>SUMPRODUCT((Indirectos[[#This Row],[Mes Financiero]]=Tipo_Cambio[Mes])*(Indirectos[[#This Row],[Año Financiero]]=Tipo_Cambio[Año])*(Tipo_Cambio[Actualización]))</f>
        <v>0</v>
      </c>
      <c r="AK28" s="923">
        <f>IF(Económico!$F$4=0,0,Indirectos[Centro de Costo])</f>
        <v>0</v>
      </c>
    </row>
    <row r="29" spans="4:37" x14ac:dyDescent="0.25">
      <c r="D29" s="528"/>
      <c r="E29" s="522"/>
      <c r="F29" s="869" t="str">
        <f t="shared" si="0"/>
        <v>2018-2019</v>
      </c>
      <c r="G29" s="481" t="s">
        <v>222</v>
      </c>
      <c r="H29" s="481"/>
      <c r="I29" s="481" t="s">
        <v>6</v>
      </c>
      <c r="J29" s="481"/>
      <c r="K29" s="533"/>
      <c r="L29" s="484"/>
      <c r="M29" s="491"/>
      <c r="N29" s="523"/>
      <c r="O29" s="485"/>
      <c r="P29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29" s="913">
        <f>IFERROR(Indirectos[[#This Row],[Económico $Corrientes]]/Indirectos[[#This Row],[Indexación Económico]],0)</f>
        <v>0</v>
      </c>
      <c r="R29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29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29" s="913">
        <f>IFERROR(Indirectos[[#This Row],[Financiero $Corrientes]]/Indirectos[[#This Row],[Indexación Financiero]],0)</f>
        <v>0</v>
      </c>
      <c r="U29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29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29" s="890">
        <f>IFERROR(Indirectos[[#This Row],[Intereses $Corrientes]]/Indirectos[[#This Row],[Indexación Financiero]],0)</f>
        <v>0</v>
      </c>
      <c r="X29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29" s="915" t="str">
        <f>IFERROR(INDEX(Costos_Indirectos_Cuentas[],MATCH(Indirectos[[#This Row],[Cuenta Contable]],Costos_Indirectos_Cuentas[Cuenta Contable],0),2),0)</f>
        <v>Egreso</v>
      </c>
      <c r="Z29" s="887" t="str">
        <f>IFERROR(INDEX(Tabla9[],MATCH(Indirectos[[#This Row],[Movimiento]],Tabla9[Movimientos],0),2),0)</f>
        <v>Si</v>
      </c>
      <c r="AA29" s="918" t="str">
        <f>IFERROR(INDEX(Costos_Indirectos_Cuentas[],MATCH(Indirectos[[#This Row],[Cuenta Contable]],Costos_Indirectos_Cuentas[Cuenta Contable],0),3),0)</f>
        <v>Si</v>
      </c>
      <c r="AB29" s="889" t="str">
        <f>IFERROR(INDEX(Tabla9[],MATCH(Indirectos[[#This Row],[Movimiento]],Tabla9[Movimientos],0),3),0)</f>
        <v>(-)</v>
      </c>
      <c r="AC29" s="884">
        <f>IF(Indirectos[[#This Row],[Fecha Económico]]=0,0,MONTH(Indirectos[[#This Row],[Fecha Económico]]))</f>
        <v>0</v>
      </c>
      <c r="AD29" s="890">
        <f>IF(Indirectos[[#This Row],[Fecha Económico]]=0,0,YEAR(Indirectos[[#This Row],[Fecha Económico]]))</f>
        <v>0</v>
      </c>
      <c r="AE29" s="891">
        <f>SUMPRODUCT((Indirectos[[#This Row],[Mes Económico]]=Tipo_Cambio[Mes])*(Indirectos[[#This Row],[Año Económico]]=Tipo_Cambio[Año])*(Tipo_Cambio[$/U$S]))</f>
        <v>0</v>
      </c>
      <c r="AF29" s="891">
        <f>SUMPRODUCT((Indirectos[[#This Row],[Mes Económico]]=Tipo_Cambio[Mes])*(Indirectos[[#This Row],[Año Económico]]=Tipo_Cambio[Año])*(Tipo_Cambio[Actualización]))</f>
        <v>0</v>
      </c>
      <c r="AG29" s="890">
        <f>IF(ISNUMBER(Indirectos[[#This Row],[Fecha Financiero]])=TRUE,MONTH(Indirectos[[#This Row],[Fecha Financiero]]),0)</f>
        <v>0</v>
      </c>
      <c r="AH29" s="890">
        <f>IF(ISNUMBER(Indirectos[[#This Row],[Fecha Financiero]])=TRUE,YEAR(Indirectos[[#This Row],[Fecha Financiero]]),0)</f>
        <v>0</v>
      </c>
      <c r="AI29" s="891">
        <f>SUMPRODUCT((Indirectos[[#This Row],[Mes Financiero]]=Tipo_Cambio[Mes])*(Indirectos[[#This Row],[Año Financiero]]=Tipo_Cambio[Año])*(Tipo_Cambio[$/U$S]))</f>
        <v>0</v>
      </c>
      <c r="AJ29" s="888">
        <f>SUMPRODUCT((Indirectos[[#This Row],[Mes Financiero]]=Tipo_Cambio[Mes])*(Indirectos[[#This Row],[Año Financiero]]=Tipo_Cambio[Año])*(Tipo_Cambio[Actualización]))</f>
        <v>0</v>
      </c>
      <c r="AK29" s="916">
        <f>IF(Económico!$F$4=0,0,Indirectos[Centro de Costo])</f>
        <v>0</v>
      </c>
    </row>
    <row r="30" spans="4:37" x14ac:dyDescent="0.25">
      <c r="D30" s="528"/>
      <c r="E30" s="522"/>
      <c r="F30" s="869" t="str">
        <f t="shared" si="0"/>
        <v>2018-2019</v>
      </c>
      <c r="G30" s="481" t="s">
        <v>222</v>
      </c>
      <c r="H30" s="481"/>
      <c r="I30" s="481" t="s">
        <v>6</v>
      </c>
      <c r="J30" s="481"/>
      <c r="K30" s="533"/>
      <c r="L30" s="484"/>
      <c r="M30" s="491"/>
      <c r="N30" s="523"/>
      <c r="O30" s="485"/>
      <c r="P30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30" s="913">
        <f>IFERROR(Indirectos[[#This Row],[Económico $Corrientes]]/Indirectos[[#This Row],[Indexación Económico]],0)</f>
        <v>0</v>
      </c>
      <c r="R30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30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30" s="913">
        <f>IFERROR(Indirectos[[#This Row],[Financiero $Corrientes]]/Indirectos[[#This Row],[Indexación Financiero]],0)</f>
        <v>0</v>
      </c>
      <c r="U30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30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30" s="890">
        <f>IFERROR(Indirectos[[#This Row],[Intereses $Corrientes]]/Indirectos[[#This Row],[Indexación Financiero]],0)</f>
        <v>0</v>
      </c>
      <c r="X30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30" s="915" t="str">
        <f>IFERROR(INDEX(Costos_Indirectos_Cuentas[],MATCH(Indirectos[[#This Row],[Cuenta Contable]],Costos_Indirectos_Cuentas[Cuenta Contable],0),2),0)</f>
        <v>Egreso</v>
      </c>
      <c r="Z30" s="887" t="str">
        <f>IFERROR(INDEX(Tabla9[],MATCH(Indirectos[[#This Row],[Movimiento]],Tabla9[Movimientos],0),2),0)</f>
        <v>Si</v>
      </c>
      <c r="AA30" s="918" t="str">
        <f>IFERROR(INDEX(Costos_Indirectos_Cuentas[],MATCH(Indirectos[[#This Row],[Cuenta Contable]],Costos_Indirectos_Cuentas[Cuenta Contable],0),3),0)</f>
        <v>Si</v>
      </c>
      <c r="AB30" s="889" t="str">
        <f>IFERROR(INDEX(Tabla9[],MATCH(Indirectos[[#This Row],[Movimiento]],Tabla9[Movimientos],0),3),0)</f>
        <v>(-)</v>
      </c>
      <c r="AC30" s="884">
        <f>IF(Indirectos[[#This Row],[Fecha Económico]]=0,0,MONTH(Indirectos[[#This Row],[Fecha Económico]]))</f>
        <v>0</v>
      </c>
      <c r="AD30" s="890">
        <f>IF(Indirectos[[#This Row],[Fecha Económico]]=0,0,YEAR(Indirectos[[#This Row],[Fecha Económico]]))</f>
        <v>0</v>
      </c>
      <c r="AE30" s="891">
        <f>SUMPRODUCT((Indirectos[[#This Row],[Mes Económico]]=Tipo_Cambio[Mes])*(Indirectos[[#This Row],[Año Económico]]=Tipo_Cambio[Año])*(Tipo_Cambio[$/U$S]))</f>
        <v>0</v>
      </c>
      <c r="AF30" s="891">
        <f>SUMPRODUCT((Indirectos[[#This Row],[Mes Económico]]=Tipo_Cambio[Mes])*(Indirectos[[#This Row],[Año Económico]]=Tipo_Cambio[Año])*(Tipo_Cambio[Actualización]))</f>
        <v>0</v>
      </c>
      <c r="AG30" s="890">
        <f>IF(ISNUMBER(Indirectos[[#This Row],[Fecha Financiero]])=TRUE,MONTH(Indirectos[[#This Row],[Fecha Financiero]]),0)</f>
        <v>0</v>
      </c>
      <c r="AH30" s="890">
        <f>IF(ISNUMBER(Indirectos[[#This Row],[Fecha Financiero]])=TRUE,YEAR(Indirectos[[#This Row],[Fecha Financiero]]),0)</f>
        <v>0</v>
      </c>
      <c r="AI30" s="891">
        <f>SUMPRODUCT((Indirectos[[#This Row],[Mes Financiero]]=Tipo_Cambio[Mes])*(Indirectos[[#This Row],[Año Financiero]]=Tipo_Cambio[Año])*(Tipo_Cambio[$/U$S]))</f>
        <v>0</v>
      </c>
      <c r="AJ30" s="888">
        <f>SUMPRODUCT((Indirectos[[#This Row],[Mes Financiero]]=Tipo_Cambio[Mes])*(Indirectos[[#This Row],[Año Financiero]]=Tipo_Cambio[Año])*(Tipo_Cambio[Actualización]))</f>
        <v>0</v>
      </c>
      <c r="AK30" s="916">
        <f>IF(Económico!$F$4=0,0,Indirectos[Centro de Costo])</f>
        <v>0</v>
      </c>
    </row>
    <row r="31" spans="4:37" x14ac:dyDescent="0.25">
      <c r="D31" s="528"/>
      <c r="E31" s="522"/>
      <c r="F31" s="869" t="str">
        <f t="shared" si="0"/>
        <v>2018-2019</v>
      </c>
      <c r="G31" s="481" t="s">
        <v>222</v>
      </c>
      <c r="H31" s="481"/>
      <c r="I31" s="481" t="s">
        <v>6</v>
      </c>
      <c r="J31" s="481"/>
      <c r="K31" s="533"/>
      <c r="L31" s="484"/>
      <c r="M31" s="491"/>
      <c r="N31" s="523"/>
      <c r="O31" s="485"/>
      <c r="P31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31" s="913">
        <f>IFERROR(Indirectos[[#This Row],[Económico $Corrientes]]/Indirectos[[#This Row],[Indexación Económico]],0)</f>
        <v>0</v>
      </c>
      <c r="R31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31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31" s="913">
        <f>IFERROR(Indirectos[[#This Row],[Financiero $Corrientes]]/Indirectos[[#This Row],[Indexación Financiero]],0)</f>
        <v>0</v>
      </c>
      <c r="U31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31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31" s="890">
        <f>IFERROR(Indirectos[[#This Row],[Intereses $Corrientes]]/Indirectos[[#This Row],[Indexación Financiero]],0)</f>
        <v>0</v>
      </c>
      <c r="X31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31" s="915" t="str">
        <f>IFERROR(INDEX(Costos_Indirectos_Cuentas[],MATCH(Indirectos[[#This Row],[Cuenta Contable]],Costos_Indirectos_Cuentas[Cuenta Contable],0),2),0)</f>
        <v>Egreso</v>
      </c>
      <c r="Z31" s="887" t="str">
        <f>IFERROR(INDEX(Tabla9[],MATCH(Indirectos[[#This Row],[Movimiento]],Tabla9[Movimientos],0),2),0)</f>
        <v>Si</v>
      </c>
      <c r="AA31" s="918" t="str">
        <f>IFERROR(INDEX(Costos_Indirectos_Cuentas[],MATCH(Indirectos[[#This Row],[Cuenta Contable]],Costos_Indirectos_Cuentas[Cuenta Contable],0),3),0)</f>
        <v>Si</v>
      </c>
      <c r="AB31" s="889" t="str">
        <f>IFERROR(INDEX(Tabla9[],MATCH(Indirectos[[#This Row],[Movimiento]],Tabla9[Movimientos],0),3),0)</f>
        <v>(-)</v>
      </c>
      <c r="AC31" s="884">
        <f>IF(Indirectos[[#This Row],[Fecha Económico]]=0,0,MONTH(Indirectos[[#This Row],[Fecha Económico]]))</f>
        <v>0</v>
      </c>
      <c r="AD31" s="890">
        <f>IF(Indirectos[[#This Row],[Fecha Económico]]=0,0,YEAR(Indirectos[[#This Row],[Fecha Económico]]))</f>
        <v>0</v>
      </c>
      <c r="AE31" s="891">
        <f>SUMPRODUCT((Indirectos[[#This Row],[Mes Económico]]=Tipo_Cambio[Mes])*(Indirectos[[#This Row],[Año Económico]]=Tipo_Cambio[Año])*(Tipo_Cambio[$/U$S]))</f>
        <v>0</v>
      </c>
      <c r="AF31" s="891">
        <f>SUMPRODUCT((Indirectos[[#This Row],[Mes Económico]]=Tipo_Cambio[Mes])*(Indirectos[[#This Row],[Año Económico]]=Tipo_Cambio[Año])*(Tipo_Cambio[Actualización]))</f>
        <v>0</v>
      </c>
      <c r="AG31" s="890">
        <f>IF(ISNUMBER(Indirectos[[#This Row],[Fecha Financiero]])=TRUE,MONTH(Indirectos[[#This Row],[Fecha Financiero]]),0)</f>
        <v>0</v>
      </c>
      <c r="AH31" s="890">
        <f>IF(ISNUMBER(Indirectos[[#This Row],[Fecha Financiero]])=TRUE,YEAR(Indirectos[[#This Row],[Fecha Financiero]]),0)</f>
        <v>0</v>
      </c>
      <c r="AI31" s="891">
        <f>SUMPRODUCT((Indirectos[[#This Row],[Mes Financiero]]=Tipo_Cambio[Mes])*(Indirectos[[#This Row],[Año Financiero]]=Tipo_Cambio[Año])*(Tipo_Cambio[$/U$S]))</f>
        <v>0</v>
      </c>
      <c r="AJ31" s="888">
        <f>SUMPRODUCT((Indirectos[[#This Row],[Mes Financiero]]=Tipo_Cambio[Mes])*(Indirectos[[#This Row],[Año Financiero]]=Tipo_Cambio[Año])*(Tipo_Cambio[Actualización]))</f>
        <v>0</v>
      </c>
      <c r="AK31" s="916">
        <f>IF(Económico!$F$4=0,0,Indirectos[Centro de Costo])</f>
        <v>0</v>
      </c>
    </row>
    <row r="32" spans="4:37" x14ac:dyDescent="0.25">
      <c r="D32" s="528"/>
      <c r="E32" s="522"/>
      <c r="F32" s="869" t="str">
        <f t="shared" si="0"/>
        <v>2018-2019</v>
      </c>
      <c r="G32" s="481" t="s">
        <v>222</v>
      </c>
      <c r="H32" s="481"/>
      <c r="I32" s="481" t="s">
        <v>6</v>
      </c>
      <c r="J32" s="481"/>
      <c r="K32" s="533"/>
      <c r="L32" s="484"/>
      <c r="M32" s="491"/>
      <c r="N32" s="523"/>
      <c r="O32" s="485"/>
      <c r="P32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32" s="913">
        <f>IFERROR(Indirectos[[#This Row],[Económico $Corrientes]]/Indirectos[[#This Row],[Indexación Económico]],0)</f>
        <v>0</v>
      </c>
      <c r="R32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32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32" s="913">
        <f>IFERROR(Indirectos[[#This Row],[Financiero $Corrientes]]/Indirectos[[#This Row],[Indexación Financiero]],0)</f>
        <v>0</v>
      </c>
      <c r="U32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32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32" s="890">
        <f>IFERROR(Indirectos[[#This Row],[Intereses $Corrientes]]/Indirectos[[#This Row],[Indexación Financiero]],0)</f>
        <v>0</v>
      </c>
      <c r="X32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32" s="915" t="str">
        <f>IFERROR(INDEX(Costos_Indirectos_Cuentas[],MATCH(Indirectos[[#This Row],[Cuenta Contable]],Costos_Indirectos_Cuentas[Cuenta Contable],0),2),0)</f>
        <v>Egreso</v>
      </c>
      <c r="Z32" s="887" t="str">
        <f>IFERROR(INDEX(Tabla9[],MATCH(Indirectos[[#This Row],[Movimiento]],Tabla9[Movimientos],0),2),0)</f>
        <v>Si</v>
      </c>
      <c r="AA32" s="918" t="str">
        <f>IFERROR(INDEX(Costos_Indirectos_Cuentas[],MATCH(Indirectos[[#This Row],[Cuenta Contable]],Costos_Indirectos_Cuentas[Cuenta Contable],0),3),0)</f>
        <v>Si</v>
      </c>
      <c r="AB32" s="889" t="str">
        <f>IFERROR(INDEX(Tabla9[],MATCH(Indirectos[[#This Row],[Movimiento]],Tabla9[Movimientos],0),3),0)</f>
        <v>(-)</v>
      </c>
      <c r="AC32" s="884">
        <f>IF(Indirectos[[#This Row],[Fecha Económico]]=0,0,MONTH(Indirectos[[#This Row],[Fecha Económico]]))</f>
        <v>0</v>
      </c>
      <c r="AD32" s="890">
        <f>IF(Indirectos[[#This Row],[Fecha Económico]]=0,0,YEAR(Indirectos[[#This Row],[Fecha Económico]]))</f>
        <v>0</v>
      </c>
      <c r="AE32" s="891">
        <f>SUMPRODUCT((Indirectos[[#This Row],[Mes Económico]]=Tipo_Cambio[Mes])*(Indirectos[[#This Row],[Año Económico]]=Tipo_Cambio[Año])*(Tipo_Cambio[$/U$S]))</f>
        <v>0</v>
      </c>
      <c r="AF32" s="891">
        <f>SUMPRODUCT((Indirectos[[#This Row],[Mes Económico]]=Tipo_Cambio[Mes])*(Indirectos[[#This Row],[Año Económico]]=Tipo_Cambio[Año])*(Tipo_Cambio[Actualización]))</f>
        <v>0</v>
      </c>
      <c r="AG32" s="890">
        <f>IF(ISNUMBER(Indirectos[[#This Row],[Fecha Financiero]])=TRUE,MONTH(Indirectos[[#This Row],[Fecha Financiero]]),0)</f>
        <v>0</v>
      </c>
      <c r="AH32" s="890">
        <f>IF(ISNUMBER(Indirectos[[#This Row],[Fecha Financiero]])=TRUE,YEAR(Indirectos[[#This Row],[Fecha Financiero]]),0)</f>
        <v>0</v>
      </c>
      <c r="AI32" s="891">
        <f>SUMPRODUCT((Indirectos[[#This Row],[Mes Financiero]]=Tipo_Cambio[Mes])*(Indirectos[[#This Row],[Año Financiero]]=Tipo_Cambio[Año])*(Tipo_Cambio[$/U$S]))</f>
        <v>0</v>
      </c>
      <c r="AJ32" s="888">
        <f>SUMPRODUCT((Indirectos[[#This Row],[Mes Financiero]]=Tipo_Cambio[Mes])*(Indirectos[[#This Row],[Año Financiero]]=Tipo_Cambio[Año])*(Tipo_Cambio[Actualización]))</f>
        <v>0</v>
      </c>
      <c r="AK32" s="916">
        <f>IF(Económico!$F$4=0,0,Indirectos[Centro de Costo])</f>
        <v>0</v>
      </c>
    </row>
    <row r="33" spans="2:37" ht="15.75" thickBot="1" x14ac:dyDescent="0.3">
      <c r="B33" s="373" t="s">
        <v>101</v>
      </c>
      <c r="D33" s="502"/>
      <c r="E33" s="524"/>
      <c r="F33" s="1075" t="str">
        <f t="shared" si="0"/>
        <v>2018-2019</v>
      </c>
      <c r="G33" s="525"/>
      <c r="H33" s="525"/>
      <c r="I33" s="525" t="s">
        <v>6</v>
      </c>
      <c r="J33" s="525"/>
      <c r="K33" s="543"/>
      <c r="L33" s="506"/>
      <c r="M33" s="525"/>
      <c r="N33" s="527"/>
      <c r="O33" s="507"/>
      <c r="P33" s="106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33" s="1064">
        <f>IFERROR(Indirectos[[#This Row],[Económico $Corrientes]]/Indirectos[[#This Row],[Indexación Económico]],0)</f>
        <v>0</v>
      </c>
      <c r="R33" s="1065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33" s="106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33" s="1064">
        <f>IFERROR(Indirectos[[#This Row],[Financiero $Corrientes]]/Indirectos[[#This Row],[Indexación Financiero]],0)</f>
        <v>0</v>
      </c>
      <c r="U33" s="1066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33" s="1067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33" s="1068">
        <f>IFERROR(Indirectos[[#This Row],[Intereses $Corrientes]]/Indirectos[[#This Row],[Indexación Financiero]],0)</f>
        <v>0</v>
      </c>
      <c r="X33" s="1068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33" s="1069">
        <f>IFERROR(INDEX(Costos_Indirectos_Cuentas[],MATCH(Indirectos[[#This Row],[Cuenta Contable]],Costos_Indirectos_Cuentas[Cuenta Contable],0),2),0)</f>
        <v>0</v>
      </c>
      <c r="Z33" s="1070">
        <f>IFERROR(INDEX(Tabla9[],MATCH(Indirectos[[#This Row],[Movimiento]],Tabla9[Movimientos],0),2),0)</f>
        <v>0</v>
      </c>
      <c r="AA33" s="1071">
        <f>IFERROR(INDEX(Costos_Indirectos_Cuentas[],MATCH(Indirectos[[#This Row],[Cuenta Contable]],Costos_Indirectos_Cuentas[Cuenta Contable],0),3),0)</f>
        <v>0</v>
      </c>
      <c r="AB33" s="1072">
        <f>IFERROR(INDEX(Tabla9[],MATCH(Indirectos[[#This Row],[Movimiento]],Tabla9[Movimientos],0),3),0)</f>
        <v>0</v>
      </c>
      <c r="AC33" s="1067">
        <f>IF(Indirectos[[#This Row],[Fecha Económico]]=0,0,MONTH(Indirectos[[#This Row],[Fecha Económico]]))</f>
        <v>0</v>
      </c>
      <c r="AD33" s="1068">
        <f>IF(Indirectos[[#This Row],[Fecha Económico]]=0,0,YEAR(Indirectos[[#This Row],[Fecha Económico]]))</f>
        <v>0</v>
      </c>
      <c r="AE33" s="1072">
        <f>SUMPRODUCT((Indirectos[[#This Row],[Mes Económico]]=Tipo_Cambio[Mes])*(Indirectos[[#This Row],[Año Económico]]=Tipo_Cambio[Año])*(Tipo_Cambio[$/U$S]))</f>
        <v>0</v>
      </c>
      <c r="AF33" s="1072">
        <f>SUMPRODUCT((Indirectos[[#This Row],[Mes Económico]]=Tipo_Cambio[Mes])*(Indirectos[[#This Row],[Año Económico]]=Tipo_Cambio[Año])*(Tipo_Cambio[Actualización]))</f>
        <v>0</v>
      </c>
      <c r="AG33" s="1068">
        <f>IF(ISNUMBER(Indirectos[[#This Row],[Fecha Financiero]])=TRUE,MONTH(Indirectos[[#This Row],[Fecha Financiero]]),0)</f>
        <v>0</v>
      </c>
      <c r="AH33" s="1068">
        <f>IF(ISNUMBER(Indirectos[[#This Row],[Fecha Financiero]])=TRUE,YEAR(Indirectos[[#This Row],[Fecha Financiero]]),0)</f>
        <v>0</v>
      </c>
      <c r="AI33" s="1072">
        <f>SUMPRODUCT((Indirectos[[#This Row],[Mes Financiero]]=Tipo_Cambio[Mes])*(Indirectos[[#This Row],[Año Financiero]]=Tipo_Cambio[Año])*(Tipo_Cambio[$/U$S]))</f>
        <v>0</v>
      </c>
      <c r="AJ33" s="1073">
        <f>SUMPRODUCT((Indirectos[[#This Row],[Mes Financiero]]=Tipo_Cambio[Mes])*(Indirectos[[#This Row],[Año Financiero]]=Tipo_Cambio[Año])*(Tipo_Cambio[Actualización]))</f>
        <v>0</v>
      </c>
      <c r="AK33" s="1074">
        <f>IF(Económico!$F$4=0,0,Indirectos[Centro de Costo])</f>
        <v>0</v>
      </c>
    </row>
    <row r="34" spans="2:37" ht="15.75" thickTop="1" x14ac:dyDescent="0.25">
      <c r="B34" s="437" t="s">
        <v>5</v>
      </c>
      <c r="D34" s="478">
        <f>DATE(LEFT(Indirectos[[#This Row],[Campaña]],4),7,1)</f>
        <v>43282</v>
      </c>
      <c r="E34" s="493"/>
      <c r="F34" s="866" t="str">
        <f t="shared" si="0"/>
        <v>2018-2019</v>
      </c>
      <c r="G34" s="481" t="s">
        <v>107</v>
      </c>
      <c r="H34" s="481"/>
      <c r="I34" s="481" t="s">
        <v>5</v>
      </c>
      <c r="J34" s="481"/>
      <c r="K34" s="533"/>
      <c r="L34" s="484"/>
      <c r="M34" s="491"/>
      <c r="N34" s="523"/>
      <c r="O34" s="485"/>
      <c r="P34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34" s="913">
        <f>IFERROR(Indirectos[[#This Row],[Económico $Corrientes]]/Indirectos[[#This Row],[Indexación Económico]],0)</f>
        <v>0</v>
      </c>
      <c r="R34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34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34" s="913">
        <f>IFERROR(Indirectos[[#This Row],[Financiero $Corrientes]]/Indirectos[[#This Row],[Indexación Financiero]],0)</f>
        <v>0</v>
      </c>
      <c r="U34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34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34" s="890">
        <f>IFERROR(Indirectos[[#This Row],[Intereses $Corrientes]]/Indirectos[[#This Row],[Indexación Financiero]],0)</f>
        <v>0</v>
      </c>
      <c r="X34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34" s="915" t="str">
        <f>IFERROR(INDEX(Costos_Indirectos_Cuentas[],MATCH(Indirectos[[#This Row],[Cuenta Contable]],Costos_Indirectos_Cuentas[Cuenta Contable],0),2),0)</f>
        <v>Egreso</v>
      </c>
      <c r="Z34" s="887" t="str">
        <f>IFERROR(INDEX(Tabla9[],MATCH(Indirectos[[#This Row],[Movimiento]],Tabla9[Movimientos],0),2),0)</f>
        <v>Si</v>
      </c>
      <c r="AA34" s="918" t="str">
        <f>IFERROR(INDEX(Costos_Indirectos_Cuentas[],MATCH(Indirectos[[#This Row],[Cuenta Contable]],Costos_Indirectos_Cuentas[Cuenta Contable],0),3),0)</f>
        <v>Si</v>
      </c>
      <c r="AB34" s="889" t="str">
        <f>IFERROR(INDEX(Tabla9[],MATCH(Indirectos[[#This Row],[Movimiento]],Tabla9[Movimientos],0),3),0)</f>
        <v>(-)</v>
      </c>
      <c r="AC34" s="884">
        <f>IF(Indirectos[[#This Row],[Fecha Económico]]=0,0,MONTH(Indirectos[[#This Row],[Fecha Económico]]))</f>
        <v>7</v>
      </c>
      <c r="AD34" s="890">
        <f>IF(Indirectos[[#This Row],[Fecha Económico]]=0,0,YEAR(Indirectos[[#This Row],[Fecha Económico]]))</f>
        <v>2018</v>
      </c>
      <c r="AE34" s="891">
        <f>SUMPRODUCT((Indirectos[[#This Row],[Mes Económico]]=Tipo_Cambio[Mes])*(Indirectos[[#This Row],[Año Económico]]=Tipo_Cambio[Año])*(Tipo_Cambio[$/U$S]))</f>
        <v>22</v>
      </c>
      <c r="AF34" s="891">
        <f>SUMPRODUCT((Indirectos[[#This Row],[Mes Económico]]=Tipo_Cambio[Mes])*(Indirectos[[#This Row],[Año Económico]]=Tipo_Cambio[Año])*(Tipo_Cambio[Actualización]))</f>
        <v>1</v>
      </c>
      <c r="AG34" s="890">
        <f>IF(ISNUMBER(Indirectos[[#This Row],[Fecha Financiero]])=TRUE,MONTH(Indirectos[[#This Row],[Fecha Financiero]]),0)</f>
        <v>0</v>
      </c>
      <c r="AH34" s="890">
        <f>IF(ISNUMBER(Indirectos[[#This Row],[Fecha Financiero]])=TRUE,YEAR(Indirectos[[#This Row],[Fecha Financiero]]),0)</f>
        <v>0</v>
      </c>
      <c r="AI34" s="891">
        <f>SUMPRODUCT((Indirectos[[#This Row],[Mes Financiero]]=Tipo_Cambio[Mes])*(Indirectos[[#This Row],[Año Financiero]]=Tipo_Cambio[Año])*(Tipo_Cambio[$/U$S]))</f>
        <v>0</v>
      </c>
      <c r="AJ34" s="888">
        <f>SUMPRODUCT((Indirectos[[#This Row],[Mes Financiero]]=Tipo_Cambio[Mes])*(Indirectos[[#This Row],[Año Financiero]]=Tipo_Cambio[Año])*(Tipo_Cambio[Actualización]))</f>
        <v>0</v>
      </c>
      <c r="AK34" s="916">
        <f>IF(Económico!$F$4=0,0,Indirectos[Centro de Costo])</f>
        <v>0</v>
      </c>
    </row>
    <row r="35" spans="2:37" x14ac:dyDescent="0.25">
      <c r="D35" s="478">
        <f>DATE(IF(MONTH(D34)=1,YEAR(D34+1),YEAR(D34)),MONTH(D34)+1,1)</f>
        <v>43313</v>
      </c>
      <c r="E35" s="493"/>
      <c r="F35" s="866" t="str">
        <f t="shared" si="0"/>
        <v>2018-2019</v>
      </c>
      <c r="G35" s="481" t="s">
        <v>107</v>
      </c>
      <c r="H35" s="481"/>
      <c r="I35" s="481" t="s">
        <v>5</v>
      </c>
      <c r="J35" s="481"/>
      <c r="K35" s="533"/>
      <c r="L35" s="484"/>
      <c r="M35" s="491"/>
      <c r="N35" s="523"/>
      <c r="O35" s="485"/>
      <c r="P35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35" s="913">
        <f>IFERROR(Indirectos[[#This Row],[Económico $Corrientes]]/Indirectos[[#This Row],[Indexación Económico]],0)</f>
        <v>0</v>
      </c>
      <c r="R35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35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35" s="913">
        <f>IFERROR(Indirectos[[#This Row],[Financiero $Corrientes]]/Indirectos[[#This Row],[Indexación Financiero]],0)</f>
        <v>0</v>
      </c>
      <c r="U35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35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35" s="890">
        <f>IFERROR(Indirectos[[#This Row],[Intereses $Corrientes]]/Indirectos[[#This Row],[Indexación Financiero]],0)</f>
        <v>0</v>
      </c>
      <c r="X35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35" s="915" t="str">
        <f>IFERROR(INDEX(Costos_Indirectos_Cuentas[],MATCH(Indirectos[[#This Row],[Cuenta Contable]],Costos_Indirectos_Cuentas[Cuenta Contable],0),2),0)</f>
        <v>Egreso</v>
      </c>
      <c r="Z35" s="887" t="str">
        <f>IFERROR(INDEX(Tabla9[],MATCH(Indirectos[[#This Row],[Movimiento]],Tabla9[Movimientos],0),2),0)</f>
        <v>Si</v>
      </c>
      <c r="AA35" s="918" t="str">
        <f>IFERROR(INDEX(Costos_Indirectos_Cuentas[],MATCH(Indirectos[[#This Row],[Cuenta Contable]],Costos_Indirectos_Cuentas[Cuenta Contable],0),3),0)</f>
        <v>Si</v>
      </c>
      <c r="AB35" s="889" t="str">
        <f>IFERROR(INDEX(Tabla9[],MATCH(Indirectos[[#This Row],[Movimiento]],Tabla9[Movimientos],0),3),0)</f>
        <v>(-)</v>
      </c>
      <c r="AC35" s="884">
        <f>IF(Indirectos[[#This Row],[Fecha Económico]]=0,0,MONTH(Indirectos[[#This Row],[Fecha Económico]]))</f>
        <v>8</v>
      </c>
      <c r="AD35" s="890">
        <f>IF(Indirectos[[#This Row],[Fecha Económico]]=0,0,YEAR(Indirectos[[#This Row],[Fecha Económico]]))</f>
        <v>2018</v>
      </c>
      <c r="AE35" s="891">
        <f>SUMPRODUCT((Indirectos[[#This Row],[Mes Económico]]=Tipo_Cambio[Mes])*(Indirectos[[#This Row],[Año Económico]]=Tipo_Cambio[Año])*(Tipo_Cambio[$/U$S]))</f>
        <v>22.22</v>
      </c>
      <c r="AF35" s="891">
        <f>SUMPRODUCT((Indirectos[[#This Row],[Mes Económico]]=Tipo_Cambio[Mes])*(Indirectos[[#This Row],[Año Económico]]=Tipo_Cambio[Año])*(Tipo_Cambio[Actualización]))</f>
        <v>1.02</v>
      </c>
      <c r="AG35" s="890">
        <f>IF(ISNUMBER(Indirectos[[#This Row],[Fecha Financiero]])=TRUE,MONTH(Indirectos[[#This Row],[Fecha Financiero]]),0)</f>
        <v>0</v>
      </c>
      <c r="AH35" s="890">
        <f>IF(ISNUMBER(Indirectos[[#This Row],[Fecha Financiero]])=TRUE,YEAR(Indirectos[[#This Row],[Fecha Financiero]]),0)</f>
        <v>0</v>
      </c>
      <c r="AI35" s="891">
        <f>SUMPRODUCT((Indirectos[[#This Row],[Mes Financiero]]=Tipo_Cambio[Mes])*(Indirectos[[#This Row],[Año Financiero]]=Tipo_Cambio[Año])*(Tipo_Cambio[$/U$S]))</f>
        <v>0</v>
      </c>
      <c r="AJ35" s="888">
        <f>SUMPRODUCT((Indirectos[[#This Row],[Mes Financiero]]=Tipo_Cambio[Mes])*(Indirectos[[#This Row],[Año Financiero]]=Tipo_Cambio[Año])*(Tipo_Cambio[Actualización]))</f>
        <v>0</v>
      </c>
      <c r="AK35" s="916">
        <f>IF(Económico!$F$4=0,0,Indirectos[Centro de Costo])</f>
        <v>0</v>
      </c>
    </row>
    <row r="36" spans="2:37" x14ac:dyDescent="0.25">
      <c r="D36" s="478">
        <f t="shared" ref="D36:D45" si="3">DATE(IF(MONTH(D35)=1,YEAR(D35+1),YEAR(D35)),MONTH(D35)+1,1)</f>
        <v>43344</v>
      </c>
      <c r="E36" s="493"/>
      <c r="F36" s="866" t="str">
        <f t="shared" si="0"/>
        <v>2018-2019</v>
      </c>
      <c r="G36" s="481" t="s">
        <v>107</v>
      </c>
      <c r="H36" s="481"/>
      <c r="I36" s="481" t="s">
        <v>5</v>
      </c>
      <c r="J36" s="481"/>
      <c r="K36" s="533"/>
      <c r="L36" s="484"/>
      <c r="M36" s="491"/>
      <c r="N36" s="523"/>
      <c r="O36" s="485"/>
      <c r="P36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36" s="913">
        <f>IFERROR(Indirectos[[#This Row],[Económico $Corrientes]]/Indirectos[[#This Row],[Indexación Económico]],0)</f>
        <v>0</v>
      </c>
      <c r="R36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36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36" s="913">
        <f>IFERROR(Indirectos[[#This Row],[Financiero $Corrientes]]/Indirectos[[#This Row],[Indexación Financiero]],0)</f>
        <v>0</v>
      </c>
      <c r="U36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36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36" s="890">
        <f>IFERROR(Indirectos[[#This Row],[Intereses $Corrientes]]/Indirectos[[#This Row],[Indexación Financiero]],0)</f>
        <v>0</v>
      </c>
      <c r="X36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36" s="915" t="str">
        <f>IFERROR(INDEX(Costos_Indirectos_Cuentas[],MATCH(Indirectos[[#This Row],[Cuenta Contable]],Costos_Indirectos_Cuentas[Cuenta Contable],0),2),0)</f>
        <v>Egreso</v>
      </c>
      <c r="Z36" s="887" t="str">
        <f>IFERROR(INDEX(Tabla9[],MATCH(Indirectos[[#This Row],[Movimiento]],Tabla9[Movimientos],0),2),0)</f>
        <v>Si</v>
      </c>
      <c r="AA36" s="918" t="str">
        <f>IFERROR(INDEX(Costos_Indirectos_Cuentas[],MATCH(Indirectos[[#This Row],[Cuenta Contable]],Costos_Indirectos_Cuentas[Cuenta Contable],0),3),0)</f>
        <v>Si</v>
      </c>
      <c r="AB36" s="889" t="str">
        <f>IFERROR(INDEX(Tabla9[],MATCH(Indirectos[[#This Row],[Movimiento]],Tabla9[Movimientos],0),3),0)</f>
        <v>(-)</v>
      </c>
      <c r="AC36" s="884">
        <f>IF(Indirectos[[#This Row],[Fecha Económico]]=0,0,MONTH(Indirectos[[#This Row],[Fecha Económico]]))</f>
        <v>9</v>
      </c>
      <c r="AD36" s="890">
        <f>IF(Indirectos[[#This Row],[Fecha Económico]]=0,0,YEAR(Indirectos[[#This Row],[Fecha Económico]]))</f>
        <v>2018</v>
      </c>
      <c r="AE36" s="891">
        <f>SUMPRODUCT((Indirectos[[#This Row],[Mes Económico]]=Tipo_Cambio[Mes])*(Indirectos[[#This Row],[Año Económico]]=Tipo_Cambio[Año])*(Tipo_Cambio[$/U$S]))</f>
        <v>22.4422</v>
      </c>
      <c r="AF36" s="891">
        <f>SUMPRODUCT((Indirectos[[#This Row],[Mes Económico]]=Tipo_Cambio[Mes])*(Indirectos[[#This Row],[Año Económico]]=Tipo_Cambio[Año])*(Tipo_Cambio[Actualización]))</f>
        <v>1.0404</v>
      </c>
      <c r="AG36" s="890">
        <f>IF(ISNUMBER(Indirectos[[#This Row],[Fecha Financiero]])=TRUE,MONTH(Indirectos[[#This Row],[Fecha Financiero]]),0)</f>
        <v>0</v>
      </c>
      <c r="AH36" s="890">
        <f>IF(ISNUMBER(Indirectos[[#This Row],[Fecha Financiero]])=TRUE,YEAR(Indirectos[[#This Row],[Fecha Financiero]]),0)</f>
        <v>0</v>
      </c>
      <c r="AI36" s="891">
        <f>SUMPRODUCT((Indirectos[[#This Row],[Mes Financiero]]=Tipo_Cambio[Mes])*(Indirectos[[#This Row],[Año Financiero]]=Tipo_Cambio[Año])*(Tipo_Cambio[$/U$S]))</f>
        <v>0</v>
      </c>
      <c r="AJ36" s="888">
        <f>SUMPRODUCT((Indirectos[[#This Row],[Mes Financiero]]=Tipo_Cambio[Mes])*(Indirectos[[#This Row],[Año Financiero]]=Tipo_Cambio[Año])*(Tipo_Cambio[Actualización]))</f>
        <v>0</v>
      </c>
      <c r="AK36" s="916">
        <f>IF(Económico!$F$4=0,0,Indirectos[Centro de Costo])</f>
        <v>0</v>
      </c>
    </row>
    <row r="37" spans="2:37" x14ac:dyDescent="0.25">
      <c r="D37" s="478">
        <f t="shared" si="3"/>
        <v>43374</v>
      </c>
      <c r="E37" s="493"/>
      <c r="F37" s="866" t="str">
        <f t="shared" ref="F37:F68" si="4">Campaña_Actual</f>
        <v>2018-2019</v>
      </c>
      <c r="G37" s="481" t="s">
        <v>107</v>
      </c>
      <c r="H37" s="481"/>
      <c r="I37" s="481" t="s">
        <v>5</v>
      </c>
      <c r="J37" s="481"/>
      <c r="K37" s="533"/>
      <c r="L37" s="484"/>
      <c r="M37" s="491"/>
      <c r="N37" s="523"/>
      <c r="O37" s="485"/>
      <c r="P37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37" s="913">
        <f>IFERROR(Indirectos[[#This Row],[Económico $Corrientes]]/Indirectos[[#This Row],[Indexación Económico]],0)</f>
        <v>0</v>
      </c>
      <c r="R37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37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37" s="913">
        <f>IFERROR(Indirectos[[#This Row],[Financiero $Corrientes]]/Indirectos[[#This Row],[Indexación Financiero]],0)</f>
        <v>0</v>
      </c>
      <c r="U37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37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37" s="890">
        <f>IFERROR(Indirectos[[#This Row],[Intereses $Corrientes]]/Indirectos[[#This Row],[Indexación Financiero]],0)</f>
        <v>0</v>
      </c>
      <c r="X37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37" s="915" t="str">
        <f>IFERROR(INDEX(Costos_Indirectos_Cuentas[],MATCH(Indirectos[[#This Row],[Cuenta Contable]],Costos_Indirectos_Cuentas[Cuenta Contable],0),2),0)</f>
        <v>Egreso</v>
      </c>
      <c r="Z37" s="887" t="str">
        <f>IFERROR(INDEX(Tabla9[],MATCH(Indirectos[[#This Row],[Movimiento]],Tabla9[Movimientos],0),2),0)</f>
        <v>Si</v>
      </c>
      <c r="AA37" s="918" t="str">
        <f>IFERROR(INDEX(Costos_Indirectos_Cuentas[],MATCH(Indirectos[[#This Row],[Cuenta Contable]],Costos_Indirectos_Cuentas[Cuenta Contable],0),3),0)</f>
        <v>Si</v>
      </c>
      <c r="AB37" s="889" t="str">
        <f>IFERROR(INDEX(Tabla9[],MATCH(Indirectos[[#This Row],[Movimiento]],Tabla9[Movimientos],0),3),0)</f>
        <v>(-)</v>
      </c>
      <c r="AC37" s="884">
        <f>IF(Indirectos[[#This Row],[Fecha Económico]]=0,0,MONTH(Indirectos[[#This Row],[Fecha Económico]]))</f>
        <v>10</v>
      </c>
      <c r="AD37" s="890">
        <f>IF(Indirectos[[#This Row],[Fecha Económico]]=0,0,YEAR(Indirectos[[#This Row],[Fecha Económico]]))</f>
        <v>2018</v>
      </c>
      <c r="AE37" s="891">
        <f>SUMPRODUCT((Indirectos[[#This Row],[Mes Económico]]=Tipo_Cambio[Mes])*(Indirectos[[#This Row],[Año Económico]]=Tipo_Cambio[Año])*(Tipo_Cambio[$/U$S]))</f>
        <v>22.666622</v>
      </c>
      <c r="AF37" s="891">
        <f>SUMPRODUCT((Indirectos[[#This Row],[Mes Económico]]=Tipo_Cambio[Mes])*(Indirectos[[#This Row],[Año Económico]]=Tipo_Cambio[Año])*(Tipo_Cambio[Actualización]))</f>
        <v>1.0612079999999999</v>
      </c>
      <c r="AG37" s="890">
        <f>IF(ISNUMBER(Indirectos[[#This Row],[Fecha Financiero]])=TRUE,MONTH(Indirectos[[#This Row],[Fecha Financiero]]),0)</f>
        <v>0</v>
      </c>
      <c r="AH37" s="890">
        <f>IF(ISNUMBER(Indirectos[[#This Row],[Fecha Financiero]])=TRUE,YEAR(Indirectos[[#This Row],[Fecha Financiero]]),0)</f>
        <v>0</v>
      </c>
      <c r="AI37" s="891">
        <f>SUMPRODUCT((Indirectos[[#This Row],[Mes Financiero]]=Tipo_Cambio[Mes])*(Indirectos[[#This Row],[Año Financiero]]=Tipo_Cambio[Año])*(Tipo_Cambio[$/U$S]))</f>
        <v>0</v>
      </c>
      <c r="AJ37" s="888">
        <f>SUMPRODUCT((Indirectos[[#This Row],[Mes Financiero]]=Tipo_Cambio[Mes])*(Indirectos[[#This Row],[Año Financiero]]=Tipo_Cambio[Año])*(Tipo_Cambio[Actualización]))</f>
        <v>0</v>
      </c>
      <c r="AK37" s="916">
        <f>IF(Económico!$F$4=0,0,Indirectos[Centro de Costo])</f>
        <v>0</v>
      </c>
    </row>
    <row r="38" spans="2:37" x14ac:dyDescent="0.25">
      <c r="D38" s="478">
        <f t="shared" si="3"/>
        <v>43405</v>
      </c>
      <c r="E38" s="493"/>
      <c r="F38" s="866" t="str">
        <f t="shared" si="4"/>
        <v>2018-2019</v>
      </c>
      <c r="G38" s="481" t="s">
        <v>107</v>
      </c>
      <c r="H38" s="481"/>
      <c r="I38" s="481" t="s">
        <v>5</v>
      </c>
      <c r="J38" s="481"/>
      <c r="K38" s="533"/>
      <c r="L38" s="484"/>
      <c r="M38" s="491"/>
      <c r="N38" s="523"/>
      <c r="O38" s="485"/>
      <c r="P38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38" s="913">
        <f>IFERROR(Indirectos[[#This Row],[Económico $Corrientes]]/Indirectos[[#This Row],[Indexación Económico]],0)</f>
        <v>0</v>
      </c>
      <c r="R38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38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38" s="913">
        <f>IFERROR(Indirectos[[#This Row],[Financiero $Corrientes]]/Indirectos[[#This Row],[Indexación Financiero]],0)</f>
        <v>0</v>
      </c>
      <c r="U38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38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38" s="890">
        <f>IFERROR(Indirectos[[#This Row],[Intereses $Corrientes]]/Indirectos[[#This Row],[Indexación Financiero]],0)</f>
        <v>0</v>
      </c>
      <c r="X38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38" s="915" t="str">
        <f>IFERROR(INDEX(Costos_Indirectos_Cuentas[],MATCH(Indirectos[[#This Row],[Cuenta Contable]],Costos_Indirectos_Cuentas[Cuenta Contable],0),2),0)</f>
        <v>Egreso</v>
      </c>
      <c r="Z38" s="887" t="str">
        <f>IFERROR(INDEX(Tabla9[],MATCH(Indirectos[[#This Row],[Movimiento]],Tabla9[Movimientos],0),2),0)</f>
        <v>Si</v>
      </c>
      <c r="AA38" s="918" t="str">
        <f>IFERROR(INDEX(Costos_Indirectos_Cuentas[],MATCH(Indirectos[[#This Row],[Cuenta Contable]],Costos_Indirectos_Cuentas[Cuenta Contable],0),3),0)</f>
        <v>Si</v>
      </c>
      <c r="AB38" s="889" t="str">
        <f>IFERROR(INDEX(Tabla9[],MATCH(Indirectos[[#This Row],[Movimiento]],Tabla9[Movimientos],0),3),0)</f>
        <v>(-)</v>
      </c>
      <c r="AC38" s="884">
        <f>IF(Indirectos[[#This Row],[Fecha Económico]]=0,0,MONTH(Indirectos[[#This Row],[Fecha Económico]]))</f>
        <v>11</v>
      </c>
      <c r="AD38" s="890">
        <f>IF(Indirectos[[#This Row],[Fecha Económico]]=0,0,YEAR(Indirectos[[#This Row],[Fecha Económico]]))</f>
        <v>2018</v>
      </c>
      <c r="AE38" s="891">
        <f>SUMPRODUCT((Indirectos[[#This Row],[Mes Económico]]=Tipo_Cambio[Mes])*(Indirectos[[#This Row],[Año Económico]]=Tipo_Cambio[Año])*(Tipo_Cambio[$/U$S]))</f>
        <v>22.893288219999999</v>
      </c>
      <c r="AF38" s="891">
        <f>SUMPRODUCT((Indirectos[[#This Row],[Mes Económico]]=Tipo_Cambio[Mes])*(Indirectos[[#This Row],[Año Económico]]=Tipo_Cambio[Año])*(Tipo_Cambio[Actualización]))</f>
        <v>1.08243216</v>
      </c>
      <c r="AG38" s="890">
        <f>IF(ISNUMBER(Indirectos[[#This Row],[Fecha Financiero]])=TRUE,MONTH(Indirectos[[#This Row],[Fecha Financiero]]),0)</f>
        <v>0</v>
      </c>
      <c r="AH38" s="890">
        <f>IF(ISNUMBER(Indirectos[[#This Row],[Fecha Financiero]])=TRUE,YEAR(Indirectos[[#This Row],[Fecha Financiero]]),0)</f>
        <v>0</v>
      </c>
      <c r="AI38" s="891">
        <f>SUMPRODUCT((Indirectos[[#This Row],[Mes Financiero]]=Tipo_Cambio[Mes])*(Indirectos[[#This Row],[Año Financiero]]=Tipo_Cambio[Año])*(Tipo_Cambio[$/U$S]))</f>
        <v>0</v>
      </c>
      <c r="AJ38" s="888">
        <f>SUMPRODUCT((Indirectos[[#This Row],[Mes Financiero]]=Tipo_Cambio[Mes])*(Indirectos[[#This Row],[Año Financiero]]=Tipo_Cambio[Año])*(Tipo_Cambio[Actualización]))</f>
        <v>0</v>
      </c>
      <c r="AK38" s="916">
        <f>IF(Económico!$F$4=0,0,Indirectos[Centro de Costo])</f>
        <v>0</v>
      </c>
    </row>
    <row r="39" spans="2:37" x14ac:dyDescent="0.25">
      <c r="D39" s="478">
        <f t="shared" si="3"/>
        <v>43435</v>
      </c>
      <c r="E39" s="493"/>
      <c r="F39" s="866" t="str">
        <f t="shared" si="4"/>
        <v>2018-2019</v>
      </c>
      <c r="G39" s="481" t="s">
        <v>107</v>
      </c>
      <c r="H39" s="481"/>
      <c r="I39" s="481" t="s">
        <v>5</v>
      </c>
      <c r="J39" s="481"/>
      <c r="K39" s="533"/>
      <c r="L39" s="484"/>
      <c r="M39" s="491"/>
      <c r="N39" s="523"/>
      <c r="O39" s="485"/>
      <c r="P39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39" s="913">
        <f>IFERROR(Indirectos[[#This Row],[Económico $Corrientes]]/Indirectos[[#This Row],[Indexación Económico]],0)</f>
        <v>0</v>
      </c>
      <c r="R39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39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39" s="913">
        <f>IFERROR(Indirectos[[#This Row],[Financiero $Corrientes]]/Indirectos[[#This Row],[Indexación Financiero]],0)</f>
        <v>0</v>
      </c>
      <c r="U39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39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39" s="890">
        <f>IFERROR(Indirectos[[#This Row],[Intereses $Corrientes]]/Indirectos[[#This Row],[Indexación Financiero]],0)</f>
        <v>0</v>
      </c>
      <c r="X39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39" s="915" t="str">
        <f>IFERROR(INDEX(Costos_Indirectos_Cuentas[],MATCH(Indirectos[[#This Row],[Cuenta Contable]],Costos_Indirectos_Cuentas[Cuenta Contable],0),2),0)</f>
        <v>Egreso</v>
      </c>
      <c r="Z39" s="887" t="str">
        <f>IFERROR(INDEX(Tabla9[],MATCH(Indirectos[[#This Row],[Movimiento]],Tabla9[Movimientos],0),2),0)</f>
        <v>Si</v>
      </c>
      <c r="AA39" s="918" t="str">
        <f>IFERROR(INDEX(Costos_Indirectos_Cuentas[],MATCH(Indirectos[[#This Row],[Cuenta Contable]],Costos_Indirectos_Cuentas[Cuenta Contable],0),3),0)</f>
        <v>Si</v>
      </c>
      <c r="AB39" s="889" t="str">
        <f>IFERROR(INDEX(Tabla9[],MATCH(Indirectos[[#This Row],[Movimiento]],Tabla9[Movimientos],0),3),0)</f>
        <v>(-)</v>
      </c>
      <c r="AC39" s="884">
        <f>IF(Indirectos[[#This Row],[Fecha Económico]]=0,0,MONTH(Indirectos[[#This Row],[Fecha Económico]]))</f>
        <v>12</v>
      </c>
      <c r="AD39" s="890">
        <f>IF(Indirectos[[#This Row],[Fecha Económico]]=0,0,YEAR(Indirectos[[#This Row],[Fecha Económico]]))</f>
        <v>2018</v>
      </c>
      <c r="AE39" s="891">
        <f>SUMPRODUCT((Indirectos[[#This Row],[Mes Económico]]=Tipo_Cambio[Mes])*(Indirectos[[#This Row],[Año Económico]]=Tipo_Cambio[Año])*(Tipo_Cambio[$/U$S]))</f>
        <v>23.122221102199997</v>
      </c>
      <c r="AF39" s="891">
        <f>SUMPRODUCT((Indirectos[[#This Row],[Mes Económico]]=Tipo_Cambio[Mes])*(Indirectos[[#This Row],[Año Económico]]=Tipo_Cambio[Año])*(Tipo_Cambio[Actualización]))</f>
        <v>1.1040808032</v>
      </c>
      <c r="AG39" s="890">
        <f>IF(ISNUMBER(Indirectos[[#This Row],[Fecha Financiero]])=TRUE,MONTH(Indirectos[[#This Row],[Fecha Financiero]]),0)</f>
        <v>0</v>
      </c>
      <c r="AH39" s="890">
        <f>IF(ISNUMBER(Indirectos[[#This Row],[Fecha Financiero]])=TRUE,YEAR(Indirectos[[#This Row],[Fecha Financiero]]),0)</f>
        <v>0</v>
      </c>
      <c r="AI39" s="891">
        <f>SUMPRODUCT((Indirectos[[#This Row],[Mes Financiero]]=Tipo_Cambio[Mes])*(Indirectos[[#This Row],[Año Financiero]]=Tipo_Cambio[Año])*(Tipo_Cambio[$/U$S]))</f>
        <v>0</v>
      </c>
      <c r="AJ39" s="888">
        <f>SUMPRODUCT((Indirectos[[#This Row],[Mes Financiero]]=Tipo_Cambio[Mes])*(Indirectos[[#This Row],[Año Financiero]]=Tipo_Cambio[Año])*(Tipo_Cambio[Actualización]))</f>
        <v>0</v>
      </c>
      <c r="AK39" s="916">
        <f>IF(Económico!$F$4=0,0,Indirectos[Centro de Costo])</f>
        <v>0</v>
      </c>
    </row>
    <row r="40" spans="2:37" x14ac:dyDescent="0.25">
      <c r="D40" s="478">
        <f t="shared" si="3"/>
        <v>43466</v>
      </c>
      <c r="E40" s="493"/>
      <c r="F40" s="866" t="str">
        <f t="shared" si="4"/>
        <v>2018-2019</v>
      </c>
      <c r="G40" s="481" t="s">
        <v>107</v>
      </c>
      <c r="H40" s="481"/>
      <c r="I40" s="481" t="s">
        <v>5</v>
      </c>
      <c r="J40" s="481"/>
      <c r="K40" s="533"/>
      <c r="L40" s="484"/>
      <c r="M40" s="491"/>
      <c r="N40" s="523"/>
      <c r="O40" s="485"/>
      <c r="P40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40" s="913">
        <f>IFERROR(Indirectos[[#This Row],[Económico $Corrientes]]/Indirectos[[#This Row],[Indexación Económico]],0)</f>
        <v>0</v>
      </c>
      <c r="R40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40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40" s="913">
        <f>IFERROR(Indirectos[[#This Row],[Financiero $Corrientes]]/Indirectos[[#This Row],[Indexación Financiero]],0)</f>
        <v>0</v>
      </c>
      <c r="U40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40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40" s="890">
        <f>IFERROR(Indirectos[[#This Row],[Intereses $Corrientes]]/Indirectos[[#This Row],[Indexación Financiero]],0)</f>
        <v>0</v>
      </c>
      <c r="X40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40" s="915" t="str">
        <f>IFERROR(INDEX(Costos_Indirectos_Cuentas[],MATCH(Indirectos[[#This Row],[Cuenta Contable]],Costos_Indirectos_Cuentas[Cuenta Contable],0),2),0)</f>
        <v>Egreso</v>
      </c>
      <c r="Z40" s="887" t="str">
        <f>IFERROR(INDEX(Tabla9[],MATCH(Indirectos[[#This Row],[Movimiento]],Tabla9[Movimientos],0),2),0)</f>
        <v>Si</v>
      </c>
      <c r="AA40" s="918" t="str">
        <f>IFERROR(INDEX(Costos_Indirectos_Cuentas[],MATCH(Indirectos[[#This Row],[Cuenta Contable]],Costos_Indirectos_Cuentas[Cuenta Contable],0),3),0)</f>
        <v>Si</v>
      </c>
      <c r="AB40" s="889" t="str">
        <f>IFERROR(INDEX(Tabla9[],MATCH(Indirectos[[#This Row],[Movimiento]],Tabla9[Movimientos],0),3),0)</f>
        <v>(-)</v>
      </c>
      <c r="AC40" s="884">
        <f>IF(Indirectos[[#This Row],[Fecha Económico]]=0,0,MONTH(Indirectos[[#This Row],[Fecha Económico]]))</f>
        <v>1</v>
      </c>
      <c r="AD40" s="890">
        <f>IF(Indirectos[[#This Row],[Fecha Económico]]=0,0,YEAR(Indirectos[[#This Row],[Fecha Económico]]))</f>
        <v>2019</v>
      </c>
      <c r="AE40" s="891">
        <f>SUMPRODUCT((Indirectos[[#This Row],[Mes Económico]]=Tipo_Cambio[Mes])*(Indirectos[[#This Row],[Año Económico]]=Tipo_Cambio[Año])*(Tipo_Cambio[$/U$S]))</f>
        <v>23.353443313221998</v>
      </c>
      <c r="AF40" s="891">
        <f>SUMPRODUCT((Indirectos[[#This Row],[Mes Económico]]=Tipo_Cambio[Mes])*(Indirectos[[#This Row],[Año Económico]]=Tipo_Cambio[Año])*(Tipo_Cambio[Actualización]))</f>
        <v>1.1261624192640001</v>
      </c>
      <c r="AG40" s="890">
        <f>IF(ISNUMBER(Indirectos[[#This Row],[Fecha Financiero]])=TRUE,MONTH(Indirectos[[#This Row],[Fecha Financiero]]),0)</f>
        <v>0</v>
      </c>
      <c r="AH40" s="890">
        <f>IF(ISNUMBER(Indirectos[[#This Row],[Fecha Financiero]])=TRUE,YEAR(Indirectos[[#This Row],[Fecha Financiero]]),0)</f>
        <v>0</v>
      </c>
      <c r="AI40" s="891">
        <f>SUMPRODUCT((Indirectos[[#This Row],[Mes Financiero]]=Tipo_Cambio[Mes])*(Indirectos[[#This Row],[Año Financiero]]=Tipo_Cambio[Año])*(Tipo_Cambio[$/U$S]))</f>
        <v>0</v>
      </c>
      <c r="AJ40" s="888">
        <f>SUMPRODUCT((Indirectos[[#This Row],[Mes Financiero]]=Tipo_Cambio[Mes])*(Indirectos[[#This Row],[Año Financiero]]=Tipo_Cambio[Año])*(Tipo_Cambio[Actualización]))</f>
        <v>0</v>
      </c>
      <c r="AK40" s="916">
        <f>IF(Económico!$F$4=0,0,Indirectos[Centro de Costo])</f>
        <v>0</v>
      </c>
    </row>
    <row r="41" spans="2:37" x14ac:dyDescent="0.25">
      <c r="D41" s="478">
        <f t="shared" si="3"/>
        <v>43497</v>
      </c>
      <c r="E41" s="493"/>
      <c r="F41" s="866" t="str">
        <f t="shared" si="4"/>
        <v>2018-2019</v>
      </c>
      <c r="G41" s="481" t="s">
        <v>107</v>
      </c>
      <c r="H41" s="481"/>
      <c r="I41" s="481" t="s">
        <v>5</v>
      </c>
      <c r="J41" s="481"/>
      <c r="K41" s="533"/>
      <c r="L41" s="484"/>
      <c r="M41" s="491"/>
      <c r="N41" s="523"/>
      <c r="O41" s="485"/>
      <c r="P41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41" s="913">
        <f>IFERROR(Indirectos[[#This Row],[Económico $Corrientes]]/Indirectos[[#This Row],[Indexación Económico]],0)</f>
        <v>0</v>
      </c>
      <c r="R41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41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41" s="913">
        <f>IFERROR(Indirectos[[#This Row],[Financiero $Corrientes]]/Indirectos[[#This Row],[Indexación Financiero]],0)</f>
        <v>0</v>
      </c>
      <c r="U41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41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41" s="890">
        <f>IFERROR(Indirectos[[#This Row],[Intereses $Corrientes]]/Indirectos[[#This Row],[Indexación Financiero]],0)</f>
        <v>0</v>
      </c>
      <c r="X41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41" s="915" t="str">
        <f>IFERROR(INDEX(Costos_Indirectos_Cuentas[],MATCH(Indirectos[[#This Row],[Cuenta Contable]],Costos_Indirectos_Cuentas[Cuenta Contable],0),2),0)</f>
        <v>Egreso</v>
      </c>
      <c r="Z41" s="887" t="str">
        <f>IFERROR(INDEX(Tabla9[],MATCH(Indirectos[[#This Row],[Movimiento]],Tabla9[Movimientos],0),2),0)</f>
        <v>Si</v>
      </c>
      <c r="AA41" s="918" t="str">
        <f>IFERROR(INDEX(Costos_Indirectos_Cuentas[],MATCH(Indirectos[[#This Row],[Cuenta Contable]],Costos_Indirectos_Cuentas[Cuenta Contable],0),3),0)</f>
        <v>Si</v>
      </c>
      <c r="AB41" s="889" t="str">
        <f>IFERROR(INDEX(Tabla9[],MATCH(Indirectos[[#This Row],[Movimiento]],Tabla9[Movimientos],0),3),0)</f>
        <v>(-)</v>
      </c>
      <c r="AC41" s="884">
        <f>IF(Indirectos[[#This Row],[Fecha Económico]]=0,0,MONTH(Indirectos[[#This Row],[Fecha Económico]]))</f>
        <v>2</v>
      </c>
      <c r="AD41" s="890">
        <f>IF(Indirectos[[#This Row],[Fecha Económico]]=0,0,YEAR(Indirectos[[#This Row],[Fecha Económico]]))</f>
        <v>2019</v>
      </c>
      <c r="AE41" s="891">
        <f>SUMPRODUCT((Indirectos[[#This Row],[Mes Económico]]=Tipo_Cambio[Mes])*(Indirectos[[#This Row],[Año Económico]]=Tipo_Cambio[Año])*(Tipo_Cambio[$/U$S]))</f>
        <v>23.586977746354219</v>
      </c>
      <c r="AF41" s="891">
        <f>SUMPRODUCT((Indirectos[[#This Row],[Mes Económico]]=Tipo_Cambio[Mes])*(Indirectos[[#This Row],[Año Económico]]=Tipo_Cambio[Año])*(Tipo_Cambio[Actualización]))</f>
        <v>1.14868566764928</v>
      </c>
      <c r="AG41" s="890">
        <f>IF(ISNUMBER(Indirectos[[#This Row],[Fecha Financiero]])=TRUE,MONTH(Indirectos[[#This Row],[Fecha Financiero]]),0)</f>
        <v>0</v>
      </c>
      <c r="AH41" s="890">
        <f>IF(ISNUMBER(Indirectos[[#This Row],[Fecha Financiero]])=TRUE,YEAR(Indirectos[[#This Row],[Fecha Financiero]]),0)</f>
        <v>0</v>
      </c>
      <c r="AI41" s="891">
        <f>SUMPRODUCT((Indirectos[[#This Row],[Mes Financiero]]=Tipo_Cambio[Mes])*(Indirectos[[#This Row],[Año Financiero]]=Tipo_Cambio[Año])*(Tipo_Cambio[$/U$S]))</f>
        <v>0</v>
      </c>
      <c r="AJ41" s="888">
        <f>SUMPRODUCT((Indirectos[[#This Row],[Mes Financiero]]=Tipo_Cambio[Mes])*(Indirectos[[#This Row],[Año Financiero]]=Tipo_Cambio[Año])*(Tipo_Cambio[Actualización]))</f>
        <v>0</v>
      </c>
      <c r="AK41" s="916">
        <f>IF(Económico!$F$4=0,0,Indirectos[Centro de Costo])</f>
        <v>0</v>
      </c>
    </row>
    <row r="42" spans="2:37" x14ac:dyDescent="0.25">
      <c r="D42" s="478">
        <f t="shared" si="3"/>
        <v>43525</v>
      </c>
      <c r="E42" s="493"/>
      <c r="F42" s="866" t="str">
        <f t="shared" si="4"/>
        <v>2018-2019</v>
      </c>
      <c r="G42" s="481" t="s">
        <v>107</v>
      </c>
      <c r="H42" s="481"/>
      <c r="I42" s="481" t="s">
        <v>5</v>
      </c>
      <c r="J42" s="481"/>
      <c r="K42" s="533"/>
      <c r="L42" s="484"/>
      <c r="M42" s="491"/>
      <c r="N42" s="523"/>
      <c r="O42" s="485"/>
      <c r="P42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42" s="913">
        <f>IFERROR(Indirectos[[#This Row],[Económico $Corrientes]]/Indirectos[[#This Row],[Indexación Económico]],0)</f>
        <v>0</v>
      </c>
      <c r="R42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42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42" s="913">
        <f>IFERROR(Indirectos[[#This Row],[Financiero $Corrientes]]/Indirectos[[#This Row],[Indexación Financiero]],0)</f>
        <v>0</v>
      </c>
      <c r="U42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42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42" s="890">
        <f>IFERROR(Indirectos[[#This Row],[Intereses $Corrientes]]/Indirectos[[#This Row],[Indexación Financiero]],0)</f>
        <v>0</v>
      </c>
      <c r="X42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42" s="915" t="str">
        <f>IFERROR(INDEX(Costos_Indirectos_Cuentas[],MATCH(Indirectos[[#This Row],[Cuenta Contable]],Costos_Indirectos_Cuentas[Cuenta Contable],0),2),0)</f>
        <v>Egreso</v>
      </c>
      <c r="Z42" s="887" t="str">
        <f>IFERROR(INDEX(Tabla9[],MATCH(Indirectos[[#This Row],[Movimiento]],Tabla9[Movimientos],0),2),0)</f>
        <v>Si</v>
      </c>
      <c r="AA42" s="918" t="str">
        <f>IFERROR(INDEX(Costos_Indirectos_Cuentas[],MATCH(Indirectos[[#This Row],[Cuenta Contable]],Costos_Indirectos_Cuentas[Cuenta Contable],0),3),0)</f>
        <v>Si</v>
      </c>
      <c r="AB42" s="889" t="str">
        <f>IFERROR(INDEX(Tabla9[],MATCH(Indirectos[[#This Row],[Movimiento]],Tabla9[Movimientos],0),3),0)</f>
        <v>(-)</v>
      </c>
      <c r="AC42" s="884">
        <f>IF(Indirectos[[#This Row],[Fecha Económico]]=0,0,MONTH(Indirectos[[#This Row],[Fecha Económico]]))</f>
        <v>3</v>
      </c>
      <c r="AD42" s="890">
        <f>IF(Indirectos[[#This Row],[Fecha Económico]]=0,0,YEAR(Indirectos[[#This Row],[Fecha Económico]]))</f>
        <v>2019</v>
      </c>
      <c r="AE42" s="891">
        <f>SUMPRODUCT((Indirectos[[#This Row],[Mes Económico]]=Tipo_Cambio[Mes])*(Indirectos[[#This Row],[Año Económico]]=Tipo_Cambio[Año])*(Tipo_Cambio[$/U$S]))</f>
        <v>23.82284752381776</v>
      </c>
      <c r="AF42" s="891">
        <f>SUMPRODUCT((Indirectos[[#This Row],[Mes Económico]]=Tipo_Cambio[Mes])*(Indirectos[[#This Row],[Año Económico]]=Tipo_Cambio[Año])*(Tipo_Cambio[Actualización]))</f>
        <v>1.1716593810022657</v>
      </c>
      <c r="AG42" s="890">
        <f>IF(ISNUMBER(Indirectos[[#This Row],[Fecha Financiero]])=TRUE,MONTH(Indirectos[[#This Row],[Fecha Financiero]]),0)</f>
        <v>0</v>
      </c>
      <c r="AH42" s="890">
        <f>IF(ISNUMBER(Indirectos[[#This Row],[Fecha Financiero]])=TRUE,YEAR(Indirectos[[#This Row],[Fecha Financiero]]),0)</f>
        <v>0</v>
      </c>
      <c r="AI42" s="891">
        <f>SUMPRODUCT((Indirectos[[#This Row],[Mes Financiero]]=Tipo_Cambio[Mes])*(Indirectos[[#This Row],[Año Financiero]]=Tipo_Cambio[Año])*(Tipo_Cambio[$/U$S]))</f>
        <v>0</v>
      </c>
      <c r="AJ42" s="888">
        <f>SUMPRODUCT((Indirectos[[#This Row],[Mes Financiero]]=Tipo_Cambio[Mes])*(Indirectos[[#This Row],[Año Financiero]]=Tipo_Cambio[Año])*(Tipo_Cambio[Actualización]))</f>
        <v>0</v>
      </c>
      <c r="AK42" s="916">
        <f>IF(Económico!$F$4=0,0,Indirectos[Centro de Costo])</f>
        <v>0</v>
      </c>
    </row>
    <row r="43" spans="2:37" x14ac:dyDescent="0.25">
      <c r="D43" s="478">
        <f t="shared" si="3"/>
        <v>43556</v>
      </c>
      <c r="E43" s="493"/>
      <c r="F43" s="866" t="str">
        <f t="shared" si="4"/>
        <v>2018-2019</v>
      </c>
      <c r="G43" s="481" t="s">
        <v>107</v>
      </c>
      <c r="H43" s="481"/>
      <c r="I43" s="481" t="s">
        <v>5</v>
      </c>
      <c r="J43" s="481"/>
      <c r="K43" s="533"/>
      <c r="L43" s="484"/>
      <c r="M43" s="491"/>
      <c r="N43" s="523"/>
      <c r="O43" s="485"/>
      <c r="P43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43" s="913">
        <f>IFERROR(Indirectos[[#This Row],[Económico $Corrientes]]/Indirectos[[#This Row],[Indexación Económico]],0)</f>
        <v>0</v>
      </c>
      <c r="R43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43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43" s="913">
        <f>IFERROR(Indirectos[[#This Row],[Financiero $Corrientes]]/Indirectos[[#This Row],[Indexación Financiero]],0)</f>
        <v>0</v>
      </c>
      <c r="U43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43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43" s="890">
        <f>IFERROR(Indirectos[[#This Row],[Intereses $Corrientes]]/Indirectos[[#This Row],[Indexación Financiero]],0)</f>
        <v>0</v>
      </c>
      <c r="X43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43" s="915" t="str">
        <f>IFERROR(INDEX(Costos_Indirectos_Cuentas[],MATCH(Indirectos[[#This Row],[Cuenta Contable]],Costos_Indirectos_Cuentas[Cuenta Contable],0),2),0)</f>
        <v>Egreso</v>
      </c>
      <c r="Z43" s="887" t="str">
        <f>IFERROR(INDEX(Tabla9[],MATCH(Indirectos[[#This Row],[Movimiento]],Tabla9[Movimientos],0),2),0)</f>
        <v>Si</v>
      </c>
      <c r="AA43" s="918" t="str">
        <f>IFERROR(INDEX(Costos_Indirectos_Cuentas[],MATCH(Indirectos[[#This Row],[Cuenta Contable]],Costos_Indirectos_Cuentas[Cuenta Contable],0),3),0)</f>
        <v>Si</v>
      </c>
      <c r="AB43" s="889" t="str">
        <f>IFERROR(INDEX(Tabla9[],MATCH(Indirectos[[#This Row],[Movimiento]],Tabla9[Movimientos],0),3),0)</f>
        <v>(-)</v>
      </c>
      <c r="AC43" s="884">
        <f>IF(Indirectos[[#This Row],[Fecha Económico]]=0,0,MONTH(Indirectos[[#This Row],[Fecha Económico]]))</f>
        <v>4</v>
      </c>
      <c r="AD43" s="890">
        <f>IF(Indirectos[[#This Row],[Fecha Económico]]=0,0,YEAR(Indirectos[[#This Row],[Fecha Económico]]))</f>
        <v>2019</v>
      </c>
      <c r="AE43" s="891">
        <f>SUMPRODUCT((Indirectos[[#This Row],[Mes Económico]]=Tipo_Cambio[Mes])*(Indirectos[[#This Row],[Año Económico]]=Tipo_Cambio[Año])*(Tipo_Cambio[$/U$S]))</f>
        <v>24.061075999055937</v>
      </c>
      <c r="AF43" s="891">
        <f>SUMPRODUCT((Indirectos[[#This Row],[Mes Económico]]=Tipo_Cambio[Mes])*(Indirectos[[#This Row],[Año Económico]]=Tipo_Cambio[Año])*(Tipo_Cambio[Actualización]))</f>
        <v>1.1950925686223111</v>
      </c>
      <c r="AG43" s="890">
        <f>IF(ISNUMBER(Indirectos[[#This Row],[Fecha Financiero]])=TRUE,MONTH(Indirectos[[#This Row],[Fecha Financiero]]),0)</f>
        <v>0</v>
      </c>
      <c r="AH43" s="890">
        <f>IF(ISNUMBER(Indirectos[[#This Row],[Fecha Financiero]])=TRUE,YEAR(Indirectos[[#This Row],[Fecha Financiero]]),0)</f>
        <v>0</v>
      </c>
      <c r="AI43" s="891">
        <f>SUMPRODUCT((Indirectos[[#This Row],[Mes Financiero]]=Tipo_Cambio[Mes])*(Indirectos[[#This Row],[Año Financiero]]=Tipo_Cambio[Año])*(Tipo_Cambio[$/U$S]))</f>
        <v>0</v>
      </c>
      <c r="AJ43" s="888">
        <f>SUMPRODUCT((Indirectos[[#This Row],[Mes Financiero]]=Tipo_Cambio[Mes])*(Indirectos[[#This Row],[Año Financiero]]=Tipo_Cambio[Año])*(Tipo_Cambio[Actualización]))</f>
        <v>0</v>
      </c>
      <c r="AK43" s="916">
        <f>IF(Económico!$F$4=0,0,Indirectos[Centro de Costo])</f>
        <v>0</v>
      </c>
    </row>
    <row r="44" spans="2:37" x14ac:dyDescent="0.25">
      <c r="D44" s="478">
        <f t="shared" si="3"/>
        <v>43586</v>
      </c>
      <c r="E44" s="493"/>
      <c r="F44" s="866" t="str">
        <f t="shared" si="4"/>
        <v>2018-2019</v>
      </c>
      <c r="G44" s="481" t="s">
        <v>107</v>
      </c>
      <c r="H44" s="481"/>
      <c r="I44" s="481" t="s">
        <v>5</v>
      </c>
      <c r="J44" s="481"/>
      <c r="K44" s="533"/>
      <c r="L44" s="484"/>
      <c r="M44" s="491"/>
      <c r="N44" s="523"/>
      <c r="O44" s="485"/>
      <c r="P44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44" s="913">
        <f>IFERROR(Indirectos[[#This Row],[Económico $Corrientes]]/Indirectos[[#This Row],[Indexación Económico]],0)</f>
        <v>0</v>
      </c>
      <c r="R44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44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44" s="913">
        <f>IFERROR(Indirectos[[#This Row],[Financiero $Corrientes]]/Indirectos[[#This Row],[Indexación Financiero]],0)</f>
        <v>0</v>
      </c>
      <c r="U44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44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44" s="890">
        <f>IFERROR(Indirectos[[#This Row],[Intereses $Corrientes]]/Indirectos[[#This Row],[Indexación Financiero]],0)</f>
        <v>0</v>
      </c>
      <c r="X44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44" s="915" t="str">
        <f>IFERROR(INDEX(Costos_Indirectos_Cuentas[],MATCH(Indirectos[[#This Row],[Cuenta Contable]],Costos_Indirectos_Cuentas[Cuenta Contable],0),2),0)</f>
        <v>Egreso</v>
      </c>
      <c r="Z44" s="887" t="str">
        <f>IFERROR(INDEX(Tabla9[],MATCH(Indirectos[[#This Row],[Movimiento]],Tabla9[Movimientos],0),2),0)</f>
        <v>Si</v>
      </c>
      <c r="AA44" s="918" t="str">
        <f>IFERROR(INDEX(Costos_Indirectos_Cuentas[],MATCH(Indirectos[[#This Row],[Cuenta Contable]],Costos_Indirectos_Cuentas[Cuenta Contable],0),3),0)</f>
        <v>Si</v>
      </c>
      <c r="AB44" s="889" t="str">
        <f>IFERROR(INDEX(Tabla9[],MATCH(Indirectos[[#This Row],[Movimiento]],Tabla9[Movimientos],0),3),0)</f>
        <v>(-)</v>
      </c>
      <c r="AC44" s="884">
        <f>IF(Indirectos[[#This Row],[Fecha Económico]]=0,0,MONTH(Indirectos[[#This Row],[Fecha Económico]]))</f>
        <v>5</v>
      </c>
      <c r="AD44" s="890">
        <f>IF(Indirectos[[#This Row],[Fecha Económico]]=0,0,YEAR(Indirectos[[#This Row],[Fecha Económico]]))</f>
        <v>2019</v>
      </c>
      <c r="AE44" s="891">
        <f>SUMPRODUCT((Indirectos[[#This Row],[Mes Económico]]=Tipo_Cambio[Mes])*(Indirectos[[#This Row],[Año Económico]]=Tipo_Cambio[Año])*(Tipo_Cambio[$/U$S]))</f>
        <v>24.301686759046497</v>
      </c>
      <c r="AF44" s="891">
        <f>SUMPRODUCT((Indirectos[[#This Row],[Mes Económico]]=Tipo_Cambio[Mes])*(Indirectos[[#This Row],[Año Económico]]=Tipo_Cambio[Año])*(Tipo_Cambio[Actualización]))</f>
        <v>1.2189944199947573</v>
      </c>
      <c r="AG44" s="890">
        <f>IF(ISNUMBER(Indirectos[[#This Row],[Fecha Financiero]])=TRUE,MONTH(Indirectos[[#This Row],[Fecha Financiero]]),0)</f>
        <v>0</v>
      </c>
      <c r="AH44" s="890">
        <f>IF(ISNUMBER(Indirectos[[#This Row],[Fecha Financiero]])=TRUE,YEAR(Indirectos[[#This Row],[Fecha Financiero]]),0)</f>
        <v>0</v>
      </c>
      <c r="AI44" s="891">
        <f>SUMPRODUCT((Indirectos[[#This Row],[Mes Financiero]]=Tipo_Cambio[Mes])*(Indirectos[[#This Row],[Año Financiero]]=Tipo_Cambio[Año])*(Tipo_Cambio[$/U$S]))</f>
        <v>0</v>
      </c>
      <c r="AJ44" s="888">
        <f>SUMPRODUCT((Indirectos[[#This Row],[Mes Financiero]]=Tipo_Cambio[Mes])*(Indirectos[[#This Row],[Año Financiero]]=Tipo_Cambio[Año])*(Tipo_Cambio[Actualización]))</f>
        <v>0</v>
      </c>
      <c r="AK44" s="916">
        <f>IF(Económico!$F$4=0,0,Indirectos[Centro de Costo])</f>
        <v>0</v>
      </c>
    </row>
    <row r="45" spans="2:37" x14ac:dyDescent="0.25">
      <c r="D45" s="535">
        <f t="shared" si="3"/>
        <v>43617</v>
      </c>
      <c r="E45" s="536"/>
      <c r="F45" s="867" t="str">
        <f t="shared" si="4"/>
        <v>2018-2019</v>
      </c>
      <c r="G45" s="538" t="s">
        <v>107</v>
      </c>
      <c r="H45" s="538"/>
      <c r="I45" s="538" t="s">
        <v>5</v>
      </c>
      <c r="J45" s="538"/>
      <c r="K45" s="539"/>
      <c r="L45" s="540"/>
      <c r="M45" s="538"/>
      <c r="N45" s="542"/>
      <c r="O45" s="541"/>
      <c r="P45" s="895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45" s="893">
        <f>IFERROR(Indirectos[[#This Row],[Económico $Corrientes]]/Indirectos[[#This Row],[Indexación Económico]],0)</f>
        <v>0</v>
      </c>
      <c r="R45" s="894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45" s="895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45" s="893">
        <f>IFERROR(Indirectos[[#This Row],[Financiero $Corrientes]]/Indirectos[[#This Row],[Indexación Financiero]],0)</f>
        <v>0</v>
      </c>
      <c r="U45" s="92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45" s="896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45" s="897">
        <f>IFERROR(Indirectos[[#This Row],[Intereses $Corrientes]]/Indirectos[[#This Row],[Indexación Financiero]],0)</f>
        <v>0</v>
      </c>
      <c r="X45" s="897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45" s="922" t="str">
        <f>IFERROR(INDEX(Costos_Indirectos_Cuentas[],MATCH(Indirectos[[#This Row],[Cuenta Contable]],Costos_Indirectos_Cuentas[Cuenta Contable],0),2),0)</f>
        <v>Egreso</v>
      </c>
      <c r="Z45" s="899" t="str">
        <f>IFERROR(INDEX(Tabla9[],MATCH(Indirectos[[#This Row],[Movimiento]],Tabla9[Movimientos],0),2),0)</f>
        <v>Si</v>
      </c>
      <c r="AA45" s="925" t="str">
        <f>IFERROR(INDEX(Costos_Indirectos_Cuentas[],MATCH(Indirectos[[#This Row],[Cuenta Contable]],Costos_Indirectos_Cuentas[Cuenta Contable],0),3),0)</f>
        <v>Si</v>
      </c>
      <c r="AB45" s="901" t="str">
        <f>IFERROR(INDEX(Tabla9[],MATCH(Indirectos[[#This Row],[Movimiento]],Tabla9[Movimientos],0),3),0)</f>
        <v>(-)</v>
      </c>
      <c r="AC45" s="896">
        <f>IF(Indirectos[[#This Row],[Fecha Económico]]=0,0,MONTH(Indirectos[[#This Row],[Fecha Económico]]))</f>
        <v>6</v>
      </c>
      <c r="AD45" s="897">
        <f>IF(Indirectos[[#This Row],[Fecha Económico]]=0,0,YEAR(Indirectos[[#This Row],[Fecha Económico]]))</f>
        <v>2019</v>
      </c>
      <c r="AE45" s="901">
        <f>SUMPRODUCT((Indirectos[[#This Row],[Mes Económico]]=Tipo_Cambio[Mes])*(Indirectos[[#This Row],[Año Económico]]=Tipo_Cambio[Año])*(Tipo_Cambio[$/U$S]))</f>
        <v>24.544703626636963</v>
      </c>
      <c r="AF45" s="901">
        <f>SUMPRODUCT((Indirectos[[#This Row],[Mes Económico]]=Tipo_Cambio[Mes])*(Indirectos[[#This Row],[Año Económico]]=Tipo_Cambio[Año])*(Tipo_Cambio[Actualización]))</f>
        <v>1.2433743083946525</v>
      </c>
      <c r="AG45" s="897">
        <f>IF(ISNUMBER(Indirectos[[#This Row],[Fecha Financiero]])=TRUE,MONTH(Indirectos[[#This Row],[Fecha Financiero]]),0)</f>
        <v>0</v>
      </c>
      <c r="AH45" s="897">
        <f>IF(ISNUMBER(Indirectos[[#This Row],[Fecha Financiero]])=TRUE,YEAR(Indirectos[[#This Row],[Fecha Financiero]]),0)</f>
        <v>0</v>
      </c>
      <c r="AI45" s="901">
        <f>SUMPRODUCT((Indirectos[[#This Row],[Mes Financiero]]=Tipo_Cambio[Mes])*(Indirectos[[#This Row],[Año Financiero]]=Tipo_Cambio[Año])*(Tipo_Cambio[$/U$S]))</f>
        <v>0</v>
      </c>
      <c r="AJ45" s="900">
        <f>SUMPRODUCT((Indirectos[[#This Row],[Mes Financiero]]=Tipo_Cambio[Mes])*(Indirectos[[#This Row],[Año Financiero]]=Tipo_Cambio[Año])*(Tipo_Cambio[Actualización]))</f>
        <v>0</v>
      </c>
      <c r="AK45" s="923">
        <f>IF(Económico!$F$4=0,0,Indirectos[Centro de Costo])</f>
        <v>0</v>
      </c>
    </row>
    <row r="46" spans="2:37" x14ac:dyDescent="0.25">
      <c r="D46" s="478">
        <f>DATE(LEFT(Indirectos[[#This Row],[Campaña]],4),7,1)</f>
        <v>43282</v>
      </c>
      <c r="E46" s="493"/>
      <c r="F46" s="866" t="str">
        <f t="shared" si="4"/>
        <v>2018-2019</v>
      </c>
      <c r="G46" s="491" t="s">
        <v>108</v>
      </c>
      <c r="H46" s="481"/>
      <c r="I46" s="481" t="s">
        <v>5</v>
      </c>
      <c r="J46" s="481"/>
      <c r="K46" s="533"/>
      <c r="L46" s="484"/>
      <c r="M46" s="491"/>
      <c r="N46" s="523"/>
      <c r="O46" s="485"/>
      <c r="P46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46" s="913">
        <f>IFERROR(Indirectos[[#This Row],[Económico $Corrientes]]/Indirectos[[#This Row],[Indexación Económico]],0)</f>
        <v>0</v>
      </c>
      <c r="R46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46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46" s="913">
        <f>IFERROR(Indirectos[[#This Row],[Financiero $Corrientes]]/Indirectos[[#This Row],[Indexación Financiero]],0)</f>
        <v>0</v>
      </c>
      <c r="U46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46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46" s="890">
        <f>IFERROR(Indirectos[[#This Row],[Intereses $Corrientes]]/Indirectos[[#This Row],[Indexación Financiero]],0)</f>
        <v>0</v>
      </c>
      <c r="X46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46" s="915" t="str">
        <f>IFERROR(INDEX(Costos_Indirectos_Cuentas[],MATCH(Indirectos[[#This Row],[Cuenta Contable]],Costos_Indirectos_Cuentas[Cuenta Contable],0),2),0)</f>
        <v>Egreso</v>
      </c>
      <c r="Z46" s="887" t="str">
        <f>IFERROR(INDEX(Tabla9[],MATCH(Indirectos[[#This Row],[Movimiento]],Tabla9[Movimientos],0),2),0)</f>
        <v>Si</v>
      </c>
      <c r="AA46" s="918" t="str">
        <f>IFERROR(INDEX(Costos_Indirectos_Cuentas[],MATCH(Indirectos[[#This Row],[Cuenta Contable]],Costos_Indirectos_Cuentas[Cuenta Contable],0),3),0)</f>
        <v>Si</v>
      </c>
      <c r="AB46" s="889" t="str">
        <f>IFERROR(INDEX(Tabla9[],MATCH(Indirectos[[#This Row],[Movimiento]],Tabla9[Movimientos],0),3),0)</f>
        <v>(-)</v>
      </c>
      <c r="AC46" s="884">
        <f>IF(Indirectos[[#This Row],[Fecha Económico]]=0,0,MONTH(Indirectos[[#This Row],[Fecha Económico]]))</f>
        <v>7</v>
      </c>
      <c r="AD46" s="890">
        <f>IF(Indirectos[[#This Row],[Fecha Económico]]=0,0,YEAR(Indirectos[[#This Row],[Fecha Económico]]))</f>
        <v>2018</v>
      </c>
      <c r="AE46" s="891">
        <f>SUMPRODUCT((Indirectos[[#This Row],[Mes Económico]]=Tipo_Cambio[Mes])*(Indirectos[[#This Row],[Año Económico]]=Tipo_Cambio[Año])*(Tipo_Cambio[$/U$S]))</f>
        <v>22</v>
      </c>
      <c r="AF46" s="891">
        <f>SUMPRODUCT((Indirectos[[#This Row],[Mes Económico]]=Tipo_Cambio[Mes])*(Indirectos[[#This Row],[Año Económico]]=Tipo_Cambio[Año])*(Tipo_Cambio[Actualización]))</f>
        <v>1</v>
      </c>
      <c r="AG46" s="890">
        <f>IF(ISNUMBER(Indirectos[[#This Row],[Fecha Financiero]])=TRUE,MONTH(Indirectos[[#This Row],[Fecha Financiero]]),0)</f>
        <v>0</v>
      </c>
      <c r="AH46" s="890">
        <f>IF(ISNUMBER(Indirectos[[#This Row],[Fecha Financiero]])=TRUE,YEAR(Indirectos[[#This Row],[Fecha Financiero]]),0)</f>
        <v>0</v>
      </c>
      <c r="AI46" s="891">
        <f>SUMPRODUCT((Indirectos[[#This Row],[Mes Financiero]]=Tipo_Cambio[Mes])*(Indirectos[[#This Row],[Año Financiero]]=Tipo_Cambio[Año])*(Tipo_Cambio[$/U$S]))</f>
        <v>0</v>
      </c>
      <c r="AJ46" s="888">
        <f>SUMPRODUCT((Indirectos[[#This Row],[Mes Financiero]]=Tipo_Cambio[Mes])*(Indirectos[[#This Row],[Año Financiero]]=Tipo_Cambio[Año])*(Tipo_Cambio[Actualización]))</f>
        <v>0</v>
      </c>
      <c r="AK46" s="916">
        <f>IF(Económico!$F$4=0,0,Indirectos[Centro de Costo])</f>
        <v>0</v>
      </c>
    </row>
    <row r="47" spans="2:37" x14ac:dyDescent="0.25">
      <c r="D47" s="478">
        <f>DATE(IF(MONTH(D46)=1,YEAR(D46+1),YEAR(D46)),MONTH(D46)+1,1)</f>
        <v>43313</v>
      </c>
      <c r="E47" s="493"/>
      <c r="F47" s="866" t="str">
        <f t="shared" si="4"/>
        <v>2018-2019</v>
      </c>
      <c r="G47" s="481" t="s">
        <v>108</v>
      </c>
      <c r="H47" s="481"/>
      <c r="I47" s="481" t="s">
        <v>5</v>
      </c>
      <c r="J47" s="481"/>
      <c r="K47" s="533"/>
      <c r="L47" s="484"/>
      <c r="M47" s="491"/>
      <c r="N47" s="523"/>
      <c r="O47" s="485"/>
      <c r="P47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47" s="913">
        <f>IFERROR(Indirectos[[#This Row],[Económico $Corrientes]]/Indirectos[[#This Row],[Indexación Económico]],0)</f>
        <v>0</v>
      </c>
      <c r="R47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47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47" s="913">
        <f>IFERROR(Indirectos[[#This Row],[Financiero $Corrientes]]/Indirectos[[#This Row],[Indexación Financiero]],0)</f>
        <v>0</v>
      </c>
      <c r="U47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47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47" s="890">
        <f>IFERROR(Indirectos[[#This Row],[Intereses $Corrientes]]/Indirectos[[#This Row],[Indexación Financiero]],0)</f>
        <v>0</v>
      </c>
      <c r="X47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47" s="915" t="str">
        <f>IFERROR(INDEX(Costos_Indirectos_Cuentas[],MATCH(Indirectos[[#This Row],[Cuenta Contable]],Costos_Indirectos_Cuentas[Cuenta Contable],0),2),0)</f>
        <v>Egreso</v>
      </c>
      <c r="Z47" s="887" t="str">
        <f>IFERROR(INDEX(Tabla9[],MATCH(Indirectos[[#This Row],[Movimiento]],Tabla9[Movimientos],0),2),0)</f>
        <v>Si</v>
      </c>
      <c r="AA47" s="918" t="str">
        <f>IFERROR(INDEX(Costos_Indirectos_Cuentas[],MATCH(Indirectos[[#This Row],[Cuenta Contable]],Costos_Indirectos_Cuentas[Cuenta Contable],0),3),0)</f>
        <v>Si</v>
      </c>
      <c r="AB47" s="889" t="str">
        <f>IFERROR(INDEX(Tabla9[],MATCH(Indirectos[[#This Row],[Movimiento]],Tabla9[Movimientos],0),3),0)</f>
        <v>(-)</v>
      </c>
      <c r="AC47" s="884">
        <f>IF(Indirectos[[#This Row],[Fecha Económico]]=0,0,MONTH(Indirectos[[#This Row],[Fecha Económico]]))</f>
        <v>8</v>
      </c>
      <c r="AD47" s="890">
        <f>IF(Indirectos[[#This Row],[Fecha Económico]]=0,0,YEAR(Indirectos[[#This Row],[Fecha Económico]]))</f>
        <v>2018</v>
      </c>
      <c r="AE47" s="891">
        <f>SUMPRODUCT((Indirectos[[#This Row],[Mes Económico]]=Tipo_Cambio[Mes])*(Indirectos[[#This Row],[Año Económico]]=Tipo_Cambio[Año])*(Tipo_Cambio[$/U$S]))</f>
        <v>22.22</v>
      </c>
      <c r="AF47" s="891">
        <f>SUMPRODUCT((Indirectos[[#This Row],[Mes Económico]]=Tipo_Cambio[Mes])*(Indirectos[[#This Row],[Año Económico]]=Tipo_Cambio[Año])*(Tipo_Cambio[Actualización]))</f>
        <v>1.02</v>
      </c>
      <c r="AG47" s="890">
        <f>IF(ISNUMBER(Indirectos[[#This Row],[Fecha Financiero]])=TRUE,MONTH(Indirectos[[#This Row],[Fecha Financiero]]),0)</f>
        <v>0</v>
      </c>
      <c r="AH47" s="890">
        <f>IF(ISNUMBER(Indirectos[[#This Row],[Fecha Financiero]])=TRUE,YEAR(Indirectos[[#This Row],[Fecha Financiero]]),0)</f>
        <v>0</v>
      </c>
      <c r="AI47" s="891">
        <f>SUMPRODUCT((Indirectos[[#This Row],[Mes Financiero]]=Tipo_Cambio[Mes])*(Indirectos[[#This Row],[Año Financiero]]=Tipo_Cambio[Año])*(Tipo_Cambio[$/U$S]))</f>
        <v>0</v>
      </c>
      <c r="AJ47" s="888">
        <f>SUMPRODUCT((Indirectos[[#This Row],[Mes Financiero]]=Tipo_Cambio[Mes])*(Indirectos[[#This Row],[Año Financiero]]=Tipo_Cambio[Año])*(Tipo_Cambio[Actualización]))</f>
        <v>0</v>
      </c>
      <c r="AK47" s="916">
        <f>IF(Económico!$F$4=0,0,Indirectos[Centro de Costo])</f>
        <v>0</v>
      </c>
    </row>
    <row r="48" spans="2:37" x14ac:dyDescent="0.25">
      <c r="D48" s="478">
        <f t="shared" ref="D48:D57" si="5">DATE(IF(MONTH(D47)=1,YEAR(D47+1),YEAR(D47)),MONTH(D47)+1,1)</f>
        <v>43344</v>
      </c>
      <c r="E48" s="493"/>
      <c r="F48" s="866" t="str">
        <f t="shared" si="4"/>
        <v>2018-2019</v>
      </c>
      <c r="G48" s="481" t="s">
        <v>108</v>
      </c>
      <c r="H48" s="481"/>
      <c r="I48" s="481" t="s">
        <v>5</v>
      </c>
      <c r="J48" s="481"/>
      <c r="K48" s="533"/>
      <c r="L48" s="484"/>
      <c r="M48" s="491"/>
      <c r="N48" s="523"/>
      <c r="O48" s="485"/>
      <c r="P48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48" s="913">
        <f>IFERROR(Indirectos[[#This Row],[Económico $Corrientes]]/Indirectos[[#This Row],[Indexación Económico]],0)</f>
        <v>0</v>
      </c>
      <c r="R48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48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48" s="913">
        <f>IFERROR(Indirectos[[#This Row],[Financiero $Corrientes]]/Indirectos[[#This Row],[Indexación Financiero]],0)</f>
        <v>0</v>
      </c>
      <c r="U48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48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48" s="890">
        <f>IFERROR(Indirectos[[#This Row],[Intereses $Corrientes]]/Indirectos[[#This Row],[Indexación Financiero]],0)</f>
        <v>0</v>
      </c>
      <c r="X48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48" s="915" t="str">
        <f>IFERROR(INDEX(Costos_Indirectos_Cuentas[],MATCH(Indirectos[[#This Row],[Cuenta Contable]],Costos_Indirectos_Cuentas[Cuenta Contable],0),2),0)</f>
        <v>Egreso</v>
      </c>
      <c r="Z48" s="887" t="str">
        <f>IFERROR(INDEX(Tabla9[],MATCH(Indirectos[[#This Row],[Movimiento]],Tabla9[Movimientos],0),2),0)</f>
        <v>Si</v>
      </c>
      <c r="AA48" s="918" t="str">
        <f>IFERROR(INDEX(Costos_Indirectos_Cuentas[],MATCH(Indirectos[[#This Row],[Cuenta Contable]],Costos_Indirectos_Cuentas[Cuenta Contable],0),3),0)</f>
        <v>Si</v>
      </c>
      <c r="AB48" s="889" t="str">
        <f>IFERROR(INDEX(Tabla9[],MATCH(Indirectos[[#This Row],[Movimiento]],Tabla9[Movimientos],0),3),0)</f>
        <v>(-)</v>
      </c>
      <c r="AC48" s="884">
        <f>IF(Indirectos[[#This Row],[Fecha Económico]]=0,0,MONTH(Indirectos[[#This Row],[Fecha Económico]]))</f>
        <v>9</v>
      </c>
      <c r="AD48" s="890">
        <f>IF(Indirectos[[#This Row],[Fecha Económico]]=0,0,YEAR(Indirectos[[#This Row],[Fecha Económico]]))</f>
        <v>2018</v>
      </c>
      <c r="AE48" s="891">
        <f>SUMPRODUCT((Indirectos[[#This Row],[Mes Económico]]=Tipo_Cambio[Mes])*(Indirectos[[#This Row],[Año Económico]]=Tipo_Cambio[Año])*(Tipo_Cambio[$/U$S]))</f>
        <v>22.4422</v>
      </c>
      <c r="AF48" s="891">
        <f>SUMPRODUCT((Indirectos[[#This Row],[Mes Económico]]=Tipo_Cambio[Mes])*(Indirectos[[#This Row],[Año Económico]]=Tipo_Cambio[Año])*(Tipo_Cambio[Actualización]))</f>
        <v>1.0404</v>
      </c>
      <c r="AG48" s="890">
        <f>IF(ISNUMBER(Indirectos[[#This Row],[Fecha Financiero]])=TRUE,MONTH(Indirectos[[#This Row],[Fecha Financiero]]),0)</f>
        <v>0</v>
      </c>
      <c r="AH48" s="890">
        <f>IF(ISNUMBER(Indirectos[[#This Row],[Fecha Financiero]])=TRUE,YEAR(Indirectos[[#This Row],[Fecha Financiero]]),0)</f>
        <v>0</v>
      </c>
      <c r="AI48" s="891">
        <f>SUMPRODUCT((Indirectos[[#This Row],[Mes Financiero]]=Tipo_Cambio[Mes])*(Indirectos[[#This Row],[Año Financiero]]=Tipo_Cambio[Año])*(Tipo_Cambio[$/U$S]))</f>
        <v>0</v>
      </c>
      <c r="AJ48" s="888">
        <f>SUMPRODUCT((Indirectos[[#This Row],[Mes Financiero]]=Tipo_Cambio[Mes])*(Indirectos[[#This Row],[Año Financiero]]=Tipo_Cambio[Año])*(Tipo_Cambio[Actualización]))</f>
        <v>0</v>
      </c>
      <c r="AK48" s="916">
        <f>IF(Económico!$F$4=0,0,Indirectos[Centro de Costo])</f>
        <v>0</v>
      </c>
    </row>
    <row r="49" spans="4:37" x14ac:dyDescent="0.25">
      <c r="D49" s="478">
        <f t="shared" si="5"/>
        <v>43374</v>
      </c>
      <c r="E49" s="493"/>
      <c r="F49" s="866" t="str">
        <f t="shared" si="4"/>
        <v>2018-2019</v>
      </c>
      <c r="G49" s="481" t="s">
        <v>108</v>
      </c>
      <c r="H49" s="481"/>
      <c r="I49" s="481" t="s">
        <v>5</v>
      </c>
      <c r="J49" s="481"/>
      <c r="K49" s="533"/>
      <c r="L49" s="484"/>
      <c r="M49" s="491"/>
      <c r="N49" s="523"/>
      <c r="O49" s="485"/>
      <c r="P49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49" s="913">
        <f>IFERROR(Indirectos[[#This Row],[Económico $Corrientes]]/Indirectos[[#This Row],[Indexación Económico]],0)</f>
        <v>0</v>
      </c>
      <c r="R49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49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49" s="913">
        <f>IFERROR(Indirectos[[#This Row],[Financiero $Corrientes]]/Indirectos[[#This Row],[Indexación Financiero]],0)</f>
        <v>0</v>
      </c>
      <c r="U49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49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49" s="890">
        <f>IFERROR(Indirectos[[#This Row],[Intereses $Corrientes]]/Indirectos[[#This Row],[Indexación Financiero]],0)</f>
        <v>0</v>
      </c>
      <c r="X49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49" s="915" t="str">
        <f>IFERROR(INDEX(Costos_Indirectos_Cuentas[],MATCH(Indirectos[[#This Row],[Cuenta Contable]],Costos_Indirectos_Cuentas[Cuenta Contable],0),2),0)</f>
        <v>Egreso</v>
      </c>
      <c r="Z49" s="887" t="str">
        <f>IFERROR(INDEX(Tabla9[],MATCH(Indirectos[[#This Row],[Movimiento]],Tabla9[Movimientos],0),2),0)</f>
        <v>Si</v>
      </c>
      <c r="AA49" s="918" t="str">
        <f>IFERROR(INDEX(Costos_Indirectos_Cuentas[],MATCH(Indirectos[[#This Row],[Cuenta Contable]],Costos_Indirectos_Cuentas[Cuenta Contable],0),3),0)</f>
        <v>Si</v>
      </c>
      <c r="AB49" s="889" t="str">
        <f>IFERROR(INDEX(Tabla9[],MATCH(Indirectos[[#This Row],[Movimiento]],Tabla9[Movimientos],0),3),0)</f>
        <v>(-)</v>
      </c>
      <c r="AC49" s="884">
        <f>IF(Indirectos[[#This Row],[Fecha Económico]]=0,0,MONTH(Indirectos[[#This Row],[Fecha Económico]]))</f>
        <v>10</v>
      </c>
      <c r="AD49" s="890">
        <f>IF(Indirectos[[#This Row],[Fecha Económico]]=0,0,YEAR(Indirectos[[#This Row],[Fecha Económico]]))</f>
        <v>2018</v>
      </c>
      <c r="AE49" s="891">
        <f>SUMPRODUCT((Indirectos[[#This Row],[Mes Económico]]=Tipo_Cambio[Mes])*(Indirectos[[#This Row],[Año Económico]]=Tipo_Cambio[Año])*(Tipo_Cambio[$/U$S]))</f>
        <v>22.666622</v>
      </c>
      <c r="AF49" s="891">
        <f>SUMPRODUCT((Indirectos[[#This Row],[Mes Económico]]=Tipo_Cambio[Mes])*(Indirectos[[#This Row],[Año Económico]]=Tipo_Cambio[Año])*(Tipo_Cambio[Actualización]))</f>
        <v>1.0612079999999999</v>
      </c>
      <c r="AG49" s="890">
        <f>IF(ISNUMBER(Indirectos[[#This Row],[Fecha Financiero]])=TRUE,MONTH(Indirectos[[#This Row],[Fecha Financiero]]),0)</f>
        <v>0</v>
      </c>
      <c r="AH49" s="890">
        <f>IF(ISNUMBER(Indirectos[[#This Row],[Fecha Financiero]])=TRUE,YEAR(Indirectos[[#This Row],[Fecha Financiero]]),0)</f>
        <v>0</v>
      </c>
      <c r="AI49" s="891">
        <f>SUMPRODUCT((Indirectos[[#This Row],[Mes Financiero]]=Tipo_Cambio[Mes])*(Indirectos[[#This Row],[Año Financiero]]=Tipo_Cambio[Año])*(Tipo_Cambio[$/U$S]))</f>
        <v>0</v>
      </c>
      <c r="AJ49" s="888">
        <f>SUMPRODUCT((Indirectos[[#This Row],[Mes Financiero]]=Tipo_Cambio[Mes])*(Indirectos[[#This Row],[Año Financiero]]=Tipo_Cambio[Año])*(Tipo_Cambio[Actualización]))</f>
        <v>0</v>
      </c>
      <c r="AK49" s="916">
        <f>IF(Económico!$F$4=0,0,Indirectos[Centro de Costo])</f>
        <v>0</v>
      </c>
    </row>
    <row r="50" spans="4:37" x14ac:dyDescent="0.25">
      <c r="D50" s="478">
        <f t="shared" si="5"/>
        <v>43405</v>
      </c>
      <c r="E50" s="493"/>
      <c r="F50" s="866" t="str">
        <f t="shared" si="4"/>
        <v>2018-2019</v>
      </c>
      <c r="G50" s="481" t="s">
        <v>108</v>
      </c>
      <c r="H50" s="481"/>
      <c r="I50" s="481" t="s">
        <v>5</v>
      </c>
      <c r="J50" s="481"/>
      <c r="K50" s="533"/>
      <c r="L50" s="484"/>
      <c r="M50" s="491"/>
      <c r="N50" s="523"/>
      <c r="O50" s="485"/>
      <c r="P50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50" s="913">
        <f>IFERROR(Indirectos[[#This Row],[Económico $Corrientes]]/Indirectos[[#This Row],[Indexación Económico]],0)</f>
        <v>0</v>
      </c>
      <c r="R50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50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50" s="913">
        <f>IFERROR(Indirectos[[#This Row],[Financiero $Corrientes]]/Indirectos[[#This Row],[Indexación Financiero]],0)</f>
        <v>0</v>
      </c>
      <c r="U50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50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50" s="890">
        <f>IFERROR(Indirectos[[#This Row],[Intereses $Corrientes]]/Indirectos[[#This Row],[Indexación Financiero]],0)</f>
        <v>0</v>
      </c>
      <c r="X50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50" s="915" t="str">
        <f>IFERROR(INDEX(Costos_Indirectos_Cuentas[],MATCH(Indirectos[[#This Row],[Cuenta Contable]],Costos_Indirectos_Cuentas[Cuenta Contable],0),2),0)</f>
        <v>Egreso</v>
      </c>
      <c r="Z50" s="887" t="str">
        <f>IFERROR(INDEX(Tabla9[],MATCH(Indirectos[[#This Row],[Movimiento]],Tabla9[Movimientos],0),2),0)</f>
        <v>Si</v>
      </c>
      <c r="AA50" s="918" t="str">
        <f>IFERROR(INDEX(Costos_Indirectos_Cuentas[],MATCH(Indirectos[[#This Row],[Cuenta Contable]],Costos_Indirectos_Cuentas[Cuenta Contable],0),3),0)</f>
        <v>Si</v>
      </c>
      <c r="AB50" s="889" t="str">
        <f>IFERROR(INDEX(Tabla9[],MATCH(Indirectos[[#This Row],[Movimiento]],Tabla9[Movimientos],0),3),0)</f>
        <v>(-)</v>
      </c>
      <c r="AC50" s="884">
        <f>IF(Indirectos[[#This Row],[Fecha Económico]]=0,0,MONTH(Indirectos[[#This Row],[Fecha Económico]]))</f>
        <v>11</v>
      </c>
      <c r="AD50" s="890">
        <f>IF(Indirectos[[#This Row],[Fecha Económico]]=0,0,YEAR(Indirectos[[#This Row],[Fecha Económico]]))</f>
        <v>2018</v>
      </c>
      <c r="AE50" s="891">
        <f>SUMPRODUCT((Indirectos[[#This Row],[Mes Económico]]=Tipo_Cambio[Mes])*(Indirectos[[#This Row],[Año Económico]]=Tipo_Cambio[Año])*(Tipo_Cambio[$/U$S]))</f>
        <v>22.893288219999999</v>
      </c>
      <c r="AF50" s="891">
        <f>SUMPRODUCT((Indirectos[[#This Row],[Mes Económico]]=Tipo_Cambio[Mes])*(Indirectos[[#This Row],[Año Económico]]=Tipo_Cambio[Año])*(Tipo_Cambio[Actualización]))</f>
        <v>1.08243216</v>
      </c>
      <c r="AG50" s="890">
        <f>IF(ISNUMBER(Indirectos[[#This Row],[Fecha Financiero]])=TRUE,MONTH(Indirectos[[#This Row],[Fecha Financiero]]),0)</f>
        <v>0</v>
      </c>
      <c r="AH50" s="890">
        <f>IF(ISNUMBER(Indirectos[[#This Row],[Fecha Financiero]])=TRUE,YEAR(Indirectos[[#This Row],[Fecha Financiero]]),0)</f>
        <v>0</v>
      </c>
      <c r="AI50" s="891">
        <f>SUMPRODUCT((Indirectos[[#This Row],[Mes Financiero]]=Tipo_Cambio[Mes])*(Indirectos[[#This Row],[Año Financiero]]=Tipo_Cambio[Año])*(Tipo_Cambio[$/U$S]))</f>
        <v>0</v>
      </c>
      <c r="AJ50" s="888">
        <f>SUMPRODUCT((Indirectos[[#This Row],[Mes Financiero]]=Tipo_Cambio[Mes])*(Indirectos[[#This Row],[Año Financiero]]=Tipo_Cambio[Año])*(Tipo_Cambio[Actualización]))</f>
        <v>0</v>
      </c>
      <c r="AK50" s="916">
        <f>IF(Económico!$F$4=0,0,Indirectos[Centro de Costo])</f>
        <v>0</v>
      </c>
    </row>
    <row r="51" spans="4:37" x14ac:dyDescent="0.25">
      <c r="D51" s="478">
        <f t="shared" si="5"/>
        <v>43435</v>
      </c>
      <c r="E51" s="493"/>
      <c r="F51" s="866" t="str">
        <f t="shared" si="4"/>
        <v>2018-2019</v>
      </c>
      <c r="G51" s="481" t="s">
        <v>108</v>
      </c>
      <c r="H51" s="481"/>
      <c r="I51" s="481" t="s">
        <v>5</v>
      </c>
      <c r="J51" s="481"/>
      <c r="K51" s="533"/>
      <c r="L51" s="484"/>
      <c r="M51" s="491"/>
      <c r="N51" s="523"/>
      <c r="O51" s="485"/>
      <c r="P51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51" s="913">
        <f>IFERROR(Indirectos[[#This Row],[Económico $Corrientes]]/Indirectos[[#This Row],[Indexación Económico]],0)</f>
        <v>0</v>
      </c>
      <c r="R51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51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51" s="913">
        <f>IFERROR(Indirectos[[#This Row],[Financiero $Corrientes]]/Indirectos[[#This Row],[Indexación Financiero]],0)</f>
        <v>0</v>
      </c>
      <c r="U51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51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51" s="890">
        <f>IFERROR(Indirectos[[#This Row],[Intereses $Corrientes]]/Indirectos[[#This Row],[Indexación Financiero]],0)</f>
        <v>0</v>
      </c>
      <c r="X51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51" s="915" t="str">
        <f>IFERROR(INDEX(Costos_Indirectos_Cuentas[],MATCH(Indirectos[[#This Row],[Cuenta Contable]],Costos_Indirectos_Cuentas[Cuenta Contable],0),2),0)</f>
        <v>Egreso</v>
      </c>
      <c r="Z51" s="887" t="str">
        <f>IFERROR(INDEX(Tabla9[],MATCH(Indirectos[[#This Row],[Movimiento]],Tabla9[Movimientos],0),2),0)</f>
        <v>Si</v>
      </c>
      <c r="AA51" s="918" t="str">
        <f>IFERROR(INDEX(Costos_Indirectos_Cuentas[],MATCH(Indirectos[[#This Row],[Cuenta Contable]],Costos_Indirectos_Cuentas[Cuenta Contable],0),3),0)</f>
        <v>Si</v>
      </c>
      <c r="AB51" s="889" t="str">
        <f>IFERROR(INDEX(Tabla9[],MATCH(Indirectos[[#This Row],[Movimiento]],Tabla9[Movimientos],0),3),0)</f>
        <v>(-)</v>
      </c>
      <c r="AC51" s="884">
        <f>IF(Indirectos[[#This Row],[Fecha Económico]]=0,0,MONTH(Indirectos[[#This Row],[Fecha Económico]]))</f>
        <v>12</v>
      </c>
      <c r="AD51" s="890">
        <f>IF(Indirectos[[#This Row],[Fecha Económico]]=0,0,YEAR(Indirectos[[#This Row],[Fecha Económico]]))</f>
        <v>2018</v>
      </c>
      <c r="AE51" s="891">
        <f>SUMPRODUCT((Indirectos[[#This Row],[Mes Económico]]=Tipo_Cambio[Mes])*(Indirectos[[#This Row],[Año Económico]]=Tipo_Cambio[Año])*(Tipo_Cambio[$/U$S]))</f>
        <v>23.122221102199997</v>
      </c>
      <c r="AF51" s="891">
        <f>SUMPRODUCT((Indirectos[[#This Row],[Mes Económico]]=Tipo_Cambio[Mes])*(Indirectos[[#This Row],[Año Económico]]=Tipo_Cambio[Año])*(Tipo_Cambio[Actualización]))</f>
        <v>1.1040808032</v>
      </c>
      <c r="AG51" s="890">
        <f>IF(ISNUMBER(Indirectos[[#This Row],[Fecha Financiero]])=TRUE,MONTH(Indirectos[[#This Row],[Fecha Financiero]]),0)</f>
        <v>0</v>
      </c>
      <c r="AH51" s="890">
        <f>IF(ISNUMBER(Indirectos[[#This Row],[Fecha Financiero]])=TRUE,YEAR(Indirectos[[#This Row],[Fecha Financiero]]),0)</f>
        <v>0</v>
      </c>
      <c r="AI51" s="891">
        <f>SUMPRODUCT((Indirectos[[#This Row],[Mes Financiero]]=Tipo_Cambio[Mes])*(Indirectos[[#This Row],[Año Financiero]]=Tipo_Cambio[Año])*(Tipo_Cambio[$/U$S]))</f>
        <v>0</v>
      </c>
      <c r="AJ51" s="888">
        <f>SUMPRODUCT((Indirectos[[#This Row],[Mes Financiero]]=Tipo_Cambio[Mes])*(Indirectos[[#This Row],[Año Financiero]]=Tipo_Cambio[Año])*(Tipo_Cambio[Actualización]))</f>
        <v>0</v>
      </c>
      <c r="AK51" s="916">
        <f>IF(Económico!$F$4=0,0,Indirectos[Centro de Costo])</f>
        <v>0</v>
      </c>
    </row>
    <row r="52" spans="4:37" x14ac:dyDescent="0.25">
      <c r="D52" s="478">
        <f t="shared" si="5"/>
        <v>43466</v>
      </c>
      <c r="E52" s="493"/>
      <c r="F52" s="866" t="str">
        <f t="shared" si="4"/>
        <v>2018-2019</v>
      </c>
      <c r="G52" s="481" t="s">
        <v>108</v>
      </c>
      <c r="H52" s="481"/>
      <c r="I52" s="481" t="s">
        <v>5</v>
      </c>
      <c r="J52" s="481"/>
      <c r="K52" s="533"/>
      <c r="L52" s="484"/>
      <c r="M52" s="491"/>
      <c r="N52" s="523"/>
      <c r="O52" s="485"/>
      <c r="P52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52" s="913">
        <f>IFERROR(Indirectos[[#This Row],[Económico $Corrientes]]/Indirectos[[#This Row],[Indexación Económico]],0)</f>
        <v>0</v>
      </c>
      <c r="R52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52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52" s="913">
        <f>IFERROR(Indirectos[[#This Row],[Financiero $Corrientes]]/Indirectos[[#This Row],[Indexación Financiero]],0)</f>
        <v>0</v>
      </c>
      <c r="U52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52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52" s="890">
        <f>IFERROR(Indirectos[[#This Row],[Intereses $Corrientes]]/Indirectos[[#This Row],[Indexación Financiero]],0)</f>
        <v>0</v>
      </c>
      <c r="X52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52" s="915" t="str">
        <f>IFERROR(INDEX(Costos_Indirectos_Cuentas[],MATCH(Indirectos[[#This Row],[Cuenta Contable]],Costos_Indirectos_Cuentas[Cuenta Contable],0),2),0)</f>
        <v>Egreso</v>
      </c>
      <c r="Z52" s="887" t="str">
        <f>IFERROR(INDEX(Tabla9[],MATCH(Indirectos[[#This Row],[Movimiento]],Tabla9[Movimientos],0),2),0)</f>
        <v>Si</v>
      </c>
      <c r="AA52" s="918" t="str">
        <f>IFERROR(INDEX(Costos_Indirectos_Cuentas[],MATCH(Indirectos[[#This Row],[Cuenta Contable]],Costos_Indirectos_Cuentas[Cuenta Contable],0),3),0)</f>
        <v>Si</v>
      </c>
      <c r="AB52" s="889" t="str">
        <f>IFERROR(INDEX(Tabla9[],MATCH(Indirectos[[#This Row],[Movimiento]],Tabla9[Movimientos],0),3),0)</f>
        <v>(-)</v>
      </c>
      <c r="AC52" s="884">
        <f>IF(Indirectos[[#This Row],[Fecha Económico]]=0,0,MONTH(Indirectos[[#This Row],[Fecha Económico]]))</f>
        <v>1</v>
      </c>
      <c r="AD52" s="890">
        <f>IF(Indirectos[[#This Row],[Fecha Económico]]=0,0,YEAR(Indirectos[[#This Row],[Fecha Económico]]))</f>
        <v>2019</v>
      </c>
      <c r="AE52" s="891">
        <f>SUMPRODUCT((Indirectos[[#This Row],[Mes Económico]]=Tipo_Cambio[Mes])*(Indirectos[[#This Row],[Año Económico]]=Tipo_Cambio[Año])*(Tipo_Cambio[$/U$S]))</f>
        <v>23.353443313221998</v>
      </c>
      <c r="AF52" s="891">
        <f>SUMPRODUCT((Indirectos[[#This Row],[Mes Económico]]=Tipo_Cambio[Mes])*(Indirectos[[#This Row],[Año Económico]]=Tipo_Cambio[Año])*(Tipo_Cambio[Actualización]))</f>
        <v>1.1261624192640001</v>
      </c>
      <c r="AG52" s="890">
        <f>IF(ISNUMBER(Indirectos[[#This Row],[Fecha Financiero]])=TRUE,MONTH(Indirectos[[#This Row],[Fecha Financiero]]),0)</f>
        <v>0</v>
      </c>
      <c r="AH52" s="890">
        <f>IF(ISNUMBER(Indirectos[[#This Row],[Fecha Financiero]])=TRUE,YEAR(Indirectos[[#This Row],[Fecha Financiero]]),0)</f>
        <v>0</v>
      </c>
      <c r="AI52" s="891">
        <f>SUMPRODUCT((Indirectos[[#This Row],[Mes Financiero]]=Tipo_Cambio[Mes])*(Indirectos[[#This Row],[Año Financiero]]=Tipo_Cambio[Año])*(Tipo_Cambio[$/U$S]))</f>
        <v>0</v>
      </c>
      <c r="AJ52" s="888">
        <f>SUMPRODUCT((Indirectos[[#This Row],[Mes Financiero]]=Tipo_Cambio[Mes])*(Indirectos[[#This Row],[Año Financiero]]=Tipo_Cambio[Año])*(Tipo_Cambio[Actualización]))</f>
        <v>0</v>
      </c>
      <c r="AK52" s="916">
        <f>IF(Económico!$F$4=0,0,Indirectos[Centro de Costo])</f>
        <v>0</v>
      </c>
    </row>
    <row r="53" spans="4:37" x14ac:dyDescent="0.25">
      <c r="D53" s="478">
        <f t="shared" si="5"/>
        <v>43497</v>
      </c>
      <c r="E53" s="493"/>
      <c r="F53" s="866" t="str">
        <f t="shared" si="4"/>
        <v>2018-2019</v>
      </c>
      <c r="G53" s="481" t="s">
        <v>108</v>
      </c>
      <c r="H53" s="481"/>
      <c r="I53" s="481" t="s">
        <v>5</v>
      </c>
      <c r="J53" s="481"/>
      <c r="K53" s="533"/>
      <c r="L53" s="484"/>
      <c r="M53" s="491"/>
      <c r="N53" s="523"/>
      <c r="O53" s="485"/>
      <c r="P53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53" s="913">
        <f>IFERROR(Indirectos[[#This Row],[Económico $Corrientes]]/Indirectos[[#This Row],[Indexación Económico]],0)</f>
        <v>0</v>
      </c>
      <c r="R53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53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53" s="913">
        <f>IFERROR(Indirectos[[#This Row],[Financiero $Corrientes]]/Indirectos[[#This Row],[Indexación Financiero]],0)</f>
        <v>0</v>
      </c>
      <c r="U53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53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53" s="890">
        <f>IFERROR(Indirectos[[#This Row],[Intereses $Corrientes]]/Indirectos[[#This Row],[Indexación Financiero]],0)</f>
        <v>0</v>
      </c>
      <c r="X53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53" s="915" t="str">
        <f>IFERROR(INDEX(Costos_Indirectos_Cuentas[],MATCH(Indirectos[[#This Row],[Cuenta Contable]],Costos_Indirectos_Cuentas[Cuenta Contable],0),2),0)</f>
        <v>Egreso</v>
      </c>
      <c r="Z53" s="887" t="str">
        <f>IFERROR(INDEX(Tabla9[],MATCH(Indirectos[[#This Row],[Movimiento]],Tabla9[Movimientos],0),2),0)</f>
        <v>Si</v>
      </c>
      <c r="AA53" s="918" t="str">
        <f>IFERROR(INDEX(Costos_Indirectos_Cuentas[],MATCH(Indirectos[[#This Row],[Cuenta Contable]],Costos_Indirectos_Cuentas[Cuenta Contable],0),3),0)</f>
        <v>Si</v>
      </c>
      <c r="AB53" s="889" t="str">
        <f>IFERROR(INDEX(Tabla9[],MATCH(Indirectos[[#This Row],[Movimiento]],Tabla9[Movimientos],0),3),0)</f>
        <v>(-)</v>
      </c>
      <c r="AC53" s="884">
        <f>IF(Indirectos[[#This Row],[Fecha Económico]]=0,0,MONTH(Indirectos[[#This Row],[Fecha Económico]]))</f>
        <v>2</v>
      </c>
      <c r="AD53" s="890">
        <f>IF(Indirectos[[#This Row],[Fecha Económico]]=0,0,YEAR(Indirectos[[#This Row],[Fecha Económico]]))</f>
        <v>2019</v>
      </c>
      <c r="AE53" s="891">
        <f>SUMPRODUCT((Indirectos[[#This Row],[Mes Económico]]=Tipo_Cambio[Mes])*(Indirectos[[#This Row],[Año Económico]]=Tipo_Cambio[Año])*(Tipo_Cambio[$/U$S]))</f>
        <v>23.586977746354219</v>
      </c>
      <c r="AF53" s="891">
        <f>SUMPRODUCT((Indirectos[[#This Row],[Mes Económico]]=Tipo_Cambio[Mes])*(Indirectos[[#This Row],[Año Económico]]=Tipo_Cambio[Año])*(Tipo_Cambio[Actualización]))</f>
        <v>1.14868566764928</v>
      </c>
      <c r="AG53" s="890">
        <f>IF(ISNUMBER(Indirectos[[#This Row],[Fecha Financiero]])=TRUE,MONTH(Indirectos[[#This Row],[Fecha Financiero]]),0)</f>
        <v>0</v>
      </c>
      <c r="AH53" s="890">
        <f>IF(ISNUMBER(Indirectos[[#This Row],[Fecha Financiero]])=TRUE,YEAR(Indirectos[[#This Row],[Fecha Financiero]]),0)</f>
        <v>0</v>
      </c>
      <c r="AI53" s="891">
        <f>SUMPRODUCT((Indirectos[[#This Row],[Mes Financiero]]=Tipo_Cambio[Mes])*(Indirectos[[#This Row],[Año Financiero]]=Tipo_Cambio[Año])*(Tipo_Cambio[$/U$S]))</f>
        <v>0</v>
      </c>
      <c r="AJ53" s="888">
        <f>SUMPRODUCT((Indirectos[[#This Row],[Mes Financiero]]=Tipo_Cambio[Mes])*(Indirectos[[#This Row],[Año Financiero]]=Tipo_Cambio[Año])*(Tipo_Cambio[Actualización]))</f>
        <v>0</v>
      </c>
      <c r="AK53" s="916">
        <f>IF(Económico!$F$4=0,0,Indirectos[Centro de Costo])</f>
        <v>0</v>
      </c>
    </row>
    <row r="54" spans="4:37" x14ac:dyDescent="0.25">
      <c r="D54" s="478">
        <f t="shared" si="5"/>
        <v>43525</v>
      </c>
      <c r="E54" s="493"/>
      <c r="F54" s="866" t="str">
        <f t="shared" si="4"/>
        <v>2018-2019</v>
      </c>
      <c r="G54" s="481" t="s">
        <v>108</v>
      </c>
      <c r="H54" s="481"/>
      <c r="I54" s="481" t="s">
        <v>5</v>
      </c>
      <c r="J54" s="481"/>
      <c r="K54" s="533"/>
      <c r="L54" s="484"/>
      <c r="M54" s="491"/>
      <c r="N54" s="523"/>
      <c r="O54" s="485"/>
      <c r="P54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54" s="913">
        <f>IFERROR(Indirectos[[#This Row],[Económico $Corrientes]]/Indirectos[[#This Row],[Indexación Económico]],0)</f>
        <v>0</v>
      </c>
      <c r="R54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54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54" s="913">
        <f>IFERROR(Indirectos[[#This Row],[Financiero $Corrientes]]/Indirectos[[#This Row],[Indexación Financiero]],0)</f>
        <v>0</v>
      </c>
      <c r="U54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54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54" s="890">
        <f>IFERROR(Indirectos[[#This Row],[Intereses $Corrientes]]/Indirectos[[#This Row],[Indexación Financiero]],0)</f>
        <v>0</v>
      </c>
      <c r="X54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54" s="915" t="str">
        <f>IFERROR(INDEX(Costos_Indirectos_Cuentas[],MATCH(Indirectos[[#This Row],[Cuenta Contable]],Costos_Indirectos_Cuentas[Cuenta Contable],0),2),0)</f>
        <v>Egreso</v>
      </c>
      <c r="Z54" s="887" t="str">
        <f>IFERROR(INDEX(Tabla9[],MATCH(Indirectos[[#This Row],[Movimiento]],Tabla9[Movimientos],0),2),0)</f>
        <v>Si</v>
      </c>
      <c r="AA54" s="918" t="str">
        <f>IFERROR(INDEX(Costos_Indirectos_Cuentas[],MATCH(Indirectos[[#This Row],[Cuenta Contable]],Costos_Indirectos_Cuentas[Cuenta Contable],0),3),0)</f>
        <v>Si</v>
      </c>
      <c r="AB54" s="889" t="str">
        <f>IFERROR(INDEX(Tabla9[],MATCH(Indirectos[[#This Row],[Movimiento]],Tabla9[Movimientos],0),3),0)</f>
        <v>(-)</v>
      </c>
      <c r="AC54" s="884">
        <f>IF(Indirectos[[#This Row],[Fecha Económico]]=0,0,MONTH(Indirectos[[#This Row],[Fecha Económico]]))</f>
        <v>3</v>
      </c>
      <c r="AD54" s="890">
        <f>IF(Indirectos[[#This Row],[Fecha Económico]]=0,0,YEAR(Indirectos[[#This Row],[Fecha Económico]]))</f>
        <v>2019</v>
      </c>
      <c r="AE54" s="891">
        <f>SUMPRODUCT((Indirectos[[#This Row],[Mes Económico]]=Tipo_Cambio[Mes])*(Indirectos[[#This Row],[Año Económico]]=Tipo_Cambio[Año])*(Tipo_Cambio[$/U$S]))</f>
        <v>23.82284752381776</v>
      </c>
      <c r="AF54" s="891">
        <f>SUMPRODUCT((Indirectos[[#This Row],[Mes Económico]]=Tipo_Cambio[Mes])*(Indirectos[[#This Row],[Año Económico]]=Tipo_Cambio[Año])*(Tipo_Cambio[Actualización]))</f>
        <v>1.1716593810022657</v>
      </c>
      <c r="AG54" s="890">
        <f>IF(ISNUMBER(Indirectos[[#This Row],[Fecha Financiero]])=TRUE,MONTH(Indirectos[[#This Row],[Fecha Financiero]]),0)</f>
        <v>0</v>
      </c>
      <c r="AH54" s="890">
        <f>IF(ISNUMBER(Indirectos[[#This Row],[Fecha Financiero]])=TRUE,YEAR(Indirectos[[#This Row],[Fecha Financiero]]),0)</f>
        <v>0</v>
      </c>
      <c r="AI54" s="891">
        <f>SUMPRODUCT((Indirectos[[#This Row],[Mes Financiero]]=Tipo_Cambio[Mes])*(Indirectos[[#This Row],[Año Financiero]]=Tipo_Cambio[Año])*(Tipo_Cambio[$/U$S]))</f>
        <v>0</v>
      </c>
      <c r="AJ54" s="888">
        <f>SUMPRODUCT((Indirectos[[#This Row],[Mes Financiero]]=Tipo_Cambio[Mes])*(Indirectos[[#This Row],[Año Financiero]]=Tipo_Cambio[Año])*(Tipo_Cambio[Actualización]))</f>
        <v>0</v>
      </c>
      <c r="AK54" s="916">
        <f>IF(Económico!$F$4=0,0,Indirectos[Centro de Costo])</f>
        <v>0</v>
      </c>
    </row>
    <row r="55" spans="4:37" x14ac:dyDescent="0.25">
      <c r="D55" s="478">
        <f t="shared" si="5"/>
        <v>43556</v>
      </c>
      <c r="E55" s="493"/>
      <c r="F55" s="866" t="str">
        <f t="shared" si="4"/>
        <v>2018-2019</v>
      </c>
      <c r="G55" s="481" t="s">
        <v>108</v>
      </c>
      <c r="H55" s="481"/>
      <c r="I55" s="481" t="s">
        <v>5</v>
      </c>
      <c r="J55" s="481"/>
      <c r="K55" s="533"/>
      <c r="L55" s="484"/>
      <c r="M55" s="491"/>
      <c r="N55" s="523"/>
      <c r="O55" s="485"/>
      <c r="P55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55" s="913">
        <f>IFERROR(Indirectos[[#This Row],[Económico $Corrientes]]/Indirectos[[#This Row],[Indexación Económico]],0)</f>
        <v>0</v>
      </c>
      <c r="R55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55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55" s="913">
        <f>IFERROR(Indirectos[[#This Row],[Financiero $Corrientes]]/Indirectos[[#This Row],[Indexación Financiero]],0)</f>
        <v>0</v>
      </c>
      <c r="U55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55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55" s="890">
        <f>IFERROR(Indirectos[[#This Row],[Intereses $Corrientes]]/Indirectos[[#This Row],[Indexación Financiero]],0)</f>
        <v>0</v>
      </c>
      <c r="X55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55" s="915" t="str">
        <f>IFERROR(INDEX(Costos_Indirectos_Cuentas[],MATCH(Indirectos[[#This Row],[Cuenta Contable]],Costos_Indirectos_Cuentas[Cuenta Contable],0),2),0)</f>
        <v>Egreso</v>
      </c>
      <c r="Z55" s="887" t="str">
        <f>IFERROR(INDEX(Tabla9[],MATCH(Indirectos[[#This Row],[Movimiento]],Tabla9[Movimientos],0),2),0)</f>
        <v>Si</v>
      </c>
      <c r="AA55" s="918" t="str">
        <f>IFERROR(INDEX(Costos_Indirectos_Cuentas[],MATCH(Indirectos[[#This Row],[Cuenta Contable]],Costos_Indirectos_Cuentas[Cuenta Contable],0),3),0)</f>
        <v>Si</v>
      </c>
      <c r="AB55" s="889" t="str">
        <f>IFERROR(INDEX(Tabla9[],MATCH(Indirectos[[#This Row],[Movimiento]],Tabla9[Movimientos],0),3),0)</f>
        <v>(-)</v>
      </c>
      <c r="AC55" s="884">
        <f>IF(Indirectos[[#This Row],[Fecha Económico]]=0,0,MONTH(Indirectos[[#This Row],[Fecha Económico]]))</f>
        <v>4</v>
      </c>
      <c r="AD55" s="890">
        <f>IF(Indirectos[[#This Row],[Fecha Económico]]=0,0,YEAR(Indirectos[[#This Row],[Fecha Económico]]))</f>
        <v>2019</v>
      </c>
      <c r="AE55" s="891">
        <f>SUMPRODUCT((Indirectos[[#This Row],[Mes Económico]]=Tipo_Cambio[Mes])*(Indirectos[[#This Row],[Año Económico]]=Tipo_Cambio[Año])*(Tipo_Cambio[$/U$S]))</f>
        <v>24.061075999055937</v>
      </c>
      <c r="AF55" s="891">
        <f>SUMPRODUCT((Indirectos[[#This Row],[Mes Económico]]=Tipo_Cambio[Mes])*(Indirectos[[#This Row],[Año Económico]]=Tipo_Cambio[Año])*(Tipo_Cambio[Actualización]))</f>
        <v>1.1950925686223111</v>
      </c>
      <c r="AG55" s="890">
        <f>IF(ISNUMBER(Indirectos[[#This Row],[Fecha Financiero]])=TRUE,MONTH(Indirectos[[#This Row],[Fecha Financiero]]),0)</f>
        <v>0</v>
      </c>
      <c r="AH55" s="890">
        <f>IF(ISNUMBER(Indirectos[[#This Row],[Fecha Financiero]])=TRUE,YEAR(Indirectos[[#This Row],[Fecha Financiero]]),0)</f>
        <v>0</v>
      </c>
      <c r="AI55" s="891">
        <f>SUMPRODUCT((Indirectos[[#This Row],[Mes Financiero]]=Tipo_Cambio[Mes])*(Indirectos[[#This Row],[Año Financiero]]=Tipo_Cambio[Año])*(Tipo_Cambio[$/U$S]))</f>
        <v>0</v>
      </c>
      <c r="AJ55" s="888">
        <f>SUMPRODUCT((Indirectos[[#This Row],[Mes Financiero]]=Tipo_Cambio[Mes])*(Indirectos[[#This Row],[Año Financiero]]=Tipo_Cambio[Año])*(Tipo_Cambio[Actualización]))</f>
        <v>0</v>
      </c>
      <c r="AK55" s="916">
        <f>IF(Económico!$F$4=0,0,Indirectos[Centro de Costo])</f>
        <v>0</v>
      </c>
    </row>
    <row r="56" spans="4:37" x14ac:dyDescent="0.25">
      <c r="D56" s="478">
        <f t="shared" si="5"/>
        <v>43586</v>
      </c>
      <c r="E56" s="493"/>
      <c r="F56" s="866" t="str">
        <f t="shared" si="4"/>
        <v>2018-2019</v>
      </c>
      <c r="G56" s="481" t="s">
        <v>108</v>
      </c>
      <c r="H56" s="481"/>
      <c r="I56" s="481" t="s">
        <v>5</v>
      </c>
      <c r="J56" s="481"/>
      <c r="K56" s="533"/>
      <c r="L56" s="484"/>
      <c r="M56" s="491"/>
      <c r="N56" s="491"/>
      <c r="O56" s="485"/>
      <c r="P56" s="881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56" s="913">
        <f>IFERROR(Indirectos[[#This Row],[Económico $Corrientes]]/Indirectos[[#This Row],[Indexación Económico]],0)</f>
        <v>0</v>
      </c>
      <c r="R56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56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56" s="913">
        <f>IFERROR(Indirectos[[#This Row],[Financiero $Corrientes]]/Indirectos[[#This Row],[Indexación Financiero]],0)</f>
        <v>0</v>
      </c>
      <c r="U56" s="913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56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56" s="890">
        <f>IFERROR(Indirectos[[#This Row],[Intereses $Corrientes]]/Indirectos[[#This Row],[Indexación Financiero]],0)</f>
        <v>0</v>
      </c>
      <c r="X56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56" s="886" t="str">
        <f>IFERROR(INDEX(Costos_Indirectos_Cuentas[],MATCH(Indirectos[[#This Row],[Cuenta Contable]],Costos_Indirectos_Cuentas[Cuenta Contable],0),2),0)</f>
        <v>Egreso</v>
      </c>
      <c r="Z56" s="887" t="str">
        <f>IFERROR(INDEX(Tabla9[],MATCH(Indirectos[[#This Row],[Movimiento]],Tabla9[Movimientos],0),2),0)</f>
        <v>Si</v>
      </c>
      <c r="AA56" s="889" t="str">
        <f>IFERROR(INDEX(Costos_Indirectos_Cuentas[],MATCH(Indirectos[[#This Row],[Cuenta Contable]],Costos_Indirectos_Cuentas[Cuenta Contable],0),3),0)</f>
        <v>Si</v>
      </c>
      <c r="AB56" s="889" t="str">
        <f>IFERROR(INDEX(Tabla9[],MATCH(Indirectos[[#This Row],[Movimiento]],Tabla9[Movimientos],0),3),0)</f>
        <v>(-)</v>
      </c>
      <c r="AC56" s="884">
        <f>IF(Indirectos[[#This Row],[Fecha Económico]]=0,0,MONTH(Indirectos[[#This Row],[Fecha Económico]]))</f>
        <v>5</v>
      </c>
      <c r="AD56" s="890">
        <f>IF(Indirectos[[#This Row],[Fecha Económico]]=0,0,YEAR(Indirectos[[#This Row],[Fecha Económico]]))</f>
        <v>2019</v>
      </c>
      <c r="AE56" s="891">
        <f>SUMPRODUCT((Indirectos[[#This Row],[Mes Económico]]=Tipo_Cambio[Mes])*(Indirectos[[#This Row],[Año Económico]]=Tipo_Cambio[Año])*(Tipo_Cambio[$/U$S]))</f>
        <v>24.301686759046497</v>
      </c>
      <c r="AF56" s="891">
        <f>SUMPRODUCT((Indirectos[[#This Row],[Mes Económico]]=Tipo_Cambio[Mes])*(Indirectos[[#This Row],[Año Económico]]=Tipo_Cambio[Año])*(Tipo_Cambio[Actualización]))</f>
        <v>1.2189944199947573</v>
      </c>
      <c r="AG56" s="890">
        <f>IF(ISNUMBER(Indirectos[[#This Row],[Fecha Financiero]])=TRUE,MONTH(Indirectos[[#This Row],[Fecha Financiero]]),0)</f>
        <v>0</v>
      </c>
      <c r="AH56" s="890">
        <f>IF(ISNUMBER(Indirectos[[#This Row],[Fecha Financiero]])=TRUE,YEAR(Indirectos[[#This Row],[Fecha Financiero]]),0)</f>
        <v>0</v>
      </c>
      <c r="AI56" s="891">
        <f>SUMPRODUCT((Indirectos[[#This Row],[Mes Financiero]]=Tipo_Cambio[Mes])*(Indirectos[[#This Row],[Año Financiero]]=Tipo_Cambio[Año])*(Tipo_Cambio[$/U$S]))</f>
        <v>0</v>
      </c>
      <c r="AJ56" s="891">
        <f>SUMPRODUCT((Indirectos[[#This Row],[Mes Financiero]]=Tipo_Cambio[Mes])*(Indirectos[[#This Row],[Año Financiero]]=Tipo_Cambio[Año])*(Tipo_Cambio[Actualización]))</f>
        <v>0</v>
      </c>
      <c r="AK56" s="887">
        <f>IF(Económico!$F$4=0,0,Indirectos[Centro de Costo])</f>
        <v>0</v>
      </c>
    </row>
    <row r="57" spans="4:37" x14ac:dyDescent="0.25">
      <c r="D57" s="535">
        <f t="shared" si="5"/>
        <v>43617</v>
      </c>
      <c r="E57" s="536"/>
      <c r="F57" s="867" t="str">
        <f t="shared" si="4"/>
        <v>2018-2019</v>
      </c>
      <c r="G57" s="538" t="s">
        <v>108</v>
      </c>
      <c r="H57" s="538"/>
      <c r="I57" s="538" t="s">
        <v>5</v>
      </c>
      <c r="J57" s="538"/>
      <c r="K57" s="539"/>
      <c r="L57" s="540"/>
      <c r="M57" s="538"/>
      <c r="N57" s="538"/>
      <c r="O57" s="541"/>
      <c r="P57" s="89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57" s="893">
        <f>IFERROR(Indirectos[[#This Row],[Económico $Corrientes]]/Indirectos[[#This Row],[Indexación Económico]],0)</f>
        <v>0</v>
      </c>
      <c r="R57" s="894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57" s="895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57" s="893">
        <f>IFERROR(Indirectos[[#This Row],[Financiero $Corrientes]]/Indirectos[[#This Row],[Indexación Financiero]],0)</f>
        <v>0</v>
      </c>
      <c r="U57" s="893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57" s="896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57" s="897">
        <f>IFERROR(Indirectos[[#This Row],[Intereses $Corrientes]]/Indirectos[[#This Row],[Indexación Financiero]],0)</f>
        <v>0</v>
      </c>
      <c r="X57" s="897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57" s="898" t="str">
        <f>IFERROR(INDEX(Costos_Indirectos_Cuentas[],MATCH(Indirectos[[#This Row],[Cuenta Contable]],Costos_Indirectos_Cuentas[Cuenta Contable],0),2),0)</f>
        <v>Egreso</v>
      </c>
      <c r="Z57" s="899" t="str">
        <f>IFERROR(INDEX(Tabla9[],MATCH(Indirectos[[#This Row],[Movimiento]],Tabla9[Movimientos],0),2),0)</f>
        <v>Si</v>
      </c>
      <c r="AA57" s="901" t="str">
        <f>IFERROR(INDEX(Costos_Indirectos_Cuentas[],MATCH(Indirectos[[#This Row],[Cuenta Contable]],Costos_Indirectos_Cuentas[Cuenta Contable],0),3),0)</f>
        <v>Si</v>
      </c>
      <c r="AB57" s="901" t="str">
        <f>IFERROR(INDEX(Tabla9[],MATCH(Indirectos[[#This Row],[Movimiento]],Tabla9[Movimientos],0),3),0)</f>
        <v>(-)</v>
      </c>
      <c r="AC57" s="896">
        <f>IF(Indirectos[[#This Row],[Fecha Económico]]=0,0,MONTH(Indirectos[[#This Row],[Fecha Económico]]))</f>
        <v>6</v>
      </c>
      <c r="AD57" s="897">
        <f>IF(Indirectos[[#This Row],[Fecha Económico]]=0,0,YEAR(Indirectos[[#This Row],[Fecha Económico]]))</f>
        <v>2019</v>
      </c>
      <c r="AE57" s="901">
        <f>SUMPRODUCT((Indirectos[[#This Row],[Mes Económico]]=Tipo_Cambio[Mes])*(Indirectos[[#This Row],[Año Económico]]=Tipo_Cambio[Año])*(Tipo_Cambio[$/U$S]))</f>
        <v>24.544703626636963</v>
      </c>
      <c r="AF57" s="901">
        <f>SUMPRODUCT((Indirectos[[#This Row],[Mes Económico]]=Tipo_Cambio[Mes])*(Indirectos[[#This Row],[Año Económico]]=Tipo_Cambio[Año])*(Tipo_Cambio[Actualización]))</f>
        <v>1.2433743083946525</v>
      </c>
      <c r="AG57" s="897">
        <f>IF(ISNUMBER(Indirectos[[#This Row],[Fecha Financiero]])=TRUE,MONTH(Indirectos[[#This Row],[Fecha Financiero]]),0)</f>
        <v>0</v>
      </c>
      <c r="AH57" s="897">
        <f>IF(ISNUMBER(Indirectos[[#This Row],[Fecha Financiero]])=TRUE,YEAR(Indirectos[[#This Row],[Fecha Financiero]]),0)</f>
        <v>0</v>
      </c>
      <c r="AI57" s="901">
        <f>SUMPRODUCT((Indirectos[[#This Row],[Mes Financiero]]=Tipo_Cambio[Mes])*(Indirectos[[#This Row],[Año Financiero]]=Tipo_Cambio[Año])*(Tipo_Cambio[$/U$S]))</f>
        <v>0</v>
      </c>
      <c r="AJ57" s="901">
        <f>SUMPRODUCT((Indirectos[[#This Row],[Mes Financiero]]=Tipo_Cambio[Mes])*(Indirectos[[#This Row],[Año Financiero]]=Tipo_Cambio[Año])*(Tipo_Cambio[Actualización]))</f>
        <v>0</v>
      </c>
      <c r="AK57" s="899">
        <f>IF(Económico!$F$4=0,0,Indirectos[Centro de Costo])</f>
        <v>0</v>
      </c>
    </row>
    <row r="58" spans="4:37" x14ac:dyDescent="0.25">
      <c r="D58" s="478">
        <f>DATE(LEFT(Indirectos[[#This Row],[Campaña]],4),7,1)</f>
        <v>43282</v>
      </c>
      <c r="E58" s="522"/>
      <c r="F58" s="869" t="str">
        <f t="shared" si="4"/>
        <v>2018-2019</v>
      </c>
      <c r="G58" s="481" t="s">
        <v>109</v>
      </c>
      <c r="H58" s="481"/>
      <c r="I58" s="481" t="s">
        <v>5</v>
      </c>
      <c r="J58" s="481"/>
      <c r="K58" s="533"/>
      <c r="L58" s="484"/>
      <c r="M58" s="481"/>
      <c r="N58" s="523"/>
      <c r="O58" s="485"/>
      <c r="P58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58" s="913">
        <f>IFERROR(Indirectos[[#This Row],[Económico $Corrientes]]/Indirectos[[#This Row],[Indexación Económico]],0)</f>
        <v>0</v>
      </c>
      <c r="R58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58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58" s="913">
        <f>IFERROR(Indirectos[[#This Row],[Financiero $Corrientes]]/Indirectos[[#This Row],[Indexación Financiero]],0)</f>
        <v>0</v>
      </c>
      <c r="U58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58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58" s="890">
        <f>IFERROR(Indirectos[[#This Row],[Intereses $Corrientes]]/Indirectos[[#This Row],[Indexación Financiero]],0)</f>
        <v>0</v>
      </c>
      <c r="X58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58" s="915" t="str">
        <f>IFERROR(INDEX(Costos_Indirectos_Cuentas[],MATCH(Indirectos[[#This Row],[Cuenta Contable]],Costos_Indirectos_Cuentas[Cuenta Contable],0),2),0)</f>
        <v>Egreso</v>
      </c>
      <c r="Z58" s="887" t="str">
        <f>IFERROR(INDEX(Tabla9[],MATCH(Indirectos[[#This Row],[Movimiento]],Tabla9[Movimientos],0),2),0)</f>
        <v>Si</v>
      </c>
      <c r="AA58" s="889" t="str">
        <f>IFERROR(INDEX(Costos_Indirectos_Cuentas[],MATCH(Indirectos[[#This Row],[Cuenta Contable]],Costos_Indirectos_Cuentas[Cuenta Contable],0),3),0)</f>
        <v>Si</v>
      </c>
      <c r="AB58" s="891" t="str">
        <f>IFERROR(INDEX(Tabla9[],MATCH(Indirectos[[#This Row],[Movimiento]],Tabla9[Movimientos],0),3),0)</f>
        <v>(-)</v>
      </c>
      <c r="AC58" s="884">
        <f>IF(Indirectos[[#This Row],[Fecha Económico]]=0,0,MONTH(Indirectos[[#This Row],[Fecha Económico]]))</f>
        <v>7</v>
      </c>
      <c r="AD58" s="890">
        <f>IF(Indirectos[[#This Row],[Fecha Económico]]=0,0,YEAR(Indirectos[[#This Row],[Fecha Económico]]))</f>
        <v>2018</v>
      </c>
      <c r="AE58" s="891">
        <f>SUMPRODUCT((Indirectos[[#This Row],[Mes Económico]]=Tipo_Cambio[Mes])*(Indirectos[[#This Row],[Año Económico]]=Tipo_Cambio[Año])*(Tipo_Cambio[$/U$S]))</f>
        <v>22</v>
      </c>
      <c r="AF58" s="891">
        <f>SUMPRODUCT((Indirectos[[#This Row],[Mes Económico]]=Tipo_Cambio[Mes])*(Indirectos[[#This Row],[Año Económico]]=Tipo_Cambio[Año])*(Tipo_Cambio[Actualización]))</f>
        <v>1</v>
      </c>
      <c r="AG58" s="890">
        <f>IF(ISNUMBER(Indirectos[[#This Row],[Fecha Financiero]])=TRUE,MONTH(Indirectos[[#This Row],[Fecha Financiero]]),0)</f>
        <v>0</v>
      </c>
      <c r="AH58" s="890">
        <f>IF(ISNUMBER(Indirectos[[#This Row],[Fecha Financiero]])=TRUE,YEAR(Indirectos[[#This Row],[Fecha Financiero]]),0)</f>
        <v>0</v>
      </c>
      <c r="AI58" s="891">
        <f>SUMPRODUCT((Indirectos[[#This Row],[Mes Financiero]]=Tipo_Cambio[Mes])*(Indirectos[[#This Row],[Año Financiero]]=Tipo_Cambio[Año])*(Tipo_Cambio[$/U$S]))</f>
        <v>0</v>
      </c>
      <c r="AJ58" s="891">
        <f>SUMPRODUCT((Indirectos[[#This Row],[Mes Financiero]]=Tipo_Cambio[Mes])*(Indirectos[[#This Row],[Año Financiero]]=Tipo_Cambio[Año])*(Tipo_Cambio[Actualización]))</f>
        <v>0</v>
      </c>
      <c r="AK58" s="887">
        <f>IF(Económico!$F$4=0,0,Indirectos[Centro de Costo])</f>
        <v>0</v>
      </c>
    </row>
    <row r="59" spans="4:37" x14ac:dyDescent="0.25">
      <c r="D59" s="478">
        <f>DATE(IF(MONTH(D58)=1,YEAR(D58+1),YEAR(D58)),MONTH(D58)+1,1)</f>
        <v>43313</v>
      </c>
      <c r="E59" s="522"/>
      <c r="F59" s="869" t="str">
        <f t="shared" si="4"/>
        <v>2018-2019</v>
      </c>
      <c r="G59" s="481" t="s">
        <v>109</v>
      </c>
      <c r="H59" s="481"/>
      <c r="I59" s="481" t="s">
        <v>5</v>
      </c>
      <c r="J59" s="481"/>
      <c r="K59" s="533"/>
      <c r="L59" s="484"/>
      <c r="M59" s="481"/>
      <c r="N59" s="523"/>
      <c r="O59" s="485"/>
      <c r="P59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59" s="913">
        <f>IFERROR(Indirectos[[#This Row],[Económico $Corrientes]]/Indirectos[[#This Row],[Indexación Económico]],0)</f>
        <v>0</v>
      </c>
      <c r="R59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59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59" s="913">
        <f>IFERROR(Indirectos[[#This Row],[Financiero $Corrientes]]/Indirectos[[#This Row],[Indexación Financiero]],0)</f>
        <v>0</v>
      </c>
      <c r="U59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59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59" s="890">
        <f>IFERROR(Indirectos[[#This Row],[Intereses $Corrientes]]/Indirectos[[#This Row],[Indexación Financiero]],0)</f>
        <v>0</v>
      </c>
      <c r="X59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59" s="915" t="str">
        <f>IFERROR(INDEX(Costos_Indirectos_Cuentas[],MATCH(Indirectos[[#This Row],[Cuenta Contable]],Costos_Indirectos_Cuentas[Cuenta Contable],0),2),0)</f>
        <v>Egreso</v>
      </c>
      <c r="Z59" s="887" t="str">
        <f>IFERROR(INDEX(Tabla9[],MATCH(Indirectos[[#This Row],[Movimiento]],Tabla9[Movimientos],0),2),0)</f>
        <v>Si</v>
      </c>
      <c r="AA59" s="889" t="str">
        <f>IFERROR(INDEX(Costos_Indirectos_Cuentas[],MATCH(Indirectos[[#This Row],[Cuenta Contable]],Costos_Indirectos_Cuentas[Cuenta Contable],0),3),0)</f>
        <v>Si</v>
      </c>
      <c r="AB59" s="891" t="str">
        <f>IFERROR(INDEX(Tabla9[],MATCH(Indirectos[[#This Row],[Movimiento]],Tabla9[Movimientos],0),3),0)</f>
        <v>(-)</v>
      </c>
      <c r="AC59" s="884">
        <f>IF(Indirectos[[#This Row],[Fecha Económico]]=0,0,MONTH(Indirectos[[#This Row],[Fecha Económico]]))</f>
        <v>8</v>
      </c>
      <c r="AD59" s="890">
        <f>IF(Indirectos[[#This Row],[Fecha Económico]]=0,0,YEAR(Indirectos[[#This Row],[Fecha Económico]]))</f>
        <v>2018</v>
      </c>
      <c r="AE59" s="891">
        <f>SUMPRODUCT((Indirectos[[#This Row],[Mes Económico]]=Tipo_Cambio[Mes])*(Indirectos[[#This Row],[Año Económico]]=Tipo_Cambio[Año])*(Tipo_Cambio[$/U$S]))</f>
        <v>22.22</v>
      </c>
      <c r="AF59" s="891">
        <f>SUMPRODUCT((Indirectos[[#This Row],[Mes Económico]]=Tipo_Cambio[Mes])*(Indirectos[[#This Row],[Año Económico]]=Tipo_Cambio[Año])*(Tipo_Cambio[Actualización]))</f>
        <v>1.02</v>
      </c>
      <c r="AG59" s="890">
        <f>IF(ISNUMBER(Indirectos[[#This Row],[Fecha Financiero]])=TRUE,MONTH(Indirectos[[#This Row],[Fecha Financiero]]),0)</f>
        <v>0</v>
      </c>
      <c r="AH59" s="890">
        <f>IF(ISNUMBER(Indirectos[[#This Row],[Fecha Financiero]])=TRUE,YEAR(Indirectos[[#This Row],[Fecha Financiero]]),0)</f>
        <v>0</v>
      </c>
      <c r="AI59" s="891">
        <f>SUMPRODUCT((Indirectos[[#This Row],[Mes Financiero]]=Tipo_Cambio[Mes])*(Indirectos[[#This Row],[Año Financiero]]=Tipo_Cambio[Año])*(Tipo_Cambio[$/U$S]))</f>
        <v>0</v>
      </c>
      <c r="AJ59" s="891">
        <f>SUMPRODUCT((Indirectos[[#This Row],[Mes Financiero]]=Tipo_Cambio[Mes])*(Indirectos[[#This Row],[Año Financiero]]=Tipo_Cambio[Año])*(Tipo_Cambio[Actualización]))</f>
        <v>0</v>
      </c>
      <c r="AK59" s="887">
        <f>IF(Económico!$F$4=0,0,Indirectos[Centro de Costo])</f>
        <v>0</v>
      </c>
    </row>
    <row r="60" spans="4:37" x14ac:dyDescent="0.25">
      <c r="D60" s="478">
        <f t="shared" ref="D60:D69" si="6">DATE(IF(MONTH(D59)=1,YEAR(D59+1),YEAR(D59)),MONTH(D59)+1,1)</f>
        <v>43344</v>
      </c>
      <c r="E60" s="522"/>
      <c r="F60" s="869" t="str">
        <f t="shared" si="4"/>
        <v>2018-2019</v>
      </c>
      <c r="G60" s="481" t="s">
        <v>109</v>
      </c>
      <c r="H60" s="481"/>
      <c r="I60" s="481" t="s">
        <v>5</v>
      </c>
      <c r="J60" s="481"/>
      <c r="K60" s="533"/>
      <c r="L60" s="484"/>
      <c r="M60" s="481"/>
      <c r="N60" s="523"/>
      <c r="O60" s="485"/>
      <c r="P60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60" s="913">
        <f>IFERROR(Indirectos[[#This Row],[Económico $Corrientes]]/Indirectos[[#This Row],[Indexación Económico]],0)</f>
        <v>0</v>
      </c>
      <c r="R60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60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60" s="913">
        <f>IFERROR(Indirectos[[#This Row],[Financiero $Corrientes]]/Indirectos[[#This Row],[Indexación Financiero]],0)</f>
        <v>0</v>
      </c>
      <c r="U60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60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60" s="890">
        <f>IFERROR(Indirectos[[#This Row],[Intereses $Corrientes]]/Indirectos[[#This Row],[Indexación Financiero]],0)</f>
        <v>0</v>
      </c>
      <c r="X60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60" s="915" t="str">
        <f>IFERROR(INDEX(Costos_Indirectos_Cuentas[],MATCH(Indirectos[[#This Row],[Cuenta Contable]],Costos_Indirectos_Cuentas[Cuenta Contable],0),2),0)</f>
        <v>Egreso</v>
      </c>
      <c r="Z60" s="887" t="str">
        <f>IFERROR(INDEX(Tabla9[],MATCH(Indirectos[[#This Row],[Movimiento]],Tabla9[Movimientos],0),2),0)</f>
        <v>Si</v>
      </c>
      <c r="AA60" s="889" t="str">
        <f>IFERROR(INDEX(Costos_Indirectos_Cuentas[],MATCH(Indirectos[[#This Row],[Cuenta Contable]],Costos_Indirectos_Cuentas[Cuenta Contable],0),3),0)</f>
        <v>Si</v>
      </c>
      <c r="AB60" s="891" t="str">
        <f>IFERROR(INDEX(Tabla9[],MATCH(Indirectos[[#This Row],[Movimiento]],Tabla9[Movimientos],0),3),0)</f>
        <v>(-)</v>
      </c>
      <c r="AC60" s="884">
        <f>IF(Indirectos[[#This Row],[Fecha Económico]]=0,0,MONTH(Indirectos[[#This Row],[Fecha Económico]]))</f>
        <v>9</v>
      </c>
      <c r="AD60" s="890">
        <f>IF(Indirectos[[#This Row],[Fecha Económico]]=0,0,YEAR(Indirectos[[#This Row],[Fecha Económico]]))</f>
        <v>2018</v>
      </c>
      <c r="AE60" s="891">
        <f>SUMPRODUCT((Indirectos[[#This Row],[Mes Económico]]=Tipo_Cambio[Mes])*(Indirectos[[#This Row],[Año Económico]]=Tipo_Cambio[Año])*(Tipo_Cambio[$/U$S]))</f>
        <v>22.4422</v>
      </c>
      <c r="AF60" s="891">
        <f>SUMPRODUCT((Indirectos[[#This Row],[Mes Económico]]=Tipo_Cambio[Mes])*(Indirectos[[#This Row],[Año Económico]]=Tipo_Cambio[Año])*(Tipo_Cambio[Actualización]))</f>
        <v>1.0404</v>
      </c>
      <c r="AG60" s="890">
        <f>IF(ISNUMBER(Indirectos[[#This Row],[Fecha Financiero]])=TRUE,MONTH(Indirectos[[#This Row],[Fecha Financiero]]),0)</f>
        <v>0</v>
      </c>
      <c r="AH60" s="890">
        <f>IF(ISNUMBER(Indirectos[[#This Row],[Fecha Financiero]])=TRUE,YEAR(Indirectos[[#This Row],[Fecha Financiero]]),0)</f>
        <v>0</v>
      </c>
      <c r="AI60" s="891">
        <f>SUMPRODUCT((Indirectos[[#This Row],[Mes Financiero]]=Tipo_Cambio[Mes])*(Indirectos[[#This Row],[Año Financiero]]=Tipo_Cambio[Año])*(Tipo_Cambio[$/U$S]))</f>
        <v>0</v>
      </c>
      <c r="AJ60" s="891">
        <f>SUMPRODUCT((Indirectos[[#This Row],[Mes Financiero]]=Tipo_Cambio[Mes])*(Indirectos[[#This Row],[Año Financiero]]=Tipo_Cambio[Año])*(Tipo_Cambio[Actualización]))</f>
        <v>0</v>
      </c>
      <c r="AK60" s="887">
        <f>IF(Económico!$F$4=0,0,Indirectos[Centro de Costo])</f>
        <v>0</v>
      </c>
    </row>
    <row r="61" spans="4:37" x14ac:dyDescent="0.25">
      <c r="D61" s="478">
        <f t="shared" si="6"/>
        <v>43374</v>
      </c>
      <c r="E61" s="493"/>
      <c r="F61" s="869" t="str">
        <f t="shared" si="4"/>
        <v>2018-2019</v>
      </c>
      <c r="G61" s="481" t="s">
        <v>109</v>
      </c>
      <c r="H61" s="481"/>
      <c r="I61" s="481" t="s">
        <v>5</v>
      </c>
      <c r="J61" s="481"/>
      <c r="K61" s="533"/>
      <c r="L61" s="484"/>
      <c r="M61" s="481"/>
      <c r="N61" s="523"/>
      <c r="O61" s="485"/>
      <c r="P61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61" s="913">
        <f>IFERROR(Indirectos[[#This Row],[Económico $Corrientes]]/Indirectos[[#This Row],[Indexación Económico]],0)</f>
        <v>0</v>
      </c>
      <c r="R61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61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61" s="913">
        <f>IFERROR(Indirectos[[#This Row],[Financiero $Corrientes]]/Indirectos[[#This Row],[Indexación Financiero]],0)</f>
        <v>0</v>
      </c>
      <c r="U61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61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61" s="890">
        <f>IFERROR(Indirectos[[#This Row],[Intereses $Corrientes]]/Indirectos[[#This Row],[Indexación Financiero]],0)</f>
        <v>0</v>
      </c>
      <c r="X61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61" s="915" t="str">
        <f>IFERROR(INDEX(Costos_Indirectos_Cuentas[],MATCH(Indirectos[[#This Row],[Cuenta Contable]],Costos_Indirectos_Cuentas[Cuenta Contable],0),2),0)</f>
        <v>Egreso</v>
      </c>
      <c r="Z61" s="887" t="str">
        <f>IFERROR(INDEX(Tabla9[],MATCH(Indirectos[[#This Row],[Movimiento]],Tabla9[Movimientos],0),2),0)</f>
        <v>Si</v>
      </c>
      <c r="AA61" s="918" t="str">
        <f>IFERROR(INDEX(Costos_Indirectos_Cuentas[],MATCH(Indirectos[[#This Row],[Cuenta Contable]],Costos_Indirectos_Cuentas[Cuenta Contable],0),3),0)</f>
        <v>Si</v>
      </c>
      <c r="AB61" s="891" t="str">
        <f>IFERROR(INDEX(Tabla9[],MATCH(Indirectos[[#This Row],[Movimiento]],Tabla9[Movimientos],0),3),0)</f>
        <v>(-)</v>
      </c>
      <c r="AC61" s="884">
        <f>IF(Indirectos[[#This Row],[Fecha Económico]]=0,0,MONTH(Indirectos[[#This Row],[Fecha Económico]]))</f>
        <v>10</v>
      </c>
      <c r="AD61" s="890">
        <f>IF(Indirectos[[#This Row],[Fecha Económico]]=0,0,YEAR(Indirectos[[#This Row],[Fecha Económico]]))</f>
        <v>2018</v>
      </c>
      <c r="AE61" s="891">
        <f>SUMPRODUCT((Indirectos[[#This Row],[Mes Económico]]=Tipo_Cambio[Mes])*(Indirectos[[#This Row],[Año Económico]]=Tipo_Cambio[Año])*(Tipo_Cambio[$/U$S]))</f>
        <v>22.666622</v>
      </c>
      <c r="AF61" s="891">
        <f>SUMPRODUCT((Indirectos[[#This Row],[Mes Económico]]=Tipo_Cambio[Mes])*(Indirectos[[#This Row],[Año Económico]]=Tipo_Cambio[Año])*(Tipo_Cambio[Actualización]))</f>
        <v>1.0612079999999999</v>
      </c>
      <c r="AG61" s="890">
        <f>IF(ISNUMBER(Indirectos[[#This Row],[Fecha Financiero]])=TRUE,MONTH(Indirectos[[#This Row],[Fecha Financiero]]),0)</f>
        <v>0</v>
      </c>
      <c r="AH61" s="890">
        <f>IF(ISNUMBER(Indirectos[[#This Row],[Fecha Financiero]])=TRUE,YEAR(Indirectos[[#This Row],[Fecha Financiero]]),0)</f>
        <v>0</v>
      </c>
      <c r="AI61" s="891">
        <f>SUMPRODUCT((Indirectos[[#This Row],[Mes Financiero]]=Tipo_Cambio[Mes])*(Indirectos[[#This Row],[Año Financiero]]=Tipo_Cambio[Año])*(Tipo_Cambio[$/U$S]))</f>
        <v>0</v>
      </c>
      <c r="AJ61" s="888">
        <f>SUMPRODUCT((Indirectos[[#This Row],[Mes Financiero]]=Tipo_Cambio[Mes])*(Indirectos[[#This Row],[Año Financiero]]=Tipo_Cambio[Año])*(Tipo_Cambio[Actualización]))</f>
        <v>0</v>
      </c>
      <c r="AK61" s="916">
        <f>IF(Económico!$F$4=0,0,Indirectos[Centro de Costo])</f>
        <v>0</v>
      </c>
    </row>
    <row r="62" spans="4:37" x14ac:dyDescent="0.25">
      <c r="D62" s="478">
        <f t="shared" si="6"/>
        <v>43405</v>
      </c>
      <c r="E62" s="493"/>
      <c r="F62" s="869" t="str">
        <f t="shared" si="4"/>
        <v>2018-2019</v>
      </c>
      <c r="G62" s="481" t="s">
        <v>109</v>
      </c>
      <c r="H62" s="481"/>
      <c r="I62" s="481" t="s">
        <v>5</v>
      </c>
      <c r="J62" s="481"/>
      <c r="K62" s="533"/>
      <c r="L62" s="484"/>
      <c r="M62" s="481"/>
      <c r="N62" s="523"/>
      <c r="O62" s="485"/>
      <c r="P62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62" s="913">
        <f>IFERROR(Indirectos[[#This Row],[Económico $Corrientes]]/Indirectos[[#This Row],[Indexación Económico]],0)</f>
        <v>0</v>
      </c>
      <c r="R62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62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62" s="913">
        <f>IFERROR(Indirectos[[#This Row],[Financiero $Corrientes]]/Indirectos[[#This Row],[Indexación Financiero]],0)</f>
        <v>0</v>
      </c>
      <c r="U62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62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62" s="890">
        <f>IFERROR(Indirectos[[#This Row],[Intereses $Corrientes]]/Indirectos[[#This Row],[Indexación Financiero]],0)</f>
        <v>0</v>
      </c>
      <c r="X62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62" s="915" t="str">
        <f>IFERROR(INDEX(Costos_Indirectos_Cuentas[],MATCH(Indirectos[[#This Row],[Cuenta Contable]],Costos_Indirectos_Cuentas[Cuenta Contable],0),2),0)</f>
        <v>Egreso</v>
      </c>
      <c r="Z62" s="887" t="str">
        <f>IFERROR(INDEX(Tabla9[],MATCH(Indirectos[[#This Row],[Movimiento]],Tabla9[Movimientos],0),2),0)</f>
        <v>Si</v>
      </c>
      <c r="AA62" s="918" t="str">
        <f>IFERROR(INDEX(Costos_Indirectos_Cuentas[],MATCH(Indirectos[[#This Row],[Cuenta Contable]],Costos_Indirectos_Cuentas[Cuenta Contable],0),3),0)</f>
        <v>Si</v>
      </c>
      <c r="AB62" s="891" t="str">
        <f>IFERROR(INDEX(Tabla9[],MATCH(Indirectos[[#This Row],[Movimiento]],Tabla9[Movimientos],0),3),0)</f>
        <v>(-)</v>
      </c>
      <c r="AC62" s="884">
        <f>IF(Indirectos[[#This Row],[Fecha Económico]]=0,0,MONTH(Indirectos[[#This Row],[Fecha Económico]]))</f>
        <v>11</v>
      </c>
      <c r="AD62" s="890">
        <f>IF(Indirectos[[#This Row],[Fecha Económico]]=0,0,YEAR(Indirectos[[#This Row],[Fecha Económico]]))</f>
        <v>2018</v>
      </c>
      <c r="AE62" s="891">
        <f>SUMPRODUCT((Indirectos[[#This Row],[Mes Económico]]=Tipo_Cambio[Mes])*(Indirectos[[#This Row],[Año Económico]]=Tipo_Cambio[Año])*(Tipo_Cambio[$/U$S]))</f>
        <v>22.893288219999999</v>
      </c>
      <c r="AF62" s="891">
        <f>SUMPRODUCT((Indirectos[[#This Row],[Mes Económico]]=Tipo_Cambio[Mes])*(Indirectos[[#This Row],[Año Económico]]=Tipo_Cambio[Año])*(Tipo_Cambio[Actualización]))</f>
        <v>1.08243216</v>
      </c>
      <c r="AG62" s="890">
        <f>IF(ISNUMBER(Indirectos[[#This Row],[Fecha Financiero]])=TRUE,MONTH(Indirectos[[#This Row],[Fecha Financiero]]),0)</f>
        <v>0</v>
      </c>
      <c r="AH62" s="890">
        <f>IF(ISNUMBER(Indirectos[[#This Row],[Fecha Financiero]])=TRUE,YEAR(Indirectos[[#This Row],[Fecha Financiero]]),0)</f>
        <v>0</v>
      </c>
      <c r="AI62" s="891">
        <f>SUMPRODUCT((Indirectos[[#This Row],[Mes Financiero]]=Tipo_Cambio[Mes])*(Indirectos[[#This Row],[Año Financiero]]=Tipo_Cambio[Año])*(Tipo_Cambio[$/U$S]))</f>
        <v>0</v>
      </c>
      <c r="AJ62" s="888">
        <f>SUMPRODUCT((Indirectos[[#This Row],[Mes Financiero]]=Tipo_Cambio[Mes])*(Indirectos[[#This Row],[Año Financiero]]=Tipo_Cambio[Año])*(Tipo_Cambio[Actualización]))</f>
        <v>0</v>
      </c>
      <c r="AK62" s="916">
        <f>IF(Económico!$F$4=0,0,Indirectos[Centro de Costo])</f>
        <v>0</v>
      </c>
    </row>
    <row r="63" spans="4:37" x14ac:dyDescent="0.25">
      <c r="D63" s="478">
        <f t="shared" si="6"/>
        <v>43435</v>
      </c>
      <c r="E63" s="493"/>
      <c r="F63" s="869" t="str">
        <f t="shared" si="4"/>
        <v>2018-2019</v>
      </c>
      <c r="G63" s="481" t="s">
        <v>109</v>
      </c>
      <c r="H63" s="481"/>
      <c r="I63" s="481" t="s">
        <v>5</v>
      </c>
      <c r="J63" s="481"/>
      <c r="K63" s="533"/>
      <c r="L63" s="484"/>
      <c r="M63" s="481"/>
      <c r="N63" s="523"/>
      <c r="O63" s="485"/>
      <c r="P63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63" s="913">
        <f>IFERROR(Indirectos[[#This Row],[Económico $Corrientes]]/Indirectos[[#This Row],[Indexación Económico]],0)</f>
        <v>0</v>
      </c>
      <c r="R63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63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63" s="913">
        <f>IFERROR(Indirectos[[#This Row],[Financiero $Corrientes]]/Indirectos[[#This Row],[Indexación Financiero]],0)</f>
        <v>0</v>
      </c>
      <c r="U63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63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63" s="890">
        <f>IFERROR(Indirectos[[#This Row],[Intereses $Corrientes]]/Indirectos[[#This Row],[Indexación Financiero]],0)</f>
        <v>0</v>
      </c>
      <c r="X63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63" s="915" t="str">
        <f>IFERROR(INDEX(Costos_Indirectos_Cuentas[],MATCH(Indirectos[[#This Row],[Cuenta Contable]],Costos_Indirectos_Cuentas[Cuenta Contable],0),2),0)</f>
        <v>Egreso</v>
      </c>
      <c r="Z63" s="887" t="str">
        <f>IFERROR(INDEX(Tabla9[],MATCH(Indirectos[[#This Row],[Movimiento]],Tabla9[Movimientos],0),2),0)</f>
        <v>Si</v>
      </c>
      <c r="AA63" s="918" t="str">
        <f>IFERROR(INDEX(Costos_Indirectos_Cuentas[],MATCH(Indirectos[[#This Row],[Cuenta Contable]],Costos_Indirectos_Cuentas[Cuenta Contable],0),3),0)</f>
        <v>Si</v>
      </c>
      <c r="AB63" s="891" t="str">
        <f>IFERROR(INDEX(Tabla9[],MATCH(Indirectos[[#This Row],[Movimiento]],Tabla9[Movimientos],0),3),0)</f>
        <v>(-)</v>
      </c>
      <c r="AC63" s="884">
        <f>IF(Indirectos[[#This Row],[Fecha Económico]]=0,0,MONTH(Indirectos[[#This Row],[Fecha Económico]]))</f>
        <v>12</v>
      </c>
      <c r="AD63" s="890">
        <f>IF(Indirectos[[#This Row],[Fecha Económico]]=0,0,YEAR(Indirectos[[#This Row],[Fecha Económico]]))</f>
        <v>2018</v>
      </c>
      <c r="AE63" s="891">
        <f>SUMPRODUCT((Indirectos[[#This Row],[Mes Económico]]=Tipo_Cambio[Mes])*(Indirectos[[#This Row],[Año Económico]]=Tipo_Cambio[Año])*(Tipo_Cambio[$/U$S]))</f>
        <v>23.122221102199997</v>
      </c>
      <c r="AF63" s="891">
        <f>SUMPRODUCT((Indirectos[[#This Row],[Mes Económico]]=Tipo_Cambio[Mes])*(Indirectos[[#This Row],[Año Económico]]=Tipo_Cambio[Año])*(Tipo_Cambio[Actualización]))</f>
        <v>1.1040808032</v>
      </c>
      <c r="AG63" s="890">
        <f>IF(ISNUMBER(Indirectos[[#This Row],[Fecha Financiero]])=TRUE,MONTH(Indirectos[[#This Row],[Fecha Financiero]]),0)</f>
        <v>0</v>
      </c>
      <c r="AH63" s="890">
        <f>IF(ISNUMBER(Indirectos[[#This Row],[Fecha Financiero]])=TRUE,YEAR(Indirectos[[#This Row],[Fecha Financiero]]),0)</f>
        <v>0</v>
      </c>
      <c r="AI63" s="891">
        <f>SUMPRODUCT((Indirectos[[#This Row],[Mes Financiero]]=Tipo_Cambio[Mes])*(Indirectos[[#This Row],[Año Financiero]]=Tipo_Cambio[Año])*(Tipo_Cambio[$/U$S]))</f>
        <v>0</v>
      </c>
      <c r="AJ63" s="888">
        <f>SUMPRODUCT((Indirectos[[#This Row],[Mes Financiero]]=Tipo_Cambio[Mes])*(Indirectos[[#This Row],[Año Financiero]]=Tipo_Cambio[Año])*(Tipo_Cambio[Actualización]))</f>
        <v>0</v>
      </c>
      <c r="AK63" s="916">
        <f>IF(Económico!$F$4=0,0,Indirectos[Centro de Costo])</f>
        <v>0</v>
      </c>
    </row>
    <row r="64" spans="4:37" x14ac:dyDescent="0.25">
      <c r="D64" s="478">
        <f t="shared" si="6"/>
        <v>43466</v>
      </c>
      <c r="E64" s="493"/>
      <c r="F64" s="869" t="str">
        <f t="shared" si="4"/>
        <v>2018-2019</v>
      </c>
      <c r="G64" s="481" t="s">
        <v>109</v>
      </c>
      <c r="H64" s="481"/>
      <c r="I64" s="481" t="s">
        <v>5</v>
      </c>
      <c r="J64" s="481"/>
      <c r="K64" s="533"/>
      <c r="L64" s="484"/>
      <c r="M64" s="481"/>
      <c r="N64" s="523"/>
      <c r="O64" s="485"/>
      <c r="P64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64" s="913">
        <f>IFERROR(Indirectos[[#This Row],[Económico $Corrientes]]/Indirectos[[#This Row],[Indexación Económico]],0)</f>
        <v>0</v>
      </c>
      <c r="R64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64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64" s="913">
        <f>IFERROR(Indirectos[[#This Row],[Financiero $Corrientes]]/Indirectos[[#This Row],[Indexación Financiero]],0)</f>
        <v>0</v>
      </c>
      <c r="U64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64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64" s="890">
        <f>IFERROR(Indirectos[[#This Row],[Intereses $Corrientes]]/Indirectos[[#This Row],[Indexación Financiero]],0)</f>
        <v>0</v>
      </c>
      <c r="X64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64" s="915" t="str">
        <f>IFERROR(INDEX(Costos_Indirectos_Cuentas[],MATCH(Indirectos[[#This Row],[Cuenta Contable]],Costos_Indirectos_Cuentas[Cuenta Contable],0),2),0)</f>
        <v>Egreso</v>
      </c>
      <c r="Z64" s="887" t="str">
        <f>IFERROR(INDEX(Tabla9[],MATCH(Indirectos[[#This Row],[Movimiento]],Tabla9[Movimientos],0),2),0)</f>
        <v>Si</v>
      </c>
      <c r="AA64" s="918" t="str">
        <f>IFERROR(INDEX(Costos_Indirectos_Cuentas[],MATCH(Indirectos[[#This Row],[Cuenta Contable]],Costos_Indirectos_Cuentas[Cuenta Contable],0),3),0)</f>
        <v>Si</v>
      </c>
      <c r="AB64" s="891" t="str">
        <f>IFERROR(INDEX(Tabla9[],MATCH(Indirectos[[#This Row],[Movimiento]],Tabla9[Movimientos],0),3),0)</f>
        <v>(-)</v>
      </c>
      <c r="AC64" s="884">
        <f>IF(Indirectos[[#This Row],[Fecha Económico]]=0,0,MONTH(Indirectos[[#This Row],[Fecha Económico]]))</f>
        <v>1</v>
      </c>
      <c r="AD64" s="890">
        <f>IF(Indirectos[[#This Row],[Fecha Económico]]=0,0,YEAR(Indirectos[[#This Row],[Fecha Económico]]))</f>
        <v>2019</v>
      </c>
      <c r="AE64" s="891">
        <f>SUMPRODUCT((Indirectos[[#This Row],[Mes Económico]]=Tipo_Cambio[Mes])*(Indirectos[[#This Row],[Año Económico]]=Tipo_Cambio[Año])*(Tipo_Cambio[$/U$S]))</f>
        <v>23.353443313221998</v>
      </c>
      <c r="AF64" s="891">
        <f>SUMPRODUCT((Indirectos[[#This Row],[Mes Económico]]=Tipo_Cambio[Mes])*(Indirectos[[#This Row],[Año Económico]]=Tipo_Cambio[Año])*(Tipo_Cambio[Actualización]))</f>
        <v>1.1261624192640001</v>
      </c>
      <c r="AG64" s="890">
        <f>IF(ISNUMBER(Indirectos[[#This Row],[Fecha Financiero]])=TRUE,MONTH(Indirectos[[#This Row],[Fecha Financiero]]),0)</f>
        <v>0</v>
      </c>
      <c r="AH64" s="890">
        <f>IF(ISNUMBER(Indirectos[[#This Row],[Fecha Financiero]])=TRUE,YEAR(Indirectos[[#This Row],[Fecha Financiero]]),0)</f>
        <v>0</v>
      </c>
      <c r="AI64" s="891">
        <f>SUMPRODUCT((Indirectos[[#This Row],[Mes Financiero]]=Tipo_Cambio[Mes])*(Indirectos[[#This Row],[Año Financiero]]=Tipo_Cambio[Año])*(Tipo_Cambio[$/U$S]))</f>
        <v>0</v>
      </c>
      <c r="AJ64" s="888">
        <f>SUMPRODUCT((Indirectos[[#This Row],[Mes Financiero]]=Tipo_Cambio[Mes])*(Indirectos[[#This Row],[Año Financiero]]=Tipo_Cambio[Año])*(Tipo_Cambio[Actualización]))</f>
        <v>0</v>
      </c>
      <c r="AK64" s="916">
        <f>IF(Económico!$F$4=0,0,Indirectos[Centro de Costo])</f>
        <v>0</v>
      </c>
    </row>
    <row r="65" spans="2:37" x14ac:dyDescent="0.25">
      <c r="D65" s="478">
        <f t="shared" si="6"/>
        <v>43497</v>
      </c>
      <c r="E65" s="493"/>
      <c r="F65" s="869" t="str">
        <f t="shared" si="4"/>
        <v>2018-2019</v>
      </c>
      <c r="G65" s="481" t="s">
        <v>109</v>
      </c>
      <c r="H65" s="481"/>
      <c r="I65" s="481" t="s">
        <v>5</v>
      </c>
      <c r="J65" s="481"/>
      <c r="K65" s="533"/>
      <c r="L65" s="484"/>
      <c r="M65" s="481"/>
      <c r="N65" s="523"/>
      <c r="O65" s="485"/>
      <c r="P65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65" s="913">
        <f>IFERROR(Indirectos[[#This Row],[Económico $Corrientes]]/Indirectos[[#This Row],[Indexación Económico]],0)</f>
        <v>0</v>
      </c>
      <c r="R65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65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65" s="913">
        <f>IFERROR(Indirectos[[#This Row],[Financiero $Corrientes]]/Indirectos[[#This Row],[Indexación Financiero]],0)</f>
        <v>0</v>
      </c>
      <c r="U65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65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65" s="890">
        <f>IFERROR(Indirectos[[#This Row],[Intereses $Corrientes]]/Indirectos[[#This Row],[Indexación Financiero]],0)</f>
        <v>0</v>
      </c>
      <c r="X65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65" s="915" t="str">
        <f>IFERROR(INDEX(Costos_Indirectos_Cuentas[],MATCH(Indirectos[[#This Row],[Cuenta Contable]],Costos_Indirectos_Cuentas[Cuenta Contable],0),2),0)</f>
        <v>Egreso</v>
      </c>
      <c r="Z65" s="887" t="str">
        <f>IFERROR(INDEX(Tabla9[],MATCH(Indirectos[[#This Row],[Movimiento]],Tabla9[Movimientos],0),2),0)</f>
        <v>Si</v>
      </c>
      <c r="AA65" s="918" t="str">
        <f>IFERROR(INDEX(Costos_Indirectos_Cuentas[],MATCH(Indirectos[[#This Row],[Cuenta Contable]],Costos_Indirectos_Cuentas[Cuenta Contable],0),3),0)</f>
        <v>Si</v>
      </c>
      <c r="AB65" s="891" t="str">
        <f>IFERROR(INDEX(Tabla9[],MATCH(Indirectos[[#This Row],[Movimiento]],Tabla9[Movimientos],0),3),0)</f>
        <v>(-)</v>
      </c>
      <c r="AC65" s="884">
        <f>IF(Indirectos[[#This Row],[Fecha Económico]]=0,0,MONTH(Indirectos[[#This Row],[Fecha Económico]]))</f>
        <v>2</v>
      </c>
      <c r="AD65" s="890">
        <f>IF(Indirectos[[#This Row],[Fecha Económico]]=0,0,YEAR(Indirectos[[#This Row],[Fecha Económico]]))</f>
        <v>2019</v>
      </c>
      <c r="AE65" s="891">
        <f>SUMPRODUCT((Indirectos[[#This Row],[Mes Económico]]=Tipo_Cambio[Mes])*(Indirectos[[#This Row],[Año Económico]]=Tipo_Cambio[Año])*(Tipo_Cambio[$/U$S]))</f>
        <v>23.586977746354219</v>
      </c>
      <c r="AF65" s="891">
        <f>SUMPRODUCT((Indirectos[[#This Row],[Mes Económico]]=Tipo_Cambio[Mes])*(Indirectos[[#This Row],[Año Económico]]=Tipo_Cambio[Año])*(Tipo_Cambio[Actualización]))</f>
        <v>1.14868566764928</v>
      </c>
      <c r="AG65" s="890">
        <f>IF(ISNUMBER(Indirectos[[#This Row],[Fecha Financiero]])=TRUE,MONTH(Indirectos[[#This Row],[Fecha Financiero]]),0)</f>
        <v>0</v>
      </c>
      <c r="AH65" s="890">
        <f>IF(ISNUMBER(Indirectos[[#This Row],[Fecha Financiero]])=TRUE,YEAR(Indirectos[[#This Row],[Fecha Financiero]]),0)</f>
        <v>0</v>
      </c>
      <c r="AI65" s="891">
        <f>SUMPRODUCT((Indirectos[[#This Row],[Mes Financiero]]=Tipo_Cambio[Mes])*(Indirectos[[#This Row],[Año Financiero]]=Tipo_Cambio[Año])*(Tipo_Cambio[$/U$S]))</f>
        <v>0</v>
      </c>
      <c r="AJ65" s="888">
        <f>SUMPRODUCT((Indirectos[[#This Row],[Mes Financiero]]=Tipo_Cambio[Mes])*(Indirectos[[#This Row],[Año Financiero]]=Tipo_Cambio[Año])*(Tipo_Cambio[Actualización]))</f>
        <v>0</v>
      </c>
      <c r="AK65" s="916">
        <f>IF(Económico!$F$4=0,0,Indirectos[Centro de Costo])</f>
        <v>0</v>
      </c>
    </row>
    <row r="66" spans="2:37" x14ac:dyDescent="0.25">
      <c r="D66" s="478">
        <f t="shared" si="6"/>
        <v>43525</v>
      </c>
      <c r="E66" s="493"/>
      <c r="F66" s="869" t="str">
        <f t="shared" si="4"/>
        <v>2018-2019</v>
      </c>
      <c r="G66" s="481" t="s">
        <v>109</v>
      </c>
      <c r="H66" s="481"/>
      <c r="I66" s="481" t="s">
        <v>5</v>
      </c>
      <c r="J66" s="481"/>
      <c r="K66" s="533"/>
      <c r="L66" s="484"/>
      <c r="M66" s="481"/>
      <c r="N66" s="523"/>
      <c r="O66" s="485"/>
      <c r="P66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66" s="913">
        <f>IFERROR(Indirectos[[#This Row],[Económico $Corrientes]]/Indirectos[[#This Row],[Indexación Económico]],0)</f>
        <v>0</v>
      </c>
      <c r="R66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66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66" s="913">
        <f>IFERROR(Indirectos[[#This Row],[Financiero $Corrientes]]/Indirectos[[#This Row],[Indexación Financiero]],0)</f>
        <v>0</v>
      </c>
      <c r="U66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66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66" s="890">
        <f>IFERROR(Indirectos[[#This Row],[Intereses $Corrientes]]/Indirectos[[#This Row],[Indexación Financiero]],0)</f>
        <v>0</v>
      </c>
      <c r="X66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66" s="915" t="str">
        <f>IFERROR(INDEX(Costos_Indirectos_Cuentas[],MATCH(Indirectos[[#This Row],[Cuenta Contable]],Costos_Indirectos_Cuentas[Cuenta Contable],0),2),0)</f>
        <v>Egreso</v>
      </c>
      <c r="Z66" s="887" t="str">
        <f>IFERROR(INDEX(Tabla9[],MATCH(Indirectos[[#This Row],[Movimiento]],Tabla9[Movimientos],0),2),0)</f>
        <v>Si</v>
      </c>
      <c r="AA66" s="918" t="str">
        <f>IFERROR(INDEX(Costos_Indirectos_Cuentas[],MATCH(Indirectos[[#This Row],[Cuenta Contable]],Costos_Indirectos_Cuentas[Cuenta Contable],0),3),0)</f>
        <v>Si</v>
      </c>
      <c r="AB66" s="891" t="str">
        <f>IFERROR(INDEX(Tabla9[],MATCH(Indirectos[[#This Row],[Movimiento]],Tabla9[Movimientos],0),3),0)</f>
        <v>(-)</v>
      </c>
      <c r="AC66" s="884">
        <f>IF(Indirectos[[#This Row],[Fecha Económico]]=0,0,MONTH(Indirectos[[#This Row],[Fecha Económico]]))</f>
        <v>3</v>
      </c>
      <c r="AD66" s="890">
        <f>IF(Indirectos[[#This Row],[Fecha Económico]]=0,0,YEAR(Indirectos[[#This Row],[Fecha Económico]]))</f>
        <v>2019</v>
      </c>
      <c r="AE66" s="891">
        <f>SUMPRODUCT((Indirectos[[#This Row],[Mes Económico]]=Tipo_Cambio[Mes])*(Indirectos[[#This Row],[Año Económico]]=Tipo_Cambio[Año])*(Tipo_Cambio[$/U$S]))</f>
        <v>23.82284752381776</v>
      </c>
      <c r="AF66" s="891">
        <f>SUMPRODUCT((Indirectos[[#This Row],[Mes Económico]]=Tipo_Cambio[Mes])*(Indirectos[[#This Row],[Año Económico]]=Tipo_Cambio[Año])*(Tipo_Cambio[Actualización]))</f>
        <v>1.1716593810022657</v>
      </c>
      <c r="AG66" s="890">
        <f>IF(ISNUMBER(Indirectos[[#This Row],[Fecha Financiero]])=TRUE,MONTH(Indirectos[[#This Row],[Fecha Financiero]]),0)</f>
        <v>0</v>
      </c>
      <c r="AH66" s="890">
        <f>IF(ISNUMBER(Indirectos[[#This Row],[Fecha Financiero]])=TRUE,YEAR(Indirectos[[#This Row],[Fecha Financiero]]),0)</f>
        <v>0</v>
      </c>
      <c r="AI66" s="891">
        <f>SUMPRODUCT((Indirectos[[#This Row],[Mes Financiero]]=Tipo_Cambio[Mes])*(Indirectos[[#This Row],[Año Financiero]]=Tipo_Cambio[Año])*(Tipo_Cambio[$/U$S]))</f>
        <v>0</v>
      </c>
      <c r="AJ66" s="888">
        <f>SUMPRODUCT((Indirectos[[#This Row],[Mes Financiero]]=Tipo_Cambio[Mes])*(Indirectos[[#This Row],[Año Financiero]]=Tipo_Cambio[Año])*(Tipo_Cambio[Actualización]))</f>
        <v>0</v>
      </c>
      <c r="AK66" s="916">
        <f>IF(Económico!$F$4=0,0,Indirectos[Centro de Costo])</f>
        <v>0</v>
      </c>
    </row>
    <row r="67" spans="2:37" x14ac:dyDescent="0.25">
      <c r="D67" s="478">
        <f t="shared" si="6"/>
        <v>43556</v>
      </c>
      <c r="E67" s="493"/>
      <c r="F67" s="869" t="str">
        <f t="shared" si="4"/>
        <v>2018-2019</v>
      </c>
      <c r="G67" s="481" t="s">
        <v>109</v>
      </c>
      <c r="H67" s="481"/>
      <c r="I67" s="481" t="s">
        <v>5</v>
      </c>
      <c r="J67" s="481"/>
      <c r="K67" s="533"/>
      <c r="L67" s="484"/>
      <c r="M67" s="481"/>
      <c r="N67" s="523"/>
      <c r="O67" s="485"/>
      <c r="P67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67" s="913">
        <f>IFERROR(Indirectos[[#This Row],[Económico $Corrientes]]/Indirectos[[#This Row],[Indexación Económico]],0)</f>
        <v>0</v>
      </c>
      <c r="R67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67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67" s="913">
        <f>IFERROR(Indirectos[[#This Row],[Financiero $Corrientes]]/Indirectos[[#This Row],[Indexación Financiero]],0)</f>
        <v>0</v>
      </c>
      <c r="U67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67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67" s="890">
        <f>IFERROR(Indirectos[[#This Row],[Intereses $Corrientes]]/Indirectos[[#This Row],[Indexación Financiero]],0)</f>
        <v>0</v>
      </c>
      <c r="X67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67" s="915" t="str">
        <f>IFERROR(INDEX(Costos_Indirectos_Cuentas[],MATCH(Indirectos[[#This Row],[Cuenta Contable]],Costos_Indirectos_Cuentas[Cuenta Contable],0),2),0)</f>
        <v>Egreso</v>
      </c>
      <c r="Z67" s="887" t="str">
        <f>IFERROR(INDEX(Tabla9[],MATCH(Indirectos[[#This Row],[Movimiento]],Tabla9[Movimientos],0),2),0)</f>
        <v>Si</v>
      </c>
      <c r="AA67" s="918" t="str">
        <f>IFERROR(INDEX(Costos_Indirectos_Cuentas[],MATCH(Indirectos[[#This Row],[Cuenta Contable]],Costos_Indirectos_Cuentas[Cuenta Contable],0),3),0)</f>
        <v>Si</v>
      </c>
      <c r="AB67" s="891" t="str">
        <f>IFERROR(INDEX(Tabla9[],MATCH(Indirectos[[#This Row],[Movimiento]],Tabla9[Movimientos],0),3),0)</f>
        <v>(-)</v>
      </c>
      <c r="AC67" s="884">
        <f>IF(Indirectos[[#This Row],[Fecha Económico]]=0,0,MONTH(Indirectos[[#This Row],[Fecha Económico]]))</f>
        <v>4</v>
      </c>
      <c r="AD67" s="890">
        <f>IF(Indirectos[[#This Row],[Fecha Económico]]=0,0,YEAR(Indirectos[[#This Row],[Fecha Económico]]))</f>
        <v>2019</v>
      </c>
      <c r="AE67" s="891">
        <f>SUMPRODUCT((Indirectos[[#This Row],[Mes Económico]]=Tipo_Cambio[Mes])*(Indirectos[[#This Row],[Año Económico]]=Tipo_Cambio[Año])*(Tipo_Cambio[$/U$S]))</f>
        <v>24.061075999055937</v>
      </c>
      <c r="AF67" s="891">
        <f>SUMPRODUCT((Indirectos[[#This Row],[Mes Económico]]=Tipo_Cambio[Mes])*(Indirectos[[#This Row],[Año Económico]]=Tipo_Cambio[Año])*(Tipo_Cambio[Actualización]))</f>
        <v>1.1950925686223111</v>
      </c>
      <c r="AG67" s="890">
        <f>IF(ISNUMBER(Indirectos[[#This Row],[Fecha Financiero]])=TRUE,MONTH(Indirectos[[#This Row],[Fecha Financiero]]),0)</f>
        <v>0</v>
      </c>
      <c r="AH67" s="890">
        <f>IF(ISNUMBER(Indirectos[[#This Row],[Fecha Financiero]])=TRUE,YEAR(Indirectos[[#This Row],[Fecha Financiero]]),0)</f>
        <v>0</v>
      </c>
      <c r="AI67" s="891">
        <f>SUMPRODUCT((Indirectos[[#This Row],[Mes Financiero]]=Tipo_Cambio[Mes])*(Indirectos[[#This Row],[Año Financiero]]=Tipo_Cambio[Año])*(Tipo_Cambio[$/U$S]))</f>
        <v>0</v>
      </c>
      <c r="AJ67" s="888">
        <f>SUMPRODUCT((Indirectos[[#This Row],[Mes Financiero]]=Tipo_Cambio[Mes])*(Indirectos[[#This Row],[Año Financiero]]=Tipo_Cambio[Año])*(Tipo_Cambio[Actualización]))</f>
        <v>0</v>
      </c>
      <c r="AK67" s="916">
        <f>IF(Económico!$F$4=0,0,Indirectos[Centro de Costo])</f>
        <v>0</v>
      </c>
    </row>
    <row r="68" spans="2:37" x14ac:dyDescent="0.25">
      <c r="D68" s="478">
        <f t="shared" si="6"/>
        <v>43586</v>
      </c>
      <c r="E68" s="493"/>
      <c r="F68" s="869" t="str">
        <f t="shared" si="4"/>
        <v>2018-2019</v>
      </c>
      <c r="G68" s="481" t="s">
        <v>109</v>
      </c>
      <c r="H68" s="481"/>
      <c r="I68" s="481" t="s">
        <v>5</v>
      </c>
      <c r="J68" s="481"/>
      <c r="K68" s="533"/>
      <c r="L68" s="484"/>
      <c r="M68" s="481"/>
      <c r="N68" s="523"/>
      <c r="O68" s="485"/>
      <c r="P68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68" s="913">
        <f>IFERROR(Indirectos[[#This Row],[Económico $Corrientes]]/Indirectos[[#This Row],[Indexación Económico]],0)</f>
        <v>0</v>
      </c>
      <c r="R68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68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68" s="913">
        <f>IFERROR(Indirectos[[#This Row],[Financiero $Corrientes]]/Indirectos[[#This Row],[Indexación Financiero]],0)</f>
        <v>0</v>
      </c>
      <c r="U68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68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68" s="890">
        <f>IFERROR(Indirectos[[#This Row],[Intereses $Corrientes]]/Indirectos[[#This Row],[Indexación Financiero]],0)</f>
        <v>0</v>
      </c>
      <c r="X68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68" s="915" t="str">
        <f>IFERROR(INDEX(Costos_Indirectos_Cuentas[],MATCH(Indirectos[[#This Row],[Cuenta Contable]],Costos_Indirectos_Cuentas[Cuenta Contable],0),2),0)</f>
        <v>Egreso</v>
      </c>
      <c r="Z68" s="887" t="str">
        <f>IFERROR(INDEX(Tabla9[],MATCH(Indirectos[[#This Row],[Movimiento]],Tabla9[Movimientos],0),2),0)</f>
        <v>Si</v>
      </c>
      <c r="AA68" s="918" t="str">
        <f>IFERROR(INDEX(Costos_Indirectos_Cuentas[],MATCH(Indirectos[[#This Row],[Cuenta Contable]],Costos_Indirectos_Cuentas[Cuenta Contable],0),3),0)</f>
        <v>Si</v>
      </c>
      <c r="AB68" s="891" t="str">
        <f>IFERROR(INDEX(Tabla9[],MATCH(Indirectos[[#This Row],[Movimiento]],Tabla9[Movimientos],0),3),0)</f>
        <v>(-)</v>
      </c>
      <c r="AC68" s="884">
        <f>IF(Indirectos[[#This Row],[Fecha Económico]]=0,0,MONTH(Indirectos[[#This Row],[Fecha Económico]]))</f>
        <v>5</v>
      </c>
      <c r="AD68" s="890">
        <f>IF(Indirectos[[#This Row],[Fecha Económico]]=0,0,YEAR(Indirectos[[#This Row],[Fecha Económico]]))</f>
        <v>2019</v>
      </c>
      <c r="AE68" s="891">
        <f>SUMPRODUCT((Indirectos[[#This Row],[Mes Económico]]=Tipo_Cambio[Mes])*(Indirectos[[#This Row],[Año Económico]]=Tipo_Cambio[Año])*(Tipo_Cambio[$/U$S]))</f>
        <v>24.301686759046497</v>
      </c>
      <c r="AF68" s="891">
        <f>SUMPRODUCT((Indirectos[[#This Row],[Mes Económico]]=Tipo_Cambio[Mes])*(Indirectos[[#This Row],[Año Económico]]=Tipo_Cambio[Año])*(Tipo_Cambio[Actualización]))</f>
        <v>1.2189944199947573</v>
      </c>
      <c r="AG68" s="890">
        <f>IF(ISNUMBER(Indirectos[[#This Row],[Fecha Financiero]])=TRUE,MONTH(Indirectos[[#This Row],[Fecha Financiero]]),0)</f>
        <v>0</v>
      </c>
      <c r="AH68" s="890">
        <f>IF(ISNUMBER(Indirectos[[#This Row],[Fecha Financiero]])=TRUE,YEAR(Indirectos[[#This Row],[Fecha Financiero]]),0)</f>
        <v>0</v>
      </c>
      <c r="AI68" s="891">
        <f>SUMPRODUCT((Indirectos[[#This Row],[Mes Financiero]]=Tipo_Cambio[Mes])*(Indirectos[[#This Row],[Año Financiero]]=Tipo_Cambio[Año])*(Tipo_Cambio[$/U$S]))</f>
        <v>0</v>
      </c>
      <c r="AJ68" s="888">
        <f>SUMPRODUCT((Indirectos[[#This Row],[Mes Financiero]]=Tipo_Cambio[Mes])*(Indirectos[[#This Row],[Año Financiero]]=Tipo_Cambio[Año])*(Tipo_Cambio[Actualización]))</f>
        <v>0</v>
      </c>
      <c r="AK68" s="916">
        <f>IF(Económico!$F$4=0,0,Indirectos[Centro de Costo])</f>
        <v>0</v>
      </c>
    </row>
    <row r="69" spans="2:37" x14ac:dyDescent="0.25">
      <c r="D69" s="535">
        <f t="shared" si="6"/>
        <v>43617</v>
      </c>
      <c r="E69" s="536"/>
      <c r="F69" s="870" t="str">
        <f t="shared" ref="F69:F100" si="7">Campaña_Actual</f>
        <v>2018-2019</v>
      </c>
      <c r="G69" s="538" t="s">
        <v>109</v>
      </c>
      <c r="H69" s="538"/>
      <c r="I69" s="538" t="s">
        <v>5</v>
      </c>
      <c r="J69" s="538"/>
      <c r="K69" s="539"/>
      <c r="L69" s="540"/>
      <c r="M69" s="538"/>
      <c r="N69" s="542"/>
      <c r="O69" s="541"/>
      <c r="P69" s="895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69" s="893">
        <f>IFERROR(Indirectos[[#This Row],[Económico $Corrientes]]/Indirectos[[#This Row],[Indexación Económico]],0)</f>
        <v>0</v>
      </c>
      <c r="R69" s="894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69" s="895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69" s="893">
        <f>IFERROR(Indirectos[[#This Row],[Financiero $Corrientes]]/Indirectos[[#This Row],[Indexación Financiero]],0)</f>
        <v>0</v>
      </c>
      <c r="U69" s="921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69" s="896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69" s="897">
        <f>IFERROR(Indirectos[[#This Row],[Intereses $Corrientes]]/Indirectos[[#This Row],[Indexación Financiero]],0)</f>
        <v>0</v>
      </c>
      <c r="X69" s="897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69" s="922" t="str">
        <f>IFERROR(INDEX(Costos_Indirectos_Cuentas[],MATCH(Indirectos[[#This Row],[Cuenta Contable]],Costos_Indirectos_Cuentas[Cuenta Contable],0),2),0)</f>
        <v>Egreso</v>
      </c>
      <c r="Z69" s="899" t="str">
        <f>IFERROR(INDEX(Tabla9[],MATCH(Indirectos[[#This Row],[Movimiento]],Tabla9[Movimientos],0),2),0)</f>
        <v>Si</v>
      </c>
      <c r="AA69" s="925" t="str">
        <f>IFERROR(INDEX(Costos_Indirectos_Cuentas[],MATCH(Indirectos[[#This Row],[Cuenta Contable]],Costos_Indirectos_Cuentas[Cuenta Contable],0),3),0)</f>
        <v>Si</v>
      </c>
      <c r="AB69" s="901" t="str">
        <f>IFERROR(INDEX(Tabla9[],MATCH(Indirectos[[#This Row],[Movimiento]],Tabla9[Movimientos],0),3),0)</f>
        <v>(-)</v>
      </c>
      <c r="AC69" s="896">
        <f>IF(Indirectos[[#This Row],[Fecha Económico]]=0,0,MONTH(Indirectos[[#This Row],[Fecha Económico]]))</f>
        <v>6</v>
      </c>
      <c r="AD69" s="897">
        <f>IF(Indirectos[[#This Row],[Fecha Económico]]=0,0,YEAR(Indirectos[[#This Row],[Fecha Económico]]))</f>
        <v>2019</v>
      </c>
      <c r="AE69" s="901">
        <f>SUMPRODUCT((Indirectos[[#This Row],[Mes Económico]]=Tipo_Cambio[Mes])*(Indirectos[[#This Row],[Año Económico]]=Tipo_Cambio[Año])*(Tipo_Cambio[$/U$S]))</f>
        <v>24.544703626636963</v>
      </c>
      <c r="AF69" s="901">
        <f>SUMPRODUCT((Indirectos[[#This Row],[Mes Económico]]=Tipo_Cambio[Mes])*(Indirectos[[#This Row],[Año Económico]]=Tipo_Cambio[Año])*(Tipo_Cambio[Actualización]))</f>
        <v>1.2433743083946525</v>
      </c>
      <c r="AG69" s="897">
        <f>IF(ISNUMBER(Indirectos[[#This Row],[Fecha Financiero]])=TRUE,MONTH(Indirectos[[#This Row],[Fecha Financiero]]),0)</f>
        <v>0</v>
      </c>
      <c r="AH69" s="897">
        <f>IF(ISNUMBER(Indirectos[[#This Row],[Fecha Financiero]])=TRUE,YEAR(Indirectos[[#This Row],[Fecha Financiero]]),0)</f>
        <v>0</v>
      </c>
      <c r="AI69" s="901">
        <f>SUMPRODUCT((Indirectos[[#This Row],[Mes Financiero]]=Tipo_Cambio[Mes])*(Indirectos[[#This Row],[Año Financiero]]=Tipo_Cambio[Año])*(Tipo_Cambio[$/U$S]))</f>
        <v>0</v>
      </c>
      <c r="AJ69" s="900">
        <f>SUMPRODUCT((Indirectos[[#This Row],[Mes Financiero]]=Tipo_Cambio[Mes])*(Indirectos[[#This Row],[Año Financiero]]=Tipo_Cambio[Año])*(Tipo_Cambio[Actualización]))</f>
        <v>0</v>
      </c>
      <c r="AK69" s="923">
        <f>IF(Económico!$F$4=0,0,Indirectos[Centro de Costo])</f>
        <v>0</v>
      </c>
    </row>
    <row r="70" spans="2:37" x14ac:dyDescent="0.25">
      <c r="D70" s="528"/>
      <c r="E70" s="493"/>
      <c r="F70" s="869" t="str">
        <f t="shared" si="7"/>
        <v>2018-2019</v>
      </c>
      <c r="G70" s="482" t="s">
        <v>517</v>
      </c>
      <c r="H70" s="481"/>
      <c r="I70" s="481" t="s">
        <v>5</v>
      </c>
      <c r="J70" s="481"/>
      <c r="K70" s="533"/>
      <c r="L70" s="484"/>
      <c r="M70" s="481"/>
      <c r="N70" s="523"/>
      <c r="O70" s="485"/>
      <c r="P70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70" s="913">
        <f>IFERROR(Indirectos[[#This Row],[Económico $Corrientes]]/Indirectos[[#This Row],[Indexación Económico]],0)</f>
        <v>0</v>
      </c>
      <c r="R70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70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70" s="913">
        <f>IFERROR(Indirectos[[#This Row],[Financiero $Corrientes]]/Indirectos[[#This Row],[Indexación Financiero]],0)</f>
        <v>0</v>
      </c>
      <c r="U70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70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70" s="890">
        <f>IFERROR(Indirectos[[#This Row],[Intereses $Corrientes]]/Indirectos[[#This Row],[Indexación Financiero]],0)</f>
        <v>0</v>
      </c>
      <c r="X70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70" s="915">
        <f>IFERROR(INDEX(Costos_Indirectos_Cuentas[],MATCH(Indirectos[[#This Row],[Cuenta Contable]],Costos_Indirectos_Cuentas[Cuenta Contable],0),2),0)</f>
        <v>0</v>
      </c>
      <c r="Z70" s="887">
        <f>IFERROR(INDEX(Tabla9[],MATCH(Indirectos[[#This Row],[Movimiento]],Tabla9[Movimientos],0),2),0)</f>
        <v>0</v>
      </c>
      <c r="AA70" s="918">
        <f>IFERROR(INDEX(Costos_Indirectos_Cuentas[],MATCH(Indirectos[[#This Row],[Cuenta Contable]],Costos_Indirectos_Cuentas[Cuenta Contable],0),3),0)</f>
        <v>0</v>
      </c>
      <c r="AB70" s="891">
        <f>IFERROR(INDEX(Tabla9[],MATCH(Indirectos[[#This Row],[Movimiento]],Tabla9[Movimientos],0),3),0)</f>
        <v>0</v>
      </c>
      <c r="AC70" s="884">
        <f>IF(Indirectos[[#This Row],[Fecha Económico]]=0,0,MONTH(Indirectos[[#This Row],[Fecha Económico]]))</f>
        <v>0</v>
      </c>
      <c r="AD70" s="890">
        <f>IF(Indirectos[[#This Row],[Fecha Económico]]=0,0,YEAR(Indirectos[[#This Row],[Fecha Económico]]))</f>
        <v>0</v>
      </c>
      <c r="AE70" s="891">
        <f>SUMPRODUCT((Indirectos[[#This Row],[Mes Económico]]=Tipo_Cambio[Mes])*(Indirectos[[#This Row],[Año Económico]]=Tipo_Cambio[Año])*(Tipo_Cambio[$/U$S]))</f>
        <v>0</v>
      </c>
      <c r="AF70" s="891">
        <f>SUMPRODUCT((Indirectos[[#This Row],[Mes Económico]]=Tipo_Cambio[Mes])*(Indirectos[[#This Row],[Año Económico]]=Tipo_Cambio[Año])*(Tipo_Cambio[Actualización]))</f>
        <v>0</v>
      </c>
      <c r="AG70" s="890">
        <f>IF(ISNUMBER(Indirectos[[#This Row],[Fecha Financiero]])=TRUE,MONTH(Indirectos[[#This Row],[Fecha Financiero]]),0)</f>
        <v>0</v>
      </c>
      <c r="AH70" s="890">
        <f>IF(ISNUMBER(Indirectos[[#This Row],[Fecha Financiero]])=TRUE,YEAR(Indirectos[[#This Row],[Fecha Financiero]]),0)</f>
        <v>0</v>
      </c>
      <c r="AI70" s="891">
        <f>SUMPRODUCT((Indirectos[[#This Row],[Mes Financiero]]=Tipo_Cambio[Mes])*(Indirectos[[#This Row],[Año Financiero]]=Tipo_Cambio[Año])*(Tipo_Cambio[$/U$S]))</f>
        <v>0</v>
      </c>
      <c r="AJ70" s="888">
        <f>SUMPRODUCT((Indirectos[[#This Row],[Mes Financiero]]=Tipo_Cambio[Mes])*(Indirectos[[#This Row],[Año Financiero]]=Tipo_Cambio[Año])*(Tipo_Cambio[Actualización]))</f>
        <v>0</v>
      </c>
      <c r="AK70" s="916">
        <f>IF(Económico!$F$4=0,0,Indirectos[Centro de Costo])</f>
        <v>0</v>
      </c>
    </row>
    <row r="71" spans="2:37" x14ac:dyDescent="0.25">
      <c r="D71" s="528"/>
      <c r="E71" s="493"/>
      <c r="F71" s="869" t="str">
        <f t="shared" si="7"/>
        <v>2018-2019</v>
      </c>
      <c r="G71" s="482"/>
      <c r="H71" s="481"/>
      <c r="I71" s="481" t="s">
        <v>5</v>
      </c>
      <c r="J71" s="481"/>
      <c r="K71" s="533"/>
      <c r="L71" s="484"/>
      <c r="M71" s="481"/>
      <c r="N71" s="523"/>
      <c r="O71" s="485"/>
      <c r="P71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71" s="913">
        <f>IFERROR(Indirectos[[#This Row],[Económico $Corrientes]]/Indirectos[[#This Row],[Indexación Económico]],0)</f>
        <v>0</v>
      </c>
      <c r="R71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71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71" s="913">
        <f>IFERROR(Indirectos[[#This Row],[Financiero $Corrientes]]/Indirectos[[#This Row],[Indexación Financiero]],0)</f>
        <v>0</v>
      </c>
      <c r="U71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71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71" s="890">
        <f>IFERROR(Indirectos[[#This Row],[Intereses $Corrientes]]/Indirectos[[#This Row],[Indexación Financiero]],0)</f>
        <v>0</v>
      </c>
      <c r="X71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71" s="915">
        <f>IFERROR(INDEX(Costos_Indirectos_Cuentas[],MATCH(Indirectos[[#This Row],[Cuenta Contable]],Costos_Indirectos_Cuentas[Cuenta Contable],0),2),0)</f>
        <v>0</v>
      </c>
      <c r="Z71" s="887">
        <f>IFERROR(INDEX(Tabla9[],MATCH(Indirectos[[#This Row],[Movimiento]],Tabla9[Movimientos],0),2),0)</f>
        <v>0</v>
      </c>
      <c r="AA71" s="918">
        <f>IFERROR(INDEX(Costos_Indirectos_Cuentas[],MATCH(Indirectos[[#This Row],[Cuenta Contable]],Costos_Indirectos_Cuentas[Cuenta Contable],0),3),0)</f>
        <v>0</v>
      </c>
      <c r="AB71" s="891">
        <f>IFERROR(INDEX(Tabla9[],MATCH(Indirectos[[#This Row],[Movimiento]],Tabla9[Movimientos],0),3),0)</f>
        <v>0</v>
      </c>
      <c r="AC71" s="884">
        <f>IF(Indirectos[[#This Row],[Fecha Económico]]=0,0,MONTH(Indirectos[[#This Row],[Fecha Económico]]))</f>
        <v>0</v>
      </c>
      <c r="AD71" s="890">
        <f>IF(Indirectos[[#This Row],[Fecha Económico]]=0,0,YEAR(Indirectos[[#This Row],[Fecha Económico]]))</f>
        <v>0</v>
      </c>
      <c r="AE71" s="891">
        <f>SUMPRODUCT((Indirectos[[#This Row],[Mes Económico]]=Tipo_Cambio[Mes])*(Indirectos[[#This Row],[Año Económico]]=Tipo_Cambio[Año])*(Tipo_Cambio[$/U$S]))</f>
        <v>0</v>
      </c>
      <c r="AF71" s="891">
        <f>SUMPRODUCT((Indirectos[[#This Row],[Mes Económico]]=Tipo_Cambio[Mes])*(Indirectos[[#This Row],[Año Económico]]=Tipo_Cambio[Año])*(Tipo_Cambio[Actualización]))</f>
        <v>0</v>
      </c>
      <c r="AG71" s="890">
        <f>IF(ISNUMBER(Indirectos[[#This Row],[Fecha Financiero]])=TRUE,MONTH(Indirectos[[#This Row],[Fecha Financiero]]),0)</f>
        <v>0</v>
      </c>
      <c r="AH71" s="890">
        <f>IF(ISNUMBER(Indirectos[[#This Row],[Fecha Financiero]])=TRUE,YEAR(Indirectos[[#This Row],[Fecha Financiero]]),0)</f>
        <v>0</v>
      </c>
      <c r="AI71" s="891">
        <f>SUMPRODUCT((Indirectos[[#This Row],[Mes Financiero]]=Tipo_Cambio[Mes])*(Indirectos[[#This Row],[Año Financiero]]=Tipo_Cambio[Año])*(Tipo_Cambio[$/U$S]))</f>
        <v>0</v>
      </c>
      <c r="AJ71" s="888">
        <f>SUMPRODUCT((Indirectos[[#This Row],[Mes Financiero]]=Tipo_Cambio[Mes])*(Indirectos[[#This Row],[Año Financiero]]=Tipo_Cambio[Año])*(Tipo_Cambio[Actualización]))</f>
        <v>0</v>
      </c>
      <c r="AK71" s="916">
        <f>IF(Económico!$F$4=0,0,Indirectos[Centro de Costo])</f>
        <v>0</v>
      </c>
    </row>
    <row r="72" spans="2:37" x14ac:dyDescent="0.25">
      <c r="D72" s="528"/>
      <c r="E72" s="493"/>
      <c r="F72" s="869" t="str">
        <f t="shared" si="7"/>
        <v>2018-2019</v>
      </c>
      <c r="G72" s="481"/>
      <c r="H72" s="481"/>
      <c r="I72" s="481" t="s">
        <v>5</v>
      </c>
      <c r="J72" s="481"/>
      <c r="K72" s="533"/>
      <c r="L72" s="484"/>
      <c r="M72" s="481"/>
      <c r="N72" s="523"/>
      <c r="O72" s="485"/>
      <c r="P72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72" s="913">
        <f>IFERROR(Indirectos[[#This Row],[Económico $Corrientes]]/Indirectos[[#This Row],[Indexación Económico]],0)</f>
        <v>0</v>
      </c>
      <c r="R72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72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72" s="913">
        <f>IFERROR(Indirectos[[#This Row],[Financiero $Corrientes]]/Indirectos[[#This Row],[Indexación Financiero]],0)</f>
        <v>0</v>
      </c>
      <c r="U72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72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72" s="890">
        <f>IFERROR(Indirectos[[#This Row],[Intereses $Corrientes]]/Indirectos[[#This Row],[Indexación Financiero]],0)</f>
        <v>0</v>
      </c>
      <c r="X72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72" s="915">
        <f>IFERROR(INDEX(Costos_Indirectos_Cuentas[],MATCH(Indirectos[[#This Row],[Cuenta Contable]],Costos_Indirectos_Cuentas[Cuenta Contable],0),2),0)</f>
        <v>0</v>
      </c>
      <c r="Z72" s="887">
        <f>IFERROR(INDEX(Tabla9[],MATCH(Indirectos[[#This Row],[Movimiento]],Tabla9[Movimientos],0),2),0)</f>
        <v>0</v>
      </c>
      <c r="AA72" s="918">
        <f>IFERROR(INDEX(Costos_Indirectos_Cuentas[],MATCH(Indirectos[[#This Row],[Cuenta Contable]],Costos_Indirectos_Cuentas[Cuenta Contable],0),3),0)</f>
        <v>0</v>
      </c>
      <c r="AB72" s="891">
        <f>IFERROR(INDEX(Tabla9[],MATCH(Indirectos[[#This Row],[Movimiento]],Tabla9[Movimientos],0),3),0)</f>
        <v>0</v>
      </c>
      <c r="AC72" s="884">
        <f>IF(Indirectos[[#This Row],[Fecha Económico]]=0,0,MONTH(Indirectos[[#This Row],[Fecha Económico]]))</f>
        <v>0</v>
      </c>
      <c r="AD72" s="890">
        <f>IF(Indirectos[[#This Row],[Fecha Económico]]=0,0,YEAR(Indirectos[[#This Row],[Fecha Económico]]))</f>
        <v>0</v>
      </c>
      <c r="AE72" s="891">
        <f>SUMPRODUCT((Indirectos[[#This Row],[Mes Económico]]=Tipo_Cambio[Mes])*(Indirectos[[#This Row],[Año Económico]]=Tipo_Cambio[Año])*(Tipo_Cambio[$/U$S]))</f>
        <v>0</v>
      </c>
      <c r="AF72" s="891">
        <f>SUMPRODUCT((Indirectos[[#This Row],[Mes Económico]]=Tipo_Cambio[Mes])*(Indirectos[[#This Row],[Año Económico]]=Tipo_Cambio[Año])*(Tipo_Cambio[Actualización]))</f>
        <v>0</v>
      </c>
      <c r="AG72" s="890">
        <f>IF(ISNUMBER(Indirectos[[#This Row],[Fecha Financiero]])=TRUE,MONTH(Indirectos[[#This Row],[Fecha Financiero]]),0)</f>
        <v>0</v>
      </c>
      <c r="AH72" s="890">
        <f>IF(ISNUMBER(Indirectos[[#This Row],[Fecha Financiero]])=TRUE,YEAR(Indirectos[[#This Row],[Fecha Financiero]]),0)</f>
        <v>0</v>
      </c>
      <c r="AI72" s="891">
        <f>SUMPRODUCT((Indirectos[[#This Row],[Mes Financiero]]=Tipo_Cambio[Mes])*(Indirectos[[#This Row],[Año Financiero]]=Tipo_Cambio[Año])*(Tipo_Cambio[$/U$S]))</f>
        <v>0</v>
      </c>
      <c r="AJ72" s="888">
        <f>SUMPRODUCT((Indirectos[[#This Row],[Mes Financiero]]=Tipo_Cambio[Mes])*(Indirectos[[#This Row],[Año Financiero]]=Tipo_Cambio[Año])*(Tipo_Cambio[Actualización]))</f>
        <v>0</v>
      </c>
      <c r="AK72" s="916">
        <f>IF(Económico!$F$4=0,0,Indirectos[Centro de Costo])</f>
        <v>0</v>
      </c>
    </row>
    <row r="73" spans="2:37" ht="15.75" thickBot="1" x14ac:dyDescent="0.3">
      <c r="B73" s="373" t="s">
        <v>101</v>
      </c>
      <c r="D73" s="502"/>
      <c r="E73" s="544"/>
      <c r="F73" s="1075" t="str">
        <f t="shared" si="7"/>
        <v>2018-2019</v>
      </c>
      <c r="G73" s="504"/>
      <c r="H73" s="525"/>
      <c r="I73" s="525" t="s">
        <v>5</v>
      </c>
      <c r="J73" s="525"/>
      <c r="K73" s="543"/>
      <c r="L73" s="506"/>
      <c r="M73" s="525"/>
      <c r="N73" s="527"/>
      <c r="O73" s="507"/>
      <c r="P73" s="106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73" s="1064">
        <f>IFERROR(Indirectos[[#This Row],[Económico $Corrientes]]/Indirectos[[#This Row],[Indexación Económico]],0)</f>
        <v>0</v>
      </c>
      <c r="R73" s="1065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73" s="106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73" s="1064">
        <f>IFERROR(Indirectos[[#This Row],[Financiero $Corrientes]]/Indirectos[[#This Row],[Indexación Financiero]],0)</f>
        <v>0</v>
      </c>
      <c r="U73" s="1066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73" s="1067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73" s="1068">
        <f>IFERROR(Indirectos[[#This Row],[Intereses $Corrientes]]/Indirectos[[#This Row],[Indexación Financiero]],0)</f>
        <v>0</v>
      </c>
      <c r="X73" s="1068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73" s="1069">
        <f>IFERROR(INDEX(Costos_Indirectos_Cuentas[],MATCH(Indirectos[[#This Row],[Cuenta Contable]],Costos_Indirectos_Cuentas[Cuenta Contable],0),2),0)</f>
        <v>0</v>
      </c>
      <c r="Z73" s="1070">
        <f>IFERROR(INDEX(Tabla9[],MATCH(Indirectos[[#This Row],[Movimiento]],Tabla9[Movimientos],0),2),0)</f>
        <v>0</v>
      </c>
      <c r="AA73" s="1071">
        <f>IFERROR(INDEX(Costos_Indirectos_Cuentas[],MATCH(Indirectos[[#This Row],[Cuenta Contable]],Costos_Indirectos_Cuentas[Cuenta Contable],0),3),0)</f>
        <v>0</v>
      </c>
      <c r="AB73" s="1072">
        <f>IFERROR(INDEX(Tabla9[],MATCH(Indirectos[[#This Row],[Movimiento]],Tabla9[Movimientos],0),3),0)</f>
        <v>0</v>
      </c>
      <c r="AC73" s="1067">
        <f>IF(Indirectos[[#This Row],[Fecha Económico]]=0,0,MONTH(Indirectos[[#This Row],[Fecha Económico]]))</f>
        <v>0</v>
      </c>
      <c r="AD73" s="1068">
        <f>IF(Indirectos[[#This Row],[Fecha Económico]]=0,0,YEAR(Indirectos[[#This Row],[Fecha Económico]]))</f>
        <v>0</v>
      </c>
      <c r="AE73" s="1072">
        <f>SUMPRODUCT((Indirectos[[#This Row],[Mes Económico]]=Tipo_Cambio[Mes])*(Indirectos[[#This Row],[Año Económico]]=Tipo_Cambio[Año])*(Tipo_Cambio[$/U$S]))</f>
        <v>0</v>
      </c>
      <c r="AF73" s="1072">
        <f>SUMPRODUCT((Indirectos[[#This Row],[Mes Económico]]=Tipo_Cambio[Mes])*(Indirectos[[#This Row],[Año Económico]]=Tipo_Cambio[Año])*(Tipo_Cambio[Actualización]))</f>
        <v>0</v>
      </c>
      <c r="AG73" s="1068">
        <f>IF(ISNUMBER(Indirectos[[#This Row],[Fecha Financiero]])=TRUE,MONTH(Indirectos[[#This Row],[Fecha Financiero]]),0)</f>
        <v>0</v>
      </c>
      <c r="AH73" s="1068">
        <f>IF(ISNUMBER(Indirectos[[#This Row],[Fecha Financiero]])=TRUE,YEAR(Indirectos[[#This Row],[Fecha Financiero]]),0)</f>
        <v>0</v>
      </c>
      <c r="AI73" s="1072">
        <f>SUMPRODUCT((Indirectos[[#This Row],[Mes Financiero]]=Tipo_Cambio[Mes])*(Indirectos[[#This Row],[Año Financiero]]=Tipo_Cambio[Año])*(Tipo_Cambio[$/U$S]))</f>
        <v>0</v>
      </c>
      <c r="AJ73" s="1073">
        <f>SUMPRODUCT((Indirectos[[#This Row],[Mes Financiero]]=Tipo_Cambio[Mes])*(Indirectos[[#This Row],[Año Financiero]]=Tipo_Cambio[Año])*(Tipo_Cambio[Actualización]))</f>
        <v>0</v>
      </c>
      <c r="AK73" s="1074">
        <f>IF(Económico!$F$4=0,0,Indirectos[Centro de Costo])</f>
        <v>0</v>
      </c>
    </row>
    <row r="74" spans="2:37" ht="15.75" thickTop="1" x14ac:dyDescent="0.25">
      <c r="B74" s="437" t="s">
        <v>114</v>
      </c>
      <c r="D74" s="528"/>
      <c r="E74" s="493"/>
      <c r="F74" s="869" t="str">
        <f t="shared" si="7"/>
        <v>2018-2019</v>
      </c>
      <c r="G74" s="482" t="s">
        <v>284</v>
      </c>
      <c r="H74" s="481"/>
      <c r="I74" s="481" t="s">
        <v>114</v>
      </c>
      <c r="J74" s="481"/>
      <c r="K74" s="533"/>
      <c r="L74" s="484"/>
      <c r="M74" s="481"/>
      <c r="N74" s="523"/>
      <c r="O74" s="485"/>
      <c r="P74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74" s="913">
        <f>IFERROR(Indirectos[[#This Row],[Económico $Corrientes]]/Indirectos[[#This Row],[Indexación Económico]],0)</f>
        <v>0</v>
      </c>
      <c r="R74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74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74" s="913">
        <f>IFERROR(Indirectos[[#This Row],[Financiero $Corrientes]]/Indirectos[[#This Row],[Indexación Financiero]],0)</f>
        <v>0</v>
      </c>
      <c r="U74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74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74" s="890">
        <f>IFERROR(Indirectos[[#This Row],[Intereses $Corrientes]]/Indirectos[[#This Row],[Indexación Financiero]],0)</f>
        <v>0</v>
      </c>
      <c r="X74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74" s="915" t="str">
        <f>IFERROR(INDEX(Costos_Indirectos_Cuentas[],MATCH(Indirectos[[#This Row],[Cuenta Contable]],Costos_Indirectos_Cuentas[Cuenta Contable],0),2),0)</f>
        <v>Egreso</v>
      </c>
      <c r="Z74" s="887" t="str">
        <f>IFERROR(INDEX(Tabla9[],MATCH(Indirectos[[#This Row],[Movimiento]],Tabla9[Movimientos],0),2),0)</f>
        <v>Si</v>
      </c>
      <c r="AA74" s="918" t="str">
        <f>IFERROR(INDEX(Costos_Indirectos_Cuentas[],MATCH(Indirectos[[#This Row],[Cuenta Contable]],Costos_Indirectos_Cuentas[Cuenta Contable],0),3),0)</f>
        <v>No</v>
      </c>
      <c r="AB74" s="891" t="str">
        <f>IFERROR(INDEX(Tabla9[],MATCH(Indirectos[[#This Row],[Movimiento]],Tabla9[Movimientos],0),3),0)</f>
        <v>(-)</v>
      </c>
      <c r="AC74" s="884">
        <f>IF(Indirectos[[#This Row],[Fecha Económico]]=0,0,MONTH(Indirectos[[#This Row],[Fecha Económico]]))</f>
        <v>0</v>
      </c>
      <c r="AD74" s="890">
        <f>IF(Indirectos[[#This Row],[Fecha Económico]]=0,0,YEAR(Indirectos[[#This Row],[Fecha Económico]]))</f>
        <v>0</v>
      </c>
      <c r="AE74" s="891">
        <f>SUMPRODUCT((Indirectos[[#This Row],[Mes Económico]]=Tipo_Cambio[Mes])*(Indirectos[[#This Row],[Año Económico]]=Tipo_Cambio[Año])*(Tipo_Cambio[$/U$S]))</f>
        <v>0</v>
      </c>
      <c r="AF74" s="891">
        <f>SUMPRODUCT((Indirectos[[#This Row],[Mes Económico]]=Tipo_Cambio[Mes])*(Indirectos[[#This Row],[Año Económico]]=Tipo_Cambio[Año])*(Tipo_Cambio[Actualización]))</f>
        <v>0</v>
      </c>
      <c r="AG74" s="890">
        <f>IF(ISNUMBER(Indirectos[[#This Row],[Fecha Financiero]])=TRUE,MONTH(Indirectos[[#This Row],[Fecha Financiero]]),0)</f>
        <v>0</v>
      </c>
      <c r="AH74" s="890">
        <f>IF(ISNUMBER(Indirectos[[#This Row],[Fecha Financiero]])=TRUE,YEAR(Indirectos[[#This Row],[Fecha Financiero]]),0)</f>
        <v>0</v>
      </c>
      <c r="AI74" s="891">
        <f>SUMPRODUCT((Indirectos[[#This Row],[Mes Financiero]]=Tipo_Cambio[Mes])*(Indirectos[[#This Row],[Año Financiero]]=Tipo_Cambio[Año])*(Tipo_Cambio[$/U$S]))</f>
        <v>0</v>
      </c>
      <c r="AJ74" s="888">
        <f>SUMPRODUCT((Indirectos[[#This Row],[Mes Financiero]]=Tipo_Cambio[Mes])*(Indirectos[[#This Row],[Año Financiero]]=Tipo_Cambio[Año])*(Tipo_Cambio[Actualización]))</f>
        <v>0</v>
      </c>
      <c r="AK74" s="916">
        <f>IF(Económico!$F$4=0,0,Indirectos[Centro de Costo])</f>
        <v>0</v>
      </c>
    </row>
    <row r="75" spans="2:37" x14ac:dyDescent="0.25">
      <c r="D75" s="528"/>
      <c r="E75" s="493"/>
      <c r="F75" s="869" t="str">
        <f t="shared" si="7"/>
        <v>2018-2019</v>
      </c>
      <c r="G75" s="482" t="s">
        <v>284</v>
      </c>
      <c r="H75" s="481"/>
      <c r="I75" s="481" t="s">
        <v>114</v>
      </c>
      <c r="J75" s="481"/>
      <c r="K75" s="533"/>
      <c r="L75" s="484"/>
      <c r="M75" s="481"/>
      <c r="N75" s="523"/>
      <c r="O75" s="485"/>
      <c r="P75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75" s="913">
        <f>IFERROR(Indirectos[[#This Row],[Económico $Corrientes]]/Indirectos[[#This Row],[Indexación Económico]],0)</f>
        <v>0</v>
      </c>
      <c r="R75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75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75" s="913">
        <f>IFERROR(Indirectos[[#This Row],[Financiero $Corrientes]]/Indirectos[[#This Row],[Indexación Financiero]],0)</f>
        <v>0</v>
      </c>
      <c r="U75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75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75" s="890">
        <f>IFERROR(Indirectos[[#This Row],[Intereses $Corrientes]]/Indirectos[[#This Row],[Indexación Financiero]],0)</f>
        <v>0</v>
      </c>
      <c r="X75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75" s="915" t="str">
        <f>IFERROR(INDEX(Costos_Indirectos_Cuentas[],MATCH(Indirectos[[#This Row],[Cuenta Contable]],Costos_Indirectos_Cuentas[Cuenta Contable],0),2),0)</f>
        <v>Egreso</v>
      </c>
      <c r="Z75" s="887" t="str">
        <f>IFERROR(INDEX(Tabla9[],MATCH(Indirectos[[#This Row],[Movimiento]],Tabla9[Movimientos],0),2),0)</f>
        <v>Si</v>
      </c>
      <c r="AA75" s="918" t="str">
        <f>IFERROR(INDEX(Costos_Indirectos_Cuentas[],MATCH(Indirectos[[#This Row],[Cuenta Contable]],Costos_Indirectos_Cuentas[Cuenta Contable],0),3),0)</f>
        <v>No</v>
      </c>
      <c r="AB75" s="891" t="str">
        <f>IFERROR(INDEX(Tabla9[],MATCH(Indirectos[[#This Row],[Movimiento]],Tabla9[Movimientos],0),3),0)</f>
        <v>(-)</v>
      </c>
      <c r="AC75" s="884">
        <f>IF(Indirectos[[#This Row],[Fecha Económico]]=0,0,MONTH(Indirectos[[#This Row],[Fecha Económico]]))</f>
        <v>0</v>
      </c>
      <c r="AD75" s="890">
        <f>IF(Indirectos[[#This Row],[Fecha Económico]]=0,0,YEAR(Indirectos[[#This Row],[Fecha Económico]]))</f>
        <v>0</v>
      </c>
      <c r="AE75" s="891">
        <f>SUMPRODUCT((Indirectos[[#This Row],[Mes Económico]]=Tipo_Cambio[Mes])*(Indirectos[[#This Row],[Año Económico]]=Tipo_Cambio[Año])*(Tipo_Cambio[$/U$S]))</f>
        <v>0</v>
      </c>
      <c r="AF75" s="891">
        <f>SUMPRODUCT((Indirectos[[#This Row],[Mes Económico]]=Tipo_Cambio[Mes])*(Indirectos[[#This Row],[Año Económico]]=Tipo_Cambio[Año])*(Tipo_Cambio[Actualización]))</f>
        <v>0</v>
      </c>
      <c r="AG75" s="890">
        <f>IF(ISNUMBER(Indirectos[[#This Row],[Fecha Financiero]])=TRUE,MONTH(Indirectos[[#This Row],[Fecha Financiero]]),0)</f>
        <v>0</v>
      </c>
      <c r="AH75" s="890">
        <f>IF(ISNUMBER(Indirectos[[#This Row],[Fecha Financiero]])=TRUE,YEAR(Indirectos[[#This Row],[Fecha Financiero]]),0)</f>
        <v>0</v>
      </c>
      <c r="AI75" s="891">
        <f>SUMPRODUCT((Indirectos[[#This Row],[Mes Financiero]]=Tipo_Cambio[Mes])*(Indirectos[[#This Row],[Año Financiero]]=Tipo_Cambio[Año])*(Tipo_Cambio[$/U$S]))</f>
        <v>0</v>
      </c>
      <c r="AJ75" s="888">
        <f>SUMPRODUCT((Indirectos[[#This Row],[Mes Financiero]]=Tipo_Cambio[Mes])*(Indirectos[[#This Row],[Año Financiero]]=Tipo_Cambio[Año])*(Tipo_Cambio[Actualización]))</f>
        <v>0</v>
      </c>
      <c r="AK75" s="916">
        <f>IF(Económico!$F$4=0,0,Indirectos[Centro de Costo])</f>
        <v>0</v>
      </c>
    </row>
    <row r="76" spans="2:37" x14ac:dyDescent="0.25">
      <c r="D76" s="528"/>
      <c r="E76" s="493"/>
      <c r="F76" s="869" t="str">
        <f t="shared" si="7"/>
        <v>2018-2019</v>
      </c>
      <c r="G76" s="482" t="s">
        <v>284</v>
      </c>
      <c r="H76" s="481"/>
      <c r="I76" s="481" t="s">
        <v>114</v>
      </c>
      <c r="J76" s="481"/>
      <c r="K76" s="533"/>
      <c r="L76" s="484"/>
      <c r="M76" s="481"/>
      <c r="N76" s="523"/>
      <c r="O76" s="485"/>
      <c r="P76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76" s="913">
        <f>IFERROR(Indirectos[[#This Row],[Económico $Corrientes]]/Indirectos[[#This Row],[Indexación Económico]],0)</f>
        <v>0</v>
      </c>
      <c r="R76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76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76" s="913">
        <f>IFERROR(Indirectos[[#This Row],[Financiero $Corrientes]]/Indirectos[[#This Row],[Indexación Financiero]],0)</f>
        <v>0</v>
      </c>
      <c r="U76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76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76" s="890">
        <f>IFERROR(Indirectos[[#This Row],[Intereses $Corrientes]]/Indirectos[[#This Row],[Indexación Financiero]],0)</f>
        <v>0</v>
      </c>
      <c r="X76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76" s="915" t="str">
        <f>IFERROR(INDEX(Costos_Indirectos_Cuentas[],MATCH(Indirectos[[#This Row],[Cuenta Contable]],Costos_Indirectos_Cuentas[Cuenta Contable],0),2),0)</f>
        <v>Egreso</v>
      </c>
      <c r="Z76" s="887" t="str">
        <f>IFERROR(INDEX(Tabla9[],MATCH(Indirectos[[#This Row],[Movimiento]],Tabla9[Movimientos],0),2),0)</f>
        <v>Si</v>
      </c>
      <c r="AA76" s="918" t="str">
        <f>IFERROR(INDEX(Costos_Indirectos_Cuentas[],MATCH(Indirectos[[#This Row],[Cuenta Contable]],Costos_Indirectos_Cuentas[Cuenta Contable],0),3),0)</f>
        <v>No</v>
      </c>
      <c r="AB76" s="891" t="str">
        <f>IFERROR(INDEX(Tabla9[],MATCH(Indirectos[[#This Row],[Movimiento]],Tabla9[Movimientos],0),3),0)</f>
        <v>(-)</v>
      </c>
      <c r="AC76" s="884">
        <f>IF(Indirectos[[#This Row],[Fecha Económico]]=0,0,MONTH(Indirectos[[#This Row],[Fecha Económico]]))</f>
        <v>0</v>
      </c>
      <c r="AD76" s="890">
        <f>IF(Indirectos[[#This Row],[Fecha Económico]]=0,0,YEAR(Indirectos[[#This Row],[Fecha Económico]]))</f>
        <v>0</v>
      </c>
      <c r="AE76" s="891">
        <f>SUMPRODUCT((Indirectos[[#This Row],[Mes Económico]]=Tipo_Cambio[Mes])*(Indirectos[[#This Row],[Año Económico]]=Tipo_Cambio[Año])*(Tipo_Cambio[$/U$S]))</f>
        <v>0</v>
      </c>
      <c r="AF76" s="891">
        <f>SUMPRODUCT((Indirectos[[#This Row],[Mes Económico]]=Tipo_Cambio[Mes])*(Indirectos[[#This Row],[Año Económico]]=Tipo_Cambio[Año])*(Tipo_Cambio[Actualización]))</f>
        <v>0</v>
      </c>
      <c r="AG76" s="890">
        <f>IF(ISNUMBER(Indirectos[[#This Row],[Fecha Financiero]])=TRUE,MONTH(Indirectos[[#This Row],[Fecha Financiero]]),0)</f>
        <v>0</v>
      </c>
      <c r="AH76" s="890">
        <f>IF(ISNUMBER(Indirectos[[#This Row],[Fecha Financiero]])=TRUE,YEAR(Indirectos[[#This Row],[Fecha Financiero]]),0)</f>
        <v>0</v>
      </c>
      <c r="AI76" s="891">
        <f>SUMPRODUCT((Indirectos[[#This Row],[Mes Financiero]]=Tipo_Cambio[Mes])*(Indirectos[[#This Row],[Año Financiero]]=Tipo_Cambio[Año])*(Tipo_Cambio[$/U$S]))</f>
        <v>0</v>
      </c>
      <c r="AJ76" s="888">
        <f>SUMPRODUCT((Indirectos[[#This Row],[Mes Financiero]]=Tipo_Cambio[Mes])*(Indirectos[[#This Row],[Año Financiero]]=Tipo_Cambio[Año])*(Tipo_Cambio[Actualización]))</f>
        <v>0</v>
      </c>
      <c r="AK76" s="916">
        <f>IF(Económico!$F$4=0,0,Indirectos[Centro de Costo])</f>
        <v>0</v>
      </c>
    </row>
    <row r="77" spans="2:37" x14ac:dyDescent="0.25">
      <c r="D77" s="528"/>
      <c r="E77" s="493"/>
      <c r="F77" s="869" t="str">
        <f t="shared" si="7"/>
        <v>2018-2019</v>
      </c>
      <c r="G77" s="482" t="s">
        <v>284</v>
      </c>
      <c r="H77" s="481"/>
      <c r="I77" s="481" t="s">
        <v>114</v>
      </c>
      <c r="J77" s="481"/>
      <c r="K77" s="533"/>
      <c r="L77" s="484"/>
      <c r="M77" s="481"/>
      <c r="N77" s="523"/>
      <c r="O77" s="485"/>
      <c r="P77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77" s="913">
        <f>IFERROR(Indirectos[[#This Row],[Económico $Corrientes]]/Indirectos[[#This Row],[Indexación Económico]],0)</f>
        <v>0</v>
      </c>
      <c r="R77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77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77" s="913">
        <f>IFERROR(Indirectos[[#This Row],[Financiero $Corrientes]]/Indirectos[[#This Row],[Indexación Financiero]],0)</f>
        <v>0</v>
      </c>
      <c r="U77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77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77" s="890">
        <f>IFERROR(Indirectos[[#This Row],[Intereses $Corrientes]]/Indirectos[[#This Row],[Indexación Financiero]],0)</f>
        <v>0</v>
      </c>
      <c r="X77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77" s="915" t="str">
        <f>IFERROR(INDEX(Costos_Indirectos_Cuentas[],MATCH(Indirectos[[#This Row],[Cuenta Contable]],Costos_Indirectos_Cuentas[Cuenta Contable],0),2),0)</f>
        <v>Egreso</v>
      </c>
      <c r="Z77" s="887" t="str">
        <f>IFERROR(INDEX(Tabla9[],MATCH(Indirectos[[#This Row],[Movimiento]],Tabla9[Movimientos],0),2),0)</f>
        <v>Si</v>
      </c>
      <c r="AA77" s="918" t="str">
        <f>IFERROR(INDEX(Costos_Indirectos_Cuentas[],MATCH(Indirectos[[#This Row],[Cuenta Contable]],Costos_Indirectos_Cuentas[Cuenta Contable],0),3),0)</f>
        <v>No</v>
      </c>
      <c r="AB77" s="891" t="str">
        <f>IFERROR(INDEX(Tabla9[],MATCH(Indirectos[[#This Row],[Movimiento]],Tabla9[Movimientos],0),3),0)</f>
        <v>(-)</v>
      </c>
      <c r="AC77" s="884">
        <f>IF(Indirectos[[#This Row],[Fecha Económico]]=0,0,MONTH(Indirectos[[#This Row],[Fecha Económico]]))</f>
        <v>0</v>
      </c>
      <c r="AD77" s="890">
        <f>IF(Indirectos[[#This Row],[Fecha Económico]]=0,0,YEAR(Indirectos[[#This Row],[Fecha Económico]]))</f>
        <v>0</v>
      </c>
      <c r="AE77" s="891">
        <f>SUMPRODUCT((Indirectos[[#This Row],[Mes Económico]]=Tipo_Cambio[Mes])*(Indirectos[[#This Row],[Año Económico]]=Tipo_Cambio[Año])*(Tipo_Cambio[$/U$S]))</f>
        <v>0</v>
      </c>
      <c r="AF77" s="891">
        <f>SUMPRODUCT((Indirectos[[#This Row],[Mes Económico]]=Tipo_Cambio[Mes])*(Indirectos[[#This Row],[Año Económico]]=Tipo_Cambio[Año])*(Tipo_Cambio[Actualización]))</f>
        <v>0</v>
      </c>
      <c r="AG77" s="890">
        <f>IF(ISNUMBER(Indirectos[[#This Row],[Fecha Financiero]])=TRUE,MONTH(Indirectos[[#This Row],[Fecha Financiero]]),0)</f>
        <v>0</v>
      </c>
      <c r="AH77" s="890">
        <f>IF(ISNUMBER(Indirectos[[#This Row],[Fecha Financiero]])=TRUE,YEAR(Indirectos[[#This Row],[Fecha Financiero]]),0)</f>
        <v>0</v>
      </c>
      <c r="AI77" s="891">
        <f>SUMPRODUCT((Indirectos[[#This Row],[Mes Financiero]]=Tipo_Cambio[Mes])*(Indirectos[[#This Row],[Año Financiero]]=Tipo_Cambio[Año])*(Tipo_Cambio[$/U$S]))</f>
        <v>0</v>
      </c>
      <c r="AJ77" s="888">
        <f>SUMPRODUCT((Indirectos[[#This Row],[Mes Financiero]]=Tipo_Cambio[Mes])*(Indirectos[[#This Row],[Año Financiero]]=Tipo_Cambio[Año])*(Tipo_Cambio[Actualización]))</f>
        <v>0</v>
      </c>
      <c r="AK77" s="916">
        <f>IF(Económico!$F$4=0,0,Indirectos[Centro de Costo])</f>
        <v>0</v>
      </c>
    </row>
    <row r="78" spans="2:37" x14ac:dyDescent="0.25">
      <c r="D78" s="528"/>
      <c r="E78" s="493"/>
      <c r="F78" s="869" t="str">
        <f t="shared" si="7"/>
        <v>2018-2019</v>
      </c>
      <c r="G78" s="482" t="s">
        <v>284</v>
      </c>
      <c r="H78" s="481"/>
      <c r="I78" s="481" t="s">
        <v>114</v>
      </c>
      <c r="J78" s="481"/>
      <c r="K78" s="533"/>
      <c r="L78" s="484"/>
      <c r="M78" s="481"/>
      <c r="N78" s="523"/>
      <c r="O78" s="485"/>
      <c r="P78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78" s="913">
        <f>IFERROR(Indirectos[[#This Row],[Económico $Corrientes]]/Indirectos[[#This Row],[Indexación Económico]],0)</f>
        <v>0</v>
      </c>
      <c r="R78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78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78" s="913">
        <f>IFERROR(Indirectos[[#This Row],[Financiero $Corrientes]]/Indirectos[[#This Row],[Indexación Financiero]],0)</f>
        <v>0</v>
      </c>
      <c r="U78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78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78" s="890">
        <f>IFERROR(Indirectos[[#This Row],[Intereses $Corrientes]]/Indirectos[[#This Row],[Indexación Financiero]],0)</f>
        <v>0</v>
      </c>
      <c r="X78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78" s="915" t="str">
        <f>IFERROR(INDEX(Costos_Indirectos_Cuentas[],MATCH(Indirectos[[#This Row],[Cuenta Contable]],Costos_Indirectos_Cuentas[Cuenta Contable],0),2),0)</f>
        <v>Egreso</v>
      </c>
      <c r="Z78" s="887" t="str">
        <f>IFERROR(INDEX(Tabla9[],MATCH(Indirectos[[#This Row],[Movimiento]],Tabla9[Movimientos],0),2),0)</f>
        <v>Si</v>
      </c>
      <c r="AA78" s="918" t="str">
        <f>IFERROR(INDEX(Costos_Indirectos_Cuentas[],MATCH(Indirectos[[#This Row],[Cuenta Contable]],Costos_Indirectos_Cuentas[Cuenta Contable],0),3),0)</f>
        <v>No</v>
      </c>
      <c r="AB78" s="891" t="str">
        <f>IFERROR(INDEX(Tabla9[],MATCH(Indirectos[[#This Row],[Movimiento]],Tabla9[Movimientos],0),3),0)</f>
        <v>(-)</v>
      </c>
      <c r="AC78" s="884">
        <f>IF(Indirectos[[#This Row],[Fecha Económico]]=0,0,MONTH(Indirectos[[#This Row],[Fecha Económico]]))</f>
        <v>0</v>
      </c>
      <c r="AD78" s="890">
        <f>IF(Indirectos[[#This Row],[Fecha Económico]]=0,0,YEAR(Indirectos[[#This Row],[Fecha Económico]]))</f>
        <v>0</v>
      </c>
      <c r="AE78" s="891">
        <f>SUMPRODUCT((Indirectos[[#This Row],[Mes Económico]]=Tipo_Cambio[Mes])*(Indirectos[[#This Row],[Año Económico]]=Tipo_Cambio[Año])*(Tipo_Cambio[$/U$S]))</f>
        <v>0</v>
      </c>
      <c r="AF78" s="891">
        <f>SUMPRODUCT((Indirectos[[#This Row],[Mes Económico]]=Tipo_Cambio[Mes])*(Indirectos[[#This Row],[Año Económico]]=Tipo_Cambio[Año])*(Tipo_Cambio[Actualización]))</f>
        <v>0</v>
      </c>
      <c r="AG78" s="890">
        <f>IF(ISNUMBER(Indirectos[[#This Row],[Fecha Financiero]])=TRUE,MONTH(Indirectos[[#This Row],[Fecha Financiero]]),0)</f>
        <v>0</v>
      </c>
      <c r="AH78" s="890">
        <f>IF(ISNUMBER(Indirectos[[#This Row],[Fecha Financiero]])=TRUE,YEAR(Indirectos[[#This Row],[Fecha Financiero]]),0)</f>
        <v>0</v>
      </c>
      <c r="AI78" s="891">
        <f>SUMPRODUCT((Indirectos[[#This Row],[Mes Financiero]]=Tipo_Cambio[Mes])*(Indirectos[[#This Row],[Año Financiero]]=Tipo_Cambio[Año])*(Tipo_Cambio[$/U$S]))</f>
        <v>0</v>
      </c>
      <c r="AJ78" s="888">
        <f>SUMPRODUCT((Indirectos[[#This Row],[Mes Financiero]]=Tipo_Cambio[Mes])*(Indirectos[[#This Row],[Año Financiero]]=Tipo_Cambio[Año])*(Tipo_Cambio[Actualización]))</f>
        <v>0</v>
      </c>
      <c r="AK78" s="916">
        <f>IF(Económico!$F$4=0,0,Indirectos[Centro de Costo])</f>
        <v>0</v>
      </c>
    </row>
    <row r="79" spans="2:37" x14ac:dyDescent="0.25">
      <c r="D79" s="528"/>
      <c r="E79" s="493"/>
      <c r="F79" s="869" t="str">
        <f t="shared" si="7"/>
        <v>2018-2019</v>
      </c>
      <c r="G79" s="482" t="s">
        <v>284</v>
      </c>
      <c r="H79" s="481"/>
      <c r="I79" s="481" t="s">
        <v>114</v>
      </c>
      <c r="J79" s="481"/>
      <c r="K79" s="533"/>
      <c r="L79" s="484"/>
      <c r="M79" s="481"/>
      <c r="N79" s="523"/>
      <c r="O79" s="485"/>
      <c r="P79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79" s="913">
        <f>IFERROR(Indirectos[[#This Row],[Económico $Corrientes]]/Indirectos[[#This Row],[Indexación Económico]],0)</f>
        <v>0</v>
      </c>
      <c r="R79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79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79" s="913">
        <f>IFERROR(Indirectos[[#This Row],[Financiero $Corrientes]]/Indirectos[[#This Row],[Indexación Financiero]],0)</f>
        <v>0</v>
      </c>
      <c r="U79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79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79" s="890">
        <f>IFERROR(Indirectos[[#This Row],[Intereses $Corrientes]]/Indirectos[[#This Row],[Indexación Financiero]],0)</f>
        <v>0</v>
      </c>
      <c r="X79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79" s="915" t="str">
        <f>IFERROR(INDEX(Costos_Indirectos_Cuentas[],MATCH(Indirectos[[#This Row],[Cuenta Contable]],Costos_Indirectos_Cuentas[Cuenta Contable],0),2),0)</f>
        <v>Egreso</v>
      </c>
      <c r="Z79" s="887" t="str">
        <f>IFERROR(INDEX(Tabla9[],MATCH(Indirectos[[#This Row],[Movimiento]],Tabla9[Movimientos],0),2),0)</f>
        <v>Si</v>
      </c>
      <c r="AA79" s="918" t="str">
        <f>IFERROR(INDEX(Costos_Indirectos_Cuentas[],MATCH(Indirectos[[#This Row],[Cuenta Contable]],Costos_Indirectos_Cuentas[Cuenta Contable],0),3),0)</f>
        <v>No</v>
      </c>
      <c r="AB79" s="891" t="str">
        <f>IFERROR(INDEX(Tabla9[],MATCH(Indirectos[[#This Row],[Movimiento]],Tabla9[Movimientos],0),3),0)</f>
        <v>(-)</v>
      </c>
      <c r="AC79" s="884">
        <f>IF(Indirectos[[#This Row],[Fecha Económico]]=0,0,MONTH(Indirectos[[#This Row],[Fecha Económico]]))</f>
        <v>0</v>
      </c>
      <c r="AD79" s="890">
        <f>IF(Indirectos[[#This Row],[Fecha Económico]]=0,0,YEAR(Indirectos[[#This Row],[Fecha Económico]]))</f>
        <v>0</v>
      </c>
      <c r="AE79" s="891">
        <f>SUMPRODUCT((Indirectos[[#This Row],[Mes Económico]]=Tipo_Cambio[Mes])*(Indirectos[[#This Row],[Año Económico]]=Tipo_Cambio[Año])*(Tipo_Cambio[$/U$S]))</f>
        <v>0</v>
      </c>
      <c r="AF79" s="891">
        <f>SUMPRODUCT((Indirectos[[#This Row],[Mes Económico]]=Tipo_Cambio[Mes])*(Indirectos[[#This Row],[Año Económico]]=Tipo_Cambio[Año])*(Tipo_Cambio[Actualización]))</f>
        <v>0</v>
      </c>
      <c r="AG79" s="890">
        <f>IF(ISNUMBER(Indirectos[[#This Row],[Fecha Financiero]])=TRUE,MONTH(Indirectos[[#This Row],[Fecha Financiero]]),0)</f>
        <v>0</v>
      </c>
      <c r="AH79" s="890">
        <f>IF(ISNUMBER(Indirectos[[#This Row],[Fecha Financiero]])=TRUE,YEAR(Indirectos[[#This Row],[Fecha Financiero]]),0)</f>
        <v>0</v>
      </c>
      <c r="AI79" s="891">
        <f>SUMPRODUCT((Indirectos[[#This Row],[Mes Financiero]]=Tipo_Cambio[Mes])*(Indirectos[[#This Row],[Año Financiero]]=Tipo_Cambio[Año])*(Tipo_Cambio[$/U$S]))</f>
        <v>0</v>
      </c>
      <c r="AJ79" s="888">
        <f>SUMPRODUCT((Indirectos[[#This Row],[Mes Financiero]]=Tipo_Cambio[Mes])*(Indirectos[[#This Row],[Año Financiero]]=Tipo_Cambio[Año])*(Tipo_Cambio[Actualización]))</f>
        <v>0</v>
      </c>
      <c r="AK79" s="916">
        <f>IF(Económico!$F$4=0,0,Indirectos[Centro de Costo])</f>
        <v>0</v>
      </c>
    </row>
    <row r="80" spans="2:37" x14ac:dyDescent="0.25">
      <c r="D80" s="528"/>
      <c r="E80" s="493"/>
      <c r="F80" s="869" t="str">
        <f t="shared" si="7"/>
        <v>2018-2019</v>
      </c>
      <c r="G80" s="482" t="s">
        <v>284</v>
      </c>
      <c r="H80" s="481"/>
      <c r="I80" s="481" t="s">
        <v>114</v>
      </c>
      <c r="J80" s="481"/>
      <c r="K80" s="533"/>
      <c r="L80" s="484"/>
      <c r="M80" s="481"/>
      <c r="N80" s="523"/>
      <c r="O80" s="485"/>
      <c r="P80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80" s="913">
        <f>IFERROR(Indirectos[[#This Row],[Económico $Corrientes]]/Indirectos[[#This Row],[Indexación Económico]],0)</f>
        <v>0</v>
      </c>
      <c r="R80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80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80" s="913">
        <f>IFERROR(Indirectos[[#This Row],[Financiero $Corrientes]]/Indirectos[[#This Row],[Indexación Financiero]],0)</f>
        <v>0</v>
      </c>
      <c r="U80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80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80" s="890">
        <f>IFERROR(Indirectos[[#This Row],[Intereses $Corrientes]]/Indirectos[[#This Row],[Indexación Financiero]],0)</f>
        <v>0</v>
      </c>
      <c r="X80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80" s="915" t="str">
        <f>IFERROR(INDEX(Costos_Indirectos_Cuentas[],MATCH(Indirectos[[#This Row],[Cuenta Contable]],Costos_Indirectos_Cuentas[Cuenta Contable],0),2),0)</f>
        <v>Egreso</v>
      </c>
      <c r="Z80" s="887" t="str">
        <f>IFERROR(INDEX(Tabla9[],MATCH(Indirectos[[#This Row],[Movimiento]],Tabla9[Movimientos],0),2),0)</f>
        <v>Si</v>
      </c>
      <c r="AA80" s="918" t="str">
        <f>IFERROR(INDEX(Costos_Indirectos_Cuentas[],MATCH(Indirectos[[#This Row],[Cuenta Contable]],Costos_Indirectos_Cuentas[Cuenta Contable],0),3),0)</f>
        <v>No</v>
      </c>
      <c r="AB80" s="891" t="str">
        <f>IFERROR(INDEX(Tabla9[],MATCH(Indirectos[[#This Row],[Movimiento]],Tabla9[Movimientos],0),3),0)</f>
        <v>(-)</v>
      </c>
      <c r="AC80" s="884">
        <f>IF(Indirectos[[#This Row],[Fecha Económico]]=0,0,MONTH(Indirectos[[#This Row],[Fecha Económico]]))</f>
        <v>0</v>
      </c>
      <c r="AD80" s="890">
        <f>IF(Indirectos[[#This Row],[Fecha Económico]]=0,0,YEAR(Indirectos[[#This Row],[Fecha Económico]]))</f>
        <v>0</v>
      </c>
      <c r="AE80" s="891">
        <f>SUMPRODUCT((Indirectos[[#This Row],[Mes Económico]]=Tipo_Cambio[Mes])*(Indirectos[[#This Row],[Año Económico]]=Tipo_Cambio[Año])*(Tipo_Cambio[$/U$S]))</f>
        <v>0</v>
      </c>
      <c r="AF80" s="891">
        <f>SUMPRODUCT((Indirectos[[#This Row],[Mes Económico]]=Tipo_Cambio[Mes])*(Indirectos[[#This Row],[Año Económico]]=Tipo_Cambio[Año])*(Tipo_Cambio[Actualización]))</f>
        <v>0</v>
      </c>
      <c r="AG80" s="890">
        <f>IF(ISNUMBER(Indirectos[[#This Row],[Fecha Financiero]])=TRUE,MONTH(Indirectos[[#This Row],[Fecha Financiero]]),0)</f>
        <v>0</v>
      </c>
      <c r="AH80" s="890">
        <f>IF(ISNUMBER(Indirectos[[#This Row],[Fecha Financiero]])=TRUE,YEAR(Indirectos[[#This Row],[Fecha Financiero]]),0)</f>
        <v>0</v>
      </c>
      <c r="AI80" s="891">
        <f>SUMPRODUCT((Indirectos[[#This Row],[Mes Financiero]]=Tipo_Cambio[Mes])*(Indirectos[[#This Row],[Año Financiero]]=Tipo_Cambio[Año])*(Tipo_Cambio[$/U$S]))</f>
        <v>0</v>
      </c>
      <c r="AJ80" s="888">
        <f>SUMPRODUCT((Indirectos[[#This Row],[Mes Financiero]]=Tipo_Cambio[Mes])*(Indirectos[[#This Row],[Año Financiero]]=Tipo_Cambio[Año])*(Tipo_Cambio[Actualización]))</f>
        <v>0</v>
      </c>
      <c r="AK80" s="916">
        <f>IF(Económico!$F$4=0,0,Indirectos[Centro de Costo])</f>
        <v>0</v>
      </c>
    </row>
    <row r="81" spans="2:37" x14ac:dyDescent="0.25">
      <c r="D81" s="528"/>
      <c r="E81" s="493"/>
      <c r="F81" s="869" t="str">
        <f t="shared" si="7"/>
        <v>2018-2019</v>
      </c>
      <c r="G81" s="482" t="s">
        <v>284</v>
      </c>
      <c r="H81" s="481"/>
      <c r="I81" s="481" t="s">
        <v>114</v>
      </c>
      <c r="J81" s="481"/>
      <c r="K81" s="533"/>
      <c r="L81" s="484"/>
      <c r="M81" s="481"/>
      <c r="N81" s="523"/>
      <c r="O81" s="485"/>
      <c r="P81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81" s="913">
        <f>IFERROR(Indirectos[[#This Row],[Económico $Corrientes]]/Indirectos[[#This Row],[Indexación Económico]],0)</f>
        <v>0</v>
      </c>
      <c r="R81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81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81" s="913">
        <f>IFERROR(Indirectos[[#This Row],[Financiero $Corrientes]]/Indirectos[[#This Row],[Indexación Financiero]],0)</f>
        <v>0</v>
      </c>
      <c r="U81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81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81" s="890">
        <f>IFERROR(Indirectos[[#This Row],[Intereses $Corrientes]]/Indirectos[[#This Row],[Indexación Financiero]],0)</f>
        <v>0</v>
      </c>
      <c r="X81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81" s="915" t="str">
        <f>IFERROR(INDEX(Costos_Indirectos_Cuentas[],MATCH(Indirectos[[#This Row],[Cuenta Contable]],Costos_Indirectos_Cuentas[Cuenta Contable],0),2),0)</f>
        <v>Egreso</v>
      </c>
      <c r="Z81" s="887" t="str">
        <f>IFERROR(INDEX(Tabla9[],MATCH(Indirectos[[#This Row],[Movimiento]],Tabla9[Movimientos],0),2),0)</f>
        <v>Si</v>
      </c>
      <c r="AA81" s="918" t="str">
        <f>IFERROR(INDEX(Costos_Indirectos_Cuentas[],MATCH(Indirectos[[#This Row],[Cuenta Contable]],Costos_Indirectos_Cuentas[Cuenta Contable],0),3),0)</f>
        <v>No</v>
      </c>
      <c r="AB81" s="891" t="str">
        <f>IFERROR(INDEX(Tabla9[],MATCH(Indirectos[[#This Row],[Movimiento]],Tabla9[Movimientos],0),3),0)</f>
        <v>(-)</v>
      </c>
      <c r="AC81" s="884">
        <f>IF(Indirectos[[#This Row],[Fecha Económico]]=0,0,MONTH(Indirectos[[#This Row],[Fecha Económico]]))</f>
        <v>0</v>
      </c>
      <c r="AD81" s="890">
        <f>IF(Indirectos[[#This Row],[Fecha Económico]]=0,0,YEAR(Indirectos[[#This Row],[Fecha Económico]]))</f>
        <v>0</v>
      </c>
      <c r="AE81" s="891">
        <f>SUMPRODUCT((Indirectos[[#This Row],[Mes Económico]]=Tipo_Cambio[Mes])*(Indirectos[[#This Row],[Año Económico]]=Tipo_Cambio[Año])*(Tipo_Cambio[$/U$S]))</f>
        <v>0</v>
      </c>
      <c r="AF81" s="891">
        <f>SUMPRODUCT((Indirectos[[#This Row],[Mes Económico]]=Tipo_Cambio[Mes])*(Indirectos[[#This Row],[Año Económico]]=Tipo_Cambio[Año])*(Tipo_Cambio[Actualización]))</f>
        <v>0</v>
      </c>
      <c r="AG81" s="890">
        <f>IF(ISNUMBER(Indirectos[[#This Row],[Fecha Financiero]])=TRUE,MONTH(Indirectos[[#This Row],[Fecha Financiero]]),0)</f>
        <v>0</v>
      </c>
      <c r="AH81" s="890">
        <f>IF(ISNUMBER(Indirectos[[#This Row],[Fecha Financiero]])=TRUE,YEAR(Indirectos[[#This Row],[Fecha Financiero]]),0)</f>
        <v>0</v>
      </c>
      <c r="AI81" s="891">
        <f>SUMPRODUCT((Indirectos[[#This Row],[Mes Financiero]]=Tipo_Cambio[Mes])*(Indirectos[[#This Row],[Año Financiero]]=Tipo_Cambio[Año])*(Tipo_Cambio[$/U$S]))</f>
        <v>0</v>
      </c>
      <c r="AJ81" s="888">
        <f>SUMPRODUCT((Indirectos[[#This Row],[Mes Financiero]]=Tipo_Cambio[Mes])*(Indirectos[[#This Row],[Año Financiero]]=Tipo_Cambio[Año])*(Tipo_Cambio[Actualización]))</f>
        <v>0</v>
      </c>
      <c r="AK81" s="916">
        <f>IF(Económico!$F$4=0,0,Indirectos[Centro de Costo])</f>
        <v>0</v>
      </c>
    </row>
    <row r="82" spans="2:37" x14ac:dyDescent="0.25">
      <c r="D82" s="528"/>
      <c r="E82" s="493"/>
      <c r="F82" s="869" t="str">
        <f t="shared" si="7"/>
        <v>2018-2019</v>
      </c>
      <c r="G82" s="482" t="s">
        <v>285</v>
      </c>
      <c r="H82" s="481"/>
      <c r="I82" s="481" t="s">
        <v>114</v>
      </c>
      <c r="J82" s="481"/>
      <c r="K82" s="533"/>
      <c r="L82" s="484"/>
      <c r="M82" s="481"/>
      <c r="N82" s="523"/>
      <c r="O82" s="485"/>
      <c r="P82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82" s="913">
        <f>IFERROR(Indirectos[[#This Row],[Económico $Corrientes]]/Indirectos[[#This Row],[Indexación Económico]],0)</f>
        <v>0</v>
      </c>
      <c r="R82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82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82" s="913">
        <f>IFERROR(Indirectos[[#This Row],[Financiero $Corrientes]]/Indirectos[[#This Row],[Indexación Financiero]],0)</f>
        <v>0</v>
      </c>
      <c r="U82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82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82" s="890">
        <f>IFERROR(Indirectos[[#This Row],[Intereses $Corrientes]]/Indirectos[[#This Row],[Indexación Financiero]],0)</f>
        <v>0</v>
      </c>
      <c r="X82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82" s="915" t="str">
        <f>IFERROR(INDEX(Costos_Indirectos_Cuentas[],MATCH(Indirectos[[#This Row],[Cuenta Contable]],Costos_Indirectos_Cuentas[Cuenta Contable],0),2),0)</f>
        <v>Egreso</v>
      </c>
      <c r="Z82" s="887" t="str">
        <f>IFERROR(INDEX(Tabla9[],MATCH(Indirectos[[#This Row],[Movimiento]],Tabla9[Movimientos],0),2),0)</f>
        <v>Si</v>
      </c>
      <c r="AA82" s="918" t="str">
        <f>IFERROR(INDEX(Costos_Indirectos_Cuentas[],MATCH(Indirectos[[#This Row],[Cuenta Contable]],Costos_Indirectos_Cuentas[Cuenta Contable],0),3),0)</f>
        <v>No</v>
      </c>
      <c r="AB82" s="891" t="str">
        <f>IFERROR(INDEX(Tabla9[],MATCH(Indirectos[[#This Row],[Movimiento]],Tabla9[Movimientos],0),3),0)</f>
        <v>(-)</v>
      </c>
      <c r="AC82" s="884">
        <f>IF(Indirectos[[#This Row],[Fecha Económico]]=0,0,MONTH(Indirectos[[#This Row],[Fecha Económico]]))</f>
        <v>0</v>
      </c>
      <c r="AD82" s="890">
        <f>IF(Indirectos[[#This Row],[Fecha Económico]]=0,0,YEAR(Indirectos[[#This Row],[Fecha Económico]]))</f>
        <v>0</v>
      </c>
      <c r="AE82" s="891">
        <f>SUMPRODUCT((Indirectos[[#This Row],[Mes Económico]]=Tipo_Cambio[Mes])*(Indirectos[[#This Row],[Año Económico]]=Tipo_Cambio[Año])*(Tipo_Cambio[$/U$S]))</f>
        <v>0</v>
      </c>
      <c r="AF82" s="891">
        <f>SUMPRODUCT((Indirectos[[#This Row],[Mes Económico]]=Tipo_Cambio[Mes])*(Indirectos[[#This Row],[Año Económico]]=Tipo_Cambio[Año])*(Tipo_Cambio[Actualización]))</f>
        <v>0</v>
      </c>
      <c r="AG82" s="890">
        <f>IF(ISNUMBER(Indirectos[[#This Row],[Fecha Financiero]])=TRUE,MONTH(Indirectos[[#This Row],[Fecha Financiero]]),0)</f>
        <v>0</v>
      </c>
      <c r="AH82" s="890">
        <f>IF(ISNUMBER(Indirectos[[#This Row],[Fecha Financiero]])=TRUE,YEAR(Indirectos[[#This Row],[Fecha Financiero]]),0)</f>
        <v>0</v>
      </c>
      <c r="AI82" s="891">
        <f>SUMPRODUCT((Indirectos[[#This Row],[Mes Financiero]]=Tipo_Cambio[Mes])*(Indirectos[[#This Row],[Año Financiero]]=Tipo_Cambio[Año])*(Tipo_Cambio[$/U$S]))</f>
        <v>0</v>
      </c>
      <c r="AJ82" s="888">
        <f>SUMPRODUCT((Indirectos[[#This Row],[Mes Financiero]]=Tipo_Cambio[Mes])*(Indirectos[[#This Row],[Año Financiero]]=Tipo_Cambio[Año])*(Tipo_Cambio[Actualización]))</f>
        <v>0</v>
      </c>
      <c r="AK82" s="916">
        <f>IF(Económico!$F$4=0,0,Indirectos[Centro de Costo])</f>
        <v>0</v>
      </c>
    </row>
    <row r="83" spans="2:37" x14ac:dyDescent="0.25">
      <c r="D83" s="528"/>
      <c r="E83" s="493"/>
      <c r="F83" s="869" t="str">
        <f t="shared" si="7"/>
        <v>2018-2019</v>
      </c>
      <c r="G83" s="482"/>
      <c r="H83" s="481"/>
      <c r="I83" s="481" t="s">
        <v>114</v>
      </c>
      <c r="J83" s="481"/>
      <c r="K83" s="533"/>
      <c r="L83" s="484"/>
      <c r="M83" s="481"/>
      <c r="N83" s="523"/>
      <c r="O83" s="485"/>
      <c r="P83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83" s="913">
        <f>IFERROR(Indirectos[[#This Row],[Económico $Corrientes]]/Indirectos[[#This Row],[Indexación Económico]],0)</f>
        <v>0</v>
      </c>
      <c r="R83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83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83" s="913">
        <f>IFERROR(Indirectos[[#This Row],[Financiero $Corrientes]]/Indirectos[[#This Row],[Indexación Financiero]],0)</f>
        <v>0</v>
      </c>
      <c r="U83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83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83" s="890">
        <f>IFERROR(Indirectos[[#This Row],[Intereses $Corrientes]]/Indirectos[[#This Row],[Indexación Financiero]],0)</f>
        <v>0</v>
      </c>
      <c r="X83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83" s="915">
        <f>IFERROR(INDEX(Costos_Indirectos_Cuentas[],MATCH(Indirectos[[#This Row],[Cuenta Contable]],Costos_Indirectos_Cuentas[Cuenta Contable],0),2),0)</f>
        <v>0</v>
      </c>
      <c r="Z83" s="887">
        <f>IFERROR(INDEX(Tabla9[],MATCH(Indirectos[[#This Row],[Movimiento]],Tabla9[Movimientos],0),2),0)</f>
        <v>0</v>
      </c>
      <c r="AA83" s="918">
        <f>IFERROR(INDEX(Costos_Indirectos_Cuentas[],MATCH(Indirectos[[#This Row],[Cuenta Contable]],Costos_Indirectos_Cuentas[Cuenta Contable],0),3),0)</f>
        <v>0</v>
      </c>
      <c r="AB83" s="891">
        <f>IFERROR(INDEX(Tabla9[],MATCH(Indirectos[[#This Row],[Movimiento]],Tabla9[Movimientos],0),3),0)</f>
        <v>0</v>
      </c>
      <c r="AC83" s="884">
        <f>IF(Indirectos[[#This Row],[Fecha Económico]]=0,0,MONTH(Indirectos[[#This Row],[Fecha Económico]]))</f>
        <v>0</v>
      </c>
      <c r="AD83" s="890">
        <f>IF(Indirectos[[#This Row],[Fecha Económico]]=0,0,YEAR(Indirectos[[#This Row],[Fecha Económico]]))</f>
        <v>0</v>
      </c>
      <c r="AE83" s="891">
        <f>SUMPRODUCT((Indirectos[[#This Row],[Mes Económico]]=Tipo_Cambio[Mes])*(Indirectos[[#This Row],[Año Económico]]=Tipo_Cambio[Año])*(Tipo_Cambio[$/U$S]))</f>
        <v>0</v>
      </c>
      <c r="AF83" s="891">
        <f>SUMPRODUCT((Indirectos[[#This Row],[Mes Económico]]=Tipo_Cambio[Mes])*(Indirectos[[#This Row],[Año Económico]]=Tipo_Cambio[Año])*(Tipo_Cambio[Actualización]))</f>
        <v>0</v>
      </c>
      <c r="AG83" s="890">
        <f>IF(ISNUMBER(Indirectos[[#This Row],[Fecha Financiero]])=TRUE,MONTH(Indirectos[[#This Row],[Fecha Financiero]]),0)</f>
        <v>0</v>
      </c>
      <c r="AH83" s="890">
        <f>IF(ISNUMBER(Indirectos[[#This Row],[Fecha Financiero]])=TRUE,YEAR(Indirectos[[#This Row],[Fecha Financiero]]),0)</f>
        <v>0</v>
      </c>
      <c r="AI83" s="891">
        <f>SUMPRODUCT((Indirectos[[#This Row],[Mes Financiero]]=Tipo_Cambio[Mes])*(Indirectos[[#This Row],[Año Financiero]]=Tipo_Cambio[Año])*(Tipo_Cambio[$/U$S]))</f>
        <v>0</v>
      </c>
      <c r="AJ83" s="888">
        <f>SUMPRODUCT((Indirectos[[#This Row],[Mes Financiero]]=Tipo_Cambio[Mes])*(Indirectos[[#This Row],[Año Financiero]]=Tipo_Cambio[Año])*(Tipo_Cambio[Actualización]))</f>
        <v>0</v>
      </c>
      <c r="AK83" s="916">
        <f>IF(Económico!$F$4=0,0,Indirectos[Centro de Costo])</f>
        <v>0</v>
      </c>
    </row>
    <row r="84" spans="2:37" x14ac:dyDescent="0.25">
      <c r="D84" s="528"/>
      <c r="E84" s="493"/>
      <c r="F84" s="869" t="str">
        <f t="shared" si="7"/>
        <v>2018-2019</v>
      </c>
      <c r="G84" s="482"/>
      <c r="H84" s="481"/>
      <c r="I84" s="481" t="s">
        <v>114</v>
      </c>
      <c r="J84" s="481"/>
      <c r="K84" s="533"/>
      <c r="L84" s="484"/>
      <c r="M84" s="481"/>
      <c r="N84" s="523"/>
      <c r="O84" s="485"/>
      <c r="P84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84" s="913">
        <f>IFERROR(Indirectos[[#This Row],[Económico $Corrientes]]/Indirectos[[#This Row],[Indexación Económico]],0)</f>
        <v>0</v>
      </c>
      <c r="R84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84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84" s="913">
        <f>IFERROR(Indirectos[[#This Row],[Financiero $Corrientes]]/Indirectos[[#This Row],[Indexación Financiero]],0)</f>
        <v>0</v>
      </c>
      <c r="U84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84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84" s="890">
        <f>IFERROR(Indirectos[[#This Row],[Intereses $Corrientes]]/Indirectos[[#This Row],[Indexación Financiero]],0)</f>
        <v>0</v>
      </c>
      <c r="X84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84" s="915">
        <f>IFERROR(INDEX(Costos_Indirectos_Cuentas[],MATCH(Indirectos[[#This Row],[Cuenta Contable]],Costos_Indirectos_Cuentas[Cuenta Contable],0),2),0)</f>
        <v>0</v>
      </c>
      <c r="Z84" s="887">
        <f>IFERROR(INDEX(Tabla9[],MATCH(Indirectos[[#This Row],[Movimiento]],Tabla9[Movimientos],0),2),0)</f>
        <v>0</v>
      </c>
      <c r="AA84" s="918">
        <f>IFERROR(INDEX(Costos_Indirectos_Cuentas[],MATCH(Indirectos[[#This Row],[Cuenta Contable]],Costos_Indirectos_Cuentas[Cuenta Contable],0),3),0)</f>
        <v>0</v>
      </c>
      <c r="AB84" s="891">
        <f>IFERROR(INDEX(Tabla9[],MATCH(Indirectos[[#This Row],[Movimiento]],Tabla9[Movimientos],0),3),0)</f>
        <v>0</v>
      </c>
      <c r="AC84" s="884">
        <f>IF(Indirectos[[#This Row],[Fecha Económico]]=0,0,MONTH(Indirectos[[#This Row],[Fecha Económico]]))</f>
        <v>0</v>
      </c>
      <c r="AD84" s="890">
        <f>IF(Indirectos[[#This Row],[Fecha Económico]]=0,0,YEAR(Indirectos[[#This Row],[Fecha Económico]]))</f>
        <v>0</v>
      </c>
      <c r="AE84" s="891">
        <f>SUMPRODUCT((Indirectos[[#This Row],[Mes Económico]]=Tipo_Cambio[Mes])*(Indirectos[[#This Row],[Año Económico]]=Tipo_Cambio[Año])*(Tipo_Cambio[$/U$S]))</f>
        <v>0</v>
      </c>
      <c r="AF84" s="891">
        <f>SUMPRODUCT((Indirectos[[#This Row],[Mes Económico]]=Tipo_Cambio[Mes])*(Indirectos[[#This Row],[Año Económico]]=Tipo_Cambio[Año])*(Tipo_Cambio[Actualización]))</f>
        <v>0</v>
      </c>
      <c r="AG84" s="890">
        <f>IF(ISNUMBER(Indirectos[[#This Row],[Fecha Financiero]])=TRUE,MONTH(Indirectos[[#This Row],[Fecha Financiero]]),0)</f>
        <v>0</v>
      </c>
      <c r="AH84" s="890">
        <f>IF(ISNUMBER(Indirectos[[#This Row],[Fecha Financiero]])=TRUE,YEAR(Indirectos[[#This Row],[Fecha Financiero]]),0)</f>
        <v>0</v>
      </c>
      <c r="AI84" s="891">
        <f>SUMPRODUCT((Indirectos[[#This Row],[Mes Financiero]]=Tipo_Cambio[Mes])*(Indirectos[[#This Row],[Año Financiero]]=Tipo_Cambio[Año])*(Tipo_Cambio[$/U$S]))</f>
        <v>0</v>
      </c>
      <c r="AJ84" s="888">
        <f>SUMPRODUCT((Indirectos[[#This Row],[Mes Financiero]]=Tipo_Cambio[Mes])*(Indirectos[[#This Row],[Año Financiero]]=Tipo_Cambio[Año])*(Tipo_Cambio[Actualización]))</f>
        <v>0</v>
      </c>
      <c r="AK84" s="916">
        <f>IF(Económico!$F$4=0,0,Indirectos[Centro de Costo])</f>
        <v>0</v>
      </c>
    </row>
    <row r="85" spans="2:37" x14ac:dyDescent="0.25">
      <c r="D85" s="528"/>
      <c r="E85" s="493"/>
      <c r="F85" s="869" t="str">
        <f t="shared" si="7"/>
        <v>2018-2019</v>
      </c>
      <c r="G85" s="482"/>
      <c r="H85" s="481"/>
      <c r="I85" s="481" t="s">
        <v>114</v>
      </c>
      <c r="J85" s="481"/>
      <c r="K85" s="533"/>
      <c r="L85" s="484"/>
      <c r="M85" s="481"/>
      <c r="N85" s="523"/>
      <c r="O85" s="485"/>
      <c r="P85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85" s="913">
        <f>IFERROR(Indirectos[[#This Row],[Económico $Corrientes]]/Indirectos[[#This Row],[Indexación Económico]],0)</f>
        <v>0</v>
      </c>
      <c r="R85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85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85" s="913">
        <f>IFERROR(Indirectos[[#This Row],[Financiero $Corrientes]]/Indirectos[[#This Row],[Indexación Financiero]],0)</f>
        <v>0</v>
      </c>
      <c r="U85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85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85" s="890">
        <f>IFERROR(Indirectos[[#This Row],[Intereses $Corrientes]]/Indirectos[[#This Row],[Indexación Financiero]],0)</f>
        <v>0</v>
      </c>
      <c r="X85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85" s="915">
        <f>IFERROR(INDEX(Costos_Indirectos_Cuentas[],MATCH(Indirectos[[#This Row],[Cuenta Contable]],Costos_Indirectos_Cuentas[Cuenta Contable],0),2),0)</f>
        <v>0</v>
      </c>
      <c r="Z85" s="887">
        <f>IFERROR(INDEX(Tabla9[],MATCH(Indirectos[[#This Row],[Movimiento]],Tabla9[Movimientos],0),2),0)</f>
        <v>0</v>
      </c>
      <c r="AA85" s="918">
        <f>IFERROR(INDEX(Costos_Indirectos_Cuentas[],MATCH(Indirectos[[#This Row],[Cuenta Contable]],Costos_Indirectos_Cuentas[Cuenta Contable],0),3),0)</f>
        <v>0</v>
      </c>
      <c r="AB85" s="891">
        <f>IFERROR(INDEX(Tabla9[],MATCH(Indirectos[[#This Row],[Movimiento]],Tabla9[Movimientos],0),3),0)</f>
        <v>0</v>
      </c>
      <c r="AC85" s="884">
        <f>IF(Indirectos[[#This Row],[Fecha Económico]]=0,0,MONTH(Indirectos[[#This Row],[Fecha Económico]]))</f>
        <v>0</v>
      </c>
      <c r="AD85" s="890">
        <f>IF(Indirectos[[#This Row],[Fecha Económico]]=0,0,YEAR(Indirectos[[#This Row],[Fecha Económico]]))</f>
        <v>0</v>
      </c>
      <c r="AE85" s="891">
        <f>SUMPRODUCT((Indirectos[[#This Row],[Mes Económico]]=Tipo_Cambio[Mes])*(Indirectos[[#This Row],[Año Económico]]=Tipo_Cambio[Año])*(Tipo_Cambio[$/U$S]))</f>
        <v>0</v>
      </c>
      <c r="AF85" s="891">
        <f>SUMPRODUCT((Indirectos[[#This Row],[Mes Económico]]=Tipo_Cambio[Mes])*(Indirectos[[#This Row],[Año Económico]]=Tipo_Cambio[Año])*(Tipo_Cambio[Actualización]))</f>
        <v>0</v>
      </c>
      <c r="AG85" s="890">
        <f>IF(ISNUMBER(Indirectos[[#This Row],[Fecha Financiero]])=TRUE,MONTH(Indirectos[[#This Row],[Fecha Financiero]]),0)</f>
        <v>0</v>
      </c>
      <c r="AH85" s="890">
        <f>IF(ISNUMBER(Indirectos[[#This Row],[Fecha Financiero]])=TRUE,YEAR(Indirectos[[#This Row],[Fecha Financiero]]),0)</f>
        <v>0</v>
      </c>
      <c r="AI85" s="891">
        <f>SUMPRODUCT((Indirectos[[#This Row],[Mes Financiero]]=Tipo_Cambio[Mes])*(Indirectos[[#This Row],[Año Financiero]]=Tipo_Cambio[Año])*(Tipo_Cambio[$/U$S]))</f>
        <v>0</v>
      </c>
      <c r="AJ85" s="888">
        <f>SUMPRODUCT((Indirectos[[#This Row],[Mes Financiero]]=Tipo_Cambio[Mes])*(Indirectos[[#This Row],[Año Financiero]]=Tipo_Cambio[Año])*(Tipo_Cambio[Actualización]))</f>
        <v>0</v>
      </c>
      <c r="AK85" s="916">
        <f>IF(Económico!$F$4=0,0,Indirectos[Centro de Costo])</f>
        <v>0</v>
      </c>
    </row>
    <row r="86" spans="2:37" ht="15.75" thickBot="1" x14ac:dyDescent="0.3">
      <c r="B86" s="373" t="s">
        <v>101</v>
      </c>
      <c r="D86" s="502"/>
      <c r="E86" s="544"/>
      <c r="F86" s="1075" t="str">
        <f t="shared" si="7"/>
        <v>2018-2019</v>
      </c>
      <c r="G86" s="504"/>
      <c r="H86" s="525"/>
      <c r="I86" s="525" t="s">
        <v>114</v>
      </c>
      <c r="J86" s="525"/>
      <c r="K86" s="543"/>
      <c r="L86" s="506"/>
      <c r="M86" s="525"/>
      <c r="N86" s="527"/>
      <c r="O86" s="507"/>
      <c r="P86" s="106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86" s="1064">
        <f>IFERROR(Indirectos[[#This Row],[Económico $Corrientes]]/Indirectos[[#This Row],[Indexación Económico]],0)</f>
        <v>0</v>
      </c>
      <c r="R86" s="1065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86" s="106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86" s="1064">
        <f>IFERROR(Indirectos[[#This Row],[Financiero $Corrientes]]/Indirectos[[#This Row],[Indexación Financiero]],0)</f>
        <v>0</v>
      </c>
      <c r="U86" s="1066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86" s="1067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86" s="1068">
        <f>IFERROR(Indirectos[[#This Row],[Intereses $Corrientes]]/Indirectos[[#This Row],[Indexación Financiero]],0)</f>
        <v>0</v>
      </c>
      <c r="X86" s="1068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86" s="1069">
        <f>IFERROR(INDEX(Costos_Indirectos_Cuentas[],MATCH(Indirectos[[#This Row],[Cuenta Contable]],Costos_Indirectos_Cuentas[Cuenta Contable],0),2),0)</f>
        <v>0</v>
      </c>
      <c r="Z86" s="1070">
        <f>IFERROR(INDEX(Tabla9[],MATCH(Indirectos[[#This Row],[Movimiento]],Tabla9[Movimientos],0),2),0)</f>
        <v>0</v>
      </c>
      <c r="AA86" s="1071">
        <f>IFERROR(INDEX(Costos_Indirectos_Cuentas[],MATCH(Indirectos[[#This Row],[Cuenta Contable]],Costos_Indirectos_Cuentas[Cuenta Contable],0),3),0)</f>
        <v>0</v>
      </c>
      <c r="AB86" s="1072">
        <f>IFERROR(INDEX(Tabla9[],MATCH(Indirectos[[#This Row],[Movimiento]],Tabla9[Movimientos],0),3),0)</f>
        <v>0</v>
      </c>
      <c r="AC86" s="1067">
        <f>IF(Indirectos[[#This Row],[Fecha Económico]]=0,0,MONTH(Indirectos[[#This Row],[Fecha Económico]]))</f>
        <v>0</v>
      </c>
      <c r="AD86" s="1068">
        <f>IF(Indirectos[[#This Row],[Fecha Económico]]=0,0,YEAR(Indirectos[[#This Row],[Fecha Económico]]))</f>
        <v>0</v>
      </c>
      <c r="AE86" s="1072">
        <f>SUMPRODUCT((Indirectos[[#This Row],[Mes Económico]]=Tipo_Cambio[Mes])*(Indirectos[[#This Row],[Año Económico]]=Tipo_Cambio[Año])*(Tipo_Cambio[$/U$S]))</f>
        <v>0</v>
      </c>
      <c r="AF86" s="1072">
        <f>SUMPRODUCT((Indirectos[[#This Row],[Mes Económico]]=Tipo_Cambio[Mes])*(Indirectos[[#This Row],[Año Económico]]=Tipo_Cambio[Año])*(Tipo_Cambio[Actualización]))</f>
        <v>0</v>
      </c>
      <c r="AG86" s="1068">
        <f>IF(ISNUMBER(Indirectos[[#This Row],[Fecha Financiero]])=TRUE,MONTH(Indirectos[[#This Row],[Fecha Financiero]]),0)</f>
        <v>0</v>
      </c>
      <c r="AH86" s="1068">
        <f>IF(ISNUMBER(Indirectos[[#This Row],[Fecha Financiero]])=TRUE,YEAR(Indirectos[[#This Row],[Fecha Financiero]]),0)</f>
        <v>0</v>
      </c>
      <c r="AI86" s="1072">
        <f>SUMPRODUCT((Indirectos[[#This Row],[Mes Financiero]]=Tipo_Cambio[Mes])*(Indirectos[[#This Row],[Año Financiero]]=Tipo_Cambio[Año])*(Tipo_Cambio[$/U$S]))</f>
        <v>0</v>
      </c>
      <c r="AJ86" s="1073">
        <f>SUMPRODUCT((Indirectos[[#This Row],[Mes Financiero]]=Tipo_Cambio[Mes])*(Indirectos[[#This Row],[Año Financiero]]=Tipo_Cambio[Año])*(Tipo_Cambio[Actualización]))</f>
        <v>0</v>
      </c>
      <c r="AK86" s="1074">
        <f>IF(Económico!$F$4=0,0,Indirectos[Centro de Costo])</f>
        <v>0</v>
      </c>
    </row>
    <row r="87" spans="2:37" ht="15.75" thickTop="1" x14ac:dyDescent="0.25">
      <c r="B87" s="437" t="s">
        <v>230</v>
      </c>
      <c r="D87" s="528"/>
      <c r="E87" s="493"/>
      <c r="F87" s="869" t="str">
        <f t="shared" si="7"/>
        <v>2018-2019</v>
      </c>
      <c r="G87" s="482" t="s">
        <v>290</v>
      </c>
      <c r="H87" s="481"/>
      <c r="I87" s="481" t="s">
        <v>230</v>
      </c>
      <c r="J87" s="481"/>
      <c r="K87" s="533"/>
      <c r="L87" s="484"/>
      <c r="M87" s="481"/>
      <c r="N87" s="523"/>
      <c r="O87" s="485"/>
      <c r="P87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87" s="913">
        <f>IFERROR(Indirectos[[#This Row],[Económico $Corrientes]]/Indirectos[[#This Row],[Indexación Económico]],0)</f>
        <v>0</v>
      </c>
      <c r="R87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87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87" s="913">
        <f>IFERROR(Indirectos[[#This Row],[Financiero $Corrientes]]/Indirectos[[#This Row],[Indexación Financiero]],0)</f>
        <v>0</v>
      </c>
      <c r="U87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87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87" s="890">
        <f>IFERROR(Indirectos[[#This Row],[Intereses $Corrientes]]/Indirectos[[#This Row],[Indexación Financiero]],0)</f>
        <v>0</v>
      </c>
      <c r="X87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87" s="915" t="str">
        <f>IFERROR(INDEX(Costos_Indirectos_Cuentas[],MATCH(Indirectos[[#This Row],[Cuenta Contable]],Costos_Indirectos_Cuentas[Cuenta Contable],0),2),0)</f>
        <v>Egreso</v>
      </c>
      <c r="Z87" s="887" t="str">
        <f>IFERROR(INDEX(Tabla9[],MATCH(Indirectos[[#This Row],[Movimiento]],Tabla9[Movimientos],0),2),0)</f>
        <v>Si</v>
      </c>
      <c r="AA87" s="918" t="str">
        <f>IFERROR(INDEX(Costos_Indirectos_Cuentas[],MATCH(Indirectos[[#This Row],[Cuenta Contable]],Costos_Indirectos_Cuentas[Cuenta Contable],0),3),0)</f>
        <v>No</v>
      </c>
      <c r="AB87" s="891" t="str">
        <f>IFERROR(INDEX(Tabla9[],MATCH(Indirectos[[#This Row],[Movimiento]],Tabla9[Movimientos],0),3),0)</f>
        <v>(-)</v>
      </c>
      <c r="AC87" s="884">
        <f>IF(Indirectos[[#This Row],[Fecha Económico]]=0,0,MONTH(Indirectos[[#This Row],[Fecha Económico]]))</f>
        <v>0</v>
      </c>
      <c r="AD87" s="890">
        <f>IF(Indirectos[[#This Row],[Fecha Económico]]=0,0,YEAR(Indirectos[[#This Row],[Fecha Económico]]))</f>
        <v>0</v>
      </c>
      <c r="AE87" s="891">
        <f>SUMPRODUCT((Indirectos[[#This Row],[Mes Económico]]=Tipo_Cambio[Mes])*(Indirectos[[#This Row],[Año Económico]]=Tipo_Cambio[Año])*(Tipo_Cambio[$/U$S]))</f>
        <v>0</v>
      </c>
      <c r="AF87" s="891">
        <f>SUMPRODUCT((Indirectos[[#This Row],[Mes Económico]]=Tipo_Cambio[Mes])*(Indirectos[[#This Row],[Año Económico]]=Tipo_Cambio[Año])*(Tipo_Cambio[Actualización]))</f>
        <v>0</v>
      </c>
      <c r="AG87" s="890">
        <f>IF(ISNUMBER(Indirectos[[#This Row],[Fecha Financiero]])=TRUE,MONTH(Indirectos[[#This Row],[Fecha Financiero]]),0)</f>
        <v>0</v>
      </c>
      <c r="AH87" s="890">
        <f>IF(ISNUMBER(Indirectos[[#This Row],[Fecha Financiero]])=TRUE,YEAR(Indirectos[[#This Row],[Fecha Financiero]]),0)</f>
        <v>0</v>
      </c>
      <c r="AI87" s="891">
        <f>SUMPRODUCT((Indirectos[[#This Row],[Mes Financiero]]=Tipo_Cambio[Mes])*(Indirectos[[#This Row],[Año Financiero]]=Tipo_Cambio[Año])*(Tipo_Cambio[$/U$S]))</f>
        <v>0</v>
      </c>
      <c r="AJ87" s="888">
        <f>SUMPRODUCT((Indirectos[[#This Row],[Mes Financiero]]=Tipo_Cambio[Mes])*(Indirectos[[#This Row],[Año Financiero]]=Tipo_Cambio[Año])*(Tipo_Cambio[Actualización]))</f>
        <v>0</v>
      </c>
      <c r="AK87" s="916">
        <f>IF(Económico!$F$4=0,0,Indirectos[Centro de Costo])</f>
        <v>0</v>
      </c>
    </row>
    <row r="88" spans="2:37" x14ac:dyDescent="0.25">
      <c r="D88" s="528"/>
      <c r="E88" s="493"/>
      <c r="F88" s="869" t="str">
        <f t="shared" si="7"/>
        <v>2018-2019</v>
      </c>
      <c r="G88" s="482" t="s">
        <v>290</v>
      </c>
      <c r="H88" s="481"/>
      <c r="I88" s="481" t="s">
        <v>230</v>
      </c>
      <c r="J88" s="481"/>
      <c r="K88" s="533"/>
      <c r="L88" s="484"/>
      <c r="M88" s="481"/>
      <c r="N88" s="523"/>
      <c r="O88" s="485"/>
      <c r="P88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88" s="913">
        <f>IFERROR(Indirectos[[#This Row],[Económico $Corrientes]]/Indirectos[[#This Row],[Indexación Económico]],0)</f>
        <v>0</v>
      </c>
      <c r="R88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88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88" s="913">
        <f>IFERROR(Indirectos[[#This Row],[Financiero $Corrientes]]/Indirectos[[#This Row],[Indexación Financiero]],0)</f>
        <v>0</v>
      </c>
      <c r="U88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88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88" s="890">
        <f>IFERROR(Indirectos[[#This Row],[Intereses $Corrientes]]/Indirectos[[#This Row],[Indexación Financiero]],0)</f>
        <v>0</v>
      </c>
      <c r="X88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88" s="915" t="str">
        <f>IFERROR(INDEX(Costos_Indirectos_Cuentas[],MATCH(Indirectos[[#This Row],[Cuenta Contable]],Costos_Indirectos_Cuentas[Cuenta Contable],0),2),0)</f>
        <v>Egreso</v>
      </c>
      <c r="Z88" s="887" t="str">
        <f>IFERROR(INDEX(Tabla9[],MATCH(Indirectos[[#This Row],[Movimiento]],Tabla9[Movimientos],0),2),0)</f>
        <v>Si</v>
      </c>
      <c r="AA88" s="918" t="str">
        <f>IFERROR(INDEX(Costos_Indirectos_Cuentas[],MATCH(Indirectos[[#This Row],[Cuenta Contable]],Costos_Indirectos_Cuentas[Cuenta Contable],0),3),0)</f>
        <v>No</v>
      </c>
      <c r="AB88" s="891" t="str">
        <f>IFERROR(INDEX(Tabla9[],MATCH(Indirectos[[#This Row],[Movimiento]],Tabla9[Movimientos],0),3),0)</f>
        <v>(-)</v>
      </c>
      <c r="AC88" s="884">
        <f>IF(Indirectos[[#This Row],[Fecha Económico]]=0,0,MONTH(Indirectos[[#This Row],[Fecha Económico]]))</f>
        <v>0</v>
      </c>
      <c r="AD88" s="890">
        <f>IF(Indirectos[[#This Row],[Fecha Económico]]=0,0,YEAR(Indirectos[[#This Row],[Fecha Económico]]))</f>
        <v>0</v>
      </c>
      <c r="AE88" s="891">
        <f>SUMPRODUCT((Indirectos[[#This Row],[Mes Económico]]=Tipo_Cambio[Mes])*(Indirectos[[#This Row],[Año Económico]]=Tipo_Cambio[Año])*(Tipo_Cambio[$/U$S]))</f>
        <v>0</v>
      </c>
      <c r="AF88" s="891">
        <f>SUMPRODUCT((Indirectos[[#This Row],[Mes Económico]]=Tipo_Cambio[Mes])*(Indirectos[[#This Row],[Año Económico]]=Tipo_Cambio[Año])*(Tipo_Cambio[Actualización]))</f>
        <v>0</v>
      </c>
      <c r="AG88" s="890">
        <f>IF(ISNUMBER(Indirectos[[#This Row],[Fecha Financiero]])=TRUE,MONTH(Indirectos[[#This Row],[Fecha Financiero]]),0)</f>
        <v>0</v>
      </c>
      <c r="AH88" s="890">
        <f>IF(ISNUMBER(Indirectos[[#This Row],[Fecha Financiero]])=TRUE,YEAR(Indirectos[[#This Row],[Fecha Financiero]]),0)</f>
        <v>0</v>
      </c>
      <c r="AI88" s="891">
        <f>SUMPRODUCT((Indirectos[[#This Row],[Mes Financiero]]=Tipo_Cambio[Mes])*(Indirectos[[#This Row],[Año Financiero]]=Tipo_Cambio[Año])*(Tipo_Cambio[$/U$S]))</f>
        <v>0</v>
      </c>
      <c r="AJ88" s="888">
        <f>SUMPRODUCT((Indirectos[[#This Row],[Mes Financiero]]=Tipo_Cambio[Mes])*(Indirectos[[#This Row],[Año Financiero]]=Tipo_Cambio[Año])*(Tipo_Cambio[Actualización]))</f>
        <v>0</v>
      </c>
      <c r="AK88" s="916">
        <f>IF(Económico!$F$4=0,0,Indirectos[Centro de Costo])</f>
        <v>0</v>
      </c>
    </row>
    <row r="89" spans="2:37" x14ac:dyDescent="0.25">
      <c r="D89" s="528"/>
      <c r="E89" s="493"/>
      <c r="F89" s="869" t="str">
        <f t="shared" si="7"/>
        <v>2018-2019</v>
      </c>
      <c r="G89" s="482" t="s">
        <v>290</v>
      </c>
      <c r="H89" s="481"/>
      <c r="I89" s="481" t="s">
        <v>230</v>
      </c>
      <c r="J89" s="481"/>
      <c r="K89" s="533"/>
      <c r="L89" s="484"/>
      <c r="M89" s="481"/>
      <c r="N89" s="523"/>
      <c r="O89" s="485"/>
      <c r="P89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89" s="913">
        <f>IFERROR(Indirectos[[#This Row],[Económico $Corrientes]]/Indirectos[[#This Row],[Indexación Económico]],0)</f>
        <v>0</v>
      </c>
      <c r="R89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89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89" s="913">
        <f>IFERROR(Indirectos[[#This Row],[Financiero $Corrientes]]/Indirectos[[#This Row],[Indexación Financiero]],0)</f>
        <v>0</v>
      </c>
      <c r="U89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89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89" s="890">
        <f>IFERROR(Indirectos[[#This Row],[Intereses $Corrientes]]/Indirectos[[#This Row],[Indexación Financiero]],0)</f>
        <v>0</v>
      </c>
      <c r="X89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89" s="915" t="str">
        <f>IFERROR(INDEX(Costos_Indirectos_Cuentas[],MATCH(Indirectos[[#This Row],[Cuenta Contable]],Costos_Indirectos_Cuentas[Cuenta Contable],0),2),0)</f>
        <v>Egreso</v>
      </c>
      <c r="Z89" s="887" t="str">
        <f>IFERROR(INDEX(Tabla9[],MATCH(Indirectos[[#This Row],[Movimiento]],Tabla9[Movimientos],0),2),0)</f>
        <v>Si</v>
      </c>
      <c r="AA89" s="918" t="str">
        <f>IFERROR(INDEX(Costos_Indirectos_Cuentas[],MATCH(Indirectos[[#This Row],[Cuenta Contable]],Costos_Indirectos_Cuentas[Cuenta Contable],0),3),0)</f>
        <v>No</v>
      </c>
      <c r="AB89" s="891" t="str">
        <f>IFERROR(INDEX(Tabla9[],MATCH(Indirectos[[#This Row],[Movimiento]],Tabla9[Movimientos],0),3),0)</f>
        <v>(-)</v>
      </c>
      <c r="AC89" s="884">
        <f>IF(Indirectos[[#This Row],[Fecha Económico]]=0,0,MONTH(Indirectos[[#This Row],[Fecha Económico]]))</f>
        <v>0</v>
      </c>
      <c r="AD89" s="890">
        <f>IF(Indirectos[[#This Row],[Fecha Económico]]=0,0,YEAR(Indirectos[[#This Row],[Fecha Económico]]))</f>
        <v>0</v>
      </c>
      <c r="AE89" s="891">
        <f>SUMPRODUCT((Indirectos[[#This Row],[Mes Económico]]=Tipo_Cambio[Mes])*(Indirectos[[#This Row],[Año Económico]]=Tipo_Cambio[Año])*(Tipo_Cambio[$/U$S]))</f>
        <v>0</v>
      </c>
      <c r="AF89" s="891">
        <f>SUMPRODUCT((Indirectos[[#This Row],[Mes Económico]]=Tipo_Cambio[Mes])*(Indirectos[[#This Row],[Año Económico]]=Tipo_Cambio[Año])*(Tipo_Cambio[Actualización]))</f>
        <v>0</v>
      </c>
      <c r="AG89" s="890">
        <f>IF(ISNUMBER(Indirectos[[#This Row],[Fecha Financiero]])=TRUE,MONTH(Indirectos[[#This Row],[Fecha Financiero]]),0)</f>
        <v>0</v>
      </c>
      <c r="AH89" s="890">
        <f>IF(ISNUMBER(Indirectos[[#This Row],[Fecha Financiero]])=TRUE,YEAR(Indirectos[[#This Row],[Fecha Financiero]]),0)</f>
        <v>0</v>
      </c>
      <c r="AI89" s="891">
        <f>SUMPRODUCT((Indirectos[[#This Row],[Mes Financiero]]=Tipo_Cambio[Mes])*(Indirectos[[#This Row],[Año Financiero]]=Tipo_Cambio[Año])*(Tipo_Cambio[$/U$S]))</f>
        <v>0</v>
      </c>
      <c r="AJ89" s="888">
        <f>SUMPRODUCT((Indirectos[[#This Row],[Mes Financiero]]=Tipo_Cambio[Mes])*(Indirectos[[#This Row],[Año Financiero]]=Tipo_Cambio[Año])*(Tipo_Cambio[Actualización]))</f>
        <v>0</v>
      </c>
      <c r="AK89" s="916">
        <f>IF(Económico!$F$4=0,0,Indirectos[Centro de Costo])</f>
        <v>0</v>
      </c>
    </row>
    <row r="90" spans="2:37" x14ac:dyDescent="0.25">
      <c r="D90" s="528"/>
      <c r="E90" s="493"/>
      <c r="F90" s="869" t="str">
        <f t="shared" si="7"/>
        <v>2018-2019</v>
      </c>
      <c r="G90" s="482" t="s">
        <v>290</v>
      </c>
      <c r="H90" s="481"/>
      <c r="I90" s="481" t="s">
        <v>230</v>
      </c>
      <c r="J90" s="481"/>
      <c r="K90" s="533"/>
      <c r="L90" s="484"/>
      <c r="M90" s="481"/>
      <c r="N90" s="523"/>
      <c r="O90" s="485"/>
      <c r="P90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90" s="913">
        <f>IFERROR(Indirectos[[#This Row],[Económico $Corrientes]]/Indirectos[[#This Row],[Indexación Económico]],0)</f>
        <v>0</v>
      </c>
      <c r="R90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90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90" s="913">
        <f>IFERROR(Indirectos[[#This Row],[Financiero $Corrientes]]/Indirectos[[#This Row],[Indexación Financiero]],0)</f>
        <v>0</v>
      </c>
      <c r="U90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90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90" s="890">
        <f>IFERROR(Indirectos[[#This Row],[Intereses $Corrientes]]/Indirectos[[#This Row],[Indexación Financiero]],0)</f>
        <v>0</v>
      </c>
      <c r="X90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90" s="915" t="str">
        <f>IFERROR(INDEX(Costos_Indirectos_Cuentas[],MATCH(Indirectos[[#This Row],[Cuenta Contable]],Costos_Indirectos_Cuentas[Cuenta Contable],0),2),0)</f>
        <v>Egreso</v>
      </c>
      <c r="Z90" s="887" t="str">
        <f>IFERROR(INDEX(Tabla9[],MATCH(Indirectos[[#This Row],[Movimiento]],Tabla9[Movimientos],0),2),0)</f>
        <v>Si</v>
      </c>
      <c r="AA90" s="918" t="str">
        <f>IFERROR(INDEX(Costos_Indirectos_Cuentas[],MATCH(Indirectos[[#This Row],[Cuenta Contable]],Costos_Indirectos_Cuentas[Cuenta Contable],0),3),0)</f>
        <v>No</v>
      </c>
      <c r="AB90" s="891" t="str">
        <f>IFERROR(INDEX(Tabla9[],MATCH(Indirectos[[#This Row],[Movimiento]],Tabla9[Movimientos],0),3),0)</f>
        <v>(-)</v>
      </c>
      <c r="AC90" s="884">
        <f>IF(Indirectos[[#This Row],[Fecha Económico]]=0,0,MONTH(Indirectos[[#This Row],[Fecha Económico]]))</f>
        <v>0</v>
      </c>
      <c r="AD90" s="890">
        <f>IF(Indirectos[[#This Row],[Fecha Económico]]=0,0,YEAR(Indirectos[[#This Row],[Fecha Económico]]))</f>
        <v>0</v>
      </c>
      <c r="AE90" s="891">
        <f>SUMPRODUCT((Indirectos[[#This Row],[Mes Económico]]=Tipo_Cambio[Mes])*(Indirectos[[#This Row],[Año Económico]]=Tipo_Cambio[Año])*(Tipo_Cambio[$/U$S]))</f>
        <v>0</v>
      </c>
      <c r="AF90" s="891">
        <f>SUMPRODUCT((Indirectos[[#This Row],[Mes Económico]]=Tipo_Cambio[Mes])*(Indirectos[[#This Row],[Año Económico]]=Tipo_Cambio[Año])*(Tipo_Cambio[Actualización]))</f>
        <v>0</v>
      </c>
      <c r="AG90" s="890">
        <f>IF(ISNUMBER(Indirectos[[#This Row],[Fecha Financiero]])=TRUE,MONTH(Indirectos[[#This Row],[Fecha Financiero]]),0)</f>
        <v>0</v>
      </c>
      <c r="AH90" s="890">
        <f>IF(ISNUMBER(Indirectos[[#This Row],[Fecha Financiero]])=TRUE,YEAR(Indirectos[[#This Row],[Fecha Financiero]]),0)</f>
        <v>0</v>
      </c>
      <c r="AI90" s="891">
        <f>SUMPRODUCT((Indirectos[[#This Row],[Mes Financiero]]=Tipo_Cambio[Mes])*(Indirectos[[#This Row],[Año Financiero]]=Tipo_Cambio[Año])*(Tipo_Cambio[$/U$S]))</f>
        <v>0</v>
      </c>
      <c r="AJ90" s="888">
        <f>SUMPRODUCT((Indirectos[[#This Row],[Mes Financiero]]=Tipo_Cambio[Mes])*(Indirectos[[#This Row],[Año Financiero]]=Tipo_Cambio[Año])*(Tipo_Cambio[Actualización]))</f>
        <v>0</v>
      </c>
      <c r="AK90" s="916">
        <f>IF(Económico!$F$4=0,0,Indirectos[Centro de Costo])</f>
        <v>0</v>
      </c>
    </row>
    <row r="91" spans="2:37" x14ac:dyDescent="0.25">
      <c r="D91" s="528"/>
      <c r="E91" s="493"/>
      <c r="F91" s="869" t="str">
        <f t="shared" si="7"/>
        <v>2018-2019</v>
      </c>
      <c r="G91" s="482" t="s">
        <v>290</v>
      </c>
      <c r="H91" s="481"/>
      <c r="I91" s="481" t="s">
        <v>230</v>
      </c>
      <c r="J91" s="481"/>
      <c r="K91" s="533"/>
      <c r="L91" s="484"/>
      <c r="M91" s="481"/>
      <c r="N91" s="523"/>
      <c r="O91" s="485"/>
      <c r="P91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91" s="913">
        <f>IFERROR(Indirectos[[#This Row],[Económico $Corrientes]]/Indirectos[[#This Row],[Indexación Económico]],0)</f>
        <v>0</v>
      </c>
      <c r="R91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91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91" s="913">
        <f>IFERROR(Indirectos[[#This Row],[Financiero $Corrientes]]/Indirectos[[#This Row],[Indexación Financiero]],0)</f>
        <v>0</v>
      </c>
      <c r="U91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91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91" s="890">
        <f>IFERROR(Indirectos[[#This Row],[Intereses $Corrientes]]/Indirectos[[#This Row],[Indexación Financiero]],0)</f>
        <v>0</v>
      </c>
      <c r="X91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91" s="915" t="str">
        <f>IFERROR(INDEX(Costos_Indirectos_Cuentas[],MATCH(Indirectos[[#This Row],[Cuenta Contable]],Costos_Indirectos_Cuentas[Cuenta Contable],0),2),0)</f>
        <v>Egreso</v>
      </c>
      <c r="Z91" s="887" t="str">
        <f>IFERROR(INDEX(Tabla9[],MATCH(Indirectos[[#This Row],[Movimiento]],Tabla9[Movimientos],0),2),0)</f>
        <v>Si</v>
      </c>
      <c r="AA91" s="918" t="str">
        <f>IFERROR(INDEX(Costos_Indirectos_Cuentas[],MATCH(Indirectos[[#This Row],[Cuenta Contable]],Costos_Indirectos_Cuentas[Cuenta Contable],0),3),0)</f>
        <v>No</v>
      </c>
      <c r="AB91" s="891" t="str">
        <f>IFERROR(INDEX(Tabla9[],MATCH(Indirectos[[#This Row],[Movimiento]],Tabla9[Movimientos],0),3),0)</f>
        <v>(-)</v>
      </c>
      <c r="AC91" s="884">
        <f>IF(Indirectos[[#This Row],[Fecha Económico]]=0,0,MONTH(Indirectos[[#This Row],[Fecha Económico]]))</f>
        <v>0</v>
      </c>
      <c r="AD91" s="890">
        <f>IF(Indirectos[[#This Row],[Fecha Económico]]=0,0,YEAR(Indirectos[[#This Row],[Fecha Económico]]))</f>
        <v>0</v>
      </c>
      <c r="AE91" s="891">
        <f>SUMPRODUCT((Indirectos[[#This Row],[Mes Económico]]=Tipo_Cambio[Mes])*(Indirectos[[#This Row],[Año Económico]]=Tipo_Cambio[Año])*(Tipo_Cambio[$/U$S]))</f>
        <v>0</v>
      </c>
      <c r="AF91" s="891">
        <f>SUMPRODUCT((Indirectos[[#This Row],[Mes Económico]]=Tipo_Cambio[Mes])*(Indirectos[[#This Row],[Año Económico]]=Tipo_Cambio[Año])*(Tipo_Cambio[Actualización]))</f>
        <v>0</v>
      </c>
      <c r="AG91" s="890">
        <f>IF(ISNUMBER(Indirectos[[#This Row],[Fecha Financiero]])=TRUE,MONTH(Indirectos[[#This Row],[Fecha Financiero]]),0)</f>
        <v>0</v>
      </c>
      <c r="AH91" s="890">
        <f>IF(ISNUMBER(Indirectos[[#This Row],[Fecha Financiero]])=TRUE,YEAR(Indirectos[[#This Row],[Fecha Financiero]]),0)</f>
        <v>0</v>
      </c>
      <c r="AI91" s="891">
        <f>SUMPRODUCT((Indirectos[[#This Row],[Mes Financiero]]=Tipo_Cambio[Mes])*(Indirectos[[#This Row],[Año Financiero]]=Tipo_Cambio[Año])*(Tipo_Cambio[$/U$S]))</f>
        <v>0</v>
      </c>
      <c r="AJ91" s="888">
        <f>SUMPRODUCT((Indirectos[[#This Row],[Mes Financiero]]=Tipo_Cambio[Mes])*(Indirectos[[#This Row],[Año Financiero]]=Tipo_Cambio[Año])*(Tipo_Cambio[Actualización]))</f>
        <v>0</v>
      </c>
      <c r="AK91" s="916">
        <f>IF(Económico!$F$4=0,0,Indirectos[Centro de Costo])</f>
        <v>0</v>
      </c>
    </row>
    <row r="92" spans="2:37" x14ac:dyDescent="0.25">
      <c r="D92" s="528"/>
      <c r="E92" s="493"/>
      <c r="F92" s="869" t="str">
        <f t="shared" si="7"/>
        <v>2018-2019</v>
      </c>
      <c r="G92" s="482" t="s">
        <v>290</v>
      </c>
      <c r="H92" s="481"/>
      <c r="I92" s="481" t="s">
        <v>230</v>
      </c>
      <c r="J92" s="481"/>
      <c r="K92" s="533"/>
      <c r="L92" s="484"/>
      <c r="M92" s="481"/>
      <c r="N92" s="523"/>
      <c r="O92" s="485"/>
      <c r="P92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92" s="913">
        <f>IFERROR(Indirectos[[#This Row],[Económico $Corrientes]]/Indirectos[[#This Row],[Indexación Económico]],0)</f>
        <v>0</v>
      </c>
      <c r="R92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92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92" s="913">
        <f>IFERROR(Indirectos[[#This Row],[Financiero $Corrientes]]/Indirectos[[#This Row],[Indexación Financiero]],0)</f>
        <v>0</v>
      </c>
      <c r="U92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92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92" s="890">
        <f>IFERROR(Indirectos[[#This Row],[Intereses $Corrientes]]/Indirectos[[#This Row],[Indexación Financiero]],0)</f>
        <v>0</v>
      </c>
      <c r="X92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92" s="915" t="str">
        <f>IFERROR(INDEX(Costos_Indirectos_Cuentas[],MATCH(Indirectos[[#This Row],[Cuenta Contable]],Costos_Indirectos_Cuentas[Cuenta Contable],0),2),0)</f>
        <v>Egreso</v>
      </c>
      <c r="Z92" s="887" t="str">
        <f>IFERROR(INDEX(Tabla9[],MATCH(Indirectos[[#This Row],[Movimiento]],Tabla9[Movimientos],0),2),0)</f>
        <v>Si</v>
      </c>
      <c r="AA92" s="918" t="str">
        <f>IFERROR(INDEX(Costos_Indirectos_Cuentas[],MATCH(Indirectos[[#This Row],[Cuenta Contable]],Costos_Indirectos_Cuentas[Cuenta Contable],0),3),0)</f>
        <v>No</v>
      </c>
      <c r="AB92" s="891" t="str">
        <f>IFERROR(INDEX(Tabla9[],MATCH(Indirectos[[#This Row],[Movimiento]],Tabla9[Movimientos],0),3),0)</f>
        <v>(-)</v>
      </c>
      <c r="AC92" s="884">
        <f>IF(Indirectos[[#This Row],[Fecha Económico]]=0,0,MONTH(Indirectos[[#This Row],[Fecha Económico]]))</f>
        <v>0</v>
      </c>
      <c r="AD92" s="890">
        <f>IF(Indirectos[[#This Row],[Fecha Económico]]=0,0,YEAR(Indirectos[[#This Row],[Fecha Económico]]))</f>
        <v>0</v>
      </c>
      <c r="AE92" s="891">
        <f>SUMPRODUCT((Indirectos[[#This Row],[Mes Económico]]=Tipo_Cambio[Mes])*(Indirectos[[#This Row],[Año Económico]]=Tipo_Cambio[Año])*(Tipo_Cambio[$/U$S]))</f>
        <v>0</v>
      </c>
      <c r="AF92" s="891">
        <f>SUMPRODUCT((Indirectos[[#This Row],[Mes Económico]]=Tipo_Cambio[Mes])*(Indirectos[[#This Row],[Año Económico]]=Tipo_Cambio[Año])*(Tipo_Cambio[Actualización]))</f>
        <v>0</v>
      </c>
      <c r="AG92" s="890">
        <f>IF(ISNUMBER(Indirectos[[#This Row],[Fecha Financiero]])=TRUE,MONTH(Indirectos[[#This Row],[Fecha Financiero]]),0)</f>
        <v>0</v>
      </c>
      <c r="AH92" s="890">
        <f>IF(ISNUMBER(Indirectos[[#This Row],[Fecha Financiero]])=TRUE,YEAR(Indirectos[[#This Row],[Fecha Financiero]]),0)</f>
        <v>0</v>
      </c>
      <c r="AI92" s="891">
        <f>SUMPRODUCT((Indirectos[[#This Row],[Mes Financiero]]=Tipo_Cambio[Mes])*(Indirectos[[#This Row],[Año Financiero]]=Tipo_Cambio[Año])*(Tipo_Cambio[$/U$S]))</f>
        <v>0</v>
      </c>
      <c r="AJ92" s="888">
        <f>SUMPRODUCT((Indirectos[[#This Row],[Mes Financiero]]=Tipo_Cambio[Mes])*(Indirectos[[#This Row],[Año Financiero]]=Tipo_Cambio[Año])*(Tipo_Cambio[Actualización]))</f>
        <v>0</v>
      </c>
      <c r="AK92" s="916">
        <f>IF(Económico!$F$4=0,0,Indirectos[Centro de Costo])</f>
        <v>0</v>
      </c>
    </row>
    <row r="93" spans="2:37" x14ac:dyDescent="0.25">
      <c r="D93" s="528"/>
      <c r="E93" s="493"/>
      <c r="F93" s="869" t="str">
        <f t="shared" si="7"/>
        <v>2018-2019</v>
      </c>
      <c r="G93" s="482"/>
      <c r="H93" s="481"/>
      <c r="I93" s="481" t="s">
        <v>230</v>
      </c>
      <c r="J93" s="481"/>
      <c r="K93" s="533"/>
      <c r="L93" s="484"/>
      <c r="M93" s="481"/>
      <c r="N93" s="523"/>
      <c r="O93" s="485"/>
      <c r="P93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93" s="913">
        <f>IFERROR(Indirectos[[#This Row],[Económico $Corrientes]]/Indirectos[[#This Row],[Indexación Económico]],0)</f>
        <v>0</v>
      </c>
      <c r="R93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93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93" s="913">
        <f>IFERROR(Indirectos[[#This Row],[Financiero $Corrientes]]/Indirectos[[#This Row],[Indexación Financiero]],0)</f>
        <v>0</v>
      </c>
      <c r="U93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93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93" s="890">
        <f>IFERROR(Indirectos[[#This Row],[Intereses $Corrientes]]/Indirectos[[#This Row],[Indexación Financiero]],0)</f>
        <v>0</v>
      </c>
      <c r="X93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93" s="915">
        <f>IFERROR(INDEX(Costos_Indirectos_Cuentas[],MATCH(Indirectos[[#This Row],[Cuenta Contable]],Costos_Indirectos_Cuentas[Cuenta Contable],0),2),0)</f>
        <v>0</v>
      </c>
      <c r="Z93" s="887">
        <f>IFERROR(INDEX(Tabla9[],MATCH(Indirectos[[#This Row],[Movimiento]],Tabla9[Movimientos],0),2),0)</f>
        <v>0</v>
      </c>
      <c r="AA93" s="918">
        <f>IFERROR(INDEX(Costos_Indirectos_Cuentas[],MATCH(Indirectos[[#This Row],[Cuenta Contable]],Costos_Indirectos_Cuentas[Cuenta Contable],0),3),0)</f>
        <v>0</v>
      </c>
      <c r="AB93" s="891">
        <f>IFERROR(INDEX(Tabla9[],MATCH(Indirectos[[#This Row],[Movimiento]],Tabla9[Movimientos],0),3),0)</f>
        <v>0</v>
      </c>
      <c r="AC93" s="884">
        <f>IF(Indirectos[[#This Row],[Fecha Económico]]=0,0,MONTH(Indirectos[[#This Row],[Fecha Económico]]))</f>
        <v>0</v>
      </c>
      <c r="AD93" s="890">
        <f>IF(Indirectos[[#This Row],[Fecha Económico]]=0,0,YEAR(Indirectos[[#This Row],[Fecha Económico]]))</f>
        <v>0</v>
      </c>
      <c r="AE93" s="891">
        <f>SUMPRODUCT((Indirectos[[#This Row],[Mes Económico]]=Tipo_Cambio[Mes])*(Indirectos[[#This Row],[Año Económico]]=Tipo_Cambio[Año])*(Tipo_Cambio[$/U$S]))</f>
        <v>0</v>
      </c>
      <c r="AF93" s="891">
        <f>SUMPRODUCT((Indirectos[[#This Row],[Mes Económico]]=Tipo_Cambio[Mes])*(Indirectos[[#This Row],[Año Económico]]=Tipo_Cambio[Año])*(Tipo_Cambio[Actualización]))</f>
        <v>0</v>
      </c>
      <c r="AG93" s="890">
        <f>IF(ISNUMBER(Indirectos[[#This Row],[Fecha Financiero]])=TRUE,MONTH(Indirectos[[#This Row],[Fecha Financiero]]),0)</f>
        <v>0</v>
      </c>
      <c r="AH93" s="890">
        <f>IF(ISNUMBER(Indirectos[[#This Row],[Fecha Financiero]])=TRUE,YEAR(Indirectos[[#This Row],[Fecha Financiero]]),0)</f>
        <v>0</v>
      </c>
      <c r="AI93" s="891">
        <f>SUMPRODUCT((Indirectos[[#This Row],[Mes Financiero]]=Tipo_Cambio[Mes])*(Indirectos[[#This Row],[Año Financiero]]=Tipo_Cambio[Año])*(Tipo_Cambio[$/U$S]))</f>
        <v>0</v>
      </c>
      <c r="AJ93" s="888">
        <f>SUMPRODUCT((Indirectos[[#This Row],[Mes Financiero]]=Tipo_Cambio[Mes])*(Indirectos[[#This Row],[Año Financiero]]=Tipo_Cambio[Año])*(Tipo_Cambio[Actualización]))</f>
        <v>0</v>
      </c>
      <c r="AK93" s="916">
        <f>IF(Económico!$F$4=0,0,Indirectos[Centro de Costo])</f>
        <v>0</v>
      </c>
    </row>
    <row r="94" spans="2:37" x14ac:dyDescent="0.25">
      <c r="D94" s="528"/>
      <c r="E94" s="493"/>
      <c r="F94" s="869" t="str">
        <f t="shared" si="7"/>
        <v>2018-2019</v>
      </c>
      <c r="G94" s="482" t="s">
        <v>289</v>
      </c>
      <c r="H94" s="481"/>
      <c r="I94" s="481" t="s">
        <v>230</v>
      </c>
      <c r="J94" s="481"/>
      <c r="K94" s="533"/>
      <c r="L94" s="484"/>
      <c r="M94" s="481"/>
      <c r="N94" s="523"/>
      <c r="O94" s="485"/>
      <c r="P94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94" s="913">
        <f>IFERROR(Indirectos[[#This Row],[Económico $Corrientes]]/Indirectos[[#This Row],[Indexación Económico]],0)</f>
        <v>0</v>
      </c>
      <c r="R94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94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94" s="913">
        <f>IFERROR(Indirectos[[#This Row],[Financiero $Corrientes]]/Indirectos[[#This Row],[Indexación Financiero]],0)</f>
        <v>0</v>
      </c>
      <c r="U94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94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94" s="890">
        <f>IFERROR(Indirectos[[#This Row],[Intereses $Corrientes]]/Indirectos[[#This Row],[Indexación Financiero]],0)</f>
        <v>0</v>
      </c>
      <c r="X94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94" s="915" t="str">
        <f>IFERROR(INDEX(Costos_Indirectos_Cuentas[],MATCH(Indirectos[[#This Row],[Cuenta Contable]],Costos_Indirectos_Cuentas[Cuenta Contable],0),2),0)</f>
        <v>Egreso</v>
      </c>
      <c r="Z94" s="887" t="str">
        <f>IFERROR(INDEX(Tabla9[],MATCH(Indirectos[[#This Row],[Movimiento]],Tabla9[Movimientos],0),2),0)</f>
        <v>Si</v>
      </c>
      <c r="AA94" s="918" t="str">
        <f>IFERROR(INDEX(Costos_Indirectos_Cuentas[],MATCH(Indirectos[[#This Row],[Cuenta Contable]],Costos_Indirectos_Cuentas[Cuenta Contable],0),3),0)</f>
        <v>No</v>
      </c>
      <c r="AB94" s="891" t="str">
        <f>IFERROR(INDEX(Tabla9[],MATCH(Indirectos[[#This Row],[Movimiento]],Tabla9[Movimientos],0),3),0)</f>
        <v>(-)</v>
      </c>
      <c r="AC94" s="884">
        <f>IF(Indirectos[[#This Row],[Fecha Económico]]=0,0,MONTH(Indirectos[[#This Row],[Fecha Económico]]))</f>
        <v>0</v>
      </c>
      <c r="AD94" s="890">
        <f>IF(Indirectos[[#This Row],[Fecha Económico]]=0,0,YEAR(Indirectos[[#This Row],[Fecha Económico]]))</f>
        <v>0</v>
      </c>
      <c r="AE94" s="891">
        <f>SUMPRODUCT((Indirectos[[#This Row],[Mes Económico]]=Tipo_Cambio[Mes])*(Indirectos[[#This Row],[Año Económico]]=Tipo_Cambio[Año])*(Tipo_Cambio[$/U$S]))</f>
        <v>0</v>
      </c>
      <c r="AF94" s="891">
        <f>SUMPRODUCT((Indirectos[[#This Row],[Mes Económico]]=Tipo_Cambio[Mes])*(Indirectos[[#This Row],[Año Económico]]=Tipo_Cambio[Año])*(Tipo_Cambio[Actualización]))</f>
        <v>0</v>
      </c>
      <c r="AG94" s="890">
        <f>IF(ISNUMBER(Indirectos[[#This Row],[Fecha Financiero]])=TRUE,MONTH(Indirectos[[#This Row],[Fecha Financiero]]),0)</f>
        <v>0</v>
      </c>
      <c r="AH94" s="890">
        <f>IF(ISNUMBER(Indirectos[[#This Row],[Fecha Financiero]])=TRUE,YEAR(Indirectos[[#This Row],[Fecha Financiero]]),0)</f>
        <v>0</v>
      </c>
      <c r="AI94" s="891">
        <f>SUMPRODUCT((Indirectos[[#This Row],[Mes Financiero]]=Tipo_Cambio[Mes])*(Indirectos[[#This Row],[Año Financiero]]=Tipo_Cambio[Año])*(Tipo_Cambio[$/U$S]))</f>
        <v>0</v>
      </c>
      <c r="AJ94" s="888">
        <f>SUMPRODUCT((Indirectos[[#This Row],[Mes Financiero]]=Tipo_Cambio[Mes])*(Indirectos[[#This Row],[Año Financiero]]=Tipo_Cambio[Año])*(Tipo_Cambio[Actualización]))</f>
        <v>0</v>
      </c>
      <c r="AK94" s="916">
        <f>IF(Económico!$F$4=0,0,Indirectos[Centro de Costo])</f>
        <v>0</v>
      </c>
    </row>
    <row r="95" spans="2:37" x14ac:dyDescent="0.25">
      <c r="D95" s="528"/>
      <c r="E95" s="493"/>
      <c r="F95" s="869" t="str">
        <f t="shared" si="7"/>
        <v>2018-2019</v>
      </c>
      <c r="G95" s="482" t="s">
        <v>289</v>
      </c>
      <c r="H95" s="481"/>
      <c r="I95" s="481" t="s">
        <v>230</v>
      </c>
      <c r="J95" s="481"/>
      <c r="K95" s="533"/>
      <c r="L95" s="484"/>
      <c r="M95" s="481"/>
      <c r="N95" s="523"/>
      <c r="O95" s="485"/>
      <c r="P95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95" s="913">
        <f>IFERROR(Indirectos[[#This Row],[Económico $Corrientes]]/Indirectos[[#This Row],[Indexación Económico]],0)</f>
        <v>0</v>
      </c>
      <c r="R95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95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95" s="913">
        <f>IFERROR(Indirectos[[#This Row],[Financiero $Corrientes]]/Indirectos[[#This Row],[Indexación Financiero]],0)</f>
        <v>0</v>
      </c>
      <c r="U95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95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95" s="890">
        <f>IFERROR(Indirectos[[#This Row],[Intereses $Corrientes]]/Indirectos[[#This Row],[Indexación Financiero]],0)</f>
        <v>0</v>
      </c>
      <c r="X95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95" s="915" t="str">
        <f>IFERROR(INDEX(Costos_Indirectos_Cuentas[],MATCH(Indirectos[[#This Row],[Cuenta Contable]],Costos_Indirectos_Cuentas[Cuenta Contable],0),2),0)</f>
        <v>Egreso</v>
      </c>
      <c r="Z95" s="887" t="str">
        <f>IFERROR(INDEX(Tabla9[],MATCH(Indirectos[[#This Row],[Movimiento]],Tabla9[Movimientos],0),2),0)</f>
        <v>Si</v>
      </c>
      <c r="AA95" s="918" t="str">
        <f>IFERROR(INDEX(Costos_Indirectos_Cuentas[],MATCH(Indirectos[[#This Row],[Cuenta Contable]],Costos_Indirectos_Cuentas[Cuenta Contable],0),3),0)</f>
        <v>No</v>
      </c>
      <c r="AB95" s="891" t="str">
        <f>IFERROR(INDEX(Tabla9[],MATCH(Indirectos[[#This Row],[Movimiento]],Tabla9[Movimientos],0),3),0)</f>
        <v>(-)</v>
      </c>
      <c r="AC95" s="884">
        <f>IF(Indirectos[[#This Row],[Fecha Económico]]=0,0,MONTH(Indirectos[[#This Row],[Fecha Económico]]))</f>
        <v>0</v>
      </c>
      <c r="AD95" s="890">
        <f>IF(Indirectos[[#This Row],[Fecha Económico]]=0,0,YEAR(Indirectos[[#This Row],[Fecha Económico]]))</f>
        <v>0</v>
      </c>
      <c r="AE95" s="891">
        <f>SUMPRODUCT((Indirectos[[#This Row],[Mes Económico]]=Tipo_Cambio[Mes])*(Indirectos[[#This Row],[Año Económico]]=Tipo_Cambio[Año])*(Tipo_Cambio[$/U$S]))</f>
        <v>0</v>
      </c>
      <c r="AF95" s="891">
        <f>SUMPRODUCT((Indirectos[[#This Row],[Mes Económico]]=Tipo_Cambio[Mes])*(Indirectos[[#This Row],[Año Económico]]=Tipo_Cambio[Año])*(Tipo_Cambio[Actualización]))</f>
        <v>0</v>
      </c>
      <c r="AG95" s="890">
        <f>IF(ISNUMBER(Indirectos[[#This Row],[Fecha Financiero]])=TRUE,MONTH(Indirectos[[#This Row],[Fecha Financiero]]),0)</f>
        <v>0</v>
      </c>
      <c r="AH95" s="890">
        <f>IF(ISNUMBER(Indirectos[[#This Row],[Fecha Financiero]])=TRUE,YEAR(Indirectos[[#This Row],[Fecha Financiero]]),0)</f>
        <v>0</v>
      </c>
      <c r="AI95" s="891">
        <f>SUMPRODUCT((Indirectos[[#This Row],[Mes Financiero]]=Tipo_Cambio[Mes])*(Indirectos[[#This Row],[Año Financiero]]=Tipo_Cambio[Año])*(Tipo_Cambio[$/U$S]))</f>
        <v>0</v>
      </c>
      <c r="AJ95" s="888">
        <f>SUMPRODUCT((Indirectos[[#This Row],[Mes Financiero]]=Tipo_Cambio[Mes])*(Indirectos[[#This Row],[Año Financiero]]=Tipo_Cambio[Año])*(Tipo_Cambio[Actualización]))</f>
        <v>0</v>
      </c>
      <c r="AK95" s="916">
        <f>IF(Económico!$F$4=0,0,Indirectos[Centro de Costo])</f>
        <v>0</v>
      </c>
    </row>
    <row r="96" spans="2:37" x14ac:dyDescent="0.25">
      <c r="D96" s="528"/>
      <c r="E96" s="493"/>
      <c r="F96" s="869" t="str">
        <f t="shared" si="7"/>
        <v>2018-2019</v>
      </c>
      <c r="G96" s="482" t="s">
        <v>289</v>
      </c>
      <c r="H96" s="481"/>
      <c r="I96" s="481" t="s">
        <v>230</v>
      </c>
      <c r="J96" s="481"/>
      <c r="K96" s="533"/>
      <c r="L96" s="484"/>
      <c r="M96" s="481"/>
      <c r="N96" s="523"/>
      <c r="O96" s="485"/>
      <c r="P96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96" s="913">
        <f>IFERROR(Indirectos[[#This Row],[Económico $Corrientes]]/Indirectos[[#This Row],[Indexación Económico]],0)</f>
        <v>0</v>
      </c>
      <c r="R96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96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96" s="913">
        <f>IFERROR(Indirectos[[#This Row],[Financiero $Corrientes]]/Indirectos[[#This Row],[Indexación Financiero]],0)</f>
        <v>0</v>
      </c>
      <c r="U96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96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96" s="890">
        <f>IFERROR(Indirectos[[#This Row],[Intereses $Corrientes]]/Indirectos[[#This Row],[Indexación Financiero]],0)</f>
        <v>0</v>
      </c>
      <c r="X96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96" s="915" t="str">
        <f>IFERROR(INDEX(Costos_Indirectos_Cuentas[],MATCH(Indirectos[[#This Row],[Cuenta Contable]],Costos_Indirectos_Cuentas[Cuenta Contable],0),2),0)</f>
        <v>Egreso</v>
      </c>
      <c r="Z96" s="887" t="str">
        <f>IFERROR(INDEX(Tabla9[],MATCH(Indirectos[[#This Row],[Movimiento]],Tabla9[Movimientos],0),2),0)</f>
        <v>Si</v>
      </c>
      <c r="AA96" s="918" t="str">
        <f>IFERROR(INDEX(Costos_Indirectos_Cuentas[],MATCH(Indirectos[[#This Row],[Cuenta Contable]],Costos_Indirectos_Cuentas[Cuenta Contable],0),3),0)</f>
        <v>No</v>
      </c>
      <c r="AB96" s="891" t="str">
        <f>IFERROR(INDEX(Tabla9[],MATCH(Indirectos[[#This Row],[Movimiento]],Tabla9[Movimientos],0),3),0)</f>
        <v>(-)</v>
      </c>
      <c r="AC96" s="884">
        <f>IF(Indirectos[[#This Row],[Fecha Económico]]=0,0,MONTH(Indirectos[[#This Row],[Fecha Económico]]))</f>
        <v>0</v>
      </c>
      <c r="AD96" s="890">
        <f>IF(Indirectos[[#This Row],[Fecha Económico]]=0,0,YEAR(Indirectos[[#This Row],[Fecha Económico]]))</f>
        <v>0</v>
      </c>
      <c r="AE96" s="891">
        <f>SUMPRODUCT((Indirectos[[#This Row],[Mes Económico]]=Tipo_Cambio[Mes])*(Indirectos[[#This Row],[Año Económico]]=Tipo_Cambio[Año])*(Tipo_Cambio[$/U$S]))</f>
        <v>0</v>
      </c>
      <c r="AF96" s="891">
        <f>SUMPRODUCT((Indirectos[[#This Row],[Mes Económico]]=Tipo_Cambio[Mes])*(Indirectos[[#This Row],[Año Económico]]=Tipo_Cambio[Año])*(Tipo_Cambio[Actualización]))</f>
        <v>0</v>
      </c>
      <c r="AG96" s="890">
        <f>IF(ISNUMBER(Indirectos[[#This Row],[Fecha Financiero]])=TRUE,MONTH(Indirectos[[#This Row],[Fecha Financiero]]),0)</f>
        <v>0</v>
      </c>
      <c r="AH96" s="890">
        <f>IF(ISNUMBER(Indirectos[[#This Row],[Fecha Financiero]])=TRUE,YEAR(Indirectos[[#This Row],[Fecha Financiero]]),0)</f>
        <v>0</v>
      </c>
      <c r="AI96" s="891">
        <f>SUMPRODUCT((Indirectos[[#This Row],[Mes Financiero]]=Tipo_Cambio[Mes])*(Indirectos[[#This Row],[Año Financiero]]=Tipo_Cambio[Año])*(Tipo_Cambio[$/U$S]))</f>
        <v>0</v>
      </c>
      <c r="AJ96" s="888">
        <f>SUMPRODUCT((Indirectos[[#This Row],[Mes Financiero]]=Tipo_Cambio[Mes])*(Indirectos[[#This Row],[Año Financiero]]=Tipo_Cambio[Año])*(Tipo_Cambio[Actualización]))</f>
        <v>0</v>
      </c>
      <c r="AK96" s="916">
        <f>IF(Económico!$F$4=0,0,Indirectos[Centro de Costo])</f>
        <v>0</v>
      </c>
    </row>
    <row r="97" spans="2:37" x14ac:dyDescent="0.25">
      <c r="D97" s="528"/>
      <c r="E97" s="493"/>
      <c r="F97" s="869" t="str">
        <f t="shared" si="7"/>
        <v>2018-2019</v>
      </c>
      <c r="G97" s="482" t="s">
        <v>289</v>
      </c>
      <c r="H97" s="481"/>
      <c r="I97" s="481" t="s">
        <v>230</v>
      </c>
      <c r="J97" s="481"/>
      <c r="K97" s="533"/>
      <c r="L97" s="484"/>
      <c r="M97" s="481"/>
      <c r="N97" s="523"/>
      <c r="O97" s="485"/>
      <c r="P97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97" s="913">
        <f>IFERROR(Indirectos[[#This Row],[Económico $Corrientes]]/Indirectos[[#This Row],[Indexación Económico]],0)</f>
        <v>0</v>
      </c>
      <c r="R97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97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97" s="913">
        <f>IFERROR(Indirectos[[#This Row],[Financiero $Corrientes]]/Indirectos[[#This Row],[Indexación Financiero]],0)</f>
        <v>0</v>
      </c>
      <c r="U97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97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97" s="890">
        <f>IFERROR(Indirectos[[#This Row],[Intereses $Corrientes]]/Indirectos[[#This Row],[Indexación Financiero]],0)</f>
        <v>0</v>
      </c>
      <c r="X97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97" s="915" t="str">
        <f>IFERROR(INDEX(Costos_Indirectos_Cuentas[],MATCH(Indirectos[[#This Row],[Cuenta Contable]],Costos_Indirectos_Cuentas[Cuenta Contable],0),2),0)</f>
        <v>Egreso</v>
      </c>
      <c r="Z97" s="887" t="str">
        <f>IFERROR(INDEX(Tabla9[],MATCH(Indirectos[[#This Row],[Movimiento]],Tabla9[Movimientos],0),2),0)</f>
        <v>Si</v>
      </c>
      <c r="AA97" s="918" t="str">
        <f>IFERROR(INDEX(Costos_Indirectos_Cuentas[],MATCH(Indirectos[[#This Row],[Cuenta Contable]],Costos_Indirectos_Cuentas[Cuenta Contable],0),3),0)</f>
        <v>No</v>
      </c>
      <c r="AB97" s="891" t="str">
        <f>IFERROR(INDEX(Tabla9[],MATCH(Indirectos[[#This Row],[Movimiento]],Tabla9[Movimientos],0),3),0)</f>
        <v>(-)</v>
      </c>
      <c r="AC97" s="884">
        <f>IF(Indirectos[[#This Row],[Fecha Económico]]=0,0,MONTH(Indirectos[[#This Row],[Fecha Económico]]))</f>
        <v>0</v>
      </c>
      <c r="AD97" s="890">
        <f>IF(Indirectos[[#This Row],[Fecha Económico]]=0,0,YEAR(Indirectos[[#This Row],[Fecha Económico]]))</f>
        <v>0</v>
      </c>
      <c r="AE97" s="891">
        <f>SUMPRODUCT((Indirectos[[#This Row],[Mes Económico]]=Tipo_Cambio[Mes])*(Indirectos[[#This Row],[Año Económico]]=Tipo_Cambio[Año])*(Tipo_Cambio[$/U$S]))</f>
        <v>0</v>
      </c>
      <c r="AF97" s="891">
        <f>SUMPRODUCT((Indirectos[[#This Row],[Mes Económico]]=Tipo_Cambio[Mes])*(Indirectos[[#This Row],[Año Económico]]=Tipo_Cambio[Año])*(Tipo_Cambio[Actualización]))</f>
        <v>0</v>
      </c>
      <c r="AG97" s="890">
        <f>IF(ISNUMBER(Indirectos[[#This Row],[Fecha Financiero]])=TRUE,MONTH(Indirectos[[#This Row],[Fecha Financiero]]),0)</f>
        <v>0</v>
      </c>
      <c r="AH97" s="890">
        <f>IF(ISNUMBER(Indirectos[[#This Row],[Fecha Financiero]])=TRUE,YEAR(Indirectos[[#This Row],[Fecha Financiero]]),0)</f>
        <v>0</v>
      </c>
      <c r="AI97" s="891">
        <f>SUMPRODUCT((Indirectos[[#This Row],[Mes Financiero]]=Tipo_Cambio[Mes])*(Indirectos[[#This Row],[Año Financiero]]=Tipo_Cambio[Año])*(Tipo_Cambio[$/U$S]))</f>
        <v>0</v>
      </c>
      <c r="AJ97" s="888">
        <f>SUMPRODUCT((Indirectos[[#This Row],[Mes Financiero]]=Tipo_Cambio[Mes])*(Indirectos[[#This Row],[Año Financiero]]=Tipo_Cambio[Año])*(Tipo_Cambio[Actualización]))</f>
        <v>0</v>
      </c>
      <c r="AK97" s="916">
        <f>IF(Económico!$F$4=0,0,Indirectos[Centro de Costo])</f>
        <v>0</v>
      </c>
    </row>
    <row r="98" spans="2:37" x14ac:dyDescent="0.25">
      <c r="D98" s="528"/>
      <c r="E98" s="493"/>
      <c r="F98" s="869" t="str">
        <f t="shared" si="7"/>
        <v>2018-2019</v>
      </c>
      <c r="G98" s="482" t="s">
        <v>289</v>
      </c>
      <c r="H98" s="481"/>
      <c r="I98" s="481" t="s">
        <v>230</v>
      </c>
      <c r="J98" s="481"/>
      <c r="K98" s="533"/>
      <c r="L98" s="484"/>
      <c r="M98" s="481"/>
      <c r="N98" s="523"/>
      <c r="O98" s="485"/>
      <c r="P98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98" s="913">
        <f>IFERROR(Indirectos[[#This Row],[Económico $Corrientes]]/Indirectos[[#This Row],[Indexación Económico]],0)</f>
        <v>0</v>
      </c>
      <c r="R98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98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98" s="913">
        <f>IFERROR(Indirectos[[#This Row],[Financiero $Corrientes]]/Indirectos[[#This Row],[Indexación Financiero]],0)</f>
        <v>0</v>
      </c>
      <c r="U98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98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98" s="890">
        <f>IFERROR(Indirectos[[#This Row],[Intereses $Corrientes]]/Indirectos[[#This Row],[Indexación Financiero]],0)</f>
        <v>0</v>
      </c>
      <c r="X98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98" s="915" t="str">
        <f>IFERROR(INDEX(Costos_Indirectos_Cuentas[],MATCH(Indirectos[[#This Row],[Cuenta Contable]],Costos_Indirectos_Cuentas[Cuenta Contable],0),2),0)</f>
        <v>Egreso</v>
      </c>
      <c r="Z98" s="887" t="str">
        <f>IFERROR(INDEX(Tabla9[],MATCH(Indirectos[[#This Row],[Movimiento]],Tabla9[Movimientos],0),2),0)</f>
        <v>Si</v>
      </c>
      <c r="AA98" s="918" t="str">
        <f>IFERROR(INDEX(Costos_Indirectos_Cuentas[],MATCH(Indirectos[[#This Row],[Cuenta Contable]],Costos_Indirectos_Cuentas[Cuenta Contable],0),3),0)</f>
        <v>No</v>
      </c>
      <c r="AB98" s="891" t="str">
        <f>IFERROR(INDEX(Tabla9[],MATCH(Indirectos[[#This Row],[Movimiento]],Tabla9[Movimientos],0),3),0)</f>
        <v>(-)</v>
      </c>
      <c r="AC98" s="884">
        <f>IF(Indirectos[[#This Row],[Fecha Económico]]=0,0,MONTH(Indirectos[[#This Row],[Fecha Económico]]))</f>
        <v>0</v>
      </c>
      <c r="AD98" s="890">
        <f>IF(Indirectos[[#This Row],[Fecha Económico]]=0,0,YEAR(Indirectos[[#This Row],[Fecha Económico]]))</f>
        <v>0</v>
      </c>
      <c r="AE98" s="891">
        <f>SUMPRODUCT((Indirectos[[#This Row],[Mes Económico]]=Tipo_Cambio[Mes])*(Indirectos[[#This Row],[Año Económico]]=Tipo_Cambio[Año])*(Tipo_Cambio[$/U$S]))</f>
        <v>0</v>
      </c>
      <c r="AF98" s="891">
        <f>SUMPRODUCT((Indirectos[[#This Row],[Mes Económico]]=Tipo_Cambio[Mes])*(Indirectos[[#This Row],[Año Económico]]=Tipo_Cambio[Año])*(Tipo_Cambio[Actualización]))</f>
        <v>0</v>
      </c>
      <c r="AG98" s="890">
        <f>IF(ISNUMBER(Indirectos[[#This Row],[Fecha Financiero]])=TRUE,MONTH(Indirectos[[#This Row],[Fecha Financiero]]),0)</f>
        <v>0</v>
      </c>
      <c r="AH98" s="890">
        <f>IF(ISNUMBER(Indirectos[[#This Row],[Fecha Financiero]])=TRUE,YEAR(Indirectos[[#This Row],[Fecha Financiero]]),0)</f>
        <v>0</v>
      </c>
      <c r="AI98" s="891">
        <f>SUMPRODUCT((Indirectos[[#This Row],[Mes Financiero]]=Tipo_Cambio[Mes])*(Indirectos[[#This Row],[Año Financiero]]=Tipo_Cambio[Año])*(Tipo_Cambio[$/U$S]))</f>
        <v>0</v>
      </c>
      <c r="AJ98" s="888">
        <f>SUMPRODUCT((Indirectos[[#This Row],[Mes Financiero]]=Tipo_Cambio[Mes])*(Indirectos[[#This Row],[Año Financiero]]=Tipo_Cambio[Año])*(Tipo_Cambio[Actualización]))</f>
        <v>0</v>
      </c>
      <c r="AK98" s="916">
        <f>IF(Económico!$F$4=0,0,Indirectos[Centro de Costo])</f>
        <v>0</v>
      </c>
    </row>
    <row r="99" spans="2:37" x14ac:dyDescent="0.25">
      <c r="D99" s="528"/>
      <c r="E99" s="493"/>
      <c r="F99" s="869" t="str">
        <f t="shared" si="7"/>
        <v>2018-2019</v>
      </c>
      <c r="G99" s="482" t="s">
        <v>289</v>
      </c>
      <c r="H99" s="481"/>
      <c r="I99" s="481" t="s">
        <v>230</v>
      </c>
      <c r="J99" s="481"/>
      <c r="K99" s="533"/>
      <c r="L99" s="484"/>
      <c r="M99" s="481"/>
      <c r="N99" s="523"/>
      <c r="O99" s="485"/>
      <c r="P99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99" s="913">
        <f>IFERROR(Indirectos[[#This Row],[Económico $Corrientes]]/Indirectos[[#This Row],[Indexación Económico]],0)</f>
        <v>0</v>
      </c>
      <c r="R99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99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99" s="913">
        <f>IFERROR(Indirectos[[#This Row],[Financiero $Corrientes]]/Indirectos[[#This Row],[Indexación Financiero]],0)</f>
        <v>0</v>
      </c>
      <c r="U99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99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99" s="890">
        <f>IFERROR(Indirectos[[#This Row],[Intereses $Corrientes]]/Indirectos[[#This Row],[Indexación Financiero]],0)</f>
        <v>0</v>
      </c>
      <c r="X99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99" s="915" t="str">
        <f>IFERROR(INDEX(Costos_Indirectos_Cuentas[],MATCH(Indirectos[[#This Row],[Cuenta Contable]],Costos_Indirectos_Cuentas[Cuenta Contable],0),2),0)</f>
        <v>Egreso</v>
      </c>
      <c r="Z99" s="887" t="str">
        <f>IFERROR(INDEX(Tabla9[],MATCH(Indirectos[[#This Row],[Movimiento]],Tabla9[Movimientos],0),2),0)</f>
        <v>Si</v>
      </c>
      <c r="AA99" s="918" t="str">
        <f>IFERROR(INDEX(Costos_Indirectos_Cuentas[],MATCH(Indirectos[[#This Row],[Cuenta Contable]],Costos_Indirectos_Cuentas[Cuenta Contable],0),3),0)</f>
        <v>No</v>
      </c>
      <c r="AB99" s="891" t="str">
        <f>IFERROR(INDEX(Tabla9[],MATCH(Indirectos[[#This Row],[Movimiento]],Tabla9[Movimientos],0),3),0)</f>
        <v>(-)</v>
      </c>
      <c r="AC99" s="884">
        <f>IF(Indirectos[[#This Row],[Fecha Económico]]=0,0,MONTH(Indirectos[[#This Row],[Fecha Económico]]))</f>
        <v>0</v>
      </c>
      <c r="AD99" s="890">
        <f>IF(Indirectos[[#This Row],[Fecha Económico]]=0,0,YEAR(Indirectos[[#This Row],[Fecha Económico]]))</f>
        <v>0</v>
      </c>
      <c r="AE99" s="891">
        <f>SUMPRODUCT((Indirectos[[#This Row],[Mes Económico]]=Tipo_Cambio[Mes])*(Indirectos[[#This Row],[Año Económico]]=Tipo_Cambio[Año])*(Tipo_Cambio[$/U$S]))</f>
        <v>0</v>
      </c>
      <c r="AF99" s="891">
        <f>SUMPRODUCT((Indirectos[[#This Row],[Mes Económico]]=Tipo_Cambio[Mes])*(Indirectos[[#This Row],[Año Económico]]=Tipo_Cambio[Año])*(Tipo_Cambio[Actualización]))</f>
        <v>0</v>
      </c>
      <c r="AG99" s="890">
        <f>IF(ISNUMBER(Indirectos[[#This Row],[Fecha Financiero]])=TRUE,MONTH(Indirectos[[#This Row],[Fecha Financiero]]),0)</f>
        <v>0</v>
      </c>
      <c r="AH99" s="890">
        <f>IF(ISNUMBER(Indirectos[[#This Row],[Fecha Financiero]])=TRUE,YEAR(Indirectos[[#This Row],[Fecha Financiero]]),0)</f>
        <v>0</v>
      </c>
      <c r="AI99" s="891">
        <f>SUMPRODUCT((Indirectos[[#This Row],[Mes Financiero]]=Tipo_Cambio[Mes])*(Indirectos[[#This Row],[Año Financiero]]=Tipo_Cambio[Año])*(Tipo_Cambio[$/U$S]))</f>
        <v>0</v>
      </c>
      <c r="AJ99" s="888">
        <f>SUMPRODUCT((Indirectos[[#This Row],[Mes Financiero]]=Tipo_Cambio[Mes])*(Indirectos[[#This Row],[Año Financiero]]=Tipo_Cambio[Año])*(Tipo_Cambio[Actualización]))</f>
        <v>0</v>
      </c>
      <c r="AK99" s="916">
        <f>IF(Económico!$F$4=0,0,Indirectos[Centro de Costo])</f>
        <v>0</v>
      </c>
    </row>
    <row r="100" spans="2:37" x14ac:dyDescent="0.25">
      <c r="D100" s="528"/>
      <c r="E100" s="493"/>
      <c r="F100" s="869" t="str">
        <f t="shared" si="7"/>
        <v>2018-2019</v>
      </c>
      <c r="G100" s="482"/>
      <c r="H100" s="481"/>
      <c r="I100" s="481" t="s">
        <v>230</v>
      </c>
      <c r="J100" s="481"/>
      <c r="K100" s="533"/>
      <c r="L100" s="484"/>
      <c r="M100" s="481"/>
      <c r="N100" s="523"/>
      <c r="O100" s="485"/>
      <c r="P100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00" s="913">
        <f>IFERROR(Indirectos[[#This Row],[Económico $Corrientes]]/Indirectos[[#This Row],[Indexación Económico]],0)</f>
        <v>0</v>
      </c>
      <c r="R100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00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00" s="913">
        <f>IFERROR(Indirectos[[#This Row],[Financiero $Corrientes]]/Indirectos[[#This Row],[Indexación Financiero]],0)</f>
        <v>0</v>
      </c>
      <c r="U100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00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00" s="890">
        <f>IFERROR(Indirectos[[#This Row],[Intereses $Corrientes]]/Indirectos[[#This Row],[Indexación Financiero]],0)</f>
        <v>0</v>
      </c>
      <c r="X100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00" s="915">
        <f>IFERROR(INDEX(Costos_Indirectos_Cuentas[],MATCH(Indirectos[[#This Row],[Cuenta Contable]],Costos_Indirectos_Cuentas[Cuenta Contable],0),2),0)</f>
        <v>0</v>
      </c>
      <c r="Z100" s="887">
        <f>IFERROR(INDEX(Tabla9[],MATCH(Indirectos[[#This Row],[Movimiento]],Tabla9[Movimientos],0),2),0)</f>
        <v>0</v>
      </c>
      <c r="AA100" s="918">
        <f>IFERROR(INDEX(Costos_Indirectos_Cuentas[],MATCH(Indirectos[[#This Row],[Cuenta Contable]],Costos_Indirectos_Cuentas[Cuenta Contable],0),3),0)</f>
        <v>0</v>
      </c>
      <c r="AB100" s="891">
        <f>IFERROR(INDEX(Tabla9[],MATCH(Indirectos[[#This Row],[Movimiento]],Tabla9[Movimientos],0),3),0)</f>
        <v>0</v>
      </c>
      <c r="AC100" s="884">
        <f>IF(Indirectos[[#This Row],[Fecha Económico]]=0,0,MONTH(Indirectos[[#This Row],[Fecha Económico]]))</f>
        <v>0</v>
      </c>
      <c r="AD100" s="890">
        <f>IF(Indirectos[[#This Row],[Fecha Económico]]=0,0,YEAR(Indirectos[[#This Row],[Fecha Económico]]))</f>
        <v>0</v>
      </c>
      <c r="AE100" s="891">
        <f>SUMPRODUCT((Indirectos[[#This Row],[Mes Económico]]=Tipo_Cambio[Mes])*(Indirectos[[#This Row],[Año Económico]]=Tipo_Cambio[Año])*(Tipo_Cambio[$/U$S]))</f>
        <v>0</v>
      </c>
      <c r="AF100" s="891">
        <f>SUMPRODUCT((Indirectos[[#This Row],[Mes Económico]]=Tipo_Cambio[Mes])*(Indirectos[[#This Row],[Año Económico]]=Tipo_Cambio[Año])*(Tipo_Cambio[Actualización]))</f>
        <v>0</v>
      </c>
      <c r="AG100" s="890">
        <f>IF(ISNUMBER(Indirectos[[#This Row],[Fecha Financiero]])=TRUE,MONTH(Indirectos[[#This Row],[Fecha Financiero]]),0)</f>
        <v>0</v>
      </c>
      <c r="AH100" s="890">
        <f>IF(ISNUMBER(Indirectos[[#This Row],[Fecha Financiero]])=TRUE,YEAR(Indirectos[[#This Row],[Fecha Financiero]]),0)</f>
        <v>0</v>
      </c>
      <c r="AI100" s="891">
        <f>SUMPRODUCT((Indirectos[[#This Row],[Mes Financiero]]=Tipo_Cambio[Mes])*(Indirectos[[#This Row],[Año Financiero]]=Tipo_Cambio[Año])*(Tipo_Cambio[$/U$S]))</f>
        <v>0</v>
      </c>
      <c r="AJ100" s="888">
        <f>SUMPRODUCT((Indirectos[[#This Row],[Mes Financiero]]=Tipo_Cambio[Mes])*(Indirectos[[#This Row],[Año Financiero]]=Tipo_Cambio[Año])*(Tipo_Cambio[Actualización]))</f>
        <v>0</v>
      </c>
      <c r="AK100" s="916">
        <f>IF(Económico!$F$4=0,0,Indirectos[Centro de Costo])</f>
        <v>0</v>
      </c>
    </row>
    <row r="101" spans="2:37" x14ac:dyDescent="0.25">
      <c r="D101" s="528"/>
      <c r="E101" s="493"/>
      <c r="F101" s="869" t="str">
        <f t="shared" ref="F101:F125" si="8">Campaña_Actual</f>
        <v>2018-2019</v>
      </c>
      <c r="G101" s="482"/>
      <c r="H101" s="481"/>
      <c r="I101" s="481" t="s">
        <v>230</v>
      </c>
      <c r="J101" s="481"/>
      <c r="K101" s="533"/>
      <c r="L101" s="484"/>
      <c r="M101" s="481"/>
      <c r="N101" s="523"/>
      <c r="O101" s="485"/>
      <c r="P101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01" s="913">
        <f>IFERROR(Indirectos[[#This Row],[Económico $Corrientes]]/Indirectos[[#This Row],[Indexación Económico]],0)</f>
        <v>0</v>
      </c>
      <c r="R101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01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01" s="913">
        <f>IFERROR(Indirectos[[#This Row],[Financiero $Corrientes]]/Indirectos[[#This Row],[Indexación Financiero]],0)</f>
        <v>0</v>
      </c>
      <c r="U101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01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01" s="890">
        <f>IFERROR(Indirectos[[#This Row],[Intereses $Corrientes]]/Indirectos[[#This Row],[Indexación Financiero]],0)</f>
        <v>0</v>
      </c>
      <c r="X101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01" s="915">
        <f>IFERROR(INDEX(Costos_Indirectos_Cuentas[],MATCH(Indirectos[[#This Row],[Cuenta Contable]],Costos_Indirectos_Cuentas[Cuenta Contable],0),2),0)</f>
        <v>0</v>
      </c>
      <c r="Z101" s="887">
        <f>IFERROR(INDEX(Tabla9[],MATCH(Indirectos[[#This Row],[Movimiento]],Tabla9[Movimientos],0),2),0)</f>
        <v>0</v>
      </c>
      <c r="AA101" s="918">
        <f>IFERROR(INDEX(Costos_Indirectos_Cuentas[],MATCH(Indirectos[[#This Row],[Cuenta Contable]],Costos_Indirectos_Cuentas[Cuenta Contable],0),3),0)</f>
        <v>0</v>
      </c>
      <c r="AB101" s="891">
        <f>IFERROR(INDEX(Tabla9[],MATCH(Indirectos[[#This Row],[Movimiento]],Tabla9[Movimientos],0),3),0)</f>
        <v>0</v>
      </c>
      <c r="AC101" s="884">
        <f>IF(Indirectos[[#This Row],[Fecha Económico]]=0,0,MONTH(Indirectos[[#This Row],[Fecha Económico]]))</f>
        <v>0</v>
      </c>
      <c r="AD101" s="890">
        <f>IF(Indirectos[[#This Row],[Fecha Económico]]=0,0,YEAR(Indirectos[[#This Row],[Fecha Económico]]))</f>
        <v>0</v>
      </c>
      <c r="AE101" s="891">
        <f>SUMPRODUCT((Indirectos[[#This Row],[Mes Económico]]=Tipo_Cambio[Mes])*(Indirectos[[#This Row],[Año Económico]]=Tipo_Cambio[Año])*(Tipo_Cambio[$/U$S]))</f>
        <v>0</v>
      </c>
      <c r="AF101" s="891">
        <f>SUMPRODUCT((Indirectos[[#This Row],[Mes Económico]]=Tipo_Cambio[Mes])*(Indirectos[[#This Row],[Año Económico]]=Tipo_Cambio[Año])*(Tipo_Cambio[Actualización]))</f>
        <v>0</v>
      </c>
      <c r="AG101" s="890">
        <f>IF(ISNUMBER(Indirectos[[#This Row],[Fecha Financiero]])=TRUE,MONTH(Indirectos[[#This Row],[Fecha Financiero]]),0)</f>
        <v>0</v>
      </c>
      <c r="AH101" s="890">
        <f>IF(ISNUMBER(Indirectos[[#This Row],[Fecha Financiero]])=TRUE,YEAR(Indirectos[[#This Row],[Fecha Financiero]]),0)</f>
        <v>0</v>
      </c>
      <c r="AI101" s="891">
        <f>SUMPRODUCT((Indirectos[[#This Row],[Mes Financiero]]=Tipo_Cambio[Mes])*(Indirectos[[#This Row],[Año Financiero]]=Tipo_Cambio[Año])*(Tipo_Cambio[$/U$S]))</f>
        <v>0</v>
      </c>
      <c r="AJ101" s="888">
        <f>SUMPRODUCT((Indirectos[[#This Row],[Mes Financiero]]=Tipo_Cambio[Mes])*(Indirectos[[#This Row],[Año Financiero]]=Tipo_Cambio[Año])*(Tipo_Cambio[Actualización]))</f>
        <v>0</v>
      </c>
      <c r="AK101" s="916">
        <f>IF(Económico!$F$4=0,0,Indirectos[Centro de Costo])</f>
        <v>0</v>
      </c>
    </row>
    <row r="102" spans="2:37" x14ac:dyDescent="0.25">
      <c r="D102" s="528"/>
      <c r="E102" s="493"/>
      <c r="F102" s="869" t="str">
        <f t="shared" si="8"/>
        <v>2018-2019</v>
      </c>
      <c r="G102" s="482"/>
      <c r="H102" s="481"/>
      <c r="I102" s="481" t="s">
        <v>230</v>
      </c>
      <c r="J102" s="481"/>
      <c r="K102" s="533"/>
      <c r="L102" s="484"/>
      <c r="M102" s="481"/>
      <c r="N102" s="523"/>
      <c r="O102" s="485"/>
      <c r="P102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02" s="913">
        <f>IFERROR(Indirectos[[#This Row],[Económico $Corrientes]]/Indirectos[[#This Row],[Indexación Económico]],0)</f>
        <v>0</v>
      </c>
      <c r="R102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02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02" s="913">
        <f>IFERROR(Indirectos[[#This Row],[Financiero $Corrientes]]/Indirectos[[#This Row],[Indexación Financiero]],0)</f>
        <v>0</v>
      </c>
      <c r="U102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02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02" s="890">
        <f>IFERROR(Indirectos[[#This Row],[Intereses $Corrientes]]/Indirectos[[#This Row],[Indexación Financiero]],0)</f>
        <v>0</v>
      </c>
      <c r="X102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02" s="915">
        <f>IFERROR(INDEX(Costos_Indirectos_Cuentas[],MATCH(Indirectos[[#This Row],[Cuenta Contable]],Costos_Indirectos_Cuentas[Cuenta Contable],0),2),0)</f>
        <v>0</v>
      </c>
      <c r="Z102" s="887">
        <f>IFERROR(INDEX(Tabla9[],MATCH(Indirectos[[#This Row],[Movimiento]],Tabla9[Movimientos],0),2),0)</f>
        <v>0</v>
      </c>
      <c r="AA102" s="918">
        <f>IFERROR(INDEX(Costos_Indirectos_Cuentas[],MATCH(Indirectos[[#This Row],[Cuenta Contable]],Costos_Indirectos_Cuentas[Cuenta Contable],0),3),0)</f>
        <v>0</v>
      </c>
      <c r="AB102" s="891">
        <f>IFERROR(INDEX(Tabla9[],MATCH(Indirectos[[#This Row],[Movimiento]],Tabla9[Movimientos],0),3),0)</f>
        <v>0</v>
      </c>
      <c r="AC102" s="884">
        <f>IF(Indirectos[[#This Row],[Fecha Económico]]=0,0,MONTH(Indirectos[[#This Row],[Fecha Económico]]))</f>
        <v>0</v>
      </c>
      <c r="AD102" s="890">
        <f>IF(Indirectos[[#This Row],[Fecha Económico]]=0,0,YEAR(Indirectos[[#This Row],[Fecha Económico]]))</f>
        <v>0</v>
      </c>
      <c r="AE102" s="891">
        <f>SUMPRODUCT((Indirectos[[#This Row],[Mes Económico]]=Tipo_Cambio[Mes])*(Indirectos[[#This Row],[Año Económico]]=Tipo_Cambio[Año])*(Tipo_Cambio[$/U$S]))</f>
        <v>0</v>
      </c>
      <c r="AF102" s="891">
        <f>SUMPRODUCT((Indirectos[[#This Row],[Mes Económico]]=Tipo_Cambio[Mes])*(Indirectos[[#This Row],[Año Económico]]=Tipo_Cambio[Año])*(Tipo_Cambio[Actualización]))</f>
        <v>0</v>
      </c>
      <c r="AG102" s="890">
        <f>IF(ISNUMBER(Indirectos[[#This Row],[Fecha Financiero]])=TRUE,MONTH(Indirectos[[#This Row],[Fecha Financiero]]),0)</f>
        <v>0</v>
      </c>
      <c r="AH102" s="890">
        <f>IF(ISNUMBER(Indirectos[[#This Row],[Fecha Financiero]])=TRUE,YEAR(Indirectos[[#This Row],[Fecha Financiero]]),0)</f>
        <v>0</v>
      </c>
      <c r="AI102" s="891">
        <f>SUMPRODUCT((Indirectos[[#This Row],[Mes Financiero]]=Tipo_Cambio[Mes])*(Indirectos[[#This Row],[Año Financiero]]=Tipo_Cambio[Año])*(Tipo_Cambio[$/U$S]))</f>
        <v>0</v>
      </c>
      <c r="AJ102" s="888">
        <f>SUMPRODUCT((Indirectos[[#This Row],[Mes Financiero]]=Tipo_Cambio[Mes])*(Indirectos[[#This Row],[Año Financiero]]=Tipo_Cambio[Año])*(Tipo_Cambio[Actualización]))</f>
        <v>0</v>
      </c>
      <c r="AK102" s="916">
        <f>IF(Económico!$F$4=0,0,Indirectos[Centro de Costo])</f>
        <v>0</v>
      </c>
    </row>
    <row r="103" spans="2:37" x14ac:dyDescent="0.25">
      <c r="D103" s="528"/>
      <c r="E103" s="493"/>
      <c r="F103" s="869" t="str">
        <f t="shared" si="8"/>
        <v>2018-2019</v>
      </c>
      <c r="G103" s="482"/>
      <c r="H103" s="481"/>
      <c r="I103" s="481" t="s">
        <v>230</v>
      </c>
      <c r="J103" s="481"/>
      <c r="K103" s="533"/>
      <c r="L103" s="484"/>
      <c r="M103" s="481"/>
      <c r="N103" s="523"/>
      <c r="O103" s="485"/>
      <c r="P103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03" s="913">
        <f>IFERROR(Indirectos[[#This Row],[Económico $Corrientes]]/Indirectos[[#This Row],[Indexación Económico]],0)</f>
        <v>0</v>
      </c>
      <c r="R103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03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03" s="913">
        <f>IFERROR(Indirectos[[#This Row],[Financiero $Corrientes]]/Indirectos[[#This Row],[Indexación Financiero]],0)</f>
        <v>0</v>
      </c>
      <c r="U103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03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03" s="890">
        <f>IFERROR(Indirectos[[#This Row],[Intereses $Corrientes]]/Indirectos[[#This Row],[Indexación Financiero]],0)</f>
        <v>0</v>
      </c>
      <c r="X103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03" s="915">
        <f>IFERROR(INDEX(Costos_Indirectos_Cuentas[],MATCH(Indirectos[[#This Row],[Cuenta Contable]],Costos_Indirectos_Cuentas[Cuenta Contable],0),2),0)</f>
        <v>0</v>
      </c>
      <c r="Z103" s="887">
        <f>IFERROR(INDEX(Tabla9[],MATCH(Indirectos[[#This Row],[Movimiento]],Tabla9[Movimientos],0),2),0)</f>
        <v>0</v>
      </c>
      <c r="AA103" s="918">
        <f>IFERROR(INDEX(Costos_Indirectos_Cuentas[],MATCH(Indirectos[[#This Row],[Cuenta Contable]],Costos_Indirectos_Cuentas[Cuenta Contable],0),3),0)</f>
        <v>0</v>
      </c>
      <c r="AB103" s="891">
        <f>IFERROR(INDEX(Tabla9[],MATCH(Indirectos[[#This Row],[Movimiento]],Tabla9[Movimientos],0),3),0)</f>
        <v>0</v>
      </c>
      <c r="AC103" s="884">
        <f>IF(Indirectos[[#This Row],[Fecha Económico]]=0,0,MONTH(Indirectos[[#This Row],[Fecha Económico]]))</f>
        <v>0</v>
      </c>
      <c r="AD103" s="890">
        <f>IF(Indirectos[[#This Row],[Fecha Económico]]=0,0,YEAR(Indirectos[[#This Row],[Fecha Económico]]))</f>
        <v>0</v>
      </c>
      <c r="AE103" s="891">
        <f>SUMPRODUCT((Indirectos[[#This Row],[Mes Económico]]=Tipo_Cambio[Mes])*(Indirectos[[#This Row],[Año Económico]]=Tipo_Cambio[Año])*(Tipo_Cambio[$/U$S]))</f>
        <v>0</v>
      </c>
      <c r="AF103" s="891">
        <f>SUMPRODUCT((Indirectos[[#This Row],[Mes Económico]]=Tipo_Cambio[Mes])*(Indirectos[[#This Row],[Año Económico]]=Tipo_Cambio[Año])*(Tipo_Cambio[Actualización]))</f>
        <v>0</v>
      </c>
      <c r="AG103" s="890">
        <f>IF(ISNUMBER(Indirectos[[#This Row],[Fecha Financiero]])=TRUE,MONTH(Indirectos[[#This Row],[Fecha Financiero]]),0)</f>
        <v>0</v>
      </c>
      <c r="AH103" s="890">
        <f>IF(ISNUMBER(Indirectos[[#This Row],[Fecha Financiero]])=TRUE,YEAR(Indirectos[[#This Row],[Fecha Financiero]]),0)</f>
        <v>0</v>
      </c>
      <c r="AI103" s="891">
        <f>SUMPRODUCT((Indirectos[[#This Row],[Mes Financiero]]=Tipo_Cambio[Mes])*(Indirectos[[#This Row],[Año Financiero]]=Tipo_Cambio[Año])*(Tipo_Cambio[$/U$S]))</f>
        <v>0</v>
      </c>
      <c r="AJ103" s="888">
        <f>SUMPRODUCT((Indirectos[[#This Row],[Mes Financiero]]=Tipo_Cambio[Mes])*(Indirectos[[#This Row],[Año Financiero]]=Tipo_Cambio[Año])*(Tipo_Cambio[Actualización]))</f>
        <v>0</v>
      </c>
      <c r="AK103" s="916">
        <f>IF(Económico!$F$4=0,0,Indirectos[Centro de Costo])</f>
        <v>0</v>
      </c>
    </row>
    <row r="104" spans="2:37" x14ac:dyDescent="0.25">
      <c r="D104" s="528"/>
      <c r="E104" s="493"/>
      <c r="F104" s="869" t="str">
        <f t="shared" si="8"/>
        <v>2018-2019</v>
      </c>
      <c r="G104" s="482"/>
      <c r="H104" s="481"/>
      <c r="I104" s="481" t="s">
        <v>230</v>
      </c>
      <c r="J104" s="481"/>
      <c r="K104" s="533"/>
      <c r="L104" s="484"/>
      <c r="M104" s="481"/>
      <c r="N104" s="523"/>
      <c r="O104" s="485"/>
      <c r="P104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04" s="913">
        <f>IFERROR(Indirectos[[#This Row],[Económico $Corrientes]]/Indirectos[[#This Row],[Indexación Económico]],0)</f>
        <v>0</v>
      </c>
      <c r="R104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04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04" s="913">
        <f>IFERROR(Indirectos[[#This Row],[Financiero $Corrientes]]/Indirectos[[#This Row],[Indexación Financiero]],0)</f>
        <v>0</v>
      </c>
      <c r="U104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04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04" s="890">
        <f>IFERROR(Indirectos[[#This Row],[Intereses $Corrientes]]/Indirectos[[#This Row],[Indexación Financiero]],0)</f>
        <v>0</v>
      </c>
      <c r="X104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04" s="915">
        <f>IFERROR(INDEX(Costos_Indirectos_Cuentas[],MATCH(Indirectos[[#This Row],[Cuenta Contable]],Costos_Indirectos_Cuentas[Cuenta Contable],0),2),0)</f>
        <v>0</v>
      </c>
      <c r="Z104" s="887">
        <f>IFERROR(INDEX(Tabla9[],MATCH(Indirectos[[#This Row],[Movimiento]],Tabla9[Movimientos],0),2),0)</f>
        <v>0</v>
      </c>
      <c r="AA104" s="918">
        <f>IFERROR(INDEX(Costos_Indirectos_Cuentas[],MATCH(Indirectos[[#This Row],[Cuenta Contable]],Costos_Indirectos_Cuentas[Cuenta Contable],0),3),0)</f>
        <v>0</v>
      </c>
      <c r="AB104" s="891">
        <f>IFERROR(INDEX(Tabla9[],MATCH(Indirectos[[#This Row],[Movimiento]],Tabla9[Movimientos],0),3),0)</f>
        <v>0</v>
      </c>
      <c r="AC104" s="884">
        <f>IF(Indirectos[[#This Row],[Fecha Económico]]=0,0,MONTH(Indirectos[[#This Row],[Fecha Económico]]))</f>
        <v>0</v>
      </c>
      <c r="AD104" s="890">
        <f>IF(Indirectos[[#This Row],[Fecha Económico]]=0,0,YEAR(Indirectos[[#This Row],[Fecha Económico]]))</f>
        <v>0</v>
      </c>
      <c r="AE104" s="891">
        <f>SUMPRODUCT((Indirectos[[#This Row],[Mes Económico]]=Tipo_Cambio[Mes])*(Indirectos[[#This Row],[Año Económico]]=Tipo_Cambio[Año])*(Tipo_Cambio[$/U$S]))</f>
        <v>0</v>
      </c>
      <c r="AF104" s="891">
        <f>SUMPRODUCT((Indirectos[[#This Row],[Mes Económico]]=Tipo_Cambio[Mes])*(Indirectos[[#This Row],[Año Económico]]=Tipo_Cambio[Año])*(Tipo_Cambio[Actualización]))</f>
        <v>0</v>
      </c>
      <c r="AG104" s="890">
        <f>IF(ISNUMBER(Indirectos[[#This Row],[Fecha Financiero]])=TRUE,MONTH(Indirectos[[#This Row],[Fecha Financiero]]),0)</f>
        <v>0</v>
      </c>
      <c r="AH104" s="890">
        <f>IF(ISNUMBER(Indirectos[[#This Row],[Fecha Financiero]])=TRUE,YEAR(Indirectos[[#This Row],[Fecha Financiero]]),0)</f>
        <v>0</v>
      </c>
      <c r="AI104" s="891">
        <f>SUMPRODUCT((Indirectos[[#This Row],[Mes Financiero]]=Tipo_Cambio[Mes])*(Indirectos[[#This Row],[Año Financiero]]=Tipo_Cambio[Año])*(Tipo_Cambio[$/U$S]))</f>
        <v>0</v>
      </c>
      <c r="AJ104" s="888">
        <f>SUMPRODUCT((Indirectos[[#This Row],[Mes Financiero]]=Tipo_Cambio[Mes])*(Indirectos[[#This Row],[Año Financiero]]=Tipo_Cambio[Año])*(Tipo_Cambio[Actualización]))</f>
        <v>0</v>
      </c>
      <c r="AK104" s="916">
        <f>IF(Económico!$F$4=0,0,Indirectos[Centro de Costo])</f>
        <v>0</v>
      </c>
    </row>
    <row r="105" spans="2:37" x14ac:dyDescent="0.25">
      <c r="D105" s="528"/>
      <c r="E105" s="493"/>
      <c r="F105" s="869" t="str">
        <f t="shared" si="8"/>
        <v>2018-2019</v>
      </c>
      <c r="G105" s="482"/>
      <c r="H105" s="481"/>
      <c r="I105" s="481" t="s">
        <v>230</v>
      </c>
      <c r="J105" s="481"/>
      <c r="K105" s="533"/>
      <c r="L105" s="484"/>
      <c r="M105" s="481"/>
      <c r="N105" s="523"/>
      <c r="O105" s="485"/>
      <c r="P105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05" s="913">
        <f>IFERROR(Indirectos[[#This Row],[Económico $Corrientes]]/Indirectos[[#This Row],[Indexación Económico]],0)</f>
        <v>0</v>
      </c>
      <c r="R105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05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05" s="913">
        <f>IFERROR(Indirectos[[#This Row],[Financiero $Corrientes]]/Indirectos[[#This Row],[Indexación Financiero]],0)</f>
        <v>0</v>
      </c>
      <c r="U105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05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05" s="890">
        <f>IFERROR(Indirectos[[#This Row],[Intereses $Corrientes]]/Indirectos[[#This Row],[Indexación Financiero]],0)</f>
        <v>0</v>
      </c>
      <c r="X105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05" s="915">
        <f>IFERROR(INDEX(Costos_Indirectos_Cuentas[],MATCH(Indirectos[[#This Row],[Cuenta Contable]],Costos_Indirectos_Cuentas[Cuenta Contable],0),2),0)</f>
        <v>0</v>
      </c>
      <c r="Z105" s="887">
        <f>IFERROR(INDEX(Tabla9[],MATCH(Indirectos[[#This Row],[Movimiento]],Tabla9[Movimientos],0),2),0)</f>
        <v>0</v>
      </c>
      <c r="AA105" s="918">
        <f>IFERROR(INDEX(Costos_Indirectos_Cuentas[],MATCH(Indirectos[[#This Row],[Cuenta Contable]],Costos_Indirectos_Cuentas[Cuenta Contable],0),3),0)</f>
        <v>0</v>
      </c>
      <c r="AB105" s="891">
        <f>IFERROR(INDEX(Tabla9[],MATCH(Indirectos[[#This Row],[Movimiento]],Tabla9[Movimientos],0),3),0)</f>
        <v>0</v>
      </c>
      <c r="AC105" s="884">
        <f>IF(Indirectos[[#This Row],[Fecha Económico]]=0,0,MONTH(Indirectos[[#This Row],[Fecha Económico]]))</f>
        <v>0</v>
      </c>
      <c r="AD105" s="890">
        <f>IF(Indirectos[[#This Row],[Fecha Económico]]=0,0,YEAR(Indirectos[[#This Row],[Fecha Económico]]))</f>
        <v>0</v>
      </c>
      <c r="AE105" s="891">
        <f>SUMPRODUCT((Indirectos[[#This Row],[Mes Económico]]=Tipo_Cambio[Mes])*(Indirectos[[#This Row],[Año Económico]]=Tipo_Cambio[Año])*(Tipo_Cambio[$/U$S]))</f>
        <v>0</v>
      </c>
      <c r="AF105" s="891">
        <f>SUMPRODUCT((Indirectos[[#This Row],[Mes Económico]]=Tipo_Cambio[Mes])*(Indirectos[[#This Row],[Año Económico]]=Tipo_Cambio[Año])*(Tipo_Cambio[Actualización]))</f>
        <v>0</v>
      </c>
      <c r="AG105" s="890">
        <f>IF(ISNUMBER(Indirectos[[#This Row],[Fecha Financiero]])=TRUE,MONTH(Indirectos[[#This Row],[Fecha Financiero]]),0)</f>
        <v>0</v>
      </c>
      <c r="AH105" s="890">
        <f>IF(ISNUMBER(Indirectos[[#This Row],[Fecha Financiero]])=TRUE,YEAR(Indirectos[[#This Row],[Fecha Financiero]]),0)</f>
        <v>0</v>
      </c>
      <c r="AI105" s="891">
        <f>SUMPRODUCT((Indirectos[[#This Row],[Mes Financiero]]=Tipo_Cambio[Mes])*(Indirectos[[#This Row],[Año Financiero]]=Tipo_Cambio[Año])*(Tipo_Cambio[$/U$S]))</f>
        <v>0</v>
      </c>
      <c r="AJ105" s="888">
        <f>SUMPRODUCT((Indirectos[[#This Row],[Mes Financiero]]=Tipo_Cambio[Mes])*(Indirectos[[#This Row],[Año Financiero]]=Tipo_Cambio[Año])*(Tipo_Cambio[Actualización]))</f>
        <v>0</v>
      </c>
      <c r="AK105" s="916">
        <f>IF(Económico!$F$4=0,0,Indirectos[Centro de Costo])</f>
        <v>0</v>
      </c>
    </row>
    <row r="106" spans="2:37" x14ac:dyDescent="0.25">
      <c r="D106" s="528"/>
      <c r="E106" s="493"/>
      <c r="F106" s="869" t="str">
        <f t="shared" si="8"/>
        <v>2018-2019</v>
      </c>
      <c r="G106" s="482"/>
      <c r="H106" s="481"/>
      <c r="I106" s="481" t="s">
        <v>230</v>
      </c>
      <c r="J106" s="481"/>
      <c r="K106" s="533"/>
      <c r="L106" s="484"/>
      <c r="M106" s="481"/>
      <c r="N106" s="523"/>
      <c r="O106" s="485"/>
      <c r="P106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06" s="913">
        <f>IFERROR(Indirectos[[#This Row],[Económico $Corrientes]]/Indirectos[[#This Row],[Indexación Económico]],0)</f>
        <v>0</v>
      </c>
      <c r="R106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06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06" s="913">
        <f>IFERROR(Indirectos[[#This Row],[Financiero $Corrientes]]/Indirectos[[#This Row],[Indexación Financiero]],0)</f>
        <v>0</v>
      </c>
      <c r="U106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06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06" s="890">
        <f>IFERROR(Indirectos[[#This Row],[Intereses $Corrientes]]/Indirectos[[#This Row],[Indexación Financiero]],0)</f>
        <v>0</v>
      </c>
      <c r="X106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06" s="915">
        <f>IFERROR(INDEX(Costos_Indirectos_Cuentas[],MATCH(Indirectos[[#This Row],[Cuenta Contable]],Costos_Indirectos_Cuentas[Cuenta Contable],0),2),0)</f>
        <v>0</v>
      </c>
      <c r="Z106" s="887">
        <f>IFERROR(INDEX(Tabla9[],MATCH(Indirectos[[#This Row],[Movimiento]],Tabla9[Movimientos],0),2),0)</f>
        <v>0</v>
      </c>
      <c r="AA106" s="918">
        <f>IFERROR(INDEX(Costos_Indirectos_Cuentas[],MATCH(Indirectos[[#This Row],[Cuenta Contable]],Costos_Indirectos_Cuentas[Cuenta Contable],0),3),0)</f>
        <v>0</v>
      </c>
      <c r="AB106" s="891">
        <f>IFERROR(INDEX(Tabla9[],MATCH(Indirectos[[#This Row],[Movimiento]],Tabla9[Movimientos],0),3),0)</f>
        <v>0</v>
      </c>
      <c r="AC106" s="884">
        <f>IF(Indirectos[[#This Row],[Fecha Económico]]=0,0,MONTH(Indirectos[[#This Row],[Fecha Económico]]))</f>
        <v>0</v>
      </c>
      <c r="AD106" s="890">
        <f>IF(Indirectos[[#This Row],[Fecha Económico]]=0,0,YEAR(Indirectos[[#This Row],[Fecha Económico]]))</f>
        <v>0</v>
      </c>
      <c r="AE106" s="891">
        <f>SUMPRODUCT((Indirectos[[#This Row],[Mes Económico]]=Tipo_Cambio[Mes])*(Indirectos[[#This Row],[Año Económico]]=Tipo_Cambio[Año])*(Tipo_Cambio[$/U$S]))</f>
        <v>0</v>
      </c>
      <c r="AF106" s="891">
        <f>SUMPRODUCT((Indirectos[[#This Row],[Mes Económico]]=Tipo_Cambio[Mes])*(Indirectos[[#This Row],[Año Económico]]=Tipo_Cambio[Año])*(Tipo_Cambio[Actualización]))</f>
        <v>0</v>
      </c>
      <c r="AG106" s="890">
        <f>IF(ISNUMBER(Indirectos[[#This Row],[Fecha Financiero]])=TRUE,MONTH(Indirectos[[#This Row],[Fecha Financiero]]),0)</f>
        <v>0</v>
      </c>
      <c r="AH106" s="890">
        <f>IF(ISNUMBER(Indirectos[[#This Row],[Fecha Financiero]])=TRUE,YEAR(Indirectos[[#This Row],[Fecha Financiero]]),0)</f>
        <v>0</v>
      </c>
      <c r="AI106" s="891">
        <f>SUMPRODUCT((Indirectos[[#This Row],[Mes Financiero]]=Tipo_Cambio[Mes])*(Indirectos[[#This Row],[Año Financiero]]=Tipo_Cambio[Año])*(Tipo_Cambio[$/U$S]))</f>
        <v>0</v>
      </c>
      <c r="AJ106" s="888">
        <f>SUMPRODUCT((Indirectos[[#This Row],[Mes Financiero]]=Tipo_Cambio[Mes])*(Indirectos[[#This Row],[Año Financiero]]=Tipo_Cambio[Año])*(Tipo_Cambio[Actualización]))</f>
        <v>0</v>
      </c>
      <c r="AK106" s="916">
        <f>IF(Económico!$F$4=0,0,Indirectos[Centro de Costo])</f>
        <v>0</v>
      </c>
    </row>
    <row r="107" spans="2:37" x14ac:dyDescent="0.25">
      <c r="D107" s="528"/>
      <c r="E107" s="493"/>
      <c r="F107" s="869" t="str">
        <f t="shared" si="8"/>
        <v>2018-2019</v>
      </c>
      <c r="G107" s="482"/>
      <c r="H107" s="481"/>
      <c r="I107" s="481" t="s">
        <v>230</v>
      </c>
      <c r="J107" s="481"/>
      <c r="K107" s="533"/>
      <c r="L107" s="484"/>
      <c r="M107" s="481"/>
      <c r="N107" s="523"/>
      <c r="O107" s="485"/>
      <c r="P107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07" s="913">
        <f>IFERROR(Indirectos[[#This Row],[Económico $Corrientes]]/Indirectos[[#This Row],[Indexación Económico]],0)</f>
        <v>0</v>
      </c>
      <c r="R107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07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07" s="913">
        <f>IFERROR(Indirectos[[#This Row],[Financiero $Corrientes]]/Indirectos[[#This Row],[Indexación Financiero]],0)</f>
        <v>0</v>
      </c>
      <c r="U107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07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07" s="890">
        <f>IFERROR(Indirectos[[#This Row],[Intereses $Corrientes]]/Indirectos[[#This Row],[Indexación Financiero]],0)</f>
        <v>0</v>
      </c>
      <c r="X107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07" s="915">
        <f>IFERROR(INDEX(Costos_Indirectos_Cuentas[],MATCH(Indirectos[[#This Row],[Cuenta Contable]],Costos_Indirectos_Cuentas[Cuenta Contable],0),2),0)</f>
        <v>0</v>
      </c>
      <c r="Z107" s="887">
        <f>IFERROR(INDEX(Tabla9[],MATCH(Indirectos[[#This Row],[Movimiento]],Tabla9[Movimientos],0),2),0)</f>
        <v>0</v>
      </c>
      <c r="AA107" s="918">
        <f>IFERROR(INDEX(Costos_Indirectos_Cuentas[],MATCH(Indirectos[[#This Row],[Cuenta Contable]],Costos_Indirectos_Cuentas[Cuenta Contable],0),3),0)</f>
        <v>0</v>
      </c>
      <c r="AB107" s="891">
        <f>IFERROR(INDEX(Tabla9[],MATCH(Indirectos[[#This Row],[Movimiento]],Tabla9[Movimientos],0),3),0)</f>
        <v>0</v>
      </c>
      <c r="AC107" s="884">
        <f>IF(Indirectos[[#This Row],[Fecha Económico]]=0,0,MONTH(Indirectos[[#This Row],[Fecha Económico]]))</f>
        <v>0</v>
      </c>
      <c r="AD107" s="890">
        <f>IF(Indirectos[[#This Row],[Fecha Económico]]=0,0,YEAR(Indirectos[[#This Row],[Fecha Económico]]))</f>
        <v>0</v>
      </c>
      <c r="AE107" s="891">
        <f>SUMPRODUCT((Indirectos[[#This Row],[Mes Económico]]=Tipo_Cambio[Mes])*(Indirectos[[#This Row],[Año Económico]]=Tipo_Cambio[Año])*(Tipo_Cambio[$/U$S]))</f>
        <v>0</v>
      </c>
      <c r="AF107" s="891">
        <f>SUMPRODUCT((Indirectos[[#This Row],[Mes Económico]]=Tipo_Cambio[Mes])*(Indirectos[[#This Row],[Año Económico]]=Tipo_Cambio[Año])*(Tipo_Cambio[Actualización]))</f>
        <v>0</v>
      </c>
      <c r="AG107" s="890">
        <f>IF(ISNUMBER(Indirectos[[#This Row],[Fecha Financiero]])=TRUE,MONTH(Indirectos[[#This Row],[Fecha Financiero]]),0)</f>
        <v>0</v>
      </c>
      <c r="AH107" s="890">
        <f>IF(ISNUMBER(Indirectos[[#This Row],[Fecha Financiero]])=TRUE,YEAR(Indirectos[[#This Row],[Fecha Financiero]]),0)</f>
        <v>0</v>
      </c>
      <c r="AI107" s="891">
        <f>SUMPRODUCT((Indirectos[[#This Row],[Mes Financiero]]=Tipo_Cambio[Mes])*(Indirectos[[#This Row],[Año Financiero]]=Tipo_Cambio[Año])*(Tipo_Cambio[$/U$S]))</f>
        <v>0</v>
      </c>
      <c r="AJ107" s="888">
        <f>SUMPRODUCT((Indirectos[[#This Row],[Mes Financiero]]=Tipo_Cambio[Mes])*(Indirectos[[#This Row],[Año Financiero]]=Tipo_Cambio[Año])*(Tipo_Cambio[Actualización]))</f>
        <v>0</v>
      </c>
      <c r="AK107" s="916">
        <f>IF(Económico!$F$4=0,0,Indirectos[Centro de Costo])</f>
        <v>0</v>
      </c>
    </row>
    <row r="108" spans="2:37" x14ac:dyDescent="0.25">
      <c r="D108" s="528"/>
      <c r="E108" s="493"/>
      <c r="F108" s="869" t="str">
        <f t="shared" si="8"/>
        <v>2018-2019</v>
      </c>
      <c r="G108" s="482"/>
      <c r="H108" s="481"/>
      <c r="I108" s="481" t="s">
        <v>230</v>
      </c>
      <c r="J108" s="481"/>
      <c r="K108" s="533"/>
      <c r="L108" s="484"/>
      <c r="M108" s="481"/>
      <c r="N108" s="523"/>
      <c r="O108" s="485"/>
      <c r="P108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08" s="913">
        <f>IFERROR(Indirectos[[#This Row],[Económico $Corrientes]]/Indirectos[[#This Row],[Indexación Económico]],0)</f>
        <v>0</v>
      </c>
      <c r="R108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08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08" s="913">
        <f>IFERROR(Indirectos[[#This Row],[Financiero $Corrientes]]/Indirectos[[#This Row],[Indexación Financiero]],0)</f>
        <v>0</v>
      </c>
      <c r="U108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08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08" s="890">
        <f>IFERROR(Indirectos[[#This Row],[Intereses $Corrientes]]/Indirectos[[#This Row],[Indexación Financiero]],0)</f>
        <v>0</v>
      </c>
      <c r="X108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08" s="915">
        <f>IFERROR(INDEX(Costos_Indirectos_Cuentas[],MATCH(Indirectos[[#This Row],[Cuenta Contable]],Costos_Indirectos_Cuentas[Cuenta Contable],0),2),0)</f>
        <v>0</v>
      </c>
      <c r="Z108" s="887">
        <f>IFERROR(INDEX(Tabla9[],MATCH(Indirectos[[#This Row],[Movimiento]],Tabla9[Movimientos],0),2),0)</f>
        <v>0</v>
      </c>
      <c r="AA108" s="918">
        <f>IFERROR(INDEX(Costos_Indirectos_Cuentas[],MATCH(Indirectos[[#This Row],[Cuenta Contable]],Costos_Indirectos_Cuentas[Cuenta Contable],0),3),0)</f>
        <v>0</v>
      </c>
      <c r="AB108" s="891">
        <f>IFERROR(INDEX(Tabla9[],MATCH(Indirectos[[#This Row],[Movimiento]],Tabla9[Movimientos],0),3),0)</f>
        <v>0</v>
      </c>
      <c r="AC108" s="884">
        <f>IF(Indirectos[[#This Row],[Fecha Económico]]=0,0,MONTH(Indirectos[[#This Row],[Fecha Económico]]))</f>
        <v>0</v>
      </c>
      <c r="AD108" s="890">
        <f>IF(Indirectos[[#This Row],[Fecha Económico]]=0,0,YEAR(Indirectos[[#This Row],[Fecha Económico]]))</f>
        <v>0</v>
      </c>
      <c r="AE108" s="891">
        <f>SUMPRODUCT((Indirectos[[#This Row],[Mes Económico]]=Tipo_Cambio[Mes])*(Indirectos[[#This Row],[Año Económico]]=Tipo_Cambio[Año])*(Tipo_Cambio[$/U$S]))</f>
        <v>0</v>
      </c>
      <c r="AF108" s="891">
        <f>SUMPRODUCT((Indirectos[[#This Row],[Mes Económico]]=Tipo_Cambio[Mes])*(Indirectos[[#This Row],[Año Económico]]=Tipo_Cambio[Año])*(Tipo_Cambio[Actualización]))</f>
        <v>0</v>
      </c>
      <c r="AG108" s="890">
        <f>IF(ISNUMBER(Indirectos[[#This Row],[Fecha Financiero]])=TRUE,MONTH(Indirectos[[#This Row],[Fecha Financiero]]),0)</f>
        <v>0</v>
      </c>
      <c r="AH108" s="890">
        <f>IF(ISNUMBER(Indirectos[[#This Row],[Fecha Financiero]])=TRUE,YEAR(Indirectos[[#This Row],[Fecha Financiero]]),0)</f>
        <v>0</v>
      </c>
      <c r="AI108" s="891">
        <f>SUMPRODUCT((Indirectos[[#This Row],[Mes Financiero]]=Tipo_Cambio[Mes])*(Indirectos[[#This Row],[Año Financiero]]=Tipo_Cambio[Año])*(Tipo_Cambio[$/U$S]))</f>
        <v>0</v>
      </c>
      <c r="AJ108" s="888">
        <f>SUMPRODUCT((Indirectos[[#This Row],[Mes Financiero]]=Tipo_Cambio[Mes])*(Indirectos[[#This Row],[Año Financiero]]=Tipo_Cambio[Año])*(Tipo_Cambio[Actualización]))</f>
        <v>0</v>
      </c>
      <c r="AK108" s="916">
        <f>IF(Económico!$F$4=0,0,Indirectos[Centro de Costo])</f>
        <v>0</v>
      </c>
    </row>
    <row r="109" spans="2:37" x14ac:dyDescent="0.25">
      <c r="D109" s="528"/>
      <c r="E109" s="493"/>
      <c r="F109" s="869" t="str">
        <f t="shared" si="8"/>
        <v>2018-2019</v>
      </c>
      <c r="G109" s="482"/>
      <c r="H109" s="481"/>
      <c r="I109" s="481" t="s">
        <v>230</v>
      </c>
      <c r="J109" s="481"/>
      <c r="K109" s="533"/>
      <c r="L109" s="484"/>
      <c r="M109" s="481"/>
      <c r="N109" s="523"/>
      <c r="O109" s="485"/>
      <c r="P109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09" s="913">
        <f>IFERROR(Indirectos[[#This Row],[Económico $Corrientes]]/Indirectos[[#This Row],[Indexación Económico]],0)</f>
        <v>0</v>
      </c>
      <c r="R109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09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09" s="913">
        <f>IFERROR(Indirectos[[#This Row],[Financiero $Corrientes]]/Indirectos[[#This Row],[Indexación Financiero]],0)</f>
        <v>0</v>
      </c>
      <c r="U109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09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09" s="890">
        <f>IFERROR(Indirectos[[#This Row],[Intereses $Corrientes]]/Indirectos[[#This Row],[Indexación Financiero]],0)</f>
        <v>0</v>
      </c>
      <c r="X109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09" s="915">
        <f>IFERROR(INDEX(Costos_Indirectos_Cuentas[],MATCH(Indirectos[[#This Row],[Cuenta Contable]],Costos_Indirectos_Cuentas[Cuenta Contable],0),2),0)</f>
        <v>0</v>
      </c>
      <c r="Z109" s="887">
        <f>IFERROR(INDEX(Tabla9[],MATCH(Indirectos[[#This Row],[Movimiento]],Tabla9[Movimientos],0),2),0)</f>
        <v>0</v>
      </c>
      <c r="AA109" s="918">
        <f>IFERROR(INDEX(Costos_Indirectos_Cuentas[],MATCH(Indirectos[[#This Row],[Cuenta Contable]],Costos_Indirectos_Cuentas[Cuenta Contable],0),3),0)</f>
        <v>0</v>
      </c>
      <c r="AB109" s="891">
        <f>IFERROR(INDEX(Tabla9[],MATCH(Indirectos[[#This Row],[Movimiento]],Tabla9[Movimientos],0),3),0)</f>
        <v>0</v>
      </c>
      <c r="AC109" s="884">
        <f>IF(Indirectos[[#This Row],[Fecha Económico]]=0,0,MONTH(Indirectos[[#This Row],[Fecha Económico]]))</f>
        <v>0</v>
      </c>
      <c r="AD109" s="890">
        <f>IF(Indirectos[[#This Row],[Fecha Económico]]=0,0,YEAR(Indirectos[[#This Row],[Fecha Económico]]))</f>
        <v>0</v>
      </c>
      <c r="AE109" s="891">
        <f>SUMPRODUCT((Indirectos[[#This Row],[Mes Económico]]=Tipo_Cambio[Mes])*(Indirectos[[#This Row],[Año Económico]]=Tipo_Cambio[Año])*(Tipo_Cambio[$/U$S]))</f>
        <v>0</v>
      </c>
      <c r="AF109" s="891">
        <f>SUMPRODUCT((Indirectos[[#This Row],[Mes Económico]]=Tipo_Cambio[Mes])*(Indirectos[[#This Row],[Año Económico]]=Tipo_Cambio[Año])*(Tipo_Cambio[Actualización]))</f>
        <v>0</v>
      </c>
      <c r="AG109" s="890">
        <f>IF(ISNUMBER(Indirectos[[#This Row],[Fecha Financiero]])=TRUE,MONTH(Indirectos[[#This Row],[Fecha Financiero]]),0)</f>
        <v>0</v>
      </c>
      <c r="AH109" s="890">
        <f>IF(ISNUMBER(Indirectos[[#This Row],[Fecha Financiero]])=TRUE,YEAR(Indirectos[[#This Row],[Fecha Financiero]]),0)</f>
        <v>0</v>
      </c>
      <c r="AI109" s="891">
        <f>SUMPRODUCT((Indirectos[[#This Row],[Mes Financiero]]=Tipo_Cambio[Mes])*(Indirectos[[#This Row],[Año Financiero]]=Tipo_Cambio[Año])*(Tipo_Cambio[$/U$S]))</f>
        <v>0</v>
      </c>
      <c r="AJ109" s="888">
        <f>SUMPRODUCT((Indirectos[[#This Row],[Mes Financiero]]=Tipo_Cambio[Mes])*(Indirectos[[#This Row],[Año Financiero]]=Tipo_Cambio[Año])*(Tipo_Cambio[Actualización]))</f>
        <v>0</v>
      </c>
      <c r="AK109" s="916">
        <f>IF(Económico!$F$4=0,0,Indirectos[Centro de Costo])</f>
        <v>0</v>
      </c>
    </row>
    <row r="110" spans="2:37" ht="15.75" thickBot="1" x14ac:dyDescent="0.3">
      <c r="B110" s="373" t="s">
        <v>101</v>
      </c>
      <c r="D110" s="502"/>
      <c r="E110" s="544"/>
      <c r="F110" s="1075" t="str">
        <f t="shared" si="8"/>
        <v>2018-2019</v>
      </c>
      <c r="G110" s="504"/>
      <c r="H110" s="525"/>
      <c r="I110" s="525" t="s">
        <v>230</v>
      </c>
      <c r="J110" s="525"/>
      <c r="K110" s="543"/>
      <c r="L110" s="506"/>
      <c r="M110" s="525"/>
      <c r="N110" s="527"/>
      <c r="O110" s="507"/>
      <c r="P110" s="106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10" s="1064">
        <f>IFERROR(Indirectos[[#This Row],[Económico $Corrientes]]/Indirectos[[#This Row],[Indexación Económico]],0)</f>
        <v>0</v>
      </c>
      <c r="R110" s="1065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10" s="106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10" s="1064">
        <f>IFERROR(Indirectos[[#This Row],[Financiero $Corrientes]]/Indirectos[[#This Row],[Indexación Financiero]],0)</f>
        <v>0</v>
      </c>
      <c r="U110" s="1066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10" s="1067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10" s="1068">
        <f>IFERROR(Indirectos[[#This Row],[Intereses $Corrientes]]/Indirectos[[#This Row],[Indexación Financiero]],0)</f>
        <v>0</v>
      </c>
      <c r="X110" s="1068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10" s="1069">
        <f>IFERROR(INDEX(Costos_Indirectos_Cuentas[],MATCH(Indirectos[[#This Row],[Cuenta Contable]],Costos_Indirectos_Cuentas[Cuenta Contable],0),2),0)</f>
        <v>0</v>
      </c>
      <c r="Z110" s="1070">
        <f>IFERROR(INDEX(Tabla9[],MATCH(Indirectos[[#This Row],[Movimiento]],Tabla9[Movimientos],0),2),0)</f>
        <v>0</v>
      </c>
      <c r="AA110" s="1071">
        <f>IFERROR(INDEX(Costos_Indirectos_Cuentas[],MATCH(Indirectos[[#This Row],[Cuenta Contable]],Costos_Indirectos_Cuentas[Cuenta Contable],0),3),0)</f>
        <v>0</v>
      </c>
      <c r="AB110" s="1072">
        <f>IFERROR(INDEX(Tabla9[],MATCH(Indirectos[[#This Row],[Movimiento]],Tabla9[Movimientos],0),3),0)</f>
        <v>0</v>
      </c>
      <c r="AC110" s="1067">
        <f>IF(Indirectos[[#This Row],[Fecha Económico]]=0,0,MONTH(Indirectos[[#This Row],[Fecha Económico]]))</f>
        <v>0</v>
      </c>
      <c r="AD110" s="1068">
        <f>IF(Indirectos[[#This Row],[Fecha Económico]]=0,0,YEAR(Indirectos[[#This Row],[Fecha Económico]]))</f>
        <v>0</v>
      </c>
      <c r="AE110" s="1072">
        <f>SUMPRODUCT((Indirectos[[#This Row],[Mes Económico]]=Tipo_Cambio[Mes])*(Indirectos[[#This Row],[Año Económico]]=Tipo_Cambio[Año])*(Tipo_Cambio[$/U$S]))</f>
        <v>0</v>
      </c>
      <c r="AF110" s="1072">
        <f>SUMPRODUCT((Indirectos[[#This Row],[Mes Económico]]=Tipo_Cambio[Mes])*(Indirectos[[#This Row],[Año Económico]]=Tipo_Cambio[Año])*(Tipo_Cambio[Actualización]))</f>
        <v>0</v>
      </c>
      <c r="AG110" s="1068">
        <f>IF(ISNUMBER(Indirectos[[#This Row],[Fecha Financiero]])=TRUE,MONTH(Indirectos[[#This Row],[Fecha Financiero]]),0)</f>
        <v>0</v>
      </c>
      <c r="AH110" s="1068">
        <f>IF(ISNUMBER(Indirectos[[#This Row],[Fecha Financiero]])=TRUE,YEAR(Indirectos[[#This Row],[Fecha Financiero]]),0)</f>
        <v>0</v>
      </c>
      <c r="AI110" s="1072">
        <f>SUMPRODUCT((Indirectos[[#This Row],[Mes Financiero]]=Tipo_Cambio[Mes])*(Indirectos[[#This Row],[Año Financiero]]=Tipo_Cambio[Año])*(Tipo_Cambio[$/U$S]))</f>
        <v>0</v>
      </c>
      <c r="AJ110" s="1073">
        <f>SUMPRODUCT((Indirectos[[#This Row],[Mes Financiero]]=Tipo_Cambio[Mes])*(Indirectos[[#This Row],[Año Financiero]]=Tipo_Cambio[Año])*(Tipo_Cambio[Actualización]))</f>
        <v>0</v>
      </c>
      <c r="AK110" s="1074">
        <f>IF(Económico!$F$4=0,0,Indirectos[Centro de Costo])</f>
        <v>0</v>
      </c>
    </row>
    <row r="111" spans="2:37" ht="15.75" thickTop="1" x14ac:dyDescent="0.25">
      <c r="B111" s="437" t="s">
        <v>283</v>
      </c>
      <c r="D111" s="528">
        <f>DATE(LEFT(Indirectos[[#This Row],[Campaña]],4),7,1)</f>
        <v>43282</v>
      </c>
      <c r="E111" s="493"/>
      <c r="F111" s="869" t="str">
        <f t="shared" si="8"/>
        <v>2018-2019</v>
      </c>
      <c r="G111" s="482" t="s">
        <v>283</v>
      </c>
      <c r="H111" s="481"/>
      <c r="I111" s="481" t="s">
        <v>283</v>
      </c>
      <c r="J111" s="481"/>
      <c r="K111" s="533"/>
      <c r="L111" s="484"/>
      <c r="M111" s="481"/>
      <c r="N111" s="523"/>
      <c r="O111" s="485"/>
      <c r="P111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11" s="913">
        <f>IFERROR(Indirectos[[#This Row],[Económico $Corrientes]]/Indirectos[[#This Row],[Indexación Económico]],0)</f>
        <v>0</v>
      </c>
      <c r="R111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11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11" s="913">
        <f>IFERROR(Indirectos[[#This Row],[Financiero $Corrientes]]/Indirectos[[#This Row],[Indexación Financiero]],0)</f>
        <v>0</v>
      </c>
      <c r="U111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11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11" s="890">
        <f>IFERROR(Indirectos[[#This Row],[Intereses $Corrientes]]/Indirectos[[#This Row],[Indexación Financiero]],0)</f>
        <v>0</v>
      </c>
      <c r="X111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11" s="915" t="str">
        <f>IFERROR(INDEX(Costos_Indirectos_Cuentas[],MATCH(Indirectos[[#This Row],[Cuenta Contable]],Costos_Indirectos_Cuentas[Cuenta Contable],0),2),0)</f>
        <v>Egreso</v>
      </c>
      <c r="Z111" s="887" t="str">
        <f>IFERROR(INDEX(Tabla9[],MATCH(Indirectos[[#This Row],[Movimiento]],Tabla9[Movimientos],0),2),0)</f>
        <v>Si</v>
      </c>
      <c r="AA111" s="918" t="str">
        <f>IFERROR(INDEX(Costos_Indirectos_Cuentas[],MATCH(Indirectos[[#This Row],[Cuenta Contable]],Costos_Indirectos_Cuentas[Cuenta Contable],0),3),0)</f>
        <v>Si</v>
      </c>
      <c r="AB111" s="891" t="str">
        <f>IFERROR(INDEX(Tabla9[],MATCH(Indirectos[[#This Row],[Movimiento]],Tabla9[Movimientos],0),3),0)</f>
        <v>(-)</v>
      </c>
      <c r="AC111" s="884">
        <f>IF(Indirectos[[#This Row],[Fecha Económico]]=0,0,MONTH(Indirectos[[#This Row],[Fecha Económico]]))</f>
        <v>7</v>
      </c>
      <c r="AD111" s="890">
        <f>IF(Indirectos[[#This Row],[Fecha Económico]]=0,0,YEAR(Indirectos[[#This Row],[Fecha Económico]]))</f>
        <v>2018</v>
      </c>
      <c r="AE111" s="891">
        <f>SUMPRODUCT((Indirectos[[#This Row],[Mes Económico]]=Tipo_Cambio[Mes])*(Indirectos[[#This Row],[Año Económico]]=Tipo_Cambio[Año])*(Tipo_Cambio[$/U$S]))</f>
        <v>22</v>
      </c>
      <c r="AF111" s="891">
        <f>SUMPRODUCT((Indirectos[[#This Row],[Mes Económico]]=Tipo_Cambio[Mes])*(Indirectos[[#This Row],[Año Económico]]=Tipo_Cambio[Año])*(Tipo_Cambio[Actualización]))</f>
        <v>1</v>
      </c>
      <c r="AG111" s="890">
        <f>IF(ISNUMBER(Indirectos[[#This Row],[Fecha Financiero]])=TRUE,MONTH(Indirectos[[#This Row],[Fecha Financiero]]),0)</f>
        <v>0</v>
      </c>
      <c r="AH111" s="890">
        <f>IF(ISNUMBER(Indirectos[[#This Row],[Fecha Financiero]])=TRUE,YEAR(Indirectos[[#This Row],[Fecha Financiero]]),0)</f>
        <v>0</v>
      </c>
      <c r="AI111" s="891">
        <f>SUMPRODUCT((Indirectos[[#This Row],[Mes Financiero]]=Tipo_Cambio[Mes])*(Indirectos[[#This Row],[Año Financiero]]=Tipo_Cambio[Año])*(Tipo_Cambio[$/U$S]))</f>
        <v>0</v>
      </c>
      <c r="AJ111" s="888">
        <f>SUMPRODUCT((Indirectos[[#This Row],[Mes Financiero]]=Tipo_Cambio[Mes])*(Indirectos[[#This Row],[Año Financiero]]=Tipo_Cambio[Año])*(Tipo_Cambio[Actualización]))</f>
        <v>0</v>
      </c>
      <c r="AK111" s="916">
        <f>IF(Económico!$F$4=0,0,Indirectos[Centro de Costo])</f>
        <v>0</v>
      </c>
    </row>
    <row r="112" spans="2:37" x14ac:dyDescent="0.25">
      <c r="D112" s="528">
        <f>DATE(IF(MONTH(D111)=1,YEAR(D111+1),YEAR(D111)),MONTH(D111)+1,1)</f>
        <v>43313</v>
      </c>
      <c r="E112" s="493"/>
      <c r="F112" s="869" t="str">
        <f t="shared" si="8"/>
        <v>2018-2019</v>
      </c>
      <c r="G112" s="482" t="s">
        <v>283</v>
      </c>
      <c r="H112" s="481"/>
      <c r="I112" s="481" t="s">
        <v>283</v>
      </c>
      <c r="J112" s="481"/>
      <c r="K112" s="533"/>
      <c r="L112" s="484"/>
      <c r="M112" s="481"/>
      <c r="N112" s="523"/>
      <c r="O112" s="485"/>
      <c r="P112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12" s="913">
        <f>IFERROR(Indirectos[[#This Row],[Económico $Corrientes]]/Indirectos[[#This Row],[Indexación Económico]],0)</f>
        <v>0</v>
      </c>
      <c r="R112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12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12" s="913">
        <f>IFERROR(Indirectos[[#This Row],[Financiero $Corrientes]]/Indirectos[[#This Row],[Indexación Financiero]],0)</f>
        <v>0</v>
      </c>
      <c r="U112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12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12" s="890">
        <f>IFERROR(Indirectos[[#This Row],[Intereses $Corrientes]]/Indirectos[[#This Row],[Indexación Financiero]],0)</f>
        <v>0</v>
      </c>
      <c r="X112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12" s="915" t="str">
        <f>IFERROR(INDEX(Costos_Indirectos_Cuentas[],MATCH(Indirectos[[#This Row],[Cuenta Contable]],Costos_Indirectos_Cuentas[Cuenta Contable],0),2),0)</f>
        <v>Egreso</v>
      </c>
      <c r="Z112" s="887" t="str">
        <f>IFERROR(INDEX(Tabla9[],MATCH(Indirectos[[#This Row],[Movimiento]],Tabla9[Movimientos],0),2),0)</f>
        <v>Si</v>
      </c>
      <c r="AA112" s="918" t="str">
        <f>IFERROR(INDEX(Costos_Indirectos_Cuentas[],MATCH(Indirectos[[#This Row],[Cuenta Contable]],Costos_Indirectos_Cuentas[Cuenta Contable],0),3),0)</f>
        <v>Si</v>
      </c>
      <c r="AB112" s="891" t="str">
        <f>IFERROR(INDEX(Tabla9[],MATCH(Indirectos[[#This Row],[Movimiento]],Tabla9[Movimientos],0),3),0)</f>
        <v>(-)</v>
      </c>
      <c r="AC112" s="884">
        <f>IF(Indirectos[[#This Row],[Fecha Económico]]=0,0,MONTH(Indirectos[[#This Row],[Fecha Económico]]))</f>
        <v>8</v>
      </c>
      <c r="AD112" s="890">
        <f>IF(Indirectos[[#This Row],[Fecha Económico]]=0,0,YEAR(Indirectos[[#This Row],[Fecha Económico]]))</f>
        <v>2018</v>
      </c>
      <c r="AE112" s="891">
        <f>SUMPRODUCT((Indirectos[[#This Row],[Mes Económico]]=Tipo_Cambio[Mes])*(Indirectos[[#This Row],[Año Económico]]=Tipo_Cambio[Año])*(Tipo_Cambio[$/U$S]))</f>
        <v>22.22</v>
      </c>
      <c r="AF112" s="891">
        <f>SUMPRODUCT((Indirectos[[#This Row],[Mes Económico]]=Tipo_Cambio[Mes])*(Indirectos[[#This Row],[Año Económico]]=Tipo_Cambio[Año])*(Tipo_Cambio[Actualización]))</f>
        <v>1.02</v>
      </c>
      <c r="AG112" s="890">
        <f>IF(ISNUMBER(Indirectos[[#This Row],[Fecha Financiero]])=TRUE,MONTH(Indirectos[[#This Row],[Fecha Financiero]]),0)</f>
        <v>0</v>
      </c>
      <c r="AH112" s="890">
        <f>IF(ISNUMBER(Indirectos[[#This Row],[Fecha Financiero]])=TRUE,YEAR(Indirectos[[#This Row],[Fecha Financiero]]),0)</f>
        <v>0</v>
      </c>
      <c r="AI112" s="891">
        <f>SUMPRODUCT((Indirectos[[#This Row],[Mes Financiero]]=Tipo_Cambio[Mes])*(Indirectos[[#This Row],[Año Financiero]]=Tipo_Cambio[Año])*(Tipo_Cambio[$/U$S]))</f>
        <v>0</v>
      </c>
      <c r="AJ112" s="888">
        <f>SUMPRODUCT((Indirectos[[#This Row],[Mes Financiero]]=Tipo_Cambio[Mes])*(Indirectos[[#This Row],[Año Financiero]]=Tipo_Cambio[Año])*(Tipo_Cambio[Actualización]))</f>
        <v>0</v>
      </c>
      <c r="AK112" s="916">
        <f>IF(Económico!$F$4=0,0,Indirectos[Centro de Costo])</f>
        <v>0</v>
      </c>
    </row>
    <row r="113" spans="2:37" x14ac:dyDescent="0.25">
      <c r="D113" s="528">
        <f t="shared" ref="D113:D122" si="9">DATE(IF(MONTH(D112)=1,YEAR(D112+1),YEAR(D112)),MONTH(D112)+1,1)</f>
        <v>43344</v>
      </c>
      <c r="E113" s="493"/>
      <c r="F113" s="869" t="str">
        <f t="shared" si="8"/>
        <v>2018-2019</v>
      </c>
      <c r="G113" s="482" t="s">
        <v>283</v>
      </c>
      <c r="H113" s="481"/>
      <c r="I113" s="481" t="s">
        <v>283</v>
      </c>
      <c r="J113" s="481"/>
      <c r="K113" s="533"/>
      <c r="L113" s="484"/>
      <c r="M113" s="481"/>
      <c r="N113" s="523"/>
      <c r="O113" s="485"/>
      <c r="P113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13" s="913">
        <f>IFERROR(Indirectos[[#This Row],[Económico $Corrientes]]/Indirectos[[#This Row],[Indexación Económico]],0)</f>
        <v>0</v>
      </c>
      <c r="R113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13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13" s="913">
        <f>IFERROR(Indirectos[[#This Row],[Financiero $Corrientes]]/Indirectos[[#This Row],[Indexación Financiero]],0)</f>
        <v>0</v>
      </c>
      <c r="U113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13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13" s="890">
        <f>IFERROR(Indirectos[[#This Row],[Intereses $Corrientes]]/Indirectos[[#This Row],[Indexación Financiero]],0)</f>
        <v>0</v>
      </c>
      <c r="X113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13" s="915" t="str">
        <f>IFERROR(INDEX(Costos_Indirectos_Cuentas[],MATCH(Indirectos[[#This Row],[Cuenta Contable]],Costos_Indirectos_Cuentas[Cuenta Contable],0),2),0)</f>
        <v>Egreso</v>
      </c>
      <c r="Z113" s="887" t="str">
        <f>IFERROR(INDEX(Tabla9[],MATCH(Indirectos[[#This Row],[Movimiento]],Tabla9[Movimientos],0),2),0)</f>
        <v>Si</v>
      </c>
      <c r="AA113" s="918" t="str">
        <f>IFERROR(INDEX(Costos_Indirectos_Cuentas[],MATCH(Indirectos[[#This Row],[Cuenta Contable]],Costos_Indirectos_Cuentas[Cuenta Contable],0),3),0)</f>
        <v>Si</v>
      </c>
      <c r="AB113" s="891" t="str">
        <f>IFERROR(INDEX(Tabla9[],MATCH(Indirectos[[#This Row],[Movimiento]],Tabla9[Movimientos],0),3),0)</f>
        <v>(-)</v>
      </c>
      <c r="AC113" s="884">
        <f>IF(Indirectos[[#This Row],[Fecha Económico]]=0,0,MONTH(Indirectos[[#This Row],[Fecha Económico]]))</f>
        <v>9</v>
      </c>
      <c r="AD113" s="890">
        <f>IF(Indirectos[[#This Row],[Fecha Económico]]=0,0,YEAR(Indirectos[[#This Row],[Fecha Económico]]))</f>
        <v>2018</v>
      </c>
      <c r="AE113" s="891">
        <f>SUMPRODUCT((Indirectos[[#This Row],[Mes Económico]]=Tipo_Cambio[Mes])*(Indirectos[[#This Row],[Año Económico]]=Tipo_Cambio[Año])*(Tipo_Cambio[$/U$S]))</f>
        <v>22.4422</v>
      </c>
      <c r="AF113" s="891">
        <f>SUMPRODUCT((Indirectos[[#This Row],[Mes Económico]]=Tipo_Cambio[Mes])*(Indirectos[[#This Row],[Año Económico]]=Tipo_Cambio[Año])*(Tipo_Cambio[Actualización]))</f>
        <v>1.0404</v>
      </c>
      <c r="AG113" s="890">
        <f>IF(ISNUMBER(Indirectos[[#This Row],[Fecha Financiero]])=TRUE,MONTH(Indirectos[[#This Row],[Fecha Financiero]]),0)</f>
        <v>0</v>
      </c>
      <c r="AH113" s="890">
        <f>IF(ISNUMBER(Indirectos[[#This Row],[Fecha Financiero]])=TRUE,YEAR(Indirectos[[#This Row],[Fecha Financiero]]),0)</f>
        <v>0</v>
      </c>
      <c r="AI113" s="891">
        <f>SUMPRODUCT((Indirectos[[#This Row],[Mes Financiero]]=Tipo_Cambio[Mes])*(Indirectos[[#This Row],[Año Financiero]]=Tipo_Cambio[Año])*(Tipo_Cambio[$/U$S]))</f>
        <v>0</v>
      </c>
      <c r="AJ113" s="888">
        <f>SUMPRODUCT((Indirectos[[#This Row],[Mes Financiero]]=Tipo_Cambio[Mes])*(Indirectos[[#This Row],[Año Financiero]]=Tipo_Cambio[Año])*(Tipo_Cambio[Actualización]))</f>
        <v>0</v>
      </c>
      <c r="AK113" s="916">
        <f>IF(Económico!$F$4=0,0,Indirectos[Centro de Costo])</f>
        <v>0</v>
      </c>
    </row>
    <row r="114" spans="2:37" x14ac:dyDescent="0.25">
      <c r="D114" s="528">
        <f t="shared" si="9"/>
        <v>43374</v>
      </c>
      <c r="E114" s="493"/>
      <c r="F114" s="869" t="str">
        <f t="shared" si="8"/>
        <v>2018-2019</v>
      </c>
      <c r="G114" s="482" t="s">
        <v>283</v>
      </c>
      <c r="H114" s="481"/>
      <c r="I114" s="481" t="s">
        <v>283</v>
      </c>
      <c r="J114" s="481"/>
      <c r="K114" s="533"/>
      <c r="L114" s="484"/>
      <c r="M114" s="481"/>
      <c r="N114" s="523"/>
      <c r="O114" s="485"/>
      <c r="P114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14" s="913">
        <f>IFERROR(Indirectos[[#This Row],[Económico $Corrientes]]/Indirectos[[#This Row],[Indexación Económico]],0)</f>
        <v>0</v>
      </c>
      <c r="R114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14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14" s="913">
        <f>IFERROR(Indirectos[[#This Row],[Financiero $Corrientes]]/Indirectos[[#This Row],[Indexación Financiero]],0)</f>
        <v>0</v>
      </c>
      <c r="U114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14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14" s="890">
        <f>IFERROR(Indirectos[[#This Row],[Intereses $Corrientes]]/Indirectos[[#This Row],[Indexación Financiero]],0)</f>
        <v>0</v>
      </c>
      <c r="X114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14" s="915" t="str">
        <f>IFERROR(INDEX(Costos_Indirectos_Cuentas[],MATCH(Indirectos[[#This Row],[Cuenta Contable]],Costos_Indirectos_Cuentas[Cuenta Contable],0),2),0)</f>
        <v>Egreso</v>
      </c>
      <c r="Z114" s="887" t="str">
        <f>IFERROR(INDEX(Tabla9[],MATCH(Indirectos[[#This Row],[Movimiento]],Tabla9[Movimientos],0),2),0)</f>
        <v>Si</v>
      </c>
      <c r="AA114" s="918" t="str">
        <f>IFERROR(INDEX(Costos_Indirectos_Cuentas[],MATCH(Indirectos[[#This Row],[Cuenta Contable]],Costos_Indirectos_Cuentas[Cuenta Contable],0),3),0)</f>
        <v>Si</v>
      </c>
      <c r="AB114" s="891" t="str">
        <f>IFERROR(INDEX(Tabla9[],MATCH(Indirectos[[#This Row],[Movimiento]],Tabla9[Movimientos],0),3),0)</f>
        <v>(-)</v>
      </c>
      <c r="AC114" s="884">
        <f>IF(Indirectos[[#This Row],[Fecha Económico]]=0,0,MONTH(Indirectos[[#This Row],[Fecha Económico]]))</f>
        <v>10</v>
      </c>
      <c r="AD114" s="890">
        <f>IF(Indirectos[[#This Row],[Fecha Económico]]=0,0,YEAR(Indirectos[[#This Row],[Fecha Económico]]))</f>
        <v>2018</v>
      </c>
      <c r="AE114" s="891">
        <f>SUMPRODUCT((Indirectos[[#This Row],[Mes Económico]]=Tipo_Cambio[Mes])*(Indirectos[[#This Row],[Año Económico]]=Tipo_Cambio[Año])*(Tipo_Cambio[$/U$S]))</f>
        <v>22.666622</v>
      </c>
      <c r="AF114" s="891">
        <f>SUMPRODUCT((Indirectos[[#This Row],[Mes Económico]]=Tipo_Cambio[Mes])*(Indirectos[[#This Row],[Año Económico]]=Tipo_Cambio[Año])*(Tipo_Cambio[Actualización]))</f>
        <v>1.0612079999999999</v>
      </c>
      <c r="AG114" s="890">
        <f>IF(ISNUMBER(Indirectos[[#This Row],[Fecha Financiero]])=TRUE,MONTH(Indirectos[[#This Row],[Fecha Financiero]]),0)</f>
        <v>0</v>
      </c>
      <c r="AH114" s="890">
        <f>IF(ISNUMBER(Indirectos[[#This Row],[Fecha Financiero]])=TRUE,YEAR(Indirectos[[#This Row],[Fecha Financiero]]),0)</f>
        <v>0</v>
      </c>
      <c r="AI114" s="891">
        <f>SUMPRODUCT((Indirectos[[#This Row],[Mes Financiero]]=Tipo_Cambio[Mes])*(Indirectos[[#This Row],[Año Financiero]]=Tipo_Cambio[Año])*(Tipo_Cambio[$/U$S]))</f>
        <v>0</v>
      </c>
      <c r="AJ114" s="888">
        <f>SUMPRODUCT((Indirectos[[#This Row],[Mes Financiero]]=Tipo_Cambio[Mes])*(Indirectos[[#This Row],[Año Financiero]]=Tipo_Cambio[Año])*(Tipo_Cambio[Actualización]))</f>
        <v>0</v>
      </c>
      <c r="AK114" s="916">
        <f>IF(Económico!$F$4=0,0,Indirectos[Centro de Costo])</f>
        <v>0</v>
      </c>
    </row>
    <row r="115" spans="2:37" x14ac:dyDescent="0.25">
      <c r="D115" s="528">
        <f t="shared" si="9"/>
        <v>43405</v>
      </c>
      <c r="E115" s="493"/>
      <c r="F115" s="869" t="str">
        <f t="shared" si="8"/>
        <v>2018-2019</v>
      </c>
      <c r="G115" s="482" t="s">
        <v>283</v>
      </c>
      <c r="H115" s="481"/>
      <c r="I115" s="481" t="s">
        <v>283</v>
      </c>
      <c r="J115" s="481"/>
      <c r="K115" s="533"/>
      <c r="L115" s="484"/>
      <c r="M115" s="481"/>
      <c r="N115" s="523"/>
      <c r="O115" s="485"/>
      <c r="P115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15" s="913">
        <f>IFERROR(Indirectos[[#This Row],[Económico $Corrientes]]/Indirectos[[#This Row],[Indexación Económico]],0)</f>
        <v>0</v>
      </c>
      <c r="R115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15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15" s="913">
        <f>IFERROR(Indirectos[[#This Row],[Financiero $Corrientes]]/Indirectos[[#This Row],[Indexación Financiero]],0)</f>
        <v>0</v>
      </c>
      <c r="U115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15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15" s="890">
        <f>IFERROR(Indirectos[[#This Row],[Intereses $Corrientes]]/Indirectos[[#This Row],[Indexación Financiero]],0)</f>
        <v>0</v>
      </c>
      <c r="X115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15" s="915" t="str">
        <f>IFERROR(INDEX(Costos_Indirectos_Cuentas[],MATCH(Indirectos[[#This Row],[Cuenta Contable]],Costos_Indirectos_Cuentas[Cuenta Contable],0),2),0)</f>
        <v>Egreso</v>
      </c>
      <c r="Z115" s="887" t="str">
        <f>IFERROR(INDEX(Tabla9[],MATCH(Indirectos[[#This Row],[Movimiento]],Tabla9[Movimientos],0),2),0)</f>
        <v>Si</v>
      </c>
      <c r="AA115" s="918" t="str">
        <f>IFERROR(INDEX(Costos_Indirectos_Cuentas[],MATCH(Indirectos[[#This Row],[Cuenta Contable]],Costos_Indirectos_Cuentas[Cuenta Contable],0),3),0)</f>
        <v>Si</v>
      </c>
      <c r="AB115" s="891" t="str">
        <f>IFERROR(INDEX(Tabla9[],MATCH(Indirectos[[#This Row],[Movimiento]],Tabla9[Movimientos],0),3),0)</f>
        <v>(-)</v>
      </c>
      <c r="AC115" s="884">
        <f>IF(Indirectos[[#This Row],[Fecha Económico]]=0,0,MONTH(Indirectos[[#This Row],[Fecha Económico]]))</f>
        <v>11</v>
      </c>
      <c r="AD115" s="890">
        <f>IF(Indirectos[[#This Row],[Fecha Económico]]=0,0,YEAR(Indirectos[[#This Row],[Fecha Económico]]))</f>
        <v>2018</v>
      </c>
      <c r="AE115" s="891">
        <f>SUMPRODUCT((Indirectos[[#This Row],[Mes Económico]]=Tipo_Cambio[Mes])*(Indirectos[[#This Row],[Año Económico]]=Tipo_Cambio[Año])*(Tipo_Cambio[$/U$S]))</f>
        <v>22.893288219999999</v>
      </c>
      <c r="AF115" s="891">
        <f>SUMPRODUCT((Indirectos[[#This Row],[Mes Económico]]=Tipo_Cambio[Mes])*(Indirectos[[#This Row],[Año Económico]]=Tipo_Cambio[Año])*(Tipo_Cambio[Actualización]))</f>
        <v>1.08243216</v>
      </c>
      <c r="AG115" s="890">
        <f>IF(ISNUMBER(Indirectos[[#This Row],[Fecha Financiero]])=TRUE,MONTH(Indirectos[[#This Row],[Fecha Financiero]]),0)</f>
        <v>0</v>
      </c>
      <c r="AH115" s="890">
        <f>IF(ISNUMBER(Indirectos[[#This Row],[Fecha Financiero]])=TRUE,YEAR(Indirectos[[#This Row],[Fecha Financiero]]),0)</f>
        <v>0</v>
      </c>
      <c r="AI115" s="891">
        <f>SUMPRODUCT((Indirectos[[#This Row],[Mes Financiero]]=Tipo_Cambio[Mes])*(Indirectos[[#This Row],[Año Financiero]]=Tipo_Cambio[Año])*(Tipo_Cambio[$/U$S]))</f>
        <v>0</v>
      </c>
      <c r="AJ115" s="888">
        <f>SUMPRODUCT((Indirectos[[#This Row],[Mes Financiero]]=Tipo_Cambio[Mes])*(Indirectos[[#This Row],[Año Financiero]]=Tipo_Cambio[Año])*(Tipo_Cambio[Actualización]))</f>
        <v>0</v>
      </c>
      <c r="AK115" s="916">
        <f>IF(Económico!$F$4=0,0,Indirectos[Centro de Costo])</f>
        <v>0</v>
      </c>
    </row>
    <row r="116" spans="2:37" x14ac:dyDescent="0.25">
      <c r="D116" s="528">
        <f t="shared" si="9"/>
        <v>43435</v>
      </c>
      <c r="E116" s="493"/>
      <c r="F116" s="869" t="str">
        <f t="shared" si="8"/>
        <v>2018-2019</v>
      </c>
      <c r="G116" s="482" t="s">
        <v>283</v>
      </c>
      <c r="H116" s="481"/>
      <c r="I116" s="481" t="s">
        <v>283</v>
      </c>
      <c r="J116" s="481"/>
      <c r="K116" s="533"/>
      <c r="L116" s="484"/>
      <c r="M116" s="481"/>
      <c r="N116" s="523"/>
      <c r="O116" s="485"/>
      <c r="P116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16" s="913">
        <f>IFERROR(Indirectos[[#This Row],[Económico $Corrientes]]/Indirectos[[#This Row],[Indexación Económico]],0)</f>
        <v>0</v>
      </c>
      <c r="R116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16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16" s="913">
        <f>IFERROR(Indirectos[[#This Row],[Financiero $Corrientes]]/Indirectos[[#This Row],[Indexación Financiero]],0)</f>
        <v>0</v>
      </c>
      <c r="U116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16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16" s="890">
        <f>IFERROR(Indirectos[[#This Row],[Intereses $Corrientes]]/Indirectos[[#This Row],[Indexación Financiero]],0)</f>
        <v>0</v>
      </c>
      <c r="X116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16" s="915" t="str">
        <f>IFERROR(INDEX(Costos_Indirectos_Cuentas[],MATCH(Indirectos[[#This Row],[Cuenta Contable]],Costos_Indirectos_Cuentas[Cuenta Contable],0),2),0)</f>
        <v>Egreso</v>
      </c>
      <c r="Z116" s="887" t="str">
        <f>IFERROR(INDEX(Tabla9[],MATCH(Indirectos[[#This Row],[Movimiento]],Tabla9[Movimientos],0),2),0)</f>
        <v>Si</v>
      </c>
      <c r="AA116" s="918" t="str">
        <f>IFERROR(INDEX(Costos_Indirectos_Cuentas[],MATCH(Indirectos[[#This Row],[Cuenta Contable]],Costos_Indirectos_Cuentas[Cuenta Contable],0),3),0)</f>
        <v>Si</v>
      </c>
      <c r="AB116" s="891" t="str">
        <f>IFERROR(INDEX(Tabla9[],MATCH(Indirectos[[#This Row],[Movimiento]],Tabla9[Movimientos],0),3),0)</f>
        <v>(-)</v>
      </c>
      <c r="AC116" s="884">
        <f>IF(Indirectos[[#This Row],[Fecha Económico]]=0,0,MONTH(Indirectos[[#This Row],[Fecha Económico]]))</f>
        <v>12</v>
      </c>
      <c r="AD116" s="890">
        <f>IF(Indirectos[[#This Row],[Fecha Económico]]=0,0,YEAR(Indirectos[[#This Row],[Fecha Económico]]))</f>
        <v>2018</v>
      </c>
      <c r="AE116" s="891">
        <f>SUMPRODUCT((Indirectos[[#This Row],[Mes Económico]]=Tipo_Cambio[Mes])*(Indirectos[[#This Row],[Año Económico]]=Tipo_Cambio[Año])*(Tipo_Cambio[$/U$S]))</f>
        <v>23.122221102199997</v>
      </c>
      <c r="AF116" s="891">
        <f>SUMPRODUCT((Indirectos[[#This Row],[Mes Económico]]=Tipo_Cambio[Mes])*(Indirectos[[#This Row],[Año Económico]]=Tipo_Cambio[Año])*(Tipo_Cambio[Actualización]))</f>
        <v>1.1040808032</v>
      </c>
      <c r="AG116" s="890">
        <f>IF(ISNUMBER(Indirectos[[#This Row],[Fecha Financiero]])=TRUE,MONTH(Indirectos[[#This Row],[Fecha Financiero]]),0)</f>
        <v>0</v>
      </c>
      <c r="AH116" s="890">
        <f>IF(ISNUMBER(Indirectos[[#This Row],[Fecha Financiero]])=TRUE,YEAR(Indirectos[[#This Row],[Fecha Financiero]]),0)</f>
        <v>0</v>
      </c>
      <c r="AI116" s="891">
        <f>SUMPRODUCT((Indirectos[[#This Row],[Mes Financiero]]=Tipo_Cambio[Mes])*(Indirectos[[#This Row],[Año Financiero]]=Tipo_Cambio[Año])*(Tipo_Cambio[$/U$S]))</f>
        <v>0</v>
      </c>
      <c r="AJ116" s="888">
        <f>SUMPRODUCT((Indirectos[[#This Row],[Mes Financiero]]=Tipo_Cambio[Mes])*(Indirectos[[#This Row],[Año Financiero]]=Tipo_Cambio[Año])*(Tipo_Cambio[Actualización]))</f>
        <v>0</v>
      </c>
      <c r="AK116" s="916">
        <f>IF(Económico!$F$4=0,0,Indirectos[Centro de Costo])</f>
        <v>0</v>
      </c>
    </row>
    <row r="117" spans="2:37" x14ac:dyDescent="0.25">
      <c r="D117" s="528">
        <f t="shared" si="9"/>
        <v>43466</v>
      </c>
      <c r="E117" s="493"/>
      <c r="F117" s="869" t="str">
        <f t="shared" si="8"/>
        <v>2018-2019</v>
      </c>
      <c r="G117" s="482" t="s">
        <v>283</v>
      </c>
      <c r="H117" s="481"/>
      <c r="I117" s="481" t="s">
        <v>283</v>
      </c>
      <c r="J117" s="481"/>
      <c r="K117" s="533"/>
      <c r="L117" s="484"/>
      <c r="M117" s="481"/>
      <c r="N117" s="523"/>
      <c r="O117" s="485"/>
      <c r="P117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17" s="913">
        <f>IFERROR(Indirectos[[#This Row],[Económico $Corrientes]]/Indirectos[[#This Row],[Indexación Económico]],0)</f>
        <v>0</v>
      </c>
      <c r="R117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17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17" s="913">
        <f>IFERROR(Indirectos[[#This Row],[Financiero $Corrientes]]/Indirectos[[#This Row],[Indexación Financiero]],0)</f>
        <v>0</v>
      </c>
      <c r="U117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17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17" s="890">
        <f>IFERROR(Indirectos[[#This Row],[Intereses $Corrientes]]/Indirectos[[#This Row],[Indexación Financiero]],0)</f>
        <v>0</v>
      </c>
      <c r="X117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17" s="915" t="str">
        <f>IFERROR(INDEX(Costos_Indirectos_Cuentas[],MATCH(Indirectos[[#This Row],[Cuenta Contable]],Costos_Indirectos_Cuentas[Cuenta Contable],0),2),0)</f>
        <v>Egreso</v>
      </c>
      <c r="Z117" s="887" t="str">
        <f>IFERROR(INDEX(Tabla9[],MATCH(Indirectos[[#This Row],[Movimiento]],Tabla9[Movimientos],0),2),0)</f>
        <v>Si</v>
      </c>
      <c r="AA117" s="918" t="str">
        <f>IFERROR(INDEX(Costos_Indirectos_Cuentas[],MATCH(Indirectos[[#This Row],[Cuenta Contable]],Costos_Indirectos_Cuentas[Cuenta Contable],0),3),0)</f>
        <v>Si</v>
      </c>
      <c r="AB117" s="891" t="str">
        <f>IFERROR(INDEX(Tabla9[],MATCH(Indirectos[[#This Row],[Movimiento]],Tabla9[Movimientos],0),3),0)</f>
        <v>(-)</v>
      </c>
      <c r="AC117" s="884">
        <f>IF(Indirectos[[#This Row],[Fecha Económico]]=0,0,MONTH(Indirectos[[#This Row],[Fecha Económico]]))</f>
        <v>1</v>
      </c>
      <c r="AD117" s="890">
        <f>IF(Indirectos[[#This Row],[Fecha Económico]]=0,0,YEAR(Indirectos[[#This Row],[Fecha Económico]]))</f>
        <v>2019</v>
      </c>
      <c r="AE117" s="891">
        <f>SUMPRODUCT((Indirectos[[#This Row],[Mes Económico]]=Tipo_Cambio[Mes])*(Indirectos[[#This Row],[Año Económico]]=Tipo_Cambio[Año])*(Tipo_Cambio[$/U$S]))</f>
        <v>23.353443313221998</v>
      </c>
      <c r="AF117" s="891">
        <f>SUMPRODUCT((Indirectos[[#This Row],[Mes Económico]]=Tipo_Cambio[Mes])*(Indirectos[[#This Row],[Año Económico]]=Tipo_Cambio[Año])*(Tipo_Cambio[Actualización]))</f>
        <v>1.1261624192640001</v>
      </c>
      <c r="AG117" s="890">
        <f>IF(ISNUMBER(Indirectos[[#This Row],[Fecha Financiero]])=TRUE,MONTH(Indirectos[[#This Row],[Fecha Financiero]]),0)</f>
        <v>0</v>
      </c>
      <c r="AH117" s="890">
        <f>IF(ISNUMBER(Indirectos[[#This Row],[Fecha Financiero]])=TRUE,YEAR(Indirectos[[#This Row],[Fecha Financiero]]),0)</f>
        <v>0</v>
      </c>
      <c r="AI117" s="891">
        <f>SUMPRODUCT((Indirectos[[#This Row],[Mes Financiero]]=Tipo_Cambio[Mes])*(Indirectos[[#This Row],[Año Financiero]]=Tipo_Cambio[Año])*(Tipo_Cambio[$/U$S]))</f>
        <v>0</v>
      </c>
      <c r="AJ117" s="888">
        <f>SUMPRODUCT((Indirectos[[#This Row],[Mes Financiero]]=Tipo_Cambio[Mes])*(Indirectos[[#This Row],[Año Financiero]]=Tipo_Cambio[Año])*(Tipo_Cambio[Actualización]))</f>
        <v>0</v>
      </c>
      <c r="AK117" s="916">
        <f>IF(Económico!$F$4=0,0,Indirectos[Centro de Costo])</f>
        <v>0</v>
      </c>
    </row>
    <row r="118" spans="2:37" x14ac:dyDescent="0.25">
      <c r="D118" s="528">
        <f t="shared" si="9"/>
        <v>43497</v>
      </c>
      <c r="E118" s="493"/>
      <c r="F118" s="869" t="str">
        <f t="shared" si="8"/>
        <v>2018-2019</v>
      </c>
      <c r="G118" s="482" t="s">
        <v>283</v>
      </c>
      <c r="H118" s="481"/>
      <c r="I118" s="481" t="s">
        <v>283</v>
      </c>
      <c r="J118" s="481"/>
      <c r="K118" s="533"/>
      <c r="L118" s="484"/>
      <c r="M118" s="481"/>
      <c r="N118" s="523"/>
      <c r="O118" s="485"/>
      <c r="P118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18" s="913">
        <f>IFERROR(Indirectos[[#This Row],[Económico $Corrientes]]/Indirectos[[#This Row],[Indexación Económico]],0)</f>
        <v>0</v>
      </c>
      <c r="R118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18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18" s="913">
        <f>IFERROR(Indirectos[[#This Row],[Financiero $Corrientes]]/Indirectos[[#This Row],[Indexación Financiero]],0)</f>
        <v>0</v>
      </c>
      <c r="U118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18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18" s="890">
        <f>IFERROR(Indirectos[[#This Row],[Intereses $Corrientes]]/Indirectos[[#This Row],[Indexación Financiero]],0)</f>
        <v>0</v>
      </c>
      <c r="X118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18" s="915" t="str">
        <f>IFERROR(INDEX(Costos_Indirectos_Cuentas[],MATCH(Indirectos[[#This Row],[Cuenta Contable]],Costos_Indirectos_Cuentas[Cuenta Contable],0),2),0)</f>
        <v>Egreso</v>
      </c>
      <c r="Z118" s="887" t="str">
        <f>IFERROR(INDEX(Tabla9[],MATCH(Indirectos[[#This Row],[Movimiento]],Tabla9[Movimientos],0),2),0)</f>
        <v>Si</v>
      </c>
      <c r="AA118" s="918" t="str">
        <f>IFERROR(INDEX(Costos_Indirectos_Cuentas[],MATCH(Indirectos[[#This Row],[Cuenta Contable]],Costos_Indirectos_Cuentas[Cuenta Contable],0),3),0)</f>
        <v>Si</v>
      </c>
      <c r="AB118" s="891" t="str">
        <f>IFERROR(INDEX(Tabla9[],MATCH(Indirectos[[#This Row],[Movimiento]],Tabla9[Movimientos],0),3),0)</f>
        <v>(-)</v>
      </c>
      <c r="AC118" s="884">
        <f>IF(Indirectos[[#This Row],[Fecha Económico]]=0,0,MONTH(Indirectos[[#This Row],[Fecha Económico]]))</f>
        <v>2</v>
      </c>
      <c r="AD118" s="890">
        <f>IF(Indirectos[[#This Row],[Fecha Económico]]=0,0,YEAR(Indirectos[[#This Row],[Fecha Económico]]))</f>
        <v>2019</v>
      </c>
      <c r="AE118" s="891">
        <f>SUMPRODUCT((Indirectos[[#This Row],[Mes Económico]]=Tipo_Cambio[Mes])*(Indirectos[[#This Row],[Año Económico]]=Tipo_Cambio[Año])*(Tipo_Cambio[$/U$S]))</f>
        <v>23.586977746354219</v>
      </c>
      <c r="AF118" s="891">
        <f>SUMPRODUCT((Indirectos[[#This Row],[Mes Económico]]=Tipo_Cambio[Mes])*(Indirectos[[#This Row],[Año Económico]]=Tipo_Cambio[Año])*(Tipo_Cambio[Actualización]))</f>
        <v>1.14868566764928</v>
      </c>
      <c r="AG118" s="890">
        <f>IF(ISNUMBER(Indirectos[[#This Row],[Fecha Financiero]])=TRUE,MONTH(Indirectos[[#This Row],[Fecha Financiero]]),0)</f>
        <v>0</v>
      </c>
      <c r="AH118" s="890">
        <f>IF(ISNUMBER(Indirectos[[#This Row],[Fecha Financiero]])=TRUE,YEAR(Indirectos[[#This Row],[Fecha Financiero]]),0)</f>
        <v>0</v>
      </c>
      <c r="AI118" s="891">
        <f>SUMPRODUCT((Indirectos[[#This Row],[Mes Financiero]]=Tipo_Cambio[Mes])*(Indirectos[[#This Row],[Año Financiero]]=Tipo_Cambio[Año])*(Tipo_Cambio[$/U$S]))</f>
        <v>0</v>
      </c>
      <c r="AJ118" s="888">
        <f>SUMPRODUCT((Indirectos[[#This Row],[Mes Financiero]]=Tipo_Cambio[Mes])*(Indirectos[[#This Row],[Año Financiero]]=Tipo_Cambio[Año])*(Tipo_Cambio[Actualización]))</f>
        <v>0</v>
      </c>
      <c r="AK118" s="916">
        <f>IF(Económico!$F$4=0,0,Indirectos[Centro de Costo])</f>
        <v>0</v>
      </c>
    </row>
    <row r="119" spans="2:37" x14ac:dyDescent="0.25">
      <c r="D119" s="528">
        <f t="shared" si="9"/>
        <v>43525</v>
      </c>
      <c r="E119" s="493"/>
      <c r="F119" s="869" t="str">
        <f t="shared" si="8"/>
        <v>2018-2019</v>
      </c>
      <c r="G119" s="482" t="s">
        <v>283</v>
      </c>
      <c r="H119" s="481"/>
      <c r="I119" s="481" t="s">
        <v>283</v>
      </c>
      <c r="J119" s="481"/>
      <c r="K119" s="533"/>
      <c r="L119" s="484"/>
      <c r="M119" s="481"/>
      <c r="N119" s="523"/>
      <c r="O119" s="485"/>
      <c r="P119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19" s="913">
        <f>IFERROR(Indirectos[[#This Row],[Económico $Corrientes]]/Indirectos[[#This Row],[Indexación Económico]],0)</f>
        <v>0</v>
      </c>
      <c r="R119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19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19" s="913">
        <f>IFERROR(Indirectos[[#This Row],[Financiero $Corrientes]]/Indirectos[[#This Row],[Indexación Financiero]],0)</f>
        <v>0</v>
      </c>
      <c r="U119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19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19" s="890">
        <f>IFERROR(Indirectos[[#This Row],[Intereses $Corrientes]]/Indirectos[[#This Row],[Indexación Financiero]],0)</f>
        <v>0</v>
      </c>
      <c r="X119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19" s="915" t="str">
        <f>IFERROR(INDEX(Costos_Indirectos_Cuentas[],MATCH(Indirectos[[#This Row],[Cuenta Contable]],Costos_Indirectos_Cuentas[Cuenta Contable],0),2),0)</f>
        <v>Egreso</v>
      </c>
      <c r="Z119" s="887" t="str">
        <f>IFERROR(INDEX(Tabla9[],MATCH(Indirectos[[#This Row],[Movimiento]],Tabla9[Movimientos],0),2),0)</f>
        <v>Si</v>
      </c>
      <c r="AA119" s="918" t="str">
        <f>IFERROR(INDEX(Costos_Indirectos_Cuentas[],MATCH(Indirectos[[#This Row],[Cuenta Contable]],Costos_Indirectos_Cuentas[Cuenta Contable],0),3),0)</f>
        <v>Si</v>
      </c>
      <c r="AB119" s="891" t="str">
        <f>IFERROR(INDEX(Tabla9[],MATCH(Indirectos[[#This Row],[Movimiento]],Tabla9[Movimientos],0),3),0)</f>
        <v>(-)</v>
      </c>
      <c r="AC119" s="884">
        <f>IF(Indirectos[[#This Row],[Fecha Económico]]=0,0,MONTH(Indirectos[[#This Row],[Fecha Económico]]))</f>
        <v>3</v>
      </c>
      <c r="AD119" s="890">
        <f>IF(Indirectos[[#This Row],[Fecha Económico]]=0,0,YEAR(Indirectos[[#This Row],[Fecha Económico]]))</f>
        <v>2019</v>
      </c>
      <c r="AE119" s="891">
        <f>SUMPRODUCT((Indirectos[[#This Row],[Mes Económico]]=Tipo_Cambio[Mes])*(Indirectos[[#This Row],[Año Económico]]=Tipo_Cambio[Año])*(Tipo_Cambio[$/U$S]))</f>
        <v>23.82284752381776</v>
      </c>
      <c r="AF119" s="891">
        <f>SUMPRODUCT((Indirectos[[#This Row],[Mes Económico]]=Tipo_Cambio[Mes])*(Indirectos[[#This Row],[Año Económico]]=Tipo_Cambio[Año])*(Tipo_Cambio[Actualización]))</f>
        <v>1.1716593810022657</v>
      </c>
      <c r="AG119" s="890">
        <f>IF(ISNUMBER(Indirectos[[#This Row],[Fecha Financiero]])=TRUE,MONTH(Indirectos[[#This Row],[Fecha Financiero]]),0)</f>
        <v>0</v>
      </c>
      <c r="AH119" s="890">
        <f>IF(ISNUMBER(Indirectos[[#This Row],[Fecha Financiero]])=TRUE,YEAR(Indirectos[[#This Row],[Fecha Financiero]]),0)</f>
        <v>0</v>
      </c>
      <c r="AI119" s="891">
        <f>SUMPRODUCT((Indirectos[[#This Row],[Mes Financiero]]=Tipo_Cambio[Mes])*(Indirectos[[#This Row],[Año Financiero]]=Tipo_Cambio[Año])*(Tipo_Cambio[$/U$S]))</f>
        <v>0</v>
      </c>
      <c r="AJ119" s="888">
        <f>SUMPRODUCT((Indirectos[[#This Row],[Mes Financiero]]=Tipo_Cambio[Mes])*(Indirectos[[#This Row],[Año Financiero]]=Tipo_Cambio[Año])*(Tipo_Cambio[Actualización]))</f>
        <v>0</v>
      </c>
      <c r="AK119" s="916">
        <f>IF(Económico!$F$4=0,0,Indirectos[Centro de Costo])</f>
        <v>0</v>
      </c>
    </row>
    <row r="120" spans="2:37" x14ac:dyDescent="0.25">
      <c r="D120" s="528">
        <f t="shared" si="9"/>
        <v>43556</v>
      </c>
      <c r="E120" s="493"/>
      <c r="F120" s="869" t="str">
        <f t="shared" si="8"/>
        <v>2018-2019</v>
      </c>
      <c r="G120" s="482" t="s">
        <v>283</v>
      </c>
      <c r="H120" s="481"/>
      <c r="I120" s="481" t="s">
        <v>283</v>
      </c>
      <c r="J120" s="481"/>
      <c r="K120" s="533"/>
      <c r="L120" s="484"/>
      <c r="M120" s="481"/>
      <c r="N120" s="523"/>
      <c r="O120" s="485"/>
      <c r="P120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20" s="913">
        <f>IFERROR(Indirectos[[#This Row],[Económico $Corrientes]]/Indirectos[[#This Row],[Indexación Económico]],0)</f>
        <v>0</v>
      </c>
      <c r="R120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20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20" s="913">
        <f>IFERROR(Indirectos[[#This Row],[Financiero $Corrientes]]/Indirectos[[#This Row],[Indexación Financiero]],0)</f>
        <v>0</v>
      </c>
      <c r="U120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20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20" s="890">
        <f>IFERROR(Indirectos[[#This Row],[Intereses $Corrientes]]/Indirectos[[#This Row],[Indexación Financiero]],0)</f>
        <v>0</v>
      </c>
      <c r="X120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20" s="915" t="str">
        <f>IFERROR(INDEX(Costos_Indirectos_Cuentas[],MATCH(Indirectos[[#This Row],[Cuenta Contable]],Costos_Indirectos_Cuentas[Cuenta Contable],0),2),0)</f>
        <v>Egreso</v>
      </c>
      <c r="Z120" s="887" t="str">
        <f>IFERROR(INDEX(Tabla9[],MATCH(Indirectos[[#This Row],[Movimiento]],Tabla9[Movimientos],0),2),0)</f>
        <v>Si</v>
      </c>
      <c r="AA120" s="918" t="str">
        <f>IFERROR(INDEX(Costos_Indirectos_Cuentas[],MATCH(Indirectos[[#This Row],[Cuenta Contable]],Costos_Indirectos_Cuentas[Cuenta Contable],0),3),0)</f>
        <v>Si</v>
      </c>
      <c r="AB120" s="891" t="str">
        <f>IFERROR(INDEX(Tabla9[],MATCH(Indirectos[[#This Row],[Movimiento]],Tabla9[Movimientos],0),3),0)</f>
        <v>(-)</v>
      </c>
      <c r="AC120" s="884">
        <f>IF(Indirectos[[#This Row],[Fecha Económico]]=0,0,MONTH(Indirectos[[#This Row],[Fecha Económico]]))</f>
        <v>4</v>
      </c>
      <c r="AD120" s="890">
        <f>IF(Indirectos[[#This Row],[Fecha Económico]]=0,0,YEAR(Indirectos[[#This Row],[Fecha Económico]]))</f>
        <v>2019</v>
      </c>
      <c r="AE120" s="891">
        <f>SUMPRODUCT((Indirectos[[#This Row],[Mes Económico]]=Tipo_Cambio[Mes])*(Indirectos[[#This Row],[Año Económico]]=Tipo_Cambio[Año])*(Tipo_Cambio[$/U$S]))</f>
        <v>24.061075999055937</v>
      </c>
      <c r="AF120" s="891">
        <f>SUMPRODUCT((Indirectos[[#This Row],[Mes Económico]]=Tipo_Cambio[Mes])*(Indirectos[[#This Row],[Año Económico]]=Tipo_Cambio[Año])*(Tipo_Cambio[Actualización]))</f>
        <v>1.1950925686223111</v>
      </c>
      <c r="AG120" s="890">
        <f>IF(ISNUMBER(Indirectos[[#This Row],[Fecha Financiero]])=TRUE,MONTH(Indirectos[[#This Row],[Fecha Financiero]]),0)</f>
        <v>0</v>
      </c>
      <c r="AH120" s="890">
        <f>IF(ISNUMBER(Indirectos[[#This Row],[Fecha Financiero]])=TRUE,YEAR(Indirectos[[#This Row],[Fecha Financiero]]),0)</f>
        <v>0</v>
      </c>
      <c r="AI120" s="891">
        <f>SUMPRODUCT((Indirectos[[#This Row],[Mes Financiero]]=Tipo_Cambio[Mes])*(Indirectos[[#This Row],[Año Financiero]]=Tipo_Cambio[Año])*(Tipo_Cambio[$/U$S]))</f>
        <v>0</v>
      </c>
      <c r="AJ120" s="888">
        <f>SUMPRODUCT((Indirectos[[#This Row],[Mes Financiero]]=Tipo_Cambio[Mes])*(Indirectos[[#This Row],[Año Financiero]]=Tipo_Cambio[Año])*(Tipo_Cambio[Actualización]))</f>
        <v>0</v>
      </c>
      <c r="AK120" s="916">
        <f>IF(Económico!$F$4=0,0,Indirectos[Centro de Costo])</f>
        <v>0</v>
      </c>
    </row>
    <row r="121" spans="2:37" x14ac:dyDescent="0.25">
      <c r="D121" s="528">
        <f t="shared" si="9"/>
        <v>43586</v>
      </c>
      <c r="E121" s="493"/>
      <c r="F121" s="869" t="str">
        <f t="shared" si="8"/>
        <v>2018-2019</v>
      </c>
      <c r="G121" s="482" t="s">
        <v>283</v>
      </c>
      <c r="H121" s="481"/>
      <c r="I121" s="481" t="s">
        <v>283</v>
      </c>
      <c r="J121" s="481"/>
      <c r="K121" s="533"/>
      <c r="L121" s="484"/>
      <c r="M121" s="481"/>
      <c r="N121" s="523"/>
      <c r="O121" s="485"/>
      <c r="P121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21" s="913">
        <f>IFERROR(Indirectos[[#This Row],[Económico $Corrientes]]/Indirectos[[#This Row],[Indexación Económico]],0)</f>
        <v>0</v>
      </c>
      <c r="R121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21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21" s="913">
        <f>IFERROR(Indirectos[[#This Row],[Financiero $Corrientes]]/Indirectos[[#This Row],[Indexación Financiero]],0)</f>
        <v>0</v>
      </c>
      <c r="U121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21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21" s="890">
        <f>IFERROR(Indirectos[[#This Row],[Intereses $Corrientes]]/Indirectos[[#This Row],[Indexación Financiero]],0)</f>
        <v>0</v>
      </c>
      <c r="X121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21" s="915" t="str">
        <f>IFERROR(INDEX(Costos_Indirectos_Cuentas[],MATCH(Indirectos[[#This Row],[Cuenta Contable]],Costos_Indirectos_Cuentas[Cuenta Contable],0),2),0)</f>
        <v>Egreso</v>
      </c>
      <c r="Z121" s="887" t="str">
        <f>IFERROR(INDEX(Tabla9[],MATCH(Indirectos[[#This Row],[Movimiento]],Tabla9[Movimientos],0),2),0)</f>
        <v>Si</v>
      </c>
      <c r="AA121" s="918" t="str">
        <f>IFERROR(INDEX(Costos_Indirectos_Cuentas[],MATCH(Indirectos[[#This Row],[Cuenta Contable]],Costos_Indirectos_Cuentas[Cuenta Contable],0),3),0)</f>
        <v>Si</v>
      </c>
      <c r="AB121" s="891" t="str">
        <f>IFERROR(INDEX(Tabla9[],MATCH(Indirectos[[#This Row],[Movimiento]],Tabla9[Movimientos],0),3),0)</f>
        <v>(-)</v>
      </c>
      <c r="AC121" s="884">
        <f>IF(Indirectos[[#This Row],[Fecha Económico]]=0,0,MONTH(Indirectos[[#This Row],[Fecha Económico]]))</f>
        <v>5</v>
      </c>
      <c r="AD121" s="890">
        <f>IF(Indirectos[[#This Row],[Fecha Económico]]=0,0,YEAR(Indirectos[[#This Row],[Fecha Económico]]))</f>
        <v>2019</v>
      </c>
      <c r="AE121" s="891">
        <f>SUMPRODUCT((Indirectos[[#This Row],[Mes Económico]]=Tipo_Cambio[Mes])*(Indirectos[[#This Row],[Año Económico]]=Tipo_Cambio[Año])*(Tipo_Cambio[$/U$S]))</f>
        <v>24.301686759046497</v>
      </c>
      <c r="AF121" s="891">
        <f>SUMPRODUCT((Indirectos[[#This Row],[Mes Económico]]=Tipo_Cambio[Mes])*(Indirectos[[#This Row],[Año Económico]]=Tipo_Cambio[Año])*(Tipo_Cambio[Actualización]))</f>
        <v>1.2189944199947573</v>
      </c>
      <c r="AG121" s="890">
        <f>IF(ISNUMBER(Indirectos[[#This Row],[Fecha Financiero]])=TRUE,MONTH(Indirectos[[#This Row],[Fecha Financiero]]),0)</f>
        <v>0</v>
      </c>
      <c r="AH121" s="890">
        <f>IF(ISNUMBER(Indirectos[[#This Row],[Fecha Financiero]])=TRUE,YEAR(Indirectos[[#This Row],[Fecha Financiero]]),0)</f>
        <v>0</v>
      </c>
      <c r="AI121" s="891">
        <f>SUMPRODUCT((Indirectos[[#This Row],[Mes Financiero]]=Tipo_Cambio[Mes])*(Indirectos[[#This Row],[Año Financiero]]=Tipo_Cambio[Año])*(Tipo_Cambio[$/U$S]))</f>
        <v>0</v>
      </c>
      <c r="AJ121" s="888">
        <f>SUMPRODUCT((Indirectos[[#This Row],[Mes Financiero]]=Tipo_Cambio[Mes])*(Indirectos[[#This Row],[Año Financiero]]=Tipo_Cambio[Año])*(Tipo_Cambio[Actualización]))</f>
        <v>0</v>
      </c>
      <c r="AK121" s="916">
        <f>IF(Económico!$F$4=0,0,Indirectos[Centro de Costo])</f>
        <v>0</v>
      </c>
    </row>
    <row r="122" spans="2:37" x14ac:dyDescent="0.25">
      <c r="D122" s="528">
        <f t="shared" si="9"/>
        <v>43617</v>
      </c>
      <c r="E122" s="493"/>
      <c r="F122" s="869" t="str">
        <f t="shared" si="8"/>
        <v>2018-2019</v>
      </c>
      <c r="G122" s="482" t="s">
        <v>283</v>
      </c>
      <c r="H122" s="481"/>
      <c r="I122" s="481" t="s">
        <v>283</v>
      </c>
      <c r="J122" s="481"/>
      <c r="K122" s="533"/>
      <c r="L122" s="484"/>
      <c r="M122" s="481"/>
      <c r="N122" s="523"/>
      <c r="O122" s="485"/>
      <c r="P122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22" s="913">
        <f>IFERROR(Indirectos[[#This Row],[Económico $Corrientes]]/Indirectos[[#This Row],[Indexación Económico]],0)</f>
        <v>0</v>
      </c>
      <c r="R122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22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22" s="913">
        <f>IFERROR(Indirectos[[#This Row],[Financiero $Corrientes]]/Indirectos[[#This Row],[Indexación Financiero]],0)</f>
        <v>0</v>
      </c>
      <c r="U122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22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22" s="890">
        <f>IFERROR(Indirectos[[#This Row],[Intereses $Corrientes]]/Indirectos[[#This Row],[Indexación Financiero]],0)</f>
        <v>0</v>
      </c>
      <c r="X122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22" s="915" t="str">
        <f>IFERROR(INDEX(Costos_Indirectos_Cuentas[],MATCH(Indirectos[[#This Row],[Cuenta Contable]],Costos_Indirectos_Cuentas[Cuenta Contable],0),2),0)</f>
        <v>Egreso</v>
      </c>
      <c r="Z122" s="887" t="str">
        <f>IFERROR(INDEX(Tabla9[],MATCH(Indirectos[[#This Row],[Movimiento]],Tabla9[Movimientos],0),2),0)</f>
        <v>Si</v>
      </c>
      <c r="AA122" s="918" t="str">
        <f>IFERROR(INDEX(Costos_Indirectos_Cuentas[],MATCH(Indirectos[[#This Row],[Cuenta Contable]],Costos_Indirectos_Cuentas[Cuenta Contable],0),3),0)</f>
        <v>Si</v>
      </c>
      <c r="AB122" s="891" t="str">
        <f>IFERROR(INDEX(Tabla9[],MATCH(Indirectos[[#This Row],[Movimiento]],Tabla9[Movimientos],0),3),0)</f>
        <v>(-)</v>
      </c>
      <c r="AC122" s="884">
        <f>IF(Indirectos[[#This Row],[Fecha Económico]]=0,0,MONTH(Indirectos[[#This Row],[Fecha Económico]]))</f>
        <v>6</v>
      </c>
      <c r="AD122" s="890">
        <f>IF(Indirectos[[#This Row],[Fecha Económico]]=0,0,YEAR(Indirectos[[#This Row],[Fecha Económico]]))</f>
        <v>2019</v>
      </c>
      <c r="AE122" s="891">
        <f>SUMPRODUCT((Indirectos[[#This Row],[Mes Económico]]=Tipo_Cambio[Mes])*(Indirectos[[#This Row],[Año Económico]]=Tipo_Cambio[Año])*(Tipo_Cambio[$/U$S]))</f>
        <v>24.544703626636963</v>
      </c>
      <c r="AF122" s="891">
        <f>SUMPRODUCT((Indirectos[[#This Row],[Mes Económico]]=Tipo_Cambio[Mes])*(Indirectos[[#This Row],[Año Económico]]=Tipo_Cambio[Año])*(Tipo_Cambio[Actualización]))</f>
        <v>1.2433743083946525</v>
      </c>
      <c r="AG122" s="890">
        <f>IF(ISNUMBER(Indirectos[[#This Row],[Fecha Financiero]])=TRUE,MONTH(Indirectos[[#This Row],[Fecha Financiero]]),0)</f>
        <v>0</v>
      </c>
      <c r="AH122" s="890">
        <f>IF(ISNUMBER(Indirectos[[#This Row],[Fecha Financiero]])=TRUE,YEAR(Indirectos[[#This Row],[Fecha Financiero]]),0)</f>
        <v>0</v>
      </c>
      <c r="AI122" s="891">
        <f>SUMPRODUCT((Indirectos[[#This Row],[Mes Financiero]]=Tipo_Cambio[Mes])*(Indirectos[[#This Row],[Año Financiero]]=Tipo_Cambio[Año])*(Tipo_Cambio[$/U$S]))</f>
        <v>0</v>
      </c>
      <c r="AJ122" s="888">
        <f>SUMPRODUCT((Indirectos[[#This Row],[Mes Financiero]]=Tipo_Cambio[Mes])*(Indirectos[[#This Row],[Año Financiero]]=Tipo_Cambio[Año])*(Tipo_Cambio[Actualización]))</f>
        <v>0</v>
      </c>
      <c r="AK122" s="916">
        <f>IF(Económico!$F$4=0,0,Indirectos[Centro de Costo])</f>
        <v>0</v>
      </c>
    </row>
    <row r="123" spans="2:37" x14ac:dyDescent="0.25">
      <c r="D123" s="528"/>
      <c r="E123" s="493"/>
      <c r="F123" s="869" t="str">
        <f t="shared" si="8"/>
        <v>2018-2019</v>
      </c>
      <c r="G123" s="482"/>
      <c r="H123" s="481"/>
      <c r="I123" s="481" t="s">
        <v>283</v>
      </c>
      <c r="J123" s="481"/>
      <c r="K123" s="533"/>
      <c r="L123" s="484"/>
      <c r="M123" s="481"/>
      <c r="N123" s="523"/>
      <c r="O123" s="485"/>
      <c r="P123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23" s="913">
        <f>IFERROR(Indirectos[[#This Row],[Económico $Corrientes]]/Indirectos[[#This Row],[Indexación Económico]],0)</f>
        <v>0</v>
      </c>
      <c r="R123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23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23" s="913">
        <f>IFERROR(Indirectos[[#This Row],[Financiero $Corrientes]]/Indirectos[[#This Row],[Indexación Financiero]],0)</f>
        <v>0</v>
      </c>
      <c r="U123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23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23" s="890">
        <f>IFERROR(Indirectos[[#This Row],[Intereses $Corrientes]]/Indirectos[[#This Row],[Indexación Financiero]],0)</f>
        <v>0</v>
      </c>
      <c r="X123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23" s="915">
        <f>IFERROR(INDEX(Costos_Indirectos_Cuentas[],MATCH(Indirectos[[#This Row],[Cuenta Contable]],Costos_Indirectos_Cuentas[Cuenta Contable],0),2),0)</f>
        <v>0</v>
      </c>
      <c r="Z123" s="887">
        <f>IFERROR(INDEX(Tabla9[],MATCH(Indirectos[[#This Row],[Movimiento]],Tabla9[Movimientos],0),2),0)</f>
        <v>0</v>
      </c>
      <c r="AA123" s="918">
        <f>IFERROR(INDEX(Costos_Indirectos_Cuentas[],MATCH(Indirectos[[#This Row],[Cuenta Contable]],Costos_Indirectos_Cuentas[Cuenta Contable],0),3),0)</f>
        <v>0</v>
      </c>
      <c r="AB123" s="891">
        <f>IFERROR(INDEX(Tabla9[],MATCH(Indirectos[[#This Row],[Movimiento]],Tabla9[Movimientos],0),3),0)</f>
        <v>0</v>
      </c>
      <c r="AC123" s="884">
        <f>IF(Indirectos[[#This Row],[Fecha Económico]]=0,0,MONTH(Indirectos[[#This Row],[Fecha Económico]]))</f>
        <v>0</v>
      </c>
      <c r="AD123" s="890">
        <f>IF(Indirectos[[#This Row],[Fecha Económico]]=0,0,YEAR(Indirectos[[#This Row],[Fecha Económico]]))</f>
        <v>0</v>
      </c>
      <c r="AE123" s="891">
        <f>SUMPRODUCT((Indirectos[[#This Row],[Mes Económico]]=Tipo_Cambio[Mes])*(Indirectos[[#This Row],[Año Económico]]=Tipo_Cambio[Año])*(Tipo_Cambio[$/U$S]))</f>
        <v>0</v>
      </c>
      <c r="AF123" s="891">
        <f>SUMPRODUCT((Indirectos[[#This Row],[Mes Económico]]=Tipo_Cambio[Mes])*(Indirectos[[#This Row],[Año Económico]]=Tipo_Cambio[Año])*(Tipo_Cambio[Actualización]))</f>
        <v>0</v>
      </c>
      <c r="AG123" s="890">
        <f>IF(ISNUMBER(Indirectos[[#This Row],[Fecha Financiero]])=TRUE,MONTH(Indirectos[[#This Row],[Fecha Financiero]]),0)</f>
        <v>0</v>
      </c>
      <c r="AH123" s="890">
        <f>IF(ISNUMBER(Indirectos[[#This Row],[Fecha Financiero]])=TRUE,YEAR(Indirectos[[#This Row],[Fecha Financiero]]),0)</f>
        <v>0</v>
      </c>
      <c r="AI123" s="891">
        <f>SUMPRODUCT((Indirectos[[#This Row],[Mes Financiero]]=Tipo_Cambio[Mes])*(Indirectos[[#This Row],[Año Financiero]]=Tipo_Cambio[Año])*(Tipo_Cambio[$/U$S]))</f>
        <v>0</v>
      </c>
      <c r="AJ123" s="888">
        <f>SUMPRODUCT((Indirectos[[#This Row],[Mes Financiero]]=Tipo_Cambio[Mes])*(Indirectos[[#This Row],[Año Financiero]]=Tipo_Cambio[Año])*(Tipo_Cambio[Actualización]))</f>
        <v>0</v>
      </c>
      <c r="AK123" s="916">
        <f>IF(Económico!$F$4=0,0,Indirectos[Centro de Costo])</f>
        <v>0</v>
      </c>
    </row>
    <row r="124" spans="2:37" x14ac:dyDescent="0.25">
      <c r="D124" s="528"/>
      <c r="E124" s="493"/>
      <c r="F124" s="869" t="str">
        <f t="shared" si="8"/>
        <v>2018-2019</v>
      </c>
      <c r="G124" s="482"/>
      <c r="H124" s="481"/>
      <c r="I124" s="481" t="s">
        <v>283</v>
      </c>
      <c r="J124" s="481"/>
      <c r="K124" s="533"/>
      <c r="L124" s="484"/>
      <c r="M124" s="481"/>
      <c r="N124" s="523"/>
      <c r="O124" s="485"/>
      <c r="P124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24" s="913">
        <f>IFERROR(Indirectos[[#This Row],[Económico $Corrientes]]/Indirectos[[#This Row],[Indexación Económico]],0)</f>
        <v>0</v>
      </c>
      <c r="R124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24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24" s="913">
        <f>IFERROR(Indirectos[[#This Row],[Financiero $Corrientes]]/Indirectos[[#This Row],[Indexación Financiero]],0)</f>
        <v>0</v>
      </c>
      <c r="U124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24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24" s="890">
        <f>IFERROR(Indirectos[[#This Row],[Intereses $Corrientes]]/Indirectos[[#This Row],[Indexación Financiero]],0)</f>
        <v>0</v>
      </c>
      <c r="X124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24" s="915">
        <f>IFERROR(INDEX(Costos_Indirectos_Cuentas[],MATCH(Indirectos[[#This Row],[Cuenta Contable]],Costos_Indirectos_Cuentas[Cuenta Contable],0),2),0)</f>
        <v>0</v>
      </c>
      <c r="Z124" s="887">
        <f>IFERROR(INDEX(Tabla9[],MATCH(Indirectos[[#This Row],[Movimiento]],Tabla9[Movimientos],0),2),0)</f>
        <v>0</v>
      </c>
      <c r="AA124" s="918">
        <f>IFERROR(INDEX(Costos_Indirectos_Cuentas[],MATCH(Indirectos[[#This Row],[Cuenta Contable]],Costos_Indirectos_Cuentas[Cuenta Contable],0),3),0)</f>
        <v>0</v>
      </c>
      <c r="AB124" s="891">
        <f>IFERROR(INDEX(Tabla9[],MATCH(Indirectos[[#This Row],[Movimiento]],Tabla9[Movimientos],0),3),0)</f>
        <v>0</v>
      </c>
      <c r="AC124" s="884">
        <f>IF(Indirectos[[#This Row],[Fecha Económico]]=0,0,MONTH(Indirectos[[#This Row],[Fecha Económico]]))</f>
        <v>0</v>
      </c>
      <c r="AD124" s="890">
        <f>IF(Indirectos[[#This Row],[Fecha Económico]]=0,0,YEAR(Indirectos[[#This Row],[Fecha Económico]]))</f>
        <v>0</v>
      </c>
      <c r="AE124" s="891">
        <f>SUMPRODUCT((Indirectos[[#This Row],[Mes Económico]]=Tipo_Cambio[Mes])*(Indirectos[[#This Row],[Año Económico]]=Tipo_Cambio[Año])*(Tipo_Cambio[$/U$S]))</f>
        <v>0</v>
      </c>
      <c r="AF124" s="891">
        <f>SUMPRODUCT((Indirectos[[#This Row],[Mes Económico]]=Tipo_Cambio[Mes])*(Indirectos[[#This Row],[Año Económico]]=Tipo_Cambio[Año])*(Tipo_Cambio[Actualización]))</f>
        <v>0</v>
      </c>
      <c r="AG124" s="890">
        <f>IF(ISNUMBER(Indirectos[[#This Row],[Fecha Financiero]])=TRUE,MONTH(Indirectos[[#This Row],[Fecha Financiero]]),0)</f>
        <v>0</v>
      </c>
      <c r="AH124" s="890">
        <f>IF(ISNUMBER(Indirectos[[#This Row],[Fecha Financiero]])=TRUE,YEAR(Indirectos[[#This Row],[Fecha Financiero]]),0)</f>
        <v>0</v>
      </c>
      <c r="AI124" s="891">
        <f>SUMPRODUCT((Indirectos[[#This Row],[Mes Financiero]]=Tipo_Cambio[Mes])*(Indirectos[[#This Row],[Año Financiero]]=Tipo_Cambio[Año])*(Tipo_Cambio[$/U$S]))</f>
        <v>0</v>
      </c>
      <c r="AJ124" s="888">
        <f>SUMPRODUCT((Indirectos[[#This Row],[Mes Financiero]]=Tipo_Cambio[Mes])*(Indirectos[[#This Row],[Año Financiero]]=Tipo_Cambio[Año])*(Tipo_Cambio[Actualización]))</f>
        <v>0</v>
      </c>
      <c r="AK124" s="916">
        <f>IF(Económico!$F$4=0,0,Indirectos[Centro de Costo])</f>
        <v>0</v>
      </c>
    </row>
    <row r="125" spans="2:37" x14ac:dyDescent="0.25">
      <c r="B125" s="373" t="s">
        <v>101</v>
      </c>
      <c r="D125" s="528"/>
      <c r="E125" s="522"/>
      <c r="F125" s="869" t="str">
        <f t="shared" si="8"/>
        <v>2018-2019</v>
      </c>
      <c r="G125" s="481"/>
      <c r="H125" s="481"/>
      <c r="I125" s="481" t="s">
        <v>283</v>
      </c>
      <c r="J125" s="481"/>
      <c r="K125" s="533"/>
      <c r="L125" s="484"/>
      <c r="M125" s="481"/>
      <c r="N125" s="523"/>
      <c r="O125" s="485"/>
      <c r="P125" s="883">
        <f>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Económico]]),0)</f>
        <v>0</v>
      </c>
      <c r="Q125" s="913">
        <f>IFERROR(Indirectos[[#This Row],[Económico $Corrientes]]/Indirectos[[#This Row],[Indexación Económico]],0)</f>
        <v>0</v>
      </c>
      <c r="R125" s="882">
        <f>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Económico]]),0)</f>
        <v>0</v>
      </c>
      <c r="S125" s="883">
        <f>IF(Indirectos[[#This Row],[Fin.]]="No",0,1)*IF(Indirectos[[#This Row],[Signo]]="(+)",1,-1)*IFERROR(IF(Indirectos[[#This Row],[Moneda]]="$",Indirectos[[#This Row],[Cantidad Total]]*Indirectos[[#This Row],[Precio Unitario]],Indirectos[[#This Row],[Cantidad Total]]*Indirectos[[#This Row],[Precio Unitario]]*Indirectos[[#This Row],[T. Cambio Financiero]]),0)</f>
        <v>0</v>
      </c>
      <c r="T125" s="913">
        <f>IFERROR(Indirectos[[#This Row],[Financiero $Corrientes]]/Indirectos[[#This Row],[Indexación Financiero]],0)</f>
        <v>0</v>
      </c>
      <c r="U125" s="914">
        <f>IF(Indirectos[[#This Row],[Fin.]]="No",0,1)*IF(Indirectos[[#This Row],[Signo]]="(+)",1,-1)*IFERROR(IF(Indirectos[[#This Row],[Moneda]]="U$S",Indirectos[[#This Row],[Cantidad Total]]*Indirectos[[#This Row],[Precio Unitario]],Indirectos[[#This Row],[Cantidad Total]]*Indirectos[[#This Row],[Precio Unitario]]/Indirectos[[#This Row],[T. Cambio Financiero]]),0)</f>
        <v>0</v>
      </c>
      <c r="V125" s="884">
        <f>IFERROR((Indirectos[[#This Row],[Tasa Anual de Interés]]/12)*((Indirectos[[#This Row],[Fecha Financiero]]-Indirectos[[#This Row],[Fecha Económico]])/30)*IF(Indirectos[[#This Row],[Moneda]]="$",Indirectos[[#This Row],[Económico $Corrientes]],Indirectos[[#This Row],[Económico U$S Dólares]]*Indirectos[[#This Row],[T. Cambio Financiero]]),0)</f>
        <v>0</v>
      </c>
      <c r="W125" s="890">
        <f>IFERROR(Indirectos[[#This Row],[Intereses $Corrientes]]/Indirectos[[#This Row],[Indexación Financiero]],0)</f>
        <v>0</v>
      </c>
      <c r="X125" s="890">
        <f>IFERROR((Indirectos[[#This Row],[Tasa Anual de Interés]]/12)*((Indirectos[[#This Row],[Fecha Financiero]]-Indirectos[[#This Row],[Fecha Económico]])/30)*IF(Indirectos[[#This Row],[Moneda]]="U$$",Indirectos[[#This Row],[Económico U$S Dólares]],Indirectos[[#This Row],[Económico $Corrientes]]/Indirectos[[#This Row],[T. Cambio Financiero]]),0)</f>
        <v>0</v>
      </c>
      <c r="Y125" s="915">
        <f>IFERROR(INDEX(Costos_Indirectos_Cuentas[],MATCH(Indirectos[[#This Row],[Cuenta Contable]],Costos_Indirectos_Cuentas[Cuenta Contable],0),2),0)</f>
        <v>0</v>
      </c>
      <c r="Z125" s="887">
        <f>IFERROR(INDEX(Tabla9[],MATCH(Indirectos[[#This Row],[Movimiento]],Tabla9[Movimientos],0),2),0)</f>
        <v>0</v>
      </c>
      <c r="AA125" s="920">
        <f>IFERROR(INDEX(Costos_Indirectos_Cuentas[],MATCH(Indirectos[[#This Row],[Cuenta Contable]],Costos_Indirectos_Cuentas[Cuenta Contable],0),3),0)</f>
        <v>0</v>
      </c>
      <c r="AB125" s="891">
        <f>IFERROR(INDEX(Tabla9[],MATCH(Indirectos[[#This Row],[Movimiento]],Tabla9[Movimientos],0),3),0)</f>
        <v>0</v>
      </c>
      <c r="AC125" s="884">
        <f>IF(Indirectos[[#This Row],[Fecha Económico]]=0,0,MONTH(Indirectos[[#This Row],[Fecha Económico]]))</f>
        <v>0</v>
      </c>
      <c r="AD125" s="890">
        <f>IF(Indirectos[[#This Row],[Fecha Económico]]=0,0,YEAR(Indirectos[[#This Row],[Fecha Económico]]))</f>
        <v>0</v>
      </c>
      <c r="AE125" s="891">
        <f>SUMPRODUCT((Indirectos[[#This Row],[Mes Económico]]=Tipo_Cambio[Mes])*(Indirectos[[#This Row],[Año Económico]]=Tipo_Cambio[Año])*(Tipo_Cambio[$/U$S]))</f>
        <v>0</v>
      </c>
      <c r="AF125" s="891">
        <f>SUMPRODUCT((Indirectos[[#This Row],[Mes Económico]]=Tipo_Cambio[Mes])*(Indirectos[[#This Row],[Año Económico]]=Tipo_Cambio[Año])*(Tipo_Cambio[Actualización]))</f>
        <v>0</v>
      </c>
      <c r="AG125" s="890">
        <f>IF(ISNUMBER(Indirectos[[#This Row],[Fecha Financiero]])=TRUE,MONTH(Indirectos[[#This Row],[Fecha Financiero]]),0)</f>
        <v>0</v>
      </c>
      <c r="AH125" s="890">
        <f>IF(ISNUMBER(Indirectos[[#This Row],[Fecha Financiero]])=TRUE,YEAR(Indirectos[[#This Row],[Fecha Financiero]]),0)</f>
        <v>0</v>
      </c>
      <c r="AI125" s="891">
        <f>SUMPRODUCT((Indirectos[[#This Row],[Mes Financiero]]=Tipo_Cambio[Mes])*(Indirectos[[#This Row],[Año Financiero]]=Tipo_Cambio[Año])*(Tipo_Cambio[$/U$S]))</f>
        <v>0</v>
      </c>
      <c r="AJ125" s="888">
        <f>SUMPRODUCT((Indirectos[[#This Row],[Mes Financiero]]=Tipo_Cambio[Mes])*(Indirectos[[#This Row],[Año Financiero]]=Tipo_Cambio[Año])*(Tipo_Cambio[Actualización]))</f>
        <v>0</v>
      </c>
      <c r="AK125" s="916">
        <f>IF(Económico!$F$4=0,0,Indirectos[Centro de Costo])</f>
        <v>0</v>
      </c>
    </row>
  </sheetData>
  <conditionalFormatting sqref="E29:E33 E58:E125">
    <cfRule type="expression" dxfId="79" priority="6">
      <formula>Z29="No"</formula>
    </cfRule>
  </conditionalFormatting>
  <conditionalFormatting sqref="O5:O125">
    <cfRule type="expression" dxfId="78" priority="33">
      <formula>Z5="No"</formula>
    </cfRule>
    <cfRule type="expression" dxfId="77" priority="34">
      <formula>D5=E5</formula>
    </cfRule>
  </conditionalFormatting>
  <conditionalFormatting sqref="E5:E28">
    <cfRule type="expression" dxfId="76" priority="3">
      <formula>Z5="No"</formula>
    </cfRule>
  </conditionalFormatting>
  <conditionalFormatting sqref="E34:E57">
    <cfRule type="expression" dxfId="75" priority="1">
      <formula>Z34="No"</formula>
    </cfRule>
  </conditionalFormatting>
  <dataValidations count="6">
    <dataValidation type="list" allowBlank="1" showInputMessage="1" showErrorMessage="1" sqref="G29:G33 G58:G125">
      <formula1>Cuentas_Indirectos</formula1>
    </dataValidation>
    <dataValidation type="list" allowBlank="1" showInputMessage="1" showErrorMessage="1" sqref="G5:G28 G34:G57">
      <formula1>Otras_Cuentas</formula1>
    </dataValidation>
    <dataValidation type="list" allowBlank="1" showInputMessage="1" showErrorMessage="1" sqref="N5:N125">
      <formula1>"$,U$S"</formula1>
    </dataValidation>
    <dataValidation type="list" allowBlank="1" showInputMessage="1" showErrorMessage="1" sqref="I5:I125">
      <formula1>Actividades_Indirectos</formula1>
    </dataValidation>
    <dataValidation type="list" allowBlank="1" showInputMessage="1" showErrorMessage="1" sqref="H5:H125">
      <formula1>INDIRECT("Centros_Costo")</formula1>
    </dataValidation>
    <dataValidation type="list" allowBlank="1" showInputMessage="1" showErrorMessage="1" sqref="F5:F125">
      <formula1>INDIRECT("Campaña")</formula1>
    </dataValidation>
  </dataValidations>
  <hyperlinks>
    <hyperlink ref="D2" location="'Asistente de Carga'!A1" display="Volver al Asistente de Carga"/>
    <hyperlink ref="E2" location="'Financiero U$S'!A1" display="Presupuesto Financiero"/>
  </hyperlinks>
  <pageMargins left="0.7" right="0.7" top="0.75" bottom="0.75" header="0.3" footer="0.3"/>
  <legacy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</sheetPr>
  <dimension ref="A1:AE77"/>
  <sheetViews>
    <sheetView showGridLines="0" zoomScale="80" zoomScaleNormal="80" workbookViewId="0">
      <pane ySplit="4" topLeftCell="A5" activePane="bottomLeft" state="frozen"/>
      <selection pane="bottomLeft" activeCell="G3" sqref="G3"/>
    </sheetView>
  </sheetViews>
  <sheetFormatPr baseColWidth="10" defaultColWidth="0" defaultRowHeight="15" outlineLevelCol="1" x14ac:dyDescent="0.25"/>
  <cols>
    <col min="1" max="1" width="2.28515625" customWidth="1"/>
    <col min="2" max="2" width="8.85546875" bestFit="1" customWidth="1"/>
    <col min="3" max="3" width="2.7109375" customWidth="1"/>
    <col min="4" max="5" width="11.5703125" style="465" bestFit="1" customWidth="1"/>
    <col min="6" max="6" width="11.7109375" style="465" customWidth="1"/>
    <col min="7" max="7" width="35.7109375" style="464" bestFit="1" customWidth="1"/>
    <col min="8" max="8" width="19.5703125" style="464" customWidth="1"/>
    <col min="9" max="9" width="10.5703125" style="465" customWidth="1"/>
    <col min="10" max="10" width="7.42578125" style="464" bestFit="1" customWidth="1"/>
    <col min="11" max="11" width="12.42578125" style="464" customWidth="1"/>
    <col min="12" max="12" width="9.140625" style="464" customWidth="1"/>
    <col min="13" max="13" width="10.85546875" hidden="1" customWidth="1" outlineLevel="1"/>
    <col min="14" max="16" width="13.28515625" hidden="1" customWidth="1" outlineLevel="1"/>
    <col min="17" max="18" width="12.85546875" hidden="1" customWidth="1" outlineLevel="1"/>
    <col min="19" max="19" width="15" hidden="1" customWidth="1" outlineLevel="1"/>
    <col min="20" max="20" width="5.140625" hidden="1" customWidth="1" outlineLevel="1"/>
    <col min="21" max="21" width="16.7109375" hidden="1" customWidth="1" outlineLevel="1"/>
    <col min="22" max="22" width="9.28515625" hidden="1" customWidth="1" outlineLevel="1"/>
    <col min="23" max="23" width="10.7109375" hidden="1" customWidth="1" outlineLevel="1"/>
    <col min="24" max="24" width="11.28515625" hidden="1" customWidth="1" outlineLevel="1"/>
    <col min="25" max="26" width="11.28515625" style="192" hidden="1" customWidth="1" outlineLevel="1"/>
    <col min="27" max="27" width="12.85546875" style="192" hidden="1" customWidth="1" outlineLevel="1"/>
    <col min="28" max="29" width="11.28515625" style="192" hidden="1" customWidth="1" outlineLevel="1"/>
    <col min="30" max="30" width="10.5703125" style="192" hidden="1" customWidth="1" outlineLevel="1"/>
    <col min="31" max="31" width="12.42578125" customWidth="1" collapsed="1"/>
    <col min="32" max="16384" width="12.42578125" hidden="1"/>
  </cols>
  <sheetData>
    <row r="1" spans="2:30" x14ac:dyDescent="0.25">
      <c r="Y1" s="406"/>
      <c r="Z1" s="406"/>
      <c r="AA1" s="406"/>
      <c r="AB1" s="406"/>
      <c r="AC1" s="406"/>
      <c r="AD1" s="406"/>
    </row>
    <row r="2" spans="2:30" ht="45" x14ac:dyDescent="0.25">
      <c r="B2" s="361" t="s">
        <v>282</v>
      </c>
      <c r="D2" s="467" t="s">
        <v>477</v>
      </c>
      <c r="E2" s="468" t="s">
        <v>478</v>
      </c>
      <c r="Y2" s="406"/>
      <c r="Z2" s="406"/>
      <c r="AA2" s="406"/>
      <c r="AB2" s="406"/>
      <c r="AC2" s="406"/>
      <c r="AD2" s="406"/>
    </row>
    <row r="3" spans="2:30" x14ac:dyDescent="0.25">
      <c r="H3" s="465"/>
      <c r="J3" s="465"/>
      <c r="K3" s="469"/>
      <c r="L3" s="469"/>
      <c r="M3" s="17"/>
      <c r="N3" s="17"/>
      <c r="W3" s="192"/>
      <c r="X3" s="192"/>
      <c r="AC3"/>
      <c r="AD3"/>
    </row>
    <row r="4" spans="2:30" s="5" customFormat="1" ht="31.5" customHeight="1" x14ac:dyDescent="0.25">
      <c r="D4" s="471" t="s">
        <v>352</v>
      </c>
      <c r="E4" s="471" t="s">
        <v>15</v>
      </c>
      <c r="F4" s="472" t="s">
        <v>4</v>
      </c>
      <c r="G4" s="470" t="s">
        <v>78</v>
      </c>
      <c r="H4" s="470" t="s">
        <v>16</v>
      </c>
      <c r="I4" s="476" t="s">
        <v>89</v>
      </c>
      <c r="J4" s="475" t="s">
        <v>27</v>
      </c>
      <c r="K4" s="471" t="s">
        <v>87</v>
      </c>
      <c r="L4" s="471" t="s">
        <v>1</v>
      </c>
      <c r="M4" s="27" t="s">
        <v>354</v>
      </c>
      <c r="N4" s="6" t="s">
        <v>355</v>
      </c>
      <c r="O4" s="28" t="s">
        <v>356</v>
      </c>
      <c r="P4" s="6" t="s">
        <v>236</v>
      </c>
      <c r="Q4" s="6" t="s">
        <v>235</v>
      </c>
      <c r="R4" s="6" t="s">
        <v>357</v>
      </c>
      <c r="S4" s="33" t="s">
        <v>39</v>
      </c>
      <c r="T4" s="38" t="s">
        <v>91</v>
      </c>
      <c r="U4" s="20" t="s">
        <v>292</v>
      </c>
      <c r="V4" s="20" t="s">
        <v>64</v>
      </c>
      <c r="W4" s="38" t="s">
        <v>346</v>
      </c>
      <c r="X4" s="2" t="s">
        <v>347</v>
      </c>
      <c r="Y4" s="2" t="s">
        <v>348</v>
      </c>
      <c r="Z4" s="2" t="s">
        <v>349</v>
      </c>
      <c r="AA4" s="2" t="s">
        <v>33</v>
      </c>
      <c r="AB4" s="2" t="s">
        <v>34</v>
      </c>
      <c r="AC4" s="2" t="s">
        <v>90</v>
      </c>
      <c r="AD4" s="2" t="s">
        <v>350</v>
      </c>
    </row>
    <row r="5" spans="2:30" x14ac:dyDescent="0.25">
      <c r="B5" s="346" t="s">
        <v>400</v>
      </c>
      <c r="D5" s="478">
        <f t="shared" ref="D5:E8" si="0">Fecha_Inicio</f>
        <v>43282</v>
      </c>
      <c r="E5" s="478">
        <f t="shared" si="0"/>
        <v>43282</v>
      </c>
      <c r="F5" s="968" t="str">
        <f t="shared" ref="F5:F36" si="1">Campaña_Actual</f>
        <v>2018-2019</v>
      </c>
      <c r="G5" s="481" t="s">
        <v>288</v>
      </c>
      <c r="H5" s="481" t="s">
        <v>405</v>
      </c>
      <c r="I5" s="521">
        <v>1</v>
      </c>
      <c r="J5" s="484"/>
      <c r="K5" s="491">
        <v>350000</v>
      </c>
      <c r="L5" s="491" t="s">
        <v>48</v>
      </c>
      <c r="M5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350000</v>
      </c>
      <c r="N5" s="881"/>
      <c r="O5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15909.09090909091</v>
      </c>
      <c r="P5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350000</v>
      </c>
      <c r="Q5" s="881"/>
      <c r="R5" s="881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15909.09090909091</v>
      </c>
      <c r="S5" s="886" t="str">
        <f>IFERROR(INDEX(Cuentas_FIDI[],MATCH(Finanzas[[#This Row],[Cuenta Contable]],Cuentas_FIDI[Cuenta Contable],0),2),0)</f>
        <v>Ingreso</v>
      </c>
      <c r="T5" s="887" t="str">
        <f>IFERROR(INDEX(Tabla9[],MATCH(Finanzas[[#This Row],[Movimiento]],Tabla9[Movimientos],0),2),0)</f>
        <v>Si</v>
      </c>
      <c r="U5" s="889" t="str">
        <f>IFERROR(INDEX(Cuentas_FIDI[],MATCH(Finanzas[[#This Row],[Cuenta Contable]],Cuentas_FIDI[Cuenta Contable],0),3),0)</f>
        <v>No</v>
      </c>
      <c r="V5" s="889" t="str">
        <f>IFERROR(INDEX(Tabla9[],MATCH(Finanzas[[#This Row],[Movimiento]],Tabla9[Movimientos],0),3),0)</f>
        <v>(+)</v>
      </c>
      <c r="W5" s="884">
        <f>IF(Finanzas[[#This Row],[Fecha Económico]]=0,0,MONTH(Finanzas[[#This Row],[Fecha Económico]]))</f>
        <v>7</v>
      </c>
      <c r="X5" s="890">
        <f>IF(Finanzas[[#This Row],[Fecha Económico]]=0,0,YEAR(Finanzas[[#This Row],[Fecha Económico]]))</f>
        <v>2018</v>
      </c>
      <c r="Y5" s="891">
        <f>SUMPRODUCT((Finanzas[[#This Row],[Mes Económico]]=Tipo_Cambio[Mes])*(Finanzas[[#This Row],[Año Económico]]=Tipo_Cambio[Año])*(Tipo_Cambio[$/U$S]))</f>
        <v>22</v>
      </c>
      <c r="Z5" s="891">
        <f>SUMPRODUCT((Finanzas[[#This Row],[Mes Económico]]=Tipo_Cambio[Mes])*(Finanzas[[#This Row],[Año Económico]]=Tipo_Cambio[Año])*(Tipo_Cambio[Actualización]))</f>
        <v>1</v>
      </c>
      <c r="AA5" s="890">
        <f>IF(ISNUMBER(Finanzas[[#This Row],[Fecha Financiero]])=TRUE,MONTH(Finanzas[[#This Row],[Fecha Financiero]]),0)</f>
        <v>7</v>
      </c>
      <c r="AB5" s="890">
        <f>IF(ISNUMBER(Finanzas[[#This Row],[Fecha Financiero]])=TRUE,YEAR(Finanzas[[#This Row],[Fecha Financiero]]),0)</f>
        <v>2018</v>
      </c>
      <c r="AC5" s="891">
        <f>SUMPRODUCT((Finanzas[[#This Row],[Mes Financiero]]=Tipo_Cambio[Mes])*(Finanzas[[#This Row],[Año Financiero]]=Tipo_Cambio[Año])*(Tipo_Cambio[$/U$S]))</f>
        <v>22</v>
      </c>
      <c r="AD5" s="891">
        <f>SUMPRODUCT((Finanzas[[#This Row],[Mes Financiero]]=Tipo_Cambio[Mes])*(Finanzas[[#This Row],[Año Financiero]]=Tipo_Cambio[Año])*(Tipo_Cambio[Actualización]))</f>
        <v>1</v>
      </c>
    </row>
    <row r="6" spans="2:30" x14ac:dyDescent="0.25">
      <c r="D6" s="478">
        <f t="shared" si="0"/>
        <v>43282</v>
      </c>
      <c r="E6" s="478">
        <f t="shared" si="0"/>
        <v>43282</v>
      </c>
      <c r="F6" s="968" t="str">
        <f t="shared" si="1"/>
        <v>2018-2019</v>
      </c>
      <c r="G6" s="481" t="s">
        <v>288</v>
      </c>
      <c r="H6" s="484" t="s">
        <v>406</v>
      </c>
      <c r="I6" s="521">
        <v>1</v>
      </c>
      <c r="J6" s="484"/>
      <c r="K6" s="491">
        <v>20000</v>
      </c>
      <c r="L6" s="491" t="s">
        <v>3</v>
      </c>
      <c r="M6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440000</v>
      </c>
      <c r="N6" s="881"/>
      <c r="O6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20000</v>
      </c>
      <c r="P6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440000</v>
      </c>
      <c r="Q6" s="881"/>
      <c r="R6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20000</v>
      </c>
      <c r="S6" s="915" t="str">
        <f>IFERROR(INDEX(Cuentas_FIDI[],MATCH(Finanzas[[#This Row],[Cuenta Contable]],Cuentas_FIDI[Cuenta Contable],0),2),0)</f>
        <v>Ingreso</v>
      </c>
      <c r="T6" s="887" t="str">
        <f>IFERROR(INDEX(Tabla9[],MATCH(Finanzas[[#This Row],[Movimiento]],Tabla9[Movimientos],0),2),0)</f>
        <v>Si</v>
      </c>
      <c r="U6" s="918" t="str">
        <f>IFERROR(INDEX(Cuentas_FIDI[],MATCH(Finanzas[[#This Row],[Cuenta Contable]],Cuentas_FIDI[Cuenta Contable],0),3),0)</f>
        <v>No</v>
      </c>
      <c r="V6" s="889" t="str">
        <f>IFERROR(INDEX(Tabla9[],MATCH(Finanzas[[#This Row],[Movimiento]],Tabla9[Movimientos],0),3),0)</f>
        <v>(+)</v>
      </c>
      <c r="W6" s="884">
        <f>IF(Finanzas[[#This Row],[Fecha Económico]]=0,0,MONTH(Finanzas[[#This Row],[Fecha Económico]]))</f>
        <v>7</v>
      </c>
      <c r="X6" s="890">
        <f>IF(Finanzas[[#This Row],[Fecha Económico]]=0,0,YEAR(Finanzas[[#This Row],[Fecha Económico]]))</f>
        <v>2018</v>
      </c>
      <c r="Y6" s="891">
        <f>SUMPRODUCT((Finanzas[[#This Row],[Mes Económico]]=Tipo_Cambio[Mes])*(Finanzas[[#This Row],[Año Económico]]=Tipo_Cambio[Año])*(Tipo_Cambio[$/U$S]))</f>
        <v>22</v>
      </c>
      <c r="Z6" s="891">
        <f>SUMPRODUCT((Finanzas[[#This Row],[Mes Económico]]=Tipo_Cambio[Mes])*(Finanzas[[#This Row],[Año Económico]]=Tipo_Cambio[Año])*(Tipo_Cambio[Actualización]))</f>
        <v>1</v>
      </c>
      <c r="AA6" s="890">
        <f>IF(ISNUMBER(Finanzas[[#This Row],[Fecha Financiero]])=TRUE,MONTH(Finanzas[[#This Row],[Fecha Financiero]]),0)</f>
        <v>7</v>
      </c>
      <c r="AB6" s="890">
        <f>IF(ISNUMBER(Finanzas[[#This Row],[Fecha Financiero]])=TRUE,YEAR(Finanzas[[#This Row],[Fecha Financiero]]),0)</f>
        <v>2018</v>
      </c>
      <c r="AC6" s="891">
        <f>SUMPRODUCT((Finanzas[[#This Row],[Mes Financiero]]=Tipo_Cambio[Mes])*(Finanzas[[#This Row],[Año Financiero]]=Tipo_Cambio[Año])*(Tipo_Cambio[$/U$S]))</f>
        <v>22</v>
      </c>
      <c r="AD6" s="888">
        <f>SUMPRODUCT((Finanzas[[#This Row],[Mes Financiero]]=Tipo_Cambio[Mes])*(Finanzas[[#This Row],[Año Financiero]]=Tipo_Cambio[Año])*(Tipo_Cambio[Actualización]))</f>
        <v>1</v>
      </c>
    </row>
    <row r="7" spans="2:30" x14ac:dyDescent="0.25">
      <c r="D7" s="478">
        <f t="shared" si="0"/>
        <v>43282</v>
      </c>
      <c r="E7" s="478">
        <f t="shared" si="0"/>
        <v>43282</v>
      </c>
      <c r="F7" s="968" t="str">
        <f t="shared" si="1"/>
        <v>2018-2019</v>
      </c>
      <c r="G7" s="481" t="s">
        <v>288</v>
      </c>
      <c r="H7" s="484" t="s">
        <v>406</v>
      </c>
      <c r="I7" s="521">
        <v>1</v>
      </c>
      <c r="J7" s="484"/>
      <c r="K7" s="491"/>
      <c r="L7" s="491" t="s">
        <v>48</v>
      </c>
      <c r="M7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7" s="881"/>
      <c r="O7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7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7" s="881"/>
      <c r="R7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7" s="915" t="str">
        <f>IFERROR(INDEX(Cuentas_FIDI[],MATCH(Finanzas[[#This Row],[Cuenta Contable]],Cuentas_FIDI[Cuenta Contable],0),2),0)</f>
        <v>Ingreso</v>
      </c>
      <c r="T7" s="887" t="str">
        <f>IFERROR(INDEX(Tabla9[],MATCH(Finanzas[[#This Row],[Movimiento]],Tabla9[Movimientos],0),2),0)</f>
        <v>Si</v>
      </c>
      <c r="U7" s="918" t="str">
        <f>IFERROR(INDEX(Cuentas_FIDI[],MATCH(Finanzas[[#This Row],[Cuenta Contable]],Cuentas_FIDI[Cuenta Contable],0),3),0)</f>
        <v>No</v>
      </c>
      <c r="V7" s="889" t="str">
        <f>IFERROR(INDEX(Tabla9[],MATCH(Finanzas[[#This Row],[Movimiento]],Tabla9[Movimientos],0),3),0)</f>
        <v>(+)</v>
      </c>
      <c r="W7" s="884">
        <f>IF(Finanzas[[#This Row],[Fecha Económico]]=0,0,MONTH(Finanzas[[#This Row],[Fecha Económico]]))</f>
        <v>7</v>
      </c>
      <c r="X7" s="890">
        <f>IF(Finanzas[[#This Row],[Fecha Económico]]=0,0,YEAR(Finanzas[[#This Row],[Fecha Económico]]))</f>
        <v>2018</v>
      </c>
      <c r="Y7" s="891">
        <f>SUMPRODUCT((Finanzas[[#This Row],[Mes Económico]]=Tipo_Cambio[Mes])*(Finanzas[[#This Row],[Año Económico]]=Tipo_Cambio[Año])*(Tipo_Cambio[$/U$S]))</f>
        <v>22</v>
      </c>
      <c r="Z7" s="891">
        <f>SUMPRODUCT((Finanzas[[#This Row],[Mes Económico]]=Tipo_Cambio[Mes])*(Finanzas[[#This Row],[Año Económico]]=Tipo_Cambio[Año])*(Tipo_Cambio[Actualización]))</f>
        <v>1</v>
      </c>
      <c r="AA7" s="890">
        <f>IF(ISNUMBER(Finanzas[[#This Row],[Fecha Financiero]])=TRUE,MONTH(Finanzas[[#This Row],[Fecha Financiero]]),0)</f>
        <v>7</v>
      </c>
      <c r="AB7" s="890">
        <f>IF(ISNUMBER(Finanzas[[#This Row],[Fecha Financiero]])=TRUE,YEAR(Finanzas[[#This Row],[Fecha Financiero]]),0)</f>
        <v>2018</v>
      </c>
      <c r="AC7" s="891">
        <f>SUMPRODUCT((Finanzas[[#This Row],[Mes Financiero]]=Tipo_Cambio[Mes])*(Finanzas[[#This Row],[Año Financiero]]=Tipo_Cambio[Año])*(Tipo_Cambio[$/U$S]))</f>
        <v>22</v>
      </c>
      <c r="AD7" s="888">
        <f>SUMPRODUCT((Finanzas[[#This Row],[Mes Financiero]]=Tipo_Cambio[Mes])*(Finanzas[[#This Row],[Año Financiero]]=Tipo_Cambio[Año])*(Tipo_Cambio[Actualización]))</f>
        <v>1</v>
      </c>
    </row>
    <row r="8" spans="2:30" x14ac:dyDescent="0.25">
      <c r="D8" s="478">
        <f t="shared" si="0"/>
        <v>43282</v>
      </c>
      <c r="E8" s="478">
        <f t="shared" si="0"/>
        <v>43282</v>
      </c>
      <c r="F8" s="968" t="str">
        <f t="shared" si="1"/>
        <v>2018-2019</v>
      </c>
      <c r="G8" s="481" t="s">
        <v>288</v>
      </c>
      <c r="H8" s="484" t="s">
        <v>407</v>
      </c>
      <c r="I8" s="521">
        <v>1</v>
      </c>
      <c r="J8" s="484"/>
      <c r="K8" s="491"/>
      <c r="L8" s="491" t="s">
        <v>48</v>
      </c>
      <c r="M8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8" s="881"/>
      <c r="O8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8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8" s="881"/>
      <c r="R8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8" s="915" t="str">
        <f>IFERROR(INDEX(Cuentas_FIDI[],MATCH(Finanzas[[#This Row],[Cuenta Contable]],Cuentas_FIDI[Cuenta Contable],0),2),0)</f>
        <v>Ingreso</v>
      </c>
      <c r="T8" s="887" t="str">
        <f>IFERROR(INDEX(Tabla9[],MATCH(Finanzas[[#This Row],[Movimiento]],Tabla9[Movimientos],0),2),0)</f>
        <v>Si</v>
      </c>
      <c r="U8" s="918" t="str">
        <f>IFERROR(INDEX(Cuentas_FIDI[],MATCH(Finanzas[[#This Row],[Cuenta Contable]],Cuentas_FIDI[Cuenta Contable],0),3),0)</f>
        <v>No</v>
      </c>
      <c r="V8" s="889" t="str">
        <f>IFERROR(INDEX(Tabla9[],MATCH(Finanzas[[#This Row],[Movimiento]],Tabla9[Movimientos],0),3),0)</f>
        <v>(+)</v>
      </c>
      <c r="W8" s="884">
        <f>IF(Finanzas[[#This Row],[Fecha Económico]]=0,0,MONTH(Finanzas[[#This Row],[Fecha Económico]]))</f>
        <v>7</v>
      </c>
      <c r="X8" s="890">
        <f>IF(Finanzas[[#This Row],[Fecha Económico]]=0,0,YEAR(Finanzas[[#This Row],[Fecha Económico]]))</f>
        <v>2018</v>
      </c>
      <c r="Y8" s="891">
        <f>SUMPRODUCT((Finanzas[[#This Row],[Mes Económico]]=Tipo_Cambio[Mes])*(Finanzas[[#This Row],[Año Económico]]=Tipo_Cambio[Año])*(Tipo_Cambio[$/U$S]))</f>
        <v>22</v>
      </c>
      <c r="Z8" s="891">
        <f>SUMPRODUCT((Finanzas[[#This Row],[Mes Económico]]=Tipo_Cambio[Mes])*(Finanzas[[#This Row],[Año Económico]]=Tipo_Cambio[Año])*(Tipo_Cambio[Actualización]))</f>
        <v>1</v>
      </c>
      <c r="AA8" s="890">
        <f>IF(ISNUMBER(Finanzas[[#This Row],[Fecha Financiero]])=TRUE,MONTH(Finanzas[[#This Row],[Fecha Financiero]]),0)</f>
        <v>7</v>
      </c>
      <c r="AB8" s="890">
        <f>IF(ISNUMBER(Finanzas[[#This Row],[Fecha Financiero]])=TRUE,YEAR(Finanzas[[#This Row],[Fecha Financiero]]),0)</f>
        <v>2018</v>
      </c>
      <c r="AC8" s="891">
        <f>SUMPRODUCT((Finanzas[[#This Row],[Mes Financiero]]=Tipo_Cambio[Mes])*(Finanzas[[#This Row],[Año Financiero]]=Tipo_Cambio[Año])*(Tipo_Cambio[$/U$S]))</f>
        <v>22</v>
      </c>
      <c r="AD8" s="888">
        <f>SUMPRODUCT((Finanzas[[#This Row],[Mes Financiero]]=Tipo_Cambio[Mes])*(Finanzas[[#This Row],[Año Financiero]]=Tipo_Cambio[Año])*(Tipo_Cambio[Actualización]))</f>
        <v>1</v>
      </c>
    </row>
    <row r="9" spans="2:30" x14ac:dyDescent="0.25">
      <c r="D9" s="478"/>
      <c r="E9" s="522"/>
      <c r="F9" s="968" t="str">
        <f t="shared" si="1"/>
        <v>2018-2019</v>
      </c>
      <c r="G9" s="481"/>
      <c r="H9" s="484"/>
      <c r="I9" s="521"/>
      <c r="J9" s="484"/>
      <c r="K9" s="491"/>
      <c r="L9" s="523"/>
      <c r="M9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9" s="881"/>
      <c r="O9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9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9" s="881"/>
      <c r="R9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9" s="915">
        <f>IFERROR(INDEX(Cuentas_FIDI[],MATCH(Finanzas[[#This Row],[Cuenta Contable]],Cuentas_FIDI[Cuenta Contable],0),2),0)</f>
        <v>0</v>
      </c>
      <c r="T9" s="887">
        <f>IFERROR(INDEX(Tabla9[],MATCH(Finanzas[[#This Row],[Movimiento]],Tabla9[Movimientos],0),2),0)</f>
        <v>0</v>
      </c>
      <c r="U9" s="918">
        <f>IFERROR(INDEX(Cuentas_FIDI[],MATCH(Finanzas[[#This Row],[Cuenta Contable]],Cuentas_FIDI[Cuenta Contable],0),3),0)</f>
        <v>0</v>
      </c>
      <c r="V9" s="889">
        <f>IFERROR(INDEX(Tabla9[],MATCH(Finanzas[[#This Row],[Movimiento]],Tabla9[Movimientos],0),3),0)</f>
        <v>0</v>
      </c>
      <c r="W9" s="884">
        <f>IF(Finanzas[[#This Row],[Fecha Económico]]=0,0,MONTH(Finanzas[[#This Row],[Fecha Económico]]))</f>
        <v>0</v>
      </c>
      <c r="X9" s="890">
        <f>IF(Finanzas[[#This Row],[Fecha Económico]]=0,0,YEAR(Finanzas[[#This Row],[Fecha Económico]]))</f>
        <v>0</v>
      </c>
      <c r="Y9" s="891">
        <f>SUMPRODUCT((Finanzas[[#This Row],[Mes Económico]]=Tipo_Cambio[Mes])*(Finanzas[[#This Row],[Año Económico]]=Tipo_Cambio[Año])*(Tipo_Cambio[$/U$S]))</f>
        <v>0</v>
      </c>
      <c r="Z9" s="891">
        <f>SUMPRODUCT((Finanzas[[#This Row],[Mes Económico]]=Tipo_Cambio[Mes])*(Finanzas[[#This Row],[Año Económico]]=Tipo_Cambio[Año])*(Tipo_Cambio[Actualización]))</f>
        <v>0</v>
      </c>
      <c r="AA9" s="890">
        <f>IF(ISNUMBER(Finanzas[[#This Row],[Fecha Financiero]])=TRUE,MONTH(Finanzas[[#This Row],[Fecha Financiero]]),0)</f>
        <v>0</v>
      </c>
      <c r="AB9" s="890">
        <f>IF(ISNUMBER(Finanzas[[#This Row],[Fecha Financiero]])=TRUE,YEAR(Finanzas[[#This Row],[Fecha Financiero]]),0)</f>
        <v>0</v>
      </c>
      <c r="AC9" s="891">
        <f>SUMPRODUCT((Finanzas[[#This Row],[Mes Financiero]]=Tipo_Cambio[Mes])*(Finanzas[[#This Row],[Año Financiero]]=Tipo_Cambio[Año])*(Tipo_Cambio[$/U$S]))</f>
        <v>0</v>
      </c>
      <c r="AD9" s="888">
        <f>SUMPRODUCT((Finanzas[[#This Row],[Mes Financiero]]=Tipo_Cambio[Mes])*(Finanzas[[#This Row],[Año Financiero]]=Tipo_Cambio[Año])*(Tipo_Cambio[Actualización]))</f>
        <v>0</v>
      </c>
    </row>
    <row r="10" spans="2:30" x14ac:dyDescent="0.25">
      <c r="D10" s="478"/>
      <c r="E10" s="522"/>
      <c r="F10" s="968" t="str">
        <f t="shared" si="1"/>
        <v>2018-2019</v>
      </c>
      <c r="G10" s="481"/>
      <c r="H10" s="484"/>
      <c r="I10" s="521"/>
      <c r="J10" s="484"/>
      <c r="K10" s="491"/>
      <c r="L10" s="523"/>
      <c r="M10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10" s="881"/>
      <c r="O10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10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10" s="881"/>
      <c r="R10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10" s="915">
        <f>IFERROR(INDEX(Cuentas_FIDI[],MATCH(Finanzas[[#This Row],[Cuenta Contable]],Cuentas_FIDI[Cuenta Contable],0),2),0)</f>
        <v>0</v>
      </c>
      <c r="T10" s="887">
        <f>IFERROR(INDEX(Tabla9[],MATCH(Finanzas[[#This Row],[Movimiento]],Tabla9[Movimientos],0),2),0)</f>
        <v>0</v>
      </c>
      <c r="U10" s="918">
        <f>IFERROR(INDEX(Cuentas_FIDI[],MATCH(Finanzas[[#This Row],[Cuenta Contable]],Cuentas_FIDI[Cuenta Contable],0),3),0)</f>
        <v>0</v>
      </c>
      <c r="V10" s="889">
        <f>IFERROR(INDEX(Tabla9[],MATCH(Finanzas[[#This Row],[Movimiento]],Tabla9[Movimientos],0),3),0)</f>
        <v>0</v>
      </c>
      <c r="W10" s="884">
        <f>IF(Finanzas[[#This Row],[Fecha Económico]]=0,0,MONTH(Finanzas[[#This Row],[Fecha Económico]]))</f>
        <v>0</v>
      </c>
      <c r="X10" s="890">
        <f>IF(Finanzas[[#This Row],[Fecha Económico]]=0,0,YEAR(Finanzas[[#This Row],[Fecha Económico]]))</f>
        <v>0</v>
      </c>
      <c r="Y10" s="891">
        <f>SUMPRODUCT((Finanzas[[#This Row],[Mes Económico]]=Tipo_Cambio[Mes])*(Finanzas[[#This Row],[Año Económico]]=Tipo_Cambio[Año])*(Tipo_Cambio[$/U$S]))</f>
        <v>0</v>
      </c>
      <c r="Z10" s="891">
        <f>SUMPRODUCT((Finanzas[[#This Row],[Mes Económico]]=Tipo_Cambio[Mes])*(Finanzas[[#This Row],[Año Económico]]=Tipo_Cambio[Año])*(Tipo_Cambio[Actualización]))</f>
        <v>0</v>
      </c>
      <c r="AA10" s="890">
        <f>IF(ISNUMBER(Finanzas[[#This Row],[Fecha Financiero]])=TRUE,MONTH(Finanzas[[#This Row],[Fecha Financiero]]),0)</f>
        <v>0</v>
      </c>
      <c r="AB10" s="890">
        <f>IF(ISNUMBER(Finanzas[[#This Row],[Fecha Financiero]])=TRUE,YEAR(Finanzas[[#This Row],[Fecha Financiero]]),0)</f>
        <v>0</v>
      </c>
      <c r="AC10" s="891">
        <f>SUMPRODUCT((Finanzas[[#This Row],[Mes Financiero]]=Tipo_Cambio[Mes])*(Finanzas[[#This Row],[Año Financiero]]=Tipo_Cambio[Año])*(Tipo_Cambio[$/U$S]))</f>
        <v>0</v>
      </c>
      <c r="AD10" s="888">
        <f>SUMPRODUCT((Finanzas[[#This Row],[Mes Financiero]]=Tipo_Cambio[Mes])*(Finanzas[[#This Row],[Año Financiero]]=Tipo_Cambio[Año])*(Tipo_Cambio[Actualización]))</f>
        <v>0</v>
      </c>
    </row>
    <row r="11" spans="2:30" x14ac:dyDescent="0.25">
      <c r="D11" s="478"/>
      <c r="E11" s="522"/>
      <c r="F11" s="968" t="str">
        <f t="shared" si="1"/>
        <v>2018-2019</v>
      </c>
      <c r="G11" s="481"/>
      <c r="H11" s="484"/>
      <c r="I11" s="521"/>
      <c r="J11" s="484"/>
      <c r="K11" s="491"/>
      <c r="L11" s="523"/>
      <c r="M11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11" s="881"/>
      <c r="O11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11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11" s="881"/>
      <c r="R11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11" s="915">
        <f>IFERROR(INDEX(Cuentas_FIDI[],MATCH(Finanzas[[#This Row],[Cuenta Contable]],Cuentas_FIDI[Cuenta Contable],0),2),0)</f>
        <v>0</v>
      </c>
      <c r="T11" s="887">
        <f>IFERROR(INDEX(Tabla9[],MATCH(Finanzas[[#This Row],[Movimiento]],Tabla9[Movimientos],0),2),0)</f>
        <v>0</v>
      </c>
      <c r="U11" s="918">
        <f>IFERROR(INDEX(Cuentas_FIDI[],MATCH(Finanzas[[#This Row],[Cuenta Contable]],Cuentas_FIDI[Cuenta Contable],0),3),0)</f>
        <v>0</v>
      </c>
      <c r="V11" s="889">
        <f>IFERROR(INDEX(Tabla9[],MATCH(Finanzas[[#This Row],[Movimiento]],Tabla9[Movimientos],0),3),0)</f>
        <v>0</v>
      </c>
      <c r="W11" s="884">
        <f>IF(Finanzas[[#This Row],[Fecha Económico]]=0,0,MONTH(Finanzas[[#This Row],[Fecha Económico]]))</f>
        <v>0</v>
      </c>
      <c r="X11" s="890">
        <f>IF(Finanzas[[#This Row],[Fecha Económico]]=0,0,YEAR(Finanzas[[#This Row],[Fecha Económico]]))</f>
        <v>0</v>
      </c>
      <c r="Y11" s="891">
        <f>SUMPRODUCT((Finanzas[[#This Row],[Mes Económico]]=Tipo_Cambio[Mes])*(Finanzas[[#This Row],[Año Económico]]=Tipo_Cambio[Año])*(Tipo_Cambio[$/U$S]))</f>
        <v>0</v>
      </c>
      <c r="Z11" s="891">
        <f>SUMPRODUCT((Finanzas[[#This Row],[Mes Económico]]=Tipo_Cambio[Mes])*(Finanzas[[#This Row],[Año Económico]]=Tipo_Cambio[Año])*(Tipo_Cambio[Actualización]))</f>
        <v>0</v>
      </c>
      <c r="AA11" s="890">
        <f>IF(ISNUMBER(Finanzas[[#This Row],[Fecha Financiero]])=TRUE,MONTH(Finanzas[[#This Row],[Fecha Financiero]]),0)</f>
        <v>0</v>
      </c>
      <c r="AB11" s="890">
        <f>IF(ISNUMBER(Finanzas[[#This Row],[Fecha Financiero]])=TRUE,YEAR(Finanzas[[#This Row],[Fecha Financiero]]),0)</f>
        <v>0</v>
      </c>
      <c r="AC11" s="891">
        <f>SUMPRODUCT((Finanzas[[#This Row],[Mes Financiero]]=Tipo_Cambio[Mes])*(Finanzas[[#This Row],[Año Financiero]]=Tipo_Cambio[Año])*(Tipo_Cambio[$/U$S]))</f>
        <v>0</v>
      </c>
      <c r="AD11" s="888">
        <f>SUMPRODUCT((Finanzas[[#This Row],[Mes Financiero]]=Tipo_Cambio[Mes])*(Finanzas[[#This Row],[Año Financiero]]=Tipo_Cambio[Año])*(Tipo_Cambio[Actualización]))</f>
        <v>0</v>
      </c>
    </row>
    <row r="12" spans="2:30" ht="15.75" thickBot="1" x14ac:dyDescent="0.3">
      <c r="B12" s="86" t="s">
        <v>101</v>
      </c>
      <c r="D12" s="502"/>
      <c r="E12" s="524"/>
      <c r="F12" s="1081" t="str">
        <f t="shared" si="1"/>
        <v>2018-2019</v>
      </c>
      <c r="G12" s="525"/>
      <c r="H12" s="506"/>
      <c r="I12" s="526"/>
      <c r="J12" s="506"/>
      <c r="K12" s="525"/>
      <c r="L12" s="527"/>
      <c r="M12" s="1079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12" s="1064"/>
      <c r="O12" s="1066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12" s="106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12" s="1064"/>
      <c r="R12" s="1066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12" s="1069">
        <f>IFERROR(INDEX(Cuentas_FIDI[],MATCH(Finanzas[[#This Row],[Cuenta Contable]],Cuentas_FIDI[Cuenta Contable],0),2),0)</f>
        <v>0</v>
      </c>
      <c r="T12" s="1070">
        <f>IFERROR(INDEX(Tabla9[],MATCH(Finanzas[[#This Row],[Movimiento]],Tabla9[Movimientos],0),2),0)</f>
        <v>0</v>
      </c>
      <c r="U12" s="1071">
        <f>IFERROR(INDEX(Cuentas_FIDI[],MATCH(Finanzas[[#This Row],[Cuenta Contable]],Cuentas_FIDI[Cuenta Contable],0),3),0)</f>
        <v>0</v>
      </c>
      <c r="V12" s="1072">
        <f>IFERROR(INDEX(Tabla9[],MATCH(Finanzas[[#This Row],[Movimiento]],Tabla9[Movimientos],0),3),0)</f>
        <v>0</v>
      </c>
      <c r="W12" s="1067">
        <f>IF(Finanzas[[#This Row],[Fecha Económico]]=0,0,MONTH(Finanzas[[#This Row],[Fecha Económico]]))</f>
        <v>0</v>
      </c>
      <c r="X12" s="1068">
        <f>IF(Finanzas[[#This Row],[Fecha Económico]]=0,0,YEAR(Finanzas[[#This Row],[Fecha Económico]]))</f>
        <v>0</v>
      </c>
      <c r="Y12" s="1072">
        <f>SUMPRODUCT((Finanzas[[#This Row],[Mes Económico]]=Tipo_Cambio[Mes])*(Finanzas[[#This Row],[Año Económico]]=Tipo_Cambio[Año])*(Tipo_Cambio[$/U$S]))</f>
        <v>0</v>
      </c>
      <c r="Z12" s="1072">
        <f>SUMPRODUCT((Finanzas[[#This Row],[Mes Económico]]=Tipo_Cambio[Mes])*(Finanzas[[#This Row],[Año Económico]]=Tipo_Cambio[Año])*(Tipo_Cambio[Actualización]))</f>
        <v>0</v>
      </c>
      <c r="AA12" s="1068">
        <f>IF(ISNUMBER(Finanzas[[#This Row],[Fecha Financiero]])=TRUE,MONTH(Finanzas[[#This Row],[Fecha Financiero]]),0)</f>
        <v>0</v>
      </c>
      <c r="AB12" s="1068">
        <f>IF(ISNUMBER(Finanzas[[#This Row],[Fecha Financiero]])=TRUE,YEAR(Finanzas[[#This Row],[Fecha Financiero]]),0)</f>
        <v>0</v>
      </c>
      <c r="AC12" s="1072">
        <f>SUMPRODUCT((Finanzas[[#This Row],[Mes Financiero]]=Tipo_Cambio[Mes])*(Finanzas[[#This Row],[Año Financiero]]=Tipo_Cambio[Año])*(Tipo_Cambio[$/U$S]))</f>
        <v>0</v>
      </c>
      <c r="AD12" s="1073">
        <f>SUMPRODUCT((Finanzas[[#This Row],[Mes Financiero]]=Tipo_Cambio[Mes])*(Finanzas[[#This Row],[Año Financiero]]=Tipo_Cambio[Año])*(Tipo_Cambio[Actualización]))</f>
        <v>0</v>
      </c>
    </row>
    <row r="13" spans="2:30" ht="15.75" thickTop="1" x14ac:dyDescent="0.25">
      <c r="B13" s="346" t="s">
        <v>401</v>
      </c>
      <c r="D13" s="478">
        <f t="shared" ref="D13:E16" si="2">Fecha_Inicio</f>
        <v>43282</v>
      </c>
      <c r="E13" s="478">
        <f t="shared" si="2"/>
        <v>43282</v>
      </c>
      <c r="F13" s="968" t="str">
        <f t="shared" si="1"/>
        <v>2018-2019</v>
      </c>
      <c r="G13" s="481" t="s">
        <v>410</v>
      </c>
      <c r="H13" s="481" t="s">
        <v>411</v>
      </c>
      <c r="I13" s="521">
        <v>1</v>
      </c>
      <c r="J13" s="484"/>
      <c r="K13" s="491"/>
      <c r="L13" s="491" t="s">
        <v>3</v>
      </c>
      <c r="M13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13" s="881"/>
      <c r="O13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13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13" s="881"/>
      <c r="R13" s="881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13" s="886" t="str">
        <f>IFERROR(INDEX(Cuentas_FIDI[],MATCH(Finanzas[[#This Row],[Cuenta Contable]],Cuentas_FIDI[Cuenta Contable],0),2),0)</f>
        <v>Ingreso</v>
      </c>
      <c r="T13" s="887" t="str">
        <f>IFERROR(INDEX(Tabla9[],MATCH(Finanzas[[#This Row],[Movimiento]],Tabla9[Movimientos],0),2),0)</f>
        <v>Si</v>
      </c>
      <c r="U13" s="889" t="str">
        <f>IFERROR(INDEX(Cuentas_FIDI[],MATCH(Finanzas[[#This Row],[Cuenta Contable]],Cuentas_FIDI[Cuenta Contable],0),3),0)</f>
        <v>No</v>
      </c>
      <c r="V13" s="889" t="str">
        <f>IFERROR(INDEX(Tabla9[],MATCH(Finanzas[[#This Row],[Movimiento]],Tabla9[Movimientos],0),3),0)</f>
        <v>(+)</v>
      </c>
      <c r="W13" s="884">
        <f>IF(Finanzas[[#This Row],[Fecha Económico]]=0,0,MONTH(Finanzas[[#This Row],[Fecha Económico]]))</f>
        <v>7</v>
      </c>
      <c r="X13" s="890">
        <f>IF(Finanzas[[#This Row],[Fecha Económico]]=0,0,YEAR(Finanzas[[#This Row],[Fecha Económico]]))</f>
        <v>2018</v>
      </c>
      <c r="Y13" s="891">
        <f>SUMPRODUCT((Finanzas[[#This Row],[Mes Económico]]=Tipo_Cambio[Mes])*(Finanzas[[#This Row],[Año Económico]]=Tipo_Cambio[Año])*(Tipo_Cambio[$/U$S]))</f>
        <v>22</v>
      </c>
      <c r="Z13" s="891">
        <f>SUMPRODUCT((Finanzas[[#This Row],[Mes Económico]]=Tipo_Cambio[Mes])*(Finanzas[[#This Row],[Año Económico]]=Tipo_Cambio[Año])*(Tipo_Cambio[Actualización]))</f>
        <v>1</v>
      </c>
      <c r="AA13" s="890">
        <f>IF(ISNUMBER(Finanzas[[#This Row],[Fecha Financiero]])=TRUE,MONTH(Finanzas[[#This Row],[Fecha Financiero]]),0)</f>
        <v>7</v>
      </c>
      <c r="AB13" s="890">
        <f>IF(ISNUMBER(Finanzas[[#This Row],[Fecha Financiero]])=TRUE,YEAR(Finanzas[[#This Row],[Fecha Financiero]]),0)</f>
        <v>2018</v>
      </c>
      <c r="AC13" s="891">
        <f>SUMPRODUCT((Finanzas[[#This Row],[Mes Financiero]]=Tipo_Cambio[Mes])*(Finanzas[[#This Row],[Año Financiero]]=Tipo_Cambio[Año])*(Tipo_Cambio[$/U$S]))</f>
        <v>22</v>
      </c>
      <c r="AD13" s="891">
        <f>SUMPRODUCT((Finanzas[[#This Row],[Mes Financiero]]=Tipo_Cambio[Mes])*(Finanzas[[#This Row],[Año Financiero]]=Tipo_Cambio[Año])*(Tipo_Cambio[Actualización]))</f>
        <v>1</v>
      </c>
    </row>
    <row r="14" spans="2:30" x14ac:dyDescent="0.25">
      <c r="D14" s="478">
        <f t="shared" si="2"/>
        <v>43282</v>
      </c>
      <c r="E14" s="478">
        <f t="shared" si="2"/>
        <v>43282</v>
      </c>
      <c r="F14" s="968" t="str">
        <f t="shared" si="1"/>
        <v>2018-2019</v>
      </c>
      <c r="G14" s="481" t="s">
        <v>410</v>
      </c>
      <c r="H14" s="484" t="s">
        <v>412</v>
      </c>
      <c r="I14" s="521">
        <v>1</v>
      </c>
      <c r="J14" s="484"/>
      <c r="K14" s="491"/>
      <c r="L14" s="491" t="s">
        <v>3</v>
      </c>
      <c r="M14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14" s="881"/>
      <c r="O14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14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14" s="881"/>
      <c r="R14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14" s="915" t="str">
        <f>IFERROR(INDEX(Cuentas_FIDI[],MATCH(Finanzas[[#This Row],[Cuenta Contable]],Cuentas_FIDI[Cuenta Contable],0),2),0)</f>
        <v>Ingreso</v>
      </c>
      <c r="T14" s="887" t="str">
        <f>IFERROR(INDEX(Tabla9[],MATCH(Finanzas[[#This Row],[Movimiento]],Tabla9[Movimientos],0),2),0)</f>
        <v>Si</v>
      </c>
      <c r="U14" s="918" t="str">
        <f>IFERROR(INDEX(Cuentas_FIDI[],MATCH(Finanzas[[#This Row],[Cuenta Contable]],Cuentas_FIDI[Cuenta Contable],0),3),0)</f>
        <v>No</v>
      </c>
      <c r="V14" s="889" t="str">
        <f>IFERROR(INDEX(Tabla9[],MATCH(Finanzas[[#This Row],[Movimiento]],Tabla9[Movimientos],0),3),0)</f>
        <v>(+)</v>
      </c>
      <c r="W14" s="884">
        <f>IF(Finanzas[[#This Row],[Fecha Económico]]=0,0,MONTH(Finanzas[[#This Row],[Fecha Económico]]))</f>
        <v>7</v>
      </c>
      <c r="X14" s="890">
        <f>IF(Finanzas[[#This Row],[Fecha Económico]]=0,0,YEAR(Finanzas[[#This Row],[Fecha Económico]]))</f>
        <v>2018</v>
      </c>
      <c r="Y14" s="891">
        <f>SUMPRODUCT((Finanzas[[#This Row],[Mes Económico]]=Tipo_Cambio[Mes])*(Finanzas[[#This Row],[Año Económico]]=Tipo_Cambio[Año])*(Tipo_Cambio[$/U$S]))</f>
        <v>22</v>
      </c>
      <c r="Z14" s="891">
        <f>SUMPRODUCT((Finanzas[[#This Row],[Mes Económico]]=Tipo_Cambio[Mes])*(Finanzas[[#This Row],[Año Económico]]=Tipo_Cambio[Año])*(Tipo_Cambio[Actualización]))</f>
        <v>1</v>
      </c>
      <c r="AA14" s="890">
        <f>IF(ISNUMBER(Finanzas[[#This Row],[Fecha Financiero]])=TRUE,MONTH(Finanzas[[#This Row],[Fecha Financiero]]),0)</f>
        <v>7</v>
      </c>
      <c r="AB14" s="890">
        <f>IF(ISNUMBER(Finanzas[[#This Row],[Fecha Financiero]])=TRUE,YEAR(Finanzas[[#This Row],[Fecha Financiero]]),0)</f>
        <v>2018</v>
      </c>
      <c r="AC14" s="891">
        <f>SUMPRODUCT((Finanzas[[#This Row],[Mes Financiero]]=Tipo_Cambio[Mes])*(Finanzas[[#This Row],[Año Financiero]]=Tipo_Cambio[Año])*(Tipo_Cambio[$/U$S]))</f>
        <v>22</v>
      </c>
      <c r="AD14" s="888">
        <f>SUMPRODUCT((Finanzas[[#This Row],[Mes Financiero]]=Tipo_Cambio[Mes])*(Finanzas[[#This Row],[Año Financiero]]=Tipo_Cambio[Año])*(Tipo_Cambio[Actualización]))</f>
        <v>1</v>
      </c>
    </row>
    <row r="15" spans="2:30" x14ac:dyDescent="0.25">
      <c r="D15" s="478">
        <f t="shared" si="2"/>
        <v>43282</v>
      </c>
      <c r="E15" s="478">
        <f t="shared" si="2"/>
        <v>43282</v>
      </c>
      <c r="F15" s="968" t="str">
        <f t="shared" si="1"/>
        <v>2018-2019</v>
      </c>
      <c r="G15" s="481" t="s">
        <v>410</v>
      </c>
      <c r="H15" s="484" t="s">
        <v>413</v>
      </c>
      <c r="I15" s="521">
        <v>1</v>
      </c>
      <c r="J15" s="484"/>
      <c r="K15" s="491"/>
      <c r="L15" s="491" t="s">
        <v>48</v>
      </c>
      <c r="M15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15" s="881"/>
      <c r="O15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15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15" s="881"/>
      <c r="R15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15" s="915" t="str">
        <f>IFERROR(INDEX(Cuentas_FIDI[],MATCH(Finanzas[[#This Row],[Cuenta Contable]],Cuentas_FIDI[Cuenta Contable],0),2),0)</f>
        <v>Ingreso</v>
      </c>
      <c r="T15" s="887" t="str">
        <f>IFERROR(INDEX(Tabla9[],MATCH(Finanzas[[#This Row],[Movimiento]],Tabla9[Movimientos],0),2),0)</f>
        <v>Si</v>
      </c>
      <c r="U15" s="918" t="str">
        <f>IFERROR(INDEX(Cuentas_FIDI[],MATCH(Finanzas[[#This Row],[Cuenta Contable]],Cuentas_FIDI[Cuenta Contable],0),3),0)</f>
        <v>No</v>
      </c>
      <c r="V15" s="889" t="str">
        <f>IFERROR(INDEX(Tabla9[],MATCH(Finanzas[[#This Row],[Movimiento]],Tabla9[Movimientos],0),3),0)</f>
        <v>(+)</v>
      </c>
      <c r="W15" s="884">
        <f>IF(Finanzas[[#This Row],[Fecha Económico]]=0,0,MONTH(Finanzas[[#This Row],[Fecha Económico]]))</f>
        <v>7</v>
      </c>
      <c r="X15" s="890">
        <f>IF(Finanzas[[#This Row],[Fecha Económico]]=0,0,YEAR(Finanzas[[#This Row],[Fecha Económico]]))</f>
        <v>2018</v>
      </c>
      <c r="Y15" s="891">
        <f>SUMPRODUCT((Finanzas[[#This Row],[Mes Económico]]=Tipo_Cambio[Mes])*(Finanzas[[#This Row],[Año Económico]]=Tipo_Cambio[Año])*(Tipo_Cambio[$/U$S]))</f>
        <v>22</v>
      </c>
      <c r="Z15" s="891">
        <f>SUMPRODUCT((Finanzas[[#This Row],[Mes Económico]]=Tipo_Cambio[Mes])*(Finanzas[[#This Row],[Año Económico]]=Tipo_Cambio[Año])*(Tipo_Cambio[Actualización]))</f>
        <v>1</v>
      </c>
      <c r="AA15" s="890">
        <f>IF(ISNUMBER(Finanzas[[#This Row],[Fecha Financiero]])=TRUE,MONTH(Finanzas[[#This Row],[Fecha Financiero]]),0)</f>
        <v>7</v>
      </c>
      <c r="AB15" s="890">
        <f>IF(ISNUMBER(Finanzas[[#This Row],[Fecha Financiero]])=TRUE,YEAR(Finanzas[[#This Row],[Fecha Financiero]]),0)</f>
        <v>2018</v>
      </c>
      <c r="AC15" s="891">
        <f>SUMPRODUCT((Finanzas[[#This Row],[Mes Financiero]]=Tipo_Cambio[Mes])*(Finanzas[[#This Row],[Año Financiero]]=Tipo_Cambio[Año])*(Tipo_Cambio[$/U$S]))</f>
        <v>22</v>
      </c>
      <c r="AD15" s="888">
        <f>SUMPRODUCT((Finanzas[[#This Row],[Mes Financiero]]=Tipo_Cambio[Mes])*(Finanzas[[#This Row],[Año Financiero]]=Tipo_Cambio[Año])*(Tipo_Cambio[Actualización]))</f>
        <v>1</v>
      </c>
    </row>
    <row r="16" spans="2:30" x14ac:dyDescent="0.25">
      <c r="D16" s="478">
        <f t="shared" si="2"/>
        <v>43282</v>
      </c>
      <c r="E16" s="478">
        <f t="shared" si="2"/>
        <v>43282</v>
      </c>
      <c r="F16" s="968" t="str">
        <f t="shared" si="1"/>
        <v>2018-2019</v>
      </c>
      <c r="G16" s="481" t="s">
        <v>410</v>
      </c>
      <c r="H16" s="484" t="s">
        <v>414</v>
      </c>
      <c r="I16" s="521">
        <v>1</v>
      </c>
      <c r="J16" s="484"/>
      <c r="K16" s="491"/>
      <c r="L16" s="491" t="s">
        <v>48</v>
      </c>
      <c r="M16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16" s="881"/>
      <c r="O16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16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16" s="881"/>
      <c r="R16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16" s="915" t="str">
        <f>IFERROR(INDEX(Cuentas_FIDI[],MATCH(Finanzas[[#This Row],[Cuenta Contable]],Cuentas_FIDI[Cuenta Contable],0),2),0)</f>
        <v>Ingreso</v>
      </c>
      <c r="T16" s="887" t="str">
        <f>IFERROR(INDEX(Tabla9[],MATCH(Finanzas[[#This Row],[Movimiento]],Tabla9[Movimientos],0),2),0)</f>
        <v>Si</v>
      </c>
      <c r="U16" s="918" t="str">
        <f>IFERROR(INDEX(Cuentas_FIDI[],MATCH(Finanzas[[#This Row],[Cuenta Contable]],Cuentas_FIDI[Cuenta Contable],0),3),0)</f>
        <v>No</v>
      </c>
      <c r="V16" s="889" t="str">
        <f>IFERROR(INDEX(Tabla9[],MATCH(Finanzas[[#This Row],[Movimiento]],Tabla9[Movimientos],0),3),0)</f>
        <v>(+)</v>
      </c>
      <c r="W16" s="884">
        <f>IF(Finanzas[[#This Row],[Fecha Económico]]=0,0,MONTH(Finanzas[[#This Row],[Fecha Económico]]))</f>
        <v>7</v>
      </c>
      <c r="X16" s="890">
        <f>IF(Finanzas[[#This Row],[Fecha Económico]]=0,0,YEAR(Finanzas[[#This Row],[Fecha Económico]]))</f>
        <v>2018</v>
      </c>
      <c r="Y16" s="891">
        <f>SUMPRODUCT((Finanzas[[#This Row],[Mes Económico]]=Tipo_Cambio[Mes])*(Finanzas[[#This Row],[Año Económico]]=Tipo_Cambio[Año])*(Tipo_Cambio[$/U$S]))</f>
        <v>22</v>
      </c>
      <c r="Z16" s="891">
        <f>SUMPRODUCT((Finanzas[[#This Row],[Mes Económico]]=Tipo_Cambio[Mes])*(Finanzas[[#This Row],[Año Económico]]=Tipo_Cambio[Año])*(Tipo_Cambio[Actualización]))</f>
        <v>1</v>
      </c>
      <c r="AA16" s="890">
        <f>IF(ISNUMBER(Finanzas[[#This Row],[Fecha Financiero]])=TRUE,MONTH(Finanzas[[#This Row],[Fecha Financiero]]),0)</f>
        <v>7</v>
      </c>
      <c r="AB16" s="890">
        <f>IF(ISNUMBER(Finanzas[[#This Row],[Fecha Financiero]])=TRUE,YEAR(Finanzas[[#This Row],[Fecha Financiero]]),0)</f>
        <v>2018</v>
      </c>
      <c r="AC16" s="891">
        <f>SUMPRODUCT((Finanzas[[#This Row],[Mes Financiero]]=Tipo_Cambio[Mes])*(Finanzas[[#This Row],[Año Financiero]]=Tipo_Cambio[Año])*(Tipo_Cambio[$/U$S]))</f>
        <v>22</v>
      </c>
      <c r="AD16" s="888">
        <f>SUMPRODUCT((Finanzas[[#This Row],[Mes Financiero]]=Tipo_Cambio[Mes])*(Finanzas[[#This Row],[Año Financiero]]=Tipo_Cambio[Año])*(Tipo_Cambio[Actualización]))</f>
        <v>1</v>
      </c>
    </row>
    <row r="17" spans="2:30" x14ac:dyDescent="0.25">
      <c r="D17" s="478"/>
      <c r="E17" s="522"/>
      <c r="F17" s="968" t="str">
        <f t="shared" si="1"/>
        <v>2018-2019</v>
      </c>
      <c r="G17" s="481"/>
      <c r="H17" s="484"/>
      <c r="I17" s="521"/>
      <c r="J17" s="484"/>
      <c r="K17" s="491"/>
      <c r="L17" s="523"/>
      <c r="M17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17" s="881"/>
      <c r="O17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17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17" s="881"/>
      <c r="R17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17" s="915">
        <f>IFERROR(INDEX(Cuentas_FIDI[],MATCH(Finanzas[[#This Row],[Cuenta Contable]],Cuentas_FIDI[Cuenta Contable],0),2),0)</f>
        <v>0</v>
      </c>
      <c r="T17" s="887">
        <f>IFERROR(INDEX(Tabla9[],MATCH(Finanzas[[#This Row],[Movimiento]],Tabla9[Movimientos],0),2),0)</f>
        <v>0</v>
      </c>
      <c r="U17" s="918">
        <f>IFERROR(INDEX(Cuentas_FIDI[],MATCH(Finanzas[[#This Row],[Cuenta Contable]],Cuentas_FIDI[Cuenta Contable],0),3),0)</f>
        <v>0</v>
      </c>
      <c r="V17" s="889">
        <f>IFERROR(INDEX(Tabla9[],MATCH(Finanzas[[#This Row],[Movimiento]],Tabla9[Movimientos],0),3),0)</f>
        <v>0</v>
      </c>
      <c r="W17" s="884">
        <f>IF(Finanzas[[#This Row],[Fecha Económico]]=0,0,MONTH(Finanzas[[#This Row],[Fecha Económico]]))</f>
        <v>0</v>
      </c>
      <c r="X17" s="890">
        <f>IF(Finanzas[[#This Row],[Fecha Económico]]=0,0,YEAR(Finanzas[[#This Row],[Fecha Económico]]))</f>
        <v>0</v>
      </c>
      <c r="Y17" s="891">
        <f>SUMPRODUCT((Finanzas[[#This Row],[Mes Económico]]=Tipo_Cambio[Mes])*(Finanzas[[#This Row],[Año Económico]]=Tipo_Cambio[Año])*(Tipo_Cambio[$/U$S]))</f>
        <v>0</v>
      </c>
      <c r="Z17" s="891">
        <f>SUMPRODUCT((Finanzas[[#This Row],[Mes Económico]]=Tipo_Cambio[Mes])*(Finanzas[[#This Row],[Año Económico]]=Tipo_Cambio[Año])*(Tipo_Cambio[Actualización]))</f>
        <v>0</v>
      </c>
      <c r="AA17" s="890">
        <f>IF(ISNUMBER(Finanzas[[#This Row],[Fecha Financiero]])=TRUE,MONTH(Finanzas[[#This Row],[Fecha Financiero]]),0)</f>
        <v>0</v>
      </c>
      <c r="AB17" s="890">
        <f>IF(ISNUMBER(Finanzas[[#This Row],[Fecha Financiero]])=TRUE,YEAR(Finanzas[[#This Row],[Fecha Financiero]]),0)</f>
        <v>0</v>
      </c>
      <c r="AC17" s="891">
        <f>SUMPRODUCT((Finanzas[[#This Row],[Mes Financiero]]=Tipo_Cambio[Mes])*(Finanzas[[#This Row],[Año Financiero]]=Tipo_Cambio[Año])*(Tipo_Cambio[$/U$S]))</f>
        <v>0</v>
      </c>
      <c r="AD17" s="888">
        <f>SUMPRODUCT((Finanzas[[#This Row],[Mes Financiero]]=Tipo_Cambio[Mes])*(Finanzas[[#This Row],[Año Financiero]]=Tipo_Cambio[Año])*(Tipo_Cambio[Actualización]))</f>
        <v>0</v>
      </c>
    </row>
    <row r="18" spans="2:30" x14ac:dyDescent="0.25">
      <c r="D18" s="478"/>
      <c r="E18" s="522"/>
      <c r="F18" s="968" t="str">
        <f t="shared" si="1"/>
        <v>2018-2019</v>
      </c>
      <c r="G18" s="481"/>
      <c r="H18" s="484"/>
      <c r="I18" s="521"/>
      <c r="J18" s="484"/>
      <c r="K18" s="491"/>
      <c r="L18" s="523"/>
      <c r="M18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18" s="881"/>
      <c r="O18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18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18" s="881"/>
      <c r="R18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18" s="915">
        <f>IFERROR(INDEX(Cuentas_FIDI[],MATCH(Finanzas[[#This Row],[Cuenta Contable]],Cuentas_FIDI[Cuenta Contable],0),2),0)</f>
        <v>0</v>
      </c>
      <c r="T18" s="887">
        <f>IFERROR(INDEX(Tabla9[],MATCH(Finanzas[[#This Row],[Movimiento]],Tabla9[Movimientos],0),2),0)</f>
        <v>0</v>
      </c>
      <c r="U18" s="918">
        <f>IFERROR(INDEX(Cuentas_FIDI[],MATCH(Finanzas[[#This Row],[Cuenta Contable]],Cuentas_FIDI[Cuenta Contable],0),3),0)</f>
        <v>0</v>
      </c>
      <c r="V18" s="889">
        <f>IFERROR(INDEX(Tabla9[],MATCH(Finanzas[[#This Row],[Movimiento]],Tabla9[Movimientos],0),3),0)</f>
        <v>0</v>
      </c>
      <c r="W18" s="884">
        <f>IF(Finanzas[[#This Row],[Fecha Económico]]=0,0,MONTH(Finanzas[[#This Row],[Fecha Económico]]))</f>
        <v>0</v>
      </c>
      <c r="X18" s="890">
        <f>IF(Finanzas[[#This Row],[Fecha Económico]]=0,0,YEAR(Finanzas[[#This Row],[Fecha Económico]]))</f>
        <v>0</v>
      </c>
      <c r="Y18" s="891">
        <f>SUMPRODUCT((Finanzas[[#This Row],[Mes Económico]]=Tipo_Cambio[Mes])*(Finanzas[[#This Row],[Año Económico]]=Tipo_Cambio[Año])*(Tipo_Cambio[$/U$S]))</f>
        <v>0</v>
      </c>
      <c r="Z18" s="891">
        <f>SUMPRODUCT((Finanzas[[#This Row],[Mes Económico]]=Tipo_Cambio[Mes])*(Finanzas[[#This Row],[Año Económico]]=Tipo_Cambio[Año])*(Tipo_Cambio[Actualización]))</f>
        <v>0</v>
      </c>
      <c r="AA18" s="890">
        <f>IF(ISNUMBER(Finanzas[[#This Row],[Fecha Financiero]])=TRUE,MONTH(Finanzas[[#This Row],[Fecha Financiero]]),0)</f>
        <v>0</v>
      </c>
      <c r="AB18" s="890">
        <f>IF(ISNUMBER(Finanzas[[#This Row],[Fecha Financiero]])=TRUE,YEAR(Finanzas[[#This Row],[Fecha Financiero]]),0)</f>
        <v>0</v>
      </c>
      <c r="AC18" s="891">
        <f>SUMPRODUCT((Finanzas[[#This Row],[Mes Financiero]]=Tipo_Cambio[Mes])*(Finanzas[[#This Row],[Año Financiero]]=Tipo_Cambio[Año])*(Tipo_Cambio[$/U$S]))</f>
        <v>0</v>
      </c>
      <c r="AD18" s="888">
        <f>SUMPRODUCT((Finanzas[[#This Row],[Mes Financiero]]=Tipo_Cambio[Mes])*(Finanzas[[#This Row],[Año Financiero]]=Tipo_Cambio[Año])*(Tipo_Cambio[Actualización]))</f>
        <v>0</v>
      </c>
    </row>
    <row r="19" spans="2:30" x14ac:dyDescent="0.25">
      <c r="D19" s="478"/>
      <c r="E19" s="522"/>
      <c r="F19" s="968" t="str">
        <f t="shared" si="1"/>
        <v>2018-2019</v>
      </c>
      <c r="G19" s="481"/>
      <c r="H19" s="484"/>
      <c r="I19" s="521"/>
      <c r="J19" s="484"/>
      <c r="K19" s="491"/>
      <c r="L19" s="523"/>
      <c r="M19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19" s="881"/>
      <c r="O19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19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19" s="881"/>
      <c r="R19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19" s="915">
        <f>IFERROR(INDEX(Cuentas_FIDI[],MATCH(Finanzas[[#This Row],[Cuenta Contable]],Cuentas_FIDI[Cuenta Contable],0),2),0)</f>
        <v>0</v>
      </c>
      <c r="T19" s="887">
        <f>IFERROR(INDEX(Tabla9[],MATCH(Finanzas[[#This Row],[Movimiento]],Tabla9[Movimientos],0),2),0)</f>
        <v>0</v>
      </c>
      <c r="U19" s="918">
        <f>IFERROR(INDEX(Cuentas_FIDI[],MATCH(Finanzas[[#This Row],[Cuenta Contable]],Cuentas_FIDI[Cuenta Contable],0),3),0)</f>
        <v>0</v>
      </c>
      <c r="V19" s="889">
        <f>IFERROR(INDEX(Tabla9[],MATCH(Finanzas[[#This Row],[Movimiento]],Tabla9[Movimientos],0),3),0)</f>
        <v>0</v>
      </c>
      <c r="W19" s="884">
        <f>IF(Finanzas[[#This Row],[Fecha Económico]]=0,0,MONTH(Finanzas[[#This Row],[Fecha Económico]]))</f>
        <v>0</v>
      </c>
      <c r="X19" s="890">
        <f>IF(Finanzas[[#This Row],[Fecha Económico]]=0,0,YEAR(Finanzas[[#This Row],[Fecha Económico]]))</f>
        <v>0</v>
      </c>
      <c r="Y19" s="891">
        <f>SUMPRODUCT((Finanzas[[#This Row],[Mes Económico]]=Tipo_Cambio[Mes])*(Finanzas[[#This Row],[Año Económico]]=Tipo_Cambio[Año])*(Tipo_Cambio[$/U$S]))</f>
        <v>0</v>
      </c>
      <c r="Z19" s="891">
        <f>SUMPRODUCT((Finanzas[[#This Row],[Mes Económico]]=Tipo_Cambio[Mes])*(Finanzas[[#This Row],[Año Económico]]=Tipo_Cambio[Año])*(Tipo_Cambio[Actualización]))</f>
        <v>0</v>
      </c>
      <c r="AA19" s="890">
        <f>IF(ISNUMBER(Finanzas[[#This Row],[Fecha Financiero]])=TRUE,MONTH(Finanzas[[#This Row],[Fecha Financiero]]),0)</f>
        <v>0</v>
      </c>
      <c r="AB19" s="890">
        <f>IF(ISNUMBER(Finanzas[[#This Row],[Fecha Financiero]])=TRUE,YEAR(Finanzas[[#This Row],[Fecha Financiero]]),0)</f>
        <v>0</v>
      </c>
      <c r="AC19" s="891">
        <f>SUMPRODUCT((Finanzas[[#This Row],[Mes Financiero]]=Tipo_Cambio[Mes])*(Finanzas[[#This Row],[Año Financiero]]=Tipo_Cambio[Año])*(Tipo_Cambio[$/U$S]))</f>
        <v>0</v>
      </c>
      <c r="AD19" s="888">
        <f>SUMPRODUCT((Finanzas[[#This Row],[Mes Financiero]]=Tipo_Cambio[Mes])*(Finanzas[[#This Row],[Año Financiero]]=Tipo_Cambio[Año])*(Tipo_Cambio[Actualización]))</f>
        <v>0</v>
      </c>
    </row>
    <row r="20" spans="2:30" ht="15.75" thickBot="1" x14ac:dyDescent="0.3">
      <c r="B20" s="86" t="s">
        <v>101</v>
      </c>
      <c r="D20" s="502"/>
      <c r="E20" s="524"/>
      <c r="F20" s="1081" t="str">
        <f t="shared" si="1"/>
        <v>2018-2019</v>
      </c>
      <c r="G20" s="525"/>
      <c r="H20" s="506"/>
      <c r="I20" s="526"/>
      <c r="J20" s="506"/>
      <c r="K20" s="525"/>
      <c r="L20" s="527"/>
      <c r="M20" s="1079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20" s="1064"/>
      <c r="O20" s="1066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20" s="106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20" s="1064"/>
      <c r="R20" s="1066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20" s="1069">
        <f>IFERROR(INDEX(Cuentas_FIDI[],MATCH(Finanzas[[#This Row],[Cuenta Contable]],Cuentas_FIDI[Cuenta Contable],0),2),0)</f>
        <v>0</v>
      </c>
      <c r="T20" s="1070">
        <f>IFERROR(INDEX(Tabla9[],MATCH(Finanzas[[#This Row],[Movimiento]],Tabla9[Movimientos],0),2),0)</f>
        <v>0</v>
      </c>
      <c r="U20" s="1071">
        <f>IFERROR(INDEX(Cuentas_FIDI[],MATCH(Finanzas[[#This Row],[Cuenta Contable]],Cuentas_FIDI[Cuenta Contable],0),3),0)</f>
        <v>0</v>
      </c>
      <c r="V20" s="1072">
        <f>IFERROR(INDEX(Tabla9[],MATCH(Finanzas[[#This Row],[Movimiento]],Tabla9[Movimientos],0),3),0)</f>
        <v>0</v>
      </c>
      <c r="W20" s="1067">
        <f>IF(Finanzas[[#This Row],[Fecha Económico]]=0,0,MONTH(Finanzas[[#This Row],[Fecha Económico]]))</f>
        <v>0</v>
      </c>
      <c r="X20" s="1068">
        <f>IF(Finanzas[[#This Row],[Fecha Económico]]=0,0,YEAR(Finanzas[[#This Row],[Fecha Económico]]))</f>
        <v>0</v>
      </c>
      <c r="Y20" s="1072">
        <f>SUMPRODUCT((Finanzas[[#This Row],[Mes Económico]]=Tipo_Cambio[Mes])*(Finanzas[[#This Row],[Año Económico]]=Tipo_Cambio[Año])*(Tipo_Cambio[$/U$S]))</f>
        <v>0</v>
      </c>
      <c r="Z20" s="1072">
        <f>SUMPRODUCT((Finanzas[[#This Row],[Mes Económico]]=Tipo_Cambio[Mes])*(Finanzas[[#This Row],[Año Económico]]=Tipo_Cambio[Año])*(Tipo_Cambio[Actualización]))</f>
        <v>0</v>
      </c>
      <c r="AA20" s="1068">
        <f>IF(ISNUMBER(Finanzas[[#This Row],[Fecha Financiero]])=TRUE,MONTH(Finanzas[[#This Row],[Fecha Financiero]]),0)</f>
        <v>0</v>
      </c>
      <c r="AB20" s="1068">
        <f>IF(ISNUMBER(Finanzas[[#This Row],[Fecha Financiero]])=TRUE,YEAR(Finanzas[[#This Row],[Fecha Financiero]]),0)</f>
        <v>0</v>
      </c>
      <c r="AC20" s="1072">
        <f>SUMPRODUCT((Finanzas[[#This Row],[Mes Financiero]]=Tipo_Cambio[Mes])*(Finanzas[[#This Row],[Año Financiero]]=Tipo_Cambio[Año])*(Tipo_Cambio[$/U$S]))</f>
        <v>0</v>
      </c>
      <c r="AD20" s="1073">
        <f>SUMPRODUCT((Finanzas[[#This Row],[Mes Financiero]]=Tipo_Cambio[Mes])*(Finanzas[[#This Row],[Año Financiero]]=Tipo_Cambio[Año])*(Tipo_Cambio[Actualización]))</f>
        <v>0</v>
      </c>
    </row>
    <row r="21" spans="2:30" ht="15.75" thickTop="1" x14ac:dyDescent="0.25">
      <c r="B21" s="346" t="s">
        <v>403</v>
      </c>
      <c r="D21" s="478">
        <f>Fecha_Inicio</f>
        <v>43282</v>
      </c>
      <c r="E21" s="478"/>
      <c r="F21" s="968" t="str">
        <f t="shared" si="1"/>
        <v>2018-2019</v>
      </c>
      <c r="G21" s="481" t="s">
        <v>409</v>
      </c>
      <c r="H21" s="481" t="s">
        <v>423</v>
      </c>
      <c r="I21" s="521">
        <v>1</v>
      </c>
      <c r="J21" s="484"/>
      <c r="K21" s="491"/>
      <c r="L21" s="491" t="s">
        <v>48</v>
      </c>
      <c r="M21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21" s="881"/>
      <c r="O21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21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21" s="881"/>
      <c r="R21" s="881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21" s="886" t="str">
        <f>IFERROR(INDEX(Cuentas_FIDI[],MATCH(Finanzas[[#This Row],[Cuenta Contable]],Cuentas_FIDI[Cuenta Contable],0),2),0)</f>
        <v>Ingreso</v>
      </c>
      <c r="T21" s="887" t="str">
        <f>IFERROR(INDEX(Tabla9[],MATCH(Finanzas[[#This Row],[Movimiento]],Tabla9[Movimientos],0),2),0)</f>
        <v>Si</v>
      </c>
      <c r="U21" s="889" t="str">
        <f>IFERROR(INDEX(Cuentas_FIDI[],MATCH(Finanzas[[#This Row],[Cuenta Contable]],Cuentas_FIDI[Cuenta Contable],0),3),0)</f>
        <v>No</v>
      </c>
      <c r="V21" s="889" t="str">
        <f>IFERROR(INDEX(Tabla9[],MATCH(Finanzas[[#This Row],[Movimiento]],Tabla9[Movimientos],0),3),0)</f>
        <v>(+)</v>
      </c>
      <c r="W21" s="884">
        <f>IF(Finanzas[[#This Row],[Fecha Económico]]=0,0,MONTH(Finanzas[[#This Row],[Fecha Económico]]))</f>
        <v>7</v>
      </c>
      <c r="X21" s="890">
        <f>IF(Finanzas[[#This Row],[Fecha Económico]]=0,0,YEAR(Finanzas[[#This Row],[Fecha Económico]]))</f>
        <v>2018</v>
      </c>
      <c r="Y21" s="891">
        <f>SUMPRODUCT((Finanzas[[#This Row],[Mes Económico]]=Tipo_Cambio[Mes])*(Finanzas[[#This Row],[Año Económico]]=Tipo_Cambio[Año])*(Tipo_Cambio[$/U$S]))</f>
        <v>22</v>
      </c>
      <c r="Z21" s="891">
        <f>SUMPRODUCT((Finanzas[[#This Row],[Mes Económico]]=Tipo_Cambio[Mes])*(Finanzas[[#This Row],[Año Económico]]=Tipo_Cambio[Año])*(Tipo_Cambio[Actualización]))</f>
        <v>1</v>
      </c>
      <c r="AA21" s="890">
        <f>IF(ISNUMBER(Finanzas[[#This Row],[Fecha Financiero]])=TRUE,MONTH(Finanzas[[#This Row],[Fecha Financiero]]),0)</f>
        <v>0</v>
      </c>
      <c r="AB21" s="890">
        <f>IF(ISNUMBER(Finanzas[[#This Row],[Fecha Financiero]])=TRUE,YEAR(Finanzas[[#This Row],[Fecha Financiero]]),0)</f>
        <v>0</v>
      </c>
      <c r="AC21" s="891">
        <f>SUMPRODUCT((Finanzas[[#This Row],[Mes Financiero]]=Tipo_Cambio[Mes])*(Finanzas[[#This Row],[Año Financiero]]=Tipo_Cambio[Año])*(Tipo_Cambio[$/U$S]))</f>
        <v>0</v>
      </c>
      <c r="AD21" s="891">
        <f>SUMPRODUCT((Finanzas[[#This Row],[Mes Financiero]]=Tipo_Cambio[Mes])*(Finanzas[[#This Row],[Año Financiero]]=Tipo_Cambio[Año])*(Tipo_Cambio[Actualización]))</f>
        <v>0</v>
      </c>
    </row>
    <row r="22" spans="2:30" x14ac:dyDescent="0.25">
      <c r="D22" s="478">
        <f>Fecha_Inicio</f>
        <v>43282</v>
      </c>
      <c r="E22" s="478"/>
      <c r="F22" s="968" t="str">
        <f t="shared" si="1"/>
        <v>2018-2019</v>
      </c>
      <c r="G22" s="481" t="s">
        <v>409</v>
      </c>
      <c r="H22" s="484" t="s">
        <v>423</v>
      </c>
      <c r="I22" s="521">
        <v>1</v>
      </c>
      <c r="J22" s="484"/>
      <c r="K22" s="491"/>
      <c r="L22" s="491" t="s">
        <v>48</v>
      </c>
      <c r="M22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22" s="881"/>
      <c r="O22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22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22" s="881"/>
      <c r="R22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22" s="915" t="str">
        <f>IFERROR(INDEX(Cuentas_FIDI[],MATCH(Finanzas[[#This Row],[Cuenta Contable]],Cuentas_FIDI[Cuenta Contable],0),2),0)</f>
        <v>Ingreso</v>
      </c>
      <c r="T22" s="887" t="str">
        <f>IFERROR(INDEX(Tabla9[],MATCH(Finanzas[[#This Row],[Movimiento]],Tabla9[Movimientos],0),2),0)</f>
        <v>Si</v>
      </c>
      <c r="U22" s="918" t="str">
        <f>IFERROR(INDEX(Cuentas_FIDI[],MATCH(Finanzas[[#This Row],[Cuenta Contable]],Cuentas_FIDI[Cuenta Contable],0),3),0)</f>
        <v>No</v>
      </c>
      <c r="V22" s="889" t="str">
        <f>IFERROR(INDEX(Tabla9[],MATCH(Finanzas[[#This Row],[Movimiento]],Tabla9[Movimientos],0),3),0)</f>
        <v>(+)</v>
      </c>
      <c r="W22" s="884">
        <f>IF(Finanzas[[#This Row],[Fecha Económico]]=0,0,MONTH(Finanzas[[#This Row],[Fecha Económico]]))</f>
        <v>7</v>
      </c>
      <c r="X22" s="890">
        <f>IF(Finanzas[[#This Row],[Fecha Económico]]=0,0,YEAR(Finanzas[[#This Row],[Fecha Económico]]))</f>
        <v>2018</v>
      </c>
      <c r="Y22" s="891">
        <f>SUMPRODUCT((Finanzas[[#This Row],[Mes Económico]]=Tipo_Cambio[Mes])*(Finanzas[[#This Row],[Año Económico]]=Tipo_Cambio[Año])*(Tipo_Cambio[$/U$S]))</f>
        <v>22</v>
      </c>
      <c r="Z22" s="891">
        <f>SUMPRODUCT((Finanzas[[#This Row],[Mes Económico]]=Tipo_Cambio[Mes])*(Finanzas[[#This Row],[Año Económico]]=Tipo_Cambio[Año])*(Tipo_Cambio[Actualización]))</f>
        <v>1</v>
      </c>
      <c r="AA22" s="890">
        <f>IF(ISNUMBER(Finanzas[[#This Row],[Fecha Financiero]])=TRUE,MONTH(Finanzas[[#This Row],[Fecha Financiero]]),0)</f>
        <v>0</v>
      </c>
      <c r="AB22" s="890">
        <f>IF(ISNUMBER(Finanzas[[#This Row],[Fecha Financiero]])=TRUE,YEAR(Finanzas[[#This Row],[Fecha Financiero]]),0)</f>
        <v>0</v>
      </c>
      <c r="AC22" s="891">
        <f>SUMPRODUCT((Finanzas[[#This Row],[Mes Financiero]]=Tipo_Cambio[Mes])*(Finanzas[[#This Row],[Año Financiero]]=Tipo_Cambio[Año])*(Tipo_Cambio[$/U$S]))</f>
        <v>0</v>
      </c>
      <c r="AD22" s="888">
        <f>SUMPRODUCT((Finanzas[[#This Row],[Mes Financiero]]=Tipo_Cambio[Mes])*(Finanzas[[#This Row],[Año Financiero]]=Tipo_Cambio[Año])*(Tipo_Cambio[Actualización]))</f>
        <v>0</v>
      </c>
    </row>
    <row r="23" spans="2:30" x14ac:dyDescent="0.25">
      <c r="D23" s="478">
        <f>Fecha_Inicio</f>
        <v>43282</v>
      </c>
      <c r="E23" s="478"/>
      <c r="F23" s="968" t="str">
        <f t="shared" si="1"/>
        <v>2018-2019</v>
      </c>
      <c r="G23" s="481" t="s">
        <v>409</v>
      </c>
      <c r="H23" s="484" t="s">
        <v>423</v>
      </c>
      <c r="I23" s="521">
        <v>1</v>
      </c>
      <c r="J23" s="484"/>
      <c r="K23" s="491"/>
      <c r="L23" s="491" t="s">
        <v>48</v>
      </c>
      <c r="M23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23" s="881"/>
      <c r="O23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23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23" s="881"/>
      <c r="R23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23" s="915" t="str">
        <f>IFERROR(INDEX(Cuentas_FIDI[],MATCH(Finanzas[[#This Row],[Cuenta Contable]],Cuentas_FIDI[Cuenta Contable],0),2),0)</f>
        <v>Ingreso</v>
      </c>
      <c r="T23" s="887" t="str">
        <f>IFERROR(INDEX(Tabla9[],MATCH(Finanzas[[#This Row],[Movimiento]],Tabla9[Movimientos],0),2),0)</f>
        <v>Si</v>
      </c>
      <c r="U23" s="918" t="str">
        <f>IFERROR(INDEX(Cuentas_FIDI[],MATCH(Finanzas[[#This Row],[Cuenta Contable]],Cuentas_FIDI[Cuenta Contable],0),3),0)</f>
        <v>No</v>
      </c>
      <c r="V23" s="889" t="str">
        <f>IFERROR(INDEX(Tabla9[],MATCH(Finanzas[[#This Row],[Movimiento]],Tabla9[Movimientos],0),3),0)</f>
        <v>(+)</v>
      </c>
      <c r="W23" s="884">
        <f>IF(Finanzas[[#This Row],[Fecha Económico]]=0,0,MONTH(Finanzas[[#This Row],[Fecha Económico]]))</f>
        <v>7</v>
      </c>
      <c r="X23" s="890">
        <f>IF(Finanzas[[#This Row],[Fecha Económico]]=0,0,YEAR(Finanzas[[#This Row],[Fecha Económico]]))</f>
        <v>2018</v>
      </c>
      <c r="Y23" s="891">
        <f>SUMPRODUCT((Finanzas[[#This Row],[Mes Económico]]=Tipo_Cambio[Mes])*(Finanzas[[#This Row],[Año Económico]]=Tipo_Cambio[Año])*(Tipo_Cambio[$/U$S]))</f>
        <v>22</v>
      </c>
      <c r="Z23" s="891">
        <f>SUMPRODUCT((Finanzas[[#This Row],[Mes Económico]]=Tipo_Cambio[Mes])*(Finanzas[[#This Row],[Año Económico]]=Tipo_Cambio[Año])*(Tipo_Cambio[Actualización]))</f>
        <v>1</v>
      </c>
      <c r="AA23" s="890">
        <f>IF(ISNUMBER(Finanzas[[#This Row],[Fecha Financiero]])=TRUE,MONTH(Finanzas[[#This Row],[Fecha Financiero]]),0)</f>
        <v>0</v>
      </c>
      <c r="AB23" s="890">
        <f>IF(ISNUMBER(Finanzas[[#This Row],[Fecha Financiero]])=TRUE,YEAR(Finanzas[[#This Row],[Fecha Financiero]]),0)</f>
        <v>0</v>
      </c>
      <c r="AC23" s="891">
        <f>SUMPRODUCT((Finanzas[[#This Row],[Mes Financiero]]=Tipo_Cambio[Mes])*(Finanzas[[#This Row],[Año Financiero]]=Tipo_Cambio[Año])*(Tipo_Cambio[$/U$S]))</f>
        <v>0</v>
      </c>
      <c r="AD23" s="888">
        <f>SUMPRODUCT((Finanzas[[#This Row],[Mes Financiero]]=Tipo_Cambio[Mes])*(Finanzas[[#This Row],[Año Financiero]]=Tipo_Cambio[Año])*(Tipo_Cambio[Actualización]))</f>
        <v>0</v>
      </c>
    </row>
    <row r="24" spans="2:30" x14ac:dyDescent="0.25">
      <c r="D24" s="478">
        <f>Fecha_Inicio</f>
        <v>43282</v>
      </c>
      <c r="E24" s="478"/>
      <c r="F24" s="968" t="str">
        <f t="shared" si="1"/>
        <v>2018-2019</v>
      </c>
      <c r="G24" s="481" t="s">
        <v>409</v>
      </c>
      <c r="H24" s="484" t="s">
        <v>423</v>
      </c>
      <c r="I24" s="521">
        <v>1</v>
      </c>
      <c r="J24" s="484"/>
      <c r="K24" s="491"/>
      <c r="L24" s="491" t="s">
        <v>48</v>
      </c>
      <c r="M24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24" s="881"/>
      <c r="O24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24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24" s="881"/>
      <c r="R24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24" s="915" t="str">
        <f>IFERROR(INDEX(Cuentas_FIDI[],MATCH(Finanzas[[#This Row],[Cuenta Contable]],Cuentas_FIDI[Cuenta Contable],0),2),0)</f>
        <v>Ingreso</v>
      </c>
      <c r="T24" s="887" t="str">
        <f>IFERROR(INDEX(Tabla9[],MATCH(Finanzas[[#This Row],[Movimiento]],Tabla9[Movimientos],0),2),0)</f>
        <v>Si</v>
      </c>
      <c r="U24" s="918" t="str">
        <f>IFERROR(INDEX(Cuentas_FIDI[],MATCH(Finanzas[[#This Row],[Cuenta Contable]],Cuentas_FIDI[Cuenta Contable],0),3),0)</f>
        <v>No</v>
      </c>
      <c r="V24" s="889" t="str">
        <f>IFERROR(INDEX(Tabla9[],MATCH(Finanzas[[#This Row],[Movimiento]],Tabla9[Movimientos],0),3),0)</f>
        <v>(+)</v>
      </c>
      <c r="W24" s="884">
        <f>IF(Finanzas[[#This Row],[Fecha Económico]]=0,0,MONTH(Finanzas[[#This Row],[Fecha Económico]]))</f>
        <v>7</v>
      </c>
      <c r="X24" s="890">
        <f>IF(Finanzas[[#This Row],[Fecha Económico]]=0,0,YEAR(Finanzas[[#This Row],[Fecha Económico]]))</f>
        <v>2018</v>
      </c>
      <c r="Y24" s="891">
        <f>SUMPRODUCT((Finanzas[[#This Row],[Mes Económico]]=Tipo_Cambio[Mes])*(Finanzas[[#This Row],[Año Económico]]=Tipo_Cambio[Año])*(Tipo_Cambio[$/U$S]))</f>
        <v>22</v>
      </c>
      <c r="Z24" s="891">
        <f>SUMPRODUCT((Finanzas[[#This Row],[Mes Económico]]=Tipo_Cambio[Mes])*(Finanzas[[#This Row],[Año Económico]]=Tipo_Cambio[Año])*(Tipo_Cambio[Actualización]))</f>
        <v>1</v>
      </c>
      <c r="AA24" s="890">
        <f>IF(ISNUMBER(Finanzas[[#This Row],[Fecha Financiero]])=TRUE,MONTH(Finanzas[[#This Row],[Fecha Financiero]]),0)</f>
        <v>0</v>
      </c>
      <c r="AB24" s="890">
        <f>IF(ISNUMBER(Finanzas[[#This Row],[Fecha Financiero]])=TRUE,YEAR(Finanzas[[#This Row],[Fecha Financiero]]),0)</f>
        <v>0</v>
      </c>
      <c r="AC24" s="891">
        <f>SUMPRODUCT((Finanzas[[#This Row],[Mes Financiero]]=Tipo_Cambio[Mes])*(Finanzas[[#This Row],[Año Financiero]]=Tipo_Cambio[Año])*(Tipo_Cambio[$/U$S]))</f>
        <v>0</v>
      </c>
      <c r="AD24" s="888">
        <f>SUMPRODUCT((Finanzas[[#This Row],[Mes Financiero]]=Tipo_Cambio[Mes])*(Finanzas[[#This Row],[Año Financiero]]=Tipo_Cambio[Año])*(Tipo_Cambio[Actualización]))</f>
        <v>0</v>
      </c>
    </row>
    <row r="25" spans="2:30" x14ac:dyDescent="0.25">
      <c r="D25" s="478"/>
      <c r="E25" s="522"/>
      <c r="F25" s="968" t="str">
        <f t="shared" si="1"/>
        <v>2018-2019</v>
      </c>
      <c r="G25" s="481"/>
      <c r="H25" s="484"/>
      <c r="I25" s="521"/>
      <c r="J25" s="484"/>
      <c r="K25" s="491"/>
      <c r="L25" s="523"/>
      <c r="M25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25" s="881"/>
      <c r="O25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25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25" s="881"/>
      <c r="R25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25" s="915">
        <f>IFERROR(INDEX(Cuentas_FIDI[],MATCH(Finanzas[[#This Row],[Cuenta Contable]],Cuentas_FIDI[Cuenta Contable],0),2),0)</f>
        <v>0</v>
      </c>
      <c r="T25" s="887">
        <f>IFERROR(INDEX(Tabla9[],MATCH(Finanzas[[#This Row],[Movimiento]],Tabla9[Movimientos],0),2),0)</f>
        <v>0</v>
      </c>
      <c r="U25" s="918">
        <f>IFERROR(INDEX(Cuentas_FIDI[],MATCH(Finanzas[[#This Row],[Cuenta Contable]],Cuentas_FIDI[Cuenta Contable],0),3),0)</f>
        <v>0</v>
      </c>
      <c r="V25" s="889">
        <f>IFERROR(INDEX(Tabla9[],MATCH(Finanzas[[#This Row],[Movimiento]],Tabla9[Movimientos],0),3),0)</f>
        <v>0</v>
      </c>
      <c r="W25" s="884">
        <f>IF(Finanzas[[#This Row],[Fecha Económico]]=0,0,MONTH(Finanzas[[#This Row],[Fecha Económico]]))</f>
        <v>0</v>
      </c>
      <c r="X25" s="890">
        <f>IF(Finanzas[[#This Row],[Fecha Económico]]=0,0,YEAR(Finanzas[[#This Row],[Fecha Económico]]))</f>
        <v>0</v>
      </c>
      <c r="Y25" s="891">
        <f>SUMPRODUCT((Finanzas[[#This Row],[Mes Económico]]=Tipo_Cambio[Mes])*(Finanzas[[#This Row],[Año Económico]]=Tipo_Cambio[Año])*(Tipo_Cambio[$/U$S]))</f>
        <v>0</v>
      </c>
      <c r="Z25" s="891">
        <f>SUMPRODUCT((Finanzas[[#This Row],[Mes Económico]]=Tipo_Cambio[Mes])*(Finanzas[[#This Row],[Año Económico]]=Tipo_Cambio[Año])*(Tipo_Cambio[Actualización]))</f>
        <v>0</v>
      </c>
      <c r="AA25" s="890">
        <f>IF(ISNUMBER(Finanzas[[#This Row],[Fecha Financiero]])=TRUE,MONTH(Finanzas[[#This Row],[Fecha Financiero]]),0)</f>
        <v>0</v>
      </c>
      <c r="AB25" s="890">
        <f>IF(ISNUMBER(Finanzas[[#This Row],[Fecha Financiero]])=TRUE,YEAR(Finanzas[[#This Row],[Fecha Financiero]]),0)</f>
        <v>0</v>
      </c>
      <c r="AC25" s="891">
        <f>SUMPRODUCT((Finanzas[[#This Row],[Mes Financiero]]=Tipo_Cambio[Mes])*(Finanzas[[#This Row],[Año Financiero]]=Tipo_Cambio[Año])*(Tipo_Cambio[$/U$S]))</f>
        <v>0</v>
      </c>
      <c r="AD25" s="888">
        <f>SUMPRODUCT((Finanzas[[#This Row],[Mes Financiero]]=Tipo_Cambio[Mes])*(Finanzas[[#This Row],[Año Financiero]]=Tipo_Cambio[Año])*(Tipo_Cambio[Actualización]))</f>
        <v>0</v>
      </c>
    </row>
    <row r="26" spans="2:30" x14ac:dyDescent="0.25">
      <c r="D26" s="478"/>
      <c r="E26" s="522"/>
      <c r="F26" s="968" t="str">
        <f t="shared" si="1"/>
        <v>2018-2019</v>
      </c>
      <c r="G26" s="481"/>
      <c r="H26" s="484"/>
      <c r="I26" s="521"/>
      <c r="J26" s="484"/>
      <c r="K26" s="491"/>
      <c r="L26" s="523"/>
      <c r="M26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26" s="881"/>
      <c r="O26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26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26" s="881"/>
      <c r="R26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26" s="915">
        <f>IFERROR(INDEX(Cuentas_FIDI[],MATCH(Finanzas[[#This Row],[Cuenta Contable]],Cuentas_FIDI[Cuenta Contable],0),2),0)</f>
        <v>0</v>
      </c>
      <c r="T26" s="887">
        <f>IFERROR(INDEX(Tabla9[],MATCH(Finanzas[[#This Row],[Movimiento]],Tabla9[Movimientos],0),2),0)</f>
        <v>0</v>
      </c>
      <c r="U26" s="918">
        <f>IFERROR(INDEX(Cuentas_FIDI[],MATCH(Finanzas[[#This Row],[Cuenta Contable]],Cuentas_FIDI[Cuenta Contable],0),3),0)</f>
        <v>0</v>
      </c>
      <c r="V26" s="889">
        <f>IFERROR(INDEX(Tabla9[],MATCH(Finanzas[[#This Row],[Movimiento]],Tabla9[Movimientos],0),3),0)</f>
        <v>0</v>
      </c>
      <c r="W26" s="884">
        <f>IF(Finanzas[[#This Row],[Fecha Económico]]=0,0,MONTH(Finanzas[[#This Row],[Fecha Económico]]))</f>
        <v>0</v>
      </c>
      <c r="X26" s="890">
        <f>IF(Finanzas[[#This Row],[Fecha Económico]]=0,0,YEAR(Finanzas[[#This Row],[Fecha Económico]]))</f>
        <v>0</v>
      </c>
      <c r="Y26" s="891">
        <f>SUMPRODUCT((Finanzas[[#This Row],[Mes Económico]]=Tipo_Cambio[Mes])*(Finanzas[[#This Row],[Año Económico]]=Tipo_Cambio[Año])*(Tipo_Cambio[$/U$S]))</f>
        <v>0</v>
      </c>
      <c r="Z26" s="891">
        <f>SUMPRODUCT((Finanzas[[#This Row],[Mes Económico]]=Tipo_Cambio[Mes])*(Finanzas[[#This Row],[Año Económico]]=Tipo_Cambio[Año])*(Tipo_Cambio[Actualización]))</f>
        <v>0</v>
      </c>
      <c r="AA26" s="890">
        <f>IF(ISNUMBER(Finanzas[[#This Row],[Fecha Financiero]])=TRUE,MONTH(Finanzas[[#This Row],[Fecha Financiero]]),0)</f>
        <v>0</v>
      </c>
      <c r="AB26" s="890">
        <f>IF(ISNUMBER(Finanzas[[#This Row],[Fecha Financiero]])=TRUE,YEAR(Finanzas[[#This Row],[Fecha Financiero]]),0)</f>
        <v>0</v>
      </c>
      <c r="AC26" s="891">
        <f>SUMPRODUCT((Finanzas[[#This Row],[Mes Financiero]]=Tipo_Cambio[Mes])*(Finanzas[[#This Row],[Año Financiero]]=Tipo_Cambio[Año])*(Tipo_Cambio[$/U$S]))</f>
        <v>0</v>
      </c>
      <c r="AD26" s="888">
        <f>SUMPRODUCT((Finanzas[[#This Row],[Mes Financiero]]=Tipo_Cambio[Mes])*(Finanzas[[#This Row],[Año Financiero]]=Tipo_Cambio[Año])*(Tipo_Cambio[Actualización]))</f>
        <v>0</v>
      </c>
    </row>
    <row r="27" spans="2:30" x14ac:dyDescent="0.25">
      <c r="D27" s="478"/>
      <c r="E27" s="522"/>
      <c r="F27" s="968" t="str">
        <f t="shared" si="1"/>
        <v>2018-2019</v>
      </c>
      <c r="G27" s="481"/>
      <c r="H27" s="484"/>
      <c r="I27" s="521"/>
      <c r="J27" s="484"/>
      <c r="K27" s="491"/>
      <c r="L27" s="523"/>
      <c r="M27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27" s="881"/>
      <c r="O27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27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27" s="881"/>
      <c r="R27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27" s="915">
        <f>IFERROR(INDEX(Cuentas_FIDI[],MATCH(Finanzas[[#This Row],[Cuenta Contable]],Cuentas_FIDI[Cuenta Contable],0),2),0)</f>
        <v>0</v>
      </c>
      <c r="T27" s="887">
        <f>IFERROR(INDEX(Tabla9[],MATCH(Finanzas[[#This Row],[Movimiento]],Tabla9[Movimientos],0),2),0)</f>
        <v>0</v>
      </c>
      <c r="U27" s="918">
        <f>IFERROR(INDEX(Cuentas_FIDI[],MATCH(Finanzas[[#This Row],[Cuenta Contable]],Cuentas_FIDI[Cuenta Contable],0),3),0)</f>
        <v>0</v>
      </c>
      <c r="V27" s="889">
        <f>IFERROR(INDEX(Tabla9[],MATCH(Finanzas[[#This Row],[Movimiento]],Tabla9[Movimientos],0),3),0)</f>
        <v>0</v>
      </c>
      <c r="W27" s="884">
        <f>IF(Finanzas[[#This Row],[Fecha Económico]]=0,0,MONTH(Finanzas[[#This Row],[Fecha Económico]]))</f>
        <v>0</v>
      </c>
      <c r="X27" s="890">
        <f>IF(Finanzas[[#This Row],[Fecha Económico]]=0,0,YEAR(Finanzas[[#This Row],[Fecha Económico]]))</f>
        <v>0</v>
      </c>
      <c r="Y27" s="891">
        <f>SUMPRODUCT((Finanzas[[#This Row],[Mes Económico]]=Tipo_Cambio[Mes])*(Finanzas[[#This Row],[Año Económico]]=Tipo_Cambio[Año])*(Tipo_Cambio[$/U$S]))</f>
        <v>0</v>
      </c>
      <c r="Z27" s="891">
        <f>SUMPRODUCT((Finanzas[[#This Row],[Mes Económico]]=Tipo_Cambio[Mes])*(Finanzas[[#This Row],[Año Económico]]=Tipo_Cambio[Año])*(Tipo_Cambio[Actualización]))</f>
        <v>0</v>
      </c>
      <c r="AA27" s="890">
        <f>IF(ISNUMBER(Finanzas[[#This Row],[Fecha Financiero]])=TRUE,MONTH(Finanzas[[#This Row],[Fecha Financiero]]),0)</f>
        <v>0</v>
      </c>
      <c r="AB27" s="890">
        <f>IF(ISNUMBER(Finanzas[[#This Row],[Fecha Financiero]])=TRUE,YEAR(Finanzas[[#This Row],[Fecha Financiero]]),0)</f>
        <v>0</v>
      </c>
      <c r="AC27" s="891">
        <f>SUMPRODUCT((Finanzas[[#This Row],[Mes Financiero]]=Tipo_Cambio[Mes])*(Finanzas[[#This Row],[Año Financiero]]=Tipo_Cambio[Año])*(Tipo_Cambio[$/U$S]))</f>
        <v>0</v>
      </c>
      <c r="AD27" s="888">
        <f>SUMPRODUCT((Finanzas[[#This Row],[Mes Financiero]]=Tipo_Cambio[Mes])*(Finanzas[[#This Row],[Año Financiero]]=Tipo_Cambio[Año])*(Tipo_Cambio[Actualización]))</f>
        <v>0</v>
      </c>
    </row>
    <row r="28" spans="2:30" ht="15.75" thickBot="1" x14ac:dyDescent="0.3">
      <c r="B28" s="86" t="s">
        <v>101</v>
      </c>
      <c r="D28" s="502"/>
      <c r="E28" s="524"/>
      <c r="F28" s="1081" t="str">
        <f t="shared" si="1"/>
        <v>2018-2019</v>
      </c>
      <c r="G28" s="525"/>
      <c r="H28" s="506"/>
      <c r="I28" s="526"/>
      <c r="J28" s="506"/>
      <c r="K28" s="525"/>
      <c r="L28" s="527"/>
      <c r="M28" s="1079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28" s="1064"/>
      <c r="O28" s="1066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28" s="106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28" s="1064"/>
      <c r="R28" s="1066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28" s="1069">
        <f>IFERROR(INDEX(Cuentas_FIDI[],MATCH(Finanzas[[#This Row],[Cuenta Contable]],Cuentas_FIDI[Cuenta Contable],0),2),0)</f>
        <v>0</v>
      </c>
      <c r="T28" s="1070">
        <f>IFERROR(INDEX(Tabla9[],MATCH(Finanzas[[#This Row],[Movimiento]],Tabla9[Movimientos],0),2),0)</f>
        <v>0</v>
      </c>
      <c r="U28" s="1071">
        <f>IFERROR(INDEX(Cuentas_FIDI[],MATCH(Finanzas[[#This Row],[Cuenta Contable]],Cuentas_FIDI[Cuenta Contable],0),3),0)</f>
        <v>0</v>
      </c>
      <c r="V28" s="1072">
        <f>IFERROR(INDEX(Tabla9[],MATCH(Finanzas[[#This Row],[Movimiento]],Tabla9[Movimientos],0),3),0)</f>
        <v>0</v>
      </c>
      <c r="W28" s="1067">
        <f>IF(Finanzas[[#This Row],[Fecha Económico]]=0,0,MONTH(Finanzas[[#This Row],[Fecha Económico]]))</f>
        <v>0</v>
      </c>
      <c r="X28" s="1068">
        <f>IF(Finanzas[[#This Row],[Fecha Económico]]=0,0,YEAR(Finanzas[[#This Row],[Fecha Económico]]))</f>
        <v>0</v>
      </c>
      <c r="Y28" s="1072">
        <f>SUMPRODUCT((Finanzas[[#This Row],[Mes Económico]]=Tipo_Cambio[Mes])*(Finanzas[[#This Row],[Año Económico]]=Tipo_Cambio[Año])*(Tipo_Cambio[$/U$S]))</f>
        <v>0</v>
      </c>
      <c r="Z28" s="1072">
        <f>SUMPRODUCT((Finanzas[[#This Row],[Mes Económico]]=Tipo_Cambio[Mes])*(Finanzas[[#This Row],[Año Económico]]=Tipo_Cambio[Año])*(Tipo_Cambio[Actualización]))</f>
        <v>0</v>
      </c>
      <c r="AA28" s="1068">
        <f>IF(ISNUMBER(Finanzas[[#This Row],[Fecha Financiero]])=TRUE,MONTH(Finanzas[[#This Row],[Fecha Financiero]]),0)</f>
        <v>0</v>
      </c>
      <c r="AB28" s="1068">
        <f>IF(ISNUMBER(Finanzas[[#This Row],[Fecha Financiero]])=TRUE,YEAR(Finanzas[[#This Row],[Fecha Financiero]]),0)</f>
        <v>0</v>
      </c>
      <c r="AC28" s="1072">
        <f>SUMPRODUCT((Finanzas[[#This Row],[Mes Financiero]]=Tipo_Cambio[Mes])*(Finanzas[[#This Row],[Año Financiero]]=Tipo_Cambio[Año])*(Tipo_Cambio[$/U$S]))</f>
        <v>0</v>
      </c>
      <c r="AD28" s="1073">
        <f>SUMPRODUCT((Finanzas[[#This Row],[Mes Financiero]]=Tipo_Cambio[Mes])*(Finanzas[[#This Row],[Año Financiero]]=Tipo_Cambio[Año])*(Tipo_Cambio[Actualización]))</f>
        <v>0</v>
      </c>
    </row>
    <row r="29" spans="2:30" ht="15.75" thickTop="1" x14ac:dyDescent="0.25">
      <c r="B29" s="346" t="s">
        <v>426</v>
      </c>
      <c r="D29" s="478">
        <f>Fecha_Inicio</f>
        <v>43282</v>
      </c>
      <c r="E29" s="478"/>
      <c r="F29" s="968" t="str">
        <f t="shared" si="1"/>
        <v>2018-2019</v>
      </c>
      <c r="G29" s="481" t="s">
        <v>408</v>
      </c>
      <c r="H29" s="481" t="s">
        <v>423</v>
      </c>
      <c r="I29" s="521">
        <v>1</v>
      </c>
      <c r="J29" s="484"/>
      <c r="K29" s="491"/>
      <c r="L29" s="491" t="s">
        <v>48</v>
      </c>
      <c r="M29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29" s="881"/>
      <c r="O29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29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29" s="881"/>
      <c r="R29" s="881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29" s="886" t="str">
        <f>IFERROR(INDEX(Cuentas_FIDI[],MATCH(Finanzas[[#This Row],[Cuenta Contable]],Cuentas_FIDI[Cuenta Contable],0),2),0)</f>
        <v>Egreso</v>
      </c>
      <c r="T29" s="887" t="str">
        <f>IFERROR(INDEX(Tabla9[],MATCH(Finanzas[[#This Row],[Movimiento]],Tabla9[Movimientos],0),2),0)</f>
        <v>Si</v>
      </c>
      <c r="U29" s="889" t="str">
        <f>IFERROR(INDEX(Cuentas_FIDI[],MATCH(Finanzas[[#This Row],[Cuenta Contable]],Cuentas_FIDI[Cuenta Contable],0),3),0)</f>
        <v>No</v>
      </c>
      <c r="V29" s="889" t="str">
        <f>IFERROR(INDEX(Tabla9[],MATCH(Finanzas[[#This Row],[Movimiento]],Tabla9[Movimientos],0),3),0)</f>
        <v>(-)</v>
      </c>
      <c r="W29" s="884">
        <f>IF(Finanzas[[#This Row],[Fecha Económico]]=0,0,MONTH(Finanzas[[#This Row],[Fecha Económico]]))</f>
        <v>7</v>
      </c>
      <c r="X29" s="890">
        <f>IF(Finanzas[[#This Row],[Fecha Económico]]=0,0,YEAR(Finanzas[[#This Row],[Fecha Económico]]))</f>
        <v>2018</v>
      </c>
      <c r="Y29" s="891">
        <f>SUMPRODUCT((Finanzas[[#This Row],[Mes Económico]]=Tipo_Cambio[Mes])*(Finanzas[[#This Row],[Año Económico]]=Tipo_Cambio[Año])*(Tipo_Cambio[$/U$S]))</f>
        <v>22</v>
      </c>
      <c r="Z29" s="891">
        <f>SUMPRODUCT((Finanzas[[#This Row],[Mes Económico]]=Tipo_Cambio[Mes])*(Finanzas[[#This Row],[Año Económico]]=Tipo_Cambio[Año])*(Tipo_Cambio[Actualización]))</f>
        <v>1</v>
      </c>
      <c r="AA29" s="890">
        <f>IF(ISNUMBER(Finanzas[[#This Row],[Fecha Financiero]])=TRUE,MONTH(Finanzas[[#This Row],[Fecha Financiero]]),0)</f>
        <v>0</v>
      </c>
      <c r="AB29" s="890">
        <f>IF(ISNUMBER(Finanzas[[#This Row],[Fecha Financiero]])=TRUE,YEAR(Finanzas[[#This Row],[Fecha Financiero]]),0)</f>
        <v>0</v>
      </c>
      <c r="AC29" s="891">
        <f>SUMPRODUCT((Finanzas[[#This Row],[Mes Financiero]]=Tipo_Cambio[Mes])*(Finanzas[[#This Row],[Año Financiero]]=Tipo_Cambio[Año])*(Tipo_Cambio[$/U$S]))</f>
        <v>0</v>
      </c>
      <c r="AD29" s="891">
        <f>SUMPRODUCT((Finanzas[[#This Row],[Mes Financiero]]=Tipo_Cambio[Mes])*(Finanzas[[#This Row],[Año Financiero]]=Tipo_Cambio[Año])*(Tipo_Cambio[Actualización]))</f>
        <v>0</v>
      </c>
    </row>
    <row r="30" spans="2:30" x14ac:dyDescent="0.25">
      <c r="D30" s="478">
        <f>Fecha_Inicio</f>
        <v>43282</v>
      </c>
      <c r="E30" s="478"/>
      <c r="F30" s="968" t="str">
        <f t="shared" si="1"/>
        <v>2018-2019</v>
      </c>
      <c r="G30" s="481" t="s">
        <v>408</v>
      </c>
      <c r="H30" s="484" t="s">
        <v>423</v>
      </c>
      <c r="I30" s="521">
        <v>1</v>
      </c>
      <c r="J30" s="484"/>
      <c r="K30" s="491"/>
      <c r="L30" s="491" t="s">
        <v>48</v>
      </c>
      <c r="M30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30" s="881"/>
      <c r="O30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30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30" s="881"/>
      <c r="R30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30" s="915" t="str">
        <f>IFERROR(INDEX(Cuentas_FIDI[],MATCH(Finanzas[[#This Row],[Cuenta Contable]],Cuentas_FIDI[Cuenta Contable],0),2),0)</f>
        <v>Egreso</v>
      </c>
      <c r="T30" s="887" t="str">
        <f>IFERROR(INDEX(Tabla9[],MATCH(Finanzas[[#This Row],[Movimiento]],Tabla9[Movimientos],0),2),0)</f>
        <v>Si</v>
      </c>
      <c r="U30" s="918" t="str">
        <f>IFERROR(INDEX(Cuentas_FIDI[],MATCH(Finanzas[[#This Row],[Cuenta Contable]],Cuentas_FIDI[Cuenta Contable],0),3),0)</f>
        <v>No</v>
      </c>
      <c r="V30" s="889" t="str">
        <f>IFERROR(INDEX(Tabla9[],MATCH(Finanzas[[#This Row],[Movimiento]],Tabla9[Movimientos],0),3),0)</f>
        <v>(-)</v>
      </c>
      <c r="W30" s="884">
        <f>IF(Finanzas[[#This Row],[Fecha Económico]]=0,0,MONTH(Finanzas[[#This Row],[Fecha Económico]]))</f>
        <v>7</v>
      </c>
      <c r="X30" s="890">
        <f>IF(Finanzas[[#This Row],[Fecha Económico]]=0,0,YEAR(Finanzas[[#This Row],[Fecha Económico]]))</f>
        <v>2018</v>
      </c>
      <c r="Y30" s="891">
        <f>SUMPRODUCT((Finanzas[[#This Row],[Mes Económico]]=Tipo_Cambio[Mes])*(Finanzas[[#This Row],[Año Económico]]=Tipo_Cambio[Año])*(Tipo_Cambio[$/U$S]))</f>
        <v>22</v>
      </c>
      <c r="Z30" s="891">
        <f>SUMPRODUCT((Finanzas[[#This Row],[Mes Económico]]=Tipo_Cambio[Mes])*(Finanzas[[#This Row],[Año Económico]]=Tipo_Cambio[Año])*(Tipo_Cambio[Actualización]))</f>
        <v>1</v>
      </c>
      <c r="AA30" s="890">
        <f>IF(ISNUMBER(Finanzas[[#This Row],[Fecha Financiero]])=TRUE,MONTH(Finanzas[[#This Row],[Fecha Financiero]]),0)</f>
        <v>0</v>
      </c>
      <c r="AB30" s="890">
        <f>IF(ISNUMBER(Finanzas[[#This Row],[Fecha Financiero]])=TRUE,YEAR(Finanzas[[#This Row],[Fecha Financiero]]),0)</f>
        <v>0</v>
      </c>
      <c r="AC30" s="891">
        <f>SUMPRODUCT((Finanzas[[#This Row],[Mes Financiero]]=Tipo_Cambio[Mes])*(Finanzas[[#This Row],[Año Financiero]]=Tipo_Cambio[Año])*(Tipo_Cambio[$/U$S]))</f>
        <v>0</v>
      </c>
      <c r="AD30" s="888">
        <f>SUMPRODUCT((Finanzas[[#This Row],[Mes Financiero]]=Tipo_Cambio[Mes])*(Finanzas[[#This Row],[Año Financiero]]=Tipo_Cambio[Año])*(Tipo_Cambio[Actualización]))</f>
        <v>0</v>
      </c>
    </row>
    <row r="31" spans="2:30" x14ac:dyDescent="0.25">
      <c r="D31" s="478">
        <f>Fecha_Inicio</f>
        <v>43282</v>
      </c>
      <c r="E31" s="478"/>
      <c r="F31" s="968" t="str">
        <f t="shared" si="1"/>
        <v>2018-2019</v>
      </c>
      <c r="G31" s="481" t="s">
        <v>408</v>
      </c>
      <c r="H31" s="484" t="s">
        <v>423</v>
      </c>
      <c r="I31" s="521">
        <v>1</v>
      </c>
      <c r="J31" s="484"/>
      <c r="K31" s="491"/>
      <c r="L31" s="491" t="s">
        <v>48</v>
      </c>
      <c r="M31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31" s="881"/>
      <c r="O31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31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31" s="881"/>
      <c r="R31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31" s="915" t="str">
        <f>IFERROR(INDEX(Cuentas_FIDI[],MATCH(Finanzas[[#This Row],[Cuenta Contable]],Cuentas_FIDI[Cuenta Contable],0),2),0)</f>
        <v>Egreso</v>
      </c>
      <c r="T31" s="887" t="str">
        <f>IFERROR(INDEX(Tabla9[],MATCH(Finanzas[[#This Row],[Movimiento]],Tabla9[Movimientos],0),2),0)</f>
        <v>Si</v>
      </c>
      <c r="U31" s="918" t="str">
        <f>IFERROR(INDEX(Cuentas_FIDI[],MATCH(Finanzas[[#This Row],[Cuenta Contable]],Cuentas_FIDI[Cuenta Contable],0),3),0)</f>
        <v>No</v>
      </c>
      <c r="V31" s="889" t="str">
        <f>IFERROR(INDEX(Tabla9[],MATCH(Finanzas[[#This Row],[Movimiento]],Tabla9[Movimientos],0),3),0)</f>
        <v>(-)</v>
      </c>
      <c r="W31" s="884">
        <f>IF(Finanzas[[#This Row],[Fecha Económico]]=0,0,MONTH(Finanzas[[#This Row],[Fecha Económico]]))</f>
        <v>7</v>
      </c>
      <c r="X31" s="890">
        <f>IF(Finanzas[[#This Row],[Fecha Económico]]=0,0,YEAR(Finanzas[[#This Row],[Fecha Económico]]))</f>
        <v>2018</v>
      </c>
      <c r="Y31" s="891">
        <f>SUMPRODUCT((Finanzas[[#This Row],[Mes Económico]]=Tipo_Cambio[Mes])*(Finanzas[[#This Row],[Año Económico]]=Tipo_Cambio[Año])*(Tipo_Cambio[$/U$S]))</f>
        <v>22</v>
      </c>
      <c r="Z31" s="891">
        <f>SUMPRODUCT((Finanzas[[#This Row],[Mes Económico]]=Tipo_Cambio[Mes])*(Finanzas[[#This Row],[Año Económico]]=Tipo_Cambio[Año])*(Tipo_Cambio[Actualización]))</f>
        <v>1</v>
      </c>
      <c r="AA31" s="890">
        <f>IF(ISNUMBER(Finanzas[[#This Row],[Fecha Financiero]])=TRUE,MONTH(Finanzas[[#This Row],[Fecha Financiero]]),0)</f>
        <v>0</v>
      </c>
      <c r="AB31" s="890">
        <f>IF(ISNUMBER(Finanzas[[#This Row],[Fecha Financiero]])=TRUE,YEAR(Finanzas[[#This Row],[Fecha Financiero]]),0)</f>
        <v>0</v>
      </c>
      <c r="AC31" s="891">
        <f>SUMPRODUCT((Finanzas[[#This Row],[Mes Financiero]]=Tipo_Cambio[Mes])*(Finanzas[[#This Row],[Año Financiero]]=Tipo_Cambio[Año])*(Tipo_Cambio[$/U$S]))</f>
        <v>0</v>
      </c>
      <c r="AD31" s="888">
        <f>SUMPRODUCT((Finanzas[[#This Row],[Mes Financiero]]=Tipo_Cambio[Mes])*(Finanzas[[#This Row],[Año Financiero]]=Tipo_Cambio[Año])*(Tipo_Cambio[Actualización]))</f>
        <v>0</v>
      </c>
    </row>
    <row r="32" spans="2:30" x14ac:dyDescent="0.25">
      <c r="D32" s="478">
        <f>Fecha_Inicio</f>
        <v>43282</v>
      </c>
      <c r="E32" s="478"/>
      <c r="F32" s="968" t="str">
        <f t="shared" si="1"/>
        <v>2018-2019</v>
      </c>
      <c r="G32" s="481" t="s">
        <v>408</v>
      </c>
      <c r="H32" s="484" t="s">
        <v>423</v>
      </c>
      <c r="I32" s="521">
        <v>1</v>
      </c>
      <c r="J32" s="484"/>
      <c r="K32" s="491"/>
      <c r="L32" s="491" t="s">
        <v>48</v>
      </c>
      <c r="M32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32" s="881"/>
      <c r="O32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32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32" s="881"/>
      <c r="R32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32" s="915" t="str">
        <f>IFERROR(INDEX(Cuentas_FIDI[],MATCH(Finanzas[[#This Row],[Cuenta Contable]],Cuentas_FIDI[Cuenta Contable],0),2),0)</f>
        <v>Egreso</v>
      </c>
      <c r="T32" s="887" t="str">
        <f>IFERROR(INDEX(Tabla9[],MATCH(Finanzas[[#This Row],[Movimiento]],Tabla9[Movimientos],0),2),0)</f>
        <v>Si</v>
      </c>
      <c r="U32" s="918" t="str">
        <f>IFERROR(INDEX(Cuentas_FIDI[],MATCH(Finanzas[[#This Row],[Cuenta Contable]],Cuentas_FIDI[Cuenta Contable],0),3),0)</f>
        <v>No</v>
      </c>
      <c r="V32" s="889" t="str">
        <f>IFERROR(INDEX(Tabla9[],MATCH(Finanzas[[#This Row],[Movimiento]],Tabla9[Movimientos],0),3),0)</f>
        <v>(-)</v>
      </c>
      <c r="W32" s="884">
        <f>IF(Finanzas[[#This Row],[Fecha Económico]]=0,0,MONTH(Finanzas[[#This Row],[Fecha Económico]]))</f>
        <v>7</v>
      </c>
      <c r="X32" s="890">
        <f>IF(Finanzas[[#This Row],[Fecha Económico]]=0,0,YEAR(Finanzas[[#This Row],[Fecha Económico]]))</f>
        <v>2018</v>
      </c>
      <c r="Y32" s="891">
        <f>SUMPRODUCT((Finanzas[[#This Row],[Mes Económico]]=Tipo_Cambio[Mes])*(Finanzas[[#This Row],[Año Económico]]=Tipo_Cambio[Año])*(Tipo_Cambio[$/U$S]))</f>
        <v>22</v>
      </c>
      <c r="Z32" s="891">
        <f>SUMPRODUCT((Finanzas[[#This Row],[Mes Económico]]=Tipo_Cambio[Mes])*(Finanzas[[#This Row],[Año Económico]]=Tipo_Cambio[Año])*(Tipo_Cambio[Actualización]))</f>
        <v>1</v>
      </c>
      <c r="AA32" s="890">
        <f>IF(ISNUMBER(Finanzas[[#This Row],[Fecha Financiero]])=TRUE,MONTH(Finanzas[[#This Row],[Fecha Financiero]]),0)</f>
        <v>0</v>
      </c>
      <c r="AB32" s="890">
        <f>IF(ISNUMBER(Finanzas[[#This Row],[Fecha Financiero]])=TRUE,YEAR(Finanzas[[#This Row],[Fecha Financiero]]),0)</f>
        <v>0</v>
      </c>
      <c r="AC32" s="891">
        <f>SUMPRODUCT((Finanzas[[#This Row],[Mes Financiero]]=Tipo_Cambio[Mes])*(Finanzas[[#This Row],[Año Financiero]]=Tipo_Cambio[Año])*(Tipo_Cambio[$/U$S]))</f>
        <v>0</v>
      </c>
      <c r="AD32" s="888">
        <f>SUMPRODUCT((Finanzas[[#This Row],[Mes Financiero]]=Tipo_Cambio[Mes])*(Finanzas[[#This Row],[Año Financiero]]=Tipo_Cambio[Año])*(Tipo_Cambio[Actualización]))</f>
        <v>0</v>
      </c>
    </row>
    <row r="33" spans="2:30" x14ac:dyDescent="0.25">
      <c r="D33" s="478"/>
      <c r="E33" s="522"/>
      <c r="F33" s="968" t="str">
        <f t="shared" si="1"/>
        <v>2018-2019</v>
      </c>
      <c r="G33" s="481"/>
      <c r="H33" s="484"/>
      <c r="I33" s="521"/>
      <c r="J33" s="484"/>
      <c r="K33" s="491"/>
      <c r="L33" s="523"/>
      <c r="M33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33" s="881"/>
      <c r="O33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33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33" s="881"/>
      <c r="R33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33" s="915">
        <f>IFERROR(INDEX(Cuentas_FIDI[],MATCH(Finanzas[[#This Row],[Cuenta Contable]],Cuentas_FIDI[Cuenta Contable],0),2),0)</f>
        <v>0</v>
      </c>
      <c r="T33" s="887">
        <f>IFERROR(INDEX(Tabla9[],MATCH(Finanzas[[#This Row],[Movimiento]],Tabla9[Movimientos],0),2),0)</f>
        <v>0</v>
      </c>
      <c r="U33" s="918">
        <f>IFERROR(INDEX(Cuentas_FIDI[],MATCH(Finanzas[[#This Row],[Cuenta Contable]],Cuentas_FIDI[Cuenta Contable],0),3),0)</f>
        <v>0</v>
      </c>
      <c r="V33" s="889">
        <f>IFERROR(INDEX(Tabla9[],MATCH(Finanzas[[#This Row],[Movimiento]],Tabla9[Movimientos],0),3),0)</f>
        <v>0</v>
      </c>
      <c r="W33" s="884">
        <f>IF(Finanzas[[#This Row],[Fecha Económico]]=0,0,MONTH(Finanzas[[#This Row],[Fecha Económico]]))</f>
        <v>0</v>
      </c>
      <c r="X33" s="890">
        <f>IF(Finanzas[[#This Row],[Fecha Económico]]=0,0,YEAR(Finanzas[[#This Row],[Fecha Económico]]))</f>
        <v>0</v>
      </c>
      <c r="Y33" s="891">
        <f>SUMPRODUCT((Finanzas[[#This Row],[Mes Económico]]=Tipo_Cambio[Mes])*(Finanzas[[#This Row],[Año Económico]]=Tipo_Cambio[Año])*(Tipo_Cambio[$/U$S]))</f>
        <v>0</v>
      </c>
      <c r="Z33" s="891">
        <f>SUMPRODUCT((Finanzas[[#This Row],[Mes Económico]]=Tipo_Cambio[Mes])*(Finanzas[[#This Row],[Año Económico]]=Tipo_Cambio[Año])*(Tipo_Cambio[Actualización]))</f>
        <v>0</v>
      </c>
      <c r="AA33" s="890">
        <f>IF(ISNUMBER(Finanzas[[#This Row],[Fecha Financiero]])=TRUE,MONTH(Finanzas[[#This Row],[Fecha Financiero]]),0)</f>
        <v>0</v>
      </c>
      <c r="AB33" s="890">
        <f>IF(ISNUMBER(Finanzas[[#This Row],[Fecha Financiero]])=TRUE,YEAR(Finanzas[[#This Row],[Fecha Financiero]]),0)</f>
        <v>0</v>
      </c>
      <c r="AC33" s="891">
        <f>SUMPRODUCT((Finanzas[[#This Row],[Mes Financiero]]=Tipo_Cambio[Mes])*(Finanzas[[#This Row],[Año Financiero]]=Tipo_Cambio[Año])*(Tipo_Cambio[$/U$S]))</f>
        <v>0</v>
      </c>
      <c r="AD33" s="888">
        <f>SUMPRODUCT((Finanzas[[#This Row],[Mes Financiero]]=Tipo_Cambio[Mes])*(Finanzas[[#This Row],[Año Financiero]]=Tipo_Cambio[Año])*(Tipo_Cambio[Actualización]))</f>
        <v>0</v>
      </c>
    </row>
    <row r="34" spans="2:30" x14ac:dyDescent="0.25">
      <c r="D34" s="478"/>
      <c r="E34" s="522"/>
      <c r="F34" s="968" t="str">
        <f t="shared" si="1"/>
        <v>2018-2019</v>
      </c>
      <c r="G34" s="481"/>
      <c r="H34" s="484"/>
      <c r="I34" s="521"/>
      <c r="J34" s="484"/>
      <c r="K34" s="491"/>
      <c r="L34" s="523"/>
      <c r="M34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34" s="881"/>
      <c r="O34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34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34" s="881"/>
      <c r="R34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34" s="915">
        <f>IFERROR(INDEX(Cuentas_FIDI[],MATCH(Finanzas[[#This Row],[Cuenta Contable]],Cuentas_FIDI[Cuenta Contable],0),2),0)</f>
        <v>0</v>
      </c>
      <c r="T34" s="887">
        <f>IFERROR(INDEX(Tabla9[],MATCH(Finanzas[[#This Row],[Movimiento]],Tabla9[Movimientos],0),2),0)</f>
        <v>0</v>
      </c>
      <c r="U34" s="918">
        <f>IFERROR(INDEX(Cuentas_FIDI[],MATCH(Finanzas[[#This Row],[Cuenta Contable]],Cuentas_FIDI[Cuenta Contable],0),3),0)</f>
        <v>0</v>
      </c>
      <c r="V34" s="889">
        <f>IFERROR(INDEX(Tabla9[],MATCH(Finanzas[[#This Row],[Movimiento]],Tabla9[Movimientos],0),3),0)</f>
        <v>0</v>
      </c>
      <c r="W34" s="884">
        <f>IF(Finanzas[[#This Row],[Fecha Económico]]=0,0,MONTH(Finanzas[[#This Row],[Fecha Económico]]))</f>
        <v>0</v>
      </c>
      <c r="X34" s="890">
        <f>IF(Finanzas[[#This Row],[Fecha Económico]]=0,0,YEAR(Finanzas[[#This Row],[Fecha Económico]]))</f>
        <v>0</v>
      </c>
      <c r="Y34" s="891">
        <f>SUMPRODUCT((Finanzas[[#This Row],[Mes Económico]]=Tipo_Cambio[Mes])*(Finanzas[[#This Row],[Año Económico]]=Tipo_Cambio[Año])*(Tipo_Cambio[$/U$S]))</f>
        <v>0</v>
      </c>
      <c r="Z34" s="891">
        <f>SUMPRODUCT((Finanzas[[#This Row],[Mes Económico]]=Tipo_Cambio[Mes])*(Finanzas[[#This Row],[Año Económico]]=Tipo_Cambio[Año])*(Tipo_Cambio[Actualización]))</f>
        <v>0</v>
      </c>
      <c r="AA34" s="890">
        <f>IF(ISNUMBER(Finanzas[[#This Row],[Fecha Financiero]])=TRUE,MONTH(Finanzas[[#This Row],[Fecha Financiero]]),0)</f>
        <v>0</v>
      </c>
      <c r="AB34" s="890">
        <f>IF(ISNUMBER(Finanzas[[#This Row],[Fecha Financiero]])=TRUE,YEAR(Finanzas[[#This Row],[Fecha Financiero]]),0)</f>
        <v>0</v>
      </c>
      <c r="AC34" s="891">
        <f>SUMPRODUCT((Finanzas[[#This Row],[Mes Financiero]]=Tipo_Cambio[Mes])*(Finanzas[[#This Row],[Año Financiero]]=Tipo_Cambio[Año])*(Tipo_Cambio[$/U$S]))</f>
        <v>0</v>
      </c>
      <c r="AD34" s="888">
        <f>SUMPRODUCT((Finanzas[[#This Row],[Mes Financiero]]=Tipo_Cambio[Mes])*(Finanzas[[#This Row],[Año Financiero]]=Tipo_Cambio[Año])*(Tipo_Cambio[Actualización]))</f>
        <v>0</v>
      </c>
    </row>
    <row r="35" spans="2:30" x14ac:dyDescent="0.25">
      <c r="D35" s="478"/>
      <c r="E35" s="522"/>
      <c r="F35" s="968" t="str">
        <f t="shared" si="1"/>
        <v>2018-2019</v>
      </c>
      <c r="G35" s="481"/>
      <c r="H35" s="484"/>
      <c r="I35" s="521"/>
      <c r="J35" s="484"/>
      <c r="K35" s="491"/>
      <c r="L35" s="523"/>
      <c r="M35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35" s="881"/>
      <c r="O35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35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35" s="881"/>
      <c r="R35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35" s="915">
        <f>IFERROR(INDEX(Cuentas_FIDI[],MATCH(Finanzas[[#This Row],[Cuenta Contable]],Cuentas_FIDI[Cuenta Contable],0),2),0)</f>
        <v>0</v>
      </c>
      <c r="T35" s="887">
        <f>IFERROR(INDEX(Tabla9[],MATCH(Finanzas[[#This Row],[Movimiento]],Tabla9[Movimientos],0),2),0)</f>
        <v>0</v>
      </c>
      <c r="U35" s="918">
        <f>IFERROR(INDEX(Cuentas_FIDI[],MATCH(Finanzas[[#This Row],[Cuenta Contable]],Cuentas_FIDI[Cuenta Contable],0),3),0)</f>
        <v>0</v>
      </c>
      <c r="V35" s="889">
        <f>IFERROR(INDEX(Tabla9[],MATCH(Finanzas[[#This Row],[Movimiento]],Tabla9[Movimientos],0),3),0)</f>
        <v>0</v>
      </c>
      <c r="W35" s="884">
        <f>IF(Finanzas[[#This Row],[Fecha Económico]]=0,0,MONTH(Finanzas[[#This Row],[Fecha Económico]]))</f>
        <v>0</v>
      </c>
      <c r="X35" s="890">
        <f>IF(Finanzas[[#This Row],[Fecha Económico]]=0,0,YEAR(Finanzas[[#This Row],[Fecha Económico]]))</f>
        <v>0</v>
      </c>
      <c r="Y35" s="891">
        <f>SUMPRODUCT((Finanzas[[#This Row],[Mes Económico]]=Tipo_Cambio[Mes])*(Finanzas[[#This Row],[Año Económico]]=Tipo_Cambio[Año])*(Tipo_Cambio[$/U$S]))</f>
        <v>0</v>
      </c>
      <c r="Z35" s="891">
        <f>SUMPRODUCT((Finanzas[[#This Row],[Mes Económico]]=Tipo_Cambio[Mes])*(Finanzas[[#This Row],[Año Económico]]=Tipo_Cambio[Año])*(Tipo_Cambio[Actualización]))</f>
        <v>0</v>
      </c>
      <c r="AA35" s="890">
        <f>IF(ISNUMBER(Finanzas[[#This Row],[Fecha Financiero]])=TRUE,MONTH(Finanzas[[#This Row],[Fecha Financiero]]),0)</f>
        <v>0</v>
      </c>
      <c r="AB35" s="890">
        <f>IF(ISNUMBER(Finanzas[[#This Row],[Fecha Financiero]])=TRUE,YEAR(Finanzas[[#This Row],[Fecha Financiero]]),0)</f>
        <v>0</v>
      </c>
      <c r="AC35" s="891">
        <f>SUMPRODUCT((Finanzas[[#This Row],[Mes Financiero]]=Tipo_Cambio[Mes])*(Finanzas[[#This Row],[Año Financiero]]=Tipo_Cambio[Año])*(Tipo_Cambio[$/U$S]))</f>
        <v>0</v>
      </c>
      <c r="AD35" s="888">
        <f>SUMPRODUCT((Finanzas[[#This Row],[Mes Financiero]]=Tipo_Cambio[Mes])*(Finanzas[[#This Row],[Año Financiero]]=Tipo_Cambio[Año])*(Tipo_Cambio[Actualización]))</f>
        <v>0</v>
      </c>
    </row>
    <row r="36" spans="2:30" ht="15.75" thickBot="1" x14ac:dyDescent="0.3">
      <c r="B36" s="86" t="s">
        <v>101</v>
      </c>
      <c r="D36" s="502"/>
      <c r="E36" s="524"/>
      <c r="F36" s="1081" t="str">
        <f t="shared" si="1"/>
        <v>2018-2019</v>
      </c>
      <c r="G36" s="525"/>
      <c r="H36" s="506"/>
      <c r="I36" s="526"/>
      <c r="J36" s="506"/>
      <c r="K36" s="525"/>
      <c r="L36" s="527"/>
      <c r="M36" s="1079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36" s="1064"/>
      <c r="O36" s="1066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36" s="106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36" s="1064"/>
      <c r="R36" s="1066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36" s="1069">
        <f>IFERROR(INDEX(Cuentas_FIDI[],MATCH(Finanzas[[#This Row],[Cuenta Contable]],Cuentas_FIDI[Cuenta Contable],0),2),0)</f>
        <v>0</v>
      </c>
      <c r="T36" s="1070">
        <f>IFERROR(INDEX(Tabla9[],MATCH(Finanzas[[#This Row],[Movimiento]],Tabla9[Movimientos],0),2),0)</f>
        <v>0</v>
      </c>
      <c r="U36" s="1071">
        <f>IFERROR(INDEX(Cuentas_FIDI[],MATCH(Finanzas[[#This Row],[Cuenta Contable]],Cuentas_FIDI[Cuenta Contable],0),3),0)</f>
        <v>0</v>
      </c>
      <c r="V36" s="1072">
        <f>IFERROR(INDEX(Tabla9[],MATCH(Finanzas[[#This Row],[Movimiento]],Tabla9[Movimientos],0),3),0)</f>
        <v>0</v>
      </c>
      <c r="W36" s="1067">
        <f>IF(Finanzas[[#This Row],[Fecha Económico]]=0,0,MONTH(Finanzas[[#This Row],[Fecha Económico]]))</f>
        <v>0</v>
      </c>
      <c r="X36" s="1068">
        <f>IF(Finanzas[[#This Row],[Fecha Económico]]=0,0,YEAR(Finanzas[[#This Row],[Fecha Económico]]))</f>
        <v>0</v>
      </c>
      <c r="Y36" s="1072">
        <f>SUMPRODUCT((Finanzas[[#This Row],[Mes Económico]]=Tipo_Cambio[Mes])*(Finanzas[[#This Row],[Año Económico]]=Tipo_Cambio[Año])*(Tipo_Cambio[$/U$S]))</f>
        <v>0</v>
      </c>
      <c r="Z36" s="1072">
        <f>SUMPRODUCT((Finanzas[[#This Row],[Mes Económico]]=Tipo_Cambio[Mes])*(Finanzas[[#This Row],[Año Económico]]=Tipo_Cambio[Año])*(Tipo_Cambio[Actualización]))</f>
        <v>0</v>
      </c>
      <c r="AA36" s="1068">
        <f>IF(ISNUMBER(Finanzas[[#This Row],[Fecha Financiero]])=TRUE,MONTH(Finanzas[[#This Row],[Fecha Financiero]]),0)</f>
        <v>0</v>
      </c>
      <c r="AB36" s="1068">
        <f>IF(ISNUMBER(Finanzas[[#This Row],[Fecha Financiero]])=TRUE,YEAR(Finanzas[[#This Row],[Fecha Financiero]]),0)</f>
        <v>0</v>
      </c>
      <c r="AC36" s="1072">
        <f>SUMPRODUCT((Finanzas[[#This Row],[Mes Financiero]]=Tipo_Cambio[Mes])*(Finanzas[[#This Row],[Año Financiero]]=Tipo_Cambio[Año])*(Tipo_Cambio[$/U$S]))</f>
        <v>0</v>
      </c>
      <c r="AD36" s="1073">
        <f>SUMPRODUCT((Finanzas[[#This Row],[Mes Financiero]]=Tipo_Cambio[Mes])*(Finanzas[[#This Row],[Año Financiero]]=Tipo_Cambio[Año])*(Tipo_Cambio[Actualización]))</f>
        <v>0</v>
      </c>
    </row>
    <row r="37" spans="2:30" ht="15.75" thickTop="1" x14ac:dyDescent="0.25">
      <c r="B37" s="346" t="s">
        <v>427</v>
      </c>
      <c r="D37" s="478"/>
      <c r="E37" s="522"/>
      <c r="F37" s="968" t="str">
        <f t="shared" ref="F37:F71" si="3">Campaña_Actual</f>
        <v>2018-2019</v>
      </c>
      <c r="G37" s="491" t="s">
        <v>339</v>
      </c>
      <c r="H37" s="484" t="s">
        <v>424</v>
      </c>
      <c r="I37" s="521"/>
      <c r="J37" s="484"/>
      <c r="K37" s="491"/>
      <c r="L37" s="523"/>
      <c r="M37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37" s="881"/>
      <c r="O37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37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37" s="881"/>
      <c r="R37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37" s="915" t="str">
        <f>IFERROR(INDEX(Cuentas_FIDI[],MATCH(Finanzas[[#This Row],[Cuenta Contable]],Cuentas_FIDI[Cuenta Contable],0),2),0)</f>
        <v>Ingreso</v>
      </c>
      <c r="T37" s="887" t="str">
        <f>IFERROR(INDEX(Tabla9[],MATCH(Finanzas[[#This Row],[Movimiento]],Tabla9[Movimientos],0),2),0)</f>
        <v>Si</v>
      </c>
      <c r="U37" s="918" t="str">
        <f>IFERROR(INDEX(Cuentas_FIDI[],MATCH(Finanzas[[#This Row],[Cuenta Contable]],Cuentas_FIDI[Cuenta Contable],0),3),0)</f>
        <v>No</v>
      </c>
      <c r="V37" s="889" t="str">
        <f>IFERROR(INDEX(Tabla9[],MATCH(Finanzas[[#This Row],[Movimiento]],Tabla9[Movimientos],0),3),0)</f>
        <v>(+)</v>
      </c>
      <c r="W37" s="884">
        <f>IF(Finanzas[[#This Row],[Fecha Económico]]=0,0,MONTH(Finanzas[[#This Row],[Fecha Económico]]))</f>
        <v>0</v>
      </c>
      <c r="X37" s="885">
        <f>IF(Finanzas[[#This Row],[Fecha Económico]]=0,0,YEAR(Finanzas[[#This Row],[Fecha Económico]]))</f>
        <v>0</v>
      </c>
      <c r="Y37" s="889">
        <f>SUMPRODUCT((Finanzas[[#This Row],[Mes Económico]]=Tipo_Cambio[Mes])*(Finanzas[[#This Row],[Año Económico]]=Tipo_Cambio[Año])*(Tipo_Cambio[$/U$S]))</f>
        <v>0</v>
      </c>
      <c r="Z37" s="889">
        <f>SUMPRODUCT((Finanzas[[#This Row],[Mes Económico]]=Tipo_Cambio[Mes])*(Finanzas[[#This Row],[Año Económico]]=Tipo_Cambio[Año])*(Tipo_Cambio[Actualización]))</f>
        <v>0</v>
      </c>
      <c r="AA37" s="885">
        <f>IF(ISNUMBER(Finanzas[[#This Row],[Fecha Financiero]])=TRUE,MONTH(Finanzas[[#This Row],[Fecha Financiero]]),0)</f>
        <v>0</v>
      </c>
      <c r="AB37" s="885">
        <f>IF(ISNUMBER(Finanzas[[#This Row],[Fecha Financiero]])=TRUE,YEAR(Finanzas[[#This Row],[Fecha Financiero]]),0)</f>
        <v>0</v>
      </c>
      <c r="AC37" s="889">
        <f>SUMPRODUCT((Finanzas[[#This Row],[Mes Financiero]]=Tipo_Cambio[Mes])*(Finanzas[[#This Row],[Año Financiero]]=Tipo_Cambio[Año])*(Tipo_Cambio[$/U$S]))</f>
        <v>0</v>
      </c>
      <c r="AD37" s="888">
        <f>SUMPRODUCT((Finanzas[[#This Row],[Mes Financiero]]=Tipo_Cambio[Mes])*(Finanzas[[#This Row],[Año Financiero]]=Tipo_Cambio[Año])*(Tipo_Cambio[Actualización]))</f>
        <v>0</v>
      </c>
    </row>
    <row r="38" spans="2:30" x14ac:dyDescent="0.25">
      <c r="D38" s="478"/>
      <c r="E38" s="478"/>
      <c r="F38" s="968" t="str">
        <f t="shared" si="3"/>
        <v>2018-2019</v>
      </c>
      <c r="G38" s="481" t="s">
        <v>415</v>
      </c>
      <c r="H38" s="481" t="s">
        <v>424</v>
      </c>
      <c r="I38" s="521"/>
      <c r="J38" s="484"/>
      <c r="K38" s="491"/>
      <c r="L38" s="491"/>
      <c r="M38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38" s="881"/>
      <c r="O38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38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38" s="881"/>
      <c r="R38" s="881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38" s="886" t="str">
        <f>IFERROR(INDEX(Cuentas_FIDI[],MATCH(Finanzas[[#This Row],[Cuenta Contable]],Cuentas_FIDI[Cuenta Contable],0),2),0)</f>
        <v>Egreso</v>
      </c>
      <c r="T38" s="887" t="str">
        <f>IFERROR(INDEX(Tabla9[],MATCH(Finanzas[[#This Row],[Movimiento]],Tabla9[Movimientos],0),2),0)</f>
        <v>Si</v>
      </c>
      <c r="U38" s="889" t="str">
        <f>IFERROR(INDEX(Cuentas_FIDI[],MATCH(Finanzas[[#This Row],[Cuenta Contable]],Cuentas_FIDI[Cuenta Contable],0),3),0)</f>
        <v>No</v>
      </c>
      <c r="V38" s="889" t="str">
        <f>IFERROR(INDEX(Tabla9[],MATCH(Finanzas[[#This Row],[Movimiento]],Tabla9[Movimientos],0),3),0)</f>
        <v>(-)</v>
      </c>
      <c r="W38" s="884">
        <f>IF(Finanzas[[#This Row],[Fecha Económico]]=0,0,MONTH(Finanzas[[#This Row],[Fecha Económico]]))</f>
        <v>0</v>
      </c>
      <c r="X38" s="890">
        <f>IF(Finanzas[[#This Row],[Fecha Económico]]=0,0,YEAR(Finanzas[[#This Row],[Fecha Económico]]))</f>
        <v>0</v>
      </c>
      <c r="Y38" s="891">
        <f>SUMPRODUCT((Finanzas[[#This Row],[Mes Económico]]=Tipo_Cambio[Mes])*(Finanzas[[#This Row],[Año Económico]]=Tipo_Cambio[Año])*(Tipo_Cambio[$/U$S]))</f>
        <v>0</v>
      </c>
      <c r="Z38" s="891">
        <f>SUMPRODUCT((Finanzas[[#This Row],[Mes Económico]]=Tipo_Cambio[Mes])*(Finanzas[[#This Row],[Año Económico]]=Tipo_Cambio[Año])*(Tipo_Cambio[Actualización]))</f>
        <v>0</v>
      </c>
      <c r="AA38" s="890">
        <f>IF(ISNUMBER(Finanzas[[#This Row],[Fecha Financiero]])=TRUE,MONTH(Finanzas[[#This Row],[Fecha Financiero]]),0)</f>
        <v>0</v>
      </c>
      <c r="AB38" s="890">
        <f>IF(ISNUMBER(Finanzas[[#This Row],[Fecha Financiero]])=TRUE,YEAR(Finanzas[[#This Row],[Fecha Financiero]]),0)</f>
        <v>0</v>
      </c>
      <c r="AC38" s="891">
        <f>SUMPRODUCT((Finanzas[[#This Row],[Mes Financiero]]=Tipo_Cambio[Mes])*(Finanzas[[#This Row],[Año Financiero]]=Tipo_Cambio[Año])*(Tipo_Cambio[$/U$S]))</f>
        <v>0</v>
      </c>
      <c r="AD38" s="891">
        <f>SUMPRODUCT((Finanzas[[#This Row],[Mes Financiero]]=Tipo_Cambio[Mes])*(Finanzas[[#This Row],[Año Financiero]]=Tipo_Cambio[Año])*(Tipo_Cambio[Actualización]))</f>
        <v>0</v>
      </c>
    </row>
    <row r="39" spans="2:30" x14ac:dyDescent="0.25">
      <c r="D39" s="478"/>
      <c r="E39" s="478"/>
      <c r="F39" s="968" t="str">
        <f t="shared" si="3"/>
        <v>2018-2019</v>
      </c>
      <c r="G39" s="481" t="s">
        <v>416</v>
      </c>
      <c r="H39" s="481" t="s">
        <v>424</v>
      </c>
      <c r="I39" s="521"/>
      <c r="J39" s="484"/>
      <c r="K39" s="491"/>
      <c r="L39" s="491"/>
      <c r="M39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39" s="881"/>
      <c r="O39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39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39" s="881"/>
      <c r="R39" s="881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39" s="886">
        <f>IFERROR(INDEX(Cuentas_FIDI[],MATCH(Finanzas[[#This Row],[Cuenta Contable]],Cuentas_FIDI[Cuenta Contable],0),2),0)</f>
        <v>0</v>
      </c>
      <c r="T39" s="887">
        <f>IFERROR(INDEX(Tabla9[],MATCH(Finanzas[[#This Row],[Movimiento]],Tabla9[Movimientos],0),2),0)</f>
        <v>0</v>
      </c>
      <c r="U39" s="889">
        <f>IFERROR(INDEX(Cuentas_FIDI[],MATCH(Finanzas[[#This Row],[Cuenta Contable]],Cuentas_FIDI[Cuenta Contable],0),3),0)</f>
        <v>0</v>
      </c>
      <c r="V39" s="889">
        <f>IFERROR(INDEX(Tabla9[],MATCH(Finanzas[[#This Row],[Movimiento]],Tabla9[Movimientos],0),3),0)</f>
        <v>0</v>
      </c>
      <c r="W39" s="884">
        <f>IF(Finanzas[[#This Row],[Fecha Económico]]=0,0,MONTH(Finanzas[[#This Row],[Fecha Económico]]))</f>
        <v>0</v>
      </c>
      <c r="X39" s="890">
        <f>IF(Finanzas[[#This Row],[Fecha Económico]]=0,0,YEAR(Finanzas[[#This Row],[Fecha Económico]]))</f>
        <v>0</v>
      </c>
      <c r="Y39" s="891">
        <f>SUMPRODUCT((Finanzas[[#This Row],[Mes Económico]]=Tipo_Cambio[Mes])*(Finanzas[[#This Row],[Año Económico]]=Tipo_Cambio[Año])*(Tipo_Cambio[$/U$S]))</f>
        <v>0</v>
      </c>
      <c r="Z39" s="891">
        <f>SUMPRODUCT((Finanzas[[#This Row],[Mes Económico]]=Tipo_Cambio[Mes])*(Finanzas[[#This Row],[Año Económico]]=Tipo_Cambio[Año])*(Tipo_Cambio[Actualización]))</f>
        <v>0</v>
      </c>
      <c r="AA39" s="890">
        <f>IF(ISNUMBER(Finanzas[[#This Row],[Fecha Financiero]])=TRUE,MONTH(Finanzas[[#This Row],[Fecha Financiero]]),0)</f>
        <v>0</v>
      </c>
      <c r="AB39" s="890">
        <f>IF(ISNUMBER(Finanzas[[#This Row],[Fecha Financiero]])=TRUE,YEAR(Finanzas[[#This Row],[Fecha Financiero]]),0)</f>
        <v>0</v>
      </c>
      <c r="AC39" s="891">
        <f>SUMPRODUCT((Finanzas[[#This Row],[Mes Financiero]]=Tipo_Cambio[Mes])*(Finanzas[[#This Row],[Año Financiero]]=Tipo_Cambio[Año])*(Tipo_Cambio[$/U$S]))</f>
        <v>0</v>
      </c>
      <c r="AD39" s="891">
        <f>SUMPRODUCT((Finanzas[[#This Row],[Mes Financiero]]=Tipo_Cambio[Mes])*(Finanzas[[#This Row],[Año Financiero]]=Tipo_Cambio[Año])*(Tipo_Cambio[Actualización]))</f>
        <v>0</v>
      </c>
    </row>
    <row r="40" spans="2:30" x14ac:dyDescent="0.25">
      <c r="D40" s="478"/>
      <c r="E40" s="478"/>
      <c r="F40" s="968" t="str">
        <f t="shared" si="3"/>
        <v>2018-2019</v>
      </c>
      <c r="G40" s="481" t="s">
        <v>415</v>
      </c>
      <c r="H40" s="481" t="s">
        <v>424</v>
      </c>
      <c r="I40" s="521"/>
      <c r="J40" s="484"/>
      <c r="K40" s="491"/>
      <c r="L40" s="491"/>
      <c r="M40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40" s="881"/>
      <c r="O40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40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40" s="881"/>
      <c r="R40" s="881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40" s="886" t="str">
        <f>IFERROR(INDEX(Cuentas_FIDI[],MATCH(Finanzas[[#This Row],[Cuenta Contable]],Cuentas_FIDI[Cuenta Contable],0),2),0)</f>
        <v>Egreso</v>
      </c>
      <c r="T40" s="887" t="str">
        <f>IFERROR(INDEX(Tabla9[],MATCH(Finanzas[[#This Row],[Movimiento]],Tabla9[Movimientos],0),2),0)</f>
        <v>Si</v>
      </c>
      <c r="U40" s="889" t="str">
        <f>IFERROR(INDEX(Cuentas_FIDI[],MATCH(Finanzas[[#This Row],[Cuenta Contable]],Cuentas_FIDI[Cuenta Contable],0),3),0)</f>
        <v>No</v>
      </c>
      <c r="V40" s="889" t="str">
        <f>IFERROR(INDEX(Tabla9[],MATCH(Finanzas[[#This Row],[Movimiento]],Tabla9[Movimientos],0),3),0)</f>
        <v>(-)</v>
      </c>
      <c r="W40" s="884">
        <f>IF(Finanzas[[#This Row],[Fecha Económico]]=0,0,MONTH(Finanzas[[#This Row],[Fecha Económico]]))</f>
        <v>0</v>
      </c>
      <c r="X40" s="890">
        <f>IF(Finanzas[[#This Row],[Fecha Económico]]=0,0,YEAR(Finanzas[[#This Row],[Fecha Económico]]))</f>
        <v>0</v>
      </c>
      <c r="Y40" s="891">
        <f>SUMPRODUCT((Finanzas[[#This Row],[Mes Económico]]=Tipo_Cambio[Mes])*(Finanzas[[#This Row],[Año Económico]]=Tipo_Cambio[Año])*(Tipo_Cambio[$/U$S]))</f>
        <v>0</v>
      </c>
      <c r="Z40" s="891">
        <f>SUMPRODUCT((Finanzas[[#This Row],[Mes Económico]]=Tipo_Cambio[Mes])*(Finanzas[[#This Row],[Año Económico]]=Tipo_Cambio[Año])*(Tipo_Cambio[Actualización]))</f>
        <v>0</v>
      </c>
      <c r="AA40" s="890">
        <f>IF(ISNUMBER(Finanzas[[#This Row],[Fecha Financiero]])=TRUE,MONTH(Finanzas[[#This Row],[Fecha Financiero]]),0)</f>
        <v>0</v>
      </c>
      <c r="AB40" s="890">
        <f>IF(ISNUMBER(Finanzas[[#This Row],[Fecha Financiero]])=TRUE,YEAR(Finanzas[[#This Row],[Fecha Financiero]]),0)</f>
        <v>0</v>
      </c>
      <c r="AC40" s="891">
        <f>SUMPRODUCT((Finanzas[[#This Row],[Mes Financiero]]=Tipo_Cambio[Mes])*(Finanzas[[#This Row],[Año Financiero]]=Tipo_Cambio[Año])*(Tipo_Cambio[$/U$S]))</f>
        <v>0</v>
      </c>
      <c r="AD40" s="891">
        <f>SUMPRODUCT((Finanzas[[#This Row],[Mes Financiero]]=Tipo_Cambio[Mes])*(Finanzas[[#This Row],[Año Financiero]]=Tipo_Cambio[Año])*(Tipo_Cambio[Actualización]))</f>
        <v>0</v>
      </c>
    </row>
    <row r="41" spans="2:30" x14ac:dyDescent="0.25">
      <c r="D41" s="478"/>
      <c r="E41" s="478"/>
      <c r="F41" s="968" t="str">
        <f t="shared" si="3"/>
        <v>2018-2019</v>
      </c>
      <c r="G41" s="481" t="s">
        <v>416</v>
      </c>
      <c r="H41" s="481" t="s">
        <v>424</v>
      </c>
      <c r="I41" s="521"/>
      <c r="J41" s="484"/>
      <c r="K41" s="491"/>
      <c r="L41" s="491"/>
      <c r="M41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41" s="881"/>
      <c r="O41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41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41" s="881"/>
      <c r="R41" s="881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41" s="886">
        <f>IFERROR(INDEX(Cuentas_FIDI[],MATCH(Finanzas[[#This Row],[Cuenta Contable]],Cuentas_FIDI[Cuenta Contable],0),2),0)</f>
        <v>0</v>
      </c>
      <c r="T41" s="887">
        <f>IFERROR(INDEX(Tabla9[],MATCH(Finanzas[[#This Row],[Movimiento]],Tabla9[Movimientos],0),2),0)</f>
        <v>0</v>
      </c>
      <c r="U41" s="889">
        <f>IFERROR(INDEX(Cuentas_FIDI[],MATCH(Finanzas[[#This Row],[Cuenta Contable]],Cuentas_FIDI[Cuenta Contable],0),3),0)</f>
        <v>0</v>
      </c>
      <c r="V41" s="889">
        <f>IFERROR(INDEX(Tabla9[],MATCH(Finanzas[[#This Row],[Movimiento]],Tabla9[Movimientos],0),3),0)</f>
        <v>0</v>
      </c>
      <c r="W41" s="884">
        <f>IF(Finanzas[[#This Row],[Fecha Económico]]=0,0,MONTH(Finanzas[[#This Row],[Fecha Económico]]))</f>
        <v>0</v>
      </c>
      <c r="X41" s="890">
        <f>IF(Finanzas[[#This Row],[Fecha Económico]]=0,0,YEAR(Finanzas[[#This Row],[Fecha Económico]]))</f>
        <v>0</v>
      </c>
      <c r="Y41" s="891">
        <f>SUMPRODUCT((Finanzas[[#This Row],[Mes Económico]]=Tipo_Cambio[Mes])*(Finanzas[[#This Row],[Año Económico]]=Tipo_Cambio[Año])*(Tipo_Cambio[$/U$S]))</f>
        <v>0</v>
      </c>
      <c r="Z41" s="891">
        <f>SUMPRODUCT((Finanzas[[#This Row],[Mes Económico]]=Tipo_Cambio[Mes])*(Finanzas[[#This Row],[Año Económico]]=Tipo_Cambio[Año])*(Tipo_Cambio[Actualización]))</f>
        <v>0</v>
      </c>
      <c r="AA41" s="890">
        <f>IF(ISNUMBER(Finanzas[[#This Row],[Fecha Financiero]])=TRUE,MONTH(Finanzas[[#This Row],[Fecha Financiero]]),0)</f>
        <v>0</v>
      </c>
      <c r="AB41" s="890">
        <f>IF(ISNUMBER(Finanzas[[#This Row],[Fecha Financiero]])=TRUE,YEAR(Finanzas[[#This Row],[Fecha Financiero]]),0)</f>
        <v>0</v>
      </c>
      <c r="AC41" s="891">
        <f>SUMPRODUCT((Finanzas[[#This Row],[Mes Financiero]]=Tipo_Cambio[Mes])*(Finanzas[[#This Row],[Año Financiero]]=Tipo_Cambio[Año])*(Tipo_Cambio[$/U$S]))</f>
        <v>0</v>
      </c>
      <c r="AD41" s="891">
        <f>SUMPRODUCT((Finanzas[[#This Row],[Mes Financiero]]=Tipo_Cambio[Mes])*(Finanzas[[#This Row],[Año Financiero]]=Tipo_Cambio[Año])*(Tipo_Cambio[Actualización]))</f>
        <v>0</v>
      </c>
    </row>
    <row r="42" spans="2:30" x14ac:dyDescent="0.25">
      <c r="D42" s="478"/>
      <c r="E42" s="478"/>
      <c r="F42" s="968" t="str">
        <f t="shared" si="3"/>
        <v>2018-2019</v>
      </c>
      <c r="G42" s="481" t="s">
        <v>415</v>
      </c>
      <c r="H42" s="481" t="s">
        <v>424</v>
      </c>
      <c r="I42" s="521"/>
      <c r="J42" s="484"/>
      <c r="K42" s="491"/>
      <c r="L42" s="491"/>
      <c r="M42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42" s="881"/>
      <c r="O42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42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42" s="881"/>
      <c r="R42" s="881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42" s="886" t="str">
        <f>IFERROR(INDEX(Cuentas_FIDI[],MATCH(Finanzas[[#This Row],[Cuenta Contable]],Cuentas_FIDI[Cuenta Contable],0),2),0)</f>
        <v>Egreso</v>
      </c>
      <c r="T42" s="887" t="str">
        <f>IFERROR(INDEX(Tabla9[],MATCH(Finanzas[[#This Row],[Movimiento]],Tabla9[Movimientos],0),2),0)</f>
        <v>Si</v>
      </c>
      <c r="U42" s="889" t="str">
        <f>IFERROR(INDEX(Cuentas_FIDI[],MATCH(Finanzas[[#This Row],[Cuenta Contable]],Cuentas_FIDI[Cuenta Contable],0),3),0)</f>
        <v>No</v>
      </c>
      <c r="V42" s="889" t="str">
        <f>IFERROR(INDEX(Tabla9[],MATCH(Finanzas[[#This Row],[Movimiento]],Tabla9[Movimientos],0),3),0)</f>
        <v>(-)</v>
      </c>
      <c r="W42" s="884">
        <f>IF(Finanzas[[#This Row],[Fecha Económico]]=0,0,MONTH(Finanzas[[#This Row],[Fecha Económico]]))</f>
        <v>0</v>
      </c>
      <c r="X42" s="890">
        <f>IF(Finanzas[[#This Row],[Fecha Económico]]=0,0,YEAR(Finanzas[[#This Row],[Fecha Económico]]))</f>
        <v>0</v>
      </c>
      <c r="Y42" s="891">
        <f>SUMPRODUCT((Finanzas[[#This Row],[Mes Económico]]=Tipo_Cambio[Mes])*(Finanzas[[#This Row],[Año Económico]]=Tipo_Cambio[Año])*(Tipo_Cambio[$/U$S]))</f>
        <v>0</v>
      </c>
      <c r="Z42" s="891">
        <f>SUMPRODUCT((Finanzas[[#This Row],[Mes Económico]]=Tipo_Cambio[Mes])*(Finanzas[[#This Row],[Año Económico]]=Tipo_Cambio[Año])*(Tipo_Cambio[Actualización]))</f>
        <v>0</v>
      </c>
      <c r="AA42" s="890">
        <f>IF(ISNUMBER(Finanzas[[#This Row],[Fecha Financiero]])=TRUE,MONTH(Finanzas[[#This Row],[Fecha Financiero]]),0)</f>
        <v>0</v>
      </c>
      <c r="AB42" s="890">
        <f>IF(ISNUMBER(Finanzas[[#This Row],[Fecha Financiero]])=TRUE,YEAR(Finanzas[[#This Row],[Fecha Financiero]]),0)</f>
        <v>0</v>
      </c>
      <c r="AC42" s="891">
        <f>SUMPRODUCT((Finanzas[[#This Row],[Mes Financiero]]=Tipo_Cambio[Mes])*(Finanzas[[#This Row],[Año Financiero]]=Tipo_Cambio[Año])*(Tipo_Cambio[$/U$S]))</f>
        <v>0</v>
      </c>
      <c r="AD42" s="891">
        <f>SUMPRODUCT((Finanzas[[#This Row],[Mes Financiero]]=Tipo_Cambio[Mes])*(Finanzas[[#This Row],[Año Financiero]]=Tipo_Cambio[Año])*(Tipo_Cambio[Actualización]))</f>
        <v>0</v>
      </c>
    </row>
    <row r="43" spans="2:30" x14ac:dyDescent="0.25">
      <c r="D43" s="478"/>
      <c r="E43" s="478"/>
      <c r="F43" s="968" t="str">
        <f t="shared" si="3"/>
        <v>2018-2019</v>
      </c>
      <c r="G43" s="481" t="s">
        <v>416</v>
      </c>
      <c r="H43" s="481" t="s">
        <v>424</v>
      </c>
      <c r="I43" s="521"/>
      <c r="J43" s="484"/>
      <c r="K43" s="491"/>
      <c r="L43" s="491"/>
      <c r="M43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43" s="881"/>
      <c r="O43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43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43" s="913"/>
      <c r="R43" s="881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43" s="886">
        <f>IFERROR(INDEX(Cuentas_FIDI[],MATCH(Finanzas[[#This Row],[Cuenta Contable]],Cuentas_FIDI[Cuenta Contable],0),2),0)</f>
        <v>0</v>
      </c>
      <c r="T43" s="887">
        <f>IFERROR(INDEX(Tabla9[],MATCH(Finanzas[[#This Row],[Movimiento]],Tabla9[Movimientos],0),2),0)</f>
        <v>0</v>
      </c>
      <c r="U43" s="889">
        <f>IFERROR(INDEX(Cuentas_FIDI[],MATCH(Finanzas[[#This Row],[Cuenta Contable]],Cuentas_FIDI[Cuenta Contable],0),3),0)</f>
        <v>0</v>
      </c>
      <c r="V43" s="889">
        <f>IFERROR(INDEX(Tabla9[],MATCH(Finanzas[[#This Row],[Movimiento]],Tabla9[Movimientos],0),3),0)</f>
        <v>0</v>
      </c>
      <c r="W43" s="884">
        <f>IF(Finanzas[[#This Row],[Fecha Económico]]=0,0,MONTH(Finanzas[[#This Row],[Fecha Económico]]))</f>
        <v>0</v>
      </c>
      <c r="X43" s="890">
        <f>IF(Finanzas[[#This Row],[Fecha Económico]]=0,0,YEAR(Finanzas[[#This Row],[Fecha Económico]]))</f>
        <v>0</v>
      </c>
      <c r="Y43" s="891">
        <f>SUMPRODUCT((Finanzas[[#This Row],[Mes Económico]]=Tipo_Cambio[Mes])*(Finanzas[[#This Row],[Año Económico]]=Tipo_Cambio[Año])*(Tipo_Cambio[$/U$S]))</f>
        <v>0</v>
      </c>
      <c r="Z43" s="891">
        <f>SUMPRODUCT((Finanzas[[#This Row],[Mes Económico]]=Tipo_Cambio[Mes])*(Finanzas[[#This Row],[Año Económico]]=Tipo_Cambio[Año])*(Tipo_Cambio[Actualización]))</f>
        <v>0</v>
      </c>
      <c r="AA43" s="890">
        <f>IF(ISNUMBER(Finanzas[[#This Row],[Fecha Financiero]])=TRUE,MONTH(Finanzas[[#This Row],[Fecha Financiero]]),0)</f>
        <v>0</v>
      </c>
      <c r="AB43" s="890">
        <f>IF(ISNUMBER(Finanzas[[#This Row],[Fecha Financiero]])=TRUE,YEAR(Finanzas[[#This Row],[Fecha Financiero]]),0)</f>
        <v>0</v>
      </c>
      <c r="AC43" s="891">
        <f>SUMPRODUCT((Finanzas[[#This Row],[Mes Financiero]]=Tipo_Cambio[Mes])*(Finanzas[[#This Row],[Año Financiero]]=Tipo_Cambio[Año])*(Tipo_Cambio[$/U$S]))</f>
        <v>0</v>
      </c>
      <c r="AD43" s="891">
        <f>SUMPRODUCT((Finanzas[[#This Row],[Mes Financiero]]=Tipo_Cambio[Mes])*(Finanzas[[#This Row],[Año Financiero]]=Tipo_Cambio[Año])*(Tipo_Cambio[Actualización]))</f>
        <v>0</v>
      </c>
    </row>
    <row r="44" spans="2:30" x14ac:dyDescent="0.25">
      <c r="D44" s="478"/>
      <c r="E44" s="522"/>
      <c r="F44" s="968" t="str">
        <f t="shared" si="3"/>
        <v>2018-2019</v>
      </c>
      <c r="G44" s="481" t="s">
        <v>339</v>
      </c>
      <c r="H44" s="481" t="s">
        <v>425</v>
      </c>
      <c r="I44" s="521"/>
      <c r="J44" s="484"/>
      <c r="K44" s="491"/>
      <c r="L44" s="523"/>
      <c r="M44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44" s="881"/>
      <c r="O44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44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44" s="913"/>
      <c r="R44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44" s="915" t="str">
        <f>IFERROR(INDEX(Cuentas_FIDI[],MATCH(Finanzas[[#This Row],[Cuenta Contable]],Cuentas_FIDI[Cuenta Contable],0),2),0)</f>
        <v>Ingreso</v>
      </c>
      <c r="T44" s="887" t="str">
        <f>IFERROR(INDEX(Tabla9[],MATCH(Finanzas[[#This Row],[Movimiento]],Tabla9[Movimientos],0),2),0)</f>
        <v>Si</v>
      </c>
      <c r="U44" s="918" t="str">
        <f>IFERROR(INDEX(Cuentas_FIDI[],MATCH(Finanzas[[#This Row],[Cuenta Contable]],Cuentas_FIDI[Cuenta Contable],0),3),0)</f>
        <v>No</v>
      </c>
      <c r="V44" s="889" t="str">
        <f>IFERROR(INDEX(Tabla9[],MATCH(Finanzas[[#This Row],[Movimiento]],Tabla9[Movimientos],0),3),0)</f>
        <v>(+)</v>
      </c>
      <c r="W44" s="884">
        <f>IF(Finanzas[[#This Row],[Fecha Económico]]=0,0,MONTH(Finanzas[[#This Row],[Fecha Económico]]))</f>
        <v>0</v>
      </c>
      <c r="X44" s="890">
        <f>IF(Finanzas[[#This Row],[Fecha Económico]]=0,0,YEAR(Finanzas[[#This Row],[Fecha Económico]]))</f>
        <v>0</v>
      </c>
      <c r="Y44" s="891">
        <f>SUMPRODUCT((Finanzas[[#This Row],[Mes Económico]]=Tipo_Cambio[Mes])*(Finanzas[[#This Row],[Año Económico]]=Tipo_Cambio[Año])*(Tipo_Cambio[$/U$S]))</f>
        <v>0</v>
      </c>
      <c r="Z44" s="891">
        <f>SUMPRODUCT((Finanzas[[#This Row],[Mes Económico]]=Tipo_Cambio[Mes])*(Finanzas[[#This Row],[Año Económico]]=Tipo_Cambio[Año])*(Tipo_Cambio[Actualización]))</f>
        <v>0</v>
      </c>
      <c r="AA44" s="890">
        <f>IF(ISNUMBER(Finanzas[[#This Row],[Fecha Financiero]])=TRUE,MONTH(Finanzas[[#This Row],[Fecha Financiero]]),0)</f>
        <v>0</v>
      </c>
      <c r="AB44" s="890">
        <f>IF(ISNUMBER(Finanzas[[#This Row],[Fecha Financiero]])=TRUE,YEAR(Finanzas[[#This Row],[Fecha Financiero]]),0)</f>
        <v>0</v>
      </c>
      <c r="AC44" s="891">
        <f>SUMPRODUCT((Finanzas[[#This Row],[Mes Financiero]]=Tipo_Cambio[Mes])*(Finanzas[[#This Row],[Año Financiero]]=Tipo_Cambio[Año])*(Tipo_Cambio[$/U$S]))</f>
        <v>0</v>
      </c>
      <c r="AD44" s="888">
        <f>SUMPRODUCT((Finanzas[[#This Row],[Mes Financiero]]=Tipo_Cambio[Mes])*(Finanzas[[#This Row],[Año Financiero]]=Tipo_Cambio[Año])*(Tipo_Cambio[Actualización]))</f>
        <v>0</v>
      </c>
    </row>
    <row r="45" spans="2:30" x14ac:dyDescent="0.25">
      <c r="D45" s="478"/>
      <c r="E45" s="478"/>
      <c r="F45" s="968" t="str">
        <f t="shared" si="3"/>
        <v>2018-2019</v>
      </c>
      <c r="G45" s="481" t="s">
        <v>415</v>
      </c>
      <c r="H45" s="481" t="s">
        <v>425</v>
      </c>
      <c r="I45" s="521"/>
      <c r="J45" s="484"/>
      <c r="K45" s="491"/>
      <c r="L45" s="491"/>
      <c r="M45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45" s="881"/>
      <c r="O45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45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45" s="913"/>
      <c r="R45" s="913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45" s="886" t="str">
        <f>IFERROR(INDEX(Cuentas_FIDI[],MATCH(Finanzas[[#This Row],[Cuenta Contable]],Cuentas_FIDI[Cuenta Contable],0),2),0)</f>
        <v>Egreso</v>
      </c>
      <c r="T45" s="887" t="str">
        <f>IFERROR(INDEX(Tabla9[],MATCH(Finanzas[[#This Row],[Movimiento]],Tabla9[Movimientos],0),2),0)</f>
        <v>Si</v>
      </c>
      <c r="U45" s="889" t="str">
        <f>IFERROR(INDEX(Cuentas_FIDI[],MATCH(Finanzas[[#This Row],[Cuenta Contable]],Cuentas_FIDI[Cuenta Contable],0),3),0)</f>
        <v>No</v>
      </c>
      <c r="V45" s="889" t="str">
        <f>IFERROR(INDEX(Tabla9[],MATCH(Finanzas[[#This Row],[Movimiento]],Tabla9[Movimientos],0),3),0)</f>
        <v>(-)</v>
      </c>
      <c r="W45" s="884">
        <f>IF(Finanzas[[#This Row],[Fecha Económico]]=0,0,MONTH(Finanzas[[#This Row],[Fecha Económico]]))</f>
        <v>0</v>
      </c>
      <c r="X45" s="890">
        <f>IF(Finanzas[[#This Row],[Fecha Económico]]=0,0,YEAR(Finanzas[[#This Row],[Fecha Económico]]))</f>
        <v>0</v>
      </c>
      <c r="Y45" s="891">
        <f>SUMPRODUCT((Finanzas[[#This Row],[Mes Económico]]=Tipo_Cambio[Mes])*(Finanzas[[#This Row],[Año Económico]]=Tipo_Cambio[Año])*(Tipo_Cambio[$/U$S]))</f>
        <v>0</v>
      </c>
      <c r="Z45" s="891">
        <f>SUMPRODUCT((Finanzas[[#This Row],[Mes Económico]]=Tipo_Cambio[Mes])*(Finanzas[[#This Row],[Año Económico]]=Tipo_Cambio[Año])*(Tipo_Cambio[Actualización]))</f>
        <v>0</v>
      </c>
      <c r="AA45" s="890">
        <f>IF(ISNUMBER(Finanzas[[#This Row],[Fecha Financiero]])=TRUE,MONTH(Finanzas[[#This Row],[Fecha Financiero]]),0)</f>
        <v>0</v>
      </c>
      <c r="AB45" s="890">
        <f>IF(ISNUMBER(Finanzas[[#This Row],[Fecha Financiero]])=TRUE,YEAR(Finanzas[[#This Row],[Fecha Financiero]]),0)</f>
        <v>0</v>
      </c>
      <c r="AC45" s="891">
        <f>SUMPRODUCT((Finanzas[[#This Row],[Mes Financiero]]=Tipo_Cambio[Mes])*(Finanzas[[#This Row],[Año Financiero]]=Tipo_Cambio[Año])*(Tipo_Cambio[$/U$S]))</f>
        <v>0</v>
      </c>
      <c r="AD45" s="891">
        <f>SUMPRODUCT((Finanzas[[#This Row],[Mes Financiero]]=Tipo_Cambio[Mes])*(Finanzas[[#This Row],[Año Financiero]]=Tipo_Cambio[Año])*(Tipo_Cambio[Actualización]))</f>
        <v>0</v>
      </c>
    </row>
    <row r="46" spans="2:30" x14ac:dyDescent="0.25">
      <c r="D46" s="478"/>
      <c r="E46" s="478"/>
      <c r="F46" s="968" t="str">
        <f t="shared" si="3"/>
        <v>2018-2019</v>
      </c>
      <c r="G46" s="481" t="s">
        <v>416</v>
      </c>
      <c r="H46" s="481" t="s">
        <v>425</v>
      </c>
      <c r="I46" s="521"/>
      <c r="J46" s="484"/>
      <c r="K46" s="491"/>
      <c r="L46" s="491"/>
      <c r="M46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46" s="881"/>
      <c r="O46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46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46" s="913"/>
      <c r="R46" s="913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46" s="886">
        <f>IFERROR(INDEX(Cuentas_FIDI[],MATCH(Finanzas[[#This Row],[Cuenta Contable]],Cuentas_FIDI[Cuenta Contable],0),2),0)</f>
        <v>0</v>
      </c>
      <c r="T46" s="887">
        <f>IFERROR(INDEX(Tabla9[],MATCH(Finanzas[[#This Row],[Movimiento]],Tabla9[Movimientos],0),2),0)</f>
        <v>0</v>
      </c>
      <c r="U46" s="889">
        <f>IFERROR(INDEX(Cuentas_FIDI[],MATCH(Finanzas[[#This Row],[Cuenta Contable]],Cuentas_FIDI[Cuenta Contable],0),3),0)</f>
        <v>0</v>
      </c>
      <c r="V46" s="889">
        <f>IFERROR(INDEX(Tabla9[],MATCH(Finanzas[[#This Row],[Movimiento]],Tabla9[Movimientos],0),3),0)</f>
        <v>0</v>
      </c>
      <c r="W46" s="884">
        <f>IF(Finanzas[[#This Row],[Fecha Económico]]=0,0,MONTH(Finanzas[[#This Row],[Fecha Económico]]))</f>
        <v>0</v>
      </c>
      <c r="X46" s="890">
        <f>IF(Finanzas[[#This Row],[Fecha Económico]]=0,0,YEAR(Finanzas[[#This Row],[Fecha Económico]]))</f>
        <v>0</v>
      </c>
      <c r="Y46" s="891">
        <f>SUMPRODUCT((Finanzas[[#This Row],[Mes Económico]]=Tipo_Cambio[Mes])*(Finanzas[[#This Row],[Año Económico]]=Tipo_Cambio[Año])*(Tipo_Cambio[$/U$S]))</f>
        <v>0</v>
      </c>
      <c r="Z46" s="891">
        <f>SUMPRODUCT((Finanzas[[#This Row],[Mes Económico]]=Tipo_Cambio[Mes])*(Finanzas[[#This Row],[Año Económico]]=Tipo_Cambio[Año])*(Tipo_Cambio[Actualización]))</f>
        <v>0</v>
      </c>
      <c r="AA46" s="890">
        <f>IF(ISNUMBER(Finanzas[[#This Row],[Fecha Financiero]])=TRUE,MONTH(Finanzas[[#This Row],[Fecha Financiero]]),0)</f>
        <v>0</v>
      </c>
      <c r="AB46" s="890">
        <f>IF(ISNUMBER(Finanzas[[#This Row],[Fecha Financiero]])=TRUE,YEAR(Finanzas[[#This Row],[Fecha Financiero]]),0)</f>
        <v>0</v>
      </c>
      <c r="AC46" s="891">
        <f>SUMPRODUCT((Finanzas[[#This Row],[Mes Financiero]]=Tipo_Cambio[Mes])*(Finanzas[[#This Row],[Año Financiero]]=Tipo_Cambio[Año])*(Tipo_Cambio[$/U$S]))</f>
        <v>0</v>
      </c>
      <c r="AD46" s="891">
        <f>SUMPRODUCT((Finanzas[[#This Row],[Mes Financiero]]=Tipo_Cambio[Mes])*(Finanzas[[#This Row],[Año Financiero]]=Tipo_Cambio[Año])*(Tipo_Cambio[Actualización]))</f>
        <v>0</v>
      </c>
    </row>
    <row r="47" spans="2:30" x14ac:dyDescent="0.25">
      <c r="D47" s="478"/>
      <c r="E47" s="478"/>
      <c r="F47" s="968" t="str">
        <f t="shared" si="3"/>
        <v>2018-2019</v>
      </c>
      <c r="G47" s="481" t="s">
        <v>415</v>
      </c>
      <c r="H47" s="481" t="s">
        <v>425</v>
      </c>
      <c r="I47" s="521"/>
      <c r="J47" s="484"/>
      <c r="K47" s="491"/>
      <c r="L47" s="491"/>
      <c r="M47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47" s="881"/>
      <c r="O47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47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47" s="913"/>
      <c r="R47" s="913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47" s="886" t="str">
        <f>IFERROR(INDEX(Cuentas_FIDI[],MATCH(Finanzas[[#This Row],[Cuenta Contable]],Cuentas_FIDI[Cuenta Contable],0),2),0)</f>
        <v>Egreso</v>
      </c>
      <c r="T47" s="887" t="str">
        <f>IFERROR(INDEX(Tabla9[],MATCH(Finanzas[[#This Row],[Movimiento]],Tabla9[Movimientos],0),2),0)</f>
        <v>Si</v>
      </c>
      <c r="U47" s="889" t="str">
        <f>IFERROR(INDEX(Cuentas_FIDI[],MATCH(Finanzas[[#This Row],[Cuenta Contable]],Cuentas_FIDI[Cuenta Contable],0),3),0)</f>
        <v>No</v>
      </c>
      <c r="V47" s="889" t="str">
        <f>IFERROR(INDEX(Tabla9[],MATCH(Finanzas[[#This Row],[Movimiento]],Tabla9[Movimientos],0),3),0)</f>
        <v>(-)</v>
      </c>
      <c r="W47" s="884">
        <f>IF(Finanzas[[#This Row],[Fecha Económico]]=0,0,MONTH(Finanzas[[#This Row],[Fecha Económico]]))</f>
        <v>0</v>
      </c>
      <c r="X47" s="890">
        <f>IF(Finanzas[[#This Row],[Fecha Económico]]=0,0,YEAR(Finanzas[[#This Row],[Fecha Económico]]))</f>
        <v>0</v>
      </c>
      <c r="Y47" s="891">
        <f>SUMPRODUCT((Finanzas[[#This Row],[Mes Económico]]=Tipo_Cambio[Mes])*(Finanzas[[#This Row],[Año Económico]]=Tipo_Cambio[Año])*(Tipo_Cambio[$/U$S]))</f>
        <v>0</v>
      </c>
      <c r="Z47" s="891">
        <f>SUMPRODUCT((Finanzas[[#This Row],[Mes Económico]]=Tipo_Cambio[Mes])*(Finanzas[[#This Row],[Año Económico]]=Tipo_Cambio[Año])*(Tipo_Cambio[Actualización]))</f>
        <v>0</v>
      </c>
      <c r="AA47" s="890">
        <f>IF(ISNUMBER(Finanzas[[#This Row],[Fecha Financiero]])=TRUE,MONTH(Finanzas[[#This Row],[Fecha Financiero]]),0)</f>
        <v>0</v>
      </c>
      <c r="AB47" s="890">
        <f>IF(ISNUMBER(Finanzas[[#This Row],[Fecha Financiero]])=TRUE,YEAR(Finanzas[[#This Row],[Fecha Financiero]]),0)</f>
        <v>0</v>
      </c>
      <c r="AC47" s="891">
        <f>SUMPRODUCT((Finanzas[[#This Row],[Mes Financiero]]=Tipo_Cambio[Mes])*(Finanzas[[#This Row],[Año Financiero]]=Tipo_Cambio[Año])*(Tipo_Cambio[$/U$S]))</f>
        <v>0</v>
      </c>
      <c r="AD47" s="891">
        <f>SUMPRODUCT((Finanzas[[#This Row],[Mes Financiero]]=Tipo_Cambio[Mes])*(Finanzas[[#This Row],[Año Financiero]]=Tipo_Cambio[Año])*(Tipo_Cambio[Actualización]))</f>
        <v>0</v>
      </c>
    </row>
    <row r="48" spans="2:30" x14ac:dyDescent="0.25">
      <c r="D48" s="478"/>
      <c r="E48" s="478"/>
      <c r="F48" s="968" t="str">
        <f t="shared" si="3"/>
        <v>2018-2019</v>
      </c>
      <c r="G48" s="481" t="s">
        <v>416</v>
      </c>
      <c r="H48" s="481" t="s">
        <v>425</v>
      </c>
      <c r="I48" s="521"/>
      <c r="J48" s="484"/>
      <c r="K48" s="491"/>
      <c r="L48" s="491"/>
      <c r="M48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48" s="881"/>
      <c r="O48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48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48" s="913"/>
      <c r="R48" s="913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48" s="886">
        <f>IFERROR(INDEX(Cuentas_FIDI[],MATCH(Finanzas[[#This Row],[Cuenta Contable]],Cuentas_FIDI[Cuenta Contable],0),2),0)</f>
        <v>0</v>
      </c>
      <c r="T48" s="887">
        <f>IFERROR(INDEX(Tabla9[],MATCH(Finanzas[[#This Row],[Movimiento]],Tabla9[Movimientos],0),2),0)</f>
        <v>0</v>
      </c>
      <c r="U48" s="889">
        <f>IFERROR(INDEX(Cuentas_FIDI[],MATCH(Finanzas[[#This Row],[Cuenta Contable]],Cuentas_FIDI[Cuenta Contable],0),3),0)</f>
        <v>0</v>
      </c>
      <c r="V48" s="889">
        <f>IFERROR(INDEX(Tabla9[],MATCH(Finanzas[[#This Row],[Movimiento]],Tabla9[Movimientos],0),3),0)</f>
        <v>0</v>
      </c>
      <c r="W48" s="884">
        <f>IF(Finanzas[[#This Row],[Fecha Económico]]=0,0,MONTH(Finanzas[[#This Row],[Fecha Económico]]))</f>
        <v>0</v>
      </c>
      <c r="X48" s="890">
        <f>IF(Finanzas[[#This Row],[Fecha Económico]]=0,0,YEAR(Finanzas[[#This Row],[Fecha Económico]]))</f>
        <v>0</v>
      </c>
      <c r="Y48" s="891">
        <f>SUMPRODUCT((Finanzas[[#This Row],[Mes Económico]]=Tipo_Cambio[Mes])*(Finanzas[[#This Row],[Año Económico]]=Tipo_Cambio[Año])*(Tipo_Cambio[$/U$S]))</f>
        <v>0</v>
      </c>
      <c r="Z48" s="891">
        <f>SUMPRODUCT((Finanzas[[#This Row],[Mes Económico]]=Tipo_Cambio[Mes])*(Finanzas[[#This Row],[Año Económico]]=Tipo_Cambio[Año])*(Tipo_Cambio[Actualización]))</f>
        <v>0</v>
      </c>
      <c r="AA48" s="890">
        <f>IF(ISNUMBER(Finanzas[[#This Row],[Fecha Financiero]])=TRUE,MONTH(Finanzas[[#This Row],[Fecha Financiero]]),0)</f>
        <v>0</v>
      </c>
      <c r="AB48" s="890">
        <f>IF(ISNUMBER(Finanzas[[#This Row],[Fecha Financiero]])=TRUE,YEAR(Finanzas[[#This Row],[Fecha Financiero]]),0)</f>
        <v>0</v>
      </c>
      <c r="AC48" s="891">
        <f>SUMPRODUCT((Finanzas[[#This Row],[Mes Financiero]]=Tipo_Cambio[Mes])*(Finanzas[[#This Row],[Año Financiero]]=Tipo_Cambio[Año])*(Tipo_Cambio[$/U$S]))</f>
        <v>0</v>
      </c>
      <c r="AD48" s="891">
        <f>SUMPRODUCT((Finanzas[[#This Row],[Mes Financiero]]=Tipo_Cambio[Mes])*(Finanzas[[#This Row],[Año Financiero]]=Tipo_Cambio[Año])*(Tipo_Cambio[Actualización]))</f>
        <v>0</v>
      </c>
    </row>
    <row r="49" spans="2:30" x14ac:dyDescent="0.25">
      <c r="D49" s="478"/>
      <c r="E49" s="478"/>
      <c r="F49" s="968" t="str">
        <f t="shared" si="3"/>
        <v>2018-2019</v>
      </c>
      <c r="G49" s="481" t="s">
        <v>415</v>
      </c>
      <c r="H49" s="481" t="s">
        <v>425</v>
      </c>
      <c r="I49" s="521"/>
      <c r="J49" s="484"/>
      <c r="K49" s="481"/>
      <c r="L49" s="491"/>
      <c r="M49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49" s="881"/>
      <c r="O49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49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49" s="913"/>
      <c r="R49" s="913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49" s="886" t="str">
        <f>IFERROR(INDEX(Cuentas_FIDI[],MATCH(Finanzas[[#This Row],[Cuenta Contable]],Cuentas_FIDI[Cuenta Contable],0),2),0)</f>
        <v>Egreso</v>
      </c>
      <c r="T49" s="887" t="str">
        <f>IFERROR(INDEX(Tabla9[],MATCH(Finanzas[[#This Row],[Movimiento]],Tabla9[Movimientos],0),2),0)</f>
        <v>Si</v>
      </c>
      <c r="U49" s="889" t="str">
        <f>IFERROR(INDEX(Cuentas_FIDI[],MATCH(Finanzas[[#This Row],[Cuenta Contable]],Cuentas_FIDI[Cuenta Contable],0),3),0)</f>
        <v>No</v>
      </c>
      <c r="V49" s="889" t="str">
        <f>IFERROR(INDEX(Tabla9[],MATCH(Finanzas[[#This Row],[Movimiento]],Tabla9[Movimientos],0),3),0)</f>
        <v>(-)</v>
      </c>
      <c r="W49" s="884">
        <f>IF(Finanzas[[#This Row],[Fecha Económico]]=0,0,MONTH(Finanzas[[#This Row],[Fecha Económico]]))</f>
        <v>0</v>
      </c>
      <c r="X49" s="890">
        <f>IF(Finanzas[[#This Row],[Fecha Económico]]=0,0,YEAR(Finanzas[[#This Row],[Fecha Económico]]))</f>
        <v>0</v>
      </c>
      <c r="Y49" s="891">
        <f>SUMPRODUCT((Finanzas[[#This Row],[Mes Económico]]=Tipo_Cambio[Mes])*(Finanzas[[#This Row],[Año Económico]]=Tipo_Cambio[Año])*(Tipo_Cambio[$/U$S]))</f>
        <v>0</v>
      </c>
      <c r="Z49" s="891">
        <f>SUMPRODUCT((Finanzas[[#This Row],[Mes Económico]]=Tipo_Cambio[Mes])*(Finanzas[[#This Row],[Año Económico]]=Tipo_Cambio[Año])*(Tipo_Cambio[Actualización]))</f>
        <v>0</v>
      </c>
      <c r="AA49" s="890">
        <f>IF(ISNUMBER(Finanzas[[#This Row],[Fecha Financiero]])=TRUE,MONTH(Finanzas[[#This Row],[Fecha Financiero]]),0)</f>
        <v>0</v>
      </c>
      <c r="AB49" s="890">
        <f>IF(ISNUMBER(Finanzas[[#This Row],[Fecha Financiero]])=TRUE,YEAR(Finanzas[[#This Row],[Fecha Financiero]]),0)</f>
        <v>0</v>
      </c>
      <c r="AC49" s="891">
        <f>SUMPRODUCT((Finanzas[[#This Row],[Mes Financiero]]=Tipo_Cambio[Mes])*(Finanzas[[#This Row],[Año Financiero]]=Tipo_Cambio[Año])*(Tipo_Cambio[$/U$S]))</f>
        <v>0</v>
      </c>
      <c r="AD49" s="891">
        <f>SUMPRODUCT((Finanzas[[#This Row],[Mes Financiero]]=Tipo_Cambio[Mes])*(Finanzas[[#This Row],[Año Financiero]]=Tipo_Cambio[Año])*(Tipo_Cambio[Actualización]))</f>
        <v>0</v>
      </c>
    </row>
    <row r="50" spans="2:30" x14ac:dyDescent="0.25">
      <c r="D50" s="478"/>
      <c r="E50" s="478"/>
      <c r="F50" s="968" t="str">
        <f t="shared" si="3"/>
        <v>2018-2019</v>
      </c>
      <c r="G50" s="481" t="s">
        <v>416</v>
      </c>
      <c r="H50" s="481" t="s">
        <v>425</v>
      </c>
      <c r="I50" s="521"/>
      <c r="J50" s="484"/>
      <c r="K50" s="481"/>
      <c r="L50" s="491"/>
      <c r="M50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50" s="881"/>
      <c r="O50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50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50" s="913"/>
      <c r="R50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50" s="915">
        <f>IFERROR(INDEX(Cuentas_FIDI[],MATCH(Finanzas[[#This Row],[Cuenta Contable]],Cuentas_FIDI[Cuenta Contable],0),2),0)</f>
        <v>0</v>
      </c>
      <c r="T50" s="887">
        <f>IFERROR(INDEX(Tabla9[],MATCH(Finanzas[[#This Row],[Movimiento]],Tabla9[Movimientos],0),2),0)</f>
        <v>0</v>
      </c>
      <c r="U50" s="889">
        <f>IFERROR(INDEX(Cuentas_FIDI[],MATCH(Finanzas[[#This Row],[Cuenta Contable]],Cuentas_FIDI[Cuenta Contable],0),3),0)</f>
        <v>0</v>
      </c>
      <c r="V50" s="891">
        <f>IFERROR(INDEX(Tabla9[],MATCH(Finanzas[[#This Row],[Movimiento]],Tabla9[Movimientos],0),3),0)</f>
        <v>0</v>
      </c>
      <c r="W50" s="884">
        <f>IF(Finanzas[[#This Row],[Fecha Económico]]=0,0,MONTH(Finanzas[[#This Row],[Fecha Económico]]))</f>
        <v>0</v>
      </c>
      <c r="X50" s="890">
        <f>IF(Finanzas[[#This Row],[Fecha Económico]]=0,0,YEAR(Finanzas[[#This Row],[Fecha Económico]]))</f>
        <v>0</v>
      </c>
      <c r="Y50" s="891">
        <f>SUMPRODUCT((Finanzas[[#This Row],[Mes Económico]]=Tipo_Cambio[Mes])*(Finanzas[[#This Row],[Año Económico]]=Tipo_Cambio[Año])*(Tipo_Cambio[$/U$S]))</f>
        <v>0</v>
      </c>
      <c r="Z50" s="891">
        <f>SUMPRODUCT((Finanzas[[#This Row],[Mes Económico]]=Tipo_Cambio[Mes])*(Finanzas[[#This Row],[Año Económico]]=Tipo_Cambio[Año])*(Tipo_Cambio[Actualización]))</f>
        <v>0</v>
      </c>
      <c r="AA50" s="890">
        <f>IF(ISNUMBER(Finanzas[[#This Row],[Fecha Financiero]])=TRUE,MONTH(Finanzas[[#This Row],[Fecha Financiero]]),0)</f>
        <v>0</v>
      </c>
      <c r="AB50" s="890">
        <f>IF(ISNUMBER(Finanzas[[#This Row],[Fecha Financiero]])=TRUE,YEAR(Finanzas[[#This Row],[Fecha Financiero]]),0)</f>
        <v>0</v>
      </c>
      <c r="AC50" s="891">
        <f>SUMPRODUCT((Finanzas[[#This Row],[Mes Financiero]]=Tipo_Cambio[Mes])*(Finanzas[[#This Row],[Año Financiero]]=Tipo_Cambio[Año])*(Tipo_Cambio[$/U$S]))</f>
        <v>0</v>
      </c>
      <c r="AD50" s="891">
        <f>SUMPRODUCT((Finanzas[[#This Row],[Mes Financiero]]=Tipo_Cambio[Mes])*(Finanzas[[#This Row],[Año Financiero]]=Tipo_Cambio[Año])*(Tipo_Cambio[Actualización]))</f>
        <v>0</v>
      </c>
    </row>
    <row r="51" spans="2:30" x14ac:dyDescent="0.25">
      <c r="D51" s="528"/>
      <c r="E51" s="522"/>
      <c r="F51" s="968" t="str">
        <f t="shared" si="3"/>
        <v>2018-2019</v>
      </c>
      <c r="G51" s="481"/>
      <c r="H51" s="484"/>
      <c r="I51" s="521"/>
      <c r="J51" s="484"/>
      <c r="K51" s="481"/>
      <c r="L51" s="491"/>
      <c r="M51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51" s="881"/>
      <c r="O51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51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51" s="913"/>
      <c r="R51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51" s="915">
        <f>IFERROR(INDEX(Cuentas_FIDI[],MATCH(Finanzas[[#This Row],[Cuenta Contable]],Cuentas_FIDI[Cuenta Contable],0),2),0)</f>
        <v>0</v>
      </c>
      <c r="T51" s="887">
        <f>IFERROR(INDEX(Tabla9[],MATCH(Finanzas[[#This Row],[Movimiento]],Tabla9[Movimientos],0),2),0)</f>
        <v>0</v>
      </c>
      <c r="U51" s="918">
        <f>IFERROR(INDEX(Cuentas_FIDI[],MATCH(Finanzas[[#This Row],[Cuenta Contable]],Cuentas_FIDI[Cuenta Contable],0),3),0)</f>
        <v>0</v>
      </c>
      <c r="V51" s="891">
        <f>IFERROR(INDEX(Tabla9[],MATCH(Finanzas[[#This Row],[Movimiento]],Tabla9[Movimientos],0),3),0)</f>
        <v>0</v>
      </c>
      <c r="W51" s="884">
        <f>IF(Finanzas[[#This Row],[Fecha Económico]]=0,0,MONTH(Finanzas[[#This Row],[Fecha Económico]]))</f>
        <v>0</v>
      </c>
      <c r="X51" s="890">
        <f>IF(Finanzas[[#This Row],[Fecha Económico]]=0,0,YEAR(Finanzas[[#This Row],[Fecha Económico]]))</f>
        <v>0</v>
      </c>
      <c r="Y51" s="891">
        <f>SUMPRODUCT((Finanzas[[#This Row],[Mes Económico]]=Tipo_Cambio[Mes])*(Finanzas[[#This Row],[Año Económico]]=Tipo_Cambio[Año])*(Tipo_Cambio[$/U$S]))</f>
        <v>0</v>
      </c>
      <c r="Z51" s="891">
        <f>SUMPRODUCT((Finanzas[[#This Row],[Mes Económico]]=Tipo_Cambio[Mes])*(Finanzas[[#This Row],[Año Económico]]=Tipo_Cambio[Año])*(Tipo_Cambio[Actualización]))</f>
        <v>0</v>
      </c>
      <c r="AA51" s="890">
        <f>IF(ISNUMBER(Finanzas[[#This Row],[Fecha Financiero]])=TRUE,MONTH(Finanzas[[#This Row],[Fecha Financiero]]),0)</f>
        <v>0</v>
      </c>
      <c r="AB51" s="890">
        <f>IF(ISNUMBER(Finanzas[[#This Row],[Fecha Financiero]])=TRUE,YEAR(Finanzas[[#This Row],[Fecha Financiero]]),0)</f>
        <v>0</v>
      </c>
      <c r="AC51" s="891">
        <f>SUMPRODUCT((Finanzas[[#This Row],[Mes Financiero]]=Tipo_Cambio[Mes])*(Finanzas[[#This Row],[Año Financiero]]=Tipo_Cambio[Año])*(Tipo_Cambio[$/U$S]))</f>
        <v>0</v>
      </c>
      <c r="AD51" s="888">
        <f>SUMPRODUCT((Finanzas[[#This Row],[Mes Financiero]]=Tipo_Cambio[Mes])*(Finanzas[[#This Row],[Año Financiero]]=Tipo_Cambio[Año])*(Tipo_Cambio[Actualización]))</f>
        <v>0</v>
      </c>
    </row>
    <row r="52" spans="2:30" x14ac:dyDescent="0.25">
      <c r="D52" s="528"/>
      <c r="E52" s="522"/>
      <c r="F52" s="968" t="str">
        <f t="shared" si="3"/>
        <v>2018-2019</v>
      </c>
      <c r="G52" s="481"/>
      <c r="H52" s="484"/>
      <c r="I52" s="521"/>
      <c r="J52" s="484"/>
      <c r="K52" s="481"/>
      <c r="L52" s="491"/>
      <c r="M52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52" s="881"/>
      <c r="O52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52" s="881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52" s="913"/>
      <c r="R52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52" s="915">
        <f>IFERROR(INDEX(Cuentas_FIDI[],MATCH(Finanzas[[#This Row],[Cuenta Contable]],Cuentas_FIDI[Cuenta Contable],0),2),0)</f>
        <v>0</v>
      </c>
      <c r="T52" s="887">
        <f>IFERROR(INDEX(Tabla9[],MATCH(Finanzas[[#This Row],[Movimiento]],Tabla9[Movimientos],0),2),0)</f>
        <v>0</v>
      </c>
      <c r="U52" s="918">
        <f>IFERROR(INDEX(Cuentas_FIDI[],MATCH(Finanzas[[#This Row],[Cuenta Contable]],Cuentas_FIDI[Cuenta Contable],0),3),0)</f>
        <v>0</v>
      </c>
      <c r="V52" s="891">
        <f>IFERROR(INDEX(Tabla9[],MATCH(Finanzas[[#This Row],[Movimiento]],Tabla9[Movimientos],0),3),0)</f>
        <v>0</v>
      </c>
      <c r="W52" s="884">
        <f>IF(Finanzas[[#This Row],[Fecha Económico]]=0,0,MONTH(Finanzas[[#This Row],[Fecha Económico]]))</f>
        <v>0</v>
      </c>
      <c r="X52" s="890">
        <f>IF(Finanzas[[#This Row],[Fecha Económico]]=0,0,YEAR(Finanzas[[#This Row],[Fecha Económico]]))</f>
        <v>0</v>
      </c>
      <c r="Y52" s="891">
        <f>SUMPRODUCT((Finanzas[[#This Row],[Mes Económico]]=Tipo_Cambio[Mes])*(Finanzas[[#This Row],[Año Económico]]=Tipo_Cambio[Año])*(Tipo_Cambio[$/U$S]))</f>
        <v>0</v>
      </c>
      <c r="Z52" s="891">
        <f>SUMPRODUCT((Finanzas[[#This Row],[Mes Económico]]=Tipo_Cambio[Mes])*(Finanzas[[#This Row],[Año Económico]]=Tipo_Cambio[Año])*(Tipo_Cambio[Actualización]))</f>
        <v>0</v>
      </c>
      <c r="AA52" s="890">
        <f>IF(ISNUMBER(Finanzas[[#This Row],[Fecha Financiero]])=TRUE,MONTH(Finanzas[[#This Row],[Fecha Financiero]]),0)</f>
        <v>0</v>
      </c>
      <c r="AB52" s="890">
        <f>IF(ISNUMBER(Finanzas[[#This Row],[Fecha Financiero]])=TRUE,YEAR(Finanzas[[#This Row],[Fecha Financiero]]),0)</f>
        <v>0</v>
      </c>
      <c r="AC52" s="891">
        <f>SUMPRODUCT((Finanzas[[#This Row],[Mes Financiero]]=Tipo_Cambio[Mes])*(Finanzas[[#This Row],[Año Financiero]]=Tipo_Cambio[Año])*(Tipo_Cambio[$/U$S]))</f>
        <v>0</v>
      </c>
      <c r="AD52" s="888">
        <f>SUMPRODUCT((Finanzas[[#This Row],[Mes Financiero]]=Tipo_Cambio[Mes])*(Finanzas[[#This Row],[Año Financiero]]=Tipo_Cambio[Año])*(Tipo_Cambio[Actualización]))</f>
        <v>0</v>
      </c>
    </row>
    <row r="53" spans="2:30" ht="15.75" thickBot="1" x14ac:dyDescent="0.3">
      <c r="B53" s="86" t="s">
        <v>101</v>
      </c>
      <c r="D53" s="502"/>
      <c r="E53" s="524"/>
      <c r="F53" s="1081" t="str">
        <f t="shared" si="3"/>
        <v>2018-2019</v>
      </c>
      <c r="G53" s="525"/>
      <c r="H53" s="506"/>
      <c r="I53" s="526"/>
      <c r="J53" s="506"/>
      <c r="K53" s="525"/>
      <c r="L53" s="525"/>
      <c r="M53" s="1079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53" s="1064"/>
      <c r="O53" s="1066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53" s="1064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53" s="1064"/>
      <c r="R53" s="1066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53" s="1069">
        <f>IFERROR(INDEX(Cuentas_FIDI[],MATCH(Finanzas[[#This Row],[Cuenta Contable]],Cuentas_FIDI[Cuenta Contable],0),2),0)</f>
        <v>0</v>
      </c>
      <c r="T53" s="1070">
        <f>IFERROR(INDEX(Tabla9[],MATCH(Finanzas[[#This Row],[Movimiento]],Tabla9[Movimientos],0),2),0)</f>
        <v>0</v>
      </c>
      <c r="U53" s="1071">
        <f>IFERROR(INDEX(Cuentas_FIDI[],MATCH(Finanzas[[#This Row],[Cuenta Contable]],Cuentas_FIDI[Cuenta Contable],0),3),0)</f>
        <v>0</v>
      </c>
      <c r="V53" s="1072">
        <f>IFERROR(INDEX(Tabla9[],MATCH(Finanzas[[#This Row],[Movimiento]],Tabla9[Movimientos],0),3),0)</f>
        <v>0</v>
      </c>
      <c r="W53" s="1067">
        <f>IF(Finanzas[[#This Row],[Fecha Económico]]=0,0,MONTH(Finanzas[[#This Row],[Fecha Económico]]))</f>
        <v>0</v>
      </c>
      <c r="X53" s="1068">
        <f>IF(Finanzas[[#This Row],[Fecha Económico]]=0,0,YEAR(Finanzas[[#This Row],[Fecha Económico]]))</f>
        <v>0</v>
      </c>
      <c r="Y53" s="1072">
        <f>SUMPRODUCT((Finanzas[[#This Row],[Mes Económico]]=Tipo_Cambio[Mes])*(Finanzas[[#This Row],[Año Económico]]=Tipo_Cambio[Año])*(Tipo_Cambio[$/U$S]))</f>
        <v>0</v>
      </c>
      <c r="Z53" s="1072">
        <f>SUMPRODUCT((Finanzas[[#This Row],[Mes Económico]]=Tipo_Cambio[Mes])*(Finanzas[[#This Row],[Año Económico]]=Tipo_Cambio[Año])*(Tipo_Cambio[Actualización]))</f>
        <v>0</v>
      </c>
      <c r="AA53" s="1068">
        <f>IF(ISNUMBER(Finanzas[[#This Row],[Fecha Financiero]])=TRUE,MONTH(Finanzas[[#This Row],[Fecha Financiero]]),0)</f>
        <v>0</v>
      </c>
      <c r="AB53" s="1068">
        <f>IF(ISNUMBER(Finanzas[[#This Row],[Fecha Financiero]])=TRUE,YEAR(Finanzas[[#This Row],[Fecha Financiero]]),0)</f>
        <v>0</v>
      </c>
      <c r="AC53" s="1072">
        <f>SUMPRODUCT((Finanzas[[#This Row],[Mes Financiero]]=Tipo_Cambio[Mes])*(Finanzas[[#This Row],[Año Financiero]]=Tipo_Cambio[Año])*(Tipo_Cambio[$/U$S]))</f>
        <v>0</v>
      </c>
      <c r="AD53" s="1073">
        <f>SUMPRODUCT((Finanzas[[#This Row],[Mes Financiero]]=Tipo_Cambio[Mes])*(Finanzas[[#This Row],[Año Financiero]]=Tipo_Cambio[Año])*(Tipo_Cambio[Actualización]))</f>
        <v>0</v>
      </c>
    </row>
    <row r="54" spans="2:30" ht="15.75" thickTop="1" x14ac:dyDescent="0.25">
      <c r="B54" s="346" t="s">
        <v>428</v>
      </c>
      <c r="D54" s="528"/>
      <c r="E54" s="522"/>
      <c r="F54" s="968" t="str">
        <f t="shared" si="3"/>
        <v>2018-2019</v>
      </c>
      <c r="G54" s="481" t="s">
        <v>341</v>
      </c>
      <c r="H54" s="484" t="s">
        <v>419</v>
      </c>
      <c r="I54" s="521"/>
      <c r="J54" s="484"/>
      <c r="K54" s="481"/>
      <c r="L54" s="523"/>
      <c r="M54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54" s="881"/>
      <c r="O54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54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54" s="913"/>
      <c r="R54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54" s="915" t="str">
        <f>IFERROR(INDEX(Cuentas_FIDI[],MATCH(Finanzas[[#This Row],[Cuenta Contable]],Cuentas_FIDI[Cuenta Contable],0),2),0)</f>
        <v>Egreso</v>
      </c>
      <c r="T54" s="887" t="str">
        <f>IFERROR(INDEX(Tabla9[],MATCH(Finanzas[[#This Row],[Movimiento]],Tabla9[Movimientos],0),2),0)</f>
        <v>Si</v>
      </c>
      <c r="U54" s="918" t="str">
        <f>IFERROR(INDEX(Cuentas_FIDI[],MATCH(Finanzas[[#This Row],[Cuenta Contable]],Cuentas_FIDI[Cuenta Contable],0),3),0)</f>
        <v>No</v>
      </c>
      <c r="V54" s="891" t="str">
        <f>IFERROR(INDEX(Tabla9[],MATCH(Finanzas[[#This Row],[Movimiento]],Tabla9[Movimientos],0),3),0)</f>
        <v>(-)</v>
      </c>
      <c r="W54" s="884">
        <f>IF(Finanzas[[#This Row],[Fecha Económico]]=0,0,MONTH(Finanzas[[#This Row],[Fecha Económico]]))</f>
        <v>0</v>
      </c>
      <c r="X54" s="890">
        <f>IF(Finanzas[[#This Row],[Fecha Económico]]=0,0,YEAR(Finanzas[[#This Row],[Fecha Económico]]))</f>
        <v>0</v>
      </c>
      <c r="Y54" s="891">
        <f>SUMPRODUCT((Finanzas[[#This Row],[Mes Económico]]=Tipo_Cambio[Mes])*(Finanzas[[#This Row],[Año Económico]]=Tipo_Cambio[Año])*(Tipo_Cambio[$/U$S]))</f>
        <v>0</v>
      </c>
      <c r="Z54" s="891">
        <f>SUMPRODUCT((Finanzas[[#This Row],[Mes Económico]]=Tipo_Cambio[Mes])*(Finanzas[[#This Row],[Año Económico]]=Tipo_Cambio[Año])*(Tipo_Cambio[Actualización]))</f>
        <v>0</v>
      </c>
      <c r="AA54" s="890">
        <f>IF(ISNUMBER(Finanzas[[#This Row],[Fecha Financiero]])=TRUE,MONTH(Finanzas[[#This Row],[Fecha Financiero]]),0)</f>
        <v>0</v>
      </c>
      <c r="AB54" s="890">
        <f>IF(ISNUMBER(Finanzas[[#This Row],[Fecha Financiero]])=TRUE,YEAR(Finanzas[[#This Row],[Fecha Financiero]]),0)</f>
        <v>0</v>
      </c>
      <c r="AC54" s="891">
        <f>SUMPRODUCT((Finanzas[[#This Row],[Mes Financiero]]=Tipo_Cambio[Mes])*(Finanzas[[#This Row],[Año Financiero]]=Tipo_Cambio[Año])*(Tipo_Cambio[$/U$S]))</f>
        <v>0</v>
      </c>
      <c r="AD54" s="888">
        <f>SUMPRODUCT((Finanzas[[#This Row],[Mes Financiero]]=Tipo_Cambio[Mes])*(Finanzas[[#This Row],[Año Financiero]]=Tipo_Cambio[Año])*(Tipo_Cambio[Actualización]))</f>
        <v>0</v>
      </c>
    </row>
    <row r="55" spans="2:30" x14ac:dyDescent="0.25">
      <c r="D55" s="528"/>
      <c r="E55" s="522"/>
      <c r="F55" s="968" t="str">
        <f t="shared" si="3"/>
        <v>2018-2019</v>
      </c>
      <c r="G55" s="481" t="s">
        <v>340</v>
      </c>
      <c r="H55" s="484" t="s">
        <v>419</v>
      </c>
      <c r="I55" s="521"/>
      <c r="J55" s="484"/>
      <c r="K55" s="481"/>
      <c r="L55" s="523"/>
      <c r="M55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55" s="881"/>
      <c r="O55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55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55" s="913"/>
      <c r="R55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55" s="915" t="str">
        <f>IFERROR(INDEX(Cuentas_FIDI[],MATCH(Finanzas[[#This Row],[Cuenta Contable]],Cuentas_FIDI[Cuenta Contable],0),2),0)</f>
        <v>Ingreso</v>
      </c>
      <c r="T55" s="887" t="str">
        <f>IFERROR(INDEX(Tabla9[],MATCH(Finanzas[[#This Row],[Movimiento]],Tabla9[Movimientos],0),2),0)</f>
        <v>Si</v>
      </c>
      <c r="U55" s="918" t="str">
        <f>IFERROR(INDEX(Cuentas_FIDI[],MATCH(Finanzas[[#This Row],[Cuenta Contable]],Cuentas_FIDI[Cuenta Contable],0),3),0)</f>
        <v>No</v>
      </c>
      <c r="V55" s="891" t="str">
        <f>IFERROR(INDEX(Tabla9[],MATCH(Finanzas[[#This Row],[Movimiento]],Tabla9[Movimientos],0),3),0)</f>
        <v>(+)</v>
      </c>
      <c r="W55" s="884">
        <f>IF(Finanzas[[#This Row],[Fecha Económico]]=0,0,MONTH(Finanzas[[#This Row],[Fecha Económico]]))</f>
        <v>0</v>
      </c>
      <c r="X55" s="890">
        <f>IF(Finanzas[[#This Row],[Fecha Económico]]=0,0,YEAR(Finanzas[[#This Row],[Fecha Económico]]))</f>
        <v>0</v>
      </c>
      <c r="Y55" s="891">
        <f>SUMPRODUCT((Finanzas[[#This Row],[Mes Económico]]=Tipo_Cambio[Mes])*(Finanzas[[#This Row],[Año Económico]]=Tipo_Cambio[Año])*(Tipo_Cambio[$/U$S]))</f>
        <v>0</v>
      </c>
      <c r="Z55" s="891">
        <f>SUMPRODUCT((Finanzas[[#This Row],[Mes Económico]]=Tipo_Cambio[Mes])*(Finanzas[[#This Row],[Año Económico]]=Tipo_Cambio[Año])*(Tipo_Cambio[Actualización]))</f>
        <v>0</v>
      </c>
      <c r="AA55" s="890">
        <f>IF(ISNUMBER(Finanzas[[#This Row],[Fecha Financiero]])=TRUE,MONTH(Finanzas[[#This Row],[Fecha Financiero]]),0)</f>
        <v>0</v>
      </c>
      <c r="AB55" s="890">
        <f>IF(ISNUMBER(Finanzas[[#This Row],[Fecha Financiero]])=TRUE,YEAR(Finanzas[[#This Row],[Fecha Financiero]]),0)</f>
        <v>0</v>
      </c>
      <c r="AC55" s="891">
        <f>SUMPRODUCT((Finanzas[[#This Row],[Mes Financiero]]=Tipo_Cambio[Mes])*(Finanzas[[#This Row],[Año Financiero]]=Tipo_Cambio[Año])*(Tipo_Cambio[$/U$S]))</f>
        <v>0</v>
      </c>
      <c r="AD55" s="888">
        <f>SUMPRODUCT((Finanzas[[#This Row],[Mes Financiero]]=Tipo_Cambio[Mes])*(Finanzas[[#This Row],[Año Financiero]]=Tipo_Cambio[Año])*(Tipo_Cambio[Actualización]))</f>
        <v>0</v>
      </c>
    </row>
    <row r="56" spans="2:30" x14ac:dyDescent="0.25">
      <c r="D56" s="528"/>
      <c r="E56" s="522"/>
      <c r="F56" s="968" t="str">
        <f t="shared" si="3"/>
        <v>2018-2019</v>
      </c>
      <c r="G56" s="481" t="s">
        <v>229</v>
      </c>
      <c r="H56" s="484" t="s">
        <v>419</v>
      </c>
      <c r="I56" s="521"/>
      <c r="J56" s="484"/>
      <c r="K56" s="481"/>
      <c r="L56" s="523"/>
      <c r="M56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56" s="881"/>
      <c r="O56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56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56" s="913"/>
      <c r="R56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56" s="915" t="str">
        <f>IFERROR(INDEX(Cuentas_FIDI[],MATCH(Finanzas[[#This Row],[Cuenta Contable]],Cuentas_FIDI[Cuenta Contable],0),2),0)</f>
        <v>Ingreso</v>
      </c>
      <c r="T56" s="887" t="str">
        <f>IFERROR(INDEX(Tabla9[],MATCH(Finanzas[[#This Row],[Movimiento]],Tabla9[Movimientos],0),2),0)</f>
        <v>Si</v>
      </c>
      <c r="U56" s="918" t="str">
        <f>IFERROR(INDEX(Cuentas_FIDI[],MATCH(Finanzas[[#This Row],[Cuenta Contable]],Cuentas_FIDI[Cuenta Contable],0),3),0)</f>
        <v>Si</v>
      </c>
      <c r="V56" s="891" t="str">
        <f>IFERROR(INDEX(Tabla9[],MATCH(Finanzas[[#This Row],[Movimiento]],Tabla9[Movimientos],0),3),0)</f>
        <v>(+)</v>
      </c>
      <c r="W56" s="884">
        <f>IF(Finanzas[[#This Row],[Fecha Económico]]=0,0,MONTH(Finanzas[[#This Row],[Fecha Económico]]))</f>
        <v>0</v>
      </c>
      <c r="X56" s="890">
        <f>IF(Finanzas[[#This Row],[Fecha Económico]]=0,0,YEAR(Finanzas[[#This Row],[Fecha Económico]]))</f>
        <v>0</v>
      </c>
      <c r="Y56" s="891">
        <f>SUMPRODUCT((Finanzas[[#This Row],[Mes Económico]]=Tipo_Cambio[Mes])*(Finanzas[[#This Row],[Año Económico]]=Tipo_Cambio[Año])*(Tipo_Cambio[$/U$S]))</f>
        <v>0</v>
      </c>
      <c r="Z56" s="891">
        <f>SUMPRODUCT((Finanzas[[#This Row],[Mes Económico]]=Tipo_Cambio[Mes])*(Finanzas[[#This Row],[Año Económico]]=Tipo_Cambio[Año])*(Tipo_Cambio[Actualización]))</f>
        <v>0</v>
      </c>
      <c r="AA56" s="890">
        <f>IF(ISNUMBER(Finanzas[[#This Row],[Fecha Financiero]])=TRUE,MONTH(Finanzas[[#This Row],[Fecha Financiero]]),0)</f>
        <v>0</v>
      </c>
      <c r="AB56" s="890">
        <f>IF(ISNUMBER(Finanzas[[#This Row],[Fecha Financiero]])=TRUE,YEAR(Finanzas[[#This Row],[Fecha Financiero]]),0)</f>
        <v>0</v>
      </c>
      <c r="AC56" s="891">
        <f>SUMPRODUCT((Finanzas[[#This Row],[Mes Financiero]]=Tipo_Cambio[Mes])*(Finanzas[[#This Row],[Año Financiero]]=Tipo_Cambio[Año])*(Tipo_Cambio[$/U$S]))</f>
        <v>0</v>
      </c>
      <c r="AD56" s="888">
        <f>SUMPRODUCT((Finanzas[[#This Row],[Mes Financiero]]=Tipo_Cambio[Mes])*(Finanzas[[#This Row],[Año Financiero]]=Tipo_Cambio[Año])*(Tipo_Cambio[Actualización]))</f>
        <v>0</v>
      </c>
    </row>
    <row r="57" spans="2:30" x14ac:dyDescent="0.25">
      <c r="D57" s="528"/>
      <c r="E57" s="522"/>
      <c r="F57" s="968" t="str">
        <f t="shared" si="3"/>
        <v>2018-2019</v>
      </c>
      <c r="G57" s="481" t="s">
        <v>341</v>
      </c>
      <c r="H57" s="484" t="s">
        <v>420</v>
      </c>
      <c r="I57" s="521"/>
      <c r="J57" s="484"/>
      <c r="K57" s="481"/>
      <c r="L57" s="523"/>
      <c r="M57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57" s="881"/>
      <c r="O57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57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57" s="913"/>
      <c r="R57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57" s="915" t="str">
        <f>IFERROR(INDEX(Cuentas_FIDI[],MATCH(Finanzas[[#This Row],[Cuenta Contable]],Cuentas_FIDI[Cuenta Contable],0),2),0)</f>
        <v>Egreso</v>
      </c>
      <c r="T57" s="887" t="str">
        <f>IFERROR(INDEX(Tabla9[],MATCH(Finanzas[[#This Row],[Movimiento]],Tabla9[Movimientos],0),2),0)</f>
        <v>Si</v>
      </c>
      <c r="U57" s="918" t="str">
        <f>IFERROR(INDEX(Cuentas_FIDI[],MATCH(Finanzas[[#This Row],[Cuenta Contable]],Cuentas_FIDI[Cuenta Contable],0),3),0)</f>
        <v>No</v>
      </c>
      <c r="V57" s="891" t="str">
        <f>IFERROR(INDEX(Tabla9[],MATCH(Finanzas[[#This Row],[Movimiento]],Tabla9[Movimientos],0),3),0)</f>
        <v>(-)</v>
      </c>
      <c r="W57" s="884">
        <f>IF(Finanzas[[#This Row],[Fecha Económico]]=0,0,MONTH(Finanzas[[#This Row],[Fecha Económico]]))</f>
        <v>0</v>
      </c>
      <c r="X57" s="890">
        <f>IF(Finanzas[[#This Row],[Fecha Económico]]=0,0,YEAR(Finanzas[[#This Row],[Fecha Económico]]))</f>
        <v>0</v>
      </c>
      <c r="Y57" s="891">
        <f>SUMPRODUCT((Finanzas[[#This Row],[Mes Económico]]=Tipo_Cambio[Mes])*(Finanzas[[#This Row],[Año Económico]]=Tipo_Cambio[Año])*(Tipo_Cambio[$/U$S]))</f>
        <v>0</v>
      </c>
      <c r="Z57" s="891">
        <f>SUMPRODUCT((Finanzas[[#This Row],[Mes Económico]]=Tipo_Cambio[Mes])*(Finanzas[[#This Row],[Año Económico]]=Tipo_Cambio[Año])*(Tipo_Cambio[Actualización]))</f>
        <v>0</v>
      </c>
      <c r="AA57" s="890">
        <f>IF(ISNUMBER(Finanzas[[#This Row],[Fecha Financiero]])=TRUE,MONTH(Finanzas[[#This Row],[Fecha Financiero]]),0)</f>
        <v>0</v>
      </c>
      <c r="AB57" s="890">
        <f>IF(ISNUMBER(Finanzas[[#This Row],[Fecha Financiero]])=TRUE,YEAR(Finanzas[[#This Row],[Fecha Financiero]]),0)</f>
        <v>0</v>
      </c>
      <c r="AC57" s="891">
        <f>SUMPRODUCT((Finanzas[[#This Row],[Mes Financiero]]=Tipo_Cambio[Mes])*(Finanzas[[#This Row],[Año Financiero]]=Tipo_Cambio[Año])*(Tipo_Cambio[$/U$S]))</f>
        <v>0</v>
      </c>
      <c r="AD57" s="888">
        <f>SUMPRODUCT((Finanzas[[#This Row],[Mes Financiero]]=Tipo_Cambio[Mes])*(Finanzas[[#This Row],[Año Financiero]]=Tipo_Cambio[Año])*(Tipo_Cambio[Actualización]))</f>
        <v>0</v>
      </c>
    </row>
    <row r="58" spans="2:30" x14ac:dyDescent="0.25">
      <c r="D58" s="528"/>
      <c r="E58" s="522"/>
      <c r="F58" s="968" t="str">
        <f t="shared" si="3"/>
        <v>2018-2019</v>
      </c>
      <c r="G58" s="481" t="s">
        <v>340</v>
      </c>
      <c r="H58" s="484" t="s">
        <v>420</v>
      </c>
      <c r="I58" s="521"/>
      <c r="J58" s="484"/>
      <c r="K58" s="481"/>
      <c r="L58" s="523"/>
      <c r="M58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58" s="881"/>
      <c r="O58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58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58" s="913"/>
      <c r="R58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58" s="915" t="str">
        <f>IFERROR(INDEX(Cuentas_FIDI[],MATCH(Finanzas[[#This Row],[Cuenta Contable]],Cuentas_FIDI[Cuenta Contable],0),2),0)</f>
        <v>Ingreso</v>
      </c>
      <c r="T58" s="887" t="str">
        <f>IFERROR(INDEX(Tabla9[],MATCH(Finanzas[[#This Row],[Movimiento]],Tabla9[Movimientos],0),2),0)</f>
        <v>Si</v>
      </c>
      <c r="U58" s="918" t="str">
        <f>IFERROR(INDEX(Cuentas_FIDI[],MATCH(Finanzas[[#This Row],[Cuenta Contable]],Cuentas_FIDI[Cuenta Contable],0),3),0)</f>
        <v>No</v>
      </c>
      <c r="V58" s="891" t="str">
        <f>IFERROR(INDEX(Tabla9[],MATCH(Finanzas[[#This Row],[Movimiento]],Tabla9[Movimientos],0),3),0)</f>
        <v>(+)</v>
      </c>
      <c r="W58" s="884">
        <f>IF(Finanzas[[#This Row],[Fecha Económico]]=0,0,MONTH(Finanzas[[#This Row],[Fecha Económico]]))</f>
        <v>0</v>
      </c>
      <c r="X58" s="890">
        <f>IF(Finanzas[[#This Row],[Fecha Económico]]=0,0,YEAR(Finanzas[[#This Row],[Fecha Económico]]))</f>
        <v>0</v>
      </c>
      <c r="Y58" s="891">
        <f>SUMPRODUCT((Finanzas[[#This Row],[Mes Económico]]=Tipo_Cambio[Mes])*(Finanzas[[#This Row],[Año Económico]]=Tipo_Cambio[Año])*(Tipo_Cambio[$/U$S]))</f>
        <v>0</v>
      </c>
      <c r="Z58" s="891">
        <f>SUMPRODUCT((Finanzas[[#This Row],[Mes Económico]]=Tipo_Cambio[Mes])*(Finanzas[[#This Row],[Año Económico]]=Tipo_Cambio[Año])*(Tipo_Cambio[Actualización]))</f>
        <v>0</v>
      </c>
      <c r="AA58" s="890">
        <f>IF(ISNUMBER(Finanzas[[#This Row],[Fecha Financiero]])=TRUE,MONTH(Finanzas[[#This Row],[Fecha Financiero]]),0)</f>
        <v>0</v>
      </c>
      <c r="AB58" s="890">
        <f>IF(ISNUMBER(Finanzas[[#This Row],[Fecha Financiero]])=TRUE,YEAR(Finanzas[[#This Row],[Fecha Financiero]]),0)</f>
        <v>0</v>
      </c>
      <c r="AC58" s="891">
        <f>SUMPRODUCT((Finanzas[[#This Row],[Mes Financiero]]=Tipo_Cambio[Mes])*(Finanzas[[#This Row],[Año Financiero]]=Tipo_Cambio[Año])*(Tipo_Cambio[$/U$S]))</f>
        <v>0</v>
      </c>
      <c r="AD58" s="888">
        <f>SUMPRODUCT((Finanzas[[#This Row],[Mes Financiero]]=Tipo_Cambio[Mes])*(Finanzas[[#This Row],[Año Financiero]]=Tipo_Cambio[Año])*(Tipo_Cambio[Actualización]))</f>
        <v>0</v>
      </c>
    </row>
    <row r="59" spans="2:30" x14ac:dyDescent="0.25">
      <c r="D59" s="528"/>
      <c r="E59" s="522"/>
      <c r="F59" s="968" t="str">
        <f t="shared" si="3"/>
        <v>2018-2019</v>
      </c>
      <c r="G59" s="481" t="s">
        <v>229</v>
      </c>
      <c r="H59" s="484" t="s">
        <v>420</v>
      </c>
      <c r="I59" s="521"/>
      <c r="J59" s="484"/>
      <c r="K59" s="481"/>
      <c r="L59" s="523"/>
      <c r="M59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59" s="881"/>
      <c r="O59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59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59" s="913"/>
      <c r="R59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59" s="915" t="str">
        <f>IFERROR(INDEX(Cuentas_FIDI[],MATCH(Finanzas[[#This Row],[Cuenta Contable]],Cuentas_FIDI[Cuenta Contable],0),2),0)</f>
        <v>Ingreso</v>
      </c>
      <c r="T59" s="887" t="str">
        <f>IFERROR(INDEX(Tabla9[],MATCH(Finanzas[[#This Row],[Movimiento]],Tabla9[Movimientos],0),2),0)</f>
        <v>Si</v>
      </c>
      <c r="U59" s="918" t="str">
        <f>IFERROR(INDEX(Cuentas_FIDI[],MATCH(Finanzas[[#This Row],[Cuenta Contable]],Cuentas_FIDI[Cuenta Contable],0),3),0)</f>
        <v>Si</v>
      </c>
      <c r="V59" s="891" t="str">
        <f>IFERROR(INDEX(Tabla9[],MATCH(Finanzas[[#This Row],[Movimiento]],Tabla9[Movimientos],0),3),0)</f>
        <v>(+)</v>
      </c>
      <c r="W59" s="884">
        <f>IF(Finanzas[[#This Row],[Fecha Económico]]=0,0,MONTH(Finanzas[[#This Row],[Fecha Económico]]))</f>
        <v>0</v>
      </c>
      <c r="X59" s="890">
        <f>IF(Finanzas[[#This Row],[Fecha Económico]]=0,0,YEAR(Finanzas[[#This Row],[Fecha Económico]]))</f>
        <v>0</v>
      </c>
      <c r="Y59" s="891">
        <f>SUMPRODUCT((Finanzas[[#This Row],[Mes Económico]]=Tipo_Cambio[Mes])*(Finanzas[[#This Row],[Año Económico]]=Tipo_Cambio[Año])*(Tipo_Cambio[$/U$S]))</f>
        <v>0</v>
      </c>
      <c r="Z59" s="891">
        <f>SUMPRODUCT((Finanzas[[#This Row],[Mes Económico]]=Tipo_Cambio[Mes])*(Finanzas[[#This Row],[Año Económico]]=Tipo_Cambio[Año])*(Tipo_Cambio[Actualización]))</f>
        <v>0</v>
      </c>
      <c r="AA59" s="890">
        <f>IF(ISNUMBER(Finanzas[[#This Row],[Fecha Financiero]])=TRUE,MONTH(Finanzas[[#This Row],[Fecha Financiero]]),0)</f>
        <v>0</v>
      </c>
      <c r="AB59" s="890">
        <f>IF(ISNUMBER(Finanzas[[#This Row],[Fecha Financiero]])=TRUE,YEAR(Finanzas[[#This Row],[Fecha Financiero]]),0)</f>
        <v>0</v>
      </c>
      <c r="AC59" s="891">
        <f>SUMPRODUCT((Finanzas[[#This Row],[Mes Financiero]]=Tipo_Cambio[Mes])*(Finanzas[[#This Row],[Año Financiero]]=Tipo_Cambio[Año])*(Tipo_Cambio[$/U$S]))</f>
        <v>0</v>
      </c>
      <c r="AD59" s="888">
        <f>SUMPRODUCT((Finanzas[[#This Row],[Mes Financiero]]=Tipo_Cambio[Mes])*(Finanzas[[#This Row],[Año Financiero]]=Tipo_Cambio[Año])*(Tipo_Cambio[Actualización]))</f>
        <v>0</v>
      </c>
    </row>
    <row r="60" spans="2:30" x14ac:dyDescent="0.25">
      <c r="D60" s="528"/>
      <c r="E60" s="522"/>
      <c r="F60" s="968" t="str">
        <f t="shared" si="3"/>
        <v>2018-2019</v>
      </c>
      <c r="G60" s="481" t="s">
        <v>341</v>
      </c>
      <c r="H60" s="484" t="s">
        <v>421</v>
      </c>
      <c r="I60" s="521"/>
      <c r="J60" s="484"/>
      <c r="K60" s="481"/>
      <c r="L60" s="523"/>
      <c r="M60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60" s="881"/>
      <c r="O60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60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60" s="913"/>
      <c r="R60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60" s="915" t="str">
        <f>IFERROR(INDEX(Cuentas_FIDI[],MATCH(Finanzas[[#This Row],[Cuenta Contable]],Cuentas_FIDI[Cuenta Contable],0),2),0)</f>
        <v>Egreso</v>
      </c>
      <c r="T60" s="887" t="str">
        <f>IFERROR(INDEX(Tabla9[],MATCH(Finanzas[[#This Row],[Movimiento]],Tabla9[Movimientos],0),2),0)</f>
        <v>Si</v>
      </c>
      <c r="U60" s="918" t="str">
        <f>IFERROR(INDEX(Cuentas_FIDI[],MATCH(Finanzas[[#This Row],[Cuenta Contable]],Cuentas_FIDI[Cuenta Contable],0),3),0)</f>
        <v>No</v>
      </c>
      <c r="V60" s="891" t="str">
        <f>IFERROR(INDEX(Tabla9[],MATCH(Finanzas[[#This Row],[Movimiento]],Tabla9[Movimientos],0),3),0)</f>
        <v>(-)</v>
      </c>
      <c r="W60" s="884">
        <f>IF(Finanzas[[#This Row],[Fecha Económico]]=0,0,MONTH(Finanzas[[#This Row],[Fecha Económico]]))</f>
        <v>0</v>
      </c>
      <c r="X60" s="890">
        <f>IF(Finanzas[[#This Row],[Fecha Económico]]=0,0,YEAR(Finanzas[[#This Row],[Fecha Económico]]))</f>
        <v>0</v>
      </c>
      <c r="Y60" s="891">
        <f>SUMPRODUCT((Finanzas[[#This Row],[Mes Económico]]=Tipo_Cambio[Mes])*(Finanzas[[#This Row],[Año Económico]]=Tipo_Cambio[Año])*(Tipo_Cambio[$/U$S]))</f>
        <v>0</v>
      </c>
      <c r="Z60" s="891">
        <f>SUMPRODUCT((Finanzas[[#This Row],[Mes Económico]]=Tipo_Cambio[Mes])*(Finanzas[[#This Row],[Año Económico]]=Tipo_Cambio[Año])*(Tipo_Cambio[Actualización]))</f>
        <v>0</v>
      </c>
      <c r="AA60" s="890">
        <f>IF(ISNUMBER(Finanzas[[#This Row],[Fecha Financiero]])=TRUE,MONTH(Finanzas[[#This Row],[Fecha Financiero]]),0)</f>
        <v>0</v>
      </c>
      <c r="AB60" s="890">
        <f>IF(ISNUMBER(Finanzas[[#This Row],[Fecha Financiero]])=TRUE,YEAR(Finanzas[[#This Row],[Fecha Financiero]]),0)</f>
        <v>0</v>
      </c>
      <c r="AC60" s="891">
        <f>SUMPRODUCT((Finanzas[[#This Row],[Mes Financiero]]=Tipo_Cambio[Mes])*(Finanzas[[#This Row],[Año Financiero]]=Tipo_Cambio[Año])*(Tipo_Cambio[$/U$S]))</f>
        <v>0</v>
      </c>
      <c r="AD60" s="888">
        <f>SUMPRODUCT((Finanzas[[#This Row],[Mes Financiero]]=Tipo_Cambio[Mes])*(Finanzas[[#This Row],[Año Financiero]]=Tipo_Cambio[Año])*(Tipo_Cambio[Actualización]))</f>
        <v>0</v>
      </c>
    </row>
    <row r="61" spans="2:30" x14ac:dyDescent="0.25">
      <c r="D61" s="528"/>
      <c r="E61" s="522"/>
      <c r="F61" s="968" t="str">
        <f t="shared" si="3"/>
        <v>2018-2019</v>
      </c>
      <c r="G61" s="481" t="s">
        <v>340</v>
      </c>
      <c r="H61" s="484" t="s">
        <v>421</v>
      </c>
      <c r="I61" s="521"/>
      <c r="J61" s="484"/>
      <c r="K61" s="481"/>
      <c r="L61" s="523"/>
      <c r="M61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61" s="881"/>
      <c r="O61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61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61" s="913"/>
      <c r="R61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61" s="915" t="str">
        <f>IFERROR(INDEX(Cuentas_FIDI[],MATCH(Finanzas[[#This Row],[Cuenta Contable]],Cuentas_FIDI[Cuenta Contable],0),2),0)</f>
        <v>Ingreso</v>
      </c>
      <c r="T61" s="887" t="str">
        <f>IFERROR(INDEX(Tabla9[],MATCH(Finanzas[[#This Row],[Movimiento]],Tabla9[Movimientos],0),2),0)</f>
        <v>Si</v>
      </c>
      <c r="U61" s="918" t="str">
        <f>IFERROR(INDEX(Cuentas_FIDI[],MATCH(Finanzas[[#This Row],[Cuenta Contable]],Cuentas_FIDI[Cuenta Contable],0),3),0)</f>
        <v>No</v>
      </c>
      <c r="V61" s="891" t="str">
        <f>IFERROR(INDEX(Tabla9[],MATCH(Finanzas[[#This Row],[Movimiento]],Tabla9[Movimientos],0),3),0)</f>
        <v>(+)</v>
      </c>
      <c r="W61" s="884">
        <f>IF(Finanzas[[#This Row],[Fecha Económico]]=0,0,MONTH(Finanzas[[#This Row],[Fecha Económico]]))</f>
        <v>0</v>
      </c>
      <c r="X61" s="890">
        <f>IF(Finanzas[[#This Row],[Fecha Económico]]=0,0,YEAR(Finanzas[[#This Row],[Fecha Económico]]))</f>
        <v>0</v>
      </c>
      <c r="Y61" s="891">
        <f>SUMPRODUCT((Finanzas[[#This Row],[Mes Económico]]=Tipo_Cambio[Mes])*(Finanzas[[#This Row],[Año Económico]]=Tipo_Cambio[Año])*(Tipo_Cambio[$/U$S]))</f>
        <v>0</v>
      </c>
      <c r="Z61" s="891">
        <f>SUMPRODUCT((Finanzas[[#This Row],[Mes Económico]]=Tipo_Cambio[Mes])*(Finanzas[[#This Row],[Año Económico]]=Tipo_Cambio[Año])*(Tipo_Cambio[Actualización]))</f>
        <v>0</v>
      </c>
      <c r="AA61" s="890">
        <f>IF(ISNUMBER(Finanzas[[#This Row],[Fecha Financiero]])=TRUE,MONTH(Finanzas[[#This Row],[Fecha Financiero]]),0)</f>
        <v>0</v>
      </c>
      <c r="AB61" s="890">
        <f>IF(ISNUMBER(Finanzas[[#This Row],[Fecha Financiero]])=TRUE,YEAR(Finanzas[[#This Row],[Fecha Financiero]]),0)</f>
        <v>0</v>
      </c>
      <c r="AC61" s="891">
        <f>SUMPRODUCT((Finanzas[[#This Row],[Mes Financiero]]=Tipo_Cambio[Mes])*(Finanzas[[#This Row],[Año Financiero]]=Tipo_Cambio[Año])*(Tipo_Cambio[$/U$S]))</f>
        <v>0</v>
      </c>
      <c r="AD61" s="888">
        <f>SUMPRODUCT((Finanzas[[#This Row],[Mes Financiero]]=Tipo_Cambio[Mes])*(Finanzas[[#This Row],[Año Financiero]]=Tipo_Cambio[Año])*(Tipo_Cambio[Actualización]))</f>
        <v>0</v>
      </c>
    </row>
    <row r="62" spans="2:30" x14ac:dyDescent="0.25">
      <c r="D62" s="528"/>
      <c r="E62" s="522"/>
      <c r="F62" s="968" t="str">
        <f t="shared" si="3"/>
        <v>2018-2019</v>
      </c>
      <c r="G62" s="481" t="s">
        <v>229</v>
      </c>
      <c r="H62" s="484" t="s">
        <v>421</v>
      </c>
      <c r="I62" s="521"/>
      <c r="J62" s="484"/>
      <c r="K62" s="481"/>
      <c r="L62" s="523"/>
      <c r="M62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62" s="881"/>
      <c r="O62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62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62" s="913"/>
      <c r="R62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62" s="915" t="str">
        <f>IFERROR(INDEX(Cuentas_FIDI[],MATCH(Finanzas[[#This Row],[Cuenta Contable]],Cuentas_FIDI[Cuenta Contable],0),2),0)</f>
        <v>Ingreso</v>
      </c>
      <c r="T62" s="887" t="str">
        <f>IFERROR(INDEX(Tabla9[],MATCH(Finanzas[[#This Row],[Movimiento]],Tabla9[Movimientos],0),2),0)</f>
        <v>Si</v>
      </c>
      <c r="U62" s="918" t="str">
        <f>IFERROR(INDEX(Cuentas_FIDI[],MATCH(Finanzas[[#This Row],[Cuenta Contable]],Cuentas_FIDI[Cuenta Contable],0),3),0)</f>
        <v>Si</v>
      </c>
      <c r="V62" s="891" t="str">
        <f>IFERROR(INDEX(Tabla9[],MATCH(Finanzas[[#This Row],[Movimiento]],Tabla9[Movimientos],0),3),0)</f>
        <v>(+)</v>
      </c>
      <c r="W62" s="884">
        <f>IF(Finanzas[[#This Row],[Fecha Económico]]=0,0,MONTH(Finanzas[[#This Row],[Fecha Económico]]))</f>
        <v>0</v>
      </c>
      <c r="X62" s="890">
        <f>IF(Finanzas[[#This Row],[Fecha Económico]]=0,0,YEAR(Finanzas[[#This Row],[Fecha Económico]]))</f>
        <v>0</v>
      </c>
      <c r="Y62" s="891">
        <f>SUMPRODUCT((Finanzas[[#This Row],[Mes Económico]]=Tipo_Cambio[Mes])*(Finanzas[[#This Row],[Año Económico]]=Tipo_Cambio[Año])*(Tipo_Cambio[$/U$S]))</f>
        <v>0</v>
      </c>
      <c r="Z62" s="891">
        <f>SUMPRODUCT((Finanzas[[#This Row],[Mes Económico]]=Tipo_Cambio[Mes])*(Finanzas[[#This Row],[Año Económico]]=Tipo_Cambio[Año])*(Tipo_Cambio[Actualización]))</f>
        <v>0</v>
      </c>
      <c r="AA62" s="890">
        <f>IF(ISNUMBER(Finanzas[[#This Row],[Fecha Financiero]])=TRUE,MONTH(Finanzas[[#This Row],[Fecha Financiero]]),0)</f>
        <v>0</v>
      </c>
      <c r="AB62" s="890">
        <f>IF(ISNUMBER(Finanzas[[#This Row],[Fecha Financiero]])=TRUE,YEAR(Finanzas[[#This Row],[Fecha Financiero]]),0)</f>
        <v>0</v>
      </c>
      <c r="AC62" s="891">
        <f>SUMPRODUCT((Finanzas[[#This Row],[Mes Financiero]]=Tipo_Cambio[Mes])*(Finanzas[[#This Row],[Año Financiero]]=Tipo_Cambio[Año])*(Tipo_Cambio[$/U$S]))</f>
        <v>0</v>
      </c>
      <c r="AD62" s="888">
        <f>SUMPRODUCT((Finanzas[[#This Row],[Mes Financiero]]=Tipo_Cambio[Mes])*(Finanzas[[#This Row],[Año Financiero]]=Tipo_Cambio[Año])*(Tipo_Cambio[Actualización]))</f>
        <v>0</v>
      </c>
    </row>
    <row r="63" spans="2:30" x14ac:dyDescent="0.25">
      <c r="D63" s="528"/>
      <c r="E63" s="522"/>
      <c r="F63" s="968" t="str">
        <f t="shared" si="3"/>
        <v>2018-2019</v>
      </c>
      <c r="G63" s="481" t="s">
        <v>341</v>
      </c>
      <c r="H63" s="484" t="s">
        <v>422</v>
      </c>
      <c r="I63" s="521"/>
      <c r="J63" s="484"/>
      <c r="K63" s="481"/>
      <c r="L63" s="523"/>
      <c r="M63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63" s="881"/>
      <c r="O63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63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63" s="913"/>
      <c r="R63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63" s="915" t="str">
        <f>IFERROR(INDEX(Cuentas_FIDI[],MATCH(Finanzas[[#This Row],[Cuenta Contable]],Cuentas_FIDI[Cuenta Contable],0),2),0)</f>
        <v>Egreso</v>
      </c>
      <c r="T63" s="887" t="str">
        <f>IFERROR(INDEX(Tabla9[],MATCH(Finanzas[[#This Row],[Movimiento]],Tabla9[Movimientos],0),2),0)</f>
        <v>Si</v>
      </c>
      <c r="U63" s="918" t="str">
        <f>IFERROR(INDEX(Cuentas_FIDI[],MATCH(Finanzas[[#This Row],[Cuenta Contable]],Cuentas_FIDI[Cuenta Contable],0),3),0)</f>
        <v>No</v>
      </c>
      <c r="V63" s="891" t="str">
        <f>IFERROR(INDEX(Tabla9[],MATCH(Finanzas[[#This Row],[Movimiento]],Tabla9[Movimientos],0),3),0)</f>
        <v>(-)</v>
      </c>
      <c r="W63" s="884">
        <f>IF(Finanzas[[#This Row],[Fecha Económico]]=0,0,MONTH(Finanzas[[#This Row],[Fecha Económico]]))</f>
        <v>0</v>
      </c>
      <c r="X63" s="890">
        <f>IF(Finanzas[[#This Row],[Fecha Económico]]=0,0,YEAR(Finanzas[[#This Row],[Fecha Económico]]))</f>
        <v>0</v>
      </c>
      <c r="Y63" s="891">
        <f>SUMPRODUCT((Finanzas[[#This Row],[Mes Económico]]=Tipo_Cambio[Mes])*(Finanzas[[#This Row],[Año Económico]]=Tipo_Cambio[Año])*(Tipo_Cambio[$/U$S]))</f>
        <v>0</v>
      </c>
      <c r="Z63" s="891">
        <f>SUMPRODUCT((Finanzas[[#This Row],[Mes Económico]]=Tipo_Cambio[Mes])*(Finanzas[[#This Row],[Año Económico]]=Tipo_Cambio[Año])*(Tipo_Cambio[Actualización]))</f>
        <v>0</v>
      </c>
      <c r="AA63" s="890">
        <f>IF(ISNUMBER(Finanzas[[#This Row],[Fecha Financiero]])=TRUE,MONTH(Finanzas[[#This Row],[Fecha Financiero]]),0)</f>
        <v>0</v>
      </c>
      <c r="AB63" s="890">
        <f>IF(ISNUMBER(Finanzas[[#This Row],[Fecha Financiero]])=TRUE,YEAR(Finanzas[[#This Row],[Fecha Financiero]]),0)</f>
        <v>0</v>
      </c>
      <c r="AC63" s="891">
        <f>SUMPRODUCT((Finanzas[[#This Row],[Mes Financiero]]=Tipo_Cambio[Mes])*(Finanzas[[#This Row],[Año Financiero]]=Tipo_Cambio[Año])*(Tipo_Cambio[$/U$S]))</f>
        <v>0</v>
      </c>
      <c r="AD63" s="888">
        <f>SUMPRODUCT((Finanzas[[#This Row],[Mes Financiero]]=Tipo_Cambio[Mes])*(Finanzas[[#This Row],[Año Financiero]]=Tipo_Cambio[Año])*(Tipo_Cambio[Actualización]))</f>
        <v>0</v>
      </c>
    </row>
    <row r="64" spans="2:30" x14ac:dyDescent="0.25">
      <c r="D64" s="528"/>
      <c r="E64" s="522"/>
      <c r="F64" s="968" t="str">
        <f t="shared" si="3"/>
        <v>2018-2019</v>
      </c>
      <c r="G64" s="481" t="s">
        <v>340</v>
      </c>
      <c r="H64" s="484" t="s">
        <v>422</v>
      </c>
      <c r="I64" s="521"/>
      <c r="J64" s="484"/>
      <c r="K64" s="481"/>
      <c r="L64" s="523"/>
      <c r="M64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64" s="881"/>
      <c r="O64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64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64" s="913"/>
      <c r="R64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64" s="915" t="str">
        <f>IFERROR(INDEX(Cuentas_FIDI[],MATCH(Finanzas[[#This Row],[Cuenta Contable]],Cuentas_FIDI[Cuenta Contable],0),2),0)</f>
        <v>Ingreso</v>
      </c>
      <c r="T64" s="887" t="str">
        <f>IFERROR(INDEX(Tabla9[],MATCH(Finanzas[[#This Row],[Movimiento]],Tabla9[Movimientos],0),2),0)</f>
        <v>Si</v>
      </c>
      <c r="U64" s="918" t="str">
        <f>IFERROR(INDEX(Cuentas_FIDI[],MATCH(Finanzas[[#This Row],[Cuenta Contable]],Cuentas_FIDI[Cuenta Contable],0),3),0)</f>
        <v>No</v>
      </c>
      <c r="V64" s="891" t="str">
        <f>IFERROR(INDEX(Tabla9[],MATCH(Finanzas[[#This Row],[Movimiento]],Tabla9[Movimientos],0),3),0)</f>
        <v>(+)</v>
      </c>
      <c r="W64" s="884">
        <f>IF(Finanzas[[#This Row],[Fecha Económico]]=0,0,MONTH(Finanzas[[#This Row],[Fecha Económico]]))</f>
        <v>0</v>
      </c>
      <c r="X64" s="890">
        <f>IF(Finanzas[[#This Row],[Fecha Económico]]=0,0,YEAR(Finanzas[[#This Row],[Fecha Económico]]))</f>
        <v>0</v>
      </c>
      <c r="Y64" s="891">
        <f>SUMPRODUCT((Finanzas[[#This Row],[Mes Económico]]=Tipo_Cambio[Mes])*(Finanzas[[#This Row],[Año Económico]]=Tipo_Cambio[Año])*(Tipo_Cambio[$/U$S]))</f>
        <v>0</v>
      </c>
      <c r="Z64" s="891">
        <f>SUMPRODUCT((Finanzas[[#This Row],[Mes Económico]]=Tipo_Cambio[Mes])*(Finanzas[[#This Row],[Año Económico]]=Tipo_Cambio[Año])*(Tipo_Cambio[Actualización]))</f>
        <v>0</v>
      </c>
      <c r="AA64" s="890">
        <f>IF(ISNUMBER(Finanzas[[#This Row],[Fecha Financiero]])=TRUE,MONTH(Finanzas[[#This Row],[Fecha Financiero]]),0)</f>
        <v>0</v>
      </c>
      <c r="AB64" s="890">
        <f>IF(ISNUMBER(Finanzas[[#This Row],[Fecha Financiero]])=TRUE,YEAR(Finanzas[[#This Row],[Fecha Financiero]]),0)</f>
        <v>0</v>
      </c>
      <c r="AC64" s="891">
        <f>SUMPRODUCT((Finanzas[[#This Row],[Mes Financiero]]=Tipo_Cambio[Mes])*(Finanzas[[#This Row],[Año Financiero]]=Tipo_Cambio[Año])*(Tipo_Cambio[$/U$S]))</f>
        <v>0</v>
      </c>
      <c r="AD64" s="888">
        <f>SUMPRODUCT((Finanzas[[#This Row],[Mes Financiero]]=Tipo_Cambio[Mes])*(Finanzas[[#This Row],[Año Financiero]]=Tipo_Cambio[Año])*(Tipo_Cambio[Actualización]))</f>
        <v>0</v>
      </c>
    </row>
    <row r="65" spans="2:30" x14ac:dyDescent="0.25">
      <c r="D65" s="528"/>
      <c r="E65" s="522"/>
      <c r="F65" s="968" t="str">
        <f t="shared" si="3"/>
        <v>2018-2019</v>
      </c>
      <c r="G65" s="481" t="s">
        <v>229</v>
      </c>
      <c r="H65" s="484" t="s">
        <v>422</v>
      </c>
      <c r="I65" s="521"/>
      <c r="J65" s="484"/>
      <c r="K65" s="481"/>
      <c r="L65" s="523"/>
      <c r="M65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65" s="881"/>
      <c r="O65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65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65" s="913"/>
      <c r="R65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65" s="915" t="str">
        <f>IFERROR(INDEX(Cuentas_FIDI[],MATCH(Finanzas[[#This Row],[Cuenta Contable]],Cuentas_FIDI[Cuenta Contable],0),2),0)</f>
        <v>Ingreso</v>
      </c>
      <c r="T65" s="887" t="str">
        <f>IFERROR(INDEX(Tabla9[],MATCH(Finanzas[[#This Row],[Movimiento]],Tabla9[Movimientos],0),2),0)</f>
        <v>Si</v>
      </c>
      <c r="U65" s="918" t="str">
        <f>IFERROR(INDEX(Cuentas_FIDI[],MATCH(Finanzas[[#This Row],[Cuenta Contable]],Cuentas_FIDI[Cuenta Contable],0),3),0)</f>
        <v>Si</v>
      </c>
      <c r="V65" s="891" t="str">
        <f>IFERROR(INDEX(Tabla9[],MATCH(Finanzas[[#This Row],[Movimiento]],Tabla9[Movimientos],0),3),0)</f>
        <v>(+)</v>
      </c>
      <c r="W65" s="884">
        <f>IF(Finanzas[[#This Row],[Fecha Económico]]=0,0,MONTH(Finanzas[[#This Row],[Fecha Económico]]))</f>
        <v>0</v>
      </c>
      <c r="X65" s="890">
        <f>IF(Finanzas[[#This Row],[Fecha Económico]]=0,0,YEAR(Finanzas[[#This Row],[Fecha Económico]]))</f>
        <v>0</v>
      </c>
      <c r="Y65" s="891">
        <f>SUMPRODUCT((Finanzas[[#This Row],[Mes Económico]]=Tipo_Cambio[Mes])*(Finanzas[[#This Row],[Año Económico]]=Tipo_Cambio[Año])*(Tipo_Cambio[$/U$S]))</f>
        <v>0</v>
      </c>
      <c r="Z65" s="891">
        <f>SUMPRODUCT((Finanzas[[#This Row],[Mes Económico]]=Tipo_Cambio[Mes])*(Finanzas[[#This Row],[Año Económico]]=Tipo_Cambio[Año])*(Tipo_Cambio[Actualización]))</f>
        <v>0</v>
      </c>
      <c r="AA65" s="890">
        <f>IF(ISNUMBER(Finanzas[[#This Row],[Fecha Financiero]])=TRUE,MONTH(Finanzas[[#This Row],[Fecha Financiero]]),0)</f>
        <v>0</v>
      </c>
      <c r="AB65" s="890">
        <f>IF(ISNUMBER(Finanzas[[#This Row],[Fecha Financiero]])=TRUE,YEAR(Finanzas[[#This Row],[Fecha Financiero]]),0)</f>
        <v>0</v>
      </c>
      <c r="AC65" s="891">
        <f>SUMPRODUCT((Finanzas[[#This Row],[Mes Financiero]]=Tipo_Cambio[Mes])*(Finanzas[[#This Row],[Año Financiero]]=Tipo_Cambio[Año])*(Tipo_Cambio[$/U$S]))</f>
        <v>0</v>
      </c>
      <c r="AD65" s="888">
        <f>SUMPRODUCT((Finanzas[[#This Row],[Mes Financiero]]=Tipo_Cambio[Mes])*(Finanzas[[#This Row],[Año Financiero]]=Tipo_Cambio[Año])*(Tipo_Cambio[Actualización]))</f>
        <v>0</v>
      </c>
    </row>
    <row r="66" spans="2:30" x14ac:dyDescent="0.25">
      <c r="D66" s="528"/>
      <c r="E66" s="522"/>
      <c r="F66" s="968" t="str">
        <f t="shared" si="3"/>
        <v>2018-2019</v>
      </c>
      <c r="G66" s="481"/>
      <c r="H66" s="484"/>
      <c r="I66" s="521"/>
      <c r="J66" s="484"/>
      <c r="K66" s="481"/>
      <c r="L66" s="523"/>
      <c r="M66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66" s="881"/>
      <c r="O66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66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66" s="913"/>
      <c r="R66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66" s="915">
        <f>IFERROR(INDEX(Cuentas_FIDI[],MATCH(Finanzas[[#This Row],[Cuenta Contable]],Cuentas_FIDI[Cuenta Contable],0),2),0)</f>
        <v>0</v>
      </c>
      <c r="T66" s="887">
        <f>IFERROR(INDEX(Tabla9[],MATCH(Finanzas[[#This Row],[Movimiento]],Tabla9[Movimientos],0),2),0)</f>
        <v>0</v>
      </c>
      <c r="U66" s="918">
        <f>IFERROR(INDEX(Cuentas_FIDI[],MATCH(Finanzas[[#This Row],[Cuenta Contable]],Cuentas_FIDI[Cuenta Contable],0),3),0)</f>
        <v>0</v>
      </c>
      <c r="V66" s="891">
        <f>IFERROR(INDEX(Tabla9[],MATCH(Finanzas[[#This Row],[Movimiento]],Tabla9[Movimientos],0),3),0)</f>
        <v>0</v>
      </c>
      <c r="W66" s="884">
        <f>IF(Finanzas[[#This Row],[Fecha Económico]]=0,0,MONTH(Finanzas[[#This Row],[Fecha Económico]]))</f>
        <v>0</v>
      </c>
      <c r="X66" s="890">
        <f>IF(Finanzas[[#This Row],[Fecha Económico]]=0,0,YEAR(Finanzas[[#This Row],[Fecha Económico]]))</f>
        <v>0</v>
      </c>
      <c r="Y66" s="891">
        <f>SUMPRODUCT((Finanzas[[#This Row],[Mes Económico]]=Tipo_Cambio[Mes])*(Finanzas[[#This Row],[Año Económico]]=Tipo_Cambio[Año])*(Tipo_Cambio[$/U$S]))</f>
        <v>0</v>
      </c>
      <c r="Z66" s="891">
        <f>SUMPRODUCT((Finanzas[[#This Row],[Mes Económico]]=Tipo_Cambio[Mes])*(Finanzas[[#This Row],[Año Económico]]=Tipo_Cambio[Año])*(Tipo_Cambio[Actualización]))</f>
        <v>0</v>
      </c>
      <c r="AA66" s="890">
        <f>IF(ISNUMBER(Finanzas[[#This Row],[Fecha Financiero]])=TRUE,MONTH(Finanzas[[#This Row],[Fecha Financiero]]),0)</f>
        <v>0</v>
      </c>
      <c r="AB66" s="890">
        <f>IF(ISNUMBER(Finanzas[[#This Row],[Fecha Financiero]])=TRUE,YEAR(Finanzas[[#This Row],[Fecha Financiero]]),0)</f>
        <v>0</v>
      </c>
      <c r="AC66" s="891">
        <f>SUMPRODUCT((Finanzas[[#This Row],[Mes Financiero]]=Tipo_Cambio[Mes])*(Finanzas[[#This Row],[Año Financiero]]=Tipo_Cambio[Año])*(Tipo_Cambio[$/U$S]))</f>
        <v>0</v>
      </c>
      <c r="AD66" s="888">
        <f>SUMPRODUCT((Finanzas[[#This Row],[Mes Financiero]]=Tipo_Cambio[Mes])*(Finanzas[[#This Row],[Año Financiero]]=Tipo_Cambio[Año])*(Tipo_Cambio[Actualización]))</f>
        <v>0</v>
      </c>
    </row>
    <row r="67" spans="2:30" x14ac:dyDescent="0.25">
      <c r="D67" s="528"/>
      <c r="E67" s="522"/>
      <c r="F67" s="968" t="str">
        <f t="shared" si="3"/>
        <v>2018-2019</v>
      </c>
      <c r="G67" s="481"/>
      <c r="H67" s="484"/>
      <c r="I67" s="521"/>
      <c r="J67" s="484"/>
      <c r="K67" s="481"/>
      <c r="L67" s="523"/>
      <c r="M67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67" s="881"/>
      <c r="O67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67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67" s="913"/>
      <c r="R67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67" s="915">
        <f>IFERROR(INDEX(Cuentas_FIDI[],MATCH(Finanzas[[#This Row],[Cuenta Contable]],Cuentas_FIDI[Cuenta Contable],0),2),0)</f>
        <v>0</v>
      </c>
      <c r="T67" s="887">
        <f>IFERROR(INDEX(Tabla9[],MATCH(Finanzas[[#This Row],[Movimiento]],Tabla9[Movimientos],0),2),0)</f>
        <v>0</v>
      </c>
      <c r="U67" s="918">
        <f>IFERROR(INDEX(Cuentas_FIDI[],MATCH(Finanzas[[#This Row],[Cuenta Contable]],Cuentas_FIDI[Cuenta Contable],0),3),0)</f>
        <v>0</v>
      </c>
      <c r="V67" s="891">
        <f>IFERROR(INDEX(Tabla9[],MATCH(Finanzas[[#This Row],[Movimiento]],Tabla9[Movimientos],0),3),0)</f>
        <v>0</v>
      </c>
      <c r="W67" s="884">
        <f>IF(Finanzas[[#This Row],[Fecha Económico]]=0,0,MONTH(Finanzas[[#This Row],[Fecha Económico]]))</f>
        <v>0</v>
      </c>
      <c r="X67" s="890">
        <f>IF(Finanzas[[#This Row],[Fecha Económico]]=0,0,YEAR(Finanzas[[#This Row],[Fecha Económico]]))</f>
        <v>0</v>
      </c>
      <c r="Y67" s="891">
        <f>SUMPRODUCT((Finanzas[[#This Row],[Mes Económico]]=Tipo_Cambio[Mes])*(Finanzas[[#This Row],[Año Económico]]=Tipo_Cambio[Año])*(Tipo_Cambio[$/U$S]))</f>
        <v>0</v>
      </c>
      <c r="Z67" s="891">
        <f>SUMPRODUCT((Finanzas[[#This Row],[Mes Económico]]=Tipo_Cambio[Mes])*(Finanzas[[#This Row],[Año Económico]]=Tipo_Cambio[Año])*(Tipo_Cambio[Actualización]))</f>
        <v>0</v>
      </c>
      <c r="AA67" s="890">
        <f>IF(ISNUMBER(Finanzas[[#This Row],[Fecha Financiero]])=TRUE,MONTH(Finanzas[[#This Row],[Fecha Financiero]]),0)</f>
        <v>0</v>
      </c>
      <c r="AB67" s="890">
        <f>IF(ISNUMBER(Finanzas[[#This Row],[Fecha Financiero]])=TRUE,YEAR(Finanzas[[#This Row],[Fecha Financiero]]),0)</f>
        <v>0</v>
      </c>
      <c r="AC67" s="891">
        <f>SUMPRODUCT((Finanzas[[#This Row],[Mes Financiero]]=Tipo_Cambio[Mes])*(Finanzas[[#This Row],[Año Financiero]]=Tipo_Cambio[Año])*(Tipo_Cambio[$/U$S]))</f>
        <v>0</v>
      </c>
      <c r="AD67" s="888">
        <f>SUMPRODUCT((Finanzas[[#This Row],[Mes Financiero]]=Tipo_Cambio[Mes])*(Finanzas[[#This Row],[Año Financiero]]=Tipo_Cambio[Año])*(Tipo_Cambio[Actualización]))</f>
        <v>0</v>
      </c>
    </row>
    <row r="68" spans="2:30" x14ac:dyDescent="0.25">
      <c r="D68" s="528"/>
      <c r="E68" s="522"/>
      <c r="F68" s="968" t="str">
        <f t="shared" si="3"/>
        <v>2018-2019</v>
      </c>
      <c r="G68" s="481"/>
      <c r="H68" s="484"/>
      <c r="I68" s="521"/>
      <c r="J68" s="484"/>
      <c r="K68" s="481"/>
      <c r="L68" s="523"/>
      <c r="M68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68" s="881"/>
      <c r="O68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68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68" s="913"/>
      <c r="R68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68" s="915">
        <f>IFERROR(INDEX(Cuentas_FIDI[],MATCH(Finanzas[[#This Row],[Cuenta Contable]],Cuentas_FIDI[Cuenta Contable],0),2),0)</f>
        <v>0</v>
      </c>
      <c r="T68" s="887">
        <f>IFERROR(INDEX(Tabla9[],MATCH(Finanzas[[#This Row],[Movimiento]],Tabla9[Movimientos],0),2),0)</f>
        <v>0</v>
      </c>
      <c r="U68" s="918">
        <f>IFERROR(INDEX(Cuentas_FIDI[],MATCH(Finanzas[[#This Row],[Cuenta Contable]],Cuentas_FIDI[Cuenta Contable],0),3),0)</f>
        <v>0</v>
      </c>
      <c r="V68" s="891">
        <f>IFERROR(INDEX(Tabla9[],MATCH(Finanzas[[#This Row],[Movimiento]],Tabla9[Movimientos],0),3),0)</f>
        <v>0</v>
      </c>
      <c r="W68" s="884">
        <f>IF(Finanzas[[#This Row],[Fecha Económico]]=0,0,MONTH(Finanzas[[#This Row],[Fecha Económico]]))</f>
        <v>0</v>
      </c>
      <c r="X68" s="890">
        <f>IF(Finanzas[[#This Row],[Fecha Económico]]=0,0,YEAR(Finanzas[[#This Row],[Fecha Económico]]))</f>
        <v>0</v>
      </c>
      <c r="Y68" s="891">
        <f>SUMPRODUCT((Finanzas[[#This Row],[Mes Económico]]=Tipo_Cambio[Mes])*(Finanzas[[#This Row],[Año Económico]]=Tipo_Cambio[Año])*(Tipo_Cambio[$/U$S]))</f>
        <v>0</v>
      </c>
      <c r="Z68" s="891">
        <f>SUMPRODUCT((Finanzas[[#This Row],[Mes Económico]]=Tipo_Cambio[Mes])*(Finanzas[[#This Row],[Año Económico]]=Tipo_Cambio[Año])*(Tipo_Cambio[Actualización]))</f>
        <v>0</v>
      </c>
      <c r="AA68" s="890">
        <f>IF(ISNUMBER(Finanzas[[#This Row],[Fecha Financiero]])=TRUE,MONTH(Finanzas[[#This Row],[Fecha Financiero]]),0)</f>
        <v>0</v>
      </c>
      <c r="AB68" s="890">
        <f>IF(ISNUMBER(Finanzas[[#This Row],[Fecha Financiero]])=TRUE,YEAR(Finanzas[[#This Row],[Fecha Financiero]]),0)</f>
        <v>0</v>
      </c>
      <c r="AC68" s="891">
        <f>SUMPRODUCT((Finanzas[[#This Row],[Mes Financiero]]=Tipo_Cambio[Mes])*(Finanzas[[#This Row],[Año Financiero]]=Tipo_Cambio[Año])*(Tipo_Cambio[$/U$S]))</f>
        <v>0</v>
      </c>
      <c r="AD68" s="888">
        <f>SUMPRODUCT((Finanzas[[#This Row],[Mes Financiero]]=Tipo_Cambio[Mes])*(Finanzas[[#This Row],[Año Financiero]]=Tipo_Cambio[Año])*(Tipo_Cambio[Actualización]))</f>
        <v>0</v>
      </c>
    </row>
    <row r="69" spans="2:30" x14ac:dyDescent="0.25">
      <c r="D69" s="528"/>
      <c r="E69" s="522"/>
      <c r="F69" s="968" t="str">
        <f t="shared" si="3"/>
        <v>2018-2019</v>
      </c>
      <c r="G69" s="481"/>
      <c r="H69" s="484"/>
      <c r="I69" s="521"/>
      <c r="J69" s="484"/>
      <c r="K69" s="481"/>
      <c r="L69" s="523"/>
      <c r="M69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69" s="881"/>
      <c r="O69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69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69" s="913"/>
      <c r="R69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69" s="915">
        <f>IFERROR(INDEX(Cuentas_FIDI[],MATCH(Finanzas[[#This Row],[Cuenta Contable]],Cuentas_FIDI[Cuenta Contable],0),2),0)</f>
        <v>0</v>
      </c>
      <c r="T69" s="887">
        <f>IFERROR(INDEX(Tabla9[],MATCH(Finanzas[[#This Row],[Movimiento]],Tabla9[Movimientos],0),2),0)</f>
        <v>0</v>
      </c>
      <c r="U69" s="918">
        <f>IFERROR(INDEX(Cuentas_FIDI[],MATCH(Finanzas[[#This Row],[Cuenta Contable]],Cuentas_FIDI[Cuenta Contable],0),3),0)</f>
        <v>0</v>
      </c>
      <c r="V69" s="891">
        <f>IFERROR(INDEX(Tabla9[],MATCH(Finanzas[[#This Row],[Movimiento]],Tabla9[Movimientos],0),3),0)</f>
        <v>0</v>
      </c>
      <c r="W69" s="884">
        <f>IF(Finanzas[[#This Row],[Fecha Económico]]=0,0,MONTH(Finanzas[[#This Row],[Fecha Económico]]))</f>
        <v>0</v>
      </c>
      <c r="X69" s="890">
        <f>IF(Finanzas[[#This Row],[Fecha Económico]]=0,0,YEAR(Finanzas[[#This Row],[Fecha Económico]]))</f>
        <v>0</v>
      </c>
      <c r="Y69" s="891">
        <f>SUMPRODUCT((Finanzas[[#This Row],[Mes Económico]]=Tipo_Cambio[Mes])*(Finanzas[[#This Row],[Año Económico]]=Tipo_Cambio[Año])*(Tipo_Cambio[$/U$S]))</f>
        <v>0</v>
      </c>
      <c r="Z69" s="891">
        <f>SUMPRODUCT((Finanzas[[#This Row],[Mes Económico]]=Tipo_Cambio[Mes])*(Finanzas[[#This Row],[Año Económico]]=Tipo_Cambio[Año])*(Tipo_Cambio[Actualización]))</f>
        <v>0</v>
      </c>
      <c r="AA69" s="890">
        <f>IF(ISNUMBER(Finanzas[[#This Row],[Fecha Financiero]])=TRUE,MONTH(Finanzas[[#This Row],[Fecha Financiero]]),0)</f>
        <v>0</v>
      </c>
      <c r="AB69" s="890">
        <f>IF(ISNUMBER(Finanzas[[#This Row],[Fecha Financiero]])=TRUE,YEAR(Finanzas[[#This Row],[Fecha Financiero]]),0)</f>
        <v>0</v>
      </c>
      <c r="AC69" s="891">
        <f>SUMPRODUCT((Finanzas[[#This Row],[Mes Financiero]]=Tipo_Cambio[Mes])*(Finanzas[[#This Row],[Año Financiero]]=Tipo_Cambio[Año])*(Tipo_Cambio[$/U$S]))</f>
        <v>0</v>
      </c>
      <c r="AD69" s="888">
        <f>SUMPRODUCT((Finanzas[[#This Row],[Mes Financiero]]=Tipo_Cambio[Mes])*(Finanzas[[#This Row],[Año Financiero]]=Tipo_Cambio[Año])*(Tipo_Cambio[Actualización]))</f>
        <v>0</v>
      </c>
    </row>
    <row r="70" spans="2:30" x14ac:dyDescent="0.25">
      <c r="D70" s="528"/>
      <c r="E70" s="522"/>
      <c r="F70" s="968" t="str">
        <f t="shared" si="3"/>
        <v>2018-2019</v>
      </c>
      <c r="G70" s="481"/>
      <c r="H70" s="484"/>
      <c r="I70" s="521"/>
      <c r="J70" s="484"/>
      <c r="K70" s="481"/>
      <c r="L70" s="523"/>
      <c r="M70" s="1078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70" s="881"/>
      <c r="O70" s="914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70" s="883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70" s="913"/>
      <c r="R70" s="914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70" s="915">
        <f>IFERROR(INDEX(Cuentas_FIDI[],MATCH(Finanzas[[#This Row],[Cuenta Contable]],Cuentas_FIDI[Cuenta Contable],0),2),0)</f>
        <v>0</v>
      </c>
      <c r="T70" s="887">
        <f>IFERROR(INDEX(Tabla9[],MATCH(Finanzas[[#This Row],[Movimiento]],Tabla9[Movimientos],0),2),0)</f>
        <v>0</v>
      </c>
      <c r="U70" s="918">
        <f>IFERROR(INDEX(Cuentas_FIDI[],MATCH(Finanzas[[#This Row],[Cuenta Contable]],Cuentas_FIDI[Cuenta Contable],0),3),0)</f>
        <v>0</v>
      </c>
      <c r="V70" s="891">
        <f>IFERROR(INDEX(Tabla9[],MATCH(Finanzas[[#This Row],[Movimiento]],Tabla9[Movimientos],0),3),0)</f>
        <v>0</v>
      </c>
      <c r="W70" s="884">
        <f>IF(Finanzas[[#This Row],[Fecha Económico]]=0,0,MONTH(Finanzas[[#This Row],[Fecha Económico]]))</f>
        <v>0</v>
      </c>
      <c r="X70" s="890">
        <f>IF(Finanzas[[#This Row],[Fecha Económico]]=0,0,YEAR(Finanzas[[#This Row],[Fecha Económico]]))</f>
        <v>0</v>
      </c>
      <c r="Y70" s="891">
        <f>SUMPRODUCT((Finanzas[[#This Row],[Mes Económico]]=Tipo_Cambio[Mes])*(Finanzas[[#This Row],[Año Económico]]=Tipo_Cambio[Año])*(Tipo_Cambio[$/U$S]))</f>
        <v>0</v>
      </c>
      <c r="Z70" s="891">
        <f>SUMPRODUCT((Finanzas[[#This Row],[Mes Económico]]=Tipo_Cambio[Mes])*(Finanzas[[#This Row],[Año Económico]]=Tipo_Cambio[Año])*(Tipo_Cambio[Actualización]))</f>
        <v>0</v>
      </c>
      <c r="AA70" s="890">
        <f>IF(ISNUMBER(Finanzas[[#This Row],[Fecha Financiero]])=TRUE,MONTH(Finanzas[[#This Row],[Fecha Financiero]]),0)</f>
        <v>0</v>
      </c>
      <c r="AB70" s="890">
        <f>IF(ISNUMBER(Finanzas[[#This Row],[Fecha Financiero]])=TRUE,YEAR(Finanzas[[#This Row],[Fecha Financiero]]),0)</f>
        <v>0</v>
      </c>
      <c r="AC70" s="891">
        <f>SUMPRODUCT((Finanzas[[#This Row],[Mes Financiero]]=Tipo_Cambio[Mes])*(Finanzas[[#This Row],[Año Financiero]]=Tipo_Cambio[Año])*(Tipo_Cambio[$/U$S]))</f>
        <v>0</v>
      </c>
      <c r="AD70" s="888">
        <f>SUMPRODUCT((Finanzas[[#This Row],[Mes Financiero]]=Tipo_Cambio[Mes])*(Finanzas[[#This Row],[Año Financiero]]=Tipo_Cambio[Año])*(Tipo_Cambio[Actualización]))</f>
        <v>0</v>
      </c>
    </row>
    <row r="71" spans="2:30" ht="15.75" thickBot="1" x14ac:dyDescent="0.3">
      <c r="B71" s="86" t="s">
        <v>101</v>
      </c>
      <c r="D71" s="502"/>
      <c r="E71" s="524"/>
      <c r="F71" s="1081" t="str">
        <f t="shared" si="3"/>
        <v>2018-2019</v>
      </c>
      <c r="G71" s="525"/>
      <c r="H71" s="506"/>
      <c r="I71" s="526"/>
      <c r="J71" s="506"/>
      <c r="K71" s="525"/>
      <c r="L71" s="525"/>
      <c r="M71" s="1079">
        <f>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Económico]]),0)</f>
        <v>0</v>
      </c>
      <c r="N71" s="1064"/>
      <c r="O71" s="1066">
        <f>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Económico]]),0)</f>
        <v>0</v>
      </c>
      <c r="P71" s="1064">
        <f>IF(Finanzas[[#This Row],[Fin.]]="No",0,1)*IF(Finanzas[[#This Row],[Signo]]="(+)",1,-1)*IFERROR(IF(Finanzas[[#This Row],[Moneda]]="$",Finanzas[[#This Row],[Cantidad Total]]*Finanzas[[#This Row],[Precio Unitario]],Finanzas[[#This Row],[Cantidad Total]]*Finanzas[[#This Row],[Precio Unitario]]*Finanzas[[#This Row],[T. Cambio Financiero]]),0)</f>
        <v>0</v>
      </c>
      <c r="Q71" s="1064"/>
      <c r="R71" s="1066">
        <f>IF(Finanzas[[#This Row],[Fin.]]="No",0,1)*IF(Finanzas[[#This Row],[Signo]]="(+)",1,-1)*IFERROR(IF(Finanzas[[#This Row],[Moneda]]="U$S",Finanzas[[#This Row],[Cantidad Total]]*Finanzas[[#This Row],[Precio Unitario]],Finanzas[[#This Row],[Cantidad Total]]*Finanzas[[#This Row],[Precio Unitario]]/Finanzas[[#This Row],[T. Cambio Financiero]]),0)</f>
        <v>0</v>
      </c>
      <c r="S71" s="1069">
        <f>IFERROR(INDEX(Cuentas_FIDI[],MATCH(Finanzas[[#This Row],[Cuenta Contable]],Cuentas_FIDI[Cuenta Contable],0),2),0)</f>
        <v>0</v>
      </c>
      <c r="T71" s="1070">
        <f>IFERROR(INDEX(Tabla9[],MATCH(Finanzas[[#This Row],[Movimiento]],Tabla9[Movimientos],0),2),0)</f>
        <v>0</v>
      </c>
      <c r="U71" s="1071">
        <f>IFERROR(INDEX(Cuentas_FIDI[],MATCH(Finanzas[[#This Row],[Cuenta Contable]],Cuentas_FIDI[Cuenta Contable],0),3),0)</f>
        <v>0</v>
      </c>
      <c r="V71" s="1072">
        <f>IFERROR(INDEX(Tabla9[],MATCH(Finanzas[[#This Row],[Movimiento]],Tabla9[Movimientos],0),3),0)</f>
        <v>0</v>
      </c>
      <c r="W71" s="1067">
        <f>IF(Finanzas[[#This Row],[Fecha Económico]]=0,0,MONTH(Finanzas[[#This Row],[Fecha Económico]]))</f>
        <v>0</v>
      </c>
      <c r="X71" s="1068">
        <f>IF(Finanzas[[#This Row],[Fecha Económico]]=0,0,YEAR(Finanzas[[#This Row],[Fecha Económico]]))</f>
        <v>0</v>
      </c>
      <c r="Y71" s="1072">
        <f>SUMPRODUCT((Finanzas[[#This Row],[Mes Económico]]=Tipo_Cambio[Mes])*(Finanzas[[#This Row],[Año Económico]]=Tipo_Cambio[Año])*(Tipo_Cambio[$/U$S]))</f>
        <v>0</v>
      </c>
      <c r="Z71" s="1072">
        <f>SUMPRODUCT((Finanzas[[#This Row],[Mes Económico]]=Tipo_Cambio[Mes])*(Finanzas[[#This Row],[Año Económico]]=Tipo_Cambio[Año])*(Tipo_Cambio[Actualización]))</f>
        <v>0</v>
      </c>
      <c r="AA71" s="1068">
        <f>IF(ISNUMBER(Finanzas[[#This Row],[Fecha Financiero]])=TRUE,MONTH(Finanzas[[#This Row],[Fecha Financiero]]),0)</f>
        <v>0</v>
      </c>
      <c r="AB71" s="1068">
        <f>IF(ISNUMBER(Finanzas[[#This Row],[Fecha Financiero]])=TRUE,YEAR(Finanzas[[#This Row],[Fecha Financiero]]),0)</f>
        <v>0</v>
      </c>
      <c r="AC71" s="1072">
        <f>SUMPRODUCT((Finanzas[[#This Row],[Mes Financiero]]=Tipo_Cambio[Mes])*(Finanzas[[#This Row],[Año Financiero]]=Tipo_Cambio[Año])*(Tipo_Cambio[$/U$S]))</f>
        <v>0</v>
      </c>
      <c r="AD71" s="1073">
        <f>SUMPRODUCT((Finanzas[[#This Row],[Mes Financiero]]=Tipo_Cambio[Mes])*(Finanzas[[#This Row],[Año Financiero]]=Tipo_Cambio[Año])*(Tipo_Cambio[Actualización]))</f>
        <v>0</v>
      </c>
    </row>
    <row r="72" spans="2:30" ht="15.75" thickTop="1" x14ac:dyDescent="0.25">
      <c r="D72" s="529"/>
      <c r="E72" s="530"/>
      <c r="F72" s="968" t="str">
        <f t="shared" ref="F72:F77" si="4">Campaña_Actual</f>
        <v>2018-2019</v>
      </c>
      <c r="G72" s="481" t="s">
        <v>228</v>
      </c>
      <c r="H72" s="484" t="s">
        <v>250</v>
      </c>
      <c r="I72" s="529"/>
      <c r="J72" s="529"/>
      <c r="K72" s="531"/>
      <c r="L72" s="529"/>
      <c r="M72" s="1078">
        <f>SUMPRODUCT((Finanzas[[#This Row],[Campaña]]=Producción_Agricola[Campaña])*(Producción_Agricola[Intereses $Corrientes]))</f>
        <v>0</v>
      </c>
      <c r="N72" s="881">
        <f>SUMPRODUCT((Finanzas[[#This Row],[Campaña]]=Producción_Agricola[Campaña])*(Producción_Agricola[Intereses $Constantes]))</f>
        <v>0</v>
      </c>
      <c r="O72" s="914">
        <f>SUMPRODUCT((Finanzas[[#This Row],[Campaña]]=Producción_Agricola[Campaña])*(Producción_Agricola[Intereses U$S Dólares]))</f>
        <v>0</v>
      </c>
      <c r="P72" s="1080"/>
      <c r="Q72" s="1080"/>
      <c r="R72" s="1080"/>
      <c r="S72" s="915">
        <f>IFERROR(INDEX(Cuentas_FIDI[],MATCH(Finanzas[[#This Row],[Cuenta Contable]],Cuentas_FIDI[Cuenta Contable],0),2),0)</f>
        <v>0</v>
      </c>
      <c r="T72" s="887">
        <f>IFERROR(INDEX(Tabla9[],MATCH(Finanzas[[#This Row],[Movimiento]],Tabla9[Movimientos],0),2),0)</f>
        <v>0</v>
      </c>
      <c r="U72" s="918">
        <f>IFERROR(INDEX(Cuentas_FIDI[],MATCH(Finanzas[[#This Row],[Cuenta Contable]],Cuentas_FIDI[Cuenta Contable],0),3),0)</f>
        <v>0</v>
      </c>
      <c r="V72" s="891">
        <f>IFERROR(INDEX(Tabla9[],MATCH(Finanzas[[#This Row],[Movimiento]],Tabla9[Movimientos],0),3),0)</f>
        <v>0</v>
      </c>
      <c r="W72" s="884">
        <f>IF(Finanzas[[#This Row],[Fecha Económico]]=0,0,MONTH(Finanzas[[#This Row],[Fecha Económico]]))</f>
        <v>0</v>
      </c>
      <c r="X72" s="890">
        <f>IF(Finanzas[[#This Row],[Fecha Económico]]=0,0,YEAR(Finanzas[[#This Row],[Fecha Económico]]))</f>
        <v>0</v>
      </c>
      <c r="Y72" s="891">
        <f>SUMPRODUCT((Finanzas[[#This Row],[Mes Económico]]=Tipo_Cambio[Mes])*(Finanzas[[#This Row],[Año Económico]]=Tipo_Cambio[Año])*(Tipo_Cambio[$/U$S]))</f>
        <v>0</v>
      </c>
      <c r="Z72" s="891">
        <f>SUMPRODUCT((Finanzas[[#This Row],[Mes Económico]]=Tipo_Cambio[Mes])*(Finanzas[[#This Row],[Año Económico]]=Tipo_Cambio[Año])*(Tipo_Cambio[Actualización]))</f>
        <v>0</v>
      </c>
      <c r="AA72" s="890">
        <f>IF(ISNUMBER(Finanzas[[#This Row],[Fecha Financiero]])=TRUE,MONTH(Finanzas[[#This Row],[Fecha Financiero]]),0)</f>
        <v>0</v>
      </c>
      <c r="AB72" s="890">
        <f>IF(ISNUMBER(Finanzas[[#This Row],[Fecha Financiero]])=TRUE,YEAR(Finanzas[[#This Row],[Fecha Financiero]]),0)</f>
        <v>0</v>
      </c>
      <c r="AC72" s="891">
        <f>SUMPRODUCT((Finanzas[[#This Row],[Mes Financiero]]=Tipo_Cambio[Mes])*(Finanzas[[#This Row],[Año Financiero]]=Tipo_Cambio[Año])*(Tipo_Cambio[$/U$S]))</f>
        <v>0</v>
      </c>
      <c r="AD72" s="888">
        <f>SUMPRODUCT((Finanzas[[#This Row],[Mes Financiero]]=Tipo_Cambio[Mes])*(Finanzas[[#This Row],[Año Financiero]]=Tipo_Cambio[Año])*(Tipo_Cambio[Actualización]))</f>
        <v>0</v>
      </c>
    </row>
    <row r="73" spans="2:30" x14ac:dyDescent="0.25">
      <c r="D73" s="529"/>
      <c r="E73" s="530"/>
      <c r="F73" s="968" t="str">
        <f t="shared" si="4"/>
        <v>2018-2019</v>
      </c>
      <c r="G73" s="481" t="s">
        <v>228</v>
      </c>
      <c r="H73" s="484" t="s">
        <v>293</v>
      </c>
      <c r="I73" s="529"/>
      <c r="J73" s="529"/>
      <c r="K73" s="532"/>
      <c r="L73" s="529"/>
      <c r="M73" s="1078"/>
      <c r="N73" s="881"/>
      <c r="O73" s="914"/>
      <c r="P73" s="1080"/>
      <c r="Q73" s="1080"/>
      <c r="R73" s="1080"/>
      <c r="S73" s="915">
        <f>IFERROR(INDEX(Cuentas_FIDI[],MATCH(Finanzas[[#This Row],[Cuenta Contable]],Cuentas_FIDI[Cuenta Contable],0),2),0)</f>
        <v>0</v>
      </c>
      <c r="T73" s="887">
        <f>IFERROR(INDEX(Tabla9[],MATCH(Finanzas[[#This Row],[Movimiento]],Tabla9[Movimientos],0),2),0)</f>
        <v>0</v>
      </c>
      <c r="U73" s="918">
        <f>IFERROR(INDEX(Cuentas_FIDI[],MATCH(Finanzas[[#This Row],[Cuenta Contable]],Cuentas_FIDI[Cuenta Contable],0),3),0)</f>
        <v>0</v>
      </c>
      <c r="V73" s="891">
        <f>IFERROR(INDEX(Tabla9[],MATCH(Finanzas[[#This Row],[Movimiento]],Tabla9[Movimientos],0),3),0)</f>
        <v>0</v>
      </c>
      <c r="W73" s="884">
        <f>IF(Finanzas[[#This Row],[Fecha Económico]]=0,0,MONTH(Finanzas[[#This Row],[Fecha Económico]]))</f>
        <v>0</v>
      </c>
      <c r="X73" s="890">
        <f>IF(Finanzas[[#This Row],[Fecha Económico]]=0,0,YEAR(Finanzas[[#This Row],[Fecha Económico]]))</f>
        <v>0</v>
      </c>
      <c r="Y73" s="891">
        <f>SUMPRODUCT((Finanzas[[#This Row],[Mes Económico]]=Tipo_Cambio[Mes])*(Finanzas[[#This Row],[Año Económico]]=Tipo_Cambio[Año])*(Tipo_Cambio[$/U$S]))</f>
        <v>0</v>
      </c>
      <c r="Z73" s="891">
        <f>SUMPRODUCT((Finanzas[[#This Row],[Mes Económico]]=Tipo_Cambio[Mes])*(Finanzas[[#This Row],[Año Económico]]=Tipo_Cambio[Año])*(Tipo_Cambio[Actualización]))</f>
        <v>0</v>
      </c>
      <c r="AA73" s="890">
        <f>IF(ISNUMBER(Finanzas[[#This Row],[Fecha Financiero]])=TRUE,MONTH(Finanzas[[#This Row],[Fecha Financiero]]),0)</f>
        <v>0</v>
      </c>
      <c r="AB73" s="890">
        <f>IF(ISNUMBER(Finanzas[[#This Row],[Fecha Financiero]])=TRUE,YEAR(Finanzas[[#This Row],[Fecha Financiero]]),0)</f>
        <v>0</v>
      </c>
      <c r="AC73" s="891">
        <f>SUMPRODUCT((Finanzas[[#This Row],[Mes Financiero]]=Tipo_Cambio[Mes])*(Finanzas[[#This Row],[Año Financiero]]=Tipo_Cambio[Año])*(Tipo_Cambio[$/U$S]))</f>
        <v>0</v>
      </c>
      <c r="AD73" s="888">
        <f>SUMPRODUCT((Finanzas[[#This Row],[Mes Financiero]]=Tipo_Cambio[Mes])*(Finanzas[[#This Row],[Año Financiero]]=Tipo_Cambio[Año])*(Tipo_Cambio[Actualización]))</f>
        <v>0</v>
      </c>
    </row>
    <row r="74" spans="2:30" x14ac:dyDescent="0.25">
      <c r="D74" s="529"/>
      <c r="E74" s="530"/>
      <c r="F74" s="968" t="str">
        <f t="shared" si="4"/>
        <v>2018-2019</v>
      </c>
      <c r="G74" s="481" t="s">
        <v>228</v>
      </c>
      <c r="H74" s="481" t="s">
        <v>165</v>
      </c>
      <c r="I74" s="529"/>
      <c r="J74" s="529"/>
      <c r="K74" s="532"/>
      <c r="L74" s="529"/>
      <c r="M74" s="1078">
        <f>SUMPRODUCT((Finanzas[[#This Row],[Campaña]]=Producción_Ganadera[Campaña])*(Producción_Ganadera[Intereses $Corrientes]))</f>
        <v>0</v>
      </c>
      <c r="N74" s="881">
        <f>SUMPRODUCT((Finanzas[[#This Row],[Campaña]]=Producción_Ganadera[Campaña])*(Producción_Ganadera[Intereses $Constantes]))</f>
        <v>0</v>
      </c>
      <c r="O74" s="914">
        <f>SUMPRODUCT((Finanzas[[#This Row],[Campaña]]=Producción_Ganadera[Campaña])*(Producción_Ganadera[Intereses U$S Dólares]))</f>
        <v>0</v>
      </c>
      <c r="P74" s="1080"/>
      <c r="Q74" s="1080"/>
      <c r="R74" s="1080"/>
      <c r="S74" s="915">
        <f>IFERROR(INDEX(Cuentas_FIDI[],MATCH(Finanzas[[#This Row],[Cuenta Contable]],Cuentas_FIDI[Cuenta Contable],0),2),0)</f>
        <v>0</v>
      </c>
      <c r="T74" s="887">
        <f>IFERROR(INDEX(Tabla9[],MATCH(Finanzas[[#This Row],[Movimiento]],Tabla9[Movimientos],0),2),0)</f>
        <v>0</v>
      </c>
      <c r="U74" s="889">
        <f>IFERROR(INDEX(Cuentas_FIDI[],MATCH(Finanzas[[#This Row],[Cuenta Contable]],Cuentas_FIDI[Cuenta Contable],0),3),0)</f>
        <v>0</v>
      </c>
      <c r="V74" s="891">
        <f>IFERROR(INDEX(Tabla9[],MATCH(Finanzas[[#This Row],[Movimiento]],Tabla9[Movimientos],0),3),0)</f>
        <v>0</v>
      </c>
      <c r="W74" s="884">
        <f>IF(Finanzas[[#This Row],[Fecha Económico]]=0,0,MONTH(Finanzas[[#This Row],[Fecha Económico]]))</f>
        <v>0</v>
      </c>
      <c r="X74" s="890">
        <f>IF(Finanzas[[#This Row],[Fecha Económico]]=0,0,YEAR(Finanzas[[#This Row],[Fecha Económico]]))</f>
        <v>0</v>
      </c>
      <c r="Y74" s="891">
        <f>SUMPRODUCT((Finanzas[[#This Row],[Mes Económico]]=Tipo_Cambio[Mes])*(Finanzas[[#This Row],[Año Económico]]=Tipo_Cambio[Año])*(Tipo_Cambio[$/U$S]))</f>
        <v>0</v>
      </c>
      <c r="Z74" s="891">
        <f>SUMPRODUCT((Finanzas[[#This Row],[Mes Económico]]=Tipo_Cambio[Mes])*(Finanzas[[#This Row],[Año Económico]]=Tipo_Cambio[Año])*(Tipo_Cambio[Actualización]))</f>
        <v>0</v>
      </c>
      <c r="AA74" s="890">
        <f>IF(ISNUMBER(Finanzas[[#This Row],[Fecha Financiero]])=TRUE,MONTH(Finanzas[[#This Row],[Fecha Financiero]]),0)</f>
        <v>0</v>
      </c>
      <c r="AB74" s="890">
        <f>IF(ISNUMBER(Finanzas[[#This Row],[Fecha Financiero]])=TRUE,YEAR(Finanzas[[#This Row],[Fecha Financiero]]),0)</f>
        <v>0</v>
      </c>
      <c r="AC74" s="891">
        <f>SUMPRODUCT((Finanzas[[#This Row],[Mes Financiero]]=Tipo_Cambio[Mes])*(Finanzas[[#This Row],[Año Financiero]]=Tipo_Cambio[Año])*(Tipo_Cambio[$/U$S]))</f>
        <v>0</v>
      </c>
      <c r="AD74" s="891">
        <f>SUMPRODUCT((Finanzas[[#This Row],[Mes Financiero]]=Tipo_Cambio[Mes])*(Finanzas[[#This Row],[Año Financiero]]=Tipo_Cambio[Año])*(Tipo_Cambio[Actualización]))</f>
        <v>0</v>
      </c>
    </row>
    <row r="75" spans="2:30" x14ac:dyDescent="0.25">
      <c r="D75" s="529"/>
      <c r="E75" s="530"/>
      <c r="F75" s="968" t="str">
        <f t="shared" si="4"/>
        <v>2018-2019</v>
      </c>
      <c r="G75" s="481" t="s">
        <v>228</v>
      </c>
      <c r="H75" s="484" t="s">
        <v>164</v>
      </c>
      <c r="I75" s="529"/>
      <c r="J75" s="529"/>
      <c r="K75" s="532"/>
      <c r="L75" s="529"/>
      <c r="M75" s="1078">
        <f>SUMPRODUCT((Finanzas[[#This Row],[Campaña]]=Producción_Lecheria[Campaña])*(Producción_Lecheria[Intereses $Corrientes]))</f>
        <v>0</v>
      </c>
      <c r="N75" s="881">
        <f>SUMPRODUCT((Finanzas[[#This Row],[Campaña]]=Producción_Lecheria[Campaña])*(Producción_Lecheria[Intereses $Constantes]))</f>
        <v>0</v>
      </c>
      <c r="O75" s="914">
        <f>SUMPRODUCT((Finanzas[[#This Row],[Campaña]]=Producción_Lecheria[Campaña])*(Producción_Lecheria[Intereses U$S Dólares]))</f>
        <v>0</v>
      </c>
      <c r="P75" s="1080"/>
      <c r="Q75" s="1080"/>
      <c r="R75" s="1080"/>
      <c r="S75" s="915">
        <f>IFERROR(INDEX(Cuentas_FIDI[],MATCH(Finanzas[[#This Row],[Cuenta Contable]],Cuentas_FIDI[Cuenta Contable],0),2),0)</f>
        <v>0</v>
      </c>
      <c r="T75" s="887">
        <f>IFERROR(INDEX(Tabla9[],MATCH(Finanzas[[#This Row],[Movimiento]],Tabla9[Movimientos],0),2),0)</f>
        <v>0</v>
      </c>
      <c r="U75" s="918">
        <f>IFERROR(INDEX(Cuentas_FIDI[],MATCH(Finanzas[[#This Row],[Cuenta Contable]],Cuentas_FIDI[Cuenta Contable],0),3),0)</f>
        <v>0</v>
      </c>
      <c r="V75" s="891">
        <f>IFERROR(INDEX(Tabla9[],MATCH(Finanzas[[#This Row],[Movimiento]],Tabla9[Movimientos],0),3),0)</f>
        <v>0</v>
      </c>
      <c r="W75" s="884">
        <f>IF(Finanzas[[#This Row],[Fecha Económico]]=0,0,MONTH(Finanzas[[#This Row],[Fecha Económico]]))</f>
        <v>0</v>
      </c>
      <c r="X75" s="890">
        <f>IF(Finanzas[[#This Row],[Fecha Económico]]=0,0,YEAR(Finanzas[[#This Row],[Fecha Económico]]))</f>
        <v>0</v>
      </c>
      <c r="Y75" s="891">
        <f>SUMPRODUCT((Finanzas[[#This Row],[Mes Económico]]=Tipo_Cambio[Mes])*(Finanzas[[#This Row],[Año Económico]]=Tipo_Cambio[Año])*(Tipo_Cambio[$/U$S]))</f>
        <v>0</v>
      </c>
      <c r="Z75" s="891">
        <f>SUMPRODUCT((Finanzas[[#This Row],[Mes Económico]]=Tipo_Cambio[Mes])*(Finanzas[[#This Row],[Año Económico]]=Tipo_Cambio[Año])*(Tipo_Cambio[Actualización]))</f>
        <v>0</v>
      </c>
      <c r="AA75" s="890">
        <f>IF(ISNUMBER(Finanzas[[#This Row],[Fecha Financiero]])=TRUE,MONTH(Finanzas[[#This Row],[Fecha Financiero]]),0)</f>
        <v>0</v>
      </c>
      <c r="AB75" s="890">
        <f>IF(ISNUMBER(Finanzas[[#This Row],[Fecha Financiero]])=TRUE,YEAR(Finanzas[[#This Row],[Fecha Financiero]]),0)</f>
        <v>0</v>
      </c>
      <c r="AC75" s="891">
        <f>SUMPRODUCT((Finanzas[[#This Row],[Mes Financiero]]=Tipo_Cambio[Mes])*(Finanzas[[#This Row],[Año Financiero]]=Tipo_Cambio[Año])*(Tipo_Cambio[$/U$S]))</f>
        <v>0</v>
      </c>
      <c r="AD75" s="888">
        <f>SUMPRODUCT((Finanzas[[#This Row],[Mes Financiero]]=Tipo_Cambio[Mes])*(Finanzas[[#This Row],[Año Financiero]]=Tipo_Cambio[Año])*(Tipo_Cambio[Actualización]))</f>
        <v>0</v>
      </c>
    </row>
    <row r="76" spans="2:30" x14ac:dyDescent="0.25">
      <c r="D76" s="529"/>
      <c r="E76" s="530"/>
      <c r="F76" s="968" t="str">
        <f t="shared" si="4"/>
        <v>2018-2019</v>
      </c>
      <c r="G76" s="481" t="s">
        <v>228</v>
      </c>
      <c r="H76" s="484" t="s">
        <v>199</v>
      </c>
      <c r="I76" s="529"/>
      <c r="J76" s="529"/>
      <c r="K76" s="532"/>
      <c r="L76" s="529"/>
      <c r="M76" s="1078">
        <f>SUMPRODUCT((Finanzas[[#This Row],[Campaña]]=Otras_Actividades_Base[Campaña])*(Otras_Actividades_Base[Intereses $Corrientes]))</f>
        <v>0</v>
      </c>
      <c r="N76" s="881">
        <f>SUMPRODUCT((Finanzas[[#This Row],[Campaña]]=Otras_Actividades_Base[Campaña])*(Otras_Actividades_Base[Intereses $Constantes]))</f>
        <v>0</v>
      </c>
      <c r="O76" s="914">
        <f>SUMPRODUCT((Finanzas[[#This Row],[Campaña]]=Otras_Actividades_Base[Campaña])*(Otras_Actividades_Base[Intereses U$S Dólares]))</f>
        <v>0</v>
      </c>
      <c r="P76" s="1080"/>
      <c r="Q76" s="1080"/>
      <c r="R76" s="1080"/>
      <c r="S76" s="915">
        <f>IFERROR(INDEX(Cuentas_FIDI[],MATCH(Finanzas[[#This Row],[Cuenta Contable]],Cuentas_FIDI[Cuenta Contable],0),2),0)</f>
        <v>0</v>
      </c>
      <c r="T76" s="887">
        <f>IFERROR(INDEX(Tabla9[],MATCH(Finanzas[[#This Row],[Movimiento]],Tabla9[Movimientos],0),2),0)</f>
        <v>0</v>
      </c>
      <c r="U76" s="918">
        <f>IFERROR(INDEX(Cuentas_FIDI[],MATCH(Finanzas[[#This Row],[Cuenta Contable]],Cuentas_FIDI[Cuenta Contable],0),3),0)</f>
        <v>0</v>
      </c>
      <c r="V76" s="891">
        <f>IFERROR(INDEX(Tabla9[],MATCH(Finanzas[[#This Row],[Movimiento]],Tabla9[Movimientos],0),3),0)</f>
        <v>0</v>
      </c>
      <c r="W76" s="884">
        <f>IF(Finanzas[[#This Row],[Fecha Económico]]=0,0,MONTH(Finanzas[[#This Row],[Fecha Económico]]))</f>
        <v>0</v>
      </c>
      <c r="X76" s="890">
        <f>IF(Finanzas[[#This Row],[Fecha Económico]]=0,0,YEAR(Finanzas[[#This Row],[Fecha Económico]]))</f>
        <v>0</v>
      </c>
      <c r="Y76" s="891">
        <f>SUMPRODUCT((Finanzas[[#This Row],[Mes Económico]]=Tipo_Cambio[Mes])*(Finanzas[[#This Row],[Año Económico]]=Tipo_Cambio[Año])*(Tipo_Cambio[$/U$S]))</f>
        <v>0</v>
      </c>
      <c r="Z76" s="891">
        <f>SUMPRODUCT((Finanzas[[#This Row],[Mes Económico]]=Tipo_Cambio[Mes])*(Finanzas[[#This Row],[Año Económico]]=Tipo_Cambio[Año])*(Tipo_Cambio[Actualización]))</f>
        <v>0</v>
      </c>
      <c r="AA76" s="890">
        <f>IF(ISNUMBER(Finanzas[[#This Row],[Fecha Financiero]])=TRUE,MONTH(Finanzas[[#This Row],[Fecha Financiero]]),0)</f>
        <v>0</v>
      </c>
      <c r="AB76" s="890">
        <f>IF(ISNUMBER(Finanzas[[#This Row],[Fecha Financiero]])=TRUE,YEAR(Finanzas[[#This Row],[Fecha Financiero]]),0)</f>
        <v>0</v>
      </c>
      <c r="AC76" s="891">
        <f>SUMPRODUCT((Finanzas[[#This Row],[Mes Financiero]]=Tipo_Cambio[Mes])*(Finanzas[[#This Row],[Año Financiero]]=Tipo_Cambio[Año])*(Tipo_Cambio[$/U$S]))</f>
        <v>0</v>
      </c>
      <c r="AD76" s="888">
        <f>SUMPRODUCT((Finanzas[[#This Row],[Mes Financiero]]=Tipo_Cambio[Mes])*(Finanzas[[#This Row],[Año Financiero]]=Tipo_Cambio[Año])*(Tipo_Cambio[Actualización]))</f>
        <v>0</v>
      </c>
    </row>
    <row r="77" spans="2:30" x14ac:dyDescent="0.25">
      <c r="D77" s="529"/>
      <c r="E77" s="530"/>
      <c r="F77" s="968" t="str">
        <f t="shared" si="4"/>
        <v>2018-2019</v>
      </c>
      <c r="G77" s="481" t="s">
        <v>228</v>
      </c>
      <c r="H77" s="484" t="s">
        <v>105</v>
      </c>
      <c r="I77" s="529"/>
      <c r="J77" s="529"/>
      <c r="K77" s="532"/>
      <c r="L77" s="529"/>
      <c r="M77" s="1078">
        <f>SUMPRODUCT((Finanzas[[#This Row],[Campaña]]=Indirectos[Campaña])*(Indirectos[Intereses $Corrientes]))</f>
        <v>0</v>
      </c>
      <c r="N77" s="881">
        <f>SUMPRODUCT((Finanzas[[#This Row],[Campaña]]=Indirectos[Campaña])*(Indirectos[Intereses $Constantes]))</f>
        <v>0</v>
      </c>
      <c r="O77" s="914">
        <f>SUMPRODUCT((Finanzas[[#This Row],[Campaña]]=Indirectos[Campaña])*(Indirectos[Intereses U$S Dólares]))</f>
        <v>0</v>
      </c>
      <c r="P77" s="1080"/>
      <c r="Q77" s="1080"/>
      <c r="R77" s="1080"/>
      <c r="S77" s="915">
        <f>IFERROR(INDEX(Cuentas_FIDI[],MATCH(Finanzas[[#This Row],[Cuenta Contable]],Cuentas_FIDI[Cuenta Contable],0),2),0)</f>
        <v>0</v>
      </c>
      <c r="T77" s="887">
        <f>IFERROR(INDEX(Tabla9[],MATCH(Finanzas[[#This Row],[Movimiento]],Tabla9[Movimientos],0),2),0)</f>
        <v>0</v>
      </c>
      <c r="U77" s="918">
        <f>IFERROR(INDEX(Cuentas_FIDI[],MATCH(Finanzas[[#This Row],[Cuenta Contable]],Cuentas_FIDI[Cuenta Contable],0),3),0)</f>
        <v>0</v>
      </c>
      <c r="V77" s="891">
        <f>IFERROR(INDEX(Tabla9[],MATCH(Finanzas[[#This Row],[Movimiento]],Tabla9[Movimientos],0),3),0)</f>
        <v>0</v>
      </c>
      <c r="W77" s="884">
        <f>IF(Finanzas[[#This Row],[Fecha Económico]]=0,0,MONTH(Finanzas[[#This Row],[Fecha Económico]]))</f>
        <v>0</v>
      </c>
      <c r="X77" s="890">
        <f>IF(Finanzas[[#This Row],[Fecha Económico]]=0,0,YEAR(Finanzas[[#This Row],[Fecha Económico]]))</f>
        <v>0</v>
      </c>
      <c r="Y77" s="891">
        <f>SUMPRODUCT((Finanzas[[#This Row],[Mes Económico]]=Tipo_Cambio[Mes])*(Finanzas[[#This Row],[Año Económico]]=Tipo_Cambio[Año])*(Tipo_Cambio[$/U$S]))</f>
        <v>0</v>
      </c>
      <c r="Z77" s="891">
        <f>SUMPRODUCT((Finanzas[[#This Row],[Mes Económico]]=Tipo_Cambio[Mes])*(Finanzas[[#This Row],[Año Económico]]=Tipo_Cambio[Año])*(Tipo_Cambio[Actualización]))</f>
        <v>0</v>
      </c>
      <c r="AA77" s="890">
        <f>IF(ISNUMBER(Finanzas[[#This Row],[Fecha Financiero]])=TRUE,MONTH(Finanzas[[#This Row],[Fecha Financiero]]),0)</f>
        <v>0</v>
      </c>
      <c r="AB77" s="890">
        <f>IF(ISNUMBER(Finanzas[[#This Row],[Fecha Financiero]])=TRUE,YEAR(Finanzas[[#This Row],[Fecha Financiero]]),0)</f>
        <v>0</v>
      </c>
      <c r="AC77" s="891">
        <f>SUMPRODUCT((Finanzas[[#This Row],[Mes Financiero]]=Tipo_Cambio[Mes])*(Finanzas[[#This Row],[Año Financiero]]=Tipo_Cambio[Año])*(Tipo_Cambio[$/U$S]))</f>
        <v>0</v>
      </c>
      <c r="AD77" s="888">
        <f>SUMPRODUCT((Finanzas[[#This Row],[Mes Financiero]]=Tipo_Cambio[Mes])*(Finanzas[[#This Row],[Año Financiero]]=Tipo_Cambio[Año])*(Tipo_Cambio[Actualización]))</f>
        <v>0</v>
      </c>
    </row>
  </sheetData>
  <conditionalFormatting sqref="E5:E12 E51:E77 E29:E37">
    <cfRule type="expression" dxfId="39" priority="4">
      <formula>T5="No"</formula>
    </cfRule>
  </conditionalFormatting>
  <conditionalFormatting sqref="E13:E20">
    <cfRule type="expression" dxfId="38" priority="3">
      <formula>T13="No"</formula>
    </cfRule>
  </conditionalFormatting>
  <conditionalFormatting sqref="E21:E28">
    <cfRule type="expression" dxfId="37" priority="2">
      <formula>T21="No"</formula>
    </cfRule>
  </conditionalFormatting>
  <dataValidations count="3">
    <dataValidation type="list" allowBlank="1" showInputMessage="1" showErrorMessage="1" sqref="F5:F77">
      <formula1>INDIRECT("Campaña")</formula1>
    </dataValidation>
    <dataValidation type="list" allowBlank="1" showInputMessage="1" showErrorMessage="1" sqref="L5:L77">
      <formula1>"$,U$S"</formula1>
    </dataValidation>
    <dataValidation type="list" allowBlank="1" showInputMessage="1" showErrorMessage="1" sqref="G5:G77">
      <formula1>Cuenta_Contable_FIDI</formula1>
    </dataValidation>
  </dataValidations>
  <hyperlinks>
    <hyperlink ref="D2" location="'Asistente de Carga'!A1" display="Volver al Asistente de Carga"/>
    <hyperlink ref="E2" location="'Financiero U$S'!A1" display="Presupuesto Financiero"/>
  </hyperlinks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9"/>
  <sheetViews>
    <sheetView showGridLines="0" zoomScale="80" zoomScaleNormal="80" workbookViewId="0">
      <selection activeCell="I23" sqref="I23"/>
    </sheetView>
  </sheetViews>
  <sheetFormatPr baseColWidth="10" defaultRowHeight="15" x14ac:dyDescent="0.25"/>
  <cols>
    <col min="1" max="1" width="28.85546875" bestFit="1" customWidth="1"/>
    <col min="2" max="2" width="19.42578125" bestFit="1" customWidth="1"/>
    <col min="3" max="3" width="30.85546875" bestFit="1" customWidth="1"/>
    <col min="7" max="7" width="23.5703125" customWidth="1"/>
    <col min="8" max="11" width="14" customWidth="1"/>
    <col min="16" max="16" width="30.7109375" customWidth="1"/>
    <col min="17" max="17" width="23.140625" customWidth="1"/>
    <col min="18" max="18" width="15.140625" customWidth="1"/>
    <col min="19" max="19" width="11" customWidth="1"/>
    <col min="20" max="20" width="12.85546875" bestFit="1" customWidth="1"/>
  </cols>
  <sheetData>
    <row r="1" spans="1:20" x14ac:dyDescent="0.25">
      <c r="A1" s="44" t="s">
        <v>80</v>
      </c>
      <c r="B1" t="s">
        <v>35</v>
      </c>
      <c r="G1" s="44" t="s">
        <v>4</v>
      </c>
      <c r="H1" t="s">
        <v>10</v>
      </c>
      <c r="P1" s="44" t="s">
        <v>4</v>
      </c>
      <c r="Q1" t="s">
        <v>369</v>
      </c>
    </row>
    <row r="2" spans="1:20" x14ac:dyDescent="0.25">
      <c r="G2" s="44" t="s">
        <v>0</v>
      </c>
      <c r="H2" t="s">
        <v>2</v>
      </c>
      <c r="P2" s="44" t="s">
        <v>0</v>
      </c>
      <c r="Q2" t="s">
        <v>369</v>
      </c>
    </row>
    <row r="3" spans="1:20" s="62" customFormat="1" ht="29.25" customHeight="1" x14ac:dyDescent="0.25">
      <c r="A3" s="61" t="s">
        <v>31</v>
      </c>
      <c r="B3" s="62" t="s">
        <v>99</v>
      </c>
      <c r="C3" s="62" t="s">
        <v>94</v>
      </c>
      <c r="G3"/>
      <c r="H3"/>
      <c r="I3"/>
      <c r="P3"/>
      <c r="Q3"/>
      <c r="R3"/>
    </row>
    <row r="4" spans="1:20" x14ac:dyDescent="0.25">
      <c r="A4" s="45" t="s">
        <v>46</v>
      </c>
      <c r="B4" s="21">
        <v>200</v>
      </c>
      <c r="C4" s="11">
        <v>-28000</v>
      </c>
      <c r="G4" s="44" t="s">
        <v>31</v>
      </c>
      <c r="H4" t="s">
        <v>94</v>
      </c>
      <c r="I4" t="s">
        <v>166</v>
      </c>
      <c r="J4" t="s">
        <v>168</v>
      </c>
      <c r="K4" t="s">
        <v>167</v>
      </c>
      <c r="P4" s="44" t="s">
        <v>370</v>
      </c>
      <c r="Q4" s="44" t="s">
        <v>372</v>
      </c>
    </row>
    <row r="5" spans="1:20" x14ac:dyDescent="0.25">
      <c r="A5" s="45" t="s">
        <v>77</v>
      </c>
      <c r="B5" s="21">
        <v>800</v>
      </c>
      <c r="C5" s="11">
        <v>-112000</v>
      </c>
      <c r="G5" s="45" t="s">
        <v>161</v>
      </c>
      <c r="H5" s="11">
        <v>5813.9534883720926</v>
      </c>
      <c r="I5" s="11">
        <v>2.467722193706321</v>
      </c>
      <c r="J5" s="11">
        <v>125000</v>
      </c>
      <c r="K5" s="11">
        <v>53.056027164685908</v>
      </c>
      <c r="P5" s="44" t="s">
        <v>31</v>
      </c>
      <c r="Q5" t="s">
        <v>241</v>
      </c>
      <c r="R5" t="s">
        <v>245</v>
      </c>
      <c r="S5" t="s">
        <v>371</v>
      </c>
      <c r="T5" t="s">
        <v>32</v>
      </c>
    </row>
    <row r="6" spans="1:20" x14ac:dyDescent="0.25">
      <c r="A6" s="45" t="s">
        <v>7</v>
      </c>
      <c r="B6" s="21">
        <v>-100</v>
      </c>
      <c r="C6" s="11">
        <v>18000</v>
      </c>
      <c r="G6" s="45" t="s">
        <v>144</v>
      </c>
      <c r="H6" s="11">
        <v>118835.77235772359</v>
      </c>
      <c r="I6" s="11">
        <v>50.439631730782502</v>
      </c>
      <c r="J6" s="11">
        <v>2419200</v>
      </c>
      <c r="K6" s="11">
        <v>1026.8251273344652</v>
      </c>
      <c r="P6" s="45" t="s">
        <v>77</v>
      </c>
      <c r="Q6" s="11">
        <v>960</v>
      </c>
      <c r="R6" s="11">
        <v>736</v>
      </c>
      <c r="S6" s="11"/>
      <c r="T6" s="11">
        <v>1696</v>
      </c>
    </row>
    <row r="7" spans="1:20" x14ac:dyDescent="0.25">
      <c r="A7" s="45" t="s">
        <v>100</v>
      </c>
      <c r="B7" s="21">
        <v>-50</v>
      </c>
      <c r="C7" s="11">
        <v>5128.2051282051279</v>
      </c>
      <c r="G7" s="45" t="s">
        <v>107</v>
      </c>
      <c r="H7" s="11">
        <v>-465.11627906976742</v>
      </c>
      <c r="I7" s="11">
        <v>-0.19741777549650569</v>
      </c>
      <c r="J7" s="11">
        <v>-10000</v>
      </c>
      <c r="K7" s="11">
        <v>-4.2444821731748723</v>
      </c>
      <c r="P7" s="45" t="s">
        <v>43</v>
      </c>
      <c r="Q7" s="11">
        <v>-45</v>
      </c>
      <c r="R7" s="11">
        <v>-35</v>
      </c>
      <c r="S7" s="11"/>
      <c r="T7" s="11">
        <v>-80</v>
      </c>
    </row>
    <row r="8" spans="1:20" x14ac:dyDescent="0.25">
      <c r="A8" s="45" t="s">
        <v>74</v>
      </c>
      <c r="B8" s="21">
        <v>0</v>
      </c>
      <c r="C8" s="11">
        <v>-200</v>
      </c>
      <c r="G8" s="45" t="s">
        <v>108</v>
      </c>
      <c r="H8" s="11">
        <v>-279.06976744186045</v>
      </c>
      <c r="I8" s="11">
        <v>-0.11845066529790342</v>
      </c>
      <c r="J8" s="11">
        <v>-6000</v>
      </c>
      <c r="K8" s="11">
        <v>-2.5466893039049237</v>
      </c>
      <c r="P8" s="45" t="s">
        <v>25</v>
      </c>
      <c r="Q8" s="11">
        <v>-72.940351278697449</v>
      </c>
      <c r="R8" s="11">
        <v>-55.517315583782413</v>
      </c>
      <c r="S8" s="11"/>
      <c r="T8" s="11">
        <v>-128.45766686247987</v>
      </c>
    </row>
    <row r="9" spans="1:20" x14ac:dyDescent="0.25">
      <c r="A9" s="45" t="s">
        <v>73</v>
      </c>
      <c r="B9" s="21">
        <v>0</v>
      </c>
      <c r="C9" s="11">
        <v>-2307.6923076923076</v>
      </c>
      <c r="G9" s="45" t="s">
        <v>120</v>
      </c>
      <c r="H9" s="11">
        <v>-139.53488372093022</v>
      </c>
      <c r="I9" s="11">
        <v>-5.922533264895171E-2</v>
      </c>
      <c r="J9" s="11">
        <v>-3000</v>
      </c>
      <c r="K9" s="11">
        <v>-1.2733446519524618</v>
      </c>
      <c r="P9" s="45" t="s">
        <v>18</v>
      </c>
      <c r="Q9" s="11">
        <v>-198</v>
      </c>
      <c r="R9" s="11">
        <v>-48</v>
      </c>
      <c r="S9" s="11"/>
      <c r="T9" s="11">
        <v>-246</v>
      </c>
    </row>
    <row r="10" spans="1:20" x14ac:dyDescent="0.25">
      <c r="A10" s="45" t="s">
        <v>72</v>
      </c>
      <c r="B10" s="21">
        <v>0</v>
      </c>
      <c r="C10" s="11">
        <v>-1282.051282051282</v>
      </c>
      <c r="G10" s="45" t="s">
        <v>61</v>
      </c>
      <c r="H10" s="11">
        <v>406859.45945945953</v>
      </c>
      <c r="I10" s="11">
        <v>172.69077226632407</v>
      </c>
      <c r="J10" s="11">
        <v>7526900</v>
      </c>
      <c r="K10" s="11">
        <v>3194.7792869269952</v>
      </c>
      <c r="P10" s="45" t="s">
        <v>17</v>
      </c>
      <c r="Q10" s="11">
        <v>-66</v>
      </c>
      <c r="R10" s="11">
        <v>-411.6</v>
      </c>
      <c r="S10" s="11"/>
      <c r="T10" s="11">
        <v>-477.6</v>
      </c>
    </row>
    <row r="11" spans="1:20" x14ac:dyDescent="0.25">
      <c r="A11" s="45" t="s">
        <v>75</v>
      </c>
      <c r="B11" s="21">
        <v>0</v>
      </c>
      <c r="C11" s="11">
        <v>-200</v>
      </c>
      <c r="G11" s="45" t="s">
        <v>60</v>
      </c>
      <c r="H11" s="11">
        <v>-525675.67567567574</v>
      </c>
      <c r="I11" s="11">
        <v>-223.12210342770612</v>
      </c>
      <c r="J11" s="11">
        <v>-9725000</v>
      </c>
      <c r="K11" s="11">
        <v>-4127.7589134125637</v>
      </c>
      <c r="P11" s="45" t="s">
        <v>19</v>
      </c>
      <c r="Q11" s="11">
        <v>-196.5</v>
      </c>
      <c r="R11" s="11">
        <v>-30</v>
      </c>
      <c r="S11" s="11"/>
      <c r="T11" s="11">
        <v>-226.5</v>
      </c>
    </row>
    <row r="12" spans="1:20" x14ac:dyDescent="0.25">
      <c r="A12" s="45" t="s">
        <v>76</v>
      </c>
      <c r="B12" s="21">
        <v>0</v>
      </c>
      <c r="C12" s="11">
        <v>-600</v>
      </c>
      <c r="G12" s="45" t="s">
        <v>146</v>
      </c>
      <c r="H12" s="11">
        <v>0</v>
      </c>
      <c r="I12" s="11">
        <v>0</v>
      </c>
      <c r="J12" s="11">
        <v>0</v>
      </c>
      <c r="K12" s="11">
        <v>0</v>
      </c>
      <c r="P12" s="45" t="s">
        <v>23</v>
      </c>
      <c r="Q12" s="11">
        <v>-42</v>
      </c>
      <c r="R12" s="11"/>
      <c r="S12" s="11"/>
      <c r="T12" s="11">
        <v>-42</v>
      </c>
    </row>
    <row r="13" spans="1:20" x14ac:dyDescent="0.25">
      <c r="A13" s="45" t="s">
        <v>47</v>
      </c>
      <c r="B13" s="21">
        <v>-850</v>
      </c>
      <c r="C13" s="11">
        <v>114750</v>
      </c>
      <c r="G13" s="45" t="s">
        <v>142</v>
      </c>
      <c r="H13" s="11">
        <v>0</v>
      </c>
      <c r="I13" s="11">
        <v>0</v>
      </c>
      <c r="J13" s="11">
        <v>0</v>
      </c>
      <c r="K13" s="11">
        <v>0</v>
      </c>
      <c r="P13" s="45" t="s">
        <v>22</v>
      </c>
      <c r="Q13" s="11">
        <v>-10</v>
      </c>
      <c r="R13" s="11">
        <v>-5</v>
      </c>
      <c r="S13" s="11"/>
      <c r="T13" s="11">
        <v>-15</v>
      </c>
    </row>
    <row r="14" spans="1:20" x14ac:dyDescent="0.25">
      <c r="A14" s="45" t="s">
        <v>32</v>
      </c>
      <c r="B14" s="21">
        <v>0</v>
      </c>
      <c r="C14" s="11">
        <v>-6711.5384615384683</v>
      </c>
      <c r="G14" s="45" t="s">
        <v>32</v>
      </c>
      <c r="H14" s="11">
        <v>4949.788699646946</v>
      </c>
      <c r="I14" s="11">
        <v>2.10092898966343</v>
      </c>
      <c r="J14" s="11">
        <v>327100</v>
      </c>
      <c r="K14" s="11">
        <v>138.83701188455052</v>
      </c>
      <c r="P14" s="45" t="s">
        <v>24</v>
      </c>
      <c r="Q14" s="11">
        <v>-9</v>
      </c>
      <c r="R14" s="11">
        <v>-5.4</v>
      </c>
      <c r="S14" s="11"/>
      <c r="T14" s="11">
        <v>-14.4</v>
      </c>
    </row>
    <row r="15" spans="1:20" x14ac:dyDescent="0.25">
      <c r="P15" s="45" t="s">
        <v>56</v>
      </c>
      <c r="Q15" s="11">
        <v>-224</v>
      </c>
      <c r="R15" s="11"/>
      <c r="S15" s="11"/>
      <c r="T15" s="11">
        <v>-224</v>
      </c>
    </row>
    <row r="16" spans="1:20" x14ac:dyDescent="0.25">
      <c r="P16" s="45" t="s">
        <v>53</v>
      </c>
      <c r="Q16" s="11">
        <v>-60</v>
      </c>
      <c r="R16" s="11"/>
      <c r="S16" s="11"/>
      <c r="T16" s="11">
        <v>-60</v>
      </c>
    </row>
    <row r="17" spans="16:20" x14ac:dyDescent="0.25">
      <c r="P17" s="45" t="s">
        <v>57</v>
      </c>
      <c r="Q17" s="11">
        <v>0</v>
      </c>
      <c r="R17" s="11"/>
      <c r="S17" s="11"/>
      <c r="T17" s="11">
        <v>0</v>
      </c>
    </row>
    <row r="18" spans="16:20" x14ac:dyDescent="0.25">
      <c r="P18" s="45" t="s">
        <v>371</v>
      </c>
      <c r="Q18" s="11"/>
      <c r="R18" s="11"/>
      <c r="S18" s="11">
        <v>0</v>
      </c>
      <c r="T18" s="11">
        <v>0</v>
      </c>
    </row>
    <row r="19" spans="16:20" x14ac:dyDescent="0.25">
      <c r="P19" s="45" t="s">
        <v>32</v>
      </c>
      <c r="Q19" s="11">
        <v>36.559648721302551</v>
      </c>
      <c r="R19" s="11">
        <v>145.48268441621755</v>
      </c>
      <c r="S19" s="11">
        <v>0</v>
      </c>
      <c r="T19" s="11">
        <v>182.04233313752002</v>
      </c>
    </row>
    <row r="22" spans="16:20" x14ac:dyDescent="0.25">
      <c r="P22" s="44" t="s">
        <v>4</v>
      </c>
      <c r="Q22" t="s">
        <v>369</v>
      </c>
    </row>
    <row r="23" spans="16:20" x14ac:dyDescent="0.25">
      <c r="P23" s="44" t="s">
        <v>0</v>
      </c>
      <c r="Q23" t="s">
        <v>369</v>
      </c>
    </row>
    <row r="24" spans="16:20" x14ac:dyDescent="0.25">
      <c r="S24" s="62"/>
    </row>
    <row r="25" spans="16:20" x14ac:dyDescent="0.25">
      <c r="P25" s="44" t="s">
        <v>370</v>
      </c>
      <c r="Q25" s="44" t="s">
        <v>372</v>
      </c>
    </row>
    <row r="26" spans="16:20" x14ac:dyDescent="0.25">
      <c r="P26" s="44" t="s">
        <v>31</v>
      </c>
      <c r="Q26" t="s">
        <v>241</v>
      </c>
      <c r="R26" t="s">
        <v>371</v>
      </c>
      <c r="S26" t="s">
        <v>245</v>
      </c>
      <c r="T26" t="s">
        <v>32</v>
      </c>
    </row>
    <row r="27" spans="16:20" x14ac:dyDescent="0.25">
      <c r="P27" s="45" t="s">
        <v>382</v>
      </c>
      <c r="Q27" s="11">
        <v>960</v>
      </c>
      <c r="R27" s="11"/>
      <c r="S27" s="11">
        <v>736</v>
      </c>
      <c r="T27" s="11">
        <v>1696</v>
      </c>
    </row>
    <row r="28" spans="16:20" x14ac:dyDescent="0.25">
      <c r="P28" s="45" t="s">
        <v>43</v>
      </c>
      <c r="Q28" s="11">
        <v>-45</v>
      </c>
      <c r="R28" s="11"/>
      <c r="S28" s="11">
        <v>-35</v>
      </c>
      <c r="T28" s="11">
        <v>-80</v>
      </c>
    </row>
    <row r="29" spans="16:20" x14ac:dyDescent="0.25">
      <c r="P29" s="45" t="s">
        <v>378</v>
      </c>
      <c r="Q29" s="11">
        <v>-19.647069360401385</v>
      </c>
      <c r="R29" s="11"/>
      <c r="S29" s="11">
        <v>-19.647069360401385</v>
      </c>
      <c r="T29" s="11">
        <v>-39.294138720802771</v>
      </c>
    </row>
    <row r="30" spans="16:20" x14ac:dyDescent="0.25">
      <c r="P30" s="45" t="s">
        <v>380</v>
      </c>
      <c r="Q30" s="11">
        <v>-27.594128079605333</v>
      </c>
      <c r="R30" s="11"/>
      <c r="S30" s="11">
        <v>-27.594128079605333</v>
      </c>
      <c r="T30" s="11">
        <v>-55.188256159210667</v>
      </c>
    </row>
    <row r="31" spans="16:20" x14ac:dyDescent="0.25">
      <c r="P31" s="45" t="s">
        <v>379</v>
      </c>
      <c r="Q31" s="11">
        <v>-32.489812841491357</v>
      </c>
      <c r="R31" s="11"/>
      <c r="S31" s="11">
        <v>-32.489812841491357</v>
      </c>
      <c r="T31" s="11">
        <v>-64.979625682982714</v>
      </c>
    </row>
    <row r="32" spans="16:20" x14ac:dyDescent="0.25">
      <c r="P32" s="45" t="s">
        <v>30</v>
      </c>
      <c r="Q32" s="11">
        <v>-376.59875227660905</v>
      </c>
      <c r="R32" s="11"/>
      <c r="S32" s="11">
        <v>-112.59875227660905</v>
      </c>
      <c r="T32" s="11">
        <v>-489.1975045532181</v>
      </c>
    </row>
    <row r="33" spans="16:20" x14ac:dyDescent="0.25">
      <c r="P33" s="45" t="s">
        <v>367</v>
      </c>
      <c r="Q33" s="11">
        <v>-58.923035694915043</v>
      </c>
      <c r="R33" s="11"/>
      <c r="S33" s="11">
        <v>0</v>
      </c>
      <c r="T33" s="11">
        <v>-58.923035694915043</v>
      </c>
    </row>
    <row r="34" spans="16:20" x14ac:dyDescent="0.25">
      <c r="P34" s="45" t="s">
        <v>381</v>
      </c>
      <c r="Q34" s="11">
        <v>-19.387553025675285</v>
      </c>
      <c r="R34" s="11"/>
      <c r="S34" s="11">
        <v>-19.387553025675285</v>
      </c>
      <c r="T34" s="11">
        <v>-38.775106051350569</v>
      </c>
    </row>
    <row r="35" spans="16:20" x14ac:dyDescent="0.25">
      <c r="P35" s="45" t="s">
        <v>366</v>
      </c>
      <c r="Q35" s="11">
        <v>-59.8</v>
      </c>
      <c r="R35" s="11"/>
      <c r="S35" s="11">
        <v>-59.8</v>
      </c>
      <c r="T35" s="11">
        <v>-119.6</v>
      </c>
    </row>
    <row r="36" spans="16:20" x14ac:dyDescent="0.25">
      <c r="P36" s="45" t="s">
        <v>53</v>
      </c>
      <c r="Q36" s="11">
        <v>-60</v>
      </c>
      <c r="R36" s="11"/>
      <c r="S36" s="11">
        <v>-60</v>
      </c>
      <c r="T36" s="11">
        <v>-120</v>
      </c>
    </row>
    <row r="37" spans="16:20" x14ac:dyDescent="0.25">
      <c r="P37" s="45" t="s">
        <v>56</v>
      </c>
      <c r="Q37" s="11">
        <v>-224</v>
      </c>
      <c r="R37" s="11"/>
      <c r="S37" s="11">
        <v>-224</v>
      </c>
      <c r="T37" s="11">
        <v>-448</v>
      </c>
    </row>
    <row r="38" spans="16:20" x14ac:dyDescent="0.25">
      <c r="P38" s="45" t="s">
        <v>371</v>
      </c>
      <c r="Q38" s="11"/>
      <c r="R38" s="11">
        <v>0</v>
      </c>
      <c r="S38" s="11"/>
      <c r="T38" s="11">
        <v>0</v>
      </c>
    </row>
    <row r="39" spans="16:20" x14ac:dyDescent="0.25">
      <c r="P39" s="45" t="s">
        <v>32</v>
      </c>
      <c r="Q39" s="11">
        <v>36.559648721302608</v>
      </c>
      <c r="R39" s="11">
        <v>0</v>
      </c>
      <c r="S39" s="11">
        <v>145.48268441621764</v>
      </c>
      <c r="T39" s="11">
        <v>182.04233313752025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C44"/>
  <sheetViews>
    <sheetView showGridLines="0" showRowColHeaders="0" zoomScale="90" zoomScaleNormal="90" workbookViewId="0">
      <pane ySplit="3" topLeftCell="A4" activePane="bottomLeft" state="frozen"/>
      <selection pane="bottomLeft"/>
    </sheetView>
  </sheetViews>
  <sheetFormatPr baseColWidth="10" defaultColWidth="0" defaultRowHeight="15" zeroHeight="1" x14ac:dyDescent="0.25"/>
  <cols>
    <col min="1" max="1" width="1.5703125" style="201" customWidth="1"/>
    <col min="2" max="2" width="3.28515625" style="201" customWidth="1"/>
    <col min="3" max="3" width="30.42578125" style="201" bestFit="1" customWidth="1"/>
    <col min="4" max="4" width="5.85546875" style="201" customWidth="1"/>
    <col min="5" max="5" width="3.7109375" style="201" customWidth="1"/>
    <col min="6" max="6" width="3.5703125" style="201" customWidth="1"/>
    <col min="7" max="7" width="29.7109375" style="201" bestFit="1" customWidth="1"/>
    <col min="8" max="8" width="5.85546875" style="201" customWidth="1"/>
    <col min="9" max="10" width="3.7109375" style="201" customWidth="1"/>
    <col min="11" max="11" width="30" style="201" bestFit="1" customWidth="1"/>
    <col min="12" max="12" width="5.5703125" style="201" customWidth="1"/>
    <col min="13" max="13" width="3.7109375" style="201" customWidth="1"/>
    <col min="14" max="14" width="3.85546875" style="201" customWidth="1"/>
    <col min="15" max="15" width="27.140625" style="201" bestFit="1" customWidth="1"/>
    <col min="16" max="16" width="5.5703125" style="201" customWidth="1"/>
    <col min="17" max="17" width="3.7109375" style="201" customWidth="1"/>
    <col min="18" max="18" width="3.85546875" style="201" customWidth="1"/>
    <col min="19" max="19" width="27.140625" style="201" bestFit="1" customWidth="1"/>
    <col min="20" max="20" width="5.5703125" style="201" customWidth="1"/>
    <col min="21" max="21" width="3.7109375" style="201" customWidth="1"/>
    <col min="22" max="22" width="3.42578125" style="201" customWidth="1"/>
    <col min="23" max="23" width="27.140625" style="201" bestFit="1" customWidth="1"/>
    <col min="24" max="24" width="5.5703125" style="201" customWidth="1"/>
    <col min="25" max="26" width="3.7109375" style="201" customWidth="1"/>
    <col min="27" max="27" width="27.140625" style="201" bestFit="1" customWidth="1"/>
    <col min="28" max="28" width="4.42578125" style="201" customWidth="1"/>
    <col min="29" max="29" width="5.5703125" style="201" customWidth="1"/>
    <col min="30" max="16384" width="11.42578125" style="201" hidden="1"/>
  </cols>
  <sheetData>
    <row r="1" spans="2:29" s="330" customFormat="1" x14ac:dyDescent="0.25">
      <c r="E1" s="360"/>
      <c r="I1" s="360"/>
      <c r="M1" s="360"/>
      <c r="N1" s="332"/>
      <c r="Q1" s="360"/>
      <c r="R1" s="332"/>
      <c r="U1" s="360"/>
      <c r="Y1" s="360"/>
      <c r="AC1" s="360"/>
    </row>
    <row r="2" spans="2:29" s="330" customFormat="1" x14ac:dyDescent="0.25">
      <c r="B2" s="347" t="s">
        <v>400</v>
      </c>
      <c r="C2" s="340" t="s">
        <v>398</v>
      </c>
      <c r="E2" s="360"/>
      <c r="F2" s="347" t="s">
        <v>426</v>
      </c>
      <c r="G2" s="340" t="s">
        <v>77</v>
      </c>
      <c r="I2" s="360"/>
      <c r="J2" s="347" t="s">
        <v>427</v>
      </c>
      <c r="K2" s="340" t="s">
        <v>459</v>
      </c>
      <c r="M2" s="360"/>
      <c r="N2" s="347" t="s">
        <v>428</v>
      </c>
      <c r="O2" s="340" t="s">
        <v>119</v>
      </c>
      <c r="Q2" s="360"/>
      <c r="R2" s="347" t="s">
        <v>482</v>
      </c>
      <c r="S2" s="340" t="s">
        <v>160</v>
      </c>
      <c r="U2" s="360"/>
      <c r="V2" s="347" t="s">
        <v>505</v>
      </c>
      <c r="W2" s="340" t="s">
        <v>199</v>
      </c>
      <c r="Y2" s="360"/>
      <c r="Z2" s="347" t="s">
        <v>505</v>
      </c>
      <c r="AA2" s="340" t="s">
        <v>516</v>
      </c>
      <c r="AC2" s="360"/>
    </row>
    <row r="3" spans="2:29" s="330" customFormat="1" ht="11.25" customHeight="1" x14ac:dyDescent="0.25">
      <c r="E3" s="360"/>
      <c r="I3" s="360"/>
      <c r="M3" s="360"/>
      <c r="N3" s="332"/>
      <c r="Q3" s="360"/>
      <c r="R3" s="332"/>
      <c r="U3" s="360"/>
      <c r="Y3" s="360"/>
      <c r="AC3" s="360"/>
    </row>
    <row r="4" spans="2:29" s="330" customFormat="1" ht="11.25" customHeight="1" x14ac:dyDescent="0.25">
      <c r="E4" s="360"/>
      <c r="I4" s="360"/>
      <c r="M4" s="360"/>
      <c r="N4" s="332"/>
      <c r="Q4" s="360"/>
      <c r="R4" s="332"/>
      <c r="U4" s="360"/>
      <c r="Y4" s="360"/>
      <c r="AC4" s="360"/>
    </row>
    <row r="5" spans="2:29" s="330" customFormat="1" x14ac:dyDescent="0.25">
      <c r="B5" s="343">
        <v>1</v>
      </c>
      <c r="C5" s="338" t="s">
        <v>429</v>
      </c>
      <c r="E5" s="360"/>
      <c r="G5" s="338" t="s">
        <v>430</v>
      </c>
      <c r="I5" s="360"/>
      <c r="K5" s="338" t="s">
        <v>434</v>
      </c>
      <c r="M5" s="360"/>
      <c r="N5" s="332"/>
      <c r="O5" s="338" t="s">
        <v>463</v>
      </c>
      <c r="Q5" s="360"/>
      <c r="R5" s="332"/>
      <c r="S5" s="338" t="s">
        <v>481</v>
      </c>
      <c r="U5" s="360"/>
      <c r="W5" s="338" t="s">
        <v>506</v>
      </c>
      <c r="Y5" s="360"/>
      <c r="AA5" s="338" t="s">
        <v>506</v>
      </c>
      <c r="AC5" s="360"/>
    </row>
    <row r="6" spans="2:29" s="330" customFormat="1" x14ac:dyDescent="0.25">
      <c r="B6" s="343">
        <v>2</v>
      </c>
      <c r="C6" s="345" t="s">
        <v>394</v>
      </c>
      <c r="E6" s="360"/>
      <c r="G6" s="345" t="s">
        <v>431</v>
      </c>
      <c r="I6" s="360"/>
      <c r="K6" s="345" t="s">
        <v>435</v>
      </c>
      <c r="M6" s="360"/>
      <c r="N6" s="332"/>
      <c r="O6" s="339" t="s">
        <v>464</v>
      </c>
      <c r="Q6" s="360"/>
      <c r="R6" s="332"/>
      <c r="S6" s="339" t="s">
        <v>464</v>
      </c>
      <c r="U6" s="360"/>
      <c r="W6" s="345" t="s">
        <v>431</v>
      </c>
      <c r="Y6" s="360"/>
      <c r="AA6" s="345" t="s">
        <v>431</v>
      </c>
      <c r="AC6" s="360"/>
    </row>
    <row r="7" spans="2:29" s="330" customFormat="1" x14ac:dyDescent="0.25">
      <c r="E7" s="360"/>
      <c r="I7" s="360"/>
      <c r="M7" s="360"/>
      <c r="N7" s="332"/>
      <c r="O7" s="345" t="s">
        <v>496</v>
      </c>
      <c r="Q7" s="360"/>
      <c r="R7" s="332"/>
      <c r="S7" s="339" t="s">
        <v>487</v>
      </c>
      <c r="U7" s="360"/>
      <c r="Y7" s="360"/>
      <c r="AC7" s="360"/>
    </row>
    <row r="8" spans="2:29" s="330" customFormat="1" x14ac:dyDescent="0.25">
      <c r="E8" s="360"/>
      <c r="I8" s="360"/>
      <c r="M8" s="360"/>
      <c r="N8" s="332"/>
      <c r="Q8" s="360"/>
      <c r="R8" s="332"/>
      <c r="S8" s="345" t="s">
        <v>496</v>
      </c>
      <c r="U8" s="360"/>
      <c r="Y8" s="360"/>
      <c r="AC8" s="360"/>
    </row>
    <row r="9" spans="2:29" s="330" customFormat="1" x14ac:dyDescent="0.25">
      <c r="E9" s="360"/>
      <c r="I9" s="360"/>
      <c r="M9" s="360"/>
      <c r="N9" s="332"/>
      <c r="Q9" s="360"/>
      <c r="R9" s="332"/>
      <c r="U9" s="360"/>
      <c r="Y9" s="360"/>
      <c r="AC9" s="360"/>
    </row>
    <row r="10" spans="2:29" s="330" customFormat="1" x14ac:dyDescent="0.25">
      <c r="B10" s="347" t="s">
        <v>401</v>
      </c>
      <c r="C10" s="340" t="s">
        <v>399</v>
      </c>
      <c r="E10" s="360"/>
      <c r="G10" s="340" t="s">
        <v>497</v>
      </c>
      <c r="I10" s="360"/>
      <c r="K10" s="340" t="s">
        <v>440</v>
      </c>
      <c r="M10" s="360"/>
      <c r="N10" s="332"/>
      <c r="O10" s="340" t="s">
        <v>465</v>
      </c>
      <c r="Q10" s="360"/>
      <c r="R10" s="332"/>
      <c r="S10" s="340" t="s">
        <v>465</v>
      </c>
      <c r="U10" s="360"/>
      <c r="Y10" s="360"/>
      <c r="AC10" s="360"/>
    </row>
    <row r="11" spans="2:29" s="330" customFormat="1" x14ac:dyDescent="0.25">
      <c r="E11" s="360"/>
      <c r="I11" s="360"/>
      <c r="M11" s="360"/>
      <c r="N11" s="332"/>
      <c r="Q11" s="360"/>
      <c r="R11" s="332"/>
      <c r="U11" s="360"/>
      <c r="Y11" s="360"/>
      <c r="AC11" s="360"/>
    </row>
    <row r="12" spans="2:29" s="330" customFormat="1" x14ac:dyDescent="0.25">
      <c r="B12" s="343">
        <v>1</v>
      </c>
      <c r="C12" s="338" t="s">
        <v>396</v>
      </c>
      <c r="E12" s="360"/>
      <c r="G12" s="352" t="s">
        <v>361</v>
      </c>
      <c r="I12" s="360"/>
      <c r="J12" s="343">
        <v>1</v>
      </c>
      <c r="K12" s="338" t="s">
        <v>437</v>
      </c>
      <c r="M12" s="360"/>
      <c r="N12" s="343">
        <v>1</v>
      </c>
      <c r="O12" s="338" t="s">
        <v>466</v>
      </c>
      <c r="Q12" s="360"/>
      <c r="R12" s="343">
        <v>1</v>
      </c>
      <c r="S12" s="338" t="s">
        <v>466</v>
      </c>
      <c r="U12" s="360"/>
      <c r="W12" s="338" t="s">
        <v>515</v>
      </c>
      <c r="Y12" s="360"/>
      <c r="AA12" s="338" t="s">
        <v>5</v>
      </c>
      <c r="AC12" s="360"/>
    </row>
    <row r="13" spans="2:29" s="330" customFormat="1" x14ac:dyDescent="0.25">
      <c r="B13" s="343">
        <v>2</v>
      </c>
      <c r="C13" s="345" t="s">
        <v>397</v>
      </c>
      <c r="E13" s="360"/>
      <c r="I13" s="360"/>
      <c r="J13" s="343">
        <v>2</v>
      </c>
      <c r="K13" s="339" t="s">
        <v>438</v>
      </c>
      <c r="M13" s="360"/>
      <c r="N13" s="343">
        <v>2</v>
      </c>
      <c r="O13" s="339" t="s">
        <v>467</v>
      </c>
      <c r="Q13" s="360"/>
      <c r="R13" s="343">
        <v>2</v>
      </c>
      <c r="S13" s="339" t="s">
        <v>467</v>
      </c>
      <c r="U13" s="360"/>
      <c r="W13" s="339" t="s">
        <v>510</v>
      </c>
      <c r="Y13" s="360"/>
      <c r="AA13" s="339" t="s">
        <v>6</v>
      </c>
      <c r="AC13" s="360"/>
    </row>
    <row r="14" spans="2:29" s="330" customFormat="1" x14ac:dyDescent="0.25">
      <c r="E14" s="360"/>
      <c r="F14" s="343">
        <v>1</v>
      </c>
      <c r="G14" s="338" t="s">
        <v>444</v>
      </c>
      <c r="I14" s="360"/>
      <c r="J14" s="343">
        <v>3</v>
      </c>
      <c r="K14" s="339" t="s">
        <v>439</v>
      </c>
      <c r="M14" s="360"/>
      <c r="N14" s="343">
        <v>3</v>
      </c>
      <c r="O14" s="339" t="s">
        <v>469</v>
      </c>
      <c r="Q14" s="360"/>
      <c r="R14" s="343">
        <v>3</v>
      </c>
      <c r="S14" s="339" t="s">
        <v>469</v>
      </c>
      <c r="U14" s="360"/>
      <c r="W14" s="345" t="s">
        <v>507</v>
      </c>
      <c r="Y14" s="360"/>
      <c r="AA14" s="339" t="s">
        <v>114</v>
      </c>
      <c r="AC14" s="360"/>
    </row>
    <row r="15" spans="2:29" s="330" customFormat="1" x14ac:dyDescent="0.25">
      <c r="E15" s="360"/>
      <c r="F15" s="343">
        <v>2</v>
      </c>
      <c r="G15" s="339" t="s">
        <v>453</v>
      </c>
      <c r="I15" s="360"/>
      <c r="J15" s="343">
        <v>4</v>
      </c>
      <c r="K15" s="339" t="s">
        <v>441</v>
      </c>
      <c r="M15" s="360"/>
      <c r="N15" s="343">
        <v>4</v>
      </c>
      <c r="O15" s="339" t="s">
        <v>468</v>
      </c>
      <c r="Q15" s="360"/>
      <c r="R15" s="343">
        <v>4</v>
      </c>
      <c r="S15" s="339" t="s">
        <v>468</v>
      </c>
      <c r="U15" s="360"/>
      <c r="W15" s="436"/>
      <c r="Y15" s="360"/>
      <c r="AA15" s="339" t="s">
        <v>283</v>
      </c>
      <c r="AC15" s="360"/>
    </row>
    <row r="16" spans="2:29" s="330" customFormat="1" x14ac:dyDescent="0.25">
      <c r="B16" s="347" t="s">
        <v>403</v>
      </c>
      <c r="C16" s="340" t="s">
        <v>282</v>
      </c>
      <c r="E16" s="360"/>
      <c r="F16" s="343">
        <v>3</v>
      </c>
      <c r="G16" s="339" t="s">
        <v>454</v>
      </c>
      <c r="I16" s="360"/>
      <c r="J16" s="343">
        <v>5</v>
      </c>
      <c r="K16" s="339" t="s">
        <v>442</v>
      </c>
      <c r="M16" s="360"/>
      <c r="N16" s="343">
        <v>5</v>
      </c>
      <c r="O16" s="339" t="s">
        <v>470</v>
      </c>
      <c r="Q16" s="360"/>
      <c r="R16" s="343">
        <v>5</v>
      </c>
      <c r="S16" s="339" t="s">
        <v>470</v>
      </c>
      <c r="U16" s="360"/>
      <c r="W16" s="338" t="s">
        <v>508</v>
      </c>
      <c r="Y16" s="360"/>
      <c r="AA16" s="345" t="s">
        <v>230</v>
      </c>
      <c r="AC16" s="360"/>
    </row>
    <row r="17" spans="2:29" s="330" customFormat="1" x14ac:dyDescent="0.25">
      <c r="E17" s="360"/>
      <c r="F17" s="343">
        <v>4</v>
      </c>
      <c r="G17" s="339" t="s">
        <v>455</v>
      </c>
      <c r="I17" s="360"/>
      <c r="J17" s="343">
        <v>6</v>
      </c>
      <c r="K17" s="339" t="s">
        <v>443</v>
      </c>
      <c r="M17" s="360"/>
      <c r="N17" s="343">
        <v>6</v>
      </c>
      <c r="O17" s="339" t="s">
        <v>471</v>
      </c>
      <c r="Q17" s="360"/>
      <c r="R17" s="343">
        <v>6</v>
      </c>
      <c r="S17" s="339" t="s">
        <v>471</v>
      </c>
      <c r="U17" s="360"/>
      <c r="W17" s="339" t="s">
        <v>509</v>
      </c>
      <c r="Y17" s="360"/>
      <c r="AC17" s="360"/>
    </row>
    <row r="18" spans="2:29" s="330" customFormat="1" x14ac:dyDescent="0.25">
      <c r="B18" s="343"/>
      <c r="C18" s="352" t="s">
        <v>404</v>
      </c>
      <c r="E18" s="360"/>
      <c r="F18" s="343">
        <v>5</v>
      </c>
      <c r="G18" s="339" t="s">
        <v>456</v>
      </c>
      <c r="I18" s="360"/>
      <c r="M18" s="360"/>
      <c r="N18" s="343">
        <v>7</v>
      </c>
      <c r="O18" s="339" t="s">
        <v>472</v>
      </c>
      <c r="Q18" s="360"/>
      <c r="R18" s="343">
        <v>7</v>
      </c>
      <c r="S18" s="339" t="s">
        <v>472</v>
      </c>
      <c r="U18" s="360"/>
      <c r="W18" s="345" t="s">
        <v>512</v>
      </c>
      <c r="Y18" s="360"/>
      <c r="AC18" s="360"/>
    </row>
    <row r="19" spans="2:29" s="330" customFormat="1" x14ac:dyDescent="0.25">
      <c r="E19" s="360"/>
      <c r="F19" s="343">
        <v>6</v>
      </c>
      <c r="G19" s="339" t="s">
        <v>457</v>
      </c>
      <c r="I19" s="360"/>
      <c r="M19" s="360"/>
      <c r="N19" s="343">
        <v>8</v>
      </c>
      <c r="O19" s="339" t="s">
        <v>498</v>
      </c>
      <c r="Q19" s="360"/>
      <c r="R19" s="343">
        <v>8</v>
      </c>
      <c r="S19" s="339" t="s">
        <v>498</v>
      </c>
      <c r="U19" s="360"/>
      <c r="Y19" s="360"/>
      <c r="AC19" s="360"/>
    </row>
    <row r="20" spans="2:29" s="330" customFormat="1" x14ac:dyDescent="0.25">
      <c r="B20" s="343">
        <v>1</v>
      </c>
      <c r="C20" s="338" t="str">
        <f>Configuración!CJ5</f>
        <v>Bancos - Saldo Inicial</v>
      </c>
      <c r="E20" s="360"/>
      <c r="F20" s="343">
        <v>7</v>
      </c>
      <c r="G20" s="339" t="s">
        <v>458</v>
      </c>
      <c r="I20" s="360"/>
      <c r="M20" s="360"/>
      <c r="N20" s="343">
        <v>9</v>
      </c>
      <c r="O20" s="339" t="s">
        <v>473</v>
      </c>
      <c r="Q20" s="360"/>
      <c r="R20" s="343">
        <v>9</v>
      </c>
      <c r="S20" s="339" t="s">
        <v>473</v>
      </c>
      <c r="U20" s="360"/>
      <c r="Y20" s="360"/>
      <c r="AC20" s="360"/>
    </row>
    <row r="21" spans="2:29" s="330" customFormat="1" x14ac:dyDescent="0.25">
      <c r="B21" s="343">
        <v>2</v>
      </c>
      <c r="C21" s="339" t="str">
        <f>Configuración!CJ6</f>
        <v>Caja - Saldo Inicial</v>
      </c>
      <c r="E21" s="360"/>
      <c r="F21" s="343">
        <v>8</v>
      </c>
      <c r="G21" s="339" t="s">
        <v>445</v>
      </c>
      <c r="I21" s="360"/>
      <c r="M21" s="360"/>
      <c r="N21" s="332"/>
      <c r="Q21" s="360"/>
      <c r="R21" s="332"/>
      <c r="U21" s="360"/>
      <c r="Y21" s="360"/>
      <c r="AC21" s="360"/>
    </row>
    <row r="22" spans="2:29" s="330" customFormat="1" x14ac:dyDescent="0.25">
      <c r="B22" s="343">
        <v>3</v>
      </c>
      <c r="C22" s="339" t="str">
        <f>Configuración!CJ7</f>
        <v>Cheques en Cartera</v>
      </c>
      <c r="E22" s="360"/>
      <c r="F22" s="343">
        <v>9</v>
      </c>
      <c r="G22" s="339" t="s">
        <v>446</v>
      </c>
      <c r="I22" s="360"/>
      <c r="M22" s="360"/>
      <c r="N22" s="332"/>
      <c r="Q22" s="360"/>
      <c r="S22" s="340" t="s">
        <v>499</v>
      </c>
      <c r="U22" s="360"/>
      <c r="Y22" s="360"/>
      <c r="AC22" s="360"/>
    </row>
    <row r="23" spans="2:29" s="330" customFormat="1" x14ac:dyDescent="0.25">
      <c r="B23" s="343">
        <v>4</v>
      </c>
      <c r="C23" s="339" t="str">
        <f>Configuración!CJ8</f>
        <v>Ingreso Créditos</v>
      </c>
      <c r="E23" s="360"/>
      <c r="F23" s="343">
        <v>10</v>
      </c>
      <c r="G23" s="339" t="s">
        <v>447</v>
      </c>
      <c r="I23" s="360"/>
      <c r="M23" s="360"/>
      <c r="N23" s="332"/>
      <c r="Q23" s="360"/>
      <c r="S23" s="352" t="s">
        <v>175</v>
      </c>
      <c r="U23" s="360"/>
      <c r="Y23" s="360"/>
      <c r="AC23" s="360"/>
    </row>
    <row r="24" spans="2:29" s="330" customFormat="1" x14ac:dyDescent="0.25">
      <c r="B24" s="343">
        <v>5</v>
      </c>
      <c r="C24" s="339" t="str">
        <f>Configuración!CJ9</f>
        <v>Ingreso Colocaciones Financieras</v>
      </c>
      <c r="E24" s="360"/>
      <c r="F24" s="343">
        <v>11</v>
      </c>
      <c r="G24" s="339" t="s">
        <v>448</v>
      </c>
      <c r="I24" s="360"/>
      <c r="M24" s="360"/>
      <c r="N24" s="332"/>
      <c r="Q24" s="360"/>
      <c r="U24" s="360"/>
      <c r="Y24" s="360"/>
      <c r="AC24" s="360"/>
    </row>
    <row r="25" spans="2:29" s="330" customFormat="1" x14ac:dyDescent="0.25">
      <c r="B25" s="343">
        <v>6</v>
      </c>
      <c r="C25" s="339" t="str">
        <f>Configuración!CJ10</f>
        <v>Intereses Cobrados</v>
      </c>
      <c r="E25" s="360"/>
      <c r="F25" s="343">
        <v>12</v>
      </c>
      <c r="G25" s="339" t="s">
        <v>449</v>
      </c>
      <c r="I25" s="360"/>
      <c r="M25" s="360"/>
      <c r="N25" s="332"/>
      <c r="O25" s="340" t="s">
        <v>500</v>
      </c>
      <c r="Q25" s="360"/>
      <c r="R25" s="332"/>
      <c r="S25" s="340" t="s">
        <v>501</v>
      </c>
      <c r="U25" s="360"/>
      <c r="Y25" s="360"/>
      <c r="AC25" s="360"/>
    </row>
    <row r="26" spans="2:29" s="330" customFormat="1" x14ac:dyDescent="0.25">
      <c r="B26" s="343">
        <v>7</v>
      </c>
      <c r="C26" s="339" t="str">
        <f>Configuración!CJ11</f>
        <v>Cheques Emitidos</v>
      </c>
      <c r="E26" s="360"/>
      <c r="F26" s="343">
        <v>13</v>
      </c>
      <c r="G26" s="339" t="s">
        <v>450</v>
      </c>
      <c r="I26" s="360"/>
      <c r="M26" s="360"/>
      <c r="N26" s="332"/>
      <c r="O26" s="338" t="s">
        <v>107</v>
      </c>
      <c r="Q26" s="360"/>
      <c r="R26" s="332"/>
      <c r="S26" s="338" t="s">
        <v>107</v>
      </c>
      <c r="U26" s="360"/>
      <c r="Y26" s="360"/>
      <c r="AC26" s="360"/>
    </row>
    <row r="27" spans="2:29" s="330" customFormat="1" x14ac:dyDescent="0.25">
      <c r="B27" s="343">
        <v>8</v>
      </c>
      <c r="C27" s="339" t="str">
        <f>Configuración!CJ12</f>
        <v>Amortización Capital - Créditos</v>
      </c>
      <c r="E27" s="360"/>
      <c r="F27" s="343">
        <v>14</v>
      </c>
      <c r="G27" s="339" t="s">
        <v>451</v>
      </c>
      <c r="I27" s="360"/>
      <c r="M27" s="360"/>
      <c r="N27" s="332"/>
      <c r="O27" s="339" t="s">
        <v>476</v>
      </c>
      <c r="Q27" s="360"/>
      <c r="R27" s="332"/>
      <c r="S27" s="339" t="s">
        <v>476</v>
      </c>
      <c r="U27" s="360"/>
      <c r="Y27" s="360"/>
      <c r="AC27" s="360"/>
    </row>
    <row r="28" spans="2:29" s="330" customFormat="1" x14ac:dyDescent="0.25">
      <c r="B28" s="343">
        <v>9</v>
      </c>
      <c r="C28" s="339" t="str">
        <f>Configuración!CJ13</f>
        <v>Intereses Pagados - Créditos</v>
      </c>
      <c r="E28" s="360"/>
      <c r="F28" s="343">
        <v>15</v>
      </c>
      <c r="G28" s="339" t="s">
        <v>452</v>
      </c>
      <c r="I28" s="360"/>
      <c r="M28" s="360"/>
      <c r="N28" s="332"/>
      <c r="O28" s="339" t="s">
        <v>123</v>
      </c>
      <c r="Q28" s="360"/>
      <c r="R28" s="332"/>
      <c r="S28" s="339" t="s">
        <v>123</v>
      </c>
      <c r="U28" s="360"/>
      <c r="Y28" s="360"/>
      <c r="AC28" s="360"/>
    </row>
    <row r="29" spans="2:29" s="330" customFormat="1" x14ac:dyDescent="0.25">
      <c r="B29" s="343">
        <v>10</v>
      </c>
      <c r="C29" s="345" t="str">
        <f>Configuración!CJ14</f>
        <v>Egreso Colocaciones Financieras</v>
      </c>
      <c r="E29" s="360"/>
      <c r="I29" s="360"/>
      <c r="M29" s="360"/>
      <c r="N29" s="332"/>
      <c r="O29" s="339" t="s">
        <v>124</v>
      </c>
      <c r="Q29" s="360"/>
      <c r="R29" s="332"/>
      <c r="S29" s="339" t="s">
        <v>124</v>
      </c>
      <c r="U29" s="360"/>
      <c r="Y29" s="360"/>
      <c r="AC29" s="360"/>
    </row>
    <row r="30" spans="2:29" s="330" customFormat="1" x14ac:dyDescent="0.25">
      <c r="B30" s="343"/>
      <c r="E30" s="360"/>
      <c r="I30" s="360"/>
      <c r="M30" s="360"/>
      <c r="N30" s="332"/>
      <c r="O30" s="339" t="s">
        <v>172</v>
      </c>
      <c r="Q30" s="360"/>
      <c r="R30" s="332"/>
      <c r="S30" s="339" t="s">
        <v>172</v>
      </c>
      <c r="U30" s="360"/>
      <c r="Y30" s="360"/>
      <c r="AC30" s="360"/>
    </row>
    <row r="31" spans="2:29" s="330" customFormat="1" x14ac:dyDescent="0.25">
      <c r="E31" s="360"/>
      <c r="I31" s="360"/>
      <c r="M31" s="360"/>
      <c r="N31" s="332"/>
      <c r="O31" s="339" t="s">
        <v>201</v>
      </c>
      <c r="Q31" s="360"/>
      <c r="R31" s="332"/>
      <c r="S31" s="339" t="s">
        <v>201</v>
      </c>
      <c r="U31" s="360"/>
      <c r="Y31" s="360"/>
      <c r="AC31" s="360"/>
    </row>
    <row r="32" spans="2:29" s="330" customFormat="1" x14ac:dyDescent="0.25">
      <c r="E32" s="360"/>
      <c r="I32" s="360"/>
      <c r="M32" s="360"/>
      <c r="N32" s="332"/>
      <c r="O32" s="339" t="s">
        <v>53</v>
      </c>
      <c r="Q32" s="360"/>
      <c r="R32" s="332"/>
      <c r="S32" s="339" t="s">
        <v>53</v>
      </c>
      <c r="U32" s="360"/>
      <c r="Y32" s="360"/>
      <c r="AC32" s="360"/>
    </row>
    <row r="33" spans="2:29" s="330" customFormat="1" x14ac:dyDescent="0.25">
      <c r="E33" s="360"/>
      <c r="I33" s="360"/>
      <c r="M33" s="360"/>
      <c r="N33" s="332"/>
      <c r="O33" s="339" t="s">
        <v>56</v>
      </c>
      <c r="Q33" s="360"/>
      <c r="R33" s="332"/>
      <c r="S33" s="339" t="s">
        <v>56</v>
      </c>
      <c r="U33" s="360"/>
      <c r="Y33" s="360"/>
      <c r="AC33" s="360"/>
    </row>
    <row r="34" spans="2:29" s="330" customFormat="1" x14ac:dyDescent="0.25">
      <c r="E34" s="360"/>
      <c r="I34" s="360"/>
      <c r="M34" s="360"/>
      <c r="O34" s="339" t="s">
        <v>57</v>
      </c>
      <c r="Q34" s="360"/>
      <c r="R34" s="332"/>
      <c r="S34" s="339" t="s">
        <v>57</v>
      </c>
      <c r="U34" s="360"/>
      <c r="Y34" s="360"/>
      <c r="AC34" s="360"/>
    </row>
    <row r="35" spans="2:29" s="330" customFormat="1" x14ac:dyDescent="0.25">
      <c r="E35" s="360"/>
      <c r="I35" s="360"/>
      <c r="M35" s="360"/>
      <c r="O35" s="339" t="s">
        <v>474</v>
      </c>
      <c r="Q35" s="360"/>
      <c r="R35" s="332"/>
      <c r="S35" s="339" t="s">
        <v>474</v>
      </c>
      <c r="U35" s="360"/>
      <c r="Y35" s="360"/>
      <c r="AC35" s="360"/>
    </row>
    <row r="36" spans="2:29" s="330" customFormat="1" x14ac:dyDescent="0.25">
      <c r="E36" s="360"/>
      <c r="I36" s="360"/>
      <c r="M36" s="360"/>
      <c r="Q36" s="360"/>
      <c r="U36" s="360"/>
      <c r="Y36" s="360"/>
      <c r="AC36" s="360"/>
    </row>
    <row r="37" spans="2:29" s="330" customFormat="1" x14ac:dyDescent="0.25">
      <c r="B37" s="343"/>
      <c r="C37" s="363" t="s">
        <v>174</v>
      </c>
      <c r="E37" s="360"/>
      <c r="G37" s="363" t="s">
        <v>494</v>
      </c>
      <c r="I37" s="360"/>
      <c r="K37" s="363" t="s">
        <v>494</v>
      </c>
      <c r="M37" s="360"/>
      <c r="N37" s="332"/>
      <c r="O37" s="363" t="s">
        <v>494</v>
      </c>
      <c r="Q37" s="360"/>
      <c r="R37" s="332"/>
      <c r="S37" s="363" t="s">
        <v>494</v>
      </c>
      <c r="U37" s="360"/>
      <c r="Y37" s="360"/>
      <c r="AC37" s="360"/>
    </row>
    <row r="38" spans="2:29" s="330" customFormat="1" x14ac:dyDescent="0.25">
      <c r="B38" s="343"/>
      <c r="C38" s="364" t="s">
        <v>462</v>
      </c>
      <c r="E38" s="360"/>
      <c r="G38" s="364" t="s">
        <v>495</v>
      </c>
      <c r="I38" s="360"/>
      <c r="K38" s="364" t="s">
        <v>495</v>
      </c>
      <c r="M38" s="360"/>
      <c r="N38" s="332"/>
      <c r="O38" s="364" t="s">
        <v>495</v>
      </c>
      <c r="Q38" s="360"/>
      <c r="R38" s="332"/>
      <c r="S38" s="364" t="s">
        <v>495</v>
      </c>
      <c r="U38" s="360"/>
      <c r="Y38" s="360"/>
      <c r="AC38" s="360"/>
    </row>
    <row r="39" spans="2:29" s="330" customFormat="1" x14ac:dyDescent="0.25">
      <c r="E39" s="360"/>
      <c r="I39" s="360"/>
      <c r="M39" s="360"/>
      <c r="N39" s="332"/>
      <c r="Q39" s="360"/>
      <c r="R39" s="332"/>
      <c r="U39" s="360"/>
      <c r="Y39" s="360"/>
      <c r="AC39" s="360"/>
    </row>
    <row r="40" spans="2:29" s="330" customFormat="1" x14ac:dyDescent="0.25">
      <c r="E40" s="360"/>
      <c r="I40" s="360"/>
      <c r="M40" s="360"/>
      <c r="N40" s="332"/>
      <c r="Q40" s="360"/>
      <c r="R40" s="332"/>
      <c r="U40" s="360"/>
      <c r="Y40" s="360"/>
      <c r="AC40" s="360"/>
    </row>
    <row r="41" spans="2:29" s="330" customFormat="1" x14ac:dyDescent="0.25">
      <c r="E41" s="360"/>
      <c r="I41" s="360"/>
      <c r="M41" s="360"/>
      <c r="N41" s="332"/>
      <c r="Q41" s="360"/>
      <c r="R41" s="332"/>
      <c r="U41" s="360"/>
      <c r="Y41" s="360"/>
      <c r="AC41" s="360"/>
    </row>
    <row r="42" spans="2:29" s="330" customFormat="1" x14ac:dyDescent="0.25">
      <c r="E42" s="360"/>
      <c r="I42" s="360"/>
      <c r="M42" s="360"/>
      <c r="N42" s="332"/>
      <c r="Q42" s="360"/>
      <c r="R42" s="332"/>
      <c r="U42" s="360"/>
      <c r="Y42" s="360"/>
      <c r="AC42" s="360"/>
    </row>
    <row r="43" spans="2:29" s="330" customFormat="1" x14ac:dyDescent="0.25">
      <c r="E43" s="360"/>
      <c r="I43" s="360"/>
      <c r="M43" s="360"/>
      <c r="N43" s="332"/>
      <c r="Q43" s="360"/>
      <c r="R43" s="332"/>
      <c r="U43" s="360"/>
      <c r="Y43" s="360"/>
      <c r="AC43" s="360"/>
    </row>
    <row r="44" spans="2:29" s="330" customFormat="1" x14ac:dyDescent="0.25">
      <c r="E44" s="360"/>
      <c r="I44" s="360"/>
      <c r="M44" s="360"/>
      <c r="N44" s="332"/>
      <c r="Q44" s="360"/>
      <c r="R44" s="332"/>
      <c r="U44" s="360"/>
      <c r="Y44" s="360"/>
      <c r="AC44" s="360"/>
    </row>
  </sheetData>
  <hyperlinks>
    <hyperlink ref="G12" location="Configuración!X3" display="Plan de Siembra - Rotación"/>
    <hyperlink ref="C5" location="Fecha_Inicio" display="Fecha Inicio Presupuesto"/>
    <hyperlink ref="C6" location="Centro_Costo" display="Centros de Costos"/>
    <hyperlink ref="C12" location="Configuración!H4" display="Tipo de Cambio Esperado"/>
    <hyperlink ref="C13" location="Configuración!I4" display="Inflación Esperada"/>
    <hyperlink ref="C18" location="Cuenta_Contable_FIDI" display="Plan de Cuentas Financieras"/>
    <hyperlink ref="C20" location="FIN_A" display="FIN_A"/>
    <hyperlink ref="C21" location="FIN_B" display="FIN_B"/>
    <hyperlink ref="C22" location="FIN_C" display="FIN_C"/>
    <hyperlink ref="C26" location="FIN_D" display="FIN_D"/>
    <hyperlink ref="C23" location="FIN_E" display="FIN_E"/>
    <hyperlink ref="C27" location="FIN_E" display="FIN_E"/>
    <hyperlink ref="C28" location="FIN_E" display="FIN_E"/>
    <hyperlink ref="C24" location="FIN_F" display="FIN_F"/>
    <hyperlink ref="C25" location="FIN_F" display="FIN_F"/>
    <hyperlink ref="C29" location="FIN_F" display="FIN_F"/>
    <hyperlink ref="G14:G25" location="Fecha_Inicio" display="Fecha Inicio Presupuesto"/>
    <hyperlink ref="G14" location="AGR_Protocolo_1" display="Protocolo 1"/>
    <hyperlink ref="G15" location="AGR_Protocolo_2" display="Protocolo 2"/>
    <hyperlink ref="G16" location="AGR_Protocolo_3" display="Protocolo 3"/>
    <hyperlink ref="G17" location="AGR_Protocolo_4" display="Protocolo 4"/>
    <hyperlink ref="G18" location="AGR_Protoloco_5" display="Protocolo 5"/>
    <hyperlink ref="G19" location="AGR_Protocolo_6" display="Protocolo 6"/>
    <hyperlink ref="G20" location="AGR_Protocolo_7" display="Protocolo 7"/>
    <hyperlink ref="G5" location="AGR_Plan_Cuentas" display="Plan de Cuentas Agricultura"/>
    <hyperlink ref="G6" location="AGR_Unidades_Negocio" display="Definición Unidades Negocio"/>
    <hyperlink ref="G37" location="AGR_Resultado_USD" display="Resultados Economicos U$S"/>
    <hyperlink ref="K5" location="AGR_Plan_Cuentas" display="Plan de Cuentas Agricultura"/>
    <hyperlink ref="K6" location="AGR_Unidades_Negocio" display="Definición Unidades Negocio"/>
    <hyperlink ref="K12:K17" location="Fecha_Inicio" display="Fecha Inicio Presupuesto"/>
    <hyperlink ref="K12" location="COM_AGR_Stock_Inicio" display="Stock Inicial de Granos"/>
    <hyperlink ref="K13" location="COM_AGR_Ingreso_Cesion" display="Cesión Granos Agricultura."/>
    <hyperlink ref="K14" location="COM_AGR_Cesion_Granos" display="Cesión Granos Otras Actividades"/>
    <hyperlink ref="K15" location="COM_AGR_Ventas" display="Ventas de Granos"/>
    <hyperlink ref="K16" location="COM_AGR_Ventas" display="Compras de Granos"/>
    <hyperlink ref="K17" location="COM_AGR_Stock_Cierre" display="Stock Final de Granos"/>
    <hyperlink ref="K37" location="COM_AGR_Resultado_USD" display="Resultados Economicos U$S"/>
    <hyperlink ref="C37" location="AGR_Resultado_USD" display="Resultados Economicos U$S"/>
    <hyperlink ref="O5" location="GAN_Plan_Cuentas" display="Plan de Cuentas Ganadero"/>
    <hyperlink ref="O6" location="GAN_Campos" display="Definición de Campos"/>
    <hyperlink ref="O7" location="GAN_Categorias_Hacienda" display="Categorias de Hacienda"/>
    <hyperlink ref="O12" location="GAN_Stock_Inicio" display="Inventario Inicial"/>
    <hyperlink ref="O13" location="GAN_Compra_Hacienda" display="Compras"/>
    <hyperlink ref="O14" location="GAN_Tralado_Entrada" display="Traslados (Entradas)"/>
    <hyperlink ref="O15" location="GAN_Nacimientos" display="Nacimientos"/>
    <hyperlink ref="O16" location="GAN_Ventas" display="Ventas"/>
    <hyperlink ref="O18" location="GAN_Muertes" display="Muertes"/>
    <hyperlink ref="O19" location="GAN_Entrada_C.CAtegoria" display="Cambio de Categoria"/>
    <hyperlink ref="O20" location="GAN_Stock_Cierre" display="Inventario Final"/>
    <hyperlink ref="O17" location="GAN_Traslados_Salida" display="Traslados (Salidas)"/>
    <hyperlink ref="O37" location="COM_AGR_Resultado_USD" display="Resultados Economicos U$S"/>
    <hyperlink ref="O26" location="GAN_Personal" display="Pesonal"/>
    <hyperlink ref="O27" location="GAN_Sanidad" display="Sanidad"/>
    <hyperlink ref="O28" location="GAN_Alimentacion" display="Alimentación"/>
    <hyperlink ref="O31" location="GAN_Alimentacion" display="Labores Propias"/>
    <hyperlink ref="O29" location="GAN_Suplementacion" display="Suplementación"/>
    <hyperlink ref="O30" location="GAN_Suplementacion" display="Cesión de Granos"/>
    <hyperlink ref="O32" location="GAN_Gerenciamiento" display="Gerenciamiento"/>
    <hyperlink ref="O33" location="GAN_Arrendamientos" display="Arrendamiento"/>
    <hyperlink ref="O34" location="GAN_Arrendamientos" display="Costo Oportunidad Tierra"/>
    <hyperlink ref="O35" location="GAN_Amortizaciones" display="Amortizaciones"/>
    <hyperlink ref="C38" location="'Financiero $'!A1" display="Presupuesto Financiero $"/>
    <hyperlink ref="S12" location="LCH_Stock_Inicio" display="Inventario Inicial"/>
    <hyperlink ref="S13" location="LCH_Compra_Hacienda" display="Compras"/>
    <hyperlink ref="S15" location="LCH_Nacimientos" display="Nacimientos"/>
    <hyperlink ref="S18" location="LCH_Muertes" display="Muertes"/>
    <hyperlink ref="S19" location="LCH_Salida_C.Categoria" display="Cambio de Categoria"/>
    <hyperlink ref="S20" location="LCH_Stock_Cierre" display="Inventario Final"/>
    <hyperlink ref="S17" location="LCH_Traslado_Salida" display="Traslados (Salidas)"/>
    <hyperlink ref="S37" location="COM_AGR_Resultado_USD" display="Resultados Economicos U$S"/>
    <hyperlink ref="S5" location="LCH_Plan_Cuentas" display="Plan de Cuentas Lechero"/>
    <hyperlink ref="S6" location="LCH_Campos" display="Definición de Campos"/>
    <hyperlink ref="S8" location="LCH_Categorias_Hacienda" display="Categorias de Hacienda"/>
    <hyperlink ref="S14" location="LCH_Traslado_Entrada" display="Traslados (Entradas)"/>
    <hyperlink ref="S16" location="LCH_Venta_Hacienda" display="Ventas"/>
    <hyperlink ref="S23" location="LCH_Venta_Lecha" display="Venta de Leche"/>
    <hyperlink ref="S7" location="LCH_Datos_Tecnicos" display="Datos Tecnicos"/>
    <hyperlink ref="S26" location="LCH_Personal" display="Personal"/>
    <hyperlink ref="S27" location="LCH_Sanidad_Prod" display="Sanidad"/>
    <hyperlink ref="S28" location="LCH_Alimentacion" display="Alimentación"/>
    <hyperlink ref="S31" location="LCH_Alimentacion" display="Labores Propias"/>
    <hyperlink ref="S32" location="LCH_Gerenciameinto" display="Gerenciamiento"/>
    <hyperlink ref="S33" location="LCH_Arrendamiento" display="Arrendamiento"/>
    <hyperlink ref="S34" location="LCH_Arrendamiento" display="Costo Oportunidad Tierra"/>
    <hyperlink ref="S29" location="LCH_Suplementacion" display="Suplementación"/>
    <hyperlink ref="S30" location="LCH_Suplementacion" display="Cesión de Granos"/>
    <hyperlink ref="S35" location="LCH_Armotizacion" display="Amortizaciones"/>
    <hyperlink ref="W5" location="OTRAS_Plan_Cuentas" display="Plan de Cuentas"/>
    <hyperlink ref="W6" location="OTRAS_Unidades" display="Definición Unidades Negocio"/>
    <hyperlink ref="AA5" location="IND_Plan_Cuentas" display="Plan de Cuentas"/>
    <hyperlink ref="AA6" location="IND_Plan_Cuentas" display="Definición Unidades Negocio"/>
    <hyperlink ref="W12" location="OTRAS_Ingresos_Maquinarias" display="Ingreso Maquinarias"/>
    <hyperlink ref="W13" location="Otras_Cesiones_Maquinarias" display="Cesiones Maquinarias"/>
    <hyperlink ref="W14" location="OTRAS_Costos_Maquinarias" display="Costos Maquinarias"/>
    <hyperlink ref="W16" location="Otras_Ingresos_Inmobiliarios" display="Ingresos Inmobiliarios"/>
    <hyperlink ref="W17" location="OTRAS_Cesiones_Inmobiliarias" display="Cesiones Inmobiliarias"/>
    <hyperlink ref="W18" location="Otras_Costos_Inmobiliarios" display="Costos Inmobiliarios"/>
    <hyperlink ref="AA12" location="IND_Administracion" display="Administración"/>
    <hyperlink ref="AA13" location="IND_Estructura" display="Estructura"/>
    <hyperlink ref="AA16" location="IND_Inversiones" display="Inversiones"/>
    <hyperlink ref="AA17" location="OTRAS_Cesiones_Inmobiliarias" display="Cesiones Inmobiliarias"/>
    <hyperlink ref="AA18" location="Otras_Costos_Inmobiliarios" display="Costos Inmobiliarios"/>
    <hyperlink ref="AA15" location="IND_Dividendos" display="Dividendos"/>
    <hyperlink ref="AA14" location="IND_Impuestos" display="Impuestos"/>
    <hyperlink ref="G21" location="'Prod. Agrícola'!B273" display="Cultivo 8"/>
    <hyperlink ref="G22" location="'Prod. Agrícola'!B327" display="Cultivo 9"/>
    <hyperlink ref="G23" location="'Prod. Agrícola'!B381" display="Cultivo 10"/>
    <hyperlink ref="G24" location="'Prod. Agrícola'!B435" display="Cultivo 11"/>
    <hyperlink ref="G25" location="'Prod. Agrícola'!B489" display="Cultivo 12"/>
    <hyperlink ref="G26" location="'Prod. Agrícola'!B543" display="Cultivo 13"/>
    <hyperlink ref="G27" location="'Prod. Agrícola'!B597" display="Cultivo 14"/>
    <hyperlink ref="G28" location="'Prod. Agrícola'!B651" display="Cultivo 15"/>
  </hyperlink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5"/>
  <sheetViews>
    <sheetView showGridLines="0" zoomScale="90" zoomScaleNormal="90" workbookViewId="0">
      <selection activeCell="I11" sqref="I11"/>
    </sheetView>
  </sheetViews>
  <sheetFormatPr baseColWidth="10" defaultRowHeight="15" x14ac:dyDescent="0.25"/>
  <cols>
    <col min="1" max="1" width="25.85546875" bestFit="1" customWidth="1"/>
    <col min="2" max="2" width="9.140625" style="22" customWidth="1"/>
    <col min="3" max="3" width="15.140625" customWidth="1"/>
    <col min="4" max="7" width="14.85546875" customWidth="1"/>
    <col min="8" max="8" width="16.5703125" bestFit="1" customWidth="1"/>
    <col min="9" max="9" width="11.85546875" bestFit="1" customWidth="1"/>
  </cols>
  <sheetData>
    <row r="1" spans="1:10" x14ac:dyDescent="0.25">
      <c r="A1" s="67" t="s">
        <v>104</v>
      </c>
      <c r="B1" s="68" t="s">
        <v>27</v>
      </c>
      <c r="C1" s="67" t="s">
        <v>103</v>
      </c>
      <c r="D1" s="67" t="s">
        <v>102</v>
      </c>
      <c r="E1" s="67" t="s">
        <v>165</v>
      </c>
      <c r="F1" s="67" t="s">
        <v>164</v>
      </c>
      <c r="G1" s="67" t="s">
        <v>105</v>
      </c>
      <c r="H1" s="67" t="s">
        <v>199</v>
      </c>
      <c r="I1" s="68" t="s">
        <v>118</v>
      </c>
      <c r="J1" s="67" t="s">
        <v>39</v>
      </c>
    </row>
    <row r="2" spans="1:10" x14ac:dyDescent="0.25">
      <c r="A2" s="205" t="str">
        <f>Configuración!AC7</f>
        <v>Producción Agrícola</v>
      </c>
      <c r="B2" s="206" t="s">
        <v>88</v>
      </c>
      <c r="C2" s="207">
        <f>SUMPRODUCT((A2=Producción_Agricola[Cuenta Contable])*(Producción_Agricola[Cantidad Total]))</f>
        <v>0</v>
      </c>
      <c r="D2" s="207">
        <f>SUMPRODUCT((A2=Comercial_Agricola[Cuenta Contable])*(Comercial_Agricola[Toneladas]))</f>
        <v>0</v>
      </c>
      <c r="E2" s="207"/>
      <c r="F2" s="207"/>
      <c r="G2" s="207"/>
      <c r="H2" s="207"/>
      <c r="I2" s="205" t="b">
        <f>ROUND(C2,0)=ROUND(D2,0)</f>
        <v>1</v>
      </c>
      <c r="J2" s="205" t="s">
        <v>208</v>
      </c>
    </row>
    <row r="3" spans="1:10" x14ac:dyDescent="0.25">
      <c r="A3" s="201" t="str">
        <f>A2</f>
        <v>Producción Agrícola</v>
      </c>
      <c r="B3" s="199" t="s">
        <v>48</v>
      </c>
      <c r="C3" s="200">
        <f>SUMPRODUCT((A3=Producción_Agricola[Cuenta Contable])*(Producción_Agricola[Económico $Corrientes]))</f>
        <v>0</v>
      </c>
      <c r="D3" s="200">
        <f>-SUMPRODUCT((A3=Comercial_Agricola[Cuenta Contable])*(Comercial_Agricola[Económico $Corrientes]))</f>
        <v>0</v>
      </c>
      <c r="E3" s="200"/>
      <c r="F3" s="200"/>
      <c r="G3" s="200"/>
      <c r="H3" s="200"/>
      <c r="I3" s="201" t="b">
        <f>ROUND(C3,0)=ROUND(D3,0)</f>
        <v>1</v>
      </c>
      <c r="J3" s="201" t="s">
        <v>208</v>
      </c>
    </row>
    <row r="4" spans="1:10" x14ac:dyDescent="0.25">
      <c r="A4" s="202" t="str">
        <f>A3</f>
        <v>Producción Agrícola</v>
      </c>
      <c r="B4" s="203" t="s">
        <v>3</v>
      </c>
      <c r="C4" s="204">
        <f>SUMPRODUCT((A4=Producción_Agricola[Cuenta Contable])*(Producción_Agricola[Económico U$S Dólares]))</f>
        <v>0</v>
      </c>
      <c r="D4" s="204">
        <f>-SUMPRODUCT((A4=Comercial_Agricola[Cuenta Contable])*(Comercial_Agricola[Económico U$S Dólares]))</f>
        <v>0</v>
      </c>
      <c r="E4" s="204"/>
      <c r="F4" s="204"/>
      <c r="G4" s="204"/>
      <c r="H4" s="204"/>
      <c r="I4" s="202" t="b">
        <f>ROUND(C4,0)=ROUND(D4,0)</f>
        <v>1</v>
      </c>
      <c r="J4" s="202" t="s">
        <v>208</v>
      </c>
    </row>
    <row r="5" spans="1:10" x14ac:dyDescent="0.25">
      <c r="A5" s="205" t="s">
        <v>149</v>
      </c>
      <c r="B5" s="206" t="s">
        <v>88</v>
      </c>
      <c r="C5" s="207"/>
      <c r="D5" s="207">
        <f>SUM(Comercial_Agricola[Mov. Stock])</f>
        <v>0</v>
      </c>
      <c r="E5" s="207"/>
      <c r="F5" s="207"/>
      <c r="G5" s="207"/>
      <c r="H5" s="207"/>
      <c r="I5" s="205" t="b">
        <f>D5=0</f>
        <v>1</v>
      </c>
      <c r="J5" s="205"/>
    </row>
    <row r="6" spans="1:10" x14ac:dyDescent="0.25">
      <c r="A6" s="201" t="s">
        <v>150</v>
      </c>
      <c r="B6" s="199"/>
      <c r="C6" s="200"/>
      <c r="D6" s="200"/>
      <c r="E6" s="200">
        <f>SUM(Producción_Ganadera[Variación Stock])</f>
        <v>0</v>
      </c>
      <c r="F6" s="200"/>
      <c r="G6" s="200"/>
      <c r="H6" s="200"/>
      <c r="I6" s="201" t="b">
        <f>D6=0</f>
        <v>1</v>
      </c>
      <c r="J6" s="201"/>
    </row>
    <row r="7" spans="1:10" x14ac:dyDescent="0.25">
      <c r="A7" s="202" t="s">
        <v>502</v>
      </c>
      <c r="B7" s="203"/>
      <c r="C7" s="204"/>
      <c r="D7" s="204"/>
      <c r="E7" s="204"/>
      <c r="F7" s="204">
        <f>SUM(Producción_Lecheria[Variación Stock])</f>
        <v>0</v>
      </c>
      <c r="G7" s="204"/>
      <c r="H7" s="204"/>
      <c r="I7" s="202" t="b">
        <f>D7=0</f>
        <v>1</v>
      </c>
      <c r="J7" s="202"/>
    </row>
    <row r="8" spans="1:10" x14ac:dyDescent="0.25">
      <c r="A8" s="205" t="s">
        <v>172</v>
      </c>
      <c r="B8" s="206" t="s">
        <v>88</v>
      </c>
      <c r="C8" s="207"/>
      <c r="D8" s="207">
        <f>SUMPRODUCT((Comercial_Agricola[Cuenta Contable]=Tabla12[[#This Row],[Cuenta]])*(Comercial_Agricola[Toneladas]))</f>
        <v>0</v>
      </c>
      <c r="E8" s="207">
        <f>SUMPRODUCT((Tabla12[[#This Row],[Cuenta]]=Producción_Ganadera[Cuenta Contable])*(Producción_Ganadera[Cantidad]))</f>
        <v>0</v>
      </c>
      <c r="F8" s="207">
        <f>SUMPRODUCT((Tabla12[[#This Row],[Cuenta]]=Producción_Lecheria[Cuenta Contable])*(Producción_Lecheria[Cantidad]))</f>
        <v>0</v>
      </c>
      <c r="G8" s="207"/>
      <c r="H8" s="207"/>
      <c r="I8" s="205" t="b">
        <f>Tabla12[[#This Row],[Com. Agrícola]]=SUM(E8,F8)</f>
        <v>1</v>
      </c>
      <c r="J8" s="205" t="s">
        <v>208</v>
      </c>
    </row>
    <row r="9" spans="1:10" x14ac:dyDescent="0.25">
      <c r="A9" s="201" t="s">
        <v>172</v>
      </c>
      <c r="B9" s="199" t="s">
        <v>48</v>
      </c>
      <c r="C9" s="200"/>
      <c r="D9" s="200">
        <f>SUMPRODUCT((Comercial_Agricola[Cuenta Contable]=Tabla12[[#This Row],[Cuenta]])*(Comercial_Agricola[Económico $Corrientes]))</f>
        <v>0</v>
      </c>
      <c r="E9" s="200">
        <f>SUMPRODUCT((Tabla12[[#This Row],[Cuenta]]=Producción_Ganadera[Cuenta Contable])*(Producción_Ganadera[Económico $Corrientes]))</f>
        <v>0</v>
      </c>
      <c r="F9" s="200">
        <f>SUMPRODUCT((Tabla12[[#This Row],[Cuenta]]=Producción_Lecheria[Cuenta Contable])*(Producción_Lecheria[Económico $Corrientes]))</f>
        <v>0</v>
      </c>
      <c r="G9" s="200"/>
      <c r="H9" s="200"/>
      <c r="I9" s="201" t="b">
        <f>Tabla12[[#This Row],[Com. Agrícola]]=-SUM(E9,F9)</f>
        <v>1</v>
      </c>
      <c r="J9" s="201" t="s">
        <v>208</v>
      </c>
    </row>
    <row r="10" spans="1:10" x14ac:dyDescent="0.25">
      <c r="A10" s="202" t="s">
        <v>172</v>
      </c>
      <c r="B10" s="203" t="s">
        <v>3</v>
      </c>
      <c r="C10" s="204"/>
      <c r="D10" s="204">
        <f>SUMPRODUCT((Comercial_Agricola[Cuenta Contable]=Tabla12[[#This Row],[Cuenta]])*(Comercial_Agricola[Económico U$S Dólares]))</f>
        <v>0</v>
      </c>
      <c r="E10" s="204">
        <f>SUMPRODUCT((Tabla12[[#This Row],[Cuenta]]=Producción_Ganadera[Cuenta Contable])*(Producción_Ganadera[Económico U$S Dólares]))</f>
        <v>0</v>
      </c>
      <c r="F10" s="204">
        <f>SUMPRODUCT((Tabla12[[#This Row],[Cuenta]]=Producción_Lecheria[Cuenta Contable])*(Producción_Lecheria[Económico U$S Dólares]))</f>
        <v>0</v>
      </c>
      <c r="G10" s="204"/>
      <c r="H10" s="204"/>
      <c r="I10" s="202" t="b">
        <f>Tabla12[[#This Row],[Com. Agrícola]]=-SUM(E10,F10)</f>
        <v>1</v>
      </c>
      <c r="J10" s="202" t="s">
        <v>208</v>
      </c>
    </row>
    <row r="11" spans="1:10" x14ac:dyDescent="0.25">
      <c r="A11" s="67" t="str">
        <f>Configuración!BY22</f>
        <v>Labores Propias</v>
      </c>
      <c r="B11" s="68" t="s">
        <v>3</v>
      </c>
      <c r="C11" s="194">
        <f>SUMPRODUCT((Tabla12[[#This Row],[Cuenta]]=Producción_Agricola[Cuenta Contable])*(Producción_Agricola[Económico U$S Dólares]))</f>
        <v>0</v>
      </c>
      <c r="D11" s="194">
        <f>SUMPRODUCT((Tabla12[[#This Row],[Cuenta]]=Comercial_Agricola[Cuenta Contable])*(Comercial_Agricola[Económico U$S Dólares]))</f>
        <v>0</v>
      </c>
      <c r="E11" s="194">
        <f>SUMPRODUCT((Tabla12[[#This Row],[Cuenta]]=Producción_Ganadera[Cuenta Contable])*(Producción_Ganadera[Económico U$S Dólares]))</f>
        <v>0</v>
      </c>
      <c r="F11" s="194">
        <f>SUMPRODUCT((Tabla12[[#This Row],[Cuenta]]=Producción_Lecheria[Cuenta Contable])*(Producción_Lecheria[Económico U$S Dólares]))</f>
        <v>0</v>
      </c>
      <c r="G11" s="194">
        <f>SUMPRODUCT((Tabla12[[#This Row],[Cuenta]]=Indirectos[Cuenta Contable])*(Indirectos[Económico U$S Dólares]))</f>
        <v>0</v>
      </c>
      <c r="H11" s="194">
        <f>SUMPRODUCT((Tabla12[[#This Row],[Cuenta]]=Otras_Actividades_Base[Cuenta Contable])*(Otras_Actividades_Base[Económico U$S Dólares]))</f>
        <v>0</v>
      </c>
      <c r="I11" s="67" t="b">
        <f>-SUM(Tabla12[[#This Row],[Prod. Agrícola]:[Indirectos]])=Tabla12[[#This Row],[Otras Actividades]]</f>
        <v>1</v>
      </c>
      <c r="J11" s="67" t="s">
        <v>208</v>
      </c>
    </row>
    <row r="12" spans="1:10" x14ac:dyDescent="0.25">
      <c r="A12" s="67" t="str">
        <f>Configuración!BY23</f>
        <v>Cosecha Propia</v>
      </c>
      <c r="B12" s="68" t="s">
        <v>3</v>
      </c>
      <c r="C12" s="194">
        <f>SUMPRODUCT((Tabla12[[#This Row],[Cuenta]]=Producción_Agricola[Cuenta Contable])*(Producción_Agricola[Económico U$S Dólares]))</f>
        <v>0</v>
      </c>
      <c r="D12" s="194">
        <f>SUMPRODUCT((Tabla12[[#This Row],[Cuenta]]=Comercial_Agricola[Cuenta Contable])*(Comercial_Agricola[Económico U$S Dólares]))</f>
        <v>0</v>
      </c>
      <c r="E12" s="194">
        <f>SUMPRODUCT((Tabla12[[#This Row],[Cuenta]]=Producción_Ganadera[Cuenta Contable])*(Producción_Ganadera[Económico U$S Dólares]))</f>
        <v>0</v>
      </c>
      <c r="F12" s="194">
        <f>SUMPRODUCT((Tabla12[[#This Row],[Cuenta]]=Producción_Lecheria[Cuenta Contable])*(Producción_Lecheria[Económico U$S Dólares]))</f>
        <v>0</v>
      </c>
      <c r="G12" s="194">
        <f>SUMPRODUCT((Tabla12[[#This Row],[Cuenta]]=Indirectos[Cuenta Contable])*(Indirectos[Económico U$S Dólares]))</f>
        <v>0</v>
      </c>
      <c r="H12" s="194">
        <f>SUMPRODUCT((Tabla12[[#This Row],[Cuenta]]=Otras_Actividades_Base[Cuenta Contable])*(Otras_Actividades_Base[Económico U$S Dólares]))</f>
        <v>0</v>
      </c>
      <c r="I12" s="67" t="b">
        <f>-SUM(Tabla12[[#This Row],[Prod. Agrícola]:[Indirectos]])=Tabla12[[#This Row],[Otras Actividades]]</f>
        <v>1</v>
      </c>
      <c r="J12" s="67" t="s">
        <v>208</v>
      </c>
    </row>
    <row r="13" spans="1:10" x14ac:dyDescent="0.25">
      <c r="A13" s="67" t="str">
        <f>Configuración!BY24</f>
        <v>Fletes Propios</v>
      </c>
      <c r="B13" s="68" t="s">
        <v>3</v>
      </c>
      <c r="C13" s="194">
        <f>SUMPRODUCT((Tabla12[[#This Row],[Cuenta]]=Producción_Agricola[Cuenta Contable])*(Producción_Agricola[Económico U$S Dólares]))</f>
        <v>0</v>
      </c>
      <c r="D13" s="194">
        <f>SUMPRODUCT((Tabla12[[#This Row],[Cuenta]]=Comercial_Agricola[Cuenta Contable])*(Comercial_Agricola[Económico U$S Dólares]))</f>
        <v>0</v>
      </c>
      <c r="E13" s="194">
        <f>SUMPRODUCT((Tabla12[[#This Row],[Cuenta]]=Producción_Ganadera[Cuenta Contable])*(Producción_Ganadera[Económico U$S Dólares]))</f>
        <v>0</v>
      </c>
      <c r="F13" s="194">
        <f>SUMPRODUCT((Tabla12[[#This Row],[Cuenta]]=Producción_Lecheria[Cuenta Contable])*(Producción_Lecheria[Económico U$S Dólares]))</f>
        <v>0</v>
      </c>
      <c r="G13" s="194">
        <f>SUMPRODUCT((Tabla12[[#This Row],[Cuenta]]=Indirectos[Cuenta Contable])*(Indirectos[Económico U$S Dólares]))</f>
        <v>0</v>
      </c>
      <c r="H13" s="194">
        <f>SUMPRODUCT((Tabla12[[#This Row],[Cuenta]]=Otras_Actividades_Base[Cuenta Contable])*(Otras_Actividades_Base[Económico U$S Dólares]))</f>
        <v>0</v>
      </c>
      <c r="I13" s="67" t="b">
        <f>-SUM(Tabla12[[#This Row],[Prod. Agrícola]:[Indirectos]])=Tabla12[[#This Row],[Otras Actividades]]</f>
        <v>1</v>
      </c>
      <c r="J13" s="67" t="s">
        <v>208</v>
      </c>
    </row>
    <row r="14" spans="1:10" x14ac:dyDescent="0.25">
      <c r="A14" s="67" t="str">
        <f>Configuración!BY25</f>
        <v>Costo Oportunidad Tierra</v>
      </c>
      <c r="B14" s="68" t="s">
        <v>3</v>
      </c>
      <c r="C14" s="194">
        <f>SUMPRODUCT((Tabla12[[#This Row],[Cuenta]]=Producción_Agricola[Cuenta Contable])*(Producción_Agricola[Económico U$S Dólares]))</f>
        <v>0</v>
      </c>
      <c r="D14" s="194">
        <f>SUMPRODUCT((Tabla12[[#This Row],[Cuenta]]=Comercial_Agricola[Cuenta Contable])*(Comercial_Agricola[Económico U$S Dólares]))</f>
        <v>0</v>
      </c>
      <c r="E14" s="194">
        <f>SUMPRODUCT((Tabla12[[#This Row],[Cuenta]]=Producción_Ganadera[Cuenta Contable])*(Producción_Ganadera[Económico U$S Dólares]))</f>
        <v>0</v>
      </c>
      <c r="F14" s="194">
        <f>SUMPRODUCT((Tabla12[[#This Row],[Cuenta]]=Producción_Lecheria[Cuenta Contable])*(Producción_Lecheria[Económico U$S Dólares]))</f>
        <v>0</v>
      </c>
      <c r="G14" s="194">
        <f>SUMPRODUCT((Tabla12[[#This Row],[Cuenta]]=Indirectos[Cuenta Contable])*(Indirectos[Económico U$S Dólares]))</f>
        <v>0</v>
      </c>
      <c r="H14" s="194">
        <f>SUMPRODUCT((Tabla12[[#This Row],[Cuenta]]=Otras_Actividades_Base[Cuenta Contable])*(Otras_Actividades_Base[Económico U$S Dólares]))</f>
        <v>0</v>
      </c>
      <c r="I14" s="67" t="b">
        <f>-SUM(Tabla12[[#This Row],[Prod. Agrícola]:[Indirectos]])=Tabla12[[#This Row],[Otras Actividades]]</f>
        <v>1</v>
      </c>
      <c r="J14" s="67" t="s">
        <v>208</v>
      </c>
    </row>
    <row r="15" spans="1:10" x14ac:dyDescent="0.25">
      <c r="A15" s="67"/>
      <c r="B15" s="68"/>
      <c r="C15" s="194"/>
      <c r="D15" s="194"/>
      <c r="E15" s="194"/>
      <c r="F15" s="194"/>
      <c r="G15" s="194"/>
      <c r="H15" s="194"/>
      <c r="I15" s="67"/>
      <c r="J15" s="67"/>
    </row>
    <row r="16" spans="1:10" x14ac:dyDescent="0.25">
      <c r="A16" s="67"/>
      <c r="B16" s="68"/>
      <c r="C16" s="194"/>
      <c r="D16" s="194"/>
      <c r="E16" s="194"/>
      <c r="F16" s="194"/>
      <c r="G16" s="194"/>
      <c r="H16" s="194"/>
      <c r="I16" s="67"/>
      <c r="J16" s="67"/>
    </row>
    <row r="17" spans="1:10" x14ac:dyDescent="0.25">
      <c r="A17" s="67"/>
      <c r="B17" s="68"/>
      <c r="C17" s="194"/>
      <c r="D17" s="194"/>
      <c r="E17" s="194"/>
      <c r="F17" s="194"/>
      <c r="G17" s="194"/>
      <c r="H17" s="194"/>
      <c r="I17" s="67"/>
      <c r="J17" s="67"/>
    </row>
    <row r="18" spans="1:10" x14ac:dyDescent="0.25">
      <c r="A18" s="67"/>
      <c r="B18" s="68"/>
      <c r="C18" s="194"/>
      <c r="D18" s="194"/>
      <c r="E18" s="194"/>
      <c r="F18" s="194"/>
      <c r="G18" s="194"/>
      <c r="H18" s="194"/>
      <c r="I18" s="67"/>
      <c r="J18" s="67"/>
    </row>
    <row r="19" spans="1:10" x14ac:dyDescent="0.25">
      <c r="A19" s="67"/>
      <c r="B19" s="68"/>
      <c r="C19" s="194"/>
      <c r="D19" s="194"/>
      <c r="E19" s="194"/>
      <c r="F19" s="194"/>
      <c r="G19" s="194"/>
      <c r="H19" s="194"/>
      <c r="I19" s="67"/>
      <c r="J19" s="67"/>
    </row>
    <row r="20" spans="1:10" x14ac:dyDescent="0.25">
      <c r="A20" s="67"/>
      <c r="B20" s="68"/>
      <c r="C20" s="194"/>
      <c r="D20" s="194"/>
      <c r="E20" s="194"/>
      <c r="F20" s="194"/>
      <c r="G20" s="194"/>
      <c r="H20" s="194"/>
      <c r="I20" s="67"/>
      <c r="J20" s="67"/>
    </row>
    <row r="21" spans="1:10" x14ac:dyDescent="0.25">
      <c r="A21" s="67"/>
      <c r="B21" s="68"/>
      <c r="C21" s="194"/>
      <c r="D21" s="194"/>
      <c r="E21" s="194"/>
      <c r="F21" s="194"/>
      <c r="G21" s="194"/>
      <c r="H21" s="194"/>
      <c r="I21" s="67"/>
      <c r="J21" s="67"/>
    </row>
    <row r="22" spans="1:10" x14ac:dyDescent="0.25">
      <c r="A22" s="67"/>
      <c r="B22" s="68"/>
      <c r="C22" s="194"/>
      <c r="D22" s="194"/>
      <c r="E22" s="194"/>
      <c r="F22" s="194"/>
      <c r="G22" s="194"/>
      <c r="H22" s="194"/>
      <c r="I22" s="67"/>
      <c r="J22" s="67"/>
    </row>
    <row r="23" spans="1:10" x14ac:dyDescent="0.25">
      <c r="A23" s="67"/>
      <c r="B23" s="68"/>
      <c r="C23" s="194"/>
      <c r="D23" s="194"/>
      <c r="E23" s="194"/>
      <c r="F23" s="194"/>
      <c r="G23" s="194"/>
      <c r="H23" s="194"/>
      <c r="I23" s="67"/>
      <c r="J23" s="67"/>
    </row>
    <row r="24" spans="1:10" x14ac:dyDescent="0.25">
      <c r="A24" s="67"/>
      <c r="B24" s="68"/>
      <c r="C24" s="194"/>
      <c r="D24" s="194"/>
      <c r="E24" s="194"/>
      <c r="F24" s="194"/>
      <c r="G24" s="194"/>
      <c r="H24" s="194"/>
      <c r="I24" s="67"/>
      <c r="J24" s="67"/>
    </row>
    <row r="25" spans="1:10" x14ac:dyDescent="0.25">
      <c r="A25" s="67"/>
      <c r="B25" s="68"/>
      <c r="C25" s="198"/>
      <c r="D25" s="198"/>
      <c r="E25" s="198"/>
      <c r="F25" s="198"/>
      <c r="G25" s="198"/>
      <c r="H25" s="198"/>
      <c r="I25" s="67"/>
      <c r="J25" s="67"/>
    </row>
  </sheetData>
  <conditionalFormatting sqref="I2:I24">
    <cfRule type="cellIs" dxfId="1294" priority="7" operator="equal">
      <formula>FALSE</formula>
    </cfRule>
    <cfRule type="cellIs" dxfId="1293" priority="8" operator="equal">
      <formula>TRUE</formula>
    </cfRule>
  </conditionalFormatting>
  <conditionalFormatting sqref="I9:I10">
    <cfRule type="cellIs" dxfId="1292" priority="5" operator="equal">
      <formula>FALSE</formula>
    </cfRule>
    <cfRule type="cellIs" dxfId="1291" priority="6" operator="equal">
      <formula>TRUE</formula>
    </cfRule>
  </conditionalFormatting>
  <conditionalFormatting sqref="I11">
    <cfRule type="cellIs" dxfId="1290" priority="3" operator="equal">
      <formula>FALSE</formula>
    </cfRule>
    <cfRule type="cellIs" dxfId="1289" priority="4" operator="equal">
      <formula>TRUE</formula>
    </cfRule>
  </conditionalFormatting>
  <conditionalFormatting sqref="I12:I14">
    <cfRule type="cellIs" dxfId="1288" priority="1" operator="equal">
      <formula>FALSE</formula>
    </cfRule>
    <cfRule type="cellIs" dxfId="1287" priority="2" operator="equal">
      <formula>TRUE</formula>
    </cfRule>
  </conditionalFormatting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CM34"/>
  <sheetViews>
    <sheetView showGridLines="0" zoomScale="80" zoomScaleNormal="80" workbookViewId="0">
      <selection activeCell="BP3" sqref="BP3:BU3"/>
    </sheetView>
  </sheetViews>
  <sheetFormatPr baseColWidth="10" defaultRowHeight="15" x14ac:dyDescent="0.25"/>
  <cols>
    <col min="1" max="1" width="4.28515625" customWidth="1"/>
    <col min="2" max="2" width="17.5703125" bestFit="1" customWidth="1"/>
    <col min="3" max="3" width="4.7109375" customWidth="1"/>
    <col min="4" max="4" width="26.85546875" customWidth="1"/>
    <col min="5" max="5" width="4.5703125" customWidth="1"/>
    <col min="6" max="6" width="5" bestFit="1" customWidth="1"/>
    <col min="7" max="7" width="7.7109375" customWidth="1"/>
    <col min="8" max="9" width="9.5703125" customWidth="1"/>
    <col min="10" max="10" width="12.5703125" customWidth="1"/>
    <col min="11" max="11" width="5" customWidth="1"/>
    <col min="12" max="12" width="15.85546875" customWidth="1"/>
    <col min="13" max="13" width="10.42578125" customWidth="1"/>
    <col min="14" max="14" width="8" customWidth="1"/>
    <col min="15" max="15" width="5" customWidth="1"/>
    <col min="16" max="16" width="34.7109375" customWidth="1"/>
    <col min="17" max="17" width="15.7109375" bestFit="1" customWidth="1"/>
    <col min="18" max="18" width="15.85546875" bestFit="1" customWidth="1"/>
    <col min="19" max="19" width="11.5703125" bestFit="1" customWidth="1"/>
    <col min="20" max="20" width="4" customWidth="1"/>
    <col min="21" max="21" width="30.5703125" bestFit="1" customWidth="1"/>
    <col min="22" max="22" width="20" customWidth="1"/>
    <col min="23" max="23" width="4" customWidth="1"/>
    <col min="24" max="24" width="15.140625" bestFit="1" customWidth="1"/>
    <col min="25" max="25" width="15.140625" customWidth="1"/>
    <col min="26" max="26" width="29.28515625" bestFit="1" customWidth="1"/>
    <col min="27" max="27" width="10" bestFit="1" customWidth="1"/>
    <col min="28" max="28" width="5" customWidth="1"/>
    <col min="29" max="29" width="33.7109375" bestFit="1" customWidth="1"/>
    <col min="30" max="30" width="14.85546875" bestFit="1" customWidth="1"/>
    <col min="31" max="31" width="6" bestFit="1" customWidth="1"/>
    <col min="38" max="38" width="5.85546875" customWidth="1"/>
    <col min="39" max="39" width="30.5703125" bestFit="1" customWidth="1"/>
    <col min="41" max="41" width="6" customWidth="1"/>
    <col min="42" max="42" width="17.85546875" bestFit="1" customWidth="1"/>
    <col min="43" max="43" width="17.85546875" customWidth="1"/>
    <col min="44" max="44" width="12.85546875" bestFit="1" customWidth="1"/>
    <col min="45" max="45" width="6" customWidth="1"/>
    <col min="46" max="46" width="26" bestFit="1" customWidth="1"/>
    <col min="47" max="47" width="15.7109375" bestFit="1" customWidth="1"/>
    <col min="50" max="50" width="8.140625" customWidth="1"/>
    <col min="51" max="51" width="6.85546875" customWidth="1"/>
    <col min="52" max="52" width="20.85546875" bestFit="1" customWidth="1"/>
    <col min="53" max="53" width="12" customWidth="1"/>
    <col min="54" max="54" width="6.7109375" customWidth="1"/>
    <col min="55" max="55" width="17.85546875" bestFit="1" customWidth="1"/>
    <col min="56" max="56" width="17.85546875" customWidth="1"/>
    <col min="57" max="57" width="12.85546875" bestFit="1" customWidth="1"/>
    <col min="58" max="58" width="5.85546875" customWidth="1"/>
    <col min="59" max="59" width="26" bestFit="1" customWidth="1"/>
    <col min="60" max="60" width="15.7109375" bestFit="1" customWidth="1"/>
    <col min="63" max="63" width="8.140625" customWidth="1"/>
    <col min="64" max="64" width="5.85546875" customWidth="1"/>
    <col min="65" max="65" width="20.85546875" bestFit="1" customWidth="1"/>
    <col min="66" max="66" width="12" customWidth="1"/>
    <col min="67" max="67" width="5.85546875" customWidth="1"/>
    <col min="68" max="68" width="5" bestFit="1" customWidth="1"/>
    <col min="69" max="69" width="5.5703125" bestFit="1" customWidth="1"/>
    <col min="70" max="73" width="12" customWidth="1"/>
    <col min="74" max="74" width="6.42578125" customWidth="1"/>
    <col min="75" max="75" width="20" bestFit="1" customWidth="1"/>
    <col min="76" max="76" width="7.140625" customWidth="1"/>
    <col min="77" max="77" width="30.7109375" bestFit="1" customWidth="1"/>
    <col min="78" max="78" width="16.5703125" style="45" customWidth="1"/>
    <col min="80" max="80" width="4.7109375" customWidth="1"/>
    <col min="81" max="81" width="20.85546875" customWidth="1"/>
    <col min="82" max="82" width="4.7109375" customWidth="1"/>
    <col min="83" max="83" width="35.42578125" customWidth="1"/>
    <col min="84" max="84" width="15.7109375" bestFit="1" customWidth="1"/>
    <col min="85" max="85" width="10.7109375" bestFit="1" customWidth="1"/>
    <col min="87" max="87" width="5" customWidth="1"/>
    <col min="88" max="88" width="36.5703125" customWidth="1"/>
    <col min="89" max="89" width="13.85546875" bestFit="1" customWidth="1"/>
    <col min="90" max="90" width="13.85546875" customWidth="1"/>
    <col min="91" max="91" width="6.5703125" bestFit="1" customWidth="1"/>
  </cols>
  <sheetData>
    <row r="1" spans="1:91" x14ac:dyDescent="0.25">
      <c r="A1" s="185"/>
      <c r="B1" s="185"/>
      <c r="Z1" s="185"/>
    </row>
    <row r="3" spans="1:91" x14ac:dyDescent="0.25">
      <c r="F3" s="349" t="s">
        <v>418</v>
      </c>
      <c r="G3" s="350"/>
      <c r="H3" s="350"/>
      <c r="I3" s="350"/>
      <c r="J3" s="351"/>
      <c r="P3" s="1123" t="s">
        <v>154</v>
      </c>
      <c r="Q3" s="1124"/>
      <c r="R3" s="1124"/>
      <c r="S3" s="1125"/>
      <c r="T3" s="23"/>
      <c r="U3" s="1126" t="s">
        <v>153</v>
      </c>
      <c r="V3" s="1127"/>
      <c r="X3" s="1123" t="s">
        <v>362</v>
      </c>
      <c r="Y3" s="1124"/>
      <c r="Z3" s="1124"/>
      <c r="AA3" s="1125"/>
      <c r="AC3" s="1123" t="s">
        <v>155</v>
      </c>
      <c r="AD3" s="1124"/>
      <c r="AE3" s="1124"/>
      <c r="AF3" s="1124"/>
      <c r="AG3" s="1124"/>
      <c r="AH3" s="1124"/>
      <c r="AI3" s="1124"/>
      <c r="AJ3" s="1124"/>
      <c r="AK3" s="1125"/>
      <c r="AM3" s="1123" t="s">
        <v>156</v>
      </c>
      <c r="AN3" s="1125"/>
      <c r="AP3" s="1111" t="s">
        <v>157</v>
      </c>
      <c r="AQ3" s="1116"/>
      <c r="AR3" s="1112"/>
      <c r="AT3" s="1113" t="s">
        <v>119</v>
      </c>
      <c r="AU3" s="1114"/>
      <c r="AV3" s="1114"/>
      <c r="AW3" s="1114"/>
      <c r="AX3" s="1115"/>
      <c r="AZ3" s="1111" t="s">
        <v>119</v>
      </c>
      <c r="BA3" s="1112"/>
      <c r="BC3" s="1117" t="s">
        <v>163</v>
      </c>
      <c r="BD3" s="1118"/>
      <c r="BE3" s="1119"/>
      <c r="BF3" s="23"/>
      <c r="BG3" s="1117" t="s">
        <v>160</v>
      </c>
      <c r="BH3" s="1118"/>
      <c r="BI3" s="1118"/>
      <c r="BJ3" s="1118"/>
      <c r="BK3" s="1119"/>
      <c r="BM3" s="1117" t="s">
        <v>160</v>
      </c>
      <c r="BN3" s="1119"/>
      <c r="BO3" s="23"/>
      <c r="BP3" s="1120" t="s">
        <v>160</v>
      </c>
      <c r="BQ3" s="1121"/>
      <c r="BR3" s="1121"/>
      <c r="BS3" s="1121"/>
      <c r="BT3" s="1121"/>
      <c r="BU3" s="1122"/>
      <c r="BV3" s="23"/>
      <c r="BW3" s="181" t="s">
        <v>199</v>
      </c>
      <c r="BY3" s="1108" t="s">
        <v>199</v>
      </c>
      <c r="BZ3" s="1109"/>
      <c r="CA3" s="1110"/>
      <c r="CC3" s="72" t="s">
        <v>105</v>
      </c>
      <c r="CD3" s="23"/>
      <c r="CE3" s="1105" t="s">
        <v>105</v>
      </c>
      <c r="CF3" s="1106"/>
      <c r="CG3" s="1106"/>
      <c r="CH3" s="1107"/>
      <c r="CJ3" s="1105" t="s">
        <v>282</v>
      </c>
      <c r="CK3" s="1106"/>
      <c r="CL3" s="1106"/>
      <c r="CM3" s="1107"/>
    </row>
    <row r="4" spans="1:91" s="2" customFormat="1" ht="30" x14ac:dyDescent="0.25">
      <c r="B4" s="2" t="s">
        <v>395</v>
      </c>
      <c r="D4" s="2" t="s">
        <v>394</v>
      </c>
      <c r="F4" s="2" t="s">
        <v>12</v>
      </c>
      <c r="G4" s="2" t="s">
        <v>13</v>
      </c>
      <c r="H4" s="2" t="s">
        <v>14</v>
      </c>
      <c r="I4" s="2" t="s">
        <v>220</v>
      </c>
      <c r="J4" s="12" t="s">
        <v>520</v>
      </c>
      <c r="L4" s="34" t="s">
        <v>402</v>
      </c>
      <c r="M4" s="73" t="s">
        <v>62</v>
      </c>
      <c r="N4" s="73" t="s">
        <v>64</v>
      </c>
      <c r="P4" s="2" t="s">
        <v>78</v>
      </c>
      <c r="Q4" s="2" t="s">
        <v>39</v>
      </c>
      <c r="R4" s="2" t="s">
        <v>255</v>
      </c>
      <c r="S4" s="2" t="s">
        <v>106</v>
      </c>
      <c r="U4" s="48" t="s">
        <v>79</v>
      </c>
      <c r="V4" s="49" t="s">
        <v>80</v>
      </c>
      <c r="X4" s="2" t="s">
        <v>0</v>
      </c>
      <c r="Y4" s="2" t="s">
        <v>4</v>
      </c>
      <c r="Z4" s="2" t="s">
        <v>151</v>
      </c>
      <c r="AA4" s="2" t="s">
        <v>152</v>
      </c>
      <c r="AC4" s="2" t="s">
        <v>78</v>
      </c>
      <c r="AD4" s="2" t="s">
        <v>39</v>
      </c>
      <c r="AE4" s="2" t="s">
        <v>97</v>
      </c>
      <c r="AF4" s="2" t="s">
        <v>44</v>
      </c>
      <c r="AG4" s="2" t="s">
        <v>45</v>
      </c>
      <c r="AH4" s="2" t="s">
        <v>291</v>
      </c>
      <c r="AI4" s="2" t="s">
        <v>42</v>
      </c>
      <c r="AJ4" s="2" t="s">
        <v>40</v>
      </c>
      <c r="AK4" s="2" t="s">
        <v>41</v>
      </c>
      <c r="AM4" s="46" t="s">
        <v>79</v>
      </c>
      <c r="AN4" s="47" t="s">
        <v>80</v>
      </c>
      <c r="AP4" s="87" t="s">
        <v>0</v>
      </c>
      <c r="AQ4" s="87" t="s">
        <v>4</v>
      </c>
      <c r="AR4" s="87" t="s">
        <v>152</v>
      </c>
      <c r="AT4" s="2" t="s">
        <v>78</v>
      </c>
      <c r="AU4" s="2" t="s">
        <v>39</v>
      </c>
      <c r="AV4" s="2" t="s">
        <v>106</v>
      </c>
      <c r="AW4" s="2" t="s">
        <v>40</v>
      </c>
      <c r="AX4" s="2" t="s">
        <v>98</v>
      </c>
      <c r="AZ4" s="2" t="s">
        <v>225</v>
      </c>
      <c r="BA4" s="2" t="s">
        <v>267</v>
      </c>
      <c r="BC4" s="87" t="s">
        <v>0</v>
      </c>
      <c r="BD4" s="87" t="s">
        <v>4</v>
      </c>
      <c r="BE4" s="87" t="s">
        <v>152</v>
      </c>
      <c r="BG4" s="2" t="s">
        <v>78</v>
      </c>
      <c r="BH4" s="2" t="s">
        <v>39</v>
      </c>
      <c r="BI4" s="2" t="s">
        <v>106</v>
      </c>
      <c r="BJ4" s="2" t="s">
        <v>40</v>
      </c>
      <c r="BK4" s="2" t="s">
        <v>98</v>
      </c>
      <c r="BM4" s="2" t="s">
        <v>225</v>
      </c>
      <c r="BN4" s="2" t="s">
        <v>267</v>
      </c>
      <c r="BP4" s="2" t="s">
        <v>12</v>
      </c>
      <c r="BQ4" s="2" t="s">
        <v>13</v>
      </c>
      <c r="BR4" s="2" t="s">
        <v>279</v>
      </c>
      <c r="BS4" s="2" t="s">
        <v>4</v>
      </c>
      <c r="BT4" s="2" t="s">
        <v>212</v>
      </c>
      <c r="BU4" s="2" t="s">
        <v>479</v>
      </c>
      <c r="BW4" s="34" t="s">
        <v>79</v>
      </c>
      <c r="BY4" s="2" t="s">
        <v>78</v>
      </c>
      <c r="BZ4" s="177" t="s">
        <v>39</v>
      </c>
      <c r="CA4" s="2" t="s">
        <v>106</v>
      </c>
      <c r="CC4" s="34" t="s">
        <v>79</v>
      </c>
      <c r="CE4" s="2" t="s">
        <v>78</v>
      </c>
      <c r="CF4" s="2" t="s">
        <v>39</v>
      </c>
      <c r="CG4" s="2" t="s">
        <v>338</v>
      </c>
      <c r="CH4" s="2" t="s">
        <v>106</v>
      </c>
      <c r="CJ4" s="2" t="s">
        <v>78</v>
      </c>
      <c r="CK4" s="2" t="s">
        <v>39</v>
      </c>
      <c r="CL4" s="2" t="s">
        <v>338</v>
      </c>
      <c r="CM4" s="2" t="s">
        <v>106</v>
      </c>
    </row>
    <row r="5" spans="1:91" x14ac:dyDescent="0.25">
      <c r="B5" t="str">
        <f>CONCATENATE(YEAR(Tabla37[Inicio Presupuesto])-1,"-",YEAR(Tabla37[Inicio Presupuesto]))</f>
        <v>2017-2018</v>
      </c>
      <c r="D5" t="s">
        <v>2</v>
      </c>
      <c r="F5">
        <f>MONTH(Tabla37[Inicio Presupuesto])</f>
        <v>7</v>
      </c>
      <c r="G5">
        <f>YEAR(Tabla37[Inicio Presupuesto])</f>
        <v>2018</v>
      </c>
      <c r="H5" s="3">
        <v>22</v>
      </c>
      <c r="I5" s="659">
        <v>0.02</v>
      </c>
      <c r="J5" s="13">
        <v>1</v>
      </c>
      <c r="L5" s="35" t="s">
        <v>37</v>
      </c>
      <c r="M5" s="74" t="s">
        <v>63</v>
      </c>
      <c r="N5" s="74" t="s">
        <v>66</v>
      </c>
      <c r="P5" t="s">
        <v>77</v>
      </c>
      <c r="Q5" t="s">
        <v>59</v>
      </c>
      <c r="R5" t="s">
        <v>37</v>
      </c>
      <c r="S5" s="15">
        <v>0</v>
      </c>
      <c r="T5" s="15"/>
      <c r="U5" s="36" t="s">
        <v>241</v>
      </c>
      <c r="V5" s="36" t="s">
        <v>35</v>
      </c>
      <c r="X5" t="s">
        <v>2</v>
      </c>
      <c r="Y5" t="s">
        <v>11</v>
      </c>
      <c r="Z5" t="s">
        <v>241</v>
      </c>
      <c r="AA5">
        <v>100</v>
      </c>
      <c r="AC5" s="19" t="s">
        <v>46</v>
      </c>
      <c r="AD5" s="19" t="s">
        <v>60</v>
      </c>
      <c r="AE5" s="23" t="s">
        <v>63</v>
      </c>
      <c r="AF5" s="63"/>
      <c r="AG5" s="63"/>
      <c r="AH5" s="63"/>
      <c r="AI5" s="63"/>
      <c r="AJ5" s="63"/>
      <c r="AK5" s="63"/>
      <c r="AM5" s="36" t="s">
        <v>55</v>
      </c>
      <c r="AN5" s="36" t="s">
        <v>81</v>
      </c>
      <c r="AP5" t="s">
        <v>2</v>
      </c>
      <c r="AQ5" t="s">
        <v>10</v>
      </c>
      <c r="AR5">
        <v>2356</v>
      </c>
      <c r="AT5" s="19" t="s">
        <v>60</v>
      </c>
      <c r="AU5" s="19" t="s">
        <v>60</v>
      </c>
      <c r="AV5" s="186">
        <v>0</v>
      </c>
      <c r="AW5" s="186"/>
      <c r="AX5" s="187" t="s">
        <v>66</v>
      </c>
      <c r="AZ5" t="s">
        <v>132</v>
      </c>
      <c r="BA5" s="183">
        <v>450</v>
      </c>
      <c r="BC5" t="s">
        <v>2</v>
      </c>
      <c r="BD5" t="s">
        <v>11</v>
      </c>
      <c r="BE5">
        <v>350</v>
      </c>
      <c r="BG5" t="s">
        <v>60</v>
      </c>
      <c r="BH5" t="s">
        <v>60</v>
      </c>
      <c r="BI5" s="15">
        <v>0</v>
      </c>
      <c r="BJ5" s="15"/>
      <c r="BK5" s="83" t="s">
        <v>66</v>
      </c>
      <c r="BM5" t="s">
        <v>483</v>
      </c>
      <c r="BN5" s="183">
        <v>600</v>
      </c>
      <c r="BP5">
        <f>Tipo_Cambio[[#This Row],[Mes]]</f>
        <v>7</v>
      </c>
      <c r="BQ5">
        <f>Tipo_Cambio[[#This Row],[Año]]</f>
        <v>2018</v>
      </c>
      <c r="BR5" t="s">
        <v>2</v>
      </c>
      <c r="BS5" s="371" t="s">
        <v>10</v>
      </c>
      <c r="BW5" s="35" t="s">
        <v>200</v>
      </c>
      <c r="BY5" s="5" t="s">
        <v>202</v>
      </c>
      <c r="BZ5" s="177" t="s">
        <v>37</v>
      </c>
      <c r="CA5" s="178">
        <v>0.21</v>
      </c>
      <c r="CC5" s="35" t="s">
        <v>6</v>
      </c>
      <c r="CE5" t="s">
        <v>107</v>
      </c>
      <c r="CF5" t="s">
        <v>38</v>
      </c>
      <c r="CG5" t="s">
        <v>63</v>
      </c>
      <c r="CH5" s="15">
        <v>0</v>
      </c>
      <c r="CJ5" s="5" t="s">
        <v>288</v>
      </c>
      <c r="CK5" t="s">
        <v>37</v>
      </c>
      <c r="CL5" t="s">
        <v>65</v>
      </c>
      <c r="CM5" s="15">
        <v>0</v>
      </c>
    </row>
    <row r="6" spans="1:91" x14ac:dyDescent="0.25">
      <c r="B6" t="str">
        <f>CONCATENATE(YEAR(Tabla37[Inicio Presupuesto]),"-",YEAR(Tabla37[Inicio Presupuesto])+1)</f>
        <v>2018-2019</v>
      </c>
      <c r="D6" t="s">
        <v>8</v>
      </c>
      <c r="F6">
        <f t="shared" ref="F6:F25" si="0">IF(F5=12,1,F5+1)</f>
        <v>8</v>
      </c>
      <c r="G6">
        <f>IF(Tipo_Cambio[[#This Row],[Mes]]=1,G5+1,G5)</f>
        <v>2018</v>
      </c>
      <c r="H6" s="3">
        <f>H5*1.01</f>
        <v>22.22</v>
      </c>
      <c r="I6" s="659">
        <v>0.02</v>
      </c>
      <c r="J6" s="13">
        <f>J5*(1+Tipo_Cambio[[#This Row],[Inflación]])</f>
        <v>1.02</v>
      </c>
      <c r="L6" s="35" t="s">
        <v>38</v>
      </c>
      <c r="M6" s="74" t="s">
        <v>63</v>
      </c>
      <c r="N6" s="74" t="s">
        <v>67</v>
      </c>
      <c r="P6" t="s">
        <v>18</v>
      </c>
      <c r="Q6" t="s">
        <v>38</v>
      </c>
      <c r="R6" t="s">
        <v>256</v>
      </c>
      <c r="S6" s="14">
        <v>0.21</v>
      </c>
      <c r="T6" s="14"/>
      <c r="U6" s="24" t="s">
        <v>242</v>
      </c>
      <c r="V6" s="36" t="s">
        <v>35</v>
      </c>
      <c r="X6" t="s">
        <v>2</v>
      </c>
      <c r="Y6" t="s">
        <v>11</v>
      </c>
      <c r="Z6" t="s">
        <v>242</v>
      </c>
      <c r="AA6">
        <v>150</v>
      </c>
      <c r="AC6" s="19" t="s">
        <v>47</v>
      </c>
      <c r="AD6" s="19" t="s">
        <v>61</v>
      </c>
      <c r="AE6" s="23" t="s">
        <v>63</v>
      </c>
      <c r="AF6" s="63"/>
      <c r="AG6" s="63"/>
      <c r="AH6" s="63"/>
      <c r="AI6" s="63"/>
      <c r="AJ6" s="63"/>
      <c r="AK6" s="63"/>
      <c r="AM6" s="24" t="s">
        <v>54</v>
      </c>
      <c r="AN6" s="24" t="s">
        <v>35</v>
      </c>
      <c r="AP6" t="s">
        <v>8</v>
      </c>
      <c r="AQ6" t="s">
        <v>10</v>
      </c>
      <c r="AR6">
        <v>2000</v>
      </c>
      <c r="AT6" s="19" t="s">
        <v>61</v>
      </c>
      <c r="AU6" s="19" t="s">
        <v>61</v>
      </c>
      <c r="AV6" s="63">
        <v>0</v>
      </c>
      <c r="AW6" s="63"/>
      <c r="AX6" s="188" t="s">
        <v>67</v>
      </c>
      <c r="AZ6" t="s">
        <v>128</v>
      </c>
      <c r="BA6" s="183">
        <v>450</v>
      </c>
      <c r="BC6" t="s">
        <v>8</v>
      </c>
      <c r="BD6" t="s">
        <v>11</v>
      </c>
      <c r="BE6">
        <v>800</v>
      </c>
      <c r="BF6" s="82"/>
      <c r="BG6" t="s">
        <v>61</v>
      </c>
      <c r="BH6" t="s">
        <v>61</v>
      </c>
      <c r="BI6" s="14">
        <v>0</v>
      </c>
      <c r="BJ6" s="14"/>
      <c r="BK6" s="84" t="s">
        <v>67</v>
      </c>
      <c r="BM6" t="s">
        <v>484</v>
      </c>
      <c r="BN6" s="183">
        <v>600</v>
      </c>
      <c r="BP6">
        <f>Tipo_Cambio[[#This Row],[Mes]]</f>
        <v>8</v>
      </c>
      <c r="BQ6">
        <f>Tipo_Cambio[[#This Row],[Año]]</f>
        <v>2018</v>
      </c>
      <c r="BR6" t="s">
        <v>2</v>
      </c>
      <c r="BS6" s="371" t="s">
        <v>10</v>
      </c>
      <c r="BW6" s="176" t="s">
        <v>43</v>
      </c>
      <c r="BY6" s="5" t="s">
        <v>56</v>
      </c>
      <c r="BZ6" s="177" t="s">
        <v>37</v>
      </c>
      <c r="CA6" s="178">
        <v>0</v>
      </c>
      <c r="CC6" s="35" t="s">
        <v>5</v>
      </c>
      <c r="CE6" t="s">
        <v>108</v>
      </c>
      <c r="CF6" t="s">
        <v>38</v>
      </c>
      <c r="CG6" t="s">
        <v>63</v>
      </c>
      <c r="CH6" s="14">
        <v>0</v>
      </c>
      <c r="CJ6" s="5" t="s">
        <v>410</v>
      </c>
      <c r="CK6" t="s">
        <v>37</v>
      </c>
      <c r="CL6" t="s">
        <v>65</v>
      </c>
      <c r="CM6" s="15">
        <v>0</v>
      </c>
    </row>
    <row r="7" spans="1:91" ht="15.75" thickBot="1" x14ac:dyDescent="0.3">
      <c r="B7" t="str">
        <f>CONCATENATE(YEAR(Tabla37[Inicio Presupuesto])+1,"-",YEAR(Tabla37[Inicio Presupuesto])+2)</f>
        <v>2019-2020</v>
      </c>
      <c r="D7" t="s">
        <v>9</v>
      </c>
      <c r="F7">
        <f t="shared" si="0"/>
        <v>9</v>
      </c>
      <c r="G7">
        <f>IF(Tipo_Cambio[[#This Row],[Mes]]=1,G6+1,G6)</f>
        <v>2018</v>
      </c>
      <c r="H7" s="3">
        <f>H6*1.01</f>
        <v>22.4422</v>
      </c>
      <c r="I7" s="659">
        <v>0.02</v>
      </c>
      <c r="J7" s="13">
        <f>J6*(1+Tipo_Cambio[[#This Row],[Inflación]])</f>
        <v>1.0404</v>
      </c>
      <c r="L7" s="35" t="s">
        <v>59</v>
      </c>
      <c r="M7" s="74" t="s">
        <v>65</v>
      </c>
      <c r="N7" s="74" t="s">
        <v>66</v>
      </c>
      <c r="P7" t="s">
        <v>20</v>
      </c>
      <c r="Q7" t="s">
        <v>38</v>
      </c>
      <c r="R7" t="s">
        <v>256</v>
      </c>
      <c r="S7" s="14">
        <v>0.21</v>
      </c>
      <c r="T7" s="14"/>
      <c r="U7" s="24" t="s">
        <v>243</v>
      </c>
      <c r="V7" s="36" t="s">
        <v>35</v>
      </c>
      <c r="X7" t="s">
        <v>2</v>
      </c>
      <c r="Y7" t="s">
        <v>11</v>
      </c>
      <c r="Z7" t="s">
        <v>245</v>
      </c>
      <c r="AA7">
        <v>110</v>
      </c>
      <c r="AC7" s="71" t="str">
        <f>P5</f>
        <v>Producción Agrícola</v>
      </c>
      <c r="AD7" s="64" t="s">
        <v>58</v>
      </c>
      <c r="AE7" s="65" t="s">
        <v>63</v>
      </c>
      <c r="AF7" s="66"/>
      <c r="AG7" s="66"/>
      <c r="AH7" s="66"/>
      <c r="AI7" s="66"/>
      <c r="AJ7" s="66"/>
      <c r="AK7" s="66"/>
      <c r="AM7" s="24" t="s">
        <v>68</v>
      </c>
      <c r="AN7" s="24" t="s">
        <v>82</v>
      </c>
      <c r="AP7" t="s">
        <v>9</v>
      </c>
      <c r="AQ7" t="s">
        <v>10</v>
      </c>
      <c r="AT7" s="19" t="s">
        <v>169</v>
      </c>
      <c r="AU7" s="19" t="s">
        <v>37</v>
      </c>
      <c r="AV7" s="63">
        <v>0.105</v>
      </c>
      <c r="AW7" s="63">
        <v>0.01</v>
      </c>
      <c r="AX7" s="188" t="s">
        <v>67</v>
      </c>
      <c r="AZ7" t="s">
        <v>221</v>
      </c>
      <c r="BA7" s="183">
        <v>450</v>
      </c>
      <c r="BG7" t="s">
        <v>169</v>
      </c>
      <c r="BH7" t="s">
        <v>37</v>
      </c>
      <c r="BI7" s="14">
        <v>0.105</v>
      </c>
      <c r="BJ7" s="14">
        <v>0.01</v>
      </c>
      <c r="BK7" s="84" t="s">
        <v>67</v>
      </c>
      <c r="BM7" t="s">
        <v>137</v>
      </c>
      <c r="BN7" s="183">
        <v>700</v>
      </c>
      <c r="BP7">
        <f>Tipo_Cambio[[#This Row],[Mes]]</f>
        <v>9</v>
      </c>
      <c r="BQ7">
        <f>Tipo_Cambio[[#This Row],[Año]]</f>
        <v>2018</v>
      </c>
      <c r="BR7" t="s">
        <v>2</v>
      </c>
      <c r="BS7" s="183" t="s">
        <v>10</v>
      </c>
      <c r="BW7" s="35" t="s">
        <v>36</v>
      </c>
      <c r="BY7" s="5" t="s">
        <v>229</v>
      </c>
      <c r="BZ7" s="177" t="s">
        <v>37</v>
      </c>
      <c r="CA7" s="178">
        <v>0.21</v>
      </c>
      <c r="CC7" s="35" t="s">
        <v>114</v>
      </c>
      <c r="CE7" t="s">
        <v>109</v>
      </c>
      <c r="CF7" t="s">
        <v>38</v>
      </c>
      <c r="CG7" t="s">
        <v>63</v>
      </c>
      <c r="CH7" s="14">
        <v>0.21</v>
      </c>
      <c r="CJ7" s="5" t="s">
        <v>409</v>
      </c>
      <c r="CK7" t="s">
        <v>37</v>
      </c>
      <c r="CL7" t="s">
        <v>65</v>
      </c>
      <c r="CM7" s="15">
        <v>0</v>
      </c>
    </row>
    <row r="8" spans="1:91" ht="15.75" thickTop="1" x14ac:dyDescent="0.25">
      <c r="B8" t="str">
        <f>CONCATENATE(YEAR(Tabla37[Inicio Presupuesto])+2,"-",YEAR(Tabla37[Inicio Presupuesto])+3)</f>
        <v>2020-2021</v>
      </c>
      <c r="D8" t="s">
        <v>522</v>
      </c>
      <c r="F8">
        <f t="shared" si="0"/>
        <v>10</v>
      </c>
      <c r="G8">
        <f>IF(Tipo_Cambio[[#This Row],[Mes]]=1,G7+1,G7)</f>
        <v>2018</v>
      </c>
      <c r="H8" s="3">
        <f t="shared" ref="H8:H25" si="1">H7*1.01</f>
        <v>22.666622</v>
      </c>
      <c r="I8" s="659">
        <v>0.02</v>
      </c>
      <c r="J8" s="13">
        <f>J7*(1+Tipo_Cambio[[#This Row],[Inflación]])</f>
        <v>1.0612079999999999</v>
      </c>
      <c r="L8" s="35" t="s">
        <v>58</v>
      </c>
      <c r="M8" s="74" t="s">
        <v>65</v>
      </c>
      <c r="N8" s="74" t="s">
        <v>67</v>
      </c>
      <c r="P8" t="s">
        <v>21</v>
      </c>
      <c r="Q8" t="s">
        <v>38</v>
      </c>
      <c r="R8" t="s">
        <v>256</v>
      </c>
      <c r="S8" s="14">
        <v>0.21</v>
      </c>
      <c r="T8" s="14"/>
      <c r="U8" s="24" t="s">
        <v>244</v>
      </c>
      <c r="V8" s="36" t="s">
        <v>35</v>
      </c>
      <c r="X8" t="s">
        <v>2</v>
      </c>
      <c r="Y8" t="s">
        <v>11</v>
      </c>
      <c r="Z8" t="s">
        <v>82</v>
      </c>
      <c r="AA8">
        <v>120</v>
      </c>
      <c r="AC8" t="s">
        <v>171</v>
      </c>
      <c r="AD8" t="s">
        <v>37</v>
      </c>
      <c r="AE8" s="22" t="s">
        <v>63</v>
      </c>
      <c r="AF8" s="15">
        <v>2.5000000000000001E-2</v>
      </c>
      <c r="AG8" s="15">
        <v>7.0000000000000007E-2</v>
      </c>
      <c r="AH8" s="16">
        <v>4</v>
      </c>
      <c r="AI8" s="15">
        <v>0.01</v>
      </c>
      <c r="AJ8" s="15">
        <v>0.01</v>
      </c>
      <c r="AK8" s="15">
        <v>0.02</v>
      </c>
      <c r="AM8" s="24" t="s">
        <v>69</v>
      </c>
      <c r="AN8" s="24" t="s">
        <v>83</v>
      </c>
      <c r="AP8" t="s">
        <v>522</v>
      </c>
      <c r="AQ8" t="s">
        <v>10</v>
      </c>
      <c r="AT8" s="19" t="s">
        <v>141</v>
      </c>
      <c r="AU8" s="19" t="s">
        <v>125</v>
      </c>
      <c r="AV8" s="63"/>
      <c r="AW8" s="63"/>
      <c r="AX8" s="188" t="s">
        <v>67</v>
      </c>
      <c r="AZ8" t="s">
        <v>129</v>
      </c>
      <c r="BA8" s="183">
        <v>400</v>
      </c>
      <c r="BG8" t="s">
        <v>141</v>
      </c>
      <c r="BH8" t="s">
        <v>125</v>
      </c>
      <c r="BI8" s="14"/>
      <c r="BJ8" s="14"/>
      <c r="BK8" s="84" t="s">
        <v>67</v>
      </c>
      <c r="BM8" t="s">
        <v>129</v>
      </c>
      <c r="BN8" s="183">
        <v>500</v>
      </c>
      <c r="BP8">
        <f>Tipo_Cambio[[#This Row],[Mes]]</f>
        <v>10</v>
      </c>
      <c r="BQ8">
        <f>Tipo_Cambio[[#This Row],[Año]]</f>
        <v>2018</v>
      </c>
      <c r="BR8" t="s">
        <v>2</v>
      </c>
      <c r="BS8" s="183" t="s">
        <v>11</v>
      </c>
      <c r="BW8" s="35" t="s">
        <v>226</v>
      </c>
      <c r="BY8" t="s">
        <v>107</v>
      </c>
      <c r="BZ8" s="45" t="s">
        <v>38</v>
      </c>
      <c r="CA8" s="179">
        <v>0</v>
      </c>
      <c r="CC8" s="35" t="s">
        <v>283</v>
      </c>
      <c r="CE8" t="s">
        <v>222</v>
      </c>
      <c r="CF8" t="s">
        <v>38</v>
      </c>
      <c r="CG8" t="s">
        <v>63</v>
      </c>
      <c r="CH8" s="14">
        <v>0.21</v>
      </c>
      <c r="CJ8" t="s">
        <v>339</v>
      </c>
      <c r="CK8" t="s">
        <v>37</v>
      </c>
      <c r="CL8" t="s">
        <v>65</v>
      </c>
      <c r="CM8" s="15">
        <v>0</v>
      </c>
    </row>
    <row r="9" spans="1:91" x14ac:dyDescent="0.25">
      <c r="F9">
        <f t="shared" si="0"/>
        <v>11</v>
      </c>
      <c r="G9">
        <f>IF(Tipo_Cambio[[#This Row],[Mes]]=1,G8+1,G8)</f>
        <v>2018</v>
      </c>
      <c r="H9" s="3">
        <f t="shared" si="1"/>
        <v>22.893288219999999</v>
      </c>
      <c r="I9" s="659">
        <v>0.02</v>
      </c>
      <c r="J9" s="13">
        <f>J8*(1+Tipo_Cambio[[#This Row],[Inflación]])</f>
        <v>1.08243216</v>
      </c>
      <c r="L9" s="35" t="s">
        <v>60</v>
      </c>
      <c r="M9" s="74" t="s">
        <v>65</v>
      </c>
      <c r="N9" s="74" t="s">
        <v>67</v>
      </c>
      <c r="P9" t="s">
        <v>19</v>
      </c>
      <c r="Q9" t="s">
        <v>38</v>
      </c>
      <c r="R9" t="s">
        <v>256</v>
      </c>
      <c r="S9" s="14">
        <v>0.21</v>
      </c>
      <c r="T9" s="14"/>
      <c r="U9" s="24" t="s">
        <v>245</v>
      </c>
      <c r="V9" s="24" t="s">
        <v>81</v>
      </c>
      <c r="X9" t="s">
        <v>2</v>
      </c>
      <c r="Y9" t="s">
        <v>11</v>
      </c>
      <c r="AC9" t="s">
        <v>172</v>
      </c>
      <c r="AD9" t="s">
        <v>59</v>
      </c>
      <c r="AE9" s="22" t="s">
        <v>63</v>
      </c>
      <c r="AF9" s="15"/>
      <c r="AG9" s="15"/>
      <c r="AH9" s="15"/>
      <c r="AI9" s="15"/>
      <c r="AJ9" s="15"/>
      <c r="AK9" s="15"/>
      <c r="AM9" s="24" t="s">
        <v>70</v>
      </c>
      <c r="AN9" s="24" t="s">
        <v>84</v>
      </c>
      <c r="AT9" s="19" t="s">
        <v>223</v>
      </c>
      <c r="AU9" s="19" t="s">
        <v>125</v>
      </c>
      <c r="AV9" s="63"/>
      <c r="AW9" s="63"/>
      <c r="AX9" s="188" t="s">
        <v>67</v>
      </c>
      <c r="AZ9" t="s">
        <v>134</v>
      </c>
      <c r="BA9" s="183">
        <v>200</v>
      </c>
      <c r="BG9" t="s">
        <v>223</v>
      </c>
      <c r="BH9" t="s">
        <v>125</v>
      </c>
      <c r="BI9" s="14"/>
      <c r="BJ9" s="14"/>
      <c r="BK9" s="84" t="s">
        <v>67</v>
      </c>
      <c r="BM9" t="s">
        <v>134</v>
      </c>
      <c r="BN9" s="183">
        <v>400</v>
      </c>
      <c r="BP9">
        <f>Tipo_Cambio[[#This Row],[Mes]]</f>
        <v>11</v>
      </c>
      <c r="BQ9">
        <f>Tipo_Cambio[[#This Row],[Año]]</f>
        <v>2018</v>
      </c>
      <c r="BR9" t="s">
        <v>2</v>
      </c>
      <c r="BS9" s="371" t="s">
        <v>11</v>
      </c>
      <c r="BW9" s="35" t="s">
        <v>231</v>
      </c>
      <c r="BY9" t="s">
        <v>108</v>
      </c>
      <c r="BZ9" s="45" t="s">
        <v>38</v>
      </c>
      <c r="CA9" s="180">
        <v>0</v>
      </c>
      <c r="CC9" s="176" t="s">
        <v>230</v>
      </c>
      <c r="CE9" t="s">
        <v>110</v>
      </c>
      <c r="CF9" t="s">
        <v>38</v>
      </c>
      <c r="CG9" t="s">
        <v>63</v>
      </c>
      <c r="CH9" s="14">
        <v>0.21</v>
      </c>
      <c r="CJ9" t="s">
        <v>340</v>
      </c>
      <c r="CK9" t="s">
        <v>37</v>
      </c>
      <c r="CL9" t="s">
        <v>65</v>
      </c>
      <c r="CM9" s="15">
        <v>0</v>
      </c>
    </row>
    <row r="10" spans="1:91" x14ac:dyDescent="0.25">
      <c r="B10" t="s">
        <v>417</v>
      </c>
      <c r="F10">
        <f t="shared" si="0"/>
        <v>12</v>
      </c>
      <c r="G10">
        <f>IF(Tipo_Cambio[[#This Row],[Mes]]=1,G9+1,G9)</f>
        <v>2018</v>
      </c>
      <c r="H10" s="3">
        <f t="shared" si="1"/>
        <v>23.122221102199997</v>
      </c>
      <c r="I10" s="659">
        <v>0.02</v>
      </c>
      <c r="J10" s="13">
        <f>J9*(1+Tipo_Cambio[[#This Row],[Inflación]])</f>
        <v>1.1040808032</v>
      </c>
      <c r="L10" s="35" t="s">
        <v>61</v>
      </c>
      <c r="M10" s="74" t="s">
        <v>65</v>
      </c>
      <c r="N10" s="74" t="s">
        <v>66</v>
      </c>
      <c r="P10" t="s">
        <v>17</v>
      </c>
      <c r="Q10" t="s">
        <v>38</v>
      </c>
      <c r="R10" t="s">
        <v>256</v>
      </c>
      <c r="S10" s="14">
        <v>0.21</v>
      </c>
      <c r="T10" s="14"/>
      <c r="U10" s="24" t="s">
        <v>246</v>
      </c>
      <c r="V10" s="24" t="s">
        <v>81</v>
      </c>
      <c r="X10" t="s">
        <v>2</v>
      </c>
      <c r="Y10" t="s">
        <v>11</v>
      </c>
      <c r="AC10" t="s">
        <v>173</v>
      </c>
      <c r="AD10" t="s">
        <v>38</v>
      </c>
      <c r="AE10" s="22" t="s">
        <v>63</v>
      </c>
      <c r="AF10" s="15">
        <v>0.105</v>
      </c>
      <c r="AG10" s="15"/>
      <c r="AH10" s="16"/>
      <c r="AI10" s="15"/>
      <c r="AJ10" s="15"/>
      <c r="AK10" s="15"/>
      <c r="AM10" s="24" t="s">
        <v>71</v>
      </c>
      <c r="AN10" s="24" t="s">
        <v>85</v>
      </c>
      <c r="AT10" s="19" t="s">
        <v>147</v>
      </c>
      <c r="AU10" s="19" t="s">
        <v>125</v>
      </c>
      <c r="AV10" s="63"/>
      <c r="AW10" s="63"/>
      <c r="AX10" s="188" t="s">
        <v>67</v>
      </c>
      <c r="AZ10" t="s">
        <v>135</v>
      </c>
      <c r="BA10" s="183">
        <v>300</v>
      </c>
      <c r="BG10" t="s">
        <v>147</v>
      </c>
      <c r="BH10" t="s">
        <v>125</v>
      </c>
      <c r="BI10" s="14"/>
      <c r="BJ10" s="14"/>
      <c r="BK10" s="84" t="s">
        <v>67</v>
      </c>
      <c r="BM10" t="s">
        <v>135</v>
      </c>
      <c r="BN10" s="183">
        <v>300</v>
      </c>
      <c r="BP10">
        <f>Tipo_Cambio[[#This Row],[Mes]]</f>
        <v>12</v>
      </c>
      <c r="BQ10">
        <f>Tipo_Cambio[[#This Row],[Año]]</f>
        <v>2018</v>
      </c>
      <c r="BR10" t="s">
        <v>2</v>
      </c>
      <c r="BS10" s="371" t="s">
        <v>11</v>
      </c>
      <c r="BW10" s="35"/>
      <c r="BY10" t="s">
        <v>109</v>
      </c>
      <c r="BZ10" s="45" t="s">
        <v>38</v>
      </c>
      <c r="CA10" s="180">
        <v>0.21</v>
      </c>
      <c r="CC10" s="176"/>
      <c r="CE10" t="s">
        <v>112</v>
      </c>
      <c r="CF10" t="s">
        <v>38</v>
      </c>
      <c r="CG10" t="s">
        <v>63</v>
      </c>
      <c r="CH10" s="14">
        <v>0.21</v>
      </c>
      <c r="CJ10" t="s">
        <v>229</v>
      </c>
      <c r="CK10" t="s">
        <v>37</v>
      </c>
      <c r="CL10" t="s">
        <v>63</v>
      </c>
      <c r="CM10" s="14">
        <v>0.21</v>
      </c>
    </row>
    <row r="11" spans="1:91" x14ac:dyDescent="0.25">
      <c r="B11" s="348">
        <v>43282</v>
      </c>
      <c r="F11">
        <f t="shared" si="0"/>
        <v>1</v>
      </c>
      <c r="G11">
        <f>IF(Tipo_Cambio[[#This Row],[Mes]]=1,G10+1,G10)</f>
        <v>2019</v>
      </c>
      <c r="H11" s="3">
        <f t="shared" si="1"/>
        <v>23.353443313221998</v>
      </c>
      <c r="I11" s="659">
        <v>0.02</v>
      </c>
      <c r="J11" s="13">
        <f>J10*(1+Tipo_Cambio[[#This Row],[Inflación]])</f>
        <v>1.1261624192640001</v>
      </c>
      <c r="L11" s="35" t="s">
        <v>113</v>
      </c>
      <c r="M11" s="75" t="s">
        <v>65</v>
      </c>
      <c r="N11" s="75" t="s">
        <v>67</v>
      </c>
      <c r="P11" t="s">
        <v>22</v>
      </c>
      <c r="Q11" t="s">
        <v>38</v>
      </c>
      <c r="R11" t="s">
        <v>256</v>
      </c>
      <c r="S11" s="14">
        <v>0.21</v>
      </c>
      <c r="T11" s="14"/>
      <c r="U11" s="24" t="s">
        <v>82</v>
      </c>
      <c r="V11" s="24" t="s">
        <v>82</v>
      </c>
      <c r="X11" t="s">
        <v>2</v>
      </c>
      <c r="Y11" t="s">
        <v>11</v>
      </c>
      <c r="AC11" t="s">
        <v>72</v>
      </c>
      <c r="AD11" t="s">
        <v>38</v>
      </c>
      <c r="AE11" s="22" t="s">
        <v>65</v>
      </c>
      <c r="AF11" s="14">
        <v>0.21</v>
      </c>
      <c r="AG11" s="14"/>
      <c r="AH11" s="14"/>
      <c r="AI11" s="14"/>
      <c r="AJ11" s="14"/>
      <c r="AK11" s="14"/>
      <c r="AM11" s="24" t="s">
        <v>489</v>
      </c>
      <c r="AN11" s="25" t="s">
        <v>488</v>
      </c>
      <c r="AT11" s="19" t="s">
        <v>170</v>
      </c>
      <c r="AU11" s="19" t="s">
        <v>38</v>
      </c>
      <c r="AV11" s="63">
        <v>0.105</v>
      </c>
      <c r="AW11" s="63"/>
      <c r="AX11" s="188" t="s">
        <v>66</v>
      </c>
      <c r="AZ11" t="s">
        <v>130</v>
      </c>
      <c r="BA11" s="183">
        <v>80</v>
      </c>
      <c r="BG11" t="s">
        <v>170</v>
      </c>
      <c r="BH11" t="s">
        <v>38</v>
      </c>
      <c r="BI11" s="14">
        <v>0.105</v>
      </c>
      <c r="BJ11" s="14"/>
      <c r="BK11" s="84" t="s">
        <v>66</v>
      </c>
      <c r="BM11" t="s">
        <v>130</v>
      </c>
      <c r="BN11" s="183">
        <v>150</v>
      </c>
      <c r="BP11">
        <f>Tipo_Cambio[[#This Row],[Mes]]</f>
        <v>1</v>
      </c>
      <c r="BQ11">
        <f>Tipo_Cambio[[#This Row],[Año]]</f>
        <v>2019</v>
      </c>
      <c r="BR11" t="s">
        <v>2</v>
      </c>
      <c r="BS11" s="371" t="s">
        <v>11</v>
      </c>
      <c r="BW11" s="35"/>
      <c r="BY11" t="s">
        <v>222</v>
      </c>
      <c r="BZ11" s="45" t="s">
        <v>38</v>
      </c>
      <c r="CA11" s="180">
        <v>0.21</v>
      </c>
      <c r="CC11" s="35"/>
      <c r="CE11" t="s">
        <v>56</v>
      </c>
      <c r="CF11" t="s">
        <v>38</v>
      </c>
      <c r="CG11" t="s">
        <v>63</v>
      </c>
      <c r="CH11" s="14">
        <v>0</v>
      </c>
      <c r="CJ11" s="5" t="s">
        <v>408</v>
      </c>
      <c r="CK11" t="s">
        <v>38</v>
      </c>
      <c r="CL11" t="s">
        <v>65</v>
      </c>
      <c r="CM11" s="14">
        <v>0</v>
      </c>
    </row>
    <row r="12" spans="1:91" x14ac:dyDescent="0.25">
      <c r="F12">
        <f t="shared" si="0"/>
        <v>2</v>
      </c>
      <c r="G12">
        <f>IF(Tipo_Cambio[[#This Row],[Mes]]=1,G11+1,G11)</f>
        <v>2019</v>
      </c>
      <c r="H12" s="3">
        <f t="shared" si="1"/>
        <v>23.586977746354219</v>
      </c>
      <c r="I12" s="659">
        <v>0.02</v>
      </c>
      <c r="J12" s="13">
        <f>J11*(1+Tipo_Cambio[[#This Row],[Inflación]])</f>
        <v>1.14868566764928</v>
      </c>
      <c r="L12" s="80" t="s">
        <v>125</v>
      </c>
      <c r="M12" s="81" t="s">
        <v>65</v>
      </c>
      <c r="N12" s="81"/>
      <c r="P12" t="s">
        <v>23</v>
      </c>
      <c r="Q12" t="s">
        <v>38</v>
      </c>
      <c r="R12" t="s">
        <v>256</v>
      </c>
      <c r="S12" s="14">
        <v>0.21</v>
      </c>
      <c r="T12" s="14"/>
      <c r="U12" s="24" t="s">
        <v>247</v>
      </c>
      <c r="V12" s="24" t="s">
        <v>82</v>
      </c>
      <c r="X12" t="s">
        <v>2</v>
      </c>
      <c r="Y12" t="s">
        <v>11</v>
      </c>
      <c r="AC12" t="s">
        <v>73</v>
      </c>
      <c r="AD12" t="s">
        <v>38</v>
      </c>
      <c r="AE12" s="22" t="s">
        <v>65</v>
      </c>
      <c r="AF12" s="14">
        <v>0.21</v>
      </c>
      <c r="AG12" s="14"/>
      <c r="AH12" s="14"/>
      <c r="AI12" s="14"/>
      <c r="AJ12" s="14"/>
      <c r="AK12" s="14"/>
      <c r="AM12" s="24"/>
      <c r="AN12" s="24"/>
      <c r="AT12" s="19" t="s">
        <v>145</v>
      </c>
      <c r="AU12" s="19" t="s">
        <v>125</v>
      </c>
      <c r="AV12" s="63"/>
      <c r="AW12" s="63"/>
      <c r="AX12" s="188" t="s">
        <v>66</v>
      </c>
      <c r="AZ12" t="s">
        <v>131</v>
      </c>
      <c r="BA12" s="183">
        <v>80</v>
      </c>
      <c r="BG12" t="s">
        <v>145</v>
      </c>
      <c r="BH12" t="s">
        <v>125</v>
      </c>
      <c r="BI12" s="14"/>
      <c r="BJ12" s="14"/>
      <c r="BK12" s="84" t="s">
        <v>66</v>
      </c>
      <c r="BM12" t="s">
        <v>131</v>
      </c>
      <c r="BN12" s="183">
        <v>150</v>
      </c>
      <c r="BP12">
        <f>Tipo_Cambio[[#This Row],[Mes]]</f>
        <v>2</v>
      </c>
      <c r="BQ12">
        <f>Tipo_Cambio[[#This Row],[Año]]</f>
        <v>2019</v>
      </c>
      <c r="BR12" t="s">
        <v>2</v>
      </c>
      <c r="BS12" s="371" t="s">
        <v>11</v>
      </c>
      <c r="BW12" s="35"/>
      <c r="BY12" t="s">
        <v>110</v>
      </c>
      <c r="BZ12" s="45" t="s">
        <v>38</v>
      </c>
      <c r="CA12" s="180">
        <v>0.21</v>
      </c>
      <c r="CC12" s="35"/>
      <c r="CE12" t="s">
        <v>111</v>
      </c>
      <c r="CF12" t="s">
        <v>38</v>
      </c>
      <c r="CG12" t="s">
        <v>63</v>
      </c>
      <c r="CH12" s="14">
        <v>0.21</v>
      </c>
      <c r="CJ12" t="s">
        <v>415</v>
      </c>
      <c r="CK12" t="s">
        <v>38</v>
      </c>
      <c r="CL12" t="s">
        <v>65</v>
      </c>
      <c r="CM12" s="14">
        <v>0</v>
      </c>
    </row>
    <row r="13" spans="1:91" x14ac:dyDescent="0.25">
      <c r="F13">
        <f t="shared" si="0"/>
        <v>3</v>
      </c>
      <c r="G13">
        <f>IF(Tipo_Cambio[[#This Row],[Mes]]=1,G12+1,G12)</f>
        <v>2019</v>
      </c>
      <c r="H13" s="3">
        <f t="shared" si="1"/>
        <v>23.82284752381776</v>
      </c>
      <c r="I13" s="659">
        <v>0.02</v>
      </c>
      <c r="J13" s="13">
        <f>J12*(1+Tipo_Cambio[[#This Row],[Inflación]])</f>
        <v>1.1716593810022657</v>
      </c>
      <c r="P13" t="s">
        <v>24</v>
      </c>
      <c r="Q13" t="s">
        <v>38</v>
      </c>
      <c r="R13" t="s">
        <v>256</v>
      </c>
      <c r="S13" s="14">
        <v>0.21</v>
      </c>
      <c r="T13" s="14"/>
      <c r="U13" s="24" t="s">
        <v>248</v>
      </c>
      <c r="V13" s="24" t="s">
        <v>83</v>
      </c>
      <c r="X13" t="s">
        <v>2</v>
      </c>
      <c r="Y13" t="s">
        <v>11</v>
      </c>
      <c r="AC13" t="s">
        <v>74</v>
      </c>
      <c r="AD13" t="s">
        <v>38</v>
      </c>
      <c r="AE13" s="22" t="s">
        <v>65</v>
      </c>
      <c r="AF13" s="14">
        <v>0.21</v>
      </c>
      <c r="AG13" s="14"/>
      <c r="AH13" s="14"/>
      <c r="AI13" s="14"/>
      <c r="AJ13" s="14"/>
      <c r="AK13" s="14"/>
      <c r="AM13" s="24"/>
      <c r="AN13" s="24"/>
      <c r="AT13" s="19" t="s">
        <v>224</v>
      </c>
      <c r="AU13" s="19" t="s">
        <v>125</v>
      </c>
      <c r="AV13" s="63"/>
      <c r="AW13" s="63"/>
      <c r="AX13" s="188" t="s">
        <v>66</v>
      </c>
      <c r="AZ13" t="s">
        <v>137</v>
      </c>
      <c r="BA13" s="183">
        <v>600</v>
      </c>
      <c r="BG13" t="s">
        <v>224</v>
      </c>
      <c r="BH13" t="s">
        <v>125</v>
      </c>
      <c r="BI13" s="14"/>
      <c r="BJ13" s="14"/>
      <c r="BK13" s="84" t="s">
        <v>66</v>
      </c>
      <c r="BM13" t="s">
        <v>485</v>
      </c>
      <c r="BN13" s="183">
        <v>600</v>
      </c>
      <c r="BP13">
        <f>Tipo_Cambio[[#This Row],[Mes]]</f>
        <v>3</v>
      </c>
      <c r="BQ13">
        <f>Tipo_Cambio[[#This Row],[Año]]</f>
        <v>2019</v>
      </c>
      <c r="BR13" t="s">
        <v>2</v>
      </c>
      <c r="BS13" s="371" t="s">
        <v>11</v>
      </c>
      <c r="BW13" s="35"/>
      <c r="BY13" t="s">
        <v>511</v>
      </c>
      <c r="BZ13" s="45" t="s">
        <v>38</v>
      </c>
      <c r="CA13" s="180">
        <v>0.21</v>
      </c>
      <c r="CC13" s="35"/>
      <c r="CE13" t="s">
        <v>162</v>
      </c>
      <c r="CF13" t="s">
        <v>38</v>
      </c>
      <c r="CG13" t="s">
        <v>63</v>
      </c>
      <c r="CH13" s="14">
        <v>0.21</v>
      </c>
      <c r="CJ13" t="s">
        <v>503</v>
      </c>
      <c r="CK13" t="s">
        <v>38</v>
      </c>
      <c r="CL13" t="s">
        <v>63</v>
      </c>
      <c r="CM13" s="14">
        <v>0.21</v>
      </c>
    </row>
    <row r="14" spans="1:91" x14ac:dyDescent="0.25">
      <c r="F14">
        <f t="shared" si="0"/>
        <v>4</v>
      </c>
      <c r="G14">
        <f>IF(Tipo_Cambio[[#This Row],[Mes]]=1,G13+1,G13)</f>
        <v>2019</v>
      </c>
      <c r="H14" s="3">
        <f t="shared" si="1"/>
        <v>24.061075999055937</v>
      </c>
      <c r="I14" s="659">
        <v>0.02</v>
      </c>
      <c r="J14" s="13">
        <f>J13*(1+Tipo_Cambio[[#This Row],[Inflación]])</f>
        <v>1.1950925686223111</v>
      </c>
      <c r="P14" t="s">
        <v>25</v>
      </c>
      <c r="Q14" t="s">
        <v>38</v>
      </c>
      <c r="R14" t="s">
        <v>256</v>
      </c>
      <c r="S14" s="14">
        <v>0.105</v>
      </c>
      <c r="T14" s="14"/>
      <c r="U14" s="24" t="s">
        <v>84</v>
      </c>
      <c r="V14" s="24" t="s">
        <v>84</v>
      </c>
      <c r="X14" t="s">
        <v>2</v>
      </c>
      <c r="Y14" t="s">
        <v>11</v>
      </c>
      <c r="AC14" t="s">
        <v>75</v>
      </c>
      <c r="AD14" t="s">
        <v>38</v>
      </c>
      <c r="AE14" s="22" t="s">
        <v>65</v>
      </c>
      <c r="AF14" s="14">
        <v>0.21</v>
      </c>
      <c r="AG14" s="14"/>
      <c r="AH14" s="14"/>
      <c r="AI14" s="14"/>
      <c r="AJ14" s="14"/>
      <c r="AK14" s="14"/>
      <c r="AM14" s="24"/>
      <c r="AN14" s="24"/>
      <c r="AT14" s="94" t="s">
        <v>143</v>
      </c>
      <c r="AU14" s="94" t="s">
        <v>125</v>
      </c>
      <c r="AV14" s="189"/>
      <c r="AW14" s="189"/>
      <c r="AX14" s="190" t="s">
        <v>66</v>
      </c>
      <c r="AZ14" t="s">
        <v>138</v>
      </c>
      <c r="BA14" s="183">
        <v>600</v>
      </c>
      <c r="BG14" t="s">
        <v>143</v>
      </c>
      <c r="BH14" t="s">
        <v>125</v>
      </c>
      <c r="BI14" s="14"/>
      <c r="BJ14" s="14"/>
      <c r="BK14" s="84" t="s">
        <v>66</v>
      </c>
      <c r="BM14" t="s">
        <v>138</v>
      </c>
      <c r="BN14" s="183">
        <v>650</v>
      </c>
      <c r="BP14">
        <f>Tipo_Cambio[[#This Row],[Mes]]</f>
        <v>4</v>
      </c>
      <c r="BQ14">
        <f>Tipo_Cambio[[#This Row],[Año]]</f>
        <v>2019</v>
      </c>
      <c r="BR14" t="s">
        <v>2</v>
      </c>
      <c r="BS14" s="371" t="s">
        <v>11</v>
      </c>
      <c r="BW14" s="35"/>
      <c r="BY14" t="s">
        <v>111</v>
      </c>
      <c r="BZ14" s="45" t="s">
        <v>38</v>
      </c>
      <c r="CA14" s="180">
        <v>0.21</v>
      </c>
      <c r="CC14" s="35"/>
      <c r="CE14" t="s">
        <v>113</v>
      </c>
      <c r="CF14" t="s">
        <v>113</v>
      </c>
      <c r="CG14" t="s">
        <v>63</v>
      </c>
      <c r="CH14" s="14">
        <v>0</v>
      </c>
      <c r="CJ14" t="s">
        <v>341</v>
      </c>
      <c r="CK14" t="s">
        <v>38</v>
      </c>
      <c r="CL14" t="s">
        <v>65</v>
      </c>
      <c r="CM14" s="14">
        <v>0</v>
      </c>
    </row>
    <row r="15" spans="1:91" x14ac:dyDescent="0.25">
      <c r="F15">
        <f t="shared" si="0"/>
        <v>5</v>
      </c>
      <c r="G15">
        <f>IF(Tipo_Cambio[[#This Row],[Mes]]=1,G14+1,G14)</f>
        <v>2019</v>
      </c>
      <c r="H15" s="3">
        <f t="shared" si="1"/>
        <v>24.301686759046497</v>
      </c>
      <c r="I15" s="659">
        <v>0.02</v>
      </c>
      <c r="J15" s="13">
        <f>J14*(1+Tipo_Cambio[[#This Row],[Inflación]])</f>
        <v>1.2189944199947573</v>
      </c>
      <c r="P15" t="s">
        <v>53</v>
      </c>
      <c r="Q15" t="s">
        <v>38</v>
      </c>
      <c r="R15" t="s">
        <v>256</v>
      </c>
      <c r="S15" s="14">
        <v>0.105</v>
      </c>
      <c r="T15" s="14"/>
      <c r="U15" s="24" t="s">
        <v>85</v>
      </c>
      <c r="V15" s="24" t="s">
        <v>85</v>
      </c>
      <c r="X15" t="s">
        <v>2</v>
      </c>
      <c r="Y15" t="s">
        <v>11</v>
      </c>
      <c r="AC15" t="s">
        <v>76</v>
      </c>
      <c r="AD15" t="s">
        <v>38</v>
      </c>
      <c r="AE15" s="22" t="s">
        <v>65</v>
      </c>
      <c r="AF15" s="14">
        <v>0.21</v>
      </c>
      <c r="AG15" s="14"/>
      <c r="AH15" s="14"/>
      <c r="AI15" s="14"/>
      <c r="AJ15" s="14"/>
      <c r="AK15" s="14"/>
      <c r="AT15" t="s">
        <v>127</v>
      </c>
      <c r="AU15" t="s">
        <v>38</v>
      </c>
      <c r="AV15" s="14">
        <v>0.21</v>
      </c>
      <c r="AW15" s="14"/>
      <c r="AX15" s="84"/>
      <c r="AZ15" t="s">
        <v>133</v>
      </c>
      <c r="BA15" s="183">
        <v>200</v>
      </c>
      <c r="BG15" t="s">
        <v>127</v>
      </c>
      <c r="BH15" t="s">
        <v>38</v>
      </c>
      <c r="BI15" s="14">
        <v>0.21</v>
      </c>
      <c r="BJ15" s="14"/>
      <c r="BK15" s="84"/>
      <c r="BN15" s="183"/>
      <c r="BP15">
        <f>Tipo_Cambio[[#This Row],[Mes]]</f>
        <v>5</v>
      </c>
      <c r="BQ15">
        <f>Tipo_Cambio[[#This Row],[Año]]</f>
        <v>2019</v>
      </c>
      <c r="BR15" t="s">
        <v>2</v>
      </c>
      <c r="BS15" s="371" t="s">
        <v>11</v>
      </c>
      <c r="BY15" t="s">
        <v>112</v>
      </c>
      <c r="BZ15" s="45" t="s">
        <v>38</v>
      </c>
      <c r="CA15" s="180">
        <v>0.21</v>
      </c>
      <c r="CH15" s="14">
        <v>0</v>
      </c>
      <c r="CM15" s="14"/>
    </row>
    <row r="16" spans="1:91" x14ac:dyDescent="0.25">
      <c r="F16">
        <f t="shared" si="0"/>
        <v>6</v>
      </c>
      <c r="G16">
        <f>IF(Tipo_Cambio[[#This Row],[Mes]]=1,G15+1,G15)</f>
        <v>2019</v>
      </c>
      <c r="H16" s="3">
        <f t="shared" si="1"/>
        <v>24.544703626636963</v>
      </c>
      <c r="I16" s="659">
        <v>0.02</v>
      </c>
      <c r="J16" s="13">
        <f>J15*(1+Tipo_Cambio[[#This Row],[Inflación]])</f>
        <v>1.2433743083946525</v>
      </c>
      <c r="P16" t="s">
        <v>43</v>
      </c>
      <c r="Q16" t="s">
        <v>38</v>
      </c>
      <c r="R16" t="s">
        <v>257</v>
      </c>
      <c r="S16" s="14">
        <v>0.105</v>
      </c>
      <c r="T16" s="14"/>
      <c r="U16" s="25" t="s">
        <v>504</v>
      </c>
      <c r="V16" s="25" t="s">
        <v>488</v>
      </c>
      <c r="X16" t="s">
        <v>2</v>
      </c>
      <c r="Y16" t="s">
        <v>11</v>
      </c>
      <c r="AC16" t="s">
        <v>96</v>
      </c>
      <c r="AD16" t="s">
        <v>38</v>
      </c>
      <c r="AE16" s="22" t="s">
        <v>65</v>
      </c>
      <c r="AF16" s="14">
        <v>0.21</v>
      </c>
      <c r="AG16" s="14"/>
      <c r="AH16" s="14"/>
      <c r="AI16" s="14"/>
      <c r="AJ16" s="14"/>
      <c r="AK16" s="14"/>
      <c r="AT16" s="94" t="s">
        <v>126</v>
      </c>
      <c r="AU16" s="94" t="s">
        <v>38</v>
      </c>
      <c r="AV16" s="189">
        <v>0.21</v>
      </c>
      <c r="AW16" s="189"/>
      <c r="AX16" s="190"/>
      <c r="AZ16" t="s">
        <v>136</v>
      </c>
      <c r="BA16" s="183">
        <v>300</v>
      </c>
      <c r="BG16" t="s">
        <v>126</v>
      </c>
      <c r="BH16" t="s">
        <v>38</v>
      </c>
      <c r="BI16" s="14">
        <v>0.21</v>
      </c>
      <c r="BJ16" s="14"/>
      <c r="BK16" s="84"/>
      <c r="BN16" s="183"/>
      <c r="BP16">
        <f>Tipo_Cambio[[#This Row],[Mes]]</f>
        <v>6</v>
      </c>
      <c r="BQ16">
        <f>Tipo_Cambio[[#This Row],[Año]]</f>
        <v>2019</v>
      </c>
      <c r="BR16" t="s">
        <v>2</v>
      </c>
      <c r="BS16" s="371" t="s">
        <v>11</v>
      </c>
      <c r="BY16" t="s">
        <v>115</v>
      </c>
      <c r="BZ16" s="45" t="s">
        <v>38</v>
      </c>
      <c r="CA16" s="180">
        <v>0.21</v>
      </c>
      <c r="CH16" s="14">
        <v>0</v>
      </c>
      <c r="CM16" s="14"/>
    </row>
    <row r="17" spans="6:91" x14ac:dyDescent="0.25">
      <c r="F17">
        <f t="shared" si="0"/>
        <v>7</v>
      </c>
      <c r="G17">
        <f>IF(Tipo_Cambio[[#This Row],[Mes]]=1,G16+1,G16)</f>
        <v>2019</v>
      </c>
      <c r="H17" s="3">
        <f t="shared" si="1"/>
        <v>24.790150662903333</v>
      </c>
      <c r="I17" s="659">
        <v>0.02</v>
      </c>
      <c r="J17" s="13">
        <f>J16*(1+Tipo_Cambio[[#This Row],[Inflación]])</f>
        <v>1.2682417945625455</v>
      </c>
      <c r="P17" t="s">
        <v>56</v>
      </c>
      <c r="Q17" t="s">
        <v>38</v>
      </c>
      <c r="R17" t="s">
        <v>256</v>
      </c>
      <c r="S17" s="14">
        <v>0</v>
      </c>
      <c r="T17" s="14"/>
      <c r="U17" s="14"/>
      <c r="V17" s="14"/>
      <c r="X17" t="s">
        <v>2</v>
      </c>
      <c r="Y17" t="s">
        <v>11</v>
      </c>
      <c r="AC17" t="s">
        <v>203</v>
      </c>
      <c r="AD17" t="s">
        <v>58</v>
      </c>
      <c r="AE17" s="22" t="s">
        <v>65</v>
      </c>
      <c r="AF17" s="14"/>
      <c r="AG17" s="14"/>
      <c r="AH17" s="14"/>
      <c r="AI17" s="14"/>
      <c r="AJ17" s="14"/>
      <c r="AK17" s="14"/>
      <c r="AT17" t="s">
        <v>107</v>
      </c>
      <c r="AU17" t="s">
        <v>38</v>
      </c>
      <c r="AV17" s="14">
        <v>0</v>
      </c>
      <c r="AW17" s="14"/>
      <c r="AX17" s="84"/>
      <c r="BG17" t="s">
        <v>175</v>
      </c>
      <c r="BH17" t="s">
        <v>37</v>
      </c>
      <c r="BI17" s="14">
        <v>0.21</v>
      </c>
      <c r="BJ17" s="14">
        <v>0.01</v>
      </c>
      <c r="BK17" s="84"/>
      <c r="BP17">
        <f>Tipo_Cambio[[#This Row],[Mes]]</f>
        <v>7</v>
      </c>
      <c r="BQ17">
        <f>Tipo_Cambio[[#This Row],[Año]]</f>
        <v>2019</v>
      </c>
      <c r="BR17" t="s">
        <v>2</v>
      </c>
      <c r="BS17" s="371" t="s">
        <v>11</v>
      </c>
      <c r="BY17" t="s">
        <v>116</v>
      </c>
      <c r="BZ17" s="45" t="s">
        <v>38</v>
      </c>
      <c r="CA17" s="180">
        <v>0.21</v>
      </c>
      <c r="CE17" t="s">
        <v>116</v>
      </c>
      <c r="CF17" t="s">
        <v>38</v>
      </c>
      <c r="CG17" t="s">
        <v>63</v>
      </c>
      <c r="CH17" s="14">
        <v>0</v>
      </c>
      <c r="CM17" s="14"/>
    </row>
    <row r="18" spans="6:91" x14ac:dyDescent="0.25">
      <c r="F18">
        <f t="shared" si="0"/>
        <v>8</v>
      </c>
      <c r="G18">
        <f>IF(Tipo_Cambio[[#This Row],[Mes]]=1,G17+1,G17)</f>
        <v>2019</v>
      </c>
      <c r="H18" s="3">
        <f t="shared" si="1"/>
        <v>25.038052169532367</v>
      </c>
      <c r="I18" s="659">
        <v>0.02</v>
      </c>
      <c r="J18" s="13">
        <f>J17*(1+Tipo_Cambio[[#This Row],[Inflación]])</f>
        <v>1.2936066304537963</v>
      </c>
      <c r="P18" t="s">
        <v>57</v>
      </c>
      <c r="Q18" t="s">
        <v>58</v>
      </c>
      <c r="R18" t="s">
        <v>256</v>
      </c>
      <c r="S18" s="14">
        <v>0</v>
      </c>
      <c r="T18" s="14"/>
      <c r="U18" s="14"/>
      <c r="V18" s="14"/>
      <c r="X18" t="s">
        <v>2</v>
      </c>
      <c r="Y18" t="s">
        <v>11</v>
      </c>
      <c r="AE18" s="22"/>
      <c r="AF18" s="14"/>
      <c r="AG18" s="14"/>
      <c r="AH18" s="14"/>
      <c r="AI18" s="14"/>
      <c r="AJ18" s="14"/>
      <c r="AK18" s="14"/>
      <c r="AT18" t="s">
        <v>108</v>
      </c>
      <c r="AU18" t="s">
        <v>38</v>
      </c>
      <c r="AV18" s="14">
        <v>0</v>
      </c>
      <c r="AW18" s="14"/>
      <c r="AX18" s="84"/>
      <c r="BG18" t="s">
        <v>107</v>
      </c>
      <c r="BH18" t="s">
        <v>38</v>
      </c>
      <c r="BI18" s="14">
        <v>0</v>
      </c>
      <c r="BJ18" s="14"/>
      <c r="BK18" s="84"/>
      <c r="BP18">
        <f>Tipo_Cambio[[#This Row],[Mes]]</f>
        <v>8</v>
      </c>
      <c r="BQ18">
        <f>Tipo_Cambio[[#This Row],[Año]]</f>
        <v>2019</v>
      </c>
      <c r="BR18" t="s">
        <v>2</v>
      </c>
      <c r="BS18" s="371" t="s">
        <v>11</v>
      </c>
      <c r="BY18" t="s">
        <v>117</v>
      </c>
      <c r="BZ18" s="45" t="s">
        <v>38</v>
      </c>
      <c r="CA18" s="180">
        <v>0.105</v>
      </c>
      <c r="CE18" t="s">
        <v>117</v>
      </c>
      <c r="CF18" t="s">
        <v>38</v>
      </c>
      <c r="CG18" t="s">
        <v>63</v>
      </c>
      <c r="CH18" s="14">
        <v>0</v>
      </c>
      <c r="CM18" s="14"/>
    </row>
    <row r="19" spans="6:91" x14ac:dyDescent="0.25">
      <c r="F19">
        <f t="shared" si="0"/>
        <v>9</v>
      </c>
      <c r="G19">
        <f>IF(Tipo_Cambio[[#This Row],[Mes]]=1,G18+1,G18)</f>
        <v>2019</v>
      </c>
      <c r="H19" s="3">
        <f t="shared" si="1"/>
        <v>25.28843269122769</v>
      </c>
      <c r="I19" s="659">
        <v>0.02</v>
      </c>
      <c r="J19" s="13">
        <f>J18*(1+Tipo_Cambio[[#This Row],[Inflación]])</f>
        <v>1.3194787630628724</v>
      </c>
      <c r="P19" t="s">
        <v>201</v>
      </c>
      <c r="Q19" t="s">
        <v>58</v>
      </c>
      <c r="R19" t="s">
        <v>256</v>
      </c>
      <c r="S19" s="14">
        <v>0</v>
      </c>
      <c r="T19" s="14"/>
      <c r="U19" s="14"/>
      <c r="V19" s="14"/>
      <c r="AF19" s="14"/>
      <c r="AG19" s="14"/>
      <c r="AH19" s="14"/>
      <c r="AI19" s="14"/>
      <c r="AJ19" s="14"/>
      <c r="AK19" s="14"/>
      <c r="AT19" t="s">
        <v>120</v>
      </c>
      <c r="AU19" t="s">
        <v>38</v>
      </c>
      <c r="AV19" s="14">
        <v>0</v>
      </c>
      <c r="AW19" s="14"/>
      <c r="AX19" s="84"/>
      <c r="BG19" t="s">
        <v>108</v>
      </c>
      <c r="BH19" t="s">
        <v>38</v>
      </c>
      <c r="BI19" s="14">
        <v>0</v>
      </c>
      <c r="BJ19" s="14"/>
      <c r="BK19" s="84"/>
      <c r="BP19">
        <f>Tipo_Cambio[[#This Row],[Mes]]</f>
        <v>9</v>
      </c>
      <c r="BQ19">
        <f>Tipo_Cambio[[#This Row],[Año]]</f>
        <v>2019</v>
      </c>
      <c r="BR19" t="s">
        <v>2</v>
      </c>
      <c r="BS19" s="371" t="s">
        <v>11</v>
      </c>
      <c r="BY19" t="s">
        <v>162</v>
      </c>
      <c r="BZ19" s="45" t="s">
        <v>38</v>
      </c>
      <c r="CA19" s="180">
        <v>0.105</v>
      </c>
      <c r="CE19" s="116" t="s">
        <v>286</v>
      </c>
      <c r="CF19" t="s">
        <v>38</v>
      </c>
      <c r="CG19" t="s">
        <v>63</v>
      </c>
      <c r="CH19" s="14">
        <v>0</v>
      </c>
      <c r="CM19" s="14"/>
    </row>
    <row r="20" spans="6:91" x14ac:dyDescent="0.25">
      <c r="F20">
        <f t="shared" si="0"/>
        <v>10</v>
      </c>
      <c r="G20">
        <f>IF(Tipo_Cambio[[#This Row],[Mes]]=1,G19+1,G19)</f>
        <v>2019</v>
      </c>
      <c r="H20" s="3">
        <f t="shared" si="1"/>
        <v>25.541317018139967</v>
      </c>
      <c r="I20" s="659">
        <v>0.02</v>
      </c>
      <c r="J20" s="13">
        <f>J19*(1+Tipo_Cambio[[#This Row],[Inflación]])</f>
        <v>1.3458683383241299</v>
      </c>
      <c r="P20" t="s">
        <v>204</v>
      </c>
      <c r="Q20" t="s">
        <v>58</v>
      </c>
      <c r="R20" t="s">
        <v>257</v>
      </c>
      <c r="S20" s="14">
        <v>0</v>
      </c>
      <c r="T20" s="14"/>
      <c r="U20" s="14"/>
      <c r="V20" s="14"/>
      <c r="AF20" s="14"/>
      <c r="AG20" s="14"/>
      <c r="AH20" s="14"/>
      <c r="AI20" s="14"/>
      <c r="AJ20" s="14"/>
      <c r="AK20" s="14"/>
      <c r="AT20" t="s">
        <v>121</v>
      </c>
      <c r="AU20" t="s">
        <v>38</v>
      </c>
      <c r="AV20" s="14">
        <v>0.21</v>
      </c>
      <c r="AW20" s="14"/>
      <c r="AX20" s="84"/>
      <c r="BG20" t="s">
        <v>120</v>
      </c>
      <c r="BH20" t="s">
        <v>38</v>
      </c>
      <c r="BI20" s="14">
        <v>0</v>
      </c>
      <c r="BJ20" s="14"/>
      <c r="BK20" s="84"/>
      <c r="BP20">
        <f>Tipo_Cambio[[#This Row],[Mes]]</f>
        <v>10</v>
      </c>
      <c r="BQ20">
        <f>Tipo_Cambio[[#This Row],[Año]]</f>
        <v>2019</v>
      </c>
      <c r="BR20" t="s">
        <v>2</v>
      </c>
      <c r="BS20" s="371" t="s">
        <v>480</v>
      </c>
      <c r="BY20" t="s">
        <v>113</v>
      </c>
      <c r="BZ20" s="45" t="s">
        <v>113</v>
      </c>
      <c r="CA20" s="180">
        <v>0</v>
      </c>
      <c r="CE20" s="116" t="s">
        <v>284</v>
      </c>
      <c r="CF20" t="s">
        <v>38</v>
      </c>
      <c r="CG20" t="s">
        <v>65</v>
      </c>
      <c r="CH20" s="14">
        <v>0</v>
      </c>
      <c r="CM20" s="14"/>
    </row>
    <row r="21" spans="6:91" ht="15.75" thickBot="1" x14ac:dyDescent="0.3">
      <c r="F21">
        <f t="shared" si="0"/>
        <v>11</v>
      </c>
      <c r="G21">
        <f>IF(Tipo_Cambio[[#This Row],[Mes]]=1,G20+1,G20)</f>
        <v>2019</v>
      </c>
      <c r="H21" s="3">
        <f t="shared" si="1"/>
        <v>25.796730188321366</v>
      </c>
      <c r="I21" s="659">
        <v>0.02</v>
      </c>
      <c r="J21" s="13">
        <f>J20*(1+Tipo_Cambio[[#This Row],[Inflación]])</f>
        <v>1.3727857050906125</v>
      </c>
      <c r="P21" t="s">
        <v>521</v>
      </c>
      <c r="Q21" t="s">
        <v>58</v>
      </c>
      <c r="R21" t="s">
        <v>256</v>
      </c>
      <c r="S21" s="14"/>
      <c r="T21" s="14"/>
      <c r="U21" s="14"/>
      <c r="V21" s="14"/>
      <c r="AF21" s="14"/>
      <c r="AG21" s="14"/>
      <c r="AH21" s="14"/>
      <c r="AI21" s="14"/>
      <c r="AJ21" s="14"/>
      <c r="AK21" s="14"/>
      <c r="AT21" t="s">
        <v>122</v>
      </c>
      <c r="AU21" t="s">
        <v>38</v>
      </c>
      <c r="AV21" s="14">
        <v>0.21</v>
      </c>
      <c r="AW21" s="14"/>
      <c r="AX21" s="84"/>
      <c r="BG21" t="s">
        <v>121</v>
      </c>
      <c r="BH21" t="s">
        <v>38</v>
      </c>
      <c r="BI21" s="14">
        <v>0.21</v>
      </c>
      <c r="BJ21" s="14"/>
      <c r="BK21" s="84"/>
      <c r="BP21">
        <f>Tipo_Cambio[[#This Row],[Mes]]</f>
        <v>11</v>
      </c>
      <c r="BQ21">
        <f>Tipo_Cambio[[#This Row],[Año]]</f>
        <v>2019</v>
      </c>
      <c r="BR21" t="s">
        <v>2</v>
      </c>
      <c r="BS21" s="371" t="s">
        <v>480</v>
      </c>
      <c r="BY21" s="195"/>
      <c r="BZ21" s="196"/>
      <c r="CA21" s="197"/>
      <c r="CE21" s="116" t="s">
        <v>285</v>
      </c>
      <c r="CF21" t="s">
        <v>38</v>
      </c>
      <c r="CG21" t="s">
        <v>65</v>
      </c>
      <c r="CH21" s="14">
        <v>0</v>
      </c>
      <c r="CM21" s="14"/>
    </row>
    <row r="22" spans="6:91" ht="15.75" thickTop="1" x14ac:dyDescent="0.25">
      <c r="F22">
        <f t="shared" si="0"/>
        <v>12</v>
      </c>
      <c r="G22">
        <f>IF(Tipo_Cambio[[#This Row],[Mes]]=1,G21+1,G21)</f>
        <v>2019</v>
      </c>
      <c r="H22" s="3">
        <f t="shared" si="1"/>
        <v>26.054697490204578</v>
      </c>
      <c r="I22" s="659">
        <v>0.02</v>
      </c>
      <c r="J22" s="13">
        <f>J21*(1+Tipo_Cambio[[#This Row],[Inflación]])</f>
        <v>1.4002414191924248</v>
      </c>
      <c r="S22" s="14"/>
      <c r="T22" s="14"/>
      <c r="U22" s="14"/>
      <c r="V22" s="14"/>
      <c r="AF22" s="14"/>
      <c r="AG22" s="14"/>
      <c r="AH22" s="14"/>
      <c r="AI22" s="14"/>
      <c r="AJ22" s="14"/>
      <c r="AK22" s="14"/>
      <c r="AT22" t="s">
        <v>123</v>
      </c>
      <c r="AU22" t="s">
        <v>38</v>
      </c>
      <c r="AV22" s="14">
        <v>0.21</v>
      </c>
      <c r="AW22" s="14"/>
      <c r="AX22" s="84"/>
      <c r="BG22" t="s">
        <v>122</v>
      </c>
      <c r="BH22" t="s">
        <v>38</v>
      </c>
      <c r="BI22" s="14">
        <v>0.21</v>
      </c>
      <c r="BJ22" s="14"/>
      <c r="BK22" s="84"/>
      <c r="BY22" s="5" t="s">
        <v>201</v>
      </c>
      <c r="BZ22" s="177" t="s">
        <v>59</v>
      </c>
      <c r="CA22" s="178"/>
      <c r="CH22" s="14">
        <v>0</v>
      </c>
      <c r="CM22" s="14"/>
    </row>
    <row r="23" spans="6:91" x14ac:dyDescent="0.25">
      <c r="F23">
        <f t="shared" si="0"/>
        <v>1</v>
      </c>
      <c r="G23">
        <f>IF(Tipo_Cambio[[#This Row],[Mes]]=1,G22+1,G22)</f>
        <v>2020</v>
      </c>
      <c r="H23" s="3">
        <f t="shared" si="1"/>
        <v>26.315244465106623</v>
      </c>
      <c r="I23" s="659">
        <v>0.02</v>
      </c>
      <c r="J23" s="13">
        <f>J22*(1+Tipo_Cambio[[#This Row],[Inflación]])</f>
        <v>1.4282462475762734</v>
      </c>
      <c r="S23" s="14"/>
      <c r="T23" s="14"/>
      <c r="U23" s="14"/>
      <c r="V23" s="14"/>
      <c r="AF23" s="14"/>
      <c r="AG23" s="14"/>
      <c r="AH23" s="14"/>
      <c r="AI23" s="14"/>
      <c r="AJ23" s="14"/>
      <c r="AK23" s="14"/>
      <c r="AT23" t="s">
        <v>124</v>
      </c>
      <c r="AU23" t="s">
        <v>38</v>
      </c>
      <c r="AV23" s="14">
        <v>0.21</v>
      </c>
      <c r="AW23" s="14"/>
      <c r="AX23" s="84"/>
      <c r="BG23" t="s">
        <v>123</v>
      </c>
      <c r="BH23" t="s">
        <v>38</v>
      </c>
      <c r="BI23" s="14">
        <v>0.21</v>
      </c>
      <c r="BJ23" s="14"/>
      <c r="BK23" s="84"/>
      <c r="BY23" t="s">
        <v>204</v>
      </c>
      <c r="BZ23" s="177" t="s">
        <v>59</v>
      </c>
      <c r="CA23" s="180"/>
      <c r="CH23" s="14">
        <v>0</v>
      </c>
      <c r="CM23" s="14"/>
    </row>
    <row r="24" spans="6:91" x14ac:dyDescent="0.25">
      <c r="F24">
        <f t="shared" si="0"/>
        <v>2</v>
      </c>
      <c r="G24">
        <f>IF(Tipo_Cambio[[#This Row],[Mes]]=1,G23+1,G23)</f>
        <v>2020</v>
      </c>
      <c r="H24" s="3">
        <f t="shared" si="1"/>
        <v>26.578396909757689</v>
      </c>
      <c r="I24" s="659">
        <v>0.02</v>
      </c>
      <c r="J24" s="13">
        <f>J23*(1+Tipo_Cambio[[#This Row],[Inflación]])</f>
        <v>1.4568111725277988</v>
      </c>
      <c r="S24" s="14"/>
      <c r="T24" s="14"/>
      <c r="U24" s="14"/>
      <c r="V24" s="14"/>
      <c r="AF24" s="14"/>
      <c r="AG24" s="14"/>
      <c r="AH24" s="14"/>
      <c r="AI24" s="14"/>
      <c r="AJ24" s="14"/>
      <c r="AK24" s="14"/>
      <c r="AT24" t="str">
        <f>AC9</f>
        <v>Cesión de Granos</v>
      </c>
      <c r="AU24" t="s">
        <v>58</v>
      </c>
      <c r="AV24" s="14">
        <v>0</v>
      </c>
      <c r="AW24" s="14"/>
      <c r="AX24" s="84"/>
      <c r="BG24" t="s">
        <v>124</v>
      </c>
      <c r="BH24" t="s">
        <v>38</v>
      </c>
      <c r="BI24" s="14">
        <v>0.21</v>
      </c>
      <c r="BJ24" s="14"/>
      <c r="BK24" s="84"/>
      <c r="BY24" t="s">
        <v>203</v>
      </c>
      <c r="BZ24" s="177" t="s">
        <v>59</v>
      </c>
      <c r="CA24" s="180"/>
      <c r="CE24" s="116" t="s">
        <v>289</v>
      </c>
      <c r="CF24" t="s">
        <v>38</v>
      </c>
      <c r="CG24" t="s">
        <v>65</v>
      </c>
      <c r="CH24" s="14">
        <v>0</v>
      </c>
      <c r="CM24" s="14"/>
    </row>
    <row r="25" spans="6:91" x14ac:dyDescent="0.25">
      <c r="F25">
        <f t="shared" si="0"/>
        <v>3</v>
      </c>
      <c r="G25">
        <f>IF(Tipo_Cambio[[#This Row],[Mes]]=1,G24+1,G24)</f>
        <v>2020</v>
      </c>
      <c r="H25" s="3">
        <f t="shared" si="1"/>
        <v>26.844180878855266</v>
      </c>
      <c r="I25" s="659">
        <v>0.02</v>
      </c>
      <c r="J25" s="13">
        <f>J24*(1+Tipo_Cambio[[#This Row],[Inflación]])</f>
        <v>1.4859473959783549</v>
      </c>
      <c r="S25" s="14"/>
      <c r="T25" s="14"/>
      <c r="U25" s="14"/>
      <c r="V25" s="14"/>
      <c r="AF25" s="14"/>
      <c r="AG25" s="14"/>
      <c r="AH25" s="14"/>
      <c r="AI25" s="14"/>
      <c r="AJ25" s="14"/>
      <c r="AK25" s="14"/>
      <c r="AT25" t="str">
        <f>$BY$22</f>
        <v>Labores Propias</v>
      </c>
      <c r="AU25" t="s">
        <v>58</v>
      </c>
      <c r="AV25" s="14">
        <v>0</v>
      </c>
      <c r="AW25" s="14"/>
      <c r="AX25" s="84"/>
      <c r="BG25" t="str">
        <f>AC9</f>
        <v>Cesión de Granos</v>
      </c>
      <c r="BH25" t="s">
        <v>58</v>
      </c>
      <c r="BI25" s="14">
        <v>0</v>
      </c>
      <c r="BJ25" s="14"/>
      <c r="BK25" s="84"/>
      <c r="BY25" s="5" t="s">
        <v>57</v>
      </c>
      <c r="BZ25" s="177" t="s">
        <v>59</v>
      </c>
      <c r="CA25" s="178"/>
      <c r="CE25" s="116" t="s">
        <v>290</v>
      </c>
      <c r="CF25" t="s">
        <v>38</v>
      </c>
      <c r="CG25" t="s">
        <v>65</v>
      </c>
      <c r="CH25" s="14">
        <v>0</v>
      </c>
      <c r="CM25" s="14"/>
    </row>
    <row r="26" spans="6:91" x14ac:dyDescent="0.25">
      <c r="S26" s="14"/>
      <c r="T26" s="14"/>
      <c r="U26" s="14"/>
      <c r="V26" s="14"/>
      <c r="AF26" s="14"/>
      <c r="AG26" s="14"/>
      <c r="AH26" s="14"/>
      <c r="AI26" s="14"/>
      <c r="AJ26" s="14"/>
      <c r="AK26" s="14"/>
      <c r="AT26" t="s">
        <v>53</v>
      </c>
      <c r="AU26" t="s">
        <v>38</v>
      </c>
      <c r="AV26" s="14">
        <v>0.21</v>
      </c>
      <c r="AW26" s="14"/>
      <c r="AX26" s="84"/>
      <c r="BG26" t="str">
        <f>$BY$22</f>
        <v>Labores Propias</v>
      </c>
      <c r="BH26" t="s">
        <v>58</v>
      </c>
      <c r="BI26" s="14">
        <v>0</v>
      </c>
      <c r="BJ26" s="14"/>
      <c r="BK26" s="84"/>
      <c r="CH26" s="14">
        <v>0</v>
      </c>
      <c r="CM26" s="14"/>
    </row>
    <row r="27" spans="6:91" x14ac:dyDescent="0.25">
      <c r="S27" s="14"/>
      <c r="T27" s="14"/>
      <c r="U27" s="14"/>
      <c r="V27" s="14"/>
      <c r="AF27" s="14"/>
      <c r="AG27" s="14"/>
      <c r="AH27" s="14"/>
      <c r="AI27" s="14"/>
      <c r="AJ27" s="14"/>
      <c r="AK27" s="14"/>
      <c r="AT27" t="s">
        <v>56</v>
      </c>
      <c r="AU27" t="s">
        <v>38</v>
      </c>
      <c r="AV27" s="14">
        <v>0</v>
      </c>
      <c r="AW27" s="14"/>
      <c r="AX27" s="84"/>
      <c r="BG27" t="s">
        <v>53</v>
      </c>
      <c r="BH27" t="s">
        <v>38</v>
      </c>
      <c r="BI27" s="14">
        <v>0.21</v>
      </c>
      <c r="BJ27" s="14"/>
      <c r="BK27" s="84"/>
      <c r="CH27" s="14">
        <v>0</v>
      </c>
    </row>
    <row r="28" spans="6:91" x14ac:dyDescent="0.25">
      <c r="S28" s="14"/>
      <c r="T28" s="14"/>
      <c r="U28" s="14"/>
      <c r="V28" s="14"/>
      <c r="AF28" s="14"/>
      <c r="AG28" s="14"/>
      <c r="AH28" s="14"/>
      <c r="AI28" s="14"/>
      <c r="AJ28" s="14"/>
      <c r="AK28" s="14"/>
      <c r="AT28" t="s">
        <v>57</v>
      </c>
      <c r="AU28" t="s">
        <v>58</v>
      </c>
      <c r="AV28" s="14">
        <v>0</v>
      </c>
      <c r="AW28" s="14"/>
      <c r="AX28" s="84"/>
      <c r="BG28" t="s">
        <v>56</v>
      </c>
      <c r="BH28" t="s">
        <v>38</v>
      </c>
      <c r="BI28" s="14">
        <v>0</v>
      </c>
      <c r="BJ28" s="14"/>
      <c r="BK28" s="84"/>
      <c r="CE28" s="116" t="s">
        <v>287</v>
      </c>
      <c r="CF28" t="s">
        <v>38</v>
      </c>
      <c r="CG28" t="s">
        <v>63</v>
      </c>
      <c r="CH28" s="14">
        <v>0</v>
      </c>
    </row>
    <row r="29" spans="6:91" x14ac:dyDescent="0.25">
      <c r="S29" s="14"/>
      <c r="T29" s="14"/>
      <c r="U29" s="14"/>
      <c r="V29" s="14"/>
      <c r="AF29" s="14"/>
      <c r="AG29" s="14"/>
      <c r="AH29" s="14"/>
      <c r="AI29" s="14"/>
      <c r="AJ29" s="14"/>
      <c r="AK29" s="14"/>
      <c r="AT29" t="s">
        <v>474</v>
      </c>
      <c r="AU29" t="s">
        <v>113</v>
      </c>
      <c r="AV29" s="14">
        <v>0</v>
      </c>
      <c r="AW29" s="14"/>
      <c r="AX29" s="84"/>
      <c r="BG29" t="s">
        <v>57</v>
      </c>
      <c r="BH29" t="s">
        <v>58</v>
      </c>
      <c r="BI29" s="14">
        <v>0</v>
      </c>
      <c r="BJ29" s="14"/>
      <c r="BK29" s="84"/>
      <c r="CE29" s="116" t="s">
        <v>283</v>
      </c>
      <c r="CF29" t="s">
        <v>38</v>
      </c>
      <c r="CG29" t="s">
        <v>63</v>
      </c>
      <c r="CH29" s="14">
        <v>0</v>
      </c>
    </row>
    <row r="30" spans="6:91" x14ac:dyDescent="0.25">
      <c r="S30" s="14"/>
      <c r="T30" s="14"/>
      <c r="U30" s="14"/>
      <c r="V30" s="14"/>
      <c r="AF30" s="14"/>
      <c r="AG30" s="14"/>
      <c r="AH30" s="14"/>
      <c r="AI30" s="14"/>
      <c r="AJ30" s="14"/>
      <c r="AK30" s="14"/>
      <c r="AV30" s="14"/>
      <c r="AW30" s="14"/>
      <c r="AX30" s="14"/>
      <c r="BG30" t="s">
        <v>113</v>
      </c>
      <c r="BH30" t="s">
        <v>113</v>
      </c>
      <c r="BI30" s="14"/>
      <c r="BJ30" s="14"/>
      <c r="BK30" s="84"/>
    </row>
    <row r="31" spans="6:91" x14ac:dyDescent="0.25">
      <c r="AF31" s="14"/>
      <c r="AG31" s="14"/>
      <c r="AH31" s="14"/>
      <c r="AI31" s="14"/>
      <c r="AJ31" s="14"/>
      <c r="AK31" s="14"/>
      <c r="AV31" s="14"/>
      <c r="AW31" s="14"/>
      <c r="AX31" s="14"/>
      <c r="BI31" s="14"/>
      <c r="BJ31" s="14"/>
      <c r="BK31" s="14"/>
    </row>
    <row r="32" spans="6:91" x14ac:dyDescent="0.25">
      <c r="AF32" s="14"/>
      <c r="AG32" s="14"/>
      <c r="AH32" s="14"/>
      <c r="AI32" s="14"/>
      <c r="AJ32" s="14"/>
      <c r="AK32" s="14"/>
      <c r="AV32" s="14"/>
      <c r="AW32" s="14"/>
      <c r="AX32" s="14"/>
      <c r="BI32" s="14"/>
      <c r="BJ32" s="14"/>
      <c r="BK32" s="14"/>
    </row>
    <row r="33" spans="48:63" x14ac:dyDescent="0.25">
      <c r="AV33" s="14"/>
      <c r="AW33" s="14"/>
      <c r="AX33" s="14"/>
      <c r="BI33" s="14"/>
      <c r="BJ33" s="14"/>
      <c r="BK33" s="14"/>
    </row>
    <row r="34" spans="48:63" x14ac:dyDescent="0.25">
      <c r="BI34" s="14"/>
      <c r="BJ34" s="14"/>
      <c r="BK34" s="14"/>
    </row>
  </sheetData>
  <mergeCells count="15">
    <mergeCell ref="P3:S3"/>
    <mergeCell ref="AC3:AK3"/>
    <mergeCell ref="U3:V3"/>
    <mergeCell ref="AM3:AN3"/>
    <mergeCell ref="X3:AA3"/>
    <mergeCell ref="AP3:AR3"/>
    <mergeCell ref="BG3:BK3"/>
    <mergeCell ref="BM3:BN3"/>
    <mergeCell ref="BC3:BE3"/>
    <mergeCell ref="BP3:BU3"/>
    <mergeCell ref="CJ3:CM3"/>
    <mergeCell ref="BY3:CA3"/>
    <mergeCell ref="CE3:CH3"/>
    <mergeCell ref="AZ3:BA3"/>
    <mergeCell ref="AT3:AX3"/>
  </mergeCells>
  <dataValidations count="14">
    <dataValidation type="list" allowBlank="1" showInputMessage="1" showErrorMessage="1" sqref="BZ22:BZ25 AD5:AD17 AU31:AU33 BH32:BH34 CK5:CK17 AU5:AU29 BH5:BH30 Q5:Q21 CK19:CK23 CK25 CF17:CF21 CF5:CF14 CF28:CF29 CF24:CF26 BZ5:BZ20">
      <formula1>Movimiento</formula1>
    </dataValidation>
    <dataValidation type="list" allowBlank="1" showInputMessage="1" showErrorMessage="1" sqref="M5:M12 AE5:AE17 CL19:CL26 CG17:CG21 CG5:CG14 CG28:CG29 CG24:CG26 CL5:CL17">
      <formula1>"Si,No"</formula1>
    </dataValidation>
    <dataValidation type="list" allowBlank="1" showInputMessage="1" showErrorMessage="1" sqref="N5:N12 AX5:AX29 BK5:BK30">
      <formula1>"(+),(-)"</formula1>
    </dataValidation>
    <dataValidation type="list" allowBlank="1" showInputMessage="1" showErrorMessage="1" sqref="V5:V16">
      <formula1>Producto_Agricola</formula1>
    </dataValidation>
    <dataValidation type="list" allowBlank="1" showInputMessage="1" showErrorMessage="1" sqref="L5:L11">
      <formula1>"Ingreso,Egreso,Ingreso Cesión, Egreso Cesión, Stock Inicio,Stock Cierre,Amortización"</formula1>
    </dataValidation>
    <dataValidation type="list" allowBlank="1" showInputMessage="1" showErrorMessage="1" sqref="L12">
      <formula1>"Ingreso,Egreso,Ingreso Cesión, Egreso Cesión, Stock Inicio,Stock Cierre,Amortización,Mov. Hacienda"</formula1>
    </dataValidation>
    <dataValidation type="list" allowBlank="1" showInputMessage="1" showErrorMessage="1" sqref="BV5:BV16 CD5:CD16">
      <formula1>Categoria_Hacienda</formula1>
    </dataValidation>
    <dataValidation type="list" allowBlank="1" showInputMessage="1" showErrorMessage="1" sqref="BR5:BR21 Y19:Y21 X5:X21 BC5:BC8 AP5:AP8">
      <formula1>INDIRECT("Centros_Costo")</formula1>
    </dataValidation>
    <dataValidation type="list" allowBlank="1" showInputMessage="1" showErrorMessage="1" sqref="Z5:Z21">
      <formula1>Actividades_Agricolas</formula1>
    </dataValidation>
    <dataValidation type="list" allowBlank="1" showInputMessage="1" showErrorMessage="1" sqref="BD5:BD8 Y5:Y18 BS5:BS21">
      <formula1>INDIRECT("Campaña")</formula1>
    </dataValidation>
    <dataValidation type="list" allowBlank="1" showInputMessage="1" showErrorMessage="1" sqref="R5:R21">
      <formula1>"Ingreso,Gasto Fijo,Gasto Variable"</formula1>
    </dataValidation>
    <dataValidation type="list" allowBlank="1" showInputMessage="1" showErrorMessage="1" sqref="AH8">
      <formula1>"1,2,3,4,5,6"</formula1>
    </dataValidation>
    <dataValidation type="list" allowBlank="1" showInputMessage="1" showErrorMessage="1" sqref="CE19:CE21 CE24:CE25 CE28:CE29">
      <formula1>Cuentas_Indirectos</formula1>
    </dataValidation>
    <dataValidation type="list" allowBlank="1" showInputMessage="1" showErrorMessage="1" sqref="AQ5 AQ6:AQ8">
      <formula1>$B$5:$B$8</formula1>
    </dataValidation>
  </dataValidations>
  <pageMargins left="0.7" right="0.7" top="0.75" bottom="0.75" header="0.3" footer="0.3"/>
  <pageSetup orientation="portrait" r:id="rId1"/>
  <legacyDrawing r:id="rId2"/>
  <tableParts count="2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E251"/>
  <sheetViews>
    <sheetView showGridLines="0" zoomScale="90" zoomScaleNormal="90" workbookViewId="0">
      <pane ySplit="2" topLeftCell="A3" activePane="bottomLeft" state="frozen"/>
      <selection pane="bottomLeft" activeCell="G200" sqref="G200"/>
    </sheetView>
  </sheetViews>
  <sheetFormatPr baseColWidth="10" defaultRowHeight="15" outlineLevelRow="2" x14ac:dyDescent="0.25"/>
  <cols>
    <col min="1" max="1" width="0.7109375" customWidth="1"/>
    <col min="2" max="2" width="2.7109375" style="124" customWidth="1"/>
    <col min="3" max="3" width="5.42578125" style="210" bestFit="1" customWidth="1"/>
    <col min="4" max="4" width="19.140625" style="101" bestFit="1" customWidth="1"/>
    <col min="5" max="5" width="5.140625" style="119" customWidth="1"/>
    <col min="6" max="6" width="10.28515625" customWidth="1"/>
    <col min="7" max="7" width="29.42578125" customWidth="1"/>
    <col min="8" max="8" width="11.5703125" style="98" bestFit="1" customWidth="1"/>
    <col min="9" max="9" width="11.5703125" bestFit="1" customWidth="1"/>
    <col min="10" max="10" width="11.5703125" style="98" bestFit="1" customWidth="1"/>
    <col min="11" max="11" width="11.5703125" bestFit="1" customWidth="1"/>
    <col min="12" max="12" width="11.5703125" style="98" bestFit="1" customWidth="1"/>
    <col min="13" max="13" width="11.5703125" bestFit="1" customWidth="1"/>
    <col min="14" max="14" width="12.42578125" style="98" bestFit="1" customWidth="1"/>
    <col min="15" max="15" width="11.5703125" bestFit="1" customWidth="1"/>
    <col min="16" max="16" width="12.42578125" style="98" bestFit="1" customWidth="1"/>
    <col min="17" max="17" width="11.5703125" bestFit="1" customWidth="1"/>
    <col min="18" max="18" width="11.5703125" style="98" bestFit="1" customWidth="1"/>
    <col min="19" max="19" width="11.5703125" bestFit="1" customWidth="1"/>
    <col min="20" max="20" width="11.5703125" style="98" bestFit="1" customWidth="1"/>
    <col min="21" max="21" width="12.42578125" bestFit="1" customWidth="1"/>
    <col min="22" max="22" width="11.5703125" style="98" bestFit="1" customWidth="1"/>
    <col min="23" max="23" width="11.5703125" bestFit="1" customWidth="1"/>
    <col min="24" max="24" width="11.5703125" style="98" bestFit="1" customWidth="1"/>
    <col min="25" max="25" width="11.5703125" bestFit="1" customWidth="1"/>
    <col min="26" max="26" width="13.5703125" style="150" bestFit="1" customWidth="1"/>
    <col min="28" max="28" width="14.28515625" style="170" customWidth="1"/>
    <col min="29" max="30" width="11.42578125" style="168"/>
  </cols>
  <sheetData>
    <row r="1" spans="2:31" x14ac:dyDescent="0.25">
      <c r="B1" s="92" t="s">
        <v>462</v>
      </c>
      <c r="F1" s="213" t="s">
        <v>206</v>
      </c>
      <c r="H1" s="136">
        <v>4</v>
      </c>
      <c r="I1" s="371">
        <f>IF(H1=12,1,H1+1)</f>
        <v>5</v>
      </c>
      <c r="J1" s="96">
        <f t="shared" ref="J1:V1" si="0">IF(I1=12,1,I1+1)</f>
        <v>6</v>
      </c>
      <c r="K1" s="371">
        <f t="shared" si="0"/>
        <v>7</v>
      </c>
      <c r="L1" s="96">
        <f t="shared" si="0"/>
        <v>8</v>
      </c>
      <c r="M1" s="371">
        <f t="shared" si="0"/>
        <v>9</v>
      </c>
      <c r="N1" s="96">
        <f t="shared" si="0"/>
        <v>10</v>
      </c>
      <c r="O1" s="371">
        <f t="shared" si="0"/>
        <v>11</v>
      </c>
      <c r="P1" s="96">
        <f t="shared" si="0"/>
        <v>12</v>
      </c>
      <c r="Q1" s="371">
        <f t="shared" si="0"/>
        <v>1</v>
      </c>
      <c r="R1" s="96">
        <f t="shared" si="0"/>
        <v>2</v>
      </c>
      <c r="S1" s="371">
        <f t="shared" si="0"/>
        <v>3</v>
      </c>
      <c r="T1" s="96">
        <f t="shared" si="0"/>
        <v>4</v>
      </c>
      <c r="U1" s="371">
        <f t="shared" si="0"/>
        <v>5</v>
      </c>
      <c r="V1" s="96">
        <f t="shared" si="0"/>
        <v>6</v>
      </c>
      <c r="W1" s="371">
        <f>IF(V1=12,1,V1+1)</f>
        <v>7</v>
      </c>
      <c r="X1" s="96">
        <f>IF(W1=12,1,W1+1)</f>
        <v>8</v>
      </c>
      <c r="Y1" s="371">
        <f>IF(X1=12,1,X1+1)</f>
        <v>9</v>
      </c>
      <c r="Z1" s="1128" t="s">
        <v>52</v>
      </c>
      <c r="AB1" s="170" t="s">
        <v>118</v>
      </c>
      <c r="AC1" s="168" t="s">
        <v>106</v>
      </c>
      <c r="AD1" s="168" t="s">
        <v>40</v>
      </c>
      <c r="AE1" t="s">
        <v>40</v>
      </c>
    </row>
    <row r="2" spans="2:31" s="94" customFormat="1" x14ac:dyDescent="0.25">
      <c r="B2" s="125"/>
      <c r="C2" s="211"/>
      <c r="D2" s="102"/>
      <c r="E2" s="120"/>
      <c r="H2" s="137">
        <v>2018</v>
      </c>
      <c r="I2" s="95">
        <f>IF(I1=1,H2+1,H2)</f>
        <v>2018</v>
      </c>
      <c r="J2" s="97">
        <f t="shared" ref="J2:V2" si="1">IF(J1=1,I2+1,I2)</f>
        <v>2018</v>
      </c>
      <c r="K2" s="95">
        <f t="shared" si="1"/>
        <v>2018</v>
      </c>
      <c r="L2" s="97">
        <f t="shared" si="1"/>
        <v>2018</v>
      </c>
      <c r="M2" s="95">
        <f t="shared" si="1"/>
        <v>2018</v>
      </c>
      <c r="N2" s="97">
        <f t="shared" si="1"/>
        <v>2018</v>
      </c>
      <c r="O2" s="95">
        <f t="shared" si="1"/>
        <v>2018</v>
      </c>
      <c r="P2" s="97">
        <f t="shared" si="1"/>
        <v>2018</v>
      </c>
      <c r="Q2" s="95">
        <f t="shared" si="1"/>
        <v>2019</v>
      </c>
      <c r="R2" s="97">
        <f t="shared" si="1"/>
        <v>2019</v>
      </c>
      <c r="S2" s="95">
        <f t="shared" si="1"/>
        <v>2019</v>
      </c>
      <c r="T2" s="97">
        <f t="shared" si="1"/>
        <v>2019</v>
      </c>
      <c r="U2" s="95">
        <f t="shared" si="1"/>
        <v>2019</v>
      </c>
      <c r="V2" s="97">
        <f t="shared" si="1"/>
        <v>2019</v>
      </c>
      <c r="W2" s="95">
        <f>IF(W1=1,V2+1,V2)</f>
        <v>2019</v>
      </c>
      <c r="X2" s="97">
        <f>IF(X1=1,W2+1,W2)</f>
        <v>2019</v>
      </c>
      <c r="Y2" s="95">
        <f>IF(Y1=1,X2+1,X2)</f>
        <v>2019</v>
      </c>
      <c r="Z2" s="1129"/>
      <c r="AB2" s="171"/>
      <c r="AC2" s="172"/>
      <c r="AD2" s="172"/>
    </row>
    <row r="3" spans="2:31" s="399" customFormat="1" ht="12" x14ac:dyDescent="0.2">
      <c r="D3" s="400"/>
      <c r="E3" s="400"/>
      <c r="H3" s="401">
        <f>DATE(H2,H1,1)</f>
        <v>43191</v>
      </c>
      <c r="I3" s="402">
        <f t="shared" ref="I3:Y3" si="2">DATE(I2,I1,1)</f>
        <v>43221</v>
      </c>
      <c r="J3" s="401">
        <f t="shared" si="2"/>
        <v>43252</v>
      </c>
      <c r="K3" s="402">
        <f t="shared" si="2"/>
        <v>43282</v>
      </c>
      <c r="L3" s="401">
        <f t="shared" si="2"/>
        <v>43313</v>
      </c>
      <c r="M3" s="402">
        <f t="shared" si="2"/>
        <v>43344</v>
      </c>
      <c r="N3" s="401">
        <f t="shared" si="2"/>
        <v>43374</v>
      </c>
      <c r="O3" s="402">
        <f t="shared" si="2"/>
        <v>43405</v>
      </c>
      <c r="P3" s="401">
        <f t="shared" si="2"/>
        <v>43435</v>
      </c>
      <c r="Q3" s="402">
        <f t="shared" si="2"/>
        <v>43466</v>
      </c>
      <c r="R3" s="401">
        <f t="shared" si="2"/>
        <v>43497</v>
      </c>
      <c r="S3" s="402">
        <f t="shared" si="2"/>
        <v>43525</v>
      </c>
      <c r="T3" s="401">
        <f t="shared" si="2"/>
        <v>43556</v>
      </c>
      <c r="U3" s="402">
        <f t="shared" si="2"/>
        <v>43586</v>
      </c>
      <c r="V3" s="401">
        <f t="shared" si="2"/>
        <v>43617</v>
      </c>
      <c r="W3" s="402">
        <f t="shared" si="2"/>
        <v>43647</v>
      </c>
      <c r="X3" s="401">
        <f t="shared" si="2"/>
        <v>43678</v>
      </c>
      <c r="Y3" s="402">
        <f t="shared" si="2"/>
        <v>43709</v>
      </c>
      <c r="Z3" s="403"/>
      <c r="AB3" s="404"/>
      <c r="AC3" s="405"/>
      <c r="AD3" s="405"/>
    </row>
    <row r="4" spans="2:31" x14ac:dyDescent="0.25">
      <c r="B4" s="165"/>
      <c r="C4" s="210" t="s">
        <v>37</v>
      </c>
      <c r="D4" s="381" t="s">
        <v>102</v>
      </c>
      <c r="E4" s="223">
        <f>MATCH(F4,Comercializacion_Granos_Cuentas[Cuenta Contable],0)</f>
        <v>4</v>
      </c>
      <c r="F4" s="382" t="s">
        <v>171</v>
      </c>
      <c r="G4" s="92"/>
      <c r="H4" s="99">
        <f>SUMPRODUCT(($C4=Comercial_Agricola[Movimiento])*(Comercial_Agricola[Financiero $Corrientes])*($F4=Comercial_Agricola[Cuenta Contable])*(H$1=Comercial_Agricola[Mes Financiero])*(H$2=Comercial_Agricola[Año Financiero]))</f>
        <v>0</v>
      </c>
      <c r="I4" s="100">
        <f>SUMPRODUCT(($C4=Comercial_Agricola[Movimiento])*(Comercial_Agricola[Financiero $Corrientes])*($F4=Comercial_Agricola[Cuenta Contable])*(I$1=Comercial_Agricola[Mes Financiero])*(I$2=Comercial_Agricola[Año Financiero]))</f>
        <v>0</v>
      </c>
      <c r="J4" s="99">
        <f>SUMPRODUCT(($C4=Comercial_Agricola[Movimiento])*(Comercial_Agricola[Financiero $Corrientes])*($F4=Comercial_Agricola[Cuenta Contable])*(J$1=Comercial_Agricola[Mes Financiero])*(J$2=Comercial_Agricola[Año Financiero]))</f>
        <v>0</v>
      </c>
      <c r="K4" s="100">
        <f>SUMPRODUCT(($C4=Comercial_Agricola[Movimiento])*(Comercial_Agricola[Financiero $Corrientes])*($F4=Comercial_Agricola[Cuenta Contable])*(K$1=Comercial_Agricola[Mes Financiero])*(K$2=Comercial_Agricola[Año Financiero]))</f>
        <v>0</v>
      </c>
      <c r="L4" s="99">
        <f>SUMPRODUCT(($C4=Comercial_Agricola[Movimiento])*(Comercial_Agricola[Financiero $Corrientes])*($F4=Comercial_Agricola[Cuenta Contable])*(L$1=Comercial_Agricola[Mes Financiero])*(L$2=Comercial_Agricola[Año Financiero]))</f>
        <v>0</v>
      </c>
      <c r="M4" s="100">
        <f>SUMPRODUCT(($C4=Comercial_Agricola[Movimiento])*(Comercial_Agricola[Financiero $Corrientes])*($F4=Comercial_Agricola[Cuenta Contable])*(M$1=Comercial_Agricola[Mes Financiero])*(M$2=Comercial_Agricola[Año Financiero]))</f>
        <v>0</v>
      </c>
      <c r="N4" s="99">
        <f>SUMPRODUCT(($C4=Comercial_Agricola[Movimiento])*(Comercial_Agricola[Financiero $Corrientes])*($F4=Comercial_Agricola[Cuenta Contable])*(N$1=Comercial_Agricola[Mes Financiero])*(N$2=Comercial_Agricola[Año Financiero]))</f>
        <v>0</v>
      </c>
      <c r="O4" s="100">
        <f>SUMPRODUCT(($C4=Comercial_Agricola[Movimiento])*(Comercial_Agricola[Financiero $Corrientes])*($F4=Comercial_Agricola[Cuenta Contable])*(O$1=Comercial_Agricola[Mes Financiero])*(O$2=Comercial_Agricola[Año Financiero]))</f>
        <v>0</v>
      </c>
      <c r="P4" s="99">
        <f>SUMPRODUCT(($C4=Comercial_Agricola[Movimiento])*(Comercial_Agricola[Financiero $Corrientes])*($F4=Comercial_Agricola[Cuenta Contable])*(P$1=Comercial_Agricola[Mes Financiero])*(P$2=Comercial_Agricola[Año Financiero]))</f>
        <v>0</v>
      </c>
      <c r="Q4" s="100">
        <f>SUMPRODUCT(($C4=Comercial_Agricola[Movimiento])*(Comercial_Agricola[Financiero $Corrientes])*($F4=Comercial_Agricola[Cuenta Contable])*(Q$1=Comercial_Agricola[Mes Financiero])*(Q$2=Comercial_Agricola[Año Financiero]))</f>
        <v>0</v>
      </c>
      <c r="R4" s="99">
        <f>SUMPRODUCT(($C4=Comercial_Agricola[Movimiento])*(Comercial_Agricola[Financiero $Corrientes])*($F4=Comercial_Agricola[Cuenta Contable])*(R$1=Comercial_Agricola[Mes Financiero])*(R$2=Comercial_Agricola[Año Financiero]))</f>
        <v>0</v>
      </c>
      <c r="S4" s="100">
        <f>SUMPRODUCT(($C4=Comercial_Agricola[Movimiento])*(Comercial_Agricola[Financiero $Corrientes])*($F4=Comercial_Agricola[Cuenta Contable])*(S$1=Comercial_Agricola[Mes Financiero])*(S$2=Comercial_Agricola[Año Financiero]))</f>
        <v>0</v>
      </c>
      <c r="T4" s="99">
        <f>SUMPRODUCT(($C4=Comercial_Agricola[Movimiento])*(Comercial_Agricola[Financiero $Corrientes])*($F4=Comercial_Agricola[Cuenta Contable])*(T$1=Comercial_Agricola[Mes Financiero])*(T$2=Comercial_Agricola[Año Financiero]))</f>
        <v>0</v>
      </c>
      <c r="U4" s="100">
        <f>SUMPRODUCT(($C4=Comercial_Agricola[Movimiento])*(Comercial_Agricola[Financiero $Corrientes])*($F4=Comercial_Agricola[Cuenta Contable])*(U$1=Comercial_Agricola[Mes Financiero])*(U$2=Comercial_Agricola[Año Financiero]))</f>
        <v>0</v>
      </c>
      <c r="V4" s="99">
        <f>SUMPRODUCT(($C4=Comercial_Agricola[Movimiento])*(Comercial_Agricola[Financiero $Corrientes])*($F4=Comercial_Agricola[Cuenta Contable])*(V$1=Comercial_Agricola[Mes Financiero])*(V$2=Comercial_Agricola[Año Financiero]))</f>
        <v>0</v>
      </c>
      <c r="W4" s="100">
        <f>SUMPRODUCT(($C4=Comercial_Agricola[Movimiento])*(Comercial_Agricola[Financiero $Corrientes])*($F4=Comercial_Agricola[Cuenta Contable])*(W$1=Comercial_Agricola[Mes Financiero])*(W$2=Comercial_Agricola[Año Financiero]))</f>
        <v>0</v>
      </c>
      <c r="X4" s="99">
        <f>SUMPRODUCT(($C4=Comercial_Agricola[Movimiento])*(Comercial_Agricola[Financiero $Corrientes])*($F4=Comercial_Agricola[Cuenta Contable])*(X$1=Comercial_Agricola[Mes Financiero])*(X$2=Comercial_Agricola[Año Financiero]))</f>
        <v>0</v>
      </c>
      <c r="Y4" s="100">
        <f>SUMPRODUCT(($C4=Comercial_Agricola[Movimiento])*(Comercial_Agricola[Financiero $Corrientes])*($F4=Comercial_Agricola[Cuenta Contable])*(Y$1=Comercial_Agricola[Mes Financiero])*(Y$2=Comercial_Agricola[Año Financiero]))</f>
        <v>0</v>
      </c>
      <c r="Z4" s="139">
        <f>SUM(H4:Y4)</f>
        <v>0</v>
      </c>
      <c r="AB4" s="170" t="b">
        <f>Z4=SUM(Z5:Z14)</f>
        <v>1</v>
      </c>
      <c r="AC4" s="281">
        <f>SUMPRODUCT((F4=Comercializacion_Granos_Cuentas[Cuenta Contable])*(Comercializacion_Granos_Cuentas[IVA Financiero]))</f>
        <v>2.5000000000000001E-2</v>
      </c>
      <c r="AD4" s="281">
        <v>0.01</v>
      </c>
    </row>
    <row r="5" spans="2:31" ht="15" hidden="1" customHeight="1" outlineLevel="1" x14ac:dyDescent="0.25">
      <c r="B5" s="165"/>
      <c r="F5" s="215">
        <f>IFERROR(MATCH('Financiero $'!G5,Tabla811[Producto],0),0)</f>
        <v>1</v>
      </c>
      <c r="G5" s="217" t="str">
        <f>Configuración!AN5</f>
        <v>Soja</v>
      </c>
      <c r="H5" s="117">
        <f>SUMPRODUCT(($C$4=Comercial_Agricola[Movimiento])*(Comercial_Agricola[Financiero $Corrientes])*($G5=Comercial_Agricola[Producto])*(H$1=Comercial_Agricola[Mes Financiero])*(H$2=Comercial_Agricola[Año Financiero]))</f>
        <v>0</v>
      </c>
      <c r="I5" s="118">
        <f>SUMPRODUCT(($C$4=Comercial_Agricola[Movimiento])*(Comercial_Agricola[Financiero $Corrientes])*($G5=Comercial_Agricola[Producto])*(I$1=Comercial_Agricola[Mes Financiero])*(I$2=Comercial_Agricola[Año Financiero]))</f>
        <v>0</v>
      </c>
      <c r="J5" s="117">
        <f>SUMPRODUCT(($C$4=Comercial_Agricola[Movimiento])*(Comercial_Agricola[Financiero $Corrientes])*($G5=Comercial_Agricola[Producto])*(J$1=Comercial_Agricola[Mes Financiero])*(J$2=Comercial_Agricola[Año Financiero]))</f>
        <v>0</v>
      </c>
      <c r="K5" s="118">
        <f>SUMPRODUCT(($C$4=Comercial_Agricola[Movimiento])*(Comercial_Agricola[Financiero $Corrientes])*($G5=Comercial_Agricola[Producto])*(K$1=Comercial_Agricola[Mes Financiero])*(K$2=Comercial_Agricola[Año Financiero]))</f>
        <v>0</v>
      </c>
      <c r="L5" s="117">
        <f>SUMPRODUCT(($C$4=Comercial_Agricola[Movimiento])*(Comercial_Agricola[Financiero $Corrientes])*($G5=Comercial_Agricola[Producto])*(L$1=Comercial_Agricola[Mes Financiero])*(L$2=Comercial_Agricola[Año Financiero]))</f>
        <v>0</v>
      </c>
      <c r="M5" s="118">
        <f>SUMPRODUCT(($C$4=Comercial_Agricola[Movimiento])*(Comercial_Agricola[Financiero $Corrientes])*($G5=Comercial_Agricola[Producto])*(M$1=Comercial_Agricola[Mes Financiero])*(M$2=Comercial_Agricola[Año Financiero]))</f>
        <v>0</v>
      </c>
      <c r="N5" s="117">
        <f>SUMPRODUCT(($C$4=Comercial_Agricola[Movimiento])*(Comercial_Agricola[Financiero $Corrientes])*($G5=Comercial_Agricola[Producto])*(N$1=Comercial_Agricola[Mes Financiero])*(N$2=Comercial_Agricola[Año Financiero]))</f>
        <v>0</v>
      </c>
      <c r="O5" s="118">
        <f>SUMPRODUCT(($C$4=Comercial_Agricola[Movimiento])*(Comercial_Agricola[Financiero $Corrientes])*($G5=Comercial_Agricola[Producto])*(O$1=Comercial_Agricola[Mes Financiero])*(O$2=Comercial_Agricola[Año Financiero]))</f>
        <v>0</v>
      </c>
      <c r="P5" s="117">
        <f>SUMPRODUCT(($C$4=Comercial_Agricola[Movimiento])*(Comercial_Agricola[Financiero $Corrientes])*($G5=Comercial_Agricola[Producto])*(P$1=Comercial_Agricola[Mes Financiero])*(P$2=Comercial_Agricola[Año Financiero]))</f>
        <v>0</v>
      </c>
      <c r="Q5" s="118">
        <f>SUMPRODUCT(($C$4=Comercial_Agricola[Movimiento])*(Comercial_Agricola[Financiero $Corrientes])*($G5=Comercial_Agricola[Producto])*(Q$1=Comercial_Agricola[Mes Financiero])*(Q$2=Comercial_Agricola[Año Financiero]))</f>
        <v>0</v>
      </c>
      <c r="R5" s="117">
        <f>SUMPRODUCT(($C$4=Comercial_Agricola[Movimiento])*(Comercial_Agricola[Financiero $Corrientes])*($G5=Comercial_Agricola[Producto])*(R$1=Comercial_Agricola[Mes Financiero])*(R$2=Comercial_Agricola[Año Financiero]))</f>
        <v>0</v>
      </c>
      <c r="S5" s="118">
        <f>SUMPRODUCT(($C$4=Comercial_Agricola[Movimiento])*(Comercial_Agricola[Financiero $Corrientes])*($G5=Comercial_Agricola[Producto])*(S$1=Comercial_Agricola[Mes Financiero])*(S$2=Comercial_Agricola[Año Financiero]))</f>
        <v>0</v>
      </c>
      <c r="T5" s="117">
        <f>SUMPRODUCT(($C$4=Comercial_Agricola[Movimiento])*(Comercial_Agricola[Financiero $Corrientes])*($G5=Comercial_Agricola[Producto])*(T$1=Comercial_Agricola[Mes Financiero])*(T$2=Comercial_Agricola[Año Financiero]))</f>
        <v>0</v>
      </c>
      <c r="U5" s="118">
        <f>SUMPRODUCT(($C$4=Comercial_Agricola[Movimiento])*(Comercial_Agricola[Financiero $Corrientes])*($G5=Comercial_Agricola[Producto])*(U$1=Comercial_Agricola[Mes Financiero])*(U$2=Comercial_Agricola[Año Financiero]))</f>
        <v>0</v>
      </c>
      <c r="V5" s="117">
        <f>SUMPRODUCT(($C$4=Comercial_Agricola[Movimiento])*(Comercial_Agricola[Financiero $Corrientes])*($G5=Comercial_Agricola[Producto])*(V$1=Comercial_Agricola[Mes Financiero])*(V$2=Comercial_Agricola[Año Financiero]))</f>
        <v>0</v>
      </c>
      <c r="W5" s="118">
        <f>SUMPRODUCT(($C$4=Comercial_Agricola[Movimiento])*(Comercial_Agricola[Financiero $Corrientes])*($G5=Comercial_Agricola[Producto])*(W$1=Comercial_Agricola[Mes Financiero])*(W$2=Comercial_Agricola[Año Financiero]))</f>
        <v>0</v>
      </c>
      <c r="X5" s="117">
        <f>SUMPRODUCT(($C$4=Comercial_Agricola[Movimiento])*(Comercial_Agricola[Financiero $Corrientes])*($G5=Comercial_Agricola[Producto])*(X$1=Comercial_Agricola[Mes Financiero])*(X$2=Comercial_Agricola[Año Financiero]))</f>
        <v>0</v>
      </c>
      <c r="Y5" s="118">
        <f>SUMPRODUCT(($C$4=Comercial_Agricola[Movimiento])*(Comercial_Agricola[Financiero $Corrientes])*($G5=Comercial_Agricola[Producto])*(Y$1=Comercial_Agricola[Mes Financiero])*(Y$2=Comercial_Agricola[Año Financiero]))</f>
        <v>0</v>
      </c>
      <c r="Z5" s="140">
        <f>SUM(H5:Y5)</f>
        <v>0</v>
      </c>
    </row>
    <row r="6" spans="2:31" hidden="1" outlineLevel="1" x14ac:dyDescent="0.25">
      <c r="B6" s="165"/>
      <c r="F6" s="215">
        <f>IFERROR(MATCH('Financiero $'!G6,Tabla811[Producto],0),0)</f>
        <v>2</v>
      </c>
      <c r="G6" s="217" t="str">
        <f>Configuración!AN6</f>
        <v>Maíz</v>
      </c>
      <c r="H6" s="117">
        <f>SUMPRODUCT(($C$4=Comercial_Agricola[Movimiento])*(Comercial_Agricola[Financiero $Corrientes])*($G6=Comercial_Agricola[Producto])*(H$1=Comercial_Agricola[Mes Financiero])*(H$2=Comercial_Agricola[Año Financiero]))</f>
        <v>0</v>
      </c>
      <c r="I6" s="118">
        <f>SUMPRODUCT(($C$4=Comercial_Agricola[Movimiento])*(Comercial_Agricola[Financiero $Corrientes])*($G6=Comercial_Agricola[Producto])*(I$1=Comercial_Agricola[Mes Financiero])*(I$2=Comercial_Agricola[Año Financiero]))</f>
        <v>0</v>
      </c>
      <c r="J6" s="117">
        <f>SUMPRODUCT(($C$4=Comercial_Agricola[Movimiento])*(Comercial_Agricola[Financiero $Corrientes])*($G6=Comercial_Agricola[Producto])*(J$1=Comercial_Agricola[Mes Financiero])*(J$2=Comercial_Agricola[Año Financiero]))</f>
        <v>0</v>
      </c>
      <c r="K6" s="118">
        <f>SUMPRODUCT(($C$4=Comercial_Agricola[Movimiento])*(Comercial_Agricola[Financiero $Corrientes])*($G6=Comercial_Agricola[Producto])*(K$1=Comercial_Agricola[Mes Financiero])*(K$2=Comercial_Agricola[Año Financiero]))</f>
        <v>0</v>
      </c>
      <c r="L6" s="117">
        <f>SUMPRODUCT(($C$4=Comercial_Agricola[Movimiento])*(Comercial_Agricola[Financiero $Corrientes])*($G6=Comercial_Agricola[Producto])*(L$1=Comercial_Agricola[Mes Financiero])*(L$2=Comercial_Agricola[Año Financiero]))</f>
        <v>0</v>
      </c>
      <c r="M6" s="118">
        <f>SUMPRODUCT(($C$4=Comercial_Agricola[Movimiento])*(Comercial_Agricola[Financiero $Corrientes])*($G6=Comercial_Agricola[Producto])*(M$1=Comercial_Agricola[Mes Financiero])*(M$2=Comercial_Agricola[Año Financiero]))</f>
        <v>0</v>
      </c>
      <c r="N6" s="117">
        <f>SUMPRODUCT(($C$4=Comercial_Agricola[Movimiento])*(Comercial_Agricola[Financiero $Corrientes])*($G6=Comercial_Agricola[Producto])*(N$1=Comercial_Agricola[Mes Financiero])*(N$2=Comercial_Agricola[Año Financiero]))</f>
        <v>0</v>
      </c>
      <c r="O6" s="118">
        <f>SUMPRODUCT(($C$4=Comercial_Agricola[Movimiento])*(Comercial_Agricola[Financiero $Corrientes])*($G6=Comercial_Agricola[Producto])*(O$1=Comercial_Agricola[Mes Financiero])*(O$2=Comercial_Agricola[Año Financiero]))</f>
        <v>0</v>
      </c>
      <c r="P6" s="117">
        <f>SUMPRODUCT(($C$4=Comercial_Agricola[Movimiento])*(Comercial_Agricola[Financiero $Corrientes])*($G6=Comercial_Agricola[Producto])*(P$1=Comercial_Agricola[Mes Financiero])*(P$2=Comercial_Agricola[Año Financiero]))</f>
        <v>0</v>
      </c>
      <c r="Q6" s="118">
        <f>SUMPRODUCT(($C$4=Comercial_Agricola[Movimiento])*(Comercial_Agricola[Financiero $Corrientes])*($G6=Comercial_Agricola[Producto])*(Q$1=Comercial_Agricola[Mes Financiero])*(Q$2=Comercial_Agricola[Año Financiero]))</f>
        <v>0</v>
      </c>
      <c r="R6" s="117">
        <f>SUMPRODUCT(($C$4=Comercial_Agricola[Movimiento])*(Comercial_Agricola[Financiero $Corrientes])*($G6=Comercial_Agricola[Producto])*(R$1=Comercial_Agricola[Mes Financiero])*(R$2=Comercial_Agricola[Año Financiero]))</f>
        <v>0</v>
      </c>
      <c r="S6" s="118">
        <f>SUMPRODUCT(($C$4=Comercial_Agricola[Movimiento])*(Comercial_Agricola[Financiero $Corrientes])*($G6=Comercial_Agricola[Producto])*(S$1=Comercial_Agricola[Mes Financiero])*(S$2=Comercial_Agricola[Año Financiero]))</f>
        <v>0</v>
      </c>
      <c r="T6" s="117">
        <f>SUMPRODUCT(($C$4=Comercial_Agricola[Movimiento])*(Comercial_Agricola[Financiero $Corrientes])*($G6=Comercial_Agricola[Producto])*(T$1=Comercial_Agricola[Mes Financiero])*(T$2=Comercial_Agricola[Año Financiero]))</f>
        <v>0</v>
      </c>
      <c r="U6" s="118">
        <f>SUMPRODUCT(($C$4=Comercial_Agricola[Movimiento])*(Comercial_Agricola[Financiero $Corrientes])*($G6=Comercial_Agricola[Producto])*(U$1=Comercial_Agricola[Mes Financiero])*(U$2=Comercial_Agricola[Año Financiero]))</f>
        <v>0</v>
      </c>
      <c r="V6" s="117">
        <f>SUMPRODUCT(($C$4=Comercial_Agricola[Movimiento])*(Comercial_Agricola[Financiero $Corrientes])*($G6=Comercial_Agricola[Producto])*(V$1=Comercial_Agricola[Mes Financiero])*(V$2=Comercial_Agricola[Año Financiero]))</f>
        <v>0</v>
      </c>
      <c r="W6" s="118">
        <f>SUMPRODUCT(($C$4=Comercial_Agricola[Movimiento])*(Comercial_Agricola[Financiero $Corrientes])*($G6=Comercial_Agricola[Producto])*(W$1=Comercial_Agricola[Mes Financiero])*(W$2=Comercial_Agricola[Año Financiero]))</f>
        <v>0</v>
      </c>
      <c r="X6" s="117">
        <f>SUMPRODUCT(($C$4=Comercial_Agricola[Movimiento])*(Comercial_Agricola[Financiero $Corrientes])*($G6=Comercial_Agricola[Producto])*(X$1=Comercial_Agricola[Mes Financiero])*(X$2=Comercial_Agricola[Año Financiero]))</f>
        <v>0</v>
      </c>
      <c r="Y6" s="118">
        <f>SUMPRODUCT(($C$4=Comercial_Agricola[Movimiento])*(Comercial_Agricola[Financiero $Corrientes])*($G6=Comercial_Agricola[Producto])*(Y$1=Comercial_Agricola[Mes Financiero])*(Y$2=Comercial_Agricola[Año Financiero]))</f>
        <v>0</v>
      </c>
      <c r="Z6" s="140">
        <f t="shared" ref="Z6:Z116" si="3">SUM(H6:Y6)</f>
        <v>0</v>
      </c>
    </row>
    <row r="7" spans="2:31" hidden="1" outlineLevel="1" x14ac:dyDescent="0.25">
      <c r="B7" s="165"/>
      <c r="F7" s="215">
        <f>IFERROR(MATCH('Financiero $'!G7,Tabla811[Producto],0),0)</f>
        <v>3</v>
      </c>
      <c r="G7" s="217" t="str">
        <f>Configuración!AN7</f>
        <v>Girasol</v>
      </c>
      <c r="H7" s="117">
        <f>SUMPRODUCT(($C$4=Comercial_Agricola[Movimiento])*(Comercial_Agricola[Financiero $Corrientes])*($G7=Comercial_Agricola[Producto])*(H$1=Comercial_Agricola[Mes Financiero])*(H$2=Comercial_Agricola[Año Financiero]))</f>
        <v>0</v>
      </c>
      <c r="I7" s="118">
        <f>SUMPRODUCT(($C$4=Comercial_Agricola[Movimiento])*(Comercial_Agricola[Financiero $Corrientes])*($G7=Comercial_Agricola[Producto])*(I$1=Comercial_Agricola[Mes Financiero])*(I$2=Comercial_Agricola[Año Financiero]))</f>
        <v>0</v>
      </c>
      <c r="J7" s="117">
        <f>SUMPRODUCT(($C$4=Comercial_Agricola[Movimiento])*(Comercial_Agricola[Financiero $Corrientes])*($G7=Comercial_Agricola[Producto])*(J$1=Comercial_Agricola[Mes Financiero])*(J$2=Comercial_Agricola[Año Financiero]))</f>
        <v>0</v>
      </c>
      <c r="K7" s="118">
        <f>SUMPRODUCT(($C$4=Comercial_Agricola[Movimiento])*(Comercial_Agricola[Financiero $Corrientes])*($G7=Comercial_Agricola[Producto])*(K$1=Comercial_Agricola[Mes Financiero])*(K$2=Comercial_Agricola[Año Financiero]))</f>
        <v>0</v>
      </c>
      <c r="L7" s="117">
        <f>SUMPRODUCT(($C$4=Comercial_Agricola[Movimiento])*(Comercial_Agricola[Financiero $Corrientes])*($G7=Comercial_Agricola[Producto])*(L$1=Comercial_Agricola[Mes Financiero])*(L$2=Comercial_Agricola[Año Financiero]))</f>
        <v>0</v>
      </c>
      <c r="M7" s="118">
        <f>SUMPRODUCT(($C$4=Comercial_Agricola[Movimiento])*(Comercial_Agricola[Financiero $Corrientes])*($G7=Comercial_Agricola[Producto])*(M$1=Comercial_Agricola[Mes Financiero])*(M$2=Comercial_Agricola[Año Financiero]))</f>
        <v>0</v>
      </c>
      <c r="N7" s="117">
        <f>SUMPRODUCT(($C$4=Comercial_Agricola[Movimiento])*(Comercial_Agricola[Financiero $Corrientes])*($G7=Comercial_Agricola[Producto])*(N$1=Comercial_Agricola[Mes Financiero])*(N$2=Comercial_Agricola[Año Financiero]))</f>
        <v>0</v>
      </c>
      <c r="O7" s="118">
        <f>SUMPRODUCT(($C$4=Comercial_Agricola[Movimiento])*(Comercial_Agricola[Financiero $Corrientes])*($G7=Comercial_Agricola[Producto])*(O$1=Comercial_Agricola[Mes Financiero])*(O$2=Comercial_Agricola[Año Financiero]))</f>
        <v>0</v>
      </c>
      <c r="P7" s="117">
        <f>SUMPRODUCT(($C$4=Comercial_Agricola[Movimiento])*(Comercial_Agricola[Financiero $Corrientes])*($G7=Comercial_Agricola[Producto])*(P$1=Comercial_Agricola[Mes Financiero])*(P$2=Comercial_Agricola[Año Financiero]))</f>
        <v>0</v>
      </c>
      <c r="Q7" s="118">
        <f>SUMPRODUCT(($C$4=Comercial_Agricola[Movimiento])*(Comercial_Agricola[Financiero $Corrientes])*($G7=Comercial_Agricola[Producto])*(Q$1=Comercial_Agricola[Mes Financiero])*(Q$2=Comercial_Agricola[Año Financiero]))</f>
        <v>0</v>
      </c>
      <c r="R7" s="117">
        <f>SUMPRODUCT(($C$4=Comercial_Agricola[Movimiento])*(Comercial_Agricola[Financiero $Corrientes])*($G7=Comercial_Agricola[Producto])*(R$1=Comercial_Agricola[Mes Financiero])*(R$2=Comercial_Agricola[Año Financiero]))</f>
        <v>0</v>
      </c>
      <c r="S7" s="118">
        <f>SUMPRODUCT(($C$4=Comercial_Agricola[Movimiento])*(Comercial_Agricola[Financiero $Corrientes])*($G7=Comercial_Agricola[Producto])*(S$1=Comercial_Agricola[Mes Financiero])*(S$2=Comercial_Agricola[Año Financiero]))</f>
        <v>0</v>
      </c>
      <c r="T7" s="117">
        <f>SUMPRODUCT(($C$4=Comercial_Agricola[Movimiento])*(Comercial_Agricola[Financiero $Corrientes])*($G7=Comercial_Agricola[Producto])*(T$1=Comercial_Agricola[Mes Financiero])*(T$2=Comercial_Agricola[Año Financiero]))</f>
        <v>0</v>
      </c>
      <c r="U7" s="118">
        <f>SUMPRODUCT(($C$4=Comercial_Agricola[Movimiento])*(Comercial_Agricola[Financiero $Corrientes])*($G7=Comercial_Agricola[Producto])*(U$1=Comercial_Agricola[Mes Financiero])*(U$2=Comercial_Agricola[Año Financiero]))</f>
        <v>0</v>
      </c>
      <c r="V7" s="117">
        <f>SUMPRODUCT(($C$4=Comercial_Agricola[Movimiento])*(Comercial_Agricola[Financiero $Corrientes])*($G7=Comercial_Agricola[Producto])*(V$1=Comercial_Agricola[Mes Financiero])*(V$2=Comercial_Agricola[Año Financiero]))</f>
        <v>0</v>
      </c>
      <c r="W7" s="118">
        <f>SUMPRODUCT(($C$4=Comercial_Agricola[Movimiento])*(Comercial_Agricola[Financiero $Corrientes])*($G7=Comercial_Agricola[Producto])*(W$1=Comercial_Agricola[Mes Financiero])*(W$2=Comercial_Agricola[Año Financiero]))</f>
        <v>0</v>
      </c>
      <c r="X7" s="117">
        <f>SUMPRODUCT(($C$4=Comercial_Agricola[Movimiento])*(Comercial_Agricola[Financiero $Corrientes])*($G7=Comercial_Agricola[Producto])*(X$1=Comercial_Agricola[Mes Financiero])*(X$2=Comercial_Agricola[Año Financiero]))</f>
        <v>0</v>
      </c>
      <c r="Y7" s="118">
        <f>SUMPRODUCT(($C$4=Comercial_Agricola[Movimiento])*(Comercial_Agricola[Financiero $Corrientes])*($G7=Comercial_Agricola[Producto])*(Y$1=Comercial_Agricola[Mes Financiero])*(Y$2=Comercial_Agricola[Año Financiero]))</f>
        <v>0</v>
      </c>
      <c r="Z7" s="140">
        <f t="shared" si="3"/>
        <v>0</v>
      </c>
    </row>
    <row r="8" spans="2:31" hidden="1" outlineLevel="1" x14ac:dyDescent="0.25">
      <c r="B8" s="165"/>
      <c r="F8" s="215">
        <f>IFERROR(MATCH('Financiero $'!G8,Tabla811[Producto],0),0)</f>
        <v>4</v>
      </c>
      <c r="G8" s="217" t="str">
        <f>Configuración!AN8</f>
        <v>Trigo</v>
      </c>
      <c r="H8" s="117">
        <f>SUMPRODUCT(($C$4=Comercial_Agricola[Movimiento])*(Comercial_Agricola[Financiero $Corrientes])*($G8=Comercial_Agricola[Producto])*(H$1=Comercial_Agricola[Mes Financiero])*(H$2=Comercial_Agricola[Año Financiero]))</f>
        <v>0</v>
      </c>
      <c r="I8" s="118">
        <f>SUMPRODUCT(($C$4=Comercial_Agricola[Movimiento])*(Comercial_Agricola[Financiero $Corrientes])*($G8=Comercial_Agricola[Producto])*(I$1=Comercial_Agricola[Mes Financiero])*(I$2=Comercial_Agricola[Año Financiero]))</f>
        <v>0</v>
      </c>
      <c r="J8" s="117">
        <f>SUMPRODUCT(($C$4=Comercial_Agricola[Movimiento])*(Comercial_Agricola[Financiero $Corrientes])*($G8=Comercial_Agricola[Producto])*(J$1=Comercial_Agricola[Mes Financiero])*(J$2=Comercial_Agricola[Año Financiero]))</f>
        <v>0</v>
      </c>
      <c r="K8" s="118">
        <f>SUMPRODUCT(($C$4=Comercial_Agricola[Movimiento])*(Comercial_Agricola[Financiero $Corrientes])*($G8=Comercial_Agricola[Producto])*(K$1=Comercial_Agricola[Mes Financiero])*(K$2=Comercial_Agricola[Año Financiero]))</f>
        <v>0</v>
      </c>
      <c r="L8" s="117">
        <f>SUMPRODUCT(($C$4=Comercial_Agricola[Movimiento])*(Comercial_Agricola[Financiero $Corrientes])*($G8=Comercial_Agricola[Producto])*(L$1=Comercial_Agricola[Mes Financiero])*(L$2=Comercial_Agricola[Año Financiero]))</f>
        <v>0</v>
      </c>
      <c r="M8" s="118">
        <f>SUMPRODUCT(($C$4=Comercial_Agricola[Movimiento])*(Comercial_Agricola[Financiero $Corrientes])*($G8=Comercial_Agricola[Producto])*(M$1=Comercial_Agricola[Mes Financiero])*(M$2=Comercial_Agricola[Año Financiero]))</f>
        <v>0</v>
      </c>
      <c r="N8" s="117">
        <f>SUMPRODUCT(($C$4=Comercial_Agricola[Movimiento])*(Comercial_Agricola[Financiero $Corrientes])*($G8=Comercial_Agricola[Producto])*(N$1=Comercial_Agricola[Mes Financiero])*(N$2=Comercial_Agricola[Año Financiero]))</f>
        <v>0</v>
      </c>
      <c r="O8" s="118">
        <f>SUMPRODUCT(($C$4=Comercial_Agricola[Movimiento])*(Comercial_Agricola[Financiero $Corrientes])*($G8=Comercial_Agricola[Producto])*(O$1=Comercial_Agricola[Mes Financiero])*(O$2=Comercial_Agricola[Año Financiero]))</f>
        <v>0</v>
      </c>
      <c r="P8" s="117">
        <f>SUMPRODUCT(($C$4=Comercial_Agricola[Movimiento])*(Comercial_Agricola[Financiero $Corrientes])*($G8=Comercial_Agricola[Producto])*(P$1=Comercial_Agricola[Mes Financiero])*(P$2=Comercial_Agricola[Año Financiero]))</f>
        <v>0</v>
      </c>
      <c r="Q8" s="118">
        <f>SUMPRODUCT(($C$4=Comercial_Agricola[Movimiento])*(Comercial_Agricola[Financiero $Corrientes])*($G8=Comercial_Agricola[Producto])*(Q$1=Comercial_Agricola[Mes Financiero])*(Q$2=Comercial_Agricola[Año Financiero]))</f>
        <v>0</v>
      </c>
      <c r="R8" s="117">
        <f>SUMPRODUCT(($C$4=Comercial_Agricola[Movimiento])*(Comercial_Agricola[Financiero $Corrientes])*($G8=Comercial_Agricola[Producto])*(R$1=Comercial_Agricola[Mes Financiero])*(R$2=Comercial_Agricola[Año Financiero]))</f>
        <v>0</v>
      </c>
      <c r="S8" s="118">
        <f>SUMPRODUCT(($C$4=Comercial_Agricola[Movimiento])*(Comercial_Agricola[Financiero $Corrientes])*($G8=Comercial_Agricola[Producto])*(S$1=Comercial_Agricola[Mes Financiero])*(S$2=Comercial_Agricola[Año Financiero]))</f>
        <v>0</v>
      </c>
      <c r="T8" s="117">
        <f>SUMPRODUCT(($C$4=Comercial_Agricola[Movimiento])*(Comercial_Agricola[Financiero $Corrientes])*($G8=Comercial_Agricola[Producto])*(T$1=Comercial_Agricola[Mes Financiero])*(T$2=Comercial_Agricola[Año Financiero]))</f>
        <v>0</v>
      </c>
      <c r="U8" s="118">
        <f>SUMPRODUCT(($C$4=Comercial_Agricola[Movimiento])*(Comercial_Agricola[Financiero $Corrientes])*($G8=Comercial_Agricola[Producto])*(U$1=Comercial_Agricola[Mes Financiero])*(U$2=Comercial_Agricola[Año Financiero]))</f>
        <v>0</v>
      </c>
      <c r="V8" s="117">
        <f>SUMPRODUCT(($C$4=Comercial_Agricola[Movimiento])*(Comercial_Agricola[Financiero $Corrientes])*($G8=Comercial_Agricola[Producto])*(V$1=Comercial_Agricola[Mes Financiero])*(V$2=Comercial_Agricola[Año Financiero]))</f>
        <v>0</v>
      </c>
      <c r="W8" s="118">
        <f>SUMPRODUCT(($C$4=Comercial_Agricola[Movimiento])*(Comercial_Agricola[Financiero $Corrientes])*($G8=Comercial_Agricola[Producto])*(W$1=Comercial_Agricola[Mes Financiero])*(W$2=Comercial_Agricola[Año Financiero]))</f>
        <v>0</v>
      </c>
      <c r="X8" s="117">
        <f>SUMPRODUCT(($C$4=Comercial_Agricola[Movimiento])*(Comercial_Agricola[Financiero $Corrientes])*($G8=Comercial_Agricola[Producto])*(X$1=Comercial_Agricola[Mes Financiero])*(X$2=Comercial_Agricola[Año Financiero]))</f>
        <v>0</v>
      </c>
      <c r="Y8" s="118">
        <f>SUMPRODUCT(($C$4=Comercial_Agricola[Movimiento])*(Comercial_Agricola[Financiero $Corrientes])*($G8=Comercial_Agricola[Producto])*(Y$1=Comercial_Agricola[Mes Financiero])*(Y$2=Comercial_Agricola[Año Financiero]))</f>
        <v>0</v>
      </c>
      <c r="Z8" s="140">
        <f t="shared" si="3"/>
        <v>0</v>
      </c>
    </row>
    <row r="9" spans="2:31" hidden="1" outlineLevel="1" x14ac:dyDescent="0.25">
      <c r="B9" s="165"/>
      <c r="F9" s="215">
        <f>IFERROR(MATCH('Financiero $'!G9,Tabla811[Producto],0),0)</f>
        <v>5</v>
      </c>
      <c r="G9" s="217" t="str">
        <f>Configuración!AN9</f>
        <v>Cebada</v>
      </c>
      <c r="H9" s="117">
        <f>SUMPRODUCT(($C$4=Comercial_Agricola[Movimiento])*(Comercial_Agricola[Financiero $Corrientes])*($G9=Comercial_Agricola[Producto])*(H$1=Comercial_Agricola[Mes Financiero])*(H$2=Comercial_Agricola[Año Financiero]))</f>
        <v>0</v>
      </c>
      <c r="I9" s="118">
        <f>SUMPRODUCT(($C$4=Comercial_Agricola[Movimiento])*(Comercial_Agricola[Financiero $Corrientes])*($G9=Comercial_Agricola[Producto])*(I$1=Comercial_Agricola[Mes Financiero])*(I$2=Comercial_Agricola[Año Financiero]))</f>
        <v>0</v>
      </c>
      <c r="J9" s="117">
        <f>SUMPRODUCT(($C$4=Comercial_Agricola[Movimiento])*(Comercial_Agricola[Financiero $Corrientes])*($G9=Comercial_Agricola[Producto])*(J$1=Comercial_Agricola[Mes Financiero])*(J$2=Comercial_Agricola[Año Financiero]))</f>
        <v>0</v>
      </c>
      <c r="K9" s="118">
        <f>SUMPRODUCT(($C$4=Comercial_Agricola[Movimiento])*(Comercial_Agricola[Financiero $Corrientes])*($G9=Comercial_Agricola[Producto])*(K$1=Comercial_Agricola[Mes Financiero])*(K$2=Comercial_Agricola[Año Financiero]))</f>
        <v>0</v>
      </c>
      <c r="L9" s="117">
        <f>SUMPRODUCT(($C$4=Comercial_Agricola[Movimiento])*(Comercial_Agricola[Financiero $Corrientes])*($G9=Comercial_Agricola[Producto])*(L$1=Comercial_Agricola[Mes Financiero])*(L$2=Comercial_Agricola[Año Financiero]))</f>
        <v>0</v>
      </c>
      <c r="M9" s="118">
        <f>SUMPRODUCT(($C$4=Comercial_Agricola[Movimiento])*(Comercial_Agricola[Financiero $Corrientes])*($G9=Comercial_Agricola[Producto])*(M$1=Comercial_Agricola[Mes Financiero])*(M$2=Comercial_Agricola[Año Financiero]))</f>
        <v>0</v>
      </c>
      <c r="N9" s="117">
        <f>SUMPRODUCT(($C$4=Comercial_Agricola[Movimiento])*(Comercial_Agricola[Financiero $Corrientes])*($G9=Comercial_Agricola[Producto])*(N$1=Comercial_Agricola[Mes Financiero])*(N$2=Comercial_Agricola[Año Financiero]))</f>
        <v>0</v>
      </c>
      <c r="O9" s="118">
        <f>SUMPRODUCT(($C$4=Comercial_Agricola[Movimiento])*(Comercial_Agricola[Financiero $Corrientes])*($G9=Comercial_Agricola[Producto])*(O$1=Comercial_Agricola[Mes Financiero])*(O$2=Comercial_Agricola[Año Financiero]))</f>
        <v>0</v>
      </c>
      <c r="P9" s="117">
        <f>SUMPRODUCT(($C$4=Comercial_Agricola[Movimiento])*(Comercial_Agricola[Financiero $Corrientes])*($G9=Comercial_Agricola[Producto])*(P$1=Comercial_Agricola[Mes Financiero])*(P$2=Comercial_Agricola[Año Financiero]))</f>
        <v>0</v>
      </c>
      <c r="Q9" s="118">
        <f>SUMPRODUCT(($C$4=Comercial_Agricola[Movimiento])*(Comercial_Agricola[Financiero $Corrientes])*($G9=Comercial_Agricola[Producto])*(Q$1=Comercial_Agricola[Mes Financiero])*(Q$2=Comercial_Agricola[Año Financiero]))</f>
        <v>0</v>
      </c>
      <c r="R9" s="117">
        <f>SUMPRODUCT(($C$4=Comercial_Agricola[Movimiento])*(Comercial_Agricola[Financiero $Corrientes])*($G9=Comercial_Agricola[Producto])*(R$1=Comercial_Agricola[Mes Financiero])*(R$2=Comercial_Agricola[Año Financiero]))</f>
        <v>0</v>
      </c>
      <c r="S9" s="118">
        <f>SUMPRODUCT(($C$4=Comercial_Agricola[Movimiento])*(Comercial_Agricola[Financiero $Corrientes])*($G9=Comercial_Agricola[Producto])*(S$1=Comercial_Agricola[Mes Financiero])*(S$2=Comercial_Agricola[Año Financiero]))</f>
        <v>0</v>
      </c>
      <c r="T9" s="117">
        <f>SUMPRODUCT(($C$4=Comercial_Agricola[Movimiento])*(Comercial_Agricola[Financiero $Corrientes])*($G9=Comercial_Agricola[Producto])*(T$1=Comercial_Agricola[Mes Financiero])*(T$2=Comercial_Agricola[Año Financiero]))</f>
        <v>0</v>
      </c>
      <c r="U9" s="118">
        <f>SUMPRODUCT(($C$4=Comercial_Agricola[Movimiento])*(Comercial_Agricola[Financiero $Corrientes])*($G9=Comercial_Agricola[Producto])*(U$1=Comercial_Agricola[Mes Financiero])*(U$2=Comercial_Agricola[Año Financiero]))</f>
        <v>0</v>
      </c>
      <c r="V9" s="117">
        <f>SUMPRODUCT(($C$4=Comercial_Agricola[Movimiento])*(Comercial_Agricola[Financiero $Corrientes])*($G9=Comercial_Agricola[Producto])*(V$1=Comercial_Agricola[Mes Financiero])*(V$2=Comercial_Agricola[Año Financiero]))</f>
        <v>0</v>
      </c>
      <c r="W9" s="118">
        <f>SUMPRODUCT(($C$4=Comercial_Agricola[Movimiento])*(Comercial_Agricola[Financiero $Corrientes])*($G9=Comercial_Agricola[Producto])*(W$1=Comercial_Agricola[Mes Financiero])*(W$2=Comercial_Agricola[Año Financiero]))</f>
        <v>0</v>
      </c>
      <c r="X9" s="117">
        <f>SUMPRODUCT(($C$4=Comercial_Agricola[Movimiento])*(Comercial_Agricola[Financiero $Corrientes])*($G9=Comercial_Agricola[Producto])*(X$1=Comercial_Agricola[Mes Financiero])*(X$2=Comercial_Agricola[Año Financiero]))</f>
        <v>0</v>
      </c>
      <c r="Y9" s="118">
        <f>SUMPRODUCT(($C$4=Comercial_Agricola[Movimiento])*(Comercial_Agricola[Financiero $Corrientes])*($G9=Comercial_Agricola[Producto])*(Y$1=Comercial_Agricola[Mes Financiero])*(Y$2=Comercial_Agricola[Año Financiero]))</f>
        <v>0</v>
      </c>
      <c r="Z9" s="140">
        <f t="shared" si="3"/>
        <v>0</v>
      </c>
    </row>
    <row r="10" spans="2:31" hidden="1" outlineLevel="1" x14ac:dyDescent="0.25">
      <c r="B10" s="165"/>
      <c r="F10" s="215">
        <f>IFERROR(MATCH('Financiero $'!G10,Tabla811[Producto],0),0)</f>
        <v>6</v>
      </c>
      <c r="G10" s="217" t="str">
        <f>Configuración!AN10</f>
        <v>Sorgo</v>
      </c>
      <c r="H10" s="117">
        <f>SUMPRODUCT(($C$4=Comercial_Agricola[Movimiento])*(Comercial_Agricola[Financiero $Corrientes])*($G10=Comercial_Agricola[Producto])*(H$1=Comercial_Agricola[Mes Financiero])*(H$2=Comercial_Agricola[Año Financiero]))</f>
        <v>0</v>
      </c>
      <c r="I10" s="118">
        <f>SUMPRODUCT(($C$4=Comercial_Agricola[Movimiento])*(Comercial_Agricola[Financiero $Corrientes])*($G10=Comercial_Agricola[Producto])*(I$1=Comercial_Agricola[Mes Financiero])*(I$2=Comercial_Agricola[Año Financiero]))</f>
        <v>0</v>
      </c>
      <c r="J10" s="117">
        <f>SUMPRODUCT(($C$4=Comercial_Agricola[Movimiento])*(Comercial_Agricola[Financiero $Corrientes])*($G10=Comercial_Agricola[Producto])*(J$1=Comercial_Agricola[Mes Financiero])*(J$2=Comercial_Agricola[Año Financiero]))</f>
        <v>0</v>
      </c>
      <c r="K10" s="118">
        <f>SUMPRODUCT(($C$4=Comercial_Agricola[Movimiento])*(Comercial_Agricola[Financiero $Corrientes])*($G10=Comercial_Agricola[Producto])*(K$1=Comercial_Agricola[Mes Financiero])*(K$2=Comercial_Agricola[Año Financiero]))</f>
        <v>0</v>
      </c>
      <c r="L10" s="117">
        <f>SUMPRODUCT(($C$4=Comercial_Agricola[Movimiento])*(Comercial_Agricola[Financiero $Corrientes])*($G10=Comercial_Agricola[Producto])*(L$1=Comercial_Agricola[Mes Financiero])*(L$2=Comercial_Agricola[Año Financiero]))</f>
        <v>0</v>
      </c>
      <c r="M10" s="118">
        <f>SUMPRODUCT(($C$4=Comercial_Agricola[Movimiento])*(Comercial_Agricola[Financiero $Corrientes])*($G10=Comercial_Agricola[Producto])*(M$1=Comercial_Agricola[Mes Financiero])*(M$2=Comercial_Agricola[Año Financiero]))</f>
        <v>0</v>
      </c>
      <c r="N10" s="117">
        <f>SUMPRODUCT(($C$4=Comercial_Agricola[Movimiento])*(Comercial_Agricola[Financiero $Corrientes])*($G10=Comercial_Agricola[Producto])*(N$1=Comercial_Agricola[Mes Financiero])*(N$2=Comercial_Agricola[Año Financiero]))</f>
        <v>0</v>
      </c>
      <c r="O10" s="118">
        <f>SUMPRODUCT(($C$4=Comercial_Agricola[Movimiento])*(Comercial_Agricola[Financiero $Corrientes])*($G10=Comercial_Agricola[Producto])*(O$1=Comercial_Agricola[Mes Financiero])*(O$2=Comercial_Agricola[Año Financiero]))</f>
        <v>0</v>
      </c>
      <c r="P10" s="117">
        <f>SUMPRODUCT(($C$4=Comercial_Agricola[Movimiento])*(Comercial_Agricola[Financiero $Corrientes])*($G10=Comercial_Agricola[Producto])*(P$1=Comercial_Agricola[Mes Financiero])*(P$2=Comercial_Agricola[Año Financiero]))</f>
        <v>0</v>
      </c>
      <c r="Q10" s="118">
        <f>SUMPRODUCT(($C$4=Comercial_Agricola[Movimiento])*(Comercial_Agricola[Financiero $Corrientes])*($G10=Comercial_Agricola[Producto])*(Q$1=Comercial_Agricola[Mes Financiero])*(Q$2=Comercial_Agricola[Año Financiero]))</f>
        <v>0</v>
      </c>
      <c r="R10" s="117">
        <f>SUMPRODUCT(($C$4=Comercial_Agricola[Movimiento])*(Comercial_Agricola[Financiero $Corrientes])*($G10=Comercial_Agricola[Producto])*(R$1=Comercial_Agricola[Mes Financiero])*(R$2=Comercial_Agricola[Año Financiero]))</f>
        <v>0</v>
      </c>
      <c r="S10" s="118">
        <f>SUMPRODUCT(($C$4=Comercial_Agricola[Movimiento])*(Comercial_Agricola[Financiero $Corrientes])*($G10=Comercial_Agricola[Producto])*(S$1=Comercial_Agricola[Mes Financiero])*(S$2=Comercial_Agricola[Año Financiero]))</f>
        <v>0</v>
      </c>
      <c r="T10" s="117">
        <f>SUMPRODUCT(($C$4=Comercial_Agricola[Movimiento])*(Comercial_Agricola[Financiero $Corrientes])*($G10=Comercial_Agricola[Producto])*(T$1=Comercial_Agricola[Mes Financiero])*(T$2=Comercial_Agricola[Año Financiero]))</f>
        <v>0</v>
      </c>
      <c r="U10" s="118">
        <f>SUMPRODUCT(($C$4=Comercial_Agricola[Movimiento])*(Comercial_Agricola[Financiero $Corrientes])*($G10=Comercial_Agricola[Producto])*(U$1=Comercial_Agricola[Mes Financiero])*(U$2=Comercial_Agricola[Año Financiero]))</f>
        <v>0</v>
      </c>
      <c r="V10" s="117">
        <f>SUMPRODUCT(($C$4=Comercial_Agricola[Movimiento])*(Comercial_Agricola[Financiero $Corrientes])*($G10=Comercial_Agricola[Producto])*(V$1=Comercial_Agricola[Mes Financiero])*(V$2=Comercial_Agricola[Año Financiero]))</f>
        <v>0</v>
      </c>
      <c r="W10" s="118">
        <f>SUMPRODUCT(($C$4=Comercial_Agricola[Movimiento])*(Comercial_Agricola[Financiero $Corrientes])*($G10=Comercial_Agricola[Producto])*(W$1=Comercial_Agricola[Mes Financiero])*(W$2=Comercial_Agricola[Año Financiero]))</f>
        <v>0</v>
      </c>
      <c r="X10" s="117">
        <f>SUMPRODUCT(($C$4=Comercial_Agricola[Movimiento])*(Comercial_Agricola[Financiero $Corrientes])*($G10=Comercial_Agricola[Producto])*(X$1=Comercial_Agricola[Mes Financiero])*(X$2=Comercial_Agricola[Año Financiero]))</f>
        <v>0</v>
      </c>
      <c r="Y10" s="118">
        <f>SUMPRODUCT(($C$4=Comercial_Agricola[Movimiento])*(Comercial_Agricola[Financiero $Corrientes])*($G10=Comercial_Agricola[Producto])*(Y$1=Comercial_Agricola[Mes Financiero])*(Y$2=Comercial_Agricola[Año Financiero]))</f>
        <v>0</v>
      </c>
      <c r="Z10" s="140">
        <f t="shared" si="3"/>
        <v>0</v>
      </c>
    </row>
    <row r="11" spans="2:31" hidden="1" outlineLevel="1" x14ac:dyDescent="0.25">
      <c r="B11" s="165"/>
      <c r="F11" s="215">
        <f>IFERROR(MATCH('Financiero $'!G11,Tabla811[Producto],0),0)</f>
        <v>0</v>
      </c>
      <c r="G11" s="217">
        <f>Configuración!AN12</f>
        <v>0</v>
      </c>
      <c r="H11" s="117">
        <f>SUMPRODUCT(($C$4=Comercial_Agricola[Movimiento])*(Comercial_Agricola[Financiero $Corrientes])*($G11=Comercial_Agricola[Producto])*(H$1=Comercial_Agricola[Mes Financiero])*(H$2=Comercial_Agricola[Año Financiero]))</f>
        <v>0</v>
      </c>
      <c r="I11" s="118">
        <f>SUMPRODUCT(($C$4=Comercial_Agricola[Movimiento])*(Comercial_Agricola[Financiero $Corrientes])*($G11=Comercial_Agricola[Producto])*(I$1=Comercial_Agricola[Mes Financiero])*(I$2=Comercial_Agricola[Año Financiero]))</f>
        <v>0</v>
      </c>
      <c r="J11" s="117">
        <f>SUMPRODUCT(($C$4=Comercial_Agricola[Movimiento])*(Comercial_Agricola[Financiero $Corrientes])*($G11=Comercial_Agricola[Producto])*(J$1=Comercial_Agricola[Mes Financiero])*(J$2=Comercial_Agricola[Año Financiero]))</f>
        <v>0</v>
      </c>
      <c r="K11" s="118">
        <f>SUMPRODUCT(($C$4=Comercial_Agricola[Movimiento])*(Comercial_Agricola[Financiero $Corrientes])*($G11=Comercial_Agricola[Producto])*(K$1=Comercial_Agricola[Mes Financiero])*(K$2=Comercial_Agricola[Año Financiero]))</f>
        <v>0</v>
      </c>
      <c r="L11" s="117">
        <f>SUMPRODUCT(($C$4=Comercial_Agricola[Movimiento])*(Comercial_Agricola[Financiero $Corrientes])*($G11=Comercial_Agricola[Producto])*(L$1=Comercial_Agricola[Mes Financiero])*(L$2=Comercial_Agricola[Año Financiero]))</f>
        <v>0</v>
      </c>
      <c r="M11" s="118">
        <f>SUMPRODUCT(($C$4=Comercial_Agricola[Movimiento])*(Comercial_Agricola[Financiero $Corrientes])*($G11=Comercial_Agricola[Producto])*(M$1=Comercial_Agricola[Mes Financiero])*(M$2=Comercial_Agricola[Año Financiero]))</f>
        <v>0</v>
      </c>
      <c r="N11" s="117">
        <f>SUMPRODUCT(($C$4=Comercial_Agricola[Movimiento])*(Comercial_Agricola[Financiero $Corrientes])*($G11=Comercial_Agricola[Producto])*(N$1=Comercial_Agricola[Mes Financiero])*(N$2=Comercial_Agricola[Año Financiero]))</f>
        <v>0</v>
      </c>
      <c r="O11" s="118">
        <f>SUMPRODUCT(($C$4=Comercial_Agricola[Movimiento])*(Comercial_Agricola[Financiero $Corrientes])*($G11=Comercial_Agricola[Producto])*(O$1=Comercial_Agricola[Mes Financiero])*(O$2=Comercial_Agricola[Año Financiero]))</f>
        <v>0</v>
      </c>
      <c r="P11" s="117">
        <f>SUMPRODUCT(($C$4=Comercial_Agricola[Movimiento])*(Comercial_Agricola[Financiero $Corrientes])*($G11=Comercial_Agricola[Producto])*(P$1=Comercial_Agricola[Mes Financiero])*(P$2=Comercial_Agricola[Año Financiero]))</f>
        <v>0</v>
      </c>
      <c r="Q11" s="118">
        <f>SUMPRODUCT(($C$4=Comercial_Agricola[Movimiento])*(Comercial_Agricola[Financiero $Corrientes])*($G11=Comercial_Agricola[Producto])*(Q$1=Comercial_Agricola[Mes Financiero])*(Q$2=Comercial_Agricola[Año Financiero]))</f>
        <v>0</v>
      </c>
      <c r="R11" s="117">
        <f>SUMPRODUCT(($C$4=Comercial_Agricola[Movimiento])*(Comercial_Agricola[Financiero $Corrientes])*($G11=Comercial_Agricola[Producto])*(R$1=Comercial_Agricola[Mes Financiero])*(R$2=Comercial_Agricola[Año Financiero]))</f>
        <v>0</v>
      </c>
      <c r="S11" s="118">
        <f>SUMPRODUCT(($C$4=Comercial_Agricola[Movimiento])*(Comercial_Agricola[Financiero $Corrientes])*($G11=Comercial_Agricola[Producto])*(S$1=Comercial_Agricola[Mes Financiero])*(S$2=Comercial_Agricola[Año Financiero]))</f>
        <v>0</v>
      </c>
      <c r="T11" s="117">
        <f>SUMPRODUCT(($C$4=Comercial_Agricola[Movimiento])*(Comercial_Agricola[Financiero $Corrientes])*($G11=Comercial_Agricola[Producto])*(T$1=Comercial_Agricola[Mes Financiero])*(T$2=Comercial_Agricola[Año Financiero]))</f>
        <v>0</v>
      </c>
      <c r="U11" s="118">
        <f>SUMPRODUCT(($C$4=Comercial_Agricola[Movimiento])*(Comercial_Agricola[Financiero $Corrientes])*($G11=Comercial_Agricola[Producto])*(U$1=Comercial_Agricola[Mes Financiero])*(U$2=Comercial_Agricola[Año Financiero]))</f>
        <v>0</v>
      </c>
      <c r="V11" s="117">
        <f>SUMPRODUCT(($C$4=Comercial_Agricola[Movimiento])*(Comercial_Agricola[Financiero $Corrientes])*($G11=Comercial_Agricola[Producto])*(V$1=Comercial_Agricola[Mes Financiero])*(V$2=Comercial_Agricola[Año Financiero]))</f>
        <v>0</v>
      </c>
      <c r="W11" s="118">
        <f>SUMPRODUCT(($C$4=Comercial_Agricola[Movimiento])*(Comercial_Agricola[Financiero $Corrientes])*($G11=Comercial_Agricola[Producto])*(W$1=Comercial_Agricola[Mes Financiero])*(W$2=Comercial_Agricola[Año Financiero]))</f>
        <v>0</v>
      </c>
      <c r="X11" s="117">
        <f>SUMPRODUCT(($C$4=Comercial_Agricola[Movimiento])*(Comercial_Agricola[Financiero $Corrientes])*($G11=Comercial_Agricola[Producto])*(X$1=Comercial_Agricola[Mes Financiero])*(X$2=Comercial_Agricola[Año Financiero]))</f>
        <v>0</v>
      </c>
      <c r="Y11" s="118">
        <f>SUMPRODUCT(($C$4=Comercial_Agricola[Movimiento])*(Comercial_Agricola[Financiero $Corrientes])*($G11=Comercial_Agricola[Producto])*(Y$1=Comercial_Agricola[Mes Financiero])*(Y$2=Comercial_Agricola[Año Financiero]))</f>
        <v>0</v>
      </c>
      <c r="Z11" s="140">
        <f t="shared" si="3"/>
        <v>0</v>
      </c>
    </row>
    <row r="12" spans="2:31" hidden="1" outlineLevel="1" x14ac:dyDescent="0.25">
      <c r="B12" s="165"/>
      <c r="F12" s="215">
        <f>IFERROR(MATCH('Financiero $'!G12,Tabla811[Producto],0),0)</f>
        <v>0</v>
      </c>
      <c r="G12" s="217">
        <f>Configuración!AN13</f>
        <v>0</v>
      </c>
      <c r="H12" s="117">
        <f>SUMPRODUCT(($C$4=Comercial_Agricola[Movimiento])*(Comercial_Agricola[Financiero $Corrientes])*($G12=Comercial_Agricola[Producto])*(H$1=Comercial_Agricola[Mes Financiero])*(H$2=Comercial_Agricola[Año Financiero]))</f>
        <v>0</v>
      </c>
      <c r="I12" s="118">
        <f>SUMPRODUCT(($C$4=Comercial_Agricola[Movimiento])*(Comercial_Agricola[Financiero $Corrientes])*($G12=Comercial_Agricola[Producto])*(I$1=Comercial_Agricola[Mes Financiero])*(I$2=Comercial_Agricola[Año Financiero]))</f>
        <v>0</v>
      </c>
      <c r="J12" s="117">
        <f>SUMPRODUCT(($C$4=Comercial_Agricola[Movimiento])*(Comercial_Agricola[Financiero $Corrientes])*($G12=Comercial_Agricola[Producto])*(J$1=Comercial_Agricola[Mes Financiero])*(J$2=Comercial_Agricola[Año Financiero]))</f>
        <v>0</v>
      </c>
      <c r="K12" s="118">
        <f>SUMPRODUCT(($C$4=Comercial_Agricola[Movimiento])*(Comercial_Agricola[Financiero $Corrientes])*($G12=Comercial_Agricola[Producto])*(K$1=Comercial_Agricola[Mes Financiero])*(K$2=Comercial_Agricola[Año Financiero]))</f>
        <v>0</v>
      </c>
      <c r="L12" s="117">
        <f>SUMPRODUCT(($C$4=Comercial_Agricola[Movimiento])*(Comercial_Agricola[Financiero $Corrientes])*($G12=Comercial_Agricola[Producto])*(L$1=Comercial_Agricola[Mes Financiero])*(L$2=Comercial_Agricola[Año Financiero]))</f>
        <v>0</v>
      </c>
      <c r="M12" s="118">
        <f>SUMPRODUCT(($C$4=Comercial_Agricola[Movimiento])*(Comercial_Agricola[Financiero $Corrientes])*($G12=Comercial_Agricola[Producto])*(M$1=Comercial_Agricola[Mes Financiero])*(M$2=Comercial_Agricola[Año Financiero]))</f>
        <v>0</v>
      </c>
      <c r="N12" s="117">
        <f>SUMPRODUCT(($C$4=Comercial_Agricola[Movimiento])*(Comercial_Agricola[Financiero $Corrientes])*($G12=Comercial_Agricola[Producto])*(N$1=Comercial_Agricola[Mes Financiero])*(N$2=Comercial_Agricola[Año Financiero]))</f>
        <v>0</v>
      </c>
      <c r="O12" s="118">
        <f>SUMPRODUCT(($C$4=Comercial_Agricola[Movimiento])*(Comercial_Agricola[Financiero $Corrientes])*($G12=Comercial_Agricola[Producto])*(O$1=Comercial_Agricola[Mes Financiero])*(O$2=Comercial_Agricola[Año Financiero]))</f>
        <v>0</v>
      </c>
      <c r="P12" s="117">
        <f>SUMPRODUCT(($C$4=Comercial_Agricola[Movimiento])*(Comercial_Agricola[Financiero $Corrientes])*($G12=Comercial_Agricola[Producto])*(P$1=Comercial_Agricola[Mes Financiero])*(P$2=Comercial_Agricola[Año Financiero]))</f>
        <v>0</v>
      </c>
      <c r="Q12" s="118">
        <f>SUMPRODUCT(($C$4=Comercial_Agricola[Movimiento])*(Comercial_Agricola[Financiero $Corrientes])*($G12=Comercial_Agricola[Producto])*(Q$1=Comercial_Agricola[Mes Financiero])*(Q$2=Comercial_Agricola[Año Financiero]))</f>
        <v>0</v>
      </c>
      <c r="R12" s="117">
        <f>SUMPRODUCT(($C$4=Comercial_Agricola[Movimiento])*(Comercial_Agricola[Financiero $Corrientes])*($G12=Comercial_Agricola[Producto])*(R$1=Comercial_Agricola[Mes Financiero])*(R$2=Comercial_Agricola[Año Financiero]))</f>
        <v>0</v>
      </c>
      <c r="S12" s="118">
        <f>SUMPRODUCT(($C$4=Comercial_Agricola[Movimiento])*(Comercial_Agricola[Financiero $Corrientes])*($G12=Comercial_Agricola[Producto])*(S$1=Comercial_Agricola[Mes Financiero])*(S$2=Comercial_Agricola[Año Financiero]))</f>
        <v>0</v>
      </c>
      <c r="T12" s="117">
        <f>SUMPRODUCT(($C$4=Comercial_Agricola[Movimiento])*(Comercial_Agricola[Financiero $Corrientes])*($G12=Comercial_Agricola[Producto])*(T$1=Comercial_Agricola[Mes Financiero])*(T$2=Comercial_Agricola[Año Financiero]))</f>
        <v>0</v>
      </c>
      <c r="U12" s="118">
        <f>SUMPRODUCT(($C$4=Comercial_Agricola[Movimiento])*(Comercial_Agricola[Financiero $Corrientes])*($G12=Comercial_Agricola[Producto])*(U$1=Comercial_Agricola[Mes Financiero])*(U$2=Comercial_Agricola[Año Financiero]))</f>
        <v>0</v>
      </c>
      <c r="V12" s="117">
        <f>SUMPRODUCT(($C$4=Comercial_Agricola[Movimiento])*(Comercial_Agricola[Financiero $Corrientes])*($G12=Comercial_Agricola[Producto])*(V$1=Comercial_Agricola[Mes Financiero])*(V$2=Comercial_Agricola[Año Financiero]))</f>
        <v>0</v>
      </c>
      <c r="W12" s="118">
        <f>SUMPRODUCT(($C$4=Comercial_Agricola[Movimiento])*(Comercial_Agricola[Financiero $Corrientes])*($G12=Comercial_Agricola[Producto])*(W$1=Comercial_Agricola[Mes Financiero])*(W$2=Comercial_Agricola[Año Financiero]))</f>
        <v>0</v>
      </c>
      <c r="X12" s="117">
        <f>SUMPRODUCT(($C$4=Comercial_Agricola[Movimiento])*(Comercial_Agricola[Financiero $Corrientes])*($G12=Comercial_Agricola[Producto])*(X$1=Comercial_Agricola[Mes Financiero])*(X$2=Comercial_Agricola[Año Financiero]))</f>
        <v>0</v>
      </c>
      <c r="Y12" s="118">
        <f>SUMPRODUCT(($C$4=Comercial_Agricola[Movimiento])*(Comercial_Agricola[Financiero $Corrientes])*($G12=Comercial_Agricola[Producto])*(Y$1=Comercial_Agricola[Mes Financiero])*(Y$2=Comercial_Agricola[Año Financiero]))</f>
        <v>0</v>
      </c>
      <c r="Z12" s="140">
        <f t="shared" si="3"/>
        <v>0</v>
      </c>
    </row>
    <row r="13" spans="2:31" hidden="1" outlineLevel="1" x14ac:dyDescent="0.25">
      <c r="B13" s="165"/>
      <c r="F13" s="215">
        <f>IFERROR(MATCH('Financiero $'!G13,Tabla811[Producto],0),0)</f>
        <v>0</v>
      </c>
      <c r="G13" s="217">
        <f>Configuración!AN14</f>
        <v>0</v>
      </c>
      <c r="H13" s="117">
        <f>SUMPRODUCT(($C$4=Comercial_Agricola[Movimiento])*(Comercial_Agricola[Financiero $Corrientes])*($G13=Comercial_Agricola[Producto])*(H$1=Comercial_Agricola[Mes Financiero])*(H$2=Comercial_Agricola[Año Financiero]))</f>
        <v>0</v>
      </c>
      <c r="I13" s="118">
        <f>SUMPRODUCT(($C$4=Comercial_Agricola[Movimiento])*(Comercial_Agricola[Financiero $Corrientes])*($G13=Comercial_Agricola[Producto])*(I$1=Comercial_Agricola[Mes Financiero])*(I$2=Comercial_Agricola[Año Financiero]))</f>
        <v>0</v>
      </c>
      <c r="J13" s="117">
        <f>SUMPRODUCT(($C$4=Comercial_Agricola[Movimiento])*(Comercial_Agricola[Financiero $Corrientes])*($G13=Comercial_Agricola[Producto])*(J$1=Comercial_Agricola[Mes Financiero])*(J$2=Comercial_Agricola[Año Financiero]))</f>
        <v>0</v>
      </c>
      <c r="K13" s="118">
        <f>SUMPRODUCT(($C$4=Comercial_Agricola[Movimiento])*(Comercial_Agricola[Financiero $Corrientes])*($G13=Comercial_Agricola[Producto])*(K$1=Comercial_Agricola[Mes Financiero])*(K$2=Comercial_Agricola[Año Financiero]))</f>
        <v>0</v>
      </c>
      <c r="L13" s="117">
        <f>SUMPRODUCT(($C$4=Comercial_Agricola[Movimiento])*(Comercial_Agricola[Financiero $Corrientes])*($G13=Comercial_Agricola[Producto])*(L$1=Comercial_Agricola[Mes Financiero])*(L$2=Comercial_Agricola[Año Financiero]))</f>
        <v>0</v>
      </c>
      <c r="M13" s="118">
        <f>SUMPRODUCT(($C$4=Comercial_Agricola[Movimiento])*(Comercial_Agricola[Financiero $Corrientes])*($G13=Comercial_Agricola[Producto])*(M$1=Comercial_Agricola[Mes Financiero])*(M$2=Comercial_Agricola[Año Financiero]))</f>
        <v>0</v>
      </c>
      <c r="N13" s="117">
        <f>SUMPRODUCT(($C$4=Comercial_Agricola[Movimiento])*(Comercial_Agricola[Financiero $Corrientes])*($G13=Comercial_Agricola[Producto])*(N$1=Comercial_Agricola[Mes Financiero])*(N$2=Comercial_Agricola[Año Financiero]))</f>
        <v>0</v>
      </c>
      <c r="O13" s="118">
        <f>SUMPRODUCT(($C$4=Comercial_Agricola[Movimiento])*(Comercial_Agricola[Financiero $Corrientes])*($G13=Comercial_Agricola[Producto])*(O$1=Comercial_Agricola[Mes Financiero])*(O$2=Comercial_Agricola[Año Financiero]))</f>
        <v>0</v>
      </c>
      <c r="P13" s="117">
        <f>SUMPRODUCT(($C$4=Comercial_Agricola[Movimiento])*(Comercial_Agricola[Financiero $Corrientes])*($G13=Comercial_Agricola[Producto])*(P$1=Comercial_Agricola[Mes Financiero])*(P$2=Comercial_Agricola[Año Financiero]))</f>
        <v>0</v>
      </c>
      <c r="Q13" s="118">
        <f>SUMPRODUCT(($C$4=Comercial_Agricola[Movimiento])*(Comercial_Agricola[Financiero $Corrientes])*($G13=Comercial_Agricola[Producto])*(Q$1=Comercial_Agricola[Mes Financiero])*(Q$2=Comercial_Agricola[Año Financiero]))</f>
        <v>0</v>
      </c>
      <c r="R13" s="117">
        <f>SUMPRODUCT(($C$4=Comercial_Agricola[Movimiento])*(Comercial_Agricola[Financiero $Corrientes])*($G13=Comercial_Agricola[Producto])*(R$1=Comercial_Agricola[Mes Financiero])*(R$2=Comercial_Agricola[Año Financiero]))</f>
        <v>0</v>
      </c>
      <c r="S13" s="118">
        <f>SUMPRODUCT(($C$4=Comercial_Agricola[Movimiento])*(Comercial_Agricola[Financiero $Corrientes])*($G13=Comercial_Agricola[Producto])*(S$1=Comercial_Agricola[Mes Financiero])*(S$2=Comercial_Agricola[Año Financiero]))</f>
        <v>0</v>
      </c>
      <c r="T13" s="117">
        <f>SUMPRODUCT(($C$4=Comercial_Agricola[Movimiento])*(Comercial_Agricola[Financiero $Corrientes])*($G13=Comercial_Agricola[Producto])*(T$1=Comercial_Agricola[Mes Financiero])*(T$2=Comercial_Agricola[Año Financiero]))</f>
        <v>0</v>
      </c>
      <c r="U13" s="118">
        <f>SUMPRODUCT(($C$4=Comercial_Agricola[Movimiento])*(Comercial_Agricola[Financiero $Corrientes])*($G13=Comercial_Agricola[Producto])*(U$1=Comercial_Agricola[Mes Financiero])*(U$2=Comercial_Agricola[Año Financiero]))</f>
        <v>0</v>
      </c>
      <c r="V13" s="117">
        <f>SUMPRODUCT(($C$4=Comercial_Agricola[Movimiento])*(Comercial_Agricola[Financiero $Corrientes])*($G13=Comercial_Agricola[Producto])*(V$1=Comercial_Agricola[Mes Financiero])*(V$2=Comercial_Agricola[Año Financiero]))</f>
        <v>0</v>
      </c>
      <c r="W13" s="118">
        <f>SUMPRODUCT(($C$4=Comercial_Agricola[Movimiento])*(Comercial_Agricola[Financiero $Corrientes])*($G13=Comercial_Agricola[Producto])*(W$1=Comercial_Agricola[Mes Financiero])*(W$2=Comercial_Agricola[Año Financiero]))</f>
        <v>0</v>
      </c>
      <c r="X13" s="117">
        <f>SUMPRODUCT(($C$4=Comercial_Agricola[Movimiento])*(Comercial_Agricola[Financiero $Corrientes])*($G13=Comercial_Agricola[Producto])*(X$1=Comercial_Agricola[Mes Financiero])*(X$2=Comercial_Agricola[Año Financiero]))</f>
        <v>0</v>
      </c>
      <c r="Y13" s="118">
        <f>SUMPRODUCT(($C$4=Comercial_Agricola[Movimiento])*(Comercial_Agricola[Financiero $Corrientes])*($G13=Comercial_Agricola[Producto])*(Y$1=Comercial_Agricola[Mes Financiero])*(Y$2=Comercial_Agricola[Año Financiero]))</f>
        <v>0</v>
      </c>
      <c r="Z13" s="140">
        <f t="shared" si="3"/>
        <v>0</v>
      </c>
    </row>
    <row r="14" spans="2:31" hidden="1" outlineLevel="1" x14ac:dyDescent="0.25">
      <c r="B14" s="166" t="s">
        <v>101</v>
      </c>
      <c r="F14" s="216">
        <f>IFERROR(MATCH('Financiero $'!G14,Tabla811[Producto],0),0)</f>
        <v>7</v>
      </c>
      <c r="G14" s="218" t="str">
        <f>Configuración!AN11</f>
        <v>Silo Maíz</v>
      </c>
      <c r="H14" s="128">
        <f>SUMPRODUCT(($C$4=Comercial_Agricola[Movimiento])*(Comercial_Agricola[Financiero $Corrientes])*($G14=Comercial_Agricola[Producto])*(H$1=Comercial_Agricola[Mes Financiero])*(H$2=Comercial_Agricola[Año Financiero]))</f>
        <v>0</v>
      </c>
      <c r="I14" s="129">
        <f>SUMPRODUCT(($C$4=Comercial_Agricola[Movimiento])*(Comercial_Agricola[Financiero $Corrientes])*($G14=Comercial_Agricola[Producto])*(I$1=Comercial_Agricola[Mes Financiero])*(I$2=Comercial_Agricola[Año Financiero]))</f>
        <v>0</v>
      </c>
      <c r="J14" s="128">
        <f>SUMPRODUCT(($C$4=Comercial_Agricola[Movimiento])*(Comercial_Agricola[Financiero $Corrientes])*($G14=Comercial_Agricola[Producto])*(J$1=Comercial_Agricola[Mes Financiero])*(J$2=Comercial_Agricola[Año Financiero]))</f>
        <v>0</v>
      </c>
      <c r="K14" s="129">
        <f>SUMPRODUCT(($C$4=Comercial_Agricola[Movimiento])*(Comercial_Agricola[Financiero $Corrientes])*($G14=Comercial_Agricola[Producto])*(K$1=Comercial_Agricola[Mes Financiero])*(K$2=Comercial_Agricola[Año Financiero]))</f>
        <v>0</v>
      </c>
      <c r="L14" s="128">
        <f>SUMPRODUCT(($C$4=Comercial_Agricola[Movimiento])*(Comercial_Agricola[Financiero $Corrientes])*($G14=Comercial_Agricola[Producto])*(L$1=Comercial_Agricola[Mes Financiero])*(L$2=Comercial_Agricola[Año Financiero]))</f>
        <v>0</v>
      </c>
      <c r="M14" s="129">
        <f>SUMPRODUCT(($C$4=Comercial_Agricola[Movimiento])*(Comercial_Agricola[Financiero $Corrientes])*($G14=Comercial_Agricola[Producto])*(M$1=Comercial_Agricola[Mes Financiero])*(M$2=Comercial_Agricola[Año Financiero]))</f>
        <v>0</v>
      </c>
      <c r="N14" s="128">
        <f>SUMPRODUCT(($C$4=Comercial_Agricola[Movimiento])*(Comercial_Agricola[Financiero $Corrientes])*($G14=Comercial_Agricola[Producto])*(N$1=Comercial_Agricola[Mes Financiero])*(N$2=Comercial_Agricola[Año Financiero]))</f>
        <v>0</v>
      </c>
      <c r="O14" s="129">
        <f>SUMPRODUCT(($C$4=Comercial_Agricola[Movimiento])*(Comercial_Agricola[Financiero $Corrientes])*($G14=Comercial_Agricola[Producto])*(O$1=Comercial_Agricola[Mes Financiero])*(O$2=Comercial_Agricola[Año Financiero]))</f>
        <v>0</v>
      </c>
      <c r="P14" s="128">
        <f>SUMPRODUCT(($C$4=Comercial_Agricola[Movimiento])*(Comercial_Agricola[Financiero $Corrientes])*($G14=Comercial_Agricola[Producto])*(P$1=Comercial_Agricola[Mes Financiero])*(P$2=Comercial_Agricola[Año Financiero]))</f>
        <v>0</v>
      </c>
      <c r="Q14" s="129">
        <f>SUMPRODUCT(($C$4=Comercial_Agricola[Movimiento])*(Comercial_Agricola[Financiero $Corrientes])*($G14=Comercial_Agricola[Producto])*(Q$1=Comercial_Agricola[Mes Financiero])*(Q$2=Comercial_Agricola[Año Financiero]))</f>
        <v>0</v>
      </c>
      <c r="R14" s="128">
        <f>SUMPRODUCT(($C$4=Comercial_Agricola[Movimiento])*(Comercial_Agricola[Financiero $Corrientes])*($G14=Comercial_Agricola[Producto])*(R$1=Comercial_Agricola[Mes Financiero])*(R$2=Comercial_Agricola[Año Financiero]))</f>
        <v>0</v>
      </c>
      <c r="S14" s="129">
        <f>SUMPRODUCT(($C$4=Comercial_Agricola[Movimiento])*(Comercial_Agricola[Financiero $Corrientes])*($G14=Comercial_Agricola[Producto])*(S$1=Comercial_Agricola[Mes Financiero])*(S$2=Comercial_Agricola[Año Financiero]))</f>
        <v>0</v>
      </c>
      <c r="T14" s="128">
        <f>SUMPRODUCT(($C$4=Comercial_Agricola[Movimiento])*(Comercial_Agricola[Financiero $Corrientes])*($G14=Comercial_Agricola[Producto])*(T$1=Comercial_Agricola[Mes Financiero])*(T$2=Comercial_Agricola[Año Financiero]))</f>
        <v>0</v>
      </c>
      <c r="U14" s="129">
        <f>SUMPRODUCT(($C$4=Comercial_Agricola[Movimiento])*(Comercial_Agricola[Financiero $Corrientes])*($G14=Comercial_Agricola[Producto])*(U$1=Comercial_Agricola[Mes Financiero])*(U$2=Comercial_Agricola[Año Financiero]))</f>
        <v>0</v>
      </c>
      <c r="V14" s="128">
        <f>SUMPRODUCT(($C$4=Comercial_Agricola[Movimiento])*(Comercial_Agricola[Financiero $Corrientes])*($G14=Comercial_Agricola[Producto])*(V$1=Comercial_Agricola[Mes Financiero])*(V$2=Comercial_Agricola[Año Financiero]))</f>
        <v>0</v>
      </c>
      <c r="W14" s="129">
        <f>SUMPRODUCT(($C$4=Comercial_Agricola[Movimiento])*(Comercial_Agricola[Financiero $Corrientes])*($G14=Comercial_Agricola[Producto])*(W$1=Comercial_Agricola[Mes Financiero])*(W$2=Comercial_Agricola[Año Financiero]))</f>
        <v>0</v>
      </c>
      <c r="X14" s="128">
        <f>SUMPRODUCT(($C$4=Comercial_Agricola[Movimiento])*(Comercial_Agricola[Financiero $Corrientes])*($G14=Comercial_Agricola[Producto])*(X$1=Comercial_Agricola[Mes Financiero])*(X$2=Comercial_Agricola[Año Financiero]))</f>
        <v>0</v>
      </c>
      <c r="Y14" s="129">
        <f>SUMPRODUCT(($C$4=Comercial_Agricola[Movimiento])*(Comercial_Agricola[Financiero $Corrientes])*($G14=Comercial_Agricola[Producto])*(Y$1=Comercial_Agricola[Mes Financiero])*(Y$2=Comercial_Agricola[Año Financiero]))</f>
        <v>0</v>
      </c>
      <c r="Z14" s="141">
        <f t="shared" si="3"/>
        <v>0</v>
      </c>
    </row>
    <row r="15" spans="2:31" collapsed="1" x14ac:dyDescent="0.25">
      <c r="B15" s="175"/>
      <c r="D15" s="102"/>
      <c r="E15" s="120"/>
      <c r="F15" s="126" t="s">
        <v>213</v>
      </c>
      <c r="G15" s="123"/>
      <c r="H15" s="208">
        <f>SUMPRODUCT(($C4=Comercial_Agricola[Movimiento])*(Comercial_Agricola[Financiero $Corrientes])*(H$1=Comercial_Agricola[Mes Financiero])*(H$2=Comercial_Agricola[Año Financiero]))-H4</f>
        <v>0</v>
      </c>
      <c r="I15" s="209">
        <f>SUMPRODUCT(($C4=Comercial_Agricola[Movimiento])*(Comercial_Agricola[Financiero $Corrientes])*(I$1=Comercial_Agricola[Mes Financiero])*(I$2=Comercial_Agricola[Año Financiero]))-I4</f>
        <v>0</v>
      </c>
      <c r="J15" s="208">
        <f>SUMPRODUCT(($C4=Comercial_Agricola[Movimiento])*(Comercial_Agricola[Financiero $Corrientes])*(J$1=Comercial_Agricola[Mes Financiero])*(J$2=Comercial_Agricola[Año Financiero]))-J4</f>
        <v>0</v>
      </c>
      <c r="K15" s="209">
        <f>SUMPRODUCT(($C4=Comercial_Agricola[Movimiento])*(Comercial_Agricola[Financiero $Corrientes])*(K$1=Comercial_Agricola[Mes Financiero])*(K$2=Comercial_Agricola[Año Financiero]))-K4</f>
        <v>0</v>
      </c>
      <c r="L15" s="208">
        <f>SUMPRODUCT(($C4=Comercial_Agricola[Movimiento])*(Comercial_Agricola[Financiero $Corrientes])*(L$1=Comercial_Agricola[Mes Financiero])*(L$2=Comercial_Agricola[Año Financiero]))-L4</f>
        <v>0</v>
      </c>
      <c r="M15" s="209">
        <f>SUMPRODUCT(($C4=Comercial_Agricola[Movimiento])*(Comercial_Agricola[Financiero $Corrientes])*(M$1=Comercial_Agricola[Mes Financiero])*(M$2=Comercial_Agricola[Año Financiero]))-M4</f>
        <v>0</v>
      </c>
      <c r="N15" s="208">
        <f>SUMPRODUCT(($C4=Comercial_Agricola[Movimiento])*(Comercial_Agricola[Financiero $Corrientes])*(N$1=Comercial_Agricola[Mes Financiero])*(N$2=Comercial_Agricola[Año Financiero]))-N4</f>
        <v>0</v>
      </c>
      <c r="O15" s="209">
        <f>SUMPRODUCT(($C4=Comercial_Agricola[Movimiento])*(Comercial_Agricola[Financiero $Corrientes])*(O$1=Comercial_Agricola[Mes Financiero])*(O$2=Comercial_Agricola[Año Financiero]))-O4</f>
        <v>0</v>
      </c>
      <c r="P15" s="208">
        <f>SUMPRODUCT(($C4=Comercial_Agricola[Movimiento])*(Comercial_Agricola[Financiero $Corrientes])*(P$1=Comercial_Agricola[Mes Financiero])*(P$2=Comercial_Agricola[Año Financiero]))-P4</f>
        <v>0</v>
      </c>
      <c r="Q15" s="209">
        <f>SUMPRODUCT(($C4=Comercial_Agricola[Movimiento])*(Comercial_Agricola[Financiero $Corrientes])*(Q$1=Comercial_Agricola[Mes Financiero])*(Q$2=Comercial_Agricola[Año Financiero]))-Q4</f>
        <v>0</v>
      </c>
      <c r="R15" s="208">
        <f>SUMPRODUCT(($C4=Comercial_Agricola[Movimiento])*(Comercial_Agricola[Financiero $Corrientes])*(R$1=Comercial_Agricola[Mes Financiero])*(R$2=Comercial_Agricola[Año Financiero]))-R4</f>
        <v>0</v>
      </c>
      <c r="S15" s="209">
        <f>SUMPRODUCT(($C4=Comercial_Agricola[Movimiento])*(Comercial_Agricola[Financiero $Corrientes])*(S$1=Comercial_Agricola[Mes Financiero])*(S$2=Comercial_Agricola[Año Financiero]))-S4</f>
        <v>0</v>
      </c>
      <c r="T15" s="208">
        <f>SUMPRODUCT(($C4=Comercial_Agricola[Movimiento])*(Comercial_Agricola[Financiero $Corrientes])*(T$1=Comercial_Agricola[Mes Financiero])*(T$2=Comercial_Agricola[Año Financiero]))-T4</f>
        <v>0</v>
      </c>
      <c r="U15" s="209">
        <f>SUMPRODUCT(($C4=Comercial_Agricola[Movimiento])*(Comercial_Agricola[Financiero $Corrientes])*(U$1=Comercial_Agricola[Mes Financiero])*(U$2=Comercial_Agricola[Año Financiero]))-U4</f>
        <v>0</v>
      </c>
      <c r="V15" s="208">
        <f>SUMPRODUCT(($C4=Comercial_Agricola[Movimiento])*(Comercial_Agricola[Financiero $Corrientes])*(V$1=Comercial_Agricola[Mes Financiero])*(V$2=Comercial_Agricola[Año Financiero]))-V4</f>
        <v>0</v>
      </c>
      <c r="W15" s="209">
        <f>SUMPRODUCT(($C4=Comercial_Agricola[Movimiento])*(Comercial_Agricola[Financiero $Corrientes])*(W$1=Comercial_Agricola[Mes Financiero])*(W$2=Comercial_Agricola[Año Financiero]))-W4</f>
        <v>0</v>
      </c>
      <c r="X15" s="208">
        <f>SUMPRODUCT(($C4=Comercial_Agricola[Movimiento])*(Comercial_Agricola[Financiero $Corrientes])*(X$1=Comercial_Agricola[Mes Financiero])*(X$2=Comercial_Agricola[Año Financiero]))-X4</f>
        <v>0</v>
      </c>
      <c r="Y15" s="209">
        <f>SUMPRODUCT(($C4=Comercial_Agricola[Movimiento])*(Comercial_Agricola[Financiero $Corrientes])*(Y$1=Comercial_Agricola[Mes Financiero])*(Y$2=Comercial_Agricola[Año Financiero]))-Y4</f>
        <v>0</v>
      </c>
      <c r="Z15" s="146">
        <f>SUM(H15:Y15)</f>
        <v>0</v>
      </c>
    </row>
    <row r="16" spans="2:31" x14ac:dyDescent="0.25">
      <c r="C16" s="210" t="s">
        <v>37</v>
      </c>
      <c r="D16" s="381" t="s">
        <v>165</v>
      </c>
      <c r="E16" s="223">
        <f>MATCH(F16,Produccion_Ganadera_Cuentas[Cuenta Contable],0)</f>
        <v>3</v>
      </c>
      <c r="F16" s="382" t="str">
        <f>INDEX(Produccion_Ganadera_Cuentas[[Cuenta Contable]:[Movimiento]],MATCH('Financiero $'!C16,Produccion_Ganadera_Cuentas[Movimiento],0),1)</f>
        <v>Venta Hacienda</v>
      </c>
      <c r="H16" s="99">
        <f>SUMPRODUCT(($C$16=Producción_Ganadera[Movimiento])*($F16=Producción_Ganadera[])*(H$1=Producción_Ganadera[Mes Financiero])*(H$2=Producción_Ganadera[Año Financiero])*(Producción_Ganadera[Financiero $Corrientes]))</f>
        <v>0</v>
      </c>
      <c r="I16" s="100">
        <f>SUMPRODUCT(($C$16=Producción_Ganadera[Movimiento])*($F16=Producción_Ganadera[])*(I$1=Producción_Ganadera[Mes Financiero])*(I$2=Producción_Ganadera[Año Financiero])*(Producción_Ganadera[Financiero $Corrientes]))</f>
        <v>0</v>
      </c>
      <c r="J16" s="99">
        <f>SUMPRODUCT(($C$16=Producción_Ganadera[Movimiento])*($F16=Producción_Ganadera[])*(J$1=Producción_Ganadera[Mes Financiero])*(J$2=Producción_Ganadera[Año Financiero])*(Producción_Ganadera[Financiero $Corrientes]))</f>
        <v>0</v>
      </c>
      <c r="K16" s="100">
        <f>SUMPRODUCT(($C$16=Producción_Ganadera[Movimiento])*($F16=Producción_Ganadera[])*(K$1=Producción_Ganadera[Mes Financiero])*(K$2=Producción_Ganadera[Año Financiero])*(Producción_Ganadera[Financiero $Corrientes]))</f>
        <v>0</v>
      </c>
      <c r="L16" s="99">
        <f>SUMPRODUCT(($C$16=Producción_Ganadera[Movimiento])*($F16=Producción_Ganadera[])*(L$1=Producción_Ganadera[Mes Financiero])*(L$2=Producción_Ganadera[Año Financiero])*(Producción_Ganadera[Financiero $Corrientes]))</f>
        <v>0</v>
      </c>
      <c r="M16" s="100">
        <f>SUMPRODUCT(($C$16=Producción_Ganadera[Movimiento])*($F16=Producción_Ganadera[])*(M$1=Producción_Ganadera[Mes Financiero])*(M$2=Producción_Ganadera[Año Financiero])*(Producción_Ganadera[Financiero $Corrientes]))</f>
        <v>0</v>
      </c>
      <c r="N16" s="99">
        <f>SUMPRODUCT(($C$16=Producción_Ganadera[Movimiento])*($F16=Producción_Ganadera[])*(N$1=Producción_Ganadera[Mes Financiero])*(N$2=Producción_Ganadera[Año Financiero])*(Producción_Ganadera[Financiero $Corrientes]))</f>
        <v>0</v>
      </c>
      <c r="O16" s="100">
        <f>SUMPRODUCT(($C$16=Producción_Ganadera[Movimiento])*($F16=Producción_Ganadera[])*(O$1=Producción_Ganadera[Mes Financiero])*(O$2=Producción_Ganadera[Año Financiero])*(Producción_Ganadera[Financiero $Corrientes]))</f>
        <v>0</v>
      </c>
      <c r="P16" s="99">
        <f>SUMPRODUCT(($C$16=Producción_Ganadera[Movimiento])*($F16=Producción_Ganadera[])*(P$1=Producción_Ganadera[Mes Financiero])*(P$2=Producción_Ganadera[Año Financiero])*(Producción_Ganadera[Financiero $Corrientes]))</f>
        <v>0</v>
      </c>
      <c r="Q16" s="100">
        <f>SUMPRODUCT(($C$16=Producción_Ganadera[Movimiento])*($F16=Producción_Ganadera[])*(Q$1=Producción_Ganadera[Mes Financiero])*(Q$2=Producción_Ganadera[Año Financiero])*(Producción_Ganadera[Financiero $Corrientes]))</f>
        <v>0</v>
      </c>
      <c r="R16" s="99">
        <f>SUMPRODUCT(($C$16=Producción_Ganadera[Movimiento])*($F16=Producción_Ganadera[])*(R$1=Producción_Ganadera[Mes Financiero])*(R$2=Producción_Ganadera[Año Financiero])*(Producción_Ganadera[Financiero $Corrientes]))</f>
        <v>0</v>
      </c>
      <c r="S16" s="100">
        <f>SUMPRODUCT(($C$16=Producción_Ganadera[Movimiento])*($F16=Producción_Ganadera[])*(S$1=Producción_Ganadera[Mes Financiero])*(S$2=Producción_Ganadera[Año Financiero])*(Producción_Ganadera[Financiero $Corrientes]))</f>
        <v>0</v>
      </c>
      <c r="T16" s="99">
        <f>SUMPRODUCT(($C$16=Producción_Ganadera[Movimiento])*($F16=Producción_Ganadera[])*(T$1=Producción_Ganadera[Mes Financiero])*(T$2=Producción_Ganadera[Año Financiero])*(Producción_Ganadera[Financiero $Corrientes]))</f>
        <v>0</v>
      </c>
      <c r="U16" s="100">
        <f>SUMPRODUCT(($C$16=Producción_Ganadera[Movimiento])*($F16=Producción_Ganadera[])*(U$1=Producción_Ganadera[Mes Financiero])*(U$2=Producción_Ganadera[Año Financiero])*(Producción_Ganadera[Financiero $Corrientes]))</f>
        <v>0</v>
      </c>
      <c r="V16" s="99">
        <f>SUMPRODUCT(($C$16=Producción_Ganadera[Movimiento])*($F16=Producción_Ganadera[])*(V$1=Producción_Ganadera[Mes Financiero])*(V$2=Producción_Ganadera[Año Financiero])*(Producción_Ganadera[Financiero $Corrientes]))</f>
        <v>0</v>
      </c>
      <c r="W16" s="100">
        <f>SUMPRODUCT(($C$16=Producción_Ganadera[Movimiento])*($F16=Producción_Ganadera[])*(W$1=Producción_Ganadera[Mes Financiero])*(W$2=Producción_Ganadera[Año Financiero])*(Producción_Ganadera[Financiero $Corrientes]))</f>
        <v>0</v>
      </c>
      <c r="X16" s="99">
        <f>SUMPRODUCT(($C$16=Producción_Ganadera[Movimiento])*($F16=Producción_Ganadera[])*(X$1=Producción_Ganadera[Mes Financiero])*(X$2=Producción_Ganadera[Año Financiero])*(Producción_Ganadera[Financiero $Corrientes]))</f>
        <v>0</v>
      </c>
      <c r="Y16" s="100">
        <f>SUMPRODUCT(($C$16=Producción_Ganadera[Movimiento])*($F16=Producción_Ganadera[])*(Y$1=Producción_Ganadera[Mes Financiero])*(Y$2=Producción_Ganadera[Año Financiero])*(Producción_Ganadera[Financiero $Corrientes]))</f>
        <v>0</v>
      </c>
      <c r="Z16" s="139">
        <f t="shared" si="3"/>
        <v>0</v>
      </c>
      <c r="AB16" s="170" t="b">
        <f>Z16=SUM(Z17:Z28)</f>
        <v>1</v>
      </c>
      <c r="AC16" s="281">
        <f>SUMPRODUCT(($F$16=Produccion_Ganadera_Cuentas[Cuenta Contable])*(Produccion_Ganadera_Cuentas[IVA]))</f>
        <v>0.105</v>
      </c>
      <c r="AD16" s="281">
        <v>0.01</v>
      </c>
    </row>
    <row r="17" spans="2:30" hidden="1" outlineLevel="1" x14ac:dyDescent="0.25">
      <c r="F17" s="215">
        <f>IFERROR(MATCH(G17,Produccion_Ganadera[Categoría],0),0)</f>
        <v>1</v>
      </c>
      <c r="G17" s="229" t="str">
        <f>Configuración!AZ5</f>
        <v>Vaca CUT</v>
      </c>
      <c r="H17" s="130">
        <f>SUMPRODUCT(($C$16=Producción_Ganadera[Movimiento])*($G17=Producción_Ganadera[Categoría Hacienda])*(H$1=Producción_Ganadera[Mes Financiero])*(H$2=Producción_Ganadera[Año Financiero])*(Producción_Ganadera[Financiero $Corrientes]))</f>
        <v>0</v>
      </c>
      <c r="I17" s="131">
        <f>SUMPRODUCT(($C$16=Producción_Ganadera[Movimiento])*($G17=Producción_Ganadera[Categoría Hacienda])*(I$1=Producción_Ganadera[Mes Financiero])*(I$2=Producción_Ganadera[Año Financiero])*(Producción_Ganadera[Financiero $Corrientes]))</f>
        <v>0</v>
      </c>
      <c r="J17" s="130">
        <f>SUMPRODUCT(($C$16=Producción_Ganadera[Movimiento])*($G17=Producción_Ganadera[Categoría Hacienda])*(J$1=Producción_Ganadera[Mes Financiero])*(J$2=Producción_Ganadera[Año Financiero])*(Producción_Ganadera[Financiero $Corrientes]))</f>
        <v>0</v>
      </c>
      <c r="K17" s="131">
        <f>SUMPRODUCT(($C$16=Producción_Ganadera[Movimiento])*($G17=Producción_Ganadera[Categoría Hacienda])*(K$1=Producción_Ganadera[Mes Financiero])*(K$2=Producción_Ganadera[Año Financiero])*(Producción_Ganadera[Financiero $Corrientes]))</f>
        <v>0</v>
      </c>
      <c r="L17" s="130">
        <f>SUMPRODUCT(($C$16=Producción_Ganadera[Movimiento])*($G17=Producción_Ganadera[Categoría Hacienda])*(L$1=Producción_Ganadera[Mes Financiero])*(L$2=Producción_Ganadera[Año Financiero])*(Producción_Ganadera[Financiero $Corrientes]))</f>
        <v>0</v>
      </c>
      <c r="M17" s="131">
        <f>SUMPRODUCT(($C$16=Producción_Ganadera[Movimiento])*($G17=Producción_Ganadera[Categoría Hacienda])*(M$1=Producción_Ganadera[Mes Financiero])*(M$2=Producción_Ganadera[Año Financiero])*(Producción_Ganadera[Financiero $Corrientes]))</f>
        <v>0</v>
      </c>
      <c r="N17" s="130">
        <f>SUMPRODUCT(($C$16=Producción_Ganadera[Movimiento])*($G17=Producción_Ganadera[Categoría Hacienda])*(N$1=Producción_Ganadera[Mes Financiero])*(N$2=Producción_Ganadera[Año Financiero])*(Producción_Ganadera[Financiero $Corrientes]))</f>
        <v>0</v>
      </c>
      <c r="O17" s="131">
        <f>SUMPRODUCT(($C$16=Producción_Ganadera[Movimiento])*($G17=Producción_Ganadera[Categoría Hacienda])*(O$1=Producción_Ganadera[Mes Financiero])*(O$2=Producción_Ganadera[Año Financiero])*(Producción_Ganadera[Financiero $Corrientes]))</f>
        <v>0</v>
      </c>
      <c r="P17" s="130">
        <f>SUMPRODUCT(($C$16=Producción_Ganadera[Movimiento])*($G17=Producción_Ganadera[Categoría Hacienda])*(P$1=Producción_Ganadera[Mes Financiero])*(P$2=Producción_Ganadera[Año Financiero])*(Producción_Ganadera[Financiero $Corrientes]))</f>
        <v>0</v>
      </c>
      <c r="Q17" s="131">
        <f>SUMPRODUCT(($C$16=Producción_Ganadera[Movimiento])*($G17=Producción_Ganadera[Categoría Hacienda])*(Q$1=Producción_Ganadera[Mes Financiero])*(Q$2=Producción_Ganadera[Año Financiero])*(Producción_Ganadera[Financiero $Corrientes]))</f>
        <v>0</v>
      </c>
      <c r="R17" s="130">
        <f>SUMPRODUCT(($C$16=Producción_Ganadera[Movimiento])*($G17=Producción_Ganadera[Categoría Hacienda])*(R$1=Producción_Ganadera[Mes Financiero])*(R$2=Producción_Ganadera[Año Financiero])*(Producción_Ganadera[Financiero $Corrientes]))</f>
        <v>0</v>
      </c>
      <c r="S17" s="131">
        <f>SUMPRODUCT(($C$16=Producción_Ganadera[Movimiento])*($G17=Producción_Ganadera[Categoría Hacienda])*(S$1=Producción_Ganadera[Mes Financiero])*(S$2=Producción_Ganadera[Año Financiero])*(Producción_Ganadera[Financiero $Corrientes]))</f>
        <v>0</v>
      </c>
      <c r="T17" s="130">
        <f>SUMPRODUCT(($C$16=Producción_Ganadera[Movimiento])*($G17=Producción_Ganadera[Categoría Hacienda])*(T$1=Producción_Ganadera[Mes Financiero])*(T$2=Producción_Ganadera[Año Financiero])*(Producción_Ganadera[Financiero $Corrientes]))</f>
        <v>0</v>
      </c>
      <c r="U17" s="131">
        <f>SUMPRODUCT(($C$16=Producción_Ganadera[Movimiento])*($G17=Producción_Ganadera[Categoría Hacienda])*(U$1=Producción_Ganadera[Mes Financiero])*(U$2=Producción_Ganadera[Año Financiero])*(Producción_Ganadera[Financiero $Corrientes]))</f>
        <v>0</v>
      </c>
      <c r="V17" s="130">
        <f>SUMPRODUCT(($C$16=Producción_Ganadera[Movimiento])*($G17=Producción_Ganadera[Categoría Hacienda])*(V$1=Producción_Ganadera[Mes Financiero])*(V$2=Producción_Ganadera[Año Financiero])*(Producción_Ganadera[Financiero $Corrientes]))</f>
        <v>0</v>
      </c>
      <c r="W17" s="131">
        <f>SUMPRODUCT(($C$16=Producción_Ganadera[Movimiento])*($G17=Producción_Ganadera[Categoría Hacienda])*(W$1=Producción_Ganadera[Mes Financiero])*(W$2=Producción_Ganadera[Año Financiero])*(Producción_Ganadera[Financiero $Corrientes]))</f>
        <v>0</v>
      </c>
      <c r="X17" s="130">
        <f>SUMPRODUCT(($C$16=Producción_Ganadera[Movimiento])*($G17=Producción_Ganadera[Categoría Hacienda])*(X$1=Producción_Ganadera[Mes Financiero])*(X$2=Producción_Ganadera[Año Financiero])*(Producción_Ganadera[Financiero $Corrientes]))</f>
        <v>0</v>
      </c>
      <c r="Y17" s="131">
        <f>SUMPRODUCT(($C$16=Producción_Ganadera[Movimiento])*($G17=Producción_Ganadera[Categoría Hacienda])*(Y$1=Producción_Ganadera[Mes Financiero])*(Y$2=Producción_Ganadera[Año Financiero])*(Producción_Ganadera[Financiero $Corrientes]))</f>
        <v>0</v>
      </c>
      <c r="Z17" s="142">
        <f t="shared" si="3"/>
        <v>0</v>
      </c>
      <c r="AC17" s="281"/>
      <c r="AD17" s="281"/>
    </row>
    <row r="18" spans="2:30" hidden="1" outlineLevel="1" x14ac:dyDescent="0.25">
      <c r="F18" s="215">
        <f>IFERROR(MATCH(G18,Produccion_Ganadera[Categoría],0),0)</f>
        <v>2</v>
      </c>
      <c r="G18" s="229" t="str">
        <f>Configuración!AZ6</f>
        <v>Vaca Preñada</v>
      </c>
      <c r="H18" s="130">
        <f>SUMPRODUCT(($C$16=Producción_Ganadera[Movimiento])*($G18=Producción_Ganadera[Categoría Hacienda])*(H$1=Producción_Ganadera[Mes Financiero])*(H$2=Producción_Ganadera[Año Financiero])*(Producción_Ganadera[Financiero $Corrientes]))</f>
        <v>0</v>
      </c>
      <c r="I18" s="131">
        <f>SUMPRODUCT(($C$16=Producción_Ganadera[Movimiento])*($G18=Producción_Ganadera[Categoría Hacienda])*(I$1=Producción_Ganadera[Mes Financiero])*(I$2=Producción_Ganadera[Año Financiero])*(Producción_Ganadera[Financiero $Corrientes]))</f>
        <v>0</v>
      </c>
      <c r="J18" s="130">
        <f>SUMPRODUCT(($C$16=Producción_Ganadera[Movimiento])*($G18=Producción_Ganadera[Categoría Hacienda])*(J$1=Producción_Ganadera[Mes Financiero])*(J$2=Producción_Ganadera[Año Financiero])*(Producción_Ganadera[Financiero $Corrientes]))</f>
        <v>0</v>
      </c>
      <c r="K18" s="131">
        <f>SUMPRODUCT(($C$16=Producción_Ganadera[Movimiento])*($G18=Producción_Ganadera[Categoría Hacienda])*(K$1=Producción_Ganadera[Mes Financiero])*(K$2=Producción_Ganadera[Año Financiero])*(Producción_Ganadera[Financiero $Corrientes]))</f>
        <v>0</v>
      </c>
      <c r="L18" s="130">
        <f>SUMPRODUCT(($C$16=Producción_Ganadera[Movimiento])*($G18=Producción_Ganadera[Categoría Hacienda])*(L$1=Producción_Ganadera[Mes Financiero])*(L$2=Producción_Ganadera[Año Financiero])*(Producción_Ganadera[Financiero $Corrientes]))</f>
        <v>0</v>
      </c>
      <c r="M18" s="131">
        <f>SUMPRODUCT(($C$16=Producción_Ganadera[Movimiento])*($G18=Producción_Ganadera[Categoría Hacienda])*(M$1=Producción_Ganadera[Mes Financiero])*(M$2=Producción_Ganadera[Año Financiero])*(Producción_Ganadera[Financiero $Corrientes]))</f>
        <v>0</v>
      </c>
      <c r="N18" s="130">
        <f>SUMPRODUCT(($C$16=Producción_Ganadera[Movimiento])*($G18=Producción_Ganadera[Categoría Hacienda])*(N$1=Producción_Ganadera[Mes Financiero])*(N$2=Producción_Ganadera[Año Financiero])*(Producción_Ganadera[Financiero $Corrientes]))</f>
        <v>0</v>
      </c>
      <c r="O18" s="131">
        <f>SUMPRODUCT(($C$16=Producción_Ganadera[Movimiento])*($G18=Producción_Ganadera[Categoría Hacienda])*(O$1=Producción_Ganadera[Mes Financiero])*(O$2=Producción_Ganadera[Año Financiero])*(Producción_Ganadera[Financiero $Corrientes]))</f>
        <v>0</v>
      </c>
      <c r="P18" s="130">
        <f>SUMPRODUCT(($C$16=Producción_Ganadera[Movimiento])*($G18=Producción_Ganadera[Categoría Hacienda])*(P$1=Producción_Ganadera[Mes Financiero])*(P$2=Producción_Ganadera[Año Financiero])*(Producción_Ganadera[Financiero $Corrientes]))</f>
        <v>0</v>
      </c>
      <c r="Q18" s="131">
        <f>SUMPRODUCT(($C$16=Producción_Ganadera[Movimiento])*($G18=Producción_Ganadera[Categoría Hacienda])*(Q$1=Producción_Ganadera[Mes Financiero])*(Q$2=Producción_Ganadera[Año Financiero])*(Producción_Ganadera[Financiero $Corrientes]))</f>
        <v>0</v>
      </c>
      <c r="R18" s="130">
        <f>SUMPRODUCT(($C$16=Producción_Ganadera[Movimiento])*($G18=Producción_Ganadera[Categoría Hacienda])*(R$1=Producción_Ganadera[Mes Financiero])*(R$2=Producción_Ganadera[Año Financiero])*(Producción_Ganadera[Financiero $Corrientes]))</f>
        <v>0</v>
      </c>
      <c r="S18" s="131">
        <f>SUMPRODUCT(($C$16=Producción_Ganadera[Movimiento])*($G18=Producción_Ganadera[Categoría Hacienda])*(S$1=Producción_Ganadera[Mes Financiero])*(S$2=Producción_Ganadera[Año Financiero])*(Producción_Ganadera[Financiero $Corrientes]))</f>
        <v>0</v>
      </c>
      <c r="T18" s="130">
        <f>SUMPRODUCT(($C$16=Producción_Ganadera[Movimiento])*($G18=Producción_Ganadera[Categoría Hacienda])*(T$1=Producción_Ganadera[Mes Financiero])*(T$2=Producción_Ganadera[Año Financiero])*(Producción_Ganadera[Financiero $Corrientes]))</f>
        <v>0</v>
      </c>
      <c r="U18" s="131">
        <f>SUMPRODUCT(($C$16=Producción_Ganadera[Movimiento])*($G18=Producción_Ganadera[Categoría Hacienda])*(U$1=Producción_Ganadera[Mes Financiero])*(U$2=Producción_Ganadera[Año Financiero])*(Producción_Ganadera[Financiero $Corrientes]))</f>
        <v>0</v>
      </c>
      <c r="V18" s="130">
        <f>SUMPRODUCT(($C$16=Producción_Ganadera[Movimiento])*($G18=Producción_Ganadera[Categoría Hacienda])*(V$1=Producción_Ganadera[Mes Financiero])*(V$2=Producción_Ganadera[Año Financiero])*(Producción_Ganadera[Financiero $Corrientes]))</f>
        <v>0</v>
      </c>
      <c r="W18" s="131">
        <f>SUMPRODUCT(($C$16=Producción_Ganadera[Movimiento])*($G18=Producción_Ganadera[Categoría Hacienda])*(W$1=Producción_Ganadera[Mes Financiero])*(W$2=Producción_Ganadera[Año Financiero])*(Producción_Ganadera[Financiero $Corrientes]))</f>
        <v>0</v>
      </c>
      <c r="X18" s="130">
        <f>SUMPRODUCT(($C$16=Producción_Ganadera[Movimiento])*($G18=Producción_Ganadera[Categoría Hacienda])*(X$1=Producción_Ganadera[Mes Financiero])*(X$2=Producción_Ganadera[Año Financiero])*(Producción_Ganadera[Financiero $Corrientes]))</f>
        <v>0</v>
      </c>
      <c r="Y18" s="131">
        <f>SUMPRODUCT(($C$16=Producción_Ganadera[Movimiento])*($G18=Producción_Ganadera[Categoría Hacienda])*(Y$1=Producción_Ganadera[Mes Financiero])*(Y$2=Producción_Ganadera[Año Financiero])*(Producción_Ganadera[Financiero $Corrientes]))</f>
        <v>0</v>
      </c>
      <c r="Z18" s="142">
        <f t="shared" si="3"/>
        <v>0</v>
      </c>
      <c r="AC18" s="281"/>
      <c r="AD18" s="281"/>
    </row>
    <row r="19" spans="2:30" hidden="1" outlineLevel="1" x14ac:dyDescent="0.25">
      <c r="F19" s="215">
        <f>IFERROR(MATCH(G19,Produccion_Ganadera[Categoría],0),0)</f>
        <v>3</v>
      </c>
      <c r="G19" s="229" t="str">
        <f>Configuración!AZ7</f>
        <v>Vaca Vacía</v>
      </c>
      <c r="H19" s="130">
        <f>SUMPRODUCT(($C$16=Producción_Ganadera[Movimiento])*($G19=Producción_Ganadera[Categoría Hacienda])*(H$1=Producción_Ganadera[Mes Financiero])*(H$2=Producción_Ganadera[Año Financiero])*(Producción_Ganadera[Financiero $Corrientes]))</f>
        <v>0</v>
      </c>
      <c r="I19" s="131">
        <f>SUMPRODUCT(($C$16=Producción_Ganadera[Movimiento])*($G19=Producción_Ganadera[Categoría Hacienda])*(I$1=Producción_Ganadera[Mes Financiero])*(I$2=Producción_Ganadera[Año Financiero])*(Producción_Ganadera[Financiero $Corrientes]))</f>
        <v>0</v>
      </c>
      <c r="J19" s="130">
        <f>SUMPRODUCT(($C$16=Producción_Ganadera[Movimiento])*($G19=Producción_Ganadera[Categoría Hacienda])*(J$1=Producción_Ganadera[Mes Financiero])*(J$2=Producción_Ganadera[Año Financiero])*(Producción_Ganadera[Financiero $Corrientes]))</f>
        <v>0</v>
      </c>
      <c r="K19" s="131">
        <f>SUMPRODUCT(($C$16=Producción_Ganadera[Movimiento])*($G19=Producción_Ganadera[Categoría Hacienda])*(K$1=Producción_Ganadera[Mes Financiero])*(K$2=Producción_Ganadera[Año Financiero])*(Producción_Ganadera[Financiero $Corrientes]))</f>
        <v>0</v>
      </c>
      <c r="L19" s="130">
        <f>SUMPRODUCT(($C$16=Producción_Ganadera[Movimiento])*($G19=Producción_Ganadera[Categoría Hacienda])*(L$1=Producción_Ganadera[Mes Financiero])*(L$2=Producción_Ganadera[Año Financiero])*(Producción_Ganadera[Financiero $Corrientes]))</f>
        <v>0</v>
      </c>
      <c r="M19" s="131">
        <f>SUMPRODUCT(($C$16=Producción_Ganadera[Movimiento])*($G19=Producción_Ganadera[Categoría Hacienda])*(M$1=Producción_Ganadera[Mes Financiero])*(M$2=Producción_Ganadera[Año Financiero])*(Producción_Ganadera[Financiero $Corrientes]))</f>
        <v>0</v>
      </c>
      <c r="N19" s="130">
        <f>SUMPRODUCT(($C$16=Producción_Ganadera[Movimiento])*($G19=Producción_Ganadera[Categoría Hacienda])*(N$1=Producción_Ganadera[Mes Financiero])*(N$2=Producción_Ganadera[Año Financiero])*(Producción_Ganadera[Financiero $Corrientes]))</f>
        <v>0</v>
      </c>
      <c r="O19" s="131">
        <f>SUMPRODUCT(($C$16=Producción_Ganadera[Movimiento])*($G19=Producción_Ganadera[Categoría Hacienda])*(O$1=Producción_Ganadera[Mes Financiero])*(O$2=Producción_Ganadera[Año Financiero])*(Producción_Ganadera[Financiero $Corrientes]))</f>
        <v>0</v>
      </c>
      <c r="P19" s="130">
        <f>SUMPRODUCT(($C$16=Producción_Ganadera[Movimiento])*($G19=Producción_Ganadera[Categoría Hacienda])*(P$1=Producción_Ganadera[Mes Financiero])*(P$2=Producción_Ganadera[Año Financiero])*(Producción_Ganadera[Financiero $Corrientes]))</f>
        <v>0</v>
      </c>
      <c r="Q19" s="131">
        <f>SUMPRODUCT(($C$16=Producción_Ganadera[Movimiento])*($G19=Producción_Ganadera[Categoría Hacienda])*(Q$1=Producción_Ganadera[Mes Financiero])*(Q$2=Producción_Ganadera[Año Financiero])*(Producción_Ganadera[Financiero $Corrientes]))</f>
        <v>0</v>
      </c>
      <c r="R19" s="130">
        <f>SUMPRODUCT(($C$16=Producción_Ganadera[Movimiento])*($G19=Producción_Ganadera[Categoría Hacienda])*(R$1=Producción_Ganadera[Mes Financiero])*(R$2=Producción_Ganadera[Año Financiero])*(Producción_Ganadera[Financiero $Corrientes]))</f>
        <v>0</v>
      </c>
      <c r="S19" s="131">
        <f>SUMPRODUCT(($C$16=Producción_Ganadera[Movimiento])*($G19=Producción_Ganadera[Categoría Hacienda])*(S$1=Producción_Ganadera[Mes Financiero])*(S$2=Producción_Ganadera[Año Financiero])*(Producción_Ganadera[Financiero $Corrientes]))</f>
        <v>0</v>
      </c>
      <c r="T19" s="130">
        <f>SUMPRODUCT(($C$16=Producción_Ganadera[Movimiento])*($G19=Producción_Ganadera[Categoría Hacienda])*(T$1=Producción_Ganadera[Mes Financiero])*(T$2=Producción_Ganadera[Año Financiero])*(Producción_Ganadera[Financiero $Corrientes]))</f>
        <v>0</v>
      </c>
      <c r="U19" s="131">
        <f>SUMPRODUCT(($C$16=Producción_Ganadera[Movimiento])*($G19=Producción_Ganadera[Categoría Hacienda])*(U$1=Producción_Ganadera[Mes Financiero])*(U$2=Producción_Ganadera[Año Financiero])*(Producción_Ganadera[Financiero $Corrientes]))</f>
        <v>0</v>
      </c>
      <c r="V19" s="130">
        <f>SUMPRODUCT(($C$16=Producción_Ganadera[Movimiento])*($G19=Producción_Ganadera[Categoría Hacienda])*(V$1=Producción_Ganadera[Mes Financiero])*(V$2=Producción_Ganadera[Año Financiero])*(Producción_Ganadera[Financiero $Corrientes]))</f>
        <v>0</v>
      </c>
      <c r="W19" s="131">
        <f>SUMPRODUCT(($C$16=Producción_Ganadera[Movimiento])*($G19=Producción_Ganadera[Categoría Hacienda])*(W$1=Producción_Ganadera[Mes Financiero])*(W$2=Producción_Ganadera[Año Financiero])*(Producción_Ganadera[Financiero $Corrientes]))</f>
        <v>0</v>
      </c>
      <c r="X19" s="130">
        <f>SUMPRODUCT(($C$16=Producción_Ganadera[Movimiento])*($G19=Producción_Ganadera[Categoría Hacienda])*(X$1=Producción_Ganadera[Mes Financiero])*(X$2=Producción_Ganadera[Año Financiero])*(Producción_Ganadera[Financiero $Corrientes]))</f>
        <v>0</v>
      </c>
      <c r="Y19" s="131">
        <f>SUMPRODUCT(($C$16=Producción_Ganadera[Movimiento])*($G19=Producción_Ganadera[Categoría Hacienda])*(Y$1=Producción_Ganadera[Mes Financiero])*(Y$2=Producción_Ganadera[Año Financiero])*(Producción_Ganadera[Financiero $Corrientes]))</f>
        <v>0</v>
      </c>
      <c r="Z19" s="142">
        <f t="shared" si="3"/>
        <v>0</v>
      </c>
      <c r="AC19" s="281"/>
      <c r="AD19" s="281"/>
    </row>
    <row r="20" spans="2:30" hidden="1" outlineLevel="1" x14ac:dyDescent="0.25">
      <c r="F20" s="215">
        <f>IFERROR(MATCH(G20,Produccion_Ganadera[Categoría],0),0)</f>
        <v>4</v>
      </c>
      <c r="G20" s="229" t="str">
        <f>Configuración!AZ8</f>
        <v>Vaquillona Preñada</v>
      </c>
      <c r="H20" s="130">
        <f>SUMPRODUCT(($C$16=Producción_Ganadera[Movimiento])*($G20=Producción_Ganadera[Categoría Hacienda])*(H$1=Producción_Ganadera[Mes Financiero])*(H$2=Producción_Ganadera[Año Financiero])*(Producción_Ganadera[Financiero $Corrientes]))</f>
        <v>0</v>
      </c>
      <c r="I20" s="131">
        <f>SUMPRODUCT(($C$16=Producción_Ganadera[Movimiento])*($G20=Producción_Ganadera[Categoría Hacienda])*(I$1=Producción_Ganadera[Mes Financiero])*(I$2=Producción_Ganadera[Año Financiero])*(Producción_Ganadera[Financiero $Corrientes]))</f>
        <v>0</v>
      </c>
      <c r="J20" s="130">
        <f>SUMPRODUCT(($C$16=Producción_Ganadera[Movimiento])*($G20=Producción_Ganadera[Categoría Hacienda])*(J$1=Producción_Ganadera[Mes Financiero])*(J$2=Producción_Ganadera[Año Financiero])*(Producción_Ganadera[Financiero $Corrientes]))</f>
        <v>0</v>
      </c>
      <c r="K20" s="131">
        <f>SUMPRODUCT(($C$16=Producción_Ganadera[Movimiento])*($G20=Producción_Ganadera[Categoría Hacienda])*(K$1=Producción_Ganadera[Mes Financiero])*(K$2=Producción_Ganadera[Año Financiero])*(Producción_Ganadera[Financiero $Corrientes]))</f>
        <v>0</v>
      </c>
      <c r="L20" s="130">
        <f>SUMPRODUCT(($C$16=Producción_Ganadera[Movimiento])*($G20=Producción_Ganadera[Categoría Hacienda])*(L$1=Producción_Ganadera[Mes Financiero])*(L$2=Producción_Ganadera[Año Financiero])*(Producción_Ganadera[Financiero $Corrientes]))</f>
        <v>0</v>
      </c>
      <c r="M20" s="131">
        <f>SUMPRODUCT(($C$16=Producción_Ganadera[Movimiento])*($G20=Producción_Ganadera[Categoría Hacienda])*(M$1=Producción_Ganadera[Mes Financiero])*(M$2=Producción_Ganadera[Año Financiero])*(Producción_Ganadera[Financiero $Corrientes]))</f>
        <v>0</v>
      </c>
      <c r="N20" s="130">
        <f>SUMPRODUCT(($C$16=Producción_Ganadera[Movimiento])*($G20=Producción_Ganadera[Categoría Hacienda])*(N$1=Producción_Ganadera[Mes Financiero])*(N$2=Producción_Ganadera[Año Financiero])*(Producción_Ganadera[Financiero $Corrientes]))</f>
        <v>0</v>
      </c>
      <c r="O20" s="131">
        <f>SUMPRODUCT(($C$16=Producción_Ganadera[Movimiento])*($G20=Producción_Ganadera[Categoría Hacienda])*(O$1=Producción_Ganadera[Mes Financiero])*(O$2=Producción_Ganadera[Año Financiero])*(Producción_Ganadera[Financiero $Corrientes]))</f>
        <v>0</v>
      </c>
      <c r="P20" s="130">
        <f>SUMPRODUCT(($C$16=Producción_Ganadera[Movimiento])*($G20=Producción_Ganadera[Categoría Hacienda])*(P$1=Producción_Ganadera[Mes Financiero])*(P$2=Producción_Ganadera[Año Financiero])*(Producción_Ganadera[Financiero $Corrientes]))</f>
        <v>0</v>
      </c>
      <c r="Q20" s="131">
        <f>SUMPRODUCT(($C$16=Producción_Ganadera[Movimiento])*($G20=Producción_Ganadera[Categoría Hacienda])*(Q$1=Producción_Ganadera[Mes Financiero])*(Q$2=Producción_Ganadera[Año Financiero])*(Producción_Ganadera[Financiero $Corrientes]))</f>
        <v>0</v>
      </c>
      <c r="R20" s="130">
        <f>SUMPRODUCT(($C$16=Producción_Ganadera[Movimiento])*($G20=Producción_Ganadera[Categoría Hacienda])*(R$1=Producción_Ganadera[Mes Financiero])*(R$2=Producción_Ganadera[Año Financiero])*(Producción_Ganadera[Financiero $Corrientes]))</f>
        <v>0</v>
      </c>
      <c r="S20" s="131">
        <f>SUMPRODUCT(($C$16=Producción_Ganadera[Movimiento])*($G20=Producción_Ganadera[Categoría Hacienda])*(S$1=Producción_Ganadera[Mes Financiero])*(S$2=Producción_Ganadera[Año Financiero])*(Producción_Ganadera[Financiero $Corrientes]))</f>
        <v>0</v>
      </c>
      <c r="T20" s="130">
        <f>SUMPRODUCT(($C$16=Producción_Ganadera[Movimiento])*($G20=Producción_Ganadera[Categoría Hacienda])*(T$1=Producción_Ganadera[Mes Financiero])*(T$2=Producción_Ganadera[Año Financiero])*(Producción_Ganadera[Financiero $Corrientes]))</f>
        <v>0</v>
      </c>
      <c r="U20" s="131">
        <f>SUMPRODUCT(($C$16=Producción_Ganadera[Movimiento])*($G20=Producción_Ganadera[Categoría Hacienda])*(U$1=Producción_Ganadera[Mes Financiero])*(U$2=Producción_Ganadera[Año Financiero])*(Producción_Ganadera[Financiero $Corrientes]))</f>
        <v>0</v>
      </c>
      <c r="V20" s="130">
        <f>SUMPRODUCT(($C$16=Producción_Ganadera[Movimiento])*($G20=Producción_Ganadera[Categoría Hacienda])*(V$1=Producción_Ganadera[Mes Financiero])*(V$2=Producción_Ganadera[Año Financiero])*(Producción_Ganadera[Financiero $Corrientes]))</f>
        <v>0</v>
      </c>
      <c r="W20" s="131">
        <f>SUMPRODUCT(($C$16=Producción_Ganadera[Movimiento])*($G20=Producción_Ganadera[Categoría Hacienda])*(W$1=Producción_Ganadera[Mes Financiero])*(W$2=Producción_Ganadera[Año Financiero])*(Producción_Ganadera[Financiero $Corrientes]))</f>
        <v>0</v>
      </c>
      <c r="X20" s="130">
        <f>SUMPRODUCT(($C$16=Producción_Ganadera[Movimiento])*($G20=Producción_Ganadera[Categoría Hacienda])*(X$1=Producción_Ganadera[Mes Financiero])*(X$2=Producción_Ganadera[Año Financiero])*(Producción_Ganadera[Financiero $Corrientes]))</f>
        <v>0</v>
      </c>
      <c r="Y20" s="131">
        <f>SUMPRODUCT(($C$16=Producción_Ganadera[Movimiento])*($G20=Producción_Ganadera[Categoría Hacienda])*(Y$1=Producción_Ganadera[Mes Financiero])*(Y$2=Producción_Ganadera[Año Financiero])*(Producción_Ganadera[Financiero $Corrientes]))</f>
        <v>0</v>
      </c>
      <c r="Z20" s="142">
        <f t="shared" si="3"/>
        <v>0</v>
      </c>
      <c r="AC20" s="281"/>
      <c r="AD20" s="281"/>
    </row>
    <row r="21" spans="2:30" hidden="1" outlineLevel="1" x14ac:dyDescent="0.25">
      <c r="F21" s="215">
        <f>IFERROR(MATCH(G21,Produccion_Ganadera[Categoría],0),0)</f>
        <v>5</v>
      </c>
      <c r="G21" s="229" t="str">
        <f>Configuración!AZ9</f>
        <v>Vaquillona 06-15</v>
      </c>
      <c r="H21" s="130">
        <f>SUMPRODUCT(($C$16=Producción_Ganadera[Movimiento])*($G21=Producción_Ganadera[Categoría Hacienda])*(H$1=Producción_Ganadera[Mes Financiero])*(H$2=Producción_Ganadera[Año Financiero])*(Producción_Ganadera[Financiero $Corrientes]))</f>
        <v>0</v>
      </c>
      <c r="I21" s="131">
        <f>SUMPRODUCT(($C$16=Producción_Ganadera[Movimiento])*($G21=Producción_Ganadera[Categoría Hacienda])*(I$1=Producción_Ganadera[Mes Financiero])*(I$2=Producción_Ganadera[Año Financiero])*(Producción_Ganadera[Financiero $Corrientes]))</f>
        <v>0</v>
      </c>
      <c r="J21" s="130">
        <f>SUMPRODUCT(($C$16=Producción_Ganadera[Movimiento])*($G21=Producción_Ganadera[Categoría Hacienda])*(J$1=Producción_Ganadera[Mes Financiero])*(J$2=Producción_Ganadera[Año Financiero])*(Producción_Ganadera[Financiero $Corrientes]))</f>
        <v>0</v>
      </c>
      <c r="K21" s="131">
        <f>SUMPRODUCT(($C$16=Producción_Ganadera[Movimiento])*($G21=Producción_Ganadera[Categoría Hacienda])*(K$1=Producción_Ganadera[Mes Financiero])*(K$2=Producción_Ganadera[Año Financiero])*(Producción_Ganadera[Financiero $Corrientes]))</f>
        <v>0</v>
      </c>
      <c r="L21" s="130">
        <f>SUMPRODUCT(($C$16=Producción_Ganadera[Movimiento])*($G21=Producción_Ganadera[Categoría Hacienda])*(L$1=Producción_Ganadera[Mes Financiero])*(L$2=Producción_Ganadera[Año Financiero])*(Producción_Ganadera[Financiero $Corrientes]))</f>
        <v>0</v>
      </c>
      <c r="M21" s="131">
        <f>SUMPRODUCT(($C$16=Producción_Ganadera[Movimiento])*($G21=Producción_Ganadera[Categoría Hacienda])*(M$1=Producción_Ganadera[Mes Financiero])*(M$2=Producción_Ganadera[Año Financiero])*(Producción_Ganadera[Financiero $Corrientes]))</f>
        <v>0</v>
      </c>
      <c r="N21" s="130">
        <f>SUMPRODUCT(($C$16=Producción_Ganadera[Movimiento])*($G21=Producción_Ganadera[Categoría Hacienda])*(N$1=Producción_Ganadera[Mes Financiero])*(N$2=Producción_Ganadera[Año Financiero])*(Producción_Ganadera[Financiero $Corrientes]))</f>
        <v>0</v>
      </c>
      <c r="O21" s="131">
        <f>SUMPRODUCT(($C$16=Producción_Ganadera[Movimiento])*($G21=Producción_Ganadera[Categoría Hacienda])*(O$1=Producción_Ganadera[Mes Financiero])*(O$2=Producción_Ganadera[Año Financiero])*(Producción_Ganadera[Financiero $Corrientes]))</f>
        <v>0</v>
      </c>
      <c r="P21" s="130">
        <f>SUMPRODUCT(($C$16=Producción_Ganadera[Movimiento])*($G21=Producción_Ganadera[Categoría Hacienda])*(P$1=Producción_Ganadera[Mes Financiero])*(P$2=Producción_Ganadera[Año Financiero])*(Producción_Ganadera[Financiero $Corrientes]))</f>
        <v>0</v>
      </c>
      <c r="Q21" s="131">
        <f>SUMPRODUCT(($C$16=Producción_Ganadera[Movimiento])*($G21=Producción_Ganadera[Categoría Hacienda])*(Q$1=Producción_Ganadera[Mes Financiero])*(Q$2=Producción_Ganadera[Año Financiero])*(Producción_Ganadera[Financiero $Corrientes]))</f>
        <v>0</v>
      </c>
      <c r="R21" s="130">
        <f>SUMPRODUCT(($C$16=Producción_Ganadera[Movimiento])*($G21=Producción_Ganadera[Categoría Hacienda])*(R$1=Producción_Ganadera[Mes Financiero])*(R$2=Producción_Ganadera[Año Financiero])*(Producción_Ganadera[Financiero $Corrientes]))</f>
        <v>0</v>
      </c>
      <c r="S21" s="131">
        <f>SUMPRODUCT(($C$16=Producción_Ganadera[Movimiento])*($G21=Producción_Ganadera[Categoría Hacienda])*(S$1=Producción_Ganadera[Mes Financiero])*(S$2=Producción_Ganadera[Año Financiero])*(Producción_Ganadera[Financiero $Corrientes]))</f>
        <v>0</v>
      </c>
      <c r="T21" s="130">
        <f>SUMPRODUCT(($C$16=Producción_Ganadera[Movimiento])*($G21=Producción_Ganadera[Categoría Hacienda])*(T$1=Producción_Ganadera[Mes Financiero])*(T$2=Producción_Ganadera[Año Financiero])*(Producción_Ganadera[Financiero $Corrientes]))</f>
        <v>0</v>
      </c>
      <c r="U21" s="131">
        <f>SUMPRODUCT(($C$16=Producción_Ganadera[Movimiento])*($G21=Producción_Ganadera[Categoría Hacienda])*(U$1=Producción_Ganadera[Mes Financiero])*(U$2=Producción_Ganadera[Año Financiero])*(Producción_Ganadera[Financiero $Corrientes]))</f>
        <v>0</v>
      </c>
      <c r="V21" s="130">
        <f>SUMPRODUCT(($C$16=Producción_Ganadera[Movimiento])*($G21=Producción_Ganadera[Categoría Hacienda])*(V$1=Producción_Ganadera[Mes Financiero])*(V$2=Producción_Ganadera[Año Financiero])*(Producción_Ganadera[Financiero $Corrientes]))</f>
        <v>0</v>
      </c>
      <c r="W21" s="131">
        <f>SUMPRODUCT(($C$16=Producción_Ganadera[Movimiento])*($G21=Producción_Ganadera[Categoría Hacienda])*(W$1=Producción_Ganadera[Mes Financiero])*(W$2=Producción_Ganadera[Año Financiero])*(Producción_Ganadera[Financiero $Corrientes]))</f>
        <v>0</v>
      </c>
      <c r="X21" s="130">
        <f>SUMPRODUCT(($C$16=Producción_Ganadera[Movimiento])*($G21=Producción_Ganadera[Categoría Hacienda])*(X$1=Producción_Ganadera[Mes Financiero])*(X$2=Producción_Ganadera[Año Financiero])*(Producción_Ganadera[Financiero $Corrientes]))</f>
        <v>0</v>
      </c>
      <c r="Y21" s="131">
        <f>SUMPRODUCT(($C$16=Producción_Ganadera[Movimiento])*($G21=Producción_Ganadera[Categoría Hacienda])*(Y$1=Producción_Ganadera[Mes Financiero])*(Y$2=Producción_Ganadera[Año Financiero])*(Producción_Ganadera[Financiero $Corrientes]))</f>
        <v>0</v>
      </c>
      <c r="Z21" s="142">
        <f t="shared" si="3"/>
        <v>0</v>
      </c>
      <c r="AC21" s="281"/>
      <c r="AD21" s="281"/>
    </row>
    <row r="22" spans="2:30" hidden="1" outlineLevel="1" x14ac:dyDescent="0.25">
      <c r="F22" s="215">
        <f>IFERROR(MATCH(G22,Produccion_Ganadera[Categoría],0),0)</f>
        <v>6</v>
      </c>
      <c r="G22" s="229" t="str">
        <f>Configuración!AZ10</f>
        <v>Vaquillona 15-27</v>
      </c>
      <c r="H22" s="130">
        <f>SUMPRODUCT(($C$16=Producción_Ganadera[Movimiento])*($G22=Producción_Ganadera[Categoría Hacienda])*(H$1=Producción_Ganadera[Mes Financiero])*(H$2=Producción_Ganadera[Año Financiero])*(Producción_Ganadera[Financiero $Corrientes]))</f>
        <v>0</v>
      </c>
      <c r="I22" s="131">
        <f>SUMPRODUCT(($C$16=Producción_Ganadera[Movimiento])*($G22=Producción_Ganadera[Categoría Hacienda])*(I$1=Producción_Ganadera[Mes Financiero])*(I$2=Producción_Ganadera[Año Financiero])*(Producción_Ganadera[Financiero $Corrientes]))</f>
        <v>0</v>
      </c>
      <c r="J22" s="130">
        <f>SUMPRODUCT(($C$16=Producción_Ganadera[Movimiento])*($G22=Producción_Ganadera[Categoría Hacienda])*(J$1=Producción_Ganadera[Mes Financiero])*(J$2=Producción_Ganadera[Año Financiero])*(Producción_Ganadera[Financiero $Corrientes]))</f>
        <v>0</v>
      </c>
      <c r="K22" s="131">
        <f>SUMPRODUCT(($C$16=Producción_Ganadera[Movimiento])*($G22=Producción_Ganadera[Categoría Hacienda])*(K$1=Producción_Ganadera[Mes Financiero])*(K$2=Producción_Ganadera[Año Financiero])*(Producción_Ganadera[Financiero $Corrientes]))</f>
        <v>0</v>
      </c>
      <c r="L22" s="130">
        <f>SUMPRODUCT(($C$16=Producción_Ganadera[Movimiento])*($G22=Producción_Ganadera[Categoría Hacienda])*(L$1=Producción_Ganadera[Mes Financiero])*(L$2=Producción_Ganadera[Año Financiero])*(Producción_Ganadera[Financiero $Corrientes]))</f>
        <v>0</v>
      </c>
      <c r="M22" s="131">
        <f>SUMPRODUCT(($C$16=Producción_Ganadera[Movimiento])*($G22=Producción_Ganadera[Categoría Hacienda])*(M$1=Producción_Ganadera[Mes Financiero])*(M$2=Producción_Ganadera[Año Financiero])*(Producción_Ganadera[Financiero $Corrientes]))</f>
        <v>0</v>
      </c>
      <c r="N22" s="130">
        <f>SUMPRODUCT(($C$16=Producción_Ganadera[Movimiento])*($G22=Producción_Ganadera[Categoría Hacienda])*(N$1=Producción_Ganadera[Mes Financiero])*(N$2=Producción_Ganadera[Año Financiero])*(Producción_Ganadera[Financiero $Corrientes]))</f>
        <v>0</v>
      </c>
      <c r="O22" s="131">
        <f>SUMPRODUCT(($C$16=Producción_Ganadera[Movimiento])*($G22=Producción_Ganadera[Categoría Hacienda])*(O$1=Producción_Ganadera[Mes Financiero])*(O$2=Producción_Ganadera[Año Financiero])*(Producción_Ganadera[Financiero $Corrientes]))</f>
        <v>0</v>
      </c>
      <c r="P22" s="130">
        <f>SUMPRODUCT(($C$16=Producción_Ganadera[Movimiento])*($G22=Producción_Ganadera[Categoría Hacienda])*(P$1=Producción_Ganadera[Mes Financiero])*(P$2=Producción_Ganadera[Año Financiero])*(Producción_Ganadera[Financiero $Corrientes]))</f>
        <v>0</v>
      </c>
      <c r="Q22" s="131">
        <f>SUMPRODUCT(($C$16=Producción_Ganadera[Movimiento])*($G22=Producción_Ganadera[Categoría Hacienda])*(Q$1=Producción_Ganadera[Mes Financiero])*(Q$2=Producción_Ganadera[Año Financiero])*(Producción_Ganadera[Financiero $Corrientes]))</f>
        <v>0</v>
      </c>
      <c r="R22" s="130">
        <f>SUMPRODUCT(($C$16=Producción_Ganadera[Movimiento])*($G22=Producción_Ganadera[Categoría Hacienda])*(R$1=Producción_Ganadera[Mes Financiero])*(R$2=Producción_Ganadera[Año Financiero])*(Producción_Ganadera[Financiero $Corrientes]))</f>
        <v>0</v>
      </c>
      <c r="S22" s="131">
        <f>SUMPRODUCT(($C$16=Producción_Ganadera[Movimiento])*($G22=Producción_Ganadera[Categoría Hacienda])*(S$1=Producción_Ganadera[Mes Financiero])*(S$2=Producción_Ganadera[Año Financiero])*(Producción_Ganadera[Financiero $Corrientes]))</f>
        <v>0</v>
      </c>
      <c r="T22" s="130">
        <f>SUMPRODUCT(($C$16=Producción_Ganadera[Movimiento])*($G22=Producción_Ganadera[Categoría Hacienda])*(T$1=Producción_Ganadera[Mes Financiero])*(T$2=Producción_Ganadera[Año Financiero])*(Producción_Ganadera[Financiero $Corrientes]))</f>
        <v>0</v>
      </c>
      <c r="U22" s="131">
        <f>SUMPRODUCT(($C$16=Producción_Ganadera[Movimiento])*($G22=Producción_Ganadera[Categoría Hacienda])*(U$1=Producción_Ganadera[Mes Financiero])*(U$2=Producción_Ganadera[Año Financiero])*(Producción_Ganadera[Financiero $Corrientes]))</f>
        <v>0</v>
      </c>
      <c r="V22" s="130">
        <f>SUMPRODUCT(($C$16=Producción_Ganadera[Movimiento])*($G22=Producción_Ganadera[Categoría Hacienda])*(V$1=Producción_Ganadera[Mes Financiero])*(V$2=Producción_Ganadera[Año Financiero])*(Producción_Ganadera[Financiero $Corrientes]))</f>
        <v>0</v>
      </c>
      <c r="W22" s="131">
        <f>SUMPRODUCT(($C$16=Producción_Ganadera[Movimiento])*($G22=Producción_Ganadera[Categoría Hacienda])*(W$1=Producción_Ganadera[Mes Financiero])*(W$2=Producción_Ganadera[Año Financiero])*(Producción_Ganadera[Financiero $Corrientes]))</f>
        <v>0</v>
      </c>
      <c r="X22" s="130">
        <f>SUMPRODUCT(($C$16=Producción_Ganadera[Movimiento])*($G22=Producción_Ganadera[Categoría Hacienda])*(X$1=Producción_Ganadera[Mes Financiero])*(X$2=Producción_Ganadera[Año Financiero])*(Producción_Ganadera[Financiero $Corrientes]))</f>
        <v>0</v>
      </c>
      <c r="Y22" s="131">
        <f>SUMPRODUCT(($C$16=Producción_Ganadera[Movimiento])*($G22=Producción_Ganadera[Categoría Hacienda])*(Y$1=Producción_Ganadera[Mes Financiero])*(Y$2=Producción_Ganadera[Año Financiero])*(Producción_Ganadera[Financiero $Corrientes]))</f>
        <v>0</v>
      </c>
      <c r="Z22" s="142">
        <f t="shared" si="3"/>
        <v>0</v>
      </c>
      <c r="AC22" s="281"/>
      <c r="AD22" s="281"/>
    </row>
    <row r="23" spans="2:30" hidden="1" outlineLevel="1" x14ac:dyDescent="0.25">
      <c r="F23" s="215">
        <f>IFERROR(MATCH(G23,Produccion_Ganadera[Categoría],0),0)</f>
        <v>7</v>
      </c>
      <c r="G23" s="229" t="str">
        <f>Configuración!AZ11</f>
        <v>Ternera</v>
      </c>
      <c r="H23" s="130">
        <f>SUMPRODUCT(($C$16=Producción_Ganadera[Movimiento])*($G23=Producción_Ganadera[Categoría Hacienda])*(H$1=Producción_Ganadera[Mes Financiero])*(H$2=Producción_Ganadera[Año Financiero])*(Producción_Ganadera[Financiero $Corrientes]))</f>
        <v>0</v>
      </c>
      <c r="I23" s="131">
        <f>SUMPRODUCT(($C$16=Producción_Ganadera[Movimiento])*($G23=Producción_Ganadera[Categoría Hacienda])*(I$1=Producción_Ganadera[Mes Financiero])*(I$2=Producción_Ganadera[Año Financiero])*(Producción_Ganadera[Financiero $Corrientes]))</f>
        <v>0</v>
      </c>
      <c r="J23" s="130">
        <f>SUMPRODUCT(($C$16=Producción_Ganadera[Movimiento])*($G23=Producción_Ganadera[Categoría Hacienda])*(J$1=Producción_Ganadera[Mes Financiero])*(J$2=Producción_Ganadera[Año Financiero])*(Producción_Ganadera[Financiero $Corrientes]))</f>
        <v>0</v>
      </c>
      <c r="K23" s="131">
        <f>SUMPRODUCT(($C$16=Producción_Ganadera[Movimiento])*($G23=Producción_Ganadera[Categoría Hacienda])*(K$1=Producción_Ganadera[Mes Financiero])*(K$2=Producción_Ganadera[Año Financiero])*(Producción_Ganadera[Financiero $Corrientes]))</f>
        <v>0</v>
      </c>
      <c r="L23" s="130">
        <f>SUMPRODUCT(($C$16=Producción_Ganadera[Movimiento])*($G23=Producción_Ganadera[Categoría Hacienda])*(L$1=Producción_Ganadera[Mes Financiero])*(L$2=Producción_Ganadera[Año Financiero])*(Producción_Ganadera[Financiero $Corrientes]))</f>
        <v>0</v>
      </c>
      <c r="M23" s="131">
        <f>SUMPRODUCT(($C$16=Producción_Ganadera[Movimiento])*($G23=Producción_Ganadera[Categoría Hacienda])*(M$1=Producción_Ganadera[Mes Financiero])*(M$2=Producción_Ganadera[Año Financiero])*(Producción_Ganadera[Financiero $Corrientes]))</f>
        <v>0</v>
      </c>
      <c r="N23" s="130">
        <f>SUMPRODUCT(($C$16=Producción_Ganadera[Movimiento])*($G23=Producción_Ganadera[Categoría Hacienda])*(N$1=Producción_Ganadera[Mes Financiero])*(N$2=Producción_Ganadera[Año Financiero])*(Producción_Ganadera[Financiero $Corrientes]))</f>
        <v>0</v>
      </c>
      <c r="O23" s="131">
        <f>SUMPRODUCT(($C$16=Producción_Ganadera[Movimiento])*($G23=Producción_Ganadera[Categoría Hacienda])*(O$1=Producción_Ganadera[Mes Financiero])*(O$2=Producción_Ganadera[Año Financiero])*(Producción_Ganadera[Financiero $Corrientes]))</f>
        <v>0</v>
      </c>
      <c r="P23" s="130">
        <f>SUMPRODUCT(($C$16=Producción_Ganadera[Movimiento])*($G23=Producción_Ganadera[Categoría Hacienda])*(P$1=Producción_Ganadera[Mes Financiero])*(P$2=Producción_Ganadera[Año Financiero])*(Producción_Ganadera[Financiero $Corrientes]))</f>
        <v>0</v>
      </c>
      <c r="Q23" s="131">
        <f>SUMPRODUCT(($C$16=Producción_Ganadera[Movimiento])*($G23=Producción_Ganadera[Categoría Hacienda])*(Q$1=Producción_Ganadera[Mes Financiero])*(Q$2=Producción_Ganadera[Año Financiero])*(Producción_Ganadera[Financiero $Corrientes]))</f>
        <v>0</v>
      </c>
      <c r="R23" s="130">
        <f>SUMPRODUCT(($C$16=Producción_Ganadera[Movimiento])*($G23=Producción_Ganadera[Categoría Hacienda])*(R$1=Producción_Ganadera[Mes Financiero])*(R$2=Producción_Ganadera[Año Financiero])*(Producción_Ganadera[Financiero $Corrientes]))</f>
        <v>0</v>
      </c>
      <c r="S23" s="131">
        <f>SUMPRODUCT(($C$16=Producción_Ganadera[Movimiento])*($G23=Producción_Ganadera[Categoría Hacienda])*(S$1=Producción_Ganadera[Mes Financiero])*(S$2=Producción_Ganadera[Año Financiero])*(Producción_Ganadera[Financiero $Corrientes]))</f>
        <v>0</v>
      </c>
      <c r="T23" s="130">
        <f>SUMPRODUCT(($C$16=Producción_Ganadera[Movimiento])*($G23=Producción_Ganadera[Categoría Hacienda])*(T$1=Producción_Ganadera[Mes Financiero])*(T$2=Producción_Ganadera[Año Financiero])*(Producción_Ganadera[Financiero $Corrientes]))</f>
        <v>0</v>
      </c>
      <c r="U23" s="131">
        <f>SUMPRODUCT(($C$16=Producción_Ganadera[Movimiento])*($G23=Producción_Ganadera[Categoría Hacienda])*(U$1=Producción_Ganadera[Mes Financiero])*(U$2=Producción_Ganadera[Año Financiero])*(Producción_Ganadera[Financiero $Corrientes]))</f>
        <v>0</v>
      </c>
      <c r="V23" s="130">
        <f>SUMPRODUCT(($C$16=Producción_Ganadera[Movimiento])*($G23=Producción_Ganadera[Categoría Hacienda])*(V$1=Producción_Ganadera[Mes Financiero])*(V$2=Producción_Ganadera[Año Financiero])*(Producción_Ganadera[Financiero $Corrientes]))</f>
        <v>0</v>
      </c>
      <c r="W23" s="131">
        <f>SUMPRODUCT(($C$16=Producción_Ganadera[Movimiento])*($G23=Producción_Ganadera[Categoría Hacienda])*(W$1=Producción_Ganadera[Mes Financiero])*(W$2=Producción_Ganadera[Año Financiero])*(Producción_Ganadera[Financiero $Corrientes]))</f>
        <v>0</v>
      </c>
      <c r="X23" s="130">
        <f>SUMPRODUCT(($C$16=Producción_Ganadera[Movimiento])*($G23=Producción_Ganadera[Categoría Hacienda])*(X$1=Producción_Ganadera[Mes Financiero])*(X$2=Producción_Ganadera[Año Financiero])*(Producción_Ganadera[Financiero $Corrientes]))</f>
        <v>0</v>
      </c>
      <c r="Y23" s="131">
        <f>SUMPRODUCT(($C$16=Producción_Ganadera[Movimiento])*($G23=Producción_Ganadera[Categoría Hacienda])*(Y$1=Producción_Ganadera[Mes Financiero])*(Y$2=Producción_Ganadera[Año Financiero])*(Producción_Ganadera[Financiero $Corrientes]))</f>
        <v>0</v>
      </c>
      <c r="Z23" s="142">
        <f t="shared" si="3"/>
        <v>0</v>
      </c>
      <c r="AC23" s="281"/>
      <c r="AD23" s="281"/>
    </row>
    <row r="24" spans="2:30" hidden="1" outlineLevel="1" x14ac:dyDescent="0.25">
      <c r="F24" s="215">
        <f>IFERROR(MATCH(G24,Produccion_Ganadera[Categoría],0),0)</f>
        <v>8</v>
      </c>
      <c r="G24" s="229" t="str">
        <f>Configuración!AZ12</f>
        <v>Ternero</v>
      </c>
      <c r="H24" s="130">
        <f>SUMPRODUCT(($C$16=Producción_Ganadera[Movimiento])*($G24=Producción_Ganadera[Categoría Hacienda])*(H$1=Producción_Ganadera[Mes Financiero])*(H$2=Producción_Ganadera[Año Financiero])*(Producción_Ganadera[Financiero $Corrientes]))</f>
        <v>0</v>
      </c>
      <c r="I24" s="131">
        <f>SUMPRODUCT(($C$16=Producción_Ganadera[Movimiento])*($G24=Producción_Ganadera[Categoría Hacienda])*(I$1=Producción_Ganadera[Mes Financiero])*(I$2=Producción_Ganadera[Año Financiero])*(Producción_Ganadera[Financiero $Corrientes]))</f>
        <v>0</v>
      </c>
      <c r="J24" s="130">
        <f>SUMPRODUCT(($C$16=Producción_Ganadera[Movimiento])*($G24=Producción_Ganadera[Categoría Hacienda])*(J$1=Producción_Ganadera[Mes Financiero])*(J$2=Producción_Ganadera[Año Financiero])*(Producción_Ganadera[Financiero $Corrientes]))</f>
        <v>0</v>
      </c>
      <c r="K24" s="131">
        <f>SUMPRODUCT(($C$16=Producción_Ganadera[Movimiento])*($G24=Producción_Ganadera[Categoría Hacienda])*(K$1=Producción_Ganadera[Mes Financiero])*(K$2=Producción_Ganadera[Año Financiero])*(Producción_Ganadera[Financiero $Corrientes]))</f>
        <v>0</v>
      </c>
      <c r="L24" s="130">
        <f>SUMPRODUCT(($C$16=Producción_Ganadera[Movimiento])*($G24=Producción_Ganadera[Categoría Hacienda])*(L$1=Producción_Ganadera[Mes Financiero])*(L$2=Producción_Ganadera[Año Financiero])*(Producción_Ganadera[Financiero $Corrientes]))</f>
        <v>0</v>
      </c>
      <c r="M24" s="131">
        <f>SUMPRODUCT(($C$16=Producción_Ganadera[Movimiento])*($G24=Producción_Ganadera[Categoría Hacienda])*(M$1=Producción_Ganadera[Mes Financiero])*(M$2=Producción_Ganadera[Año Financiero])*(Producción_Ganadera[Financiero $Corrientes]))</f>
        <v>0</v>
      </c>
      <c r="N24" s="130">
        <f>SUMPRODUCT(($C$16=Producción_Ganadera[Movimiento])*($G24=Producción_Ganadera[Categoría Hacienda])*(N$1=Producción_Ganadera[Mes Financiero])*(N$2=Producción_Ganadera[Año Financiero])*(Producción_Ganadera[Financiero $Corrientes]))</f>
        <v>0</v>
      </c>
      <c r="O24" s="131">
        <f>SUMPRODUCT(($C$16=Producción_Ganadera[Movimiento])*($G24=Producción_Ganadera[Categoría Hacienda])*(O$1=Producción_Ganadera[Mes Financiero])*(O$2=Producción_Ganadera[Año Financiero])*(Producción_Ganadera[Financiero $Corrientes]))</f>
        <v>0</v>
      </c>
      <c r="P24" s="130">
        <f>SUMPRODUCT(($C$16=Producción_Ganadera[Movimiento])*($G24=Producción_Ganadera[Categoría Hacienda])*(P$1=Producción_Ganadera[Mes Financiero])*(P$2=Producción_Ganadera[Año Financiero])*(Producción_Ganadera[Financiero $Corrientes]))</f>
        <v>0</v>
      </c>
      <c r="Q24" s="131">
        <f>SUMPRODUCT(($C$16=Producción_Ganadera[Movimiento])*($G24=Producción_Ganadera[Categoría Hacienda])*(Q$1=Producción_Ganadera[Mes Financiero])*(Q$2=Producción_Ganadera[Año Financiero])*(Producción_Ganadera[Financiero $Corrientes]))</f>
        <v>0</v>
      </c>
      <c r="R24" s="130">
        <f>SUMPRODUCT(($C$16=Producción_Ganadera[Movimiento])*($G24=Producción_Ganadera[Categoría Hacienda])*(R$1=Producción_Ganadera[Mes Financiero])*(R$2=Producción_Ganadera[Año Financiero])*(Producción_Ganadera[Financiero $Corrientes]))</f>
        <v>0</v>
      </c>
      <c r="S24" s="131">
        <f>SUMPRODUCT(($C$16=Producción_Ganadera[Movimiento])*($G24=Producción_Ganadera[Categoría Hacienda])*(S$1=Producción_Ganadera[Mes Financiero])*(S$2=Producción_Ganadera[Año Financiero])*(Producción_Ganadera[Financiero $Corrientes]))</f>
        <v>0</v>
      </c>
      <c r="T24" s="130">
        <f>SUMPRODUCT(($C$16=Producción_Ganadera[Movimiento])*($G24=Producción_Ganadera[Categoría Hacienda])*(T$1=Producción_Ganadera[Mes Financiero])*(T$2=Producción_Ganadera[Año Financiero])*(Producción_Ganadera[Financiero $Corrientes]))</f>
        <v>0</v>
      </c>
      <c r="U24" s="131">
        <f>SUMPRODUCT(($C$16=Producción_Ganadera[Movimiento])*($G24=Producción_Ganadera[Categoría Hacienda])*(U$1=Producción_Ganadera[Mes Financiero])*(U$2=Producción_Ganadera[Año Financiero])*(Producción_Ganadera[Financiero $Corrientes]))</f>
        <v>0</v>
      </c>
      <c r="V24" s="130">
        <f>SUMPRODUCT(($C$16=Producción_Ganadera[Movimiento])*($G24=Producción_Ganadera[Categoría Hacienda])*(V$1=Producción_Ganadera[Mes Financiero])*(V$2=Producción_Ganadera[Año Financiero])*(Producción_Ganadera[Financiero $Corrientes]))</f>
        <v>0</v>
      </c>
      <c r="W24" s="131">
        <f>SUMPRODUCT(($C$16=Producción_Ganadera[Movimiento])*($G24=Producción_Ganadera[Categoría Hacienda])*(W$1=Producción_Ganadera[Mes Financiero])*(W$2=Producción_Ganadera[Año Financiero])*(Producción_Ganadera[Financiero $Corrientes]))</f>
        <v>0</v>
      </c>
      <c r="X24" s="130">
        <f>SUMPRODUCT(($C$16=Producción_Ganadera[Movimiento])*($G24=Producción_Ganadera[Categoría Hacienda])*(X$1=Producción_Ganadera[Mes Financiero])*(X$2=Producción_Ganadera[Año Financiero])*(Producción_Ganadera[Financiero $Corrientes]))</f>
        <v>0</v>
      </c>
      <c r="Y24" s="131">
        <f>SUMPRODUCT(($C$16=Producción_Ganadera[Movimiento])*($G24=Producción_Ganadera[Categoría Hacienda])*(Y$1=Producción_Ganadera[Mes Financiero])*(Y$2=Producción_Ganadera[Año Financiero])*(Producción_Ganadera[Financiero $Corrientes]))</f>
        <v>0</v>
      </c>
      <c r="Z24" s="142">
        <f t="shared" si="3"/>
        <v>0</v>
      </c>
      <c r="AC24" s="281"/>
      <c r="AD24" s="281"/>
    </row>
    <row r="25" spans="2:30" hidden="1" outlineLevel="1" x14ac:dyDescent="0.25">
      <c r="F25" s="215">
        <f>IFERROR(MATCH(G25,Produccion_Ganadera[Categoría],0),0)</f>
        <v>9</v>
      </c>
      <c r="G25" s="229" t="str">
        <f>Configuración!AZ13</f>
        <v>Toro</v>
      </c>
      <c r="H25" s="130">
        <f>SUMPRODUCT(($C$16=Producción_Ganadera[Movimiento])*($G25=Producción_Ganadera[Categoría Hacienda])*(H$1=Producción_Ganadera[Mes Financiero])*(H$2=Producción_Ganadera[Año Financiero])*(Producción_Ganadera[Financiero $Corrientes]))</f>
        <v>0</v>
      </c>
      <c r="I25" s="131">
        <f>SUMPRODUCT(($C$16=Producción_Ganadera[Movimiento])*($G25=Producción_Ganadera[Categoría Hacienda])*(I$1=Producción_Ganadera[Mes Financiero])*(I$2=Producción_Ganadera[Año Financiero])*(Producción_Ganadera[Financiero $Corrientes]))</f>
        <v>0</v>
      </c>
      <c r="J25" s="130">
        <f>SUMPRODUCT(($C$16=Producción_Ganadera[Movimiento])*($G25=Producción_Ganadera[Categoría Hacienda])*(J$1=Producción_Ganadera[Mes Financiero])*(J$2=Producción_Ganadera[Año Financiero])*(Producción_Ganadera[Financiero $Corrientes]))</f>
        <v>0</v>
      </c>
      <c r="K25" s="131">
        <f>SUMPRODUCT(($C$16=Producción_Ganadera[Movimiento])*($G25=Producción_Ganadera[Categoría Hacienda])*(K$1=Producción_Ganadera[Mes Financiero])*(K$2=Producción_Ganadera[Año Financiero])*(Producción_Ganadera[Financiero $Corrientes]))</f>
        <v>0</v>
      </c>
      <c r="L25" s="130">
        <f>SUMPRODUCT(($C$16=Producción_Ganadera[Movimiento])*($G25=Producción_Ganadera[Categoría Hacienda])*(L$1=Producción_Ganadera[Mes Financiero])*(L$2=Producción_Ganadera[Año Financiero])*(Producción_Ganadera[Financiero $Corrientes]))</f>
        <v>0</v>
      </c>
      <c r="M25" s="131">
        <f>SUMPRODUCT(($C$16=Producción_Ganadera[Movimiento])*($G25=Producción_Ganadera[Categoría Hacienda])*(M$1=Producción_Ganadera[Mes Financiero])*(M$2=Producción_Ganadera[Año Financiero])*(Producción_Ganadera[Financiero $Corrientes]))</f>
        <v>0</v>
      </c>
      <c r="N25" s="130">
        <f>SUMPRODUCT(($C$16=Producción_Ganadera[Movimiento])*($G25=Producción_Ganadera[Categoría Hacienda])*(N$1=Producción_Ganadera[Mes Financiero])*(N$2=Producción_Ganadera[Año Financiero])*(Producción_Ganadera[Financiero $Corrientes]))</f>
        <v>0</v>
      </c>
      <c r="O25" s="131">
        <f>SUMPRODUCT(($C$16=Producción_Ganadera[Movimiento])*($G25=Producción_Ganadera[Categoría Hacienda])*(O$1=Producción_Ganadera[Mes Financiero])*(O$2=Producción_Ganadera[Año Financiero])*(Producción_Ganadera[Financiero $Corrientes]))</f>
        <v>0</v>
      </c>
      <c r="P25" s="130">
        <f>SUMPRODUCT(($C$16=Producción_Ganadera[Movimiento])*($G25=Producción_Ganadera[Categoría Hacienda])*(P$1=Producción_Ganadera[Mes Financiero])*(P$2=Producción_Ganadera[Año Financiero])*(Producción_Ganadera[Financiero $Corrientes]))</f>
        <v>0</v>
      </c>
      <c r="Q25" s="131">
        <f>SUMPRODUCT(($C$16=Producción_Ganadera[Movimiento])*($G25=Producción_Ganadera[Categoría Hacienda])*(Q$1=Producción_Ganadera[Mes Financiero])*(Q$2=Producción_Ganadera[Año Financiero])*(Producción_Ganadera[Financiero $Corrientes]))</f>
        <v>0</v>
      </c>
      <c r="R25" s="130">
        <f>SUMPRODUCT(($C$16=Producción_Ganadera[Movimiento])*($G25=Producción_Ganadera[Categoría Hacienda])*(R$1=Producción_Ganadera[Mes Financiero])*(R$2=Producción_Ganadera[Año Financiero])*(Producción_Ganadera[Financiero $Corrientes]))</f>
        <v>0</v>
      </c>
      <c r="S25" s="131">
        <f>SUMPRODUCT(($C$16=Producción_Ganadera[Movimiento])*($G25=Producción_Ganadera[Categoría Hacienda])*(S$1=Producción_Ganadera[Mes Financiero])*(S$2=Producción_Ganadera[Año Financiero])*(Producción_Ganadera[Financiero $Corrientes]))</f>
        <v>0</v>
      </c>
      <c r="T25" s="130">
        <f>SUMPRODUCT(($C$16=Producción_Ganadera[Movimiento])*($G25=Producción_Ganadera[Categoría Hacienda])*(T$1=Producción_Ganadera[Mes Financiero])*(T$2=Producción_Ganadera[Año Financiero])*(Producción_Ganadera[Financiero $Corrientes]))</f>
        <v>0</v>
      </c>
      <c r="U25" s="131">
        <f>SUMPRODUCT(($C$16=Producción_Ganadera[Movimiento])*($G25=Producción_Ganadera[Categoría Hacienda])*(U$1=Producción_Ganadera[Mes Financiero])*(U$2=Producción_Ganadera[Año Financiero])*(Producción_Ganadera[Financiero $Corrientes]))</f>
        <v>0</v>
      </c>
      <c r="V25" s="130">
        <f>SUMPRODUCT(($C$16=Producción_Ganadera[Movimiento])*($G25=Producción_Ganadera[Categoría Hacienda])*(V$1=Producción_Ganadera[Mes Financiero])*(V$2=Producción_Ganadera[Año Financiero])*(Producción_Ganadera[Financiero $Corrientes]))</f>
        <v>0</v>
      </c>
      <c r="W25" s="131">
        <f>SUMPRODUCT(($C$16=Producción_Ganadera[Movimiento])*($G25=Producción_Ganadera[Categoría Hacienda])*(W$1=Producción_Ganadera[Mes Financiero])*(W$2=Producción_Ganadera[Año Financiero])*(Producción_Ganadera[Financiero $Corrientes]))</f>
        <v>0</v>
      </c>
      <c r="X25" s="130">
        <f>SUMPRODUCT(($C$16=Producción_Ganadera[Movimiento])*($G25=Producción_Ganadera[Categoría Hacienda])*(X$1=Producción_Ganadera[Mes Financiero])*(X$2=Producción_Ganadera[Año Financiero])*(Producción_Ganadera[Financiero $Corrientes]))</f>
        <v>0</v>
      </c>
      <c r="Y25" s="131">
        <f>SUMPRODUCT(($C$16=Producción_Ganadera[Movimiento])*($G25=Producción_Ganadera[Categoría Hacienda])*(Y$1=Producción_Ganadera[Mes Financiero])*(Y$2=Producción_Ganadera[Año Financiero])*(Producción_Ganadera[Financiero $Corrientes]))</f>
        <v>0</v>
      </c>
      <c r="Z25" s="142">
        <f t="shared" si="3"/>
        <v>0</v>
      </c>
      <c r="AC25" s="281"/>
      <c r="AD25" s="281"/>
    </row>
    <row r="26" spans="2:30" hidden="1" outlineLevel="1" x14ac:dyDescent="0.25">
      <c r="F26" s="215">
        <f>IFERROR(MATCH(G26,Produccion_Ganadera[Categoría],0),0)</f>
        <v>10</v>
      </c>
      <c r="G26" s="229" t="str">
        <f>Configuración!AZ14</f>
        <v>Toro Descarte</v>
      </c>
      <c r="H26" s="130">
        <f>SUMPRODUCT(($C$16=Producción_Ganadera[Movimiento])*($G26=Producción_Ganadera[Categoría Hacienda])*(H$1=Producción_Ganadera[Mes Financiero])*(H$2=Producción_Ganadera[Año Financiero])*(Producción_Ganadera[Financiero $Corrientes]))</f>
        <v>0</v>
      </c>
      <c r="I26" s="131">
        <f>SUMPRODUCT(($C$16=Producción_Ganadera[Movimiento])*($G26=Producción_Ganadera[Categoría Hacienda])*(I$1=Producción_Ganadera[Mes Financiero])*(I$2=Producción_Ganadera[Año Financiero])*(Producción_Ganadera[Financiero $Corrientes]))</f>
        <v>0</v>
      </c>
      <c r="J26" s="130">
        <f>SUMPRODUCT(($C$16=Producción_Ganadera[Movimiento])*($G26=Producción_Ganadera[Categoría Hacienda])*(J$1=Producción_Ganadera[Mes Financiero])*(J$2=Producción_Ganadera[Año Financiero])*(Producción_Ganadera[Financiero $Corrientes]))</f>
        <v>0</v>
      </c>
      <c r="K26" s="131">
        <f>SUMPRODUCT(($C$16=Producción_Ganadera[Movimiento])*($G26=Producción_Ganadera[Categoría Hacienda])*(K$1=Producción_Ganadera[Mes Financiero])*(K$2=Producción_Ganadera[Año Financiero])*(Producción_Ganadera[Financiero $Corrientes]))</f>
        <v>0</v>
      </c>
      <c r="L26" s="130">
        <f>SUMPRODUCT(($C$16=Producción_Ganadera[Movimiento])*($G26=Producción_Ganadera[Categoría Hacienda])*(L$1=Producción_Ganadera[Mes Financiero])*(L$2=Producción_Ganadera[Año Financiero])*(Producción_Ganadera[Financiero $Corrientes]))</f>
        <v>0</v>
      </c>
      <c r="M26" s="131">
        <f>SUMPRODUCT(($C$16=Producción_Ganadera[Movimiento])*($G26=Producción_Ganadera[Categoría Hacienda])*(M$1=Producción_Ganadera[Mes Financiero])*(M$2=Producción_Ganadera[Año Financiero])*(Producción_Ganadera[Financiero $Corrientes]))</f>
        <v>0</v>
      </c>
      <c r="N26" s="130">
        <f>SUMPRODUCT(($C$16=Producción_Ganadera[Movimiento])*($G26=Producción_Ganadera[Categoría Hacienda])*(N$1=Producción_Ganadera[Mes Financiero])*(N$2=Producción_Ganadera[Año Financiero])*(Producción_Ganadera[Financiero $Corrientes]))</f>
        <v>0</v>
      </c>
      <c r="O26" s="131">
        <f>SUMPRODUCT(($C$16=Producción_Ganadera[Movimiento])*($G26=Producción_Ganadera[Categoría Hacienda])*(O$1=Producción_Ganadera[Mes Financiero])*(O$2=Producción_Ganadera[Año Financiero])*(Producción_Ganadera[Financiero $Corrientes]))</f>
        <v>0</v>
      </c>
      <c r="P26" s="130">
        <f>SUMPRODUCT(($C$16=Producción_Ganadera[Movimiento])*($G26=Producción_Ganadera[Categoría Hacienda])*(P$1=Producción_Ganadera[Mes Financiero])*(P$2=Producción_Ganadera[Año Financiero])*(Producción_Ganadera[Financiero $Corrientes]))</f>
        <v>0</v>
      </c>
      <c r="Q26" s="131">
        <f>SUMPRODUCT(($C$16=Producción_Ganadera[Movimiento])*($G26=Producción_Ganadera[Categoría Hacienda])*(Q$1=Producción_Ganadera[Mes Financiero])*(Q$2=Producción_Ganadera[Año Financiero])*(Producción_Ganadera[Financiero $Corrientes]))</f>
        <v>0</v>
      </c>
      <c r="R26" s="130">
        <f>SUMPRODUCT(($C$16=Producción_Ganadera[Movimiento])*($G26=Producción_Ganadera[Categoría Hacienda])*(R$1=Producción_Ganadera[Mes Financiero])*(R$2=Producción_Ganadera[Año Financiero])*(Producción_Ganadera[Financiero $Corrientes]))</f>
        <v>0</v>
      </c>
      <c r="S26" s="131">
        <f>SUMPRODUCT(($C$16=Producción_Ganadera[Movimiento])*($G26=Producción_Ganadera[Categoría Hacienda])*(S$1=Producción_Ganadera[Mes Financiero])*(S$2=Producción_Ganadera[Año Financiero])*(Producción_Ganadera[Financiero $Corrientes]))</f>
        <v>0</v>
      </c>
      <c r="T26" s="130">
        <f>SUMPRODUCT(($C$16=Producción_Ganadera[Movimiento])*($G26=Producción_Ganadera[Categoría Hacienda])*(T$1=Producción_Ganadera[Mes Financiero])*(T$2=Producción_Ganadera[Año Financiero])*(Producción_Ganadera[Financiero $Corrientes]))</f>
        <v>0</v>
      </c>
      <c r="U26" s="131">
        <f>SUMPRODUCT(($C$16=Producción_Ganadera[Movimiento])*($G26=Producción_Ganadera[Categoría Hacienda])*(U$1=Producción_Ganadera[Mes Financiero])*(U$2=Producción_Ganadera[Año Financiero])*(Producción_Ganadera[Financiero $Corrientes]))</f>
        <v>0</v>
      </c>
      <c r="V26" s="130">
        <f>SUMPRODUCT(($C$16=Producción_Ganadera[Movimiento])*($G26=Producción_Ganadera[Categoría Hacienda])*(V$1=Producción_Ganadera[Mes Financiero])*(V$2=Producción_Ganadera[Año Financiero])*(Producción_Ganadera[Financiero $Corrientes]))</f>
        <v>0</v>
      </c>
      <c r="W26" s="131">
        <f>SUMPRODUCT(($C$16=Producción_Ganadera[Movimiento])*($G26=Producción_Ganadera[Categoría Hacienda])*(W$1=Producción_Ganadera[Mes Financiero])*(W$2=Producción_Ganadera[Año Financiero])*(Producción_Ganadera[Financiero $Corrientes]))</f>
        <v>0</v>
      </c>
      <c r="X26" s="130">
        <f>SUMPRODUCT(($C$16=Producción_Ganadera[Movimiento])*($G26=Producción_Ganadera[Categoría Hacienda])*(X$1=Producción_Ganadera[Mes Financiero])*(X$2=Producción_Ganadera[Año Financiero])*(Producción_Ganadera[Financiero $Corrientes]))</f>
        <v>0</v>
      </c>
      <c r="Y26" s="131">
        <f>SUMPRODUCT(($C$16=Producción_Ganadera[Movimiento])*($G26=Producción_Ganadera[Categoría Hacienda])*(Y$1=Producción_Ganadera[Mes Financiero])*(Y$2=Producción_Ganadera[Año Financiero])*(Producción_Ganadera[Financiero $Corrientes]))</f>
        <v>0</v>
      </c>
      <c r="Z26" s="142">
        <f t="shared" si="3"/>
        <v>0</v>
      </c>
      <c r="AC26" s="281"/>
      <c r="AD26" s="281"/>
    </row>
    <row r="27" spans="2:30" hidden="1" outlineLevel="1" x14ac:dyDescent="0.25">
      <c r="F27" s="215">
        <f>IFERROR(MATCH(G27,Produccion_Ganadera[Categoría],0),0)</f>
        <v>11</v>
      </c>
      <c r="G27" s="229" t="str">
        <f>Configuración!AZ15</f>
        <v>Novillo 06-15</v>
      </c>
      <c r="H27" s="130">
        <f>SUMPRODUCT(($C$16=Producción_Ganadera[Movimiento])*($G27=Producción_Ganadera[Categoría Hacienda])*(H$1=Producción_Ganadera[Mes Financiero])*(H$2=Producción_Ganadera[Año Financiero])*(Producción_Ganadera[Financiero $Corrientes]))</f>
        <v>0</v>
      </c>
      <c r="I27" s="131">
        <f>SUMPRODUCT(($C$16=Producción_Ganadera[Movimiento])*($G27=Producción_Ganadera[Categoría Hacienda])*(I$1=Producción_Ganadera[Mes Financiero])*(I$2=Producción_Ganadera[Año Financiero])*(Producción_Ganadera[Financiero $Corrientes]))</f>
        <v>0</v>
      </c>
      <c r="J27" s="130">
        <f>SUMPRODUCT(($C$16=Producción_Ganadera[Movimiento])*($G27=Producción_Ganadera[Categoría Hacienda])*(J$1=Producción_Ganadera[Mes Financiero])*(J$2=Producción_Ganadera[Año Financiero])*(Producción_Ganadera[Financiero $Corrientes]))</f>
        <v>0</v>
      </c>
      <c r="K27" s="131">
        <f>SUMPRODUCT(($C$16=Producción_Ganadera[Movimiento])*($G27=Producción_Ganadera[Categoría Hacienda])*(K$1=Producción_Ganadera[Mes Financiero])*(K$2=Producción_Ganadera[Año Financiero])*(Producción_Ganadera[Financiero $Corrientes]))</f>
        <v>0</v>
      </c>
      <c r="L27" s="130">
        <f>SUMPRODUCT(($C$16=Producción_Ganadera[Movimiento])*($G27=Producción_Ganadera[Categoría Hacienda])*(L$1=Producción_Ganadera[Mes Financiero])*(L$2=Producción_Ganadera[Año Financiero])*(Producción_Ganadera[Financiero $Corrientes]))</f>
        <v>0</v>
      </c>
      <c r="M27" s="131">
        <f>SUMPRODUCT(($C$16=Producción_Ganadera[Movimiento])*($G27=Producción_Ganadera[Categoría Hacienda])*(M$1=Producción_Ganadera[Mes Financiero])*(M$2=Producción_Ganadera[Año Financiero])*(Producción_Ganadera[Financiero $Corrientes]))</f>
        <v>0</v>
      </c>
      <c r="N27" s="130">
        <f>SUMPRODUCT(($C$16=Producción_Ganadera[Movimiento])*($G27=Producción_Ganadera[Categoría Hacienda])*(N$1=Producción_Ganadera[Mes Financiero])*(N$2=Producción_Ganadera[Año Financiero])*(Producción_Ganadera[Financiero $Corrientes]))</f>
        <v>0</v>
      </c>
      <c r="O27" s="131">
        <f>SUMPRODUCT(($C$16=Producción_Ganadera[Movimiento])*($G27=Producción_Ganadera[Categoría Hacienda])*(O$1=Producción_Ganadera[Mes Financiero])*(O$2=Producción_Ganadera[Año Financiero])*(Producción_Ganadera[Financiero $Corrientes]))</f>
        <v>0</v>
      </c>
      <c r="P27" s="130">
        <f>SUMPRODUCT(($C$16=Producción_Ganadera[Movimiento])*($G27=Producción_Ganadera[Categoría Hacienda])*(P$1=Producción_Ganadera[Mes Financiero])*(P$2=Producción_Ganadera[Año Financiero])*(Producción_Ganadera[Financiero $Corrientes]))</f>
        <v>0</v>
      </c>
      <c r="Q27" s="131">
        <f>SUMPRODUCT(($C$16=Producción_Ganadera[Movimiento])*($G27=Producción_Ganadera[Categoría Hacienda])*(Q$1=Producción_Ganadera[Mes Financiero])*(Q$2=Producción_Ganadera[Año Financiero])*(Producción_Ganadera[Financiero $Corrientes]))</f>
        <v>0</v>
      </c>
      <c r="R27" s="130">
        <f>SUMPRODUCT(($C$16=Producción_Ganadera[Movimiento])*($G27=Producción_Ganadera[Categoría Hacienda])*(R$1=Producción_Ganadera[Mes Financiero])*(R$2=Producción_Ganadera[Año Financiero])*(Producción_Ganadera[Financiero $Corrientes]))</f>
        <v>0</v>
      </c>
      <c r="S27" s="131">
        <f>SUMPRODUCT(($C$16=Producción_Ganadera[Movimiento])*($G27=Producción_Ganadera[Categoría Hacienda])*(S$1=Producción_Ganadera[Mes Financiero])*(S$2=Producción_Ganadera[Año Financiero])*(Producción_Ganadera[Financiero $Corrientes]))</f>
        <v>0</v>
      </c>
      <c r="T27" s="130">
        <f>SUMPRODUCT(($C$16=Producción_Ganadera[Movimiento])*($G27=Producción_Ganadera[Categoría Hacienda])*(T$1=Producción_Ganadera[Mes Financiero])*(T$2=Producción_Ganadera[Año Financiero])*(Producción_Ganadera[Financiero $Corrientes]))</f>
        <v>0</v>
      </c>
      <c r="U27" s="131">
        <f>SUMPRODUCT(($C$16=Producción_Ganadera[Movimiento])*($G27=Producción_Ganadera[Categoría Hacienda])*(U$1=Producción_Ganadera[Mes Financiero])*(U$2=Producción_Ganadera[Año Financiero])*(Producción_Ganadera[Financiero $Corrientes]))</f>
        <v>0</v>
      </c>
      <c r="V27" s="130">
        <f>SUMPRODUCT(($C$16=Producción_Ganadera[Movimiento])*($G27=Producción_Ganadera[Categoría Hacienda])*(V$1=Producción_Ganadera[Mes Financiero])*(V$2=Producción_Ganadera[Año Financiero])*(Producción_Ganadera[Financiero $Corrientes]))</f>
        <v>0</v>
      </c>
      <c r="W27" s="131">
        <f>SUMPRODUCT(($C$16=Producción_Ganadera[Movimiento])*($G27=Producción_Ganadera[Categoría Hacienda])*(W$1=Producción_Ganadera[Mes Financiero])*(W$2=Producción_Ganadera[Año Financiero])*(Producción_Ganadera[Financiero $Corrientes]))</f>
        <v>0</v>
      </c>
      <c r="X27" s="130">
        <f>SUMPRODUCT(($C$16=Producción_Ganadera[Movimiento])*($G27=Producción_Ganadera[Categoría Hacienda])*(X$1=Producción_Ganadera[Mes Financiero])*(X$2=Producción_Ganadera[Año Financiero])*(Producción_Ganadera[Financiero $Corrientes]))</f>
        <v>0</v>
      </c>
      <c r="Y27" s="131">
        <f>SUMPRODUCT(($C$16=Producción_Ganadera[Movimiento])*($G27=Producción_Ganadera[Categoría Hacienda])*(Y$1=Producción_Ganadera[Mes Financiero])*(Y$2=Producción_Ganadera[Año Financiero])*(Producción_Ganadera[Financiero $Corrientes]))</f>
        <v>0</v>
      </c>
      <c r="Z27" s="142">
        <f t="shared" si="3"/>
        <v>0</v>
      </c>
      <c r="AC27" s="281"/>
      <c r="AD27" s="281"/>
    </row>
    <row r="28" spans="2:30" hidden="1" outlineLevel="1" x14ac:dyDescent="0.25">
      <c r="B28" s="166" t="s">
        <v>101</v>
      </c>
      <c r="F28" s="216">
        <f>IFERROR(MATCH(G28,Produccion_Ganadera[Categoría],0),0)</f>
        <v>12</v>
      </c>
      <c r="G28" s="230" t="str">
        <f>Configuración!AZ16</f>
        <v>Novillo 15-27</v>
      </c>
      <c r="H28" s="132">
        <f>SUMPRODUCT(($C$16=Producción_Ganadera[Movimiento])*($G28=Producción_Ganadera[Categoría Hacienda])*(H$1=Producción_Ganadera[Mes Financiero])*(H$2=Producción_Ganadera[Año Financiero])*(Producción_Ganadera[Financiero $Corrientes]))</f>
        <v>0</v>
      </c>
      <c r="I28" s="133">
        <f>SUMPRODUCT(($C$16=Producción_Ganadera[Movimiento])*($G28=Producción_Ganadera[Categoría Hacienda])*(I$1=Producción_Ganadera[Mes Financiero])*(I$2=Producción_Ganadera[Año Financiero])*(Producción_Ganadera[Financiero $Corrientes]))</f>
        <v>0</v>
      </c>
      <c r="J28" s="132">
        <f>SUMPRODUCT(($C$16=Producción_Ganadera[Movimiento])*($G28=Producción_Ganadera[Categoría Hacienda])*(J$1=Producción_Ganadera[Mes Financiero])*(J$2=Producción_Ganadera[Año Financiero])*(Producción_Ganadera[Financiero $Corrientes]))</f>
        <v>0</v>
      </c>
      <c r="K28" s="133">
        <f>SUMPRODUCT(($C$16=Producción_Ganadera[Movimiento])*($G28=Producción_Ganadera[Categoría Hacienda])*(K$1=Producción_Ganadera[Mes Financiero])*(K$2=Producción_Ganadera[Año Financiero])*(Producción_Ganadera[Financiero $Corrientes]))</f>
        <v>0</v>
      </c>
      <c r="L28" s="132">
        <f>SUMPRODUCT(($C$16=Producción_Ganadera[Movimiento])*($G28=Producción_Ganadera[Categoría Hacienda])*(L$1=Producción_Ganadera[Mes Financiero])*(L$2=Producción_Ganadera[Año Financiero])*(Producción_Ganadera[Financiero $Corrientes]))</f>
        <v>0</v>
      </c>
      <c r="M28" s="133">
        <f>SUMPRODUCT(($C$16=Producción_Ganadera[Movimiento])*($G28=Producción_Ganadera[Categoría Hacienda])*(M$1=Producción_Ganadera[Mes Financiero])*(M$2=Producción_Ganadera[Año Financiero])*(Producción_Ganadera[Financiero $Corrientes]))</f>
        <v>0</v>
      </c>
      <c r="N28" s="132">
        <f>SUMPRODUCT(($C$16=Producción_Ganadera[Movimiento])*($G28=Producción_Ganadera[Categoría Hacienda])*(N$1=Producción_Ganadera[Mes Financiero])*(N$2=Producción_Ganadera[Año Financiero])*(Producción_Ganadera[Financiero $Corrientes]))</f>
        <v>0</v>
      </c>
      <c r="O28" s="133">
        <f>SUMPRODUCT(($C$16=Producción_Ganadera[Movimiento])*($G28=Producción_Ganadera[Categoría Hacienda])*(O$1=Producción_Ganadera[Mes Financiero])*(O$2=Producción_Ganadera[Año Financiero])*(Producción_Ganadera[Financiero $Corrientes]))</f>
        <v>0</v>
      </c>
      <c r="P28" s="132">
        <f>SUMPRODUCT(($C$16=Producción_Ganadera[Movimiento])*($G28=Producción_Ganadera[Categoría Hacienda])*(P$1=Producción_Ganadera[Mes Financiero])*(P$2=Producción_Ganadera[Año Financiero])*(Producción_Ganadera[Financiero $Corrientes]))</f>
        <v>0</v>
      </c>
      <c r="Q28" s="133">
        <f>SUMPRODUCT(($C$16=Producción_Ganadera[Movimiento])*($G28=Producción_Ganadera[Categoría Hacienda])*(Q$1=Producción_Ganadera[Mes Financiero])*(Q$2=Producción_Ganadera[Año Financiero])*(Producción_Ganadera[Financiero $Corrientes]))</f>
        <v>0</v>
      </c>
      <c r="R28" s="132">
        <f>SUMPRODUCT(($C$16=Producción_Ganadera[Movimiento])*($G28=Producción_Ganadera[Categoría Hacienda])*(R$1=Producción_Ganadera[Mes Financiero])*(R$2=Producción_Ganadera[Año Financiero])*(Producción_Ganadera[Financiero $Corrientes]))</f>
        <v>0</v>
      </c>
      <c r="S28" s="133">
        <f>SUMPRODUCT(($C$16=Producción_Ganadera[Movimiento])*($G28=Producción_Ganadera[Categoría Hacienda])*(S$1=Producción_Ganadera[Mes Financiero])*(S$2=Producción_Ganadera[Año Financiero])*(Producción_Ganadera[Financiero $Corrientes]))</f>
        <v>0</v>
      </c>
      <c r="T28" s="132">
        <f>SUMPRODUCT(($C$16=Producción_Ganadera[Movimiento])*($G28=Producción_Ganadera[Categoría Hacienda])*(T$1=Producción_Ganadera[Mes Financiero])*(T$2=Producción_Ganadera[Año Financiero])*(Producción_Ganadera[Financiero $Corrientes]))</f>
        <v>0</v>
      </c>
      <c r="U28" s="133">
        <f>SUMPRODUCT(($C$16=Producción_Ganadera[Movimiento])*($G28=Producción_Ganadera[Categoría Hacienda])*(U$1=Producción_Ganadera[Mes Financiero])*(U$2=Producción_Ganadera[Año Financiero])*(Producción_Ganadera[Financiero $Corrientes]))</f>
        <v>0</v>
      </c>
      <c r="V28" s="132">
        <f>SUMPRODUCT(($C$16=Producción_Ganadera[Movimiento])*($G28=Producción_Ganadera[Categoría Hacienda])*(V$1=Producción_Ganadera[Mes Financiero])*(V$2=Producción_Ganadera[Año Financiero])*(Producción_Ganadera[Financiero $Corrientes]))</f>
        <v>0</v>
      </c>
      <c r="W28" s="133">
        <f>SUMPRODUCT(($C$16=Producción_Ganadera[Movimiento])*($G28=Producción_Ganadera[Categoría Hacienda])*(W$1=Producción_Ganadera[Mes Financiero])*(W$2=Producción_Ganadera[Año Financiero])*(Producción_Ganadera[Financiero $Corrientes]))</f>
        <v>0</v>
      </c>
      <c r="X28" s="132">
        <f>SUMPRODUCT(($C$16=Producción_Ganadera[Movimiento])*($G28=Producción_Ganadera[Categoría Hacienda])*(X$1=Producción_Ganadera[Mes Financiero])*(X$2=Producción_Ganadera[Año Financiero])*(Producción_Ganadera[Financiero $Corrientes]))</f>
        <v>0</v>
      </c>
      <c r="Y28" s="133">
        <f>SUMPRODUCT(($C$16=Producción_Ganadera[Movimiento])*($G28=Producción_Ganadera[Categoría Hacienda])*(Y$1=Producción_Ganadera[Mes Financiero])*(Y$2=Producción_Ganadera[Año Financiero])*(Producción_Ganadera[Financiero $Corrientes]))</f>
        <v>0</v>
      </c>
      <c r="Z28" s="143">
        <f t="shared" si="3"/>
        <v>0</v>
      </c>
      <c r="AC28" s="281"/>
      <c r="AD28" s="281"/>
    </row>
    <row r="29" spans="2:30" collapsed="1" x14ac:dyDescent="0.25">
      <c r="B29" s="175"/>
      <c r="D29" s="102"/>
      <c r="E29" s="120"/>
      <c r="F29" s="126" t="s">
        <v>214</v>
      </c>
      <c r="G29" s="123"/>
      <c r="H29" s="208">
        <f>SUMPRODUCT(($C$16=Producción_Ganadera[Movimiento])*(H$1=Producción_Ganadera[Mes Financiero])*(H$2=Producción_Ganadera[Año Financiero])*(Producción_Ganadera[Financiero $Corrientes]))-H16</f>
        <v>0</v>
      </c>
      <c r="I29" s="209">
        <f>SUMPRODUCT(($C$16=Producción_Ganadera[Movimiento])*(I$1=Producción_Ganadera[Mes Financiero])*(I$2=Producción_Ganadera[Año Financiero])*(Producción_Ganadera[Financiero $Corrientes]))-I16</f>
        <v>0</v>
      </c>
      <c r="J29" s="208">
        <f>SUMPRODUCT(($C$16=Producción_Ganadera[Movimiento])*(J$1=Producción_Ganadera[Mes Financiero])*(J$2=Producción_Ganadera[Año Financiero])*(Producción_Ganadera[Financiero $Corrientes]))-J16</f>
        <v>0</v>
      </c>
      <c r="K29" s="209">
        <f>SUMPRODUCT(($C$16=Producción_Ganadera[Movimiento])*(K$1=Producción_Ganadera[Mes Financiero])*(K$2=Producción_Ganadera[Año Financiero])*(Producción_Ganadera[Financiero $Corrientes]))-K16</f>
        <v>0</v>
      </c>
      <c r="L29" s="208">
        <f>SUMPRODUCT(($C$16=Producción_Ganadera[Movimiento])*(L$1=Producción_Ganadera[Mes Financiero])*(L$2=Producción_Ganadera[Año Financiero])*(Producción_Ganadera[Financiero $Corrientes]))-L16</f>
        <v>0</v>
      </c>
      <c r="M29" s="209">
        <f>SUMPRODUCT(($C$16=Producción_Ganadera[Movimiento])*(M$1=Producción_Ganadera[Mes Financiero])*(M$2=Producción_Ganadera[Año Financiero])*(Producción_Ganadera[Financiero $Corrientes]))-M16</f>
        <v>0</v>
      </c>
      <c r="N29" s="208">
        <f>SUMPRODUCT(($C$16=Producción_Ganadera[Movimiento])*(N$1=Producción_Ganadera[Mes Financiero])*(N$2=Producción_Ganadera[Año Financiero])*(Producción_Ganadera[Financiero $Corrientes]))-N16</f>
        <v>0</v>
      </c>
      <c r="O29" s="209">
        <f>SUMPRODUCT(($C$16=Producción_Ganadera[Movimiento])*(O$1=Producción_Ganadera[Mes Financiero])*(O$2=Producción_Ganadera[Año Financiero])*(Producción_Ganadera[Financiero $Corrientes]))-O16</f>
        <v>0</v>
      </c>
      <c r="P29" s="208">
        <f>SUMPRODUCT(($C$16=Producción_Ganadera[Movimiento])*(P$1=Producción_Ganadera[Mes Financiero])*(P$2=Producción_Ganadera[Año Financiero])*(Producción_Ganadera[Financiero $Corrientes]))-P16</f>
        <v>0</v>
      </c>
      <c r="Q29" s="209">
        <f>SUMPRODUCT(($C$16=Producción_Ganadera[Movimiento])*(Q$1=Producción_Ganadera[Mes Financiero])*(Q$2=Producción_Ganadera[Año Financiero])*(Producción_Ganadera[Financiero $Corrientes]))-Q16</f>
        <v>0</v>
      </c>
      <c r="R29" s="208">
        <f>SUMPRODUCT(($C$16=Producción_Ganadera[Movimiento])*(R$1=Producción_Ganadera[Mes Financiero])*(R$2=Producción_Ganadera[Año Financiero])*(Producción_Ganadera[Financiero $Corrientes]))-R16</f>
        <v>0</v>
      </c>
      <c r="S29" s="209">
        <f>SUMPRODUCT(($C$16=Producción_Ganadera[Movimiento])*(S$1=Producción_Ganadera[Mes Financiero])*(S$2=Producción_Ganadera[Año Financiero])*(Producción_Ganadera[Financiero $Corrientes]))-S16</f>
        <v>0</v>
      </c>
      <c r="T29" s="208">
        <f>SUMPRODUCT(($C$16=Producción_Ganadera[Movimiento])*(T$1=Producción_Ganadera[Mes Financiero])*(T$2=Producción_Ganadera[Año Financiero])*(Producción_Ganadera[Financiero $Corrientes]))-T16</f>
        <v>0</v>
      </c>
      <c r="U29" s="209">
        <f>SUMPRODUCT(($C$16=Producción_Ganadera[Movimiento])*(U$1=Producción_Ganadera[Mes Financiero])*(U$2=Producción_Ganadera[Año Financiero])*(Producción_Ganadera[Financiero $Corrientes]))-U16</f>
        <v>0</v>
      </c>
      <c r="V29" s="208">
        <f>SUMPRODUCT(($C$16=Producción_Ganadera[Movimiento])*(V$1=Producción_Ganadera[Mes Financiero])*(V$2=Producción_Ganadera[Año Financiero])*(Producción_Ganadera[Financiero $Corrientes]))-V16</f>
        <v>0</v>
      </c>
      <c r="W29" s="209">
        <f>SUMPRODUCT(($C$16=Producción_Ganadera[Movimiento])*(W$1=Producción_Ganadera[Mes Financiero])*(W$2=Producción_Ganadera[Año Financiero])*(Producción_Ganadera[Financiero $Corrientes]))-W16</f>
        <v>0</v>
      </c>
      <c r="X29" s="208">
        <f>SUMPRODUCT(($C$16=Producción_Ganadera[Movimiento])*(X$1=Producción_Ganadera[Mes Financiero])*(X$2=Producción_Ganadera[Año Financiero])*(Producción_Ganadera[Financiero $Corrientes]))-X16</f>
        <v>0</v>
      </c>
      <c r="Y29" s="209">
        <f>SUMPRODUCT(($C$16=Producción_Ganadera[Movimiento])*(Y$1=Producción_Ganadera[Mes Financiero])*(Y$2=Producción_Ganadera[Año Financiero])*(Producción_Ganadera[Financiero $Corrientes]))-Y16</f>
        <v>0</v>
      </c>
      <c r="Z29" s="146">
        <f t="shared" si="3"/>
        <v>0</v>
      </c>
    </row>
    <row r="30" spans="2:30" x14ac:dyDescent="0.25">
      <c r="C30" s="210" t="s">
        <v>37</v>
      </c>
      <c r="D30" s="381" t="s">
        <v>164</v>
      </c>
      <c r="E30" s="223">
        <f>MATCH(F30,Produccion_Lecheria_Cuentas[Cuenta Contable],0)</f>
        <v>13</v>
      </c>
      <c r="F30" s="92" t="s">
        <v>175</v>
      </c>
      <c r="H30" s="99">
        <f>SUMPRODUCT(($C$30=Producción_Lecheria[Movimiento])*($F30=Producción_Lecheria[Cuenta Contable])*(H$1=Producción_Lecheria[Mes Financiero])*(H$2=Producción_Lecheria[Año Financiero])*(Producción_Lecheria[Financiero $Corrientes]))</f>
        <v>0</v>
      </c>
      <c r="I30" s="100">
        <f>SUMPRODUCT(($C$30=Producción_Lecheria[Movimiento])*($F30=Producción_Lecheria[Cuenta Contable])*(I$1=Producción_Lecheria[Mes Financiero])*(I$2=Producción_Lecheria[Año Financiero])*(Producción_Lecheria[Financiero $Corrientes]))</f>
        <v>0</v>
      </c>
      <c r="J30" s="99">
        <f>SUMPRODUCT(($C$30=Producción_Lecheria[Movimiento])*($F30=Producción_Lecheria[Cuenta Contable])*(J$1=Producción_Lecheria[Mes Financiero])*(J$2=Producción_Lecheria[Año Financiero])*(Producción_Lecheria[Financiero $Corrientes]))</f>
        <v>0</v>
      </c>
      <c r="K30" s="100">
        <f>SUMPRODUCT(($C$30=Producción_Lecheria[Movimiento])*($F30=Producción_Lecheria[Cuenta Contable])*(K$1=Producción_Lecheria[Mes Financiero])*(K$2=Producción_Lecheria[Año Financiero])*(Producción_Lecheria[Financiero $Corrientes]))</f>
        <v>0</v>
      </c>
      <c r="L30" s="99">
        <f>SUMPRODUCT(($C$30=Producción_Lecheria[Movimiento])*($F30=Producción_Lecheria[Cuenta Contable])*(L$1=Producción_Lecheria[Mes Financiero])*(L$2=Producción_Lecheria[Año Financiero])*(Producción_Lecheria[Financiero $Corrientes]))</f>
        <v>0</v>
      </c>
      <c r="M30" s="100">
        <f>SUMPRODUCT(($C$30=Producción_Lecheria[Movimiento])*($F30=Producción_Lecheria[Cuenta Contable])*(M$1=Producción_Lecheria[Mes Financiero])*(M$2=Producción_Lecheria[Año Financiero])*(Producción_Lecheria[Financiero $Corrientes]))</f>
        <v>0</v>
      </c>
      <c r="N30" s="99">
        <f>SUMPRODUCT(($C$30=Producción_Lecheria[Movimiento])*($F30=Producción_Lecheria[Cuenta Contable])*(N$1=Producción_Lecheria[Mes Financiero])*(N$2=Producción_Lecheria[Año Financiero])*(Producción_Lecheria[Financiero $Corrientes]))</f>
        <v>0</v>
      </c>
      <c r="O30" s="100">
        <f>SUMPRODUCT(($C$30=Producción_Lecheria[Movimiento])*($F30=Producción_Lecheria[Cuenta Contable])*(O$1=Producción_Lecheria[Mes Financiero])*(O$2=Producción_Lecheria[Año Financiero])*(Producción_Lecheria[Financiero $Corrientes]))</f>
        <v>0</v>
      </c>
      <c r="P30" s="99">
        <f>SUMPRODUCT(($C$30=Producción_Lecheria[Movimiento])*($F30=Producción_Lecheria[Cuenta Contable])*(P$1=Producción_Lecheria[Mes Financiero])*(P$2=Producción_Lecheria[Año Financiero])*(Producción_Lecheria[Financiero $Corrientes]))</f>
        <v>0</v>
      </c>
      <c r="Q30" s="100">
        <f>SUMPRODUCT(($C$30=Producción_Lecheria[Movimiento])*($F30=Producción_Lecheria[Cuenta Contable])*(Q$1=Producción_Lecheria[Mes Financiero])*(Q$2=Producción_Lecheria[Año Financiero])*(Producción_Lecheria[Financiero $Corrientes]))</f>
        <v>0</v>
      </c>
      <c r="R30" s="99">
        <f>SUMPRODUCT(($C$30=Producción_Lecheria[Movimiento])*($F30=Producción_Lecheria[Cuenta Contable])*(R$1=Producción_Lecheria[Mes Financiero])*(R$2=Producción_Lecheria[Año Financiero])*(Producción_Lecheria[Financiero $Corrientes]))</f>
        <v>0</v>
      </c>
      <c r="S30" s="100">
        <f>SUMPRODUCT(($C$30=Producción_Lecheria[Movimiento])*($F30=Producción_Lecheria[Cuenta Contable])*(S$1=Producción_Lecheria[Mes Financiero])*(S$2=Producción_Lecheria[Año Financiero])*(Producción_Lecheria[Financiero $Corrientes]))</f>
        <v>0</v>
      </c>
      <c r="T30" s="99">
        <f>SUMPRODUCT(($C$30=Producción_Lecheria[Movimiento])*($F30=Producción_Lecheria[Cuenta Contable])*(T$1=Producción_Lecheria[Mes Financiero])*(T$2=Producción_Lecheria[Año Financiero])*(Producción_Lecheria[Financiero $Corrientes]))</f>
        <v>0</v>
      </c>
      <c r="U30" s="100">
        <f>SUMPRODUCT(($C$30=Producción_Lecheria[Movimiento])*($F30=Producción_Lecheria[Cuenta Contable])*(U$1=Producción_Lecheria[Mes Financiero])*(U$2=Producción_Lecheria[Año Financiero])*(Producción_Lecheria[Financiero $Corrientes]))</f>
        <v>0</v>
      </c>
      <c r="V30" s="99">
        <f>SUMPRODUCT(($C$30=Producción_Lecheria[Movimiento])*($F30=Producción_Lecheria[Cuenta Contable])*(V$1=Producción_Lecheria[Mes Financiero])*(V$2=Producción_Lecheria[Año Financiero])*(Producción_Lecheria[Financiero $Corrientes]))</f>
        <v>0</v>
      </c>
      <c r="W30" s="100">
        <f>SUMPRODUCT(($C$30=Producción_Lecheria[Movimiento])*($F30=Producción_Lecheria[Cuenta Contable])*(W$1=Producción_Lecheria[Mes Financiero])*(W$2=Producción_Lecheria[Año Financiero])*(Producción_Lecheria[Financiero $Corrientes]))</f>
        <v>0</v>
      </c>
      <c r="X30" s="99">
        <f>SUMPRODUCT(($C$30=Producción_Lecheria[Movimiento])*($F30=Producción_Lecheria[Cuenta Contable])*(X$1=Producción_Lecheria[Mes Financiero])*(X$2=Producción_Lecheria[Año Financiero])*(Producción_Lecheria[Financiero $Corrientes]))</f>
        <v>0</v>
      </c>
      <c r="Y30" s="100">
        <f>SUMPRODUCT(($C$30=Producción_Lecheria[Movimiento])*($F30=Producción_Lecheria[Cuenta Contable])*(Y$1=Producción_Lecheria[Mes Financiero])*(Y$2=Producción_Lecheria[Año Financiero])*(Producción_Lecheria[Financiero $Corrientes]))</f>
        <v>0</v>
      </c>
      <c r="Z30" s="139">
        <f t="shared" si="3"/>
        <v>0</v>
      </c>
      <c r="AB30" s="173"/>
      <c r="AC30" s="281">
        <f>SUMPRODUCT(($F$30=Produccion_Lecheria_Cuentas[Cuenta Contable])*(Produccion_Lecheria_Cuentas[IVA]))</f>
        <v>0.21</v>
      </c>
      <c r="AD30" s="281">
        <v>0.01</v>
      </c>
    </row>
    <row r="31" spans="2:30" x14ac:dyDescent="0.25">
      <c r="E31" s="223">
        <f>MATCH(F31,Produccion_Lecheria_Cuentas[Cuenta Contable],0)</f>
        <v>3</v>
      </c>
      <c r="F31" s="92" t="str">
        <f>INDEX(Produccion_Lecheria_Cuentas[[Cuenta Contable]:[Movimiento]],MATCH('Financiero $'!C30,Produccion_Lecheria_Cuentas[Movimiento],0),1)</f>
        <v>Venta Hacienda</v>
      </c>
      <c r="H31" s="99">
        <f>SUMPRODUCT(($C$30=Producción_Lecheria[Movimiento])*($F31=Producción_Lecheria[Cuenta Contable])*(H$1=Producción_Lecheria[Mes Financiero])*(H$2=Producción_Lecheria[Año Financiero])*(Producción_Lecheria[Financiero $Corrientes]))</f>
        <v>0</v>
      </c>
      <c r="I31" s="100">
        <f>SUMPRODUCT(($C$30=Producción_Lecheria[Movimiento])*($F31=Producción_Lecheria[Cuenta Contable])*(I$1=Producción_Lecheria[Mes Financiero])*(I$2=Producción_Lecheria[Año Financiero])*(Producción_Lecheria[Financiero $Corrientes]))</f>
        <v>0</v>
      </c>
      <c r="J31" s="99">
        <f>SUMPRODUCT(($C$30=Producción_Lecheria[Movimiento])*($F31=Producción_Lecheria[Cuenta Contable])*(J$1=Producción_Lecheria[Mes Financiero])*(J$2=Producción_Lecheria[Año Financiero])*(Producción_Lecheria[Financiero $Corrientes]))</f>
        <v>0</v>
      </c>
      <c r="K31" s="100">
        <f>SUMPRODUCT(($C$30=Producción_Lecheria[Movimiento])*($F31=Producción_Lecheria[Cuenta Contable])*(K$1=Producción_Lecheria[Mes Financiero])*(K$2=Producción_Lecheria[Año Financiero])*(Producción_Lecheria[Financiero $Corrientes]))</f>
        <v>0</v>
      </c>
      <c r="L31" s="99">
        <f>SUMPRODUCT(($C$30=Producción_Lecheria[Movimiento])*($F31=Producción_Lecheria[Cuenta Contable])*(L$1=Producción_Lecheria[Mes Financiero])*(L$2=Producción_Lecheria[Año Financiero])*(Producción_Lecheria[Financiero $Corrientes]))</f>
        <v>0</v>
      </c>
      <c r="M31" s="100">
        <f>SUMPRODUCT(($C$30=Producción_Lecheria[Movimiento])*($F31=Producción_Lecheria[Cuenta Contable])*(M$1=Producción_Lecheria[Mes Financiero])*(M$2=Producción_Lecheria[Año Financiero])*(Producción_Lecheria[Financiero $Corrientes]))</f>
        <v>0</v>
      </c>
      <c r="N31" s="99">
        <f>SUMPRODUCT(($C$30=Producción_Lecheria[Movimiento])*($F31=Producción_Lecheria[Cuenta Contable])*(N$1=Producción_Lecheria[Mes Financiero])*(N$2=Producción_Lecheria[Año Financiero])*(Producción_Lecheria[Financiero $Corrientes]))</f>
        <v>0</v>
      </c>
      <c r="O31" s="100">
        <f>SUMPRODUCT(($C$30=Producción_Lecheria[Movimiento])*($F31=Producción_Lecheria[Cuenta Contable])*(O$1=Producción_Lecheria[Mes Financiero])*(O$2=Producción_Lecheria[Año Financiero])*(Producción_Lecheria[Financiero $Corrientes]))</f>
        <v>0</v>
      </c>
      <c r="P31" s="99">
        <f>SUMPRODUCT(($C$30=Producción_Lecheria[Movimiento])*($F31=Producción_Lecheria[Cuenta Contable])*(P$1=Producción_Lecheria[Mes Financiero])*(P$2=Producción_Lecheria[Año Financiero])*(Producción_Lecheria[Financiero $Corrientes]))</f>
        <v>0</v>
      </c>
      <c r="Q31" s="100">
        <f>SUMPRODUCT(($C$30=Producción_Lecheria[Movimiento])*($F31=Producción_Lecheria[Cuenta Contable])*(Q$1=Producción_Lecheria[Mes Financiero])*(Q$2=Producción_Lecheria[Año Financiero])*(Producción_Lecheria[Financiero $Corrientes]))</f>
        <v>0</v>
      </c>
      <c r="R31" s="99">
        <f>SUMPRODUCT(($C$30=Producción_Lecheria[Movimiento])*($F31=Producción_Lecheria[Cuenta Contable])*(R$1=Producción_Lecheria[Mes Financiero])*(R$2=Producción_Lecheria[Año Financiero])*(Producción_Lecheria[Financiero $Corrientes]))</f>
        <v>0</v>
      </c>
      <c r="S31" s="100">
        <f>SUMPRODUCT(($C$30=Producción_Lecheria[Movimiento])*($F31=Producción_Lecheria[Cuenta Contable])*(S$1=Producción_Lecheria[Mes Financiero])*(S$2=Producción_Lecheria[Año Financiero])*(Producción_Lecheria[Financiero $Corrientes]))</f>
        <v>0</v>
      </c>
      <c r="T31" s="99">
        <f>SUMPRODUCT(($C$30=Producción_Lecheria[Movimiento])*($F31=Producción_Lecheria[Cuenta Contable])*(T$1=Producción_Lecheria[Mes Financiero])*(T$2=Producción_Lecheria[Año Financiero])*(Producción_Lecheria[Financiero $Corrientes]))</f>
        <v>0</v>
      </c>
      <c r="U31" s="100">
        <f>SUMPRODUCT(($C$30=Producción_Lecheria[Movimiento])*($F31=Producción_Lecheria[Cuenta Contable])*(U$1=Producción_Lecheria[Mes Financiero])*(U$2=Producción_Lecheria[Año Financiero])*(Producción_Lecheria[Financiero $Corrientes]))</f>
        <v>0</v>
      </c>
      <c r="V31" s="99">
        <f>SUMPRODUCT(($C$30=Producción_Lecheria[Movimiento])*($F31=Producción_Lecheria[Cuenta Contable])*(V$1=Producción_Lecheria[Mes Financiero])*(V$2=Producción_Lecheria[Año Financiero])*(Producción_Lecheria[Financiero $Corrientes]))</f>
        <v>0</v>
      </c>
      <c r="W31" s="100">
        <f>SUMPRODUCT(($C$30=Producción_Lecheria[Movimiento])*($F31=Producción_Lecheria[Cuenta Contable])*(W$1=Producción_Lecheria[Mes Financiero])*(W$2=Producción_Lecheria[Año Financiero])*(Producción_Lecheria[Financiero $Corrientes]))</f>
        <v>0</v>
      </c>
      <c r="X31" s="99">
        <f>SUMPRODUCT(($C$30=Producción_Lecheria[Movimiento])*($F31=Producción_Lecheria[Cuenta Contable])*(X$1=Producción_Lecheria[Mes Financiero])*(X$2=Producción_Lecheria[Año Financiero])*(Producción_Lecheria[Financiero $Corrientes]))</f>
        <v>0</v>
      </c>
      <c r="Y31" s="100">
        <f>SUMPRODUCT(($C$30=Producción_Lecheria[Movimiento])*($F31=Producción_Lecheria[Cuenta Contable])*(Y$1=Producción_Lecheria[Mes Financiero])*(Y$2=Producción_Lecheria[Año Financiero])*(Producción_Lecheria[Financiero $Corrientes]))</f>
        <v>0</v>
      </c>
      <c r="Z31" s="139">
        <f t="shared" si="3"/>
        <v>0</v>
      </c>
      <c r="AB31" s="170" t="b">
        <f>Z31=SUM(Z32:Z43)</f>
        <v>1</v>
      </c>
      <c r="AC31" s="281">
        <f>SUMPRODUCT(($F$31=Produccion_Lecheria_Cuentas[Cuenta Contable])*(Produccion_Lecheria_Cuentas[IVA]))</f>
        <v>0.105</v>
      </c>
      <c r="AD31" s="281">
        <v>0.01</v>
      </c>
    </row>
    <row r="32" spans="2:30" hidden="1" outlineLevel="1" x14ac:dyDescent="0.25">
      <c r="F32" s="215">
        <f>IFERROR(MATCH(G32,Produccion_Lecheria[Categoría],0),0)</f>
        <v>1</v>
      </c>
      <c r="G32" s="229" t="str">
        <f>Configuración!BM5</f>
        <v>Vaca Ordeñe</v>
      </c>
      <c r="H32" s="117">
        <f>SUMPRODUCT(($C$30=Producción_Lecheria[Movimiento])*($G32=Producción_Lecheria[Categoría Hacienda])*(H$1=Producción_Lecheria[Mes Financiero])*(H$2=Producción_Lecheria[Año Financiero])*(Producción_Lecheria[Financiero $Corrientes]))</f>
        <v>0</v>
      </c>
      <c r="I32" s="118">
        <f>SUMPRODUCT(($C$30=Producción_Lecheria[Movimiento])*($G32=Producción_Lecheria[Categoría Hacienda])*(I$1=Producción_Lecheria[Mes Financiero])*(I$2=Producción_Lecheria[Año Financiero])*(Producción_Lecheria[Financiero $Corrientes]))</f>
        <v>0</v>
      </c>
      <c r="J32" s="117">
        <f>SUMPRODUCT(($C$30=Producción_Lecheria[Movimiento])*($G32=Producción_Lecheria[Categoría Hacienda])*(J$1=Producción_Lecheria[Mes Financiero])*(J$2=Producción_Lecheria[Año Financiero])*(Producción_Lecheria[Financiero $Corrientes]))</f>
        <v>0</v>
      </c>
      <c r="K32" s="118">
        <f>SUMPRODUCT(($C$30=Producción_Lecheria[Movimiento])*($G32=Producción_Lecheria[Categoría Hacienda])*(K$1=Producción_Lecheria[Mes Financiero])*(K$2=Producción_Lecheria[Año Financiero])*(Producción_Lecheria[Financiero $Corrientes]))</f>
        <v>0</v>
      </c>
      <c r="L32" s="117">
        <f>SUMPRODUCT(($C$30=Producción_Lecheria[Movimiento])*($G32=Producción_Lecheria[Categoría Hacienda])*(L$1=Producción_Lecheria[Mes Financiero])*(L$2=Producción_Lecheria[Año Financiero])*(Producción_Lecheria[Financiero $Corrientes]))</f>
        <v>0</v>
      </c>
      <c r="M32" s="118">
        <f>SUMPRODUCT(($C$30=Producción_Lecheria[Movimiento])*($G32=Producción_Lecheria[Categoría Hacienda])*(M$1=Producción_Lecheria[Mes Financiero])*(M$2=Producción_Lecheria[Año Financiero])*(Producción_Lecheria[Financiero $Corrientes]))</f>
        <v>0</v>
      </c>
      <c r="N32" s="117">
        <f>SUMPRODUCT(($C$30=Producción_Lecheria[Movimiento])*($G32=Producción_Lecheria[Categoría Hacienda])*(N$1=Producción_Lecheria[Mes Financiero])*(N$2=Producción_Lecheria[Año Financiero])*(Producción_Lecheria[Financiero $Corrientes]))</f>
        <v>0</v>
      </c>
      <c r="O32" s="118">
        <f>SUMPRODUCT(($C$30=Producción_Lecheria[Movimiento])*($G32=Producción_Lecheria[Categoría Hacienda])*(O$1=Producción_Lecheria[Mes Financiero])*(O$2=Producción_Lecheria[Año Financiero])*(Producción_Lecheria[Financiero $Corrientes]))</f>
        <v>0</v>
      </c>
      <c r="P32" s="117">
        <f>SUMPRODUCT(($C$30=Producción_Lecheria[Movimiento])*($G32=Producción_Lecheria[Categoría Hacienda])*(P$1=Producción_Lecheria[Mes Financiero])*(P$2=Producción_Lecheria[Año Financiero])*(Producción_Lecheria[Financiero $Corrientes]))</f>
        <v>0</v>
      </c>
      <c r="Q32" s="118">
        <f>SUMPRODUCT(($C$30=Producción_Lecheria[Movimiento])*($G32=Producción_Lecheria[Categoría Hacienda])*(Q$1=Producción_Lecheria[Mes Financiero])*(Q$2=Producción_Lecheria[Año Financiero])*(Producción_Lecheria[Financiero $Corrientes]))</f>
        <v>0</v>
      </c>
      <c r="R32" s="117">
        <f>SUMPRODUCT(($C$30=Producción_Lecheria[Movimiento])*($G32=Producción_Lecheria[Categoría Hacienda])*(R$1=Producción_Lecheria[Mes Financiero])*(R$2=Producción_Lecheria[Año Financiero])*(Producción_Lecheria[Financiero $Corrientes]))</f>
        <v>0</v>
      </c>
      <c r="S32" s="118">
        <f>SUMPRODUCT(($C$30=Producción_Lecheria[Movimiento])*($G32=Producción_Lecheria[Categoría Hacienda])*(S$1=Producción_Lecheria[Mes Financiero])*(S$2=Producción_Lecheria[Año Financiero])*(Producción_Lecheria[Financiero $Corrientes]))</f>
        <v>0</v>
      </c>
      <c r="T32" s="117">
        <f>SUMPRODUCT(($C$30=Producción_Lecheria[Movimiento])*($G32=Producción_Lecheria[Categoría Hacienda])*(T$1=Producción_Lecheria[Mes Financiero])*(T$2=Producción_Lecheria[Año Financiero])*(Producción_Lecheria[Financiero $Corrientes]))</f>
        <v>0</v>
      </c>
      <c r="U32" s="118">
        <f>SUMPRODUCT(($C$30=Producción_Lecheria[Movimiento])*($G32=Producción_Lecheria[Categoría Hacienda])*(U$1=Producción_Lecheria[Mes Financiero])*(U$2=Producción_Lecheria[Año Financiero])*(Producción_Lecheria[Financiero $Corrientes]))</f>
        <v>0</v>
      </c>
      <c r="V32" s="117">
        <f>SUMPRODUCT(($C$30=Producción_Lecheria[Movimiento])*($G32=Producción_Lecheria[Categoría Hacienda])*(V$1=Producción_Lecheria[Mes Financiero])*(V$2=Producción_Lecheria[Año Financiero])*(Producción_Lecheria[Financiero $Corrientes]))</f>
        <v>0</v>
      </c>
      <c r="W32" s="118">
        <f>SUMPRODUCT(($C$30=Producción_Lecheria[Movimiento])*($G32=Producción_Lecheria[Categoría Hacienda])*(W$1=Producción_Lecheria[Mes Financiero])*(W$2=Producción_Lecheria[Año Financiero])*(Producción_Lecheria[Financiero $Corrientes]))</f>
        <v>0</v>
      </c>
      <c r="X32" s="117">
        <f>SUMPRODUCT(($C$30=Producción_Lecheria[Movimiento])*($G32=Producción_Lecheria[Categoría Hacienda])*(X$1=Producción_Lecheria[Mes Financiero])*(X$2=Producción_Lecheria[Año Financiero])*(Producción_Lecheria[Financiero $Corrientes]))</f>
        <v>0</v>
      </c>
      <c r="Y32" s="118">
        <f>SUMPRODUCT(($C$30=Producción_Lecheria[Movimiento])*($G32=Producción_Lecheria[Categoría Hacienda])*(Y$1=Producción_Lecheria[Mes Financiero])*(Y$2=Producción_Lecheria[Año Financiero])*(Producción_Lecheria[Financiero $Corrientes]))</f>
        <v>0</v>
      </c>
      <c r="Z32" s="142">
        <f t="shared" si="3"/>
        <v>0</v>
      </c>
    </row>
    <row r="33" spans="2:30" hidden="1" outlineLevel="1" x14ac:dyDescent="0.25">
      <c r="F33" s="215">
        <f>IFERROR(MATCH(G33,Produccion_Lecheria[Categoría],0),0)</f>
        <v>2</v>
      </c>
      <c r="G33" s="229" t="str">
        <f>Configuración!BM6</f>
        <v>Vaca Seca</v>
      </c>
      <c r="H33" s="117">
        <f>SUMPRODUCT(($C$30=Producción_Lecheria[Movimiento])*($G33=Producción_Lecheria[Categoría Hacienda])*(H$1=Producción_Lecheria[Mes Financiero])*(H$2=Producción_Lecheria[Año Financiero])*(Producción_Lecheria[Financiero $Corrientes]))</f>
        <v>0</v>
      </c>
      <c r="I33" s="118">
        <f>SUMPRODUCT(($C$30=Producción_Lecheria[Movimiento])*($G33=Producción_Lecheria[Categoría Hacienda])*(I$1=Producción_Lecheria[Mes Financiero])*(I$2=Producción_Lecheria[Año Financiero])*(Producción_Lecheria[Financiero $Corrientes]))</f>
        <v>0</v>
      </c>
      <c r="J33" s="117">
        <f>SUMPRODUCT(($C$30=Producción_Lecheria[Movimiento])*($G33=Producción_Lecheria[Categoría Hacienda])*(J$1=Producción_Lecheria[Mes Financiero])*(J$2=Producción_Lecheria[Año Financiero])*(Producción_Lecheria[Financiero $Corrientes]))</f>
        <v>0</v>
      </c>
      <c r="K33" s="118">
        <f>SUMPRODUCT(($C$30=Producción_Lecheria[Movimiento])*($G33=Producción_Lecheria[Categoría Hacienda])*(K$1=Producción_Lecheria[Mes Financiero])*(K$2=Producción_Lecheria[Año Financiero])*(Producción_Lecheria[Financiero $Corrientes]))</f>
        <v>0</v>
      </c>
      <c r="L33" s="117">
        <f>SUMPRODUCT(($C$30=Producción_Lecheria[Movimiento])*($G33=Producción_Lecheria[Categoría Hacienda])*(L$1=Producción_Lecheria[Mes Financiero])*(L$2=Producción_Lecheria[Año Financiero])*(Producción_Lecheria[Financiero $Corrientes]))</f>
        <v>0</v>
      </c>
      <c r="M33" s="118">
        <f>SUMPRODUCT(($C$30=Producción_Lecheria[Movimiento])*($G33=Producción_Lecheria[Categoría Hacienda])*(M$1=Producción_Lecheria[Mes Financiero])*(M$2=Producción_Lecheria[Año Financiero])*(Producción_Lecheria[Financiero $Corrientes]))</f>
        <v>0</v>
      </c>
      <c r="N33" s="117">
        <f>SUMPRODUCT(($C$30=Producción_Lecheria[Movimiento])*($G33=Producción_Lecheria[Categoría Hacienda])*(N$1=Producción_Lecheria[Mes Financiero])*(N$2=Producción_Lecheria[Año Financiero])*(Producción_Lecheria[Financiero $Corrientes]))</f>
        <v>0</v>
      </c>
      <c r="O33" s="118">
        <f>SUMPRODUCT(($C$30=Producción_Lecheria[Movimiento])*($G33=Producción_Lecheria[Categoría Hacienda])*(O$1=Producción_Lecheria[Mes Financiero])*(O$2=Producción_Lecheria[Año Financiero])*(Producción_Lecheria[Financiero $Corrientes]))</f>
        <v>0</v>
      </c>
      <c r="P33" s="117">
        <f>SUMPRODUCT(($C$30=Producción_Lecheria[Movimiento])*($G33=Producción_Lecheria[Categoría Hacienda])*(P$1=Producción_Lecheria[Mes Financiero])*(P$2=Producción_Lecheria[Año Financiero])*(Producción_Lecheria[Financiero $Corrientes]))</f>
        <v>0</v>
      </c>
      <c r="Q33" s="118">
        <f>SUMPRODUCT(($C$30=Producción_Lecheria[Movimiento])*($G33=Producción_Lecheria[Categoría Hacienda])*(Q$1=Producción_Lecheria[Mes Financiero])*(Q$2=Producción_Lecheria[Año Financiero])*(Producción_Lecheria[Financiero $Corrientes]))</f>
        <v>0</v>
      </c>
      <c r="R33" s="117">
        <f>SUMPRODUCT(($C$30=Producción_Lecheria[Movimiento])*($G33=Producción_Lecheria[Categoría Hacienda])*(R$1=Producción_Lecheria[Mes Financiero])*(R$2=Producción_Lecheria[Año Financiero])*(Producción_Lecheria[Financiero $Corrientes]))</f>
        <v>0</v>
      </c>
      <c r="S33" s="118">
        <f>SUMPRODUCT(($C$30=Producción_Lecheria[Movimiento])*($G33=Producción_Lecheria[Categoría Hacienda])*(S$1=Producción_Lecheria[Mes Financiero])*(S$2=Producción_Lecheria[Año Financiero])*(Producción_Lecheria[Financiero $Corrientes]))</f>
        <v>0</v>
      </c>
      <c r="T33" s="117">
        <f>SUMPRODUCT(($C$30=Producción_Lecheria[Movimiento])*($G33=Producción_Lecheria[Categoría Hacienda])*(T$1=Producción_Lecheria[Mes Financiero])*(T$2=Producción_Lecheria[Año Financiero])*(Producción_Lecheria[Financiero $Corrientes]))</f>
        <v>0</v>
      </c>
      <c r="U33" s="118">
        <f>SUMPRODUCT(($C$30=Producción_Lecheria[Movimiento])*($G33=Producción_Lecheria[Categoría Hacienda])*(U$1=Producción_Lecheria[Mes Financiero])*(U$2=Producción_Lecheria[Año Financiero])*(Producción_Lecheria[Financiero $Corrientes]))</f>
        <v>0</v>
      </c>
      <c r="V33" s="117">
        <f>SUMPRODUCT(($C$30=Producción_Lecheria[Movimiento])*($G33=Producción_Lecheria[Categoría Hacienda])*(V$1=Producción_Lecheria[Mes Financiero])*(V$2=Producción_Lecheria[Año Financiero])*(Producción_Lecheria[Financiero $Corrientes]))</f>
        <v>0</v>
      </c>
      <c r="W33" s="118">
        <f>SUMPRODUCT(($C$30=Producción_Lecheria[Movimiento])*($G33=Producción_Lecheria[Categoría Hacienda])*(W$1=Producción_Lecheria[Mes Financiero])*(W$2=Producción_Lecheria[Año Financiero])*(Producción_Lecheria[Financiero $Corrientes]))</f>
        <v>0</v>
      </c>
      <c r="X33" s="117">
        <f>SUMPRODUCT(($C$30=Producción_Lecheria[Movimiento])*($G33=Producción_Lecheria[Categoría Hacienda])*(X$1=Producción_Lecheria[Mes Financiero])*(X$2=Producción_Lecheria[Año Financiero])*(Producción_Lecheria[Financiero $Corrientes]))</f>
        <v>0</v>
      </c>
      <c r="Y33" s="118">
        <f>SUMPRODUCT(($C$30=Producción_Lecheria[Movimiento])*($G33=Producción_Lecheria[Categoría Hacienda])*(Y$1=Producción_Lecheria[Mes Financiero])*(Y$2=Producción_Lecheria[Año Financiero])*(Producción_Lecheria[Financiero $Corrientes]))</f>
        <v>0</v>
      </c>
      <c r="Z33" s="142">
        <f t="shared" si="3"/>
        <v>0</v>
      </c>
    </row>
    <row r="34" spans="2:30" hidden="1" outlineLevel="1" x14ac:dyDescent="0.25">
      <c r="F34" s="215">
        <f>IFERROR(MATCH(G34,Produccion_Lecheria[Categoría],0),0)</f>
        <v>3</v>
      </c>
      <c r="G34" s="229" t="str">
        <f>Configuración!BM7</f>
        <v>Toro</v>
      </c>
      <c r="H34" s="117">
        <f>SUMPRODUCT(($C$30=Producción_Lecheria[Movimiento])*($G34=Producción_Lecheria[Categoría Hacienda])*(H$1=Producción_Lecheria[Mes Financiero])*(H$2=Producción_Lecheria[Año Financiero])*(Producción_Lecheria[Financiero $Corrientes]))</f>
        <v>0</v>
      </c>
      <c r="I34" s="118">
        <f>SUMPRODUCT(($C$30=Producción_Lecheria[Movimiento])*($G34=Producción_Lecheria[Categoría Hacienda])*(I$1=Producción_Lecheria[Mes Financiero])*(I$2=Producción_Lecheria[Año Financiero])*(Producción_Lecheria[Financiero $Corrientes]))</f>
        <v>0</v>
      </c>
      <c r="J34" s="117">
        <f>SUMPRODUCT(($C$30=Producción_Lecheria[Movimiento])*($G34=Producción_Lecheria[Categoría Hacienda])*(J$1=Producción_Lecheria[Mes Financiero])*(J$2=Producción_Lecheria[Año Financiero])*(Producción_Lecheria[Financiero $Corrientes]))</f>
        <v>0</v>
      </c>
      <c r="K34" s="118">
        <f>SUMPRODUCT(($C$30=Producción_Lecheria[Movimiento])*($G34=Producción_Lecheria[Categoría Hacienda])*(K$1=Producción_Lecheria[Mes Financiero])*(K$2=Producción_Lecheria[Año Financiero])*(Producción_Lecheria[Financiero $Corrientes]))</f>
        <v>0</v>
      </c>
      <c r="L34" s="117">
        <f>SUMPRODUCT(($C$30=Producción_Lecheria[Movimiento])*($G34=Producción_Lecheria[Categoría Hacienda])*(L$1=Producción_Lecheria[Mes Financiero])*(L$2=Producción_Lecheria[Año Financiero])*(Producción_Lecheria[Financiero $Corrientes]))</f>
        <v>0</v>
      </c>
      <c r="M34" s="118">
        <f>SUMPRODUCT(($C$30=Producción_Lecheria[Movimiento])*($G34=Producción_Lecheria[Categoría Hacienda])*(M$1=Producción_Lecheria[Mes Financiero])*(M$2=Producción_Lecheria[Año Financiero])*(Producción_Lecheria[Financiero $Corrientes]))</f>
        <v>0</v>
      </c>
      <c r="N34" s="117">
        <f>SUMPRODUCT(($C$30=Producción_Lecheria[Movimiento])*($G34=Producción_Lecheria[Categoría Hacienda])*(N$1=Producción_Lecheria[Mes Financiero])*(N$2=Producción_Lecheria[Año Financiero])*(Producción_Lecheria[Financiero $Corrientes]))</f>
        <v>0</v>
      </c>
      <c r="O34" s="118">
        <f>SUMPRODUCT(($C$30=Producción_Lecheria[Movimiento])*($G34=Producción_Lecheria[Categoría Hacienda])*(O$1=Producción_Lecheria[Mes Financiero])*(O$2=Producción_Lecheria[Año Financiero])*(Producción_Lecheria[Financiero $Corrientes]))</f>
        <v>0</v>
      </c>
      <c r="P34" s="117">
        <f>SUMPRODUCT(($C$30=Producción_Lecheria[Movimiento])*($G34=Producción_Lecheria[Categoría Hacienda])*(P$1=Producción_Lecheria[Mes Financiero])*(P$2=Producción_Lecheria[Año Financiero])*(Producción_Lecheria[Financiero $Corrientes]))</f>
        <v>0</v>
      </c>
      <c r="Q34" s="118">
        <f>SUMPRODUCT(($C$30=Producción_Lecheria[Movimiento])*($G34=Producción_Lecheria[Categoría Hacienda])*(Q$1=Producción_Lecheria[Mes Financiero])*(Q$2=Producción_Lecheria[Año Financiero])*(Producción_Lecheria[Financiero $Corrientes]))</f>
        <v>0</v>
      </c>
      <c r="R34" s="117">
        <f>SUMPRODUCT(($C$30=Producción_Lecheria[Movimiento])*($G34=Producción_Lecheria[Categoría Hacienda])*(R$1=Producción_Lecheria[Mes Financiero])*(R$2=Producción_Lecheria[Año Financiero])*(Producción_Lecheria[Financiero $Corrientes]))</f>
        <v>0</v>
      </c>
      <c r="S34" s="118">
        <f>SUMPRODUCT(($C$30=Producción_Lecheria[Movimiento])*($G34=Producción_Lecheria[Categoría Hacienda])*(S$1=Producción_Lecheria[Mes Financiero])*(S$2=Producción_Lecheria[Año Financiero])*(Producción_Lecheria[Financiero $Corrientes]))</f>
        <v>0</v>
      </c>
      <c r="T34" s="117">
        <f>SUMPRODUCT(($C$30=Producción_Lecheria[Movimiento])*($G34=Producción_Lecheria[Categoría Hacienda])*(T$1=Producción_Lecheria[Mes Financiero])*(T$2=Producción_Lecheria[Año Financiero])*(Producción_Lecheria[Financiero $Corrientes]))</f>
        <v>0</v>
      </c>
      <c r="U34" s="118">
        <f>SUMPRODUCT(($C$30=Producción_Lecheria[Movimiento])*($G34=Producción_Lecheria[Categoría Hacienda])*(U$1=Producción_Lecheria[Mes Financiero])*(U$2=Producción_Lecheria[Año Financiero])*(Producción_Lecheria[Financiero $Corrientes]))</f>
        <v>0</v>
      </c>
      <c r="V34" s="117">
        <f>SUMPRODUCT(($C$30=Producción_Lecheria[Movimiento])*($G34=Producción_Lecheria[Categoría Hacienda])*(V$1=Producción_Lecheria[Mes Financiero])*(V$2=Producción_Lecheria[Año Financiero])*(Producción_Lecheria[Financiero $Corrientes]))</f>
        <v>0</v>
      </c>
      <c r="W34" s="118">
        <f>SUMPRODUCT(($C$30=Producción_Lecheria[Movimiento])*($G34=Producción_Lecheria[Categoría Hacienda])*(W$1=Producción_Lecheria[Mes Financiero])*(W$2=Producción_Lecheria[Año Financiero])*(Producción_Lecheria[Financiero $Corrientes]))</f>
        <v>0</v>
      </c>
      <c r="X34" s="117">
        <f>SUMPRODUCT(($C$30=Producción_Lecheria[Movimiento])*($G34=Producción_Lecheria[Categoría Hacienda])*(X$1=Producción_Lecheria[Mes Financiero])*(X$2=Producción_Lecheria[Año Financiero])*(Producción_Lecheria[Financiero $Corrientes]))</f>
        <v>0</v>
      </c>
      <c r="Y34" s="118">
        <f>SUMPRODUCT(($C$30=Producción_Lecheria[Movimiento])*($G34=Producción_Lecheria[Categoría Hacienda])*(Y$1=Producción_Lecheria[Mes Financiero])*(Y$2=Producción_Lecheria[Año Financiero])*(Producción_Lecheria[Financiero $Corrientes]))</f>
        <v>0</v>
      </c>
      <c r="Z34" s="142">
        <f t="shared" si="3"/>
        <v>0</v>
      </c>
    </row>
    <row r="35" spans="2:30" hidden="1" outlineLevel="1" x14ac:dyDescent="0.25">
      <c r="F35" s="215">
        <f>IFERROR(MATCH(G35,Produccion_Lecheria[Categoría],0),0)</f>
        <v>4</v>
      </c>
      <c r="G35" s="229" t="str">
        <f>Configuración!BM8</f>
        <v>Vaquillona Preñada</v>
      </c>
      <c r="H35" s="117">
        <f>SUMPRODUCT(($C$30=Producción_Lecheria[Movimiento])*($G35=Producción_Lecheria[Categoría Hacienda])*(H$1=Producción_Lecheria[Mes Financiero])*(H$2=Producción_Lecheria[Año Financiero])*(Producción_Lecheria[Financiero $Corrientes]))</f>
        <v>0</v>
      </c>
      <c r="I35" s="118">
        <f>SUMPRODUCT(($C$30=Producción_Lecheria[Movimiento])*($G35=Producción_Lecheria[Categoría Hacienda])*(I$1=Producción_Lecheria[Mes Financiero])*(I$2=Producción_Lecheria[Año Financiero])*(Producción_Lecheria[Financiero $Corrientes]))</f>
        <v>0</v>
      </c>
      <c r="J35" s="117">
        <f>SUMPRODUCT(($C$30=Producción_Lecheria[Movimiento])*($G35=Producción_Lecheria[Categoría Hacienda])*(J$1=Producción_Lecheria[Mes Financiero])*(J$2=Producción_Lecheria[Año Financiero])*(Producción_Lecheria[Financiero $Corrientes]))</f>
        <v>0</v>
      </c>
      <c r="K35" s="118">
        <f>SUMPRODUCT(($C$30=Producción_Lecheria[Movimiento])*($G35=Producción_Lecheria[Categoría Hacienda])*(K$1=Producción_Lecheria[Mes Financiero])*(K$2=Producción_Lecheria[Año Financiero])*(Producción_Lecheria[Financiero $Corrientes]))</f>
        <v>0</v>
      </c>
      <c r="L35" s="117">
        <f>SUMPRODUCT(($C$30=Producción_Lecheria[Movimiento])*($G35=Producción_Lecheria[Categoría Hacienda])*(L$1=Producción_Lecheria[Mes Financiero])*(L$2=Producción_Lecheria[Año Financiero])*(Producción_Lecheria[Financiero $Corrientes]))</f>
        <v>0</v>
      </c>
      <c r="M35" s="118">
        <f>SUMPRODUCT(($C$30=Producción_Lecheria[Movimiento])*($G35=Producción_Lecheria[Categoría Hacienda])*(M$1=Producción_Lecheria[Mes Financiero])*(M$2=Producción_Lecheria[Año Financiero])*(Producción_Lecheria[Financiero $Corrientes]))</f>
        <v>0</v>
      </c>
      <c r="N35" s="117">
        <f>SUMPRODUCT(($C$30=Producción_Lecheria[Movimiento])*($G35=Producción_Lecheria[Categoría Hacienda])*(N$1=Producción_Lecheria[Mes Financiero])*(N$2=Producción_Lecheria[Año Financiero])*(Producción_Lecheria[Financiero $Corrientes]))</f>
        <v>0</v>
      </c>
      <c r="O35" s="118">
        <f>SUMPRODUCT(($C$30=Producción_Lecheria[Movimiento])*($G35=Producción_Lecheria[Categoría Hacienda])*(O$1=Producción_Lecheria[Mes Financiero])*(O$2=Producción_Lecheria[Año Financiero])*(Producción_Lecheria[Financiero $Corrientes]))</f>
        <v>0</v>
      </c>
      <c r="P35" s="117">
        <f>SUMPRODUCT(($C$30=Producción_Lecheria[Movimiento])*($G35=Producción_Lecheria[Categoría Hacienda])*(P$1=Producción_Lecheria[Mes Financiero])*(P$2=Producción_Lecheria[Año Financiero])*(Producción_Lecheria[Financiero $Corrientes]))</f>
        <v>0</v>
      </c>
      <c r="Q35" s="118">
        <f>SUMPRODUCT(($C$30=Producción_Lecheria[Movimiento])*($G35=Producción_Lecheria[Categoría Hacienda])*(Q$1=Producción_Lecheria[Mes Financiero])*(Q$2=Producción_Lecheria[Año Financiero])*(Producción_Lecheria[Financiero $Corrientes]))</f>
        <v>0</v>
      </c>
      <c r="R35" s="117">
        <f>SUMPRODUCT(($C$30=Producción_Lecheria[Movimiento])*($G35=Producción_Lecheria[Categoría Hacienda])*(R$1=Producción_Lecheria[Mes Financiero])*(R$2=Producción_Lecheria[Año Financiero])*(Producción_Lecheria[Financiero $Corrientes]))</f>
        <v>0</v>
      </c>
      <c r="S35" s="118">
        <f>SUMPRODUCT(($C$30=Producción_Lecheria[Movimiento])*($G35=Producción_Lecheria[Categoría Hacienda])*(S$1=Producción_Lecheria[Mes Financiero])*(S$2=Producción_Lecheria[Año Financiero])*(Producción_Lecheria[Financiero $Corrientes]))</f>
        <v>0</v>
      </c>
      <c r="T35" s="117">
        <f>SUMPRODUCT(($C$30=Producción_Lecheria[Movimiento])*($G35=Producción_Lecheria[Categoría Hacienda])*(T$1=Producción_Lecheria[Mes Financiero])*(T$2=Producción_Lecheria[Año Financiero])*(Producción_Lecheria[Financiero $Corrientes]))</f>
        <v>0</v>
      </c>
      <c r="U35" s="118">
        <f>SUMPRODUCT(($C$30=Producción_Lecheria[Movimiento])*($G35=Producción_Lecheria[Categoría Hacienda])*(U$1=Producción_Lecheria[Mes Financiero])*(U$2=Producción_Lecheria[Año Financiero])*(Producción_Lecheria[Financiero $Corrientes]))</f>
        <v>0</v>
      </c>
      <c r="V35" s="117">
        <f>SUMPRODUCT(($C$30=Producción_Lecheria[Movimiento])*($G35=Producción_Lecheria[Categoría Hacienda])*(V$1=Producción_Lecheria[Mes Financiero])*(V$2=Producción_Lecheria[Año Financiero])*(Producción_Lecheria[Financiero $Corrientes]))</f>
        <v>0</v>
      </c>
      <c r="W35" s="118">
        <f>SUMPRODUCT(($C$30=Producción_Lecheria[Movimiento])*($G35=Producción_Lecheria[Categoría Hacienda])*(W$1=Producción_Lecheria[Mes Financiero])*(W$2=Producción_Lecheria[Año Financiero])*(Producción_Lecheria[Financiero $Corrientes]))</f>
        <v>0</v>
      </c>
      <c r="X35" s="117">
        <f>SUMPRODUCT(($C$30=Producción_Lecheria[Movimiento])*($G35=Producción_Lecheria[Categoría Hacienda])*(X$1=Producción_Lecheria[Mes Financiero])*(X$2=Producción_Lecheria[Año Financiero])*(Producción_Lecheria[Financiero $Corrientes]))</f>
        <v>0</v>
      </c>
      <c r="Y35" s="118">
        <f>SUMPRODUCT(($C$30=Producción_Lecheria[Movimiento])*($G35=Producción_Lecheria[Categoría Hacienda])*(Y$1=Producción_Lecheria[Mes Financiero])*(Y$2=Producción_Lecheria[Año Financiero])*(Producción_Lecheria[Financiero $Corrientes]))</f>
        <v>0</v>
      </c>
      <c r="Z35" s="142">
        <f t="shared" si="3"/>
        <v>0</v>
      </c>
    </row>
    <row r="36" spans="2:30" hidden="1" outlineLevel="1" x14ac:dyDescent="0.25">
      <c r="F36" s="215">
        <f>IFERROR(MATCH(G36,Produccion_Lecheria[Categoría],0),0)</f>
        <v>5</v>
      </c>
      <c r="G36" s="229" t="str">
        <f>Configuración!BM9</f>
        <v>Vaquillona 06-15</v>
      </c>
      <c r="H36" s="117">
        <f>SUMPRODUCT(($C$30=Producción_Lecheria[Movimiento])*($G36=Producción_Lecheria[Categoría Hacienda])*(H$1=Producción_Lecheria[Mes Financiero])*(H$2=Producción_Lecheria[Año Financiero])*(Producción_Lecheria[Financiero $Corrientes]))</f>
        <v>0</v>
      </c>
      <c r="I36" s="118">
        <f>SUMPRODUCT(($C$30=Producción_Lecheria[Movimiento])*($G36=Producción_Lecheria[Categoría Hacienda])*(I$1=Producción_Lecheria[Mes Financiero])*(I$2=Producción_Lecheria[Año Financiero])*(Producción_Lecheria[Financiero $Corrientes]))</f>
        <v>0</v>
      </c>
      <c r="J36" s="117">
        <f>SUMPRODUCT(($C$30=Producción_Lecheria[Movimiento])*($G36=Producción_Lecheria[Categoría Hacienda])*(J$1=Producción_Lecheria[Mes Financiero])*(J$2=Producción_Lecheria[Año Financiero])*(Producción_Lecheria[Financiero $Corrientes]))</f>
        <v>0</v>
      </c>
      <c r="K36" s="118">
        <f>SUMPRODUCT(($C$30=Producción_Lecheria[Movimiento])*($G36=Producción_Lecheria[Categoría Hacienda])*(K$1=Producción_Lecheria[Mes Financiero])*(K$2=Producción_Lecheria[Año Financiero])*(Producción_Lecheria[Financiero $Corrientes]))</f>
        <v>0</v>
      </c>
      <c r="L36" s="117">
        <f>SUMPRODUCT(($C$30=Producción_Lecheria[Movimiento])*($G36=Producción_Lecheria[Categoría Hacienda])*(L$1=Producción_Lecheria[Mes Financiero])*(L$2=Producción_Lecheria[Año Financiero])*(Producción_Lecheria[Financiero $Corrientes]))</f>
        <v>0</v>
      </c>
      <c r="M36" s="118">
        <f>SUMPRODUCT(($C$30=Producción_Lecheria[Movimiento])*($G36=Producción_Lecheria[Categoría Hacienda])*(M$1=Producción_Lecheria[Mes Financiero])*(M$2=Producción_Lecheria[Año Financiero])*(Producción_Lecheria[Financiero $Corrientes]))</f>
        <v>0</v>
      </c>
      <c r="N36" s="117">
        <f>SUMPRODUCT(($C$30=Producción_Lecheria[Movimiento])*($G36=Producción_Lecheria[Categoría Hacienda])*(N$1=Producción_Lecheria[Mes Financiero])*(N$2=Producción_Lecheria[Año Financiero])*(Producción_Lecheria[Financiero $Corrientes]))</f>
        <v>0</v>
      </c>
      <c r="O36" s="118">
        <f>SUMPRODUCT(($C$30=Producción_Lecheria[Movimiento])*($G36=Producción_Lecheria[Categoría Hacienda])*(O$1=Producción_Lecheria[Mes Financiero])*(O$2=Producción_Lecheria[Año Financiero])*(Producción_Lecheria[Financiero $Corrientes]))</f>
        <v>0</v>
      </c>
      <c r="P36" s="117">
        <f>SUMPRODUCT(($C$30=Producción_Lecheria[Movimiento])*($G36=Producción_Lecheria[Categoría Hacienda])*(P$1=Producción_Lecheria[Mes Financiero])*(P$2=Producción_Lecheria[Año Financiero])*(Producción_Lecheria[Financiero $Corrientes]))</f>
        <v>0</v>
      </c>
      <c r="Q36" s="118">
        <f>SUMPRODUCT(($C$30=Producción_Lecheria[Movimiento])*($G36=Producción_Lecheria[Categoría Hacienda])*(Q$1=Producción_Lecheria[Mes Financiero])*(Q$2=Producción_Lecheria[Año Financiero])*(Producción_Lecheria[Financiero $Corrientes]))</f>
        <v>0</v>
      </c>
      <c r="R36" s="117">
        <f>SUMPRODUCT(($C$30=Producción_Lecheria[Movimiento])*($G36=Producción_Lecheria[Categoría Hacienda])*(R$1=Producción_Lecheria[Mes Financiero])*(R$2=Producción_Lecheria[Año Financiero])*(Producción_Lecheria[Financiero $Corrientes]))</f>
        <v>0</v>
      </c>
      <c r="S36" s="118">
        <f>SUMPRODUCT(($C$30=Producción_Lecheria[Movimiento])*($G36=Producción_Lecheria[Categoría Hacienda])*(S$1=Producción_Lecheria[Mes Financiero])*(S$2=Producción_Lecheria[Año Financiero])*(Producción_Lecheria[Financiero $Corrientes]))</f>
        <v>0</v>
      </c>
      <c r="T36" s="117">
        <f>SUMPRODUCT(($C$30=Producción_Lecheria[Movimiento])*($G36=Producción_Lecheria[Categoría Hacienda])*(T$1=Producción_Lecheria[Mes Financiero])*(T$2=Producción_Lecheria[Año Financiero])*(Producción_Lecheria[Financiero $Corrientes]))</f>
        <v>0</v>
      </c>
      <c r="U36" s="118">
        <f>SUMPRODUCT(($C$30=Producción_Lecheria[Movimiento])*($G36=Producción_Lecheria[Categoría Hacienda])*(U$1=Producción_Lecheria[Mes Financiero])*(U$2=Producción_Lecheria[Año Financiero])*(Producción_Lecheria[Financiero $Corrientes]))</f>
        <v>0</v>
      </c>
      <c r="V36" s="117">
        <f>SUMPRODUCT(($C$30=Producción_Lecheria[Movimiento])*($G36=Producción_Lecheria[Categoría Hacienda])*(V$1=Producción_Lecheria[Mes Financiero])*(V$2=Producción_Lecheria[Año Financiero])*(Producción_Lecheria[Financiero $Corrientes]))</f>
        <v>0</v>
      </c>
      <c r="W36" s="118">
        <f>SUMPRODUCT(($C$30=Producción_Lecheria[Movimiento])*($G36=Producción_Lecheria[Categoría Hacienda])*(W$1=Producción_Lecheria[Mes Financiero])*(W$2=Producción_Lecheria[Año Financiero])*(Producción_Lecheria[Financiero $Corrientes]))</f>
        <v>0</v>
      </c>
      <c r="X36" s="117">
        <f>SUMPRODUCT(($C$30=Producción_Lecheria[Movimiento])*($G36=Producción_Lecheria[Categoría Hacienda])*(X$1=Producción_Lecheria[Mes Financiero])*(X$2=Producción_Lecheria[Año Financiero])*(Producción_Lecheria[Financiero $Corrientes]))</f>
        <v>0</v>
      </c>
      <c r="Y36" s="118">
        <f>SUMPRODUCT(($C$30=Producción_Lecheria[Movimiento])*($G36=Producción_Lecheria[Categoría Hacienda])*(Y$1=Producción_Lecheria[Mes Financiero])*(Y$2=Producción_Lecheria[Año Financiero])*(Producción_Lecheria[Financiero $Corrientes]))</f>
        <v>0</v>
      </c>
      <c r="Z36" s="142">
        <f t="shared" si="3"/>
        <v>0</v>
      </c>
    </row>
    <row r="37" spans="2:30" hidden="1" outlineLevel="1" x14ac:dyDescent="0.25">
      <c r="F37" s="215">
        <f>IFERROR(MATCH(G37,Produccion_Lecheria[Categoría],0),0)</f>
        <v>6</v>
      </c>
      <c r="G37" s="229" t="str">
        <f>Configuración!BM10</f>
        <v>Vaquillona 15-27</v>
      </c>
      <c r="H37" s="117">
        <f>SUMPRODUCT(($C$30=Producción_Lecheria[Movimiento])*($G37=Producción_Lecheria[Categoría Hacienda])*(H$1=Producción_Lecheria[Mes Financiero])*(H$2=Producción_Lecheria[Año Financiero])*(Producción_Lecheria[Financiero $Corrientes]))</f>
        <v>0</v>
      </c>
      <c r="I37" s="118">
        <f>SUMPRODUCT(($C$30=Producción_Lecheria[Movimiento])*($G37=Producción_Lecheria[Categoría Hacienda])*(I$1=Producción_Lecheria[Mes Financiero])*(I$2=Producción_Lecheria[Año Financiero])*(Producción_Lecheria[Financiero $Corrientes]))</f>
        <v>0</v>
      </c>
      <c r="J37" s="117">
        <f>SUMPRODUCT(($C$30=Producción_Lecheria[Movimiento])*($G37=Producción_Lecheria[Categoría Hacienda])*(J$1=Producción_Lecheria[Mes Financiero])*(J$2=Producción_Lecheria[Año Financiero])*(Producción_Lecheria[Financiero $Corrientes]))</f>
        <v>0</v>
      </c>
      <c r="K37" s="118">
        <f>SUMPRODUCT(($C$30=Producción_Lecheria[Movimiento])*($G37=Producción_Lecheria[Categoría Hacienda])*(K$1=Producción_Lecheria[Mes Financiero])*(K$2=Producción_Lecheria[Año Financiero])*(Producción_Lecheria[Financiero $Corrientes]))</f>
        <v>0</v>
      </c>
      <c r="L37" s="117">
        <f>SUMPRODUCT(($C$30=Producción_Lecheria[Movimiento])*($G37=Producción_Lecheria[Categoría Hacienda])*(L$1=Producción_Lecheria[Mes Financiero])*(L$2=Producción_Lecheria[Año Financiero])*(Producción_Lecheria[Financiero $Corrientes]))</f>
        <v>0</v>
      </c>
      <c r="M37" s="118">
        <f>SUMPRODUCT(($C$30=Producción_Lecheria[Movimiento])*($G37=Producción_Lecheria[Categoría Hacienda])*(M$1=Producción_Lecheria[Mes Financiero])*(M$2=Producción_Lecheria[Año Financiero])*(Producción_Lecheria[Financiero $Corrientes]))</f>
        <v>0</v>
      </c>
      <c r="N37" s="117">
        <f>SUMPRODUCT(($C$30=Producción_Lecheria[Movimiento])*($G37=Producción_Lecheria[Categoría Hacienda])*(N$1=Producción_Lecheria[Mes Financiero])*(N$2=Producción_Lecheria[Año Financiero])*(Producción_Lecheria[Financiero $Corrientes]))</f>
        <v>0</v>
      </c>
      <c r="O37" s="118">
        <f>SUMPRODUCT(($C$30=Producción_Lecheria[Movimiento])*($G37=Producción_Lecheria[Categoría Hacienda])*(O$1=Producción_Lecheria[Mes Financiero])*(O$2=Producción_Lecheria[Año Financiero])*(Producción_Lecheria[Financiero $Corrientes]))</f>
        <v>0</v>
      </c>
      <c r="P37" s="117">
        <f>SUMPRODUCT(($C$30=Producción_Lecheria[Movimiento])*($G37=Producción_Lecheria[Categoría Hacienda])*(P$1=Producción_Lecheria[Mes Financiero])*(P$2=Producción_Lecheria[Año Financiero])*(Producción_Lecheria[Financiero $Corrientes]))</f>
        <v>0</v>
      </c>
      <c r="Q37" s="118">
        <f>SUMPRODUCT(($C$30=Producción_Lecheria[Movimiento])*($G37=Producción_Lecheria[Categoría Hacienda])*(Q$1=Producción_Lecheria[Mes Financiero])*(Q$2=Producción_Lecheria[Año Financiero])*(Producción_Lecheria[Financiero $Corrientes]))</f>
        <v>0</v>
      </c>
      <c r="R37" s="117">
        <f>SUMPRODUCT(($C$30=Producción_Lecheria[Movimiento])*($G37=Producción_Lecheria[Categoría Hacienda])*(R$1=Producción_Lecheria[Mes Financiero])*(R$2=Producción_Lecheria[Año Financiero])*(Producción_Lecheria[Financiero $Corrientes]))</f>
        <v>0</v>
      </c>
      <c r="S37" s="118">
        <f>SUMPRODUCT(($C$30=Producción_Lecheria[Movimiento])*($G37=Producción_Lecheria[Categoría Hacienda])*(S$1=Producción_Lecheria[Mes Financiero])*(S$2=Producción_Lecheria[Año Financiero])*(Producción_Lecheria[Financiero $Corrientes]))</f>
        <v>0</v>
      </c>
      <c r="T37" s="117">
        <f>SUMPRODUCT(($C$30=Producción_Lecheria[Movimiento])*($G37=Producción_Lecheria[Categoría Hacienda])*(T$1=Producción_Lecheria[Mes Financiero])*(T$2=Producción_Lecheria[Año Financiero])*(Producción_Lecheria[Financiero $Corrientes]))</f>
        <v>0</v>
      </c>
      <c r="U37" s="118">
        <f>SUMPRODUCT(($C$30=Producción_Lecheria[Movimiento])*($G37=Producción_Lecheria[Categoría Hacienda])*(U$1=Producción_Lecheria[Mes Financiero])*(U$2=Producción_Lecheria[Año Financiero])*(Producción_Lecheria[Financiero $Corrientes]))</f>
        <v>0</v>
      </c>
      <c r="V37" s="117">
        <f>SUMPRODUCT(($C$30=Producción_Lecheria[Movimiento])*($G37=Producción_Lecheria[Categoría Hacienda])*(V$1=Producción_Lecheria[Mes Financiero])*(V$2=Producción_Lecheria[Año Financiero])*(Producción_Lecheria[Financiero $Corrientes]))</f>
        <v>0</v>
      </c>
      <c r="W37" s="118">
        <f>SUMPRODUCT(($C$30=Producción_Lecheria[Movimiento])*($G37=Producción_Lecheria[Categoría Hacienda])*(W$1=Producción_Lecheria[Mes Financiero])*(W$2=Producción_Lecheria[Año Financiero])*(Producción_Lecheria[Financiero $Corrientes]))</f>
        <v>0</v>
      </c>
      <c r="X37" s="117">
        <f>SUMPRODUCT(($C$30=Producción_Lecheria[Movimiento])*($G37=Producción_Lecheria[Categoría Hacienda])*(X$1=Producción_Lecheria[Mes Financiero])*(X$2=Producción_Lecheria[Año Financiero])*(Producción_Lecheria[Financiero $Corrientes]))</f>
        <v>0</v>
      </c>
      <c r="Y37" s="118">
        <f>SUMPRODUCT(($C$30=Producción_Lecheria[Movimiento])*($G37=Producción_Lecheria[Categoría Hacienda])*(Y$1=Producción_Lecheria[Mes Financiero])*(Y$2=Producción_Lecheria[Año Financiero])*(Producción_Lecheria[Financiero $Corrientes]))</f>
        <v>0</v>
      </c>
      <c r="Z37" s="142">
        <f t="shared" si="3"/>
        <v>0</v>
      </c>
    </row>
    <row r="38" spans="2:30" hidden="1" outlineLevel="1" x14ac:dyDescent="0.25">
      <c r="F38" s="215">
        <f>IFERROR(MATCH(G38,Produccion_Lecheria[Categoría],0),0)</f>
        <v>7</v>
      </c>
      <c r="G38" s="229" t="str">
        <f>Configuración!BM11</f>
        <v>Ternera</v>
      </c>
      <c r="H38" s="117">
        <f>SUMPRODUCT(($C$30=Producción_Lecheria[Movimiento])*($G38=Producción_Lecheria[Categoría Hacienda])*(H$1=Producción_Lecheria[Mes Financiero])*(H$2=Producción_Lecheria[Año Financiero])*(Producción_Lecheria[Financiero $Corrientes]))</f>
        <v>0</v>
      </c>
      <c r="I38" s="118">
        <f>SUMPRODUCT(($C$30=Producción_Lecheria[Movimiento])*($G38=Producción_Lecheria[Categoría Hacienda])*(I$1=Producción_Lecheria[Mes Financiero])*(I$2=Producción_Lecheria[Año Financiero])*(Producción_Lecheria[Financiero $Corrientes]))</f>
        <v>0</v>
      </c>
      <c r="J38" s="117">
        <f>SUMPRODUCT(($C$30=Producción_Lecheria[Movimiento])*($G38=Producción_Lecheria[Categoría Hacienda])*(J$1=Producción_Lecheria[Mes Financiero])*(J$2=Producción_Lecheria[Año Financiero])*(Producción_Lecheria[Financiero $Corrientes]))</f>
        <v>0</v>
      </c>
      <c r="K38" s="118">
        <f>SUMPRODUCT(($C$30=Producción_Lecheria[Movimiento])*($G38=Producción_Lecheria[Categoría Hacienda])*(K$1=Producción_Lecheria[Mes Financiero])*(K$2=Producción_Lecheria[Año Financiero])*(Producción_Lecheria[Financiero $Corrientes]))</f>
        <v>0</v>
      </c>
      <c r="L38" s="117">
        <f>SUMPRODUCT(($C$30=Producción_Lecheria[Movimiento])*($G38=Producción_Lecheria[Categoría Hacienda])*(L$1=Producción_Lecheria[Mes Financiero])*(L$2=Producción_Lecheria[Año Financiero])*(Producción_Lecheria[Financiero $Corrientes]))</f>
        <v>0</v>
      </c>
      <c r="M38" s="118">
        <f>SUMPRODUCT(($C$30=Producción_Lecheria[Movimiento])*($G38=Producción_Lecheria[Categoría Hacienda])*(M$1=Producción_Lecheria[Mes Financiero])*(M$2=Producción_Lecheria[Año Financiero])*(Producción_Lecheria[Financiero $Corrientes]))</f>
        <v>0</v>
      </c>
      <c r="N38" s="117">
        <f>SUMPRODUCT(($C$30=Producción_Lecheria[Movimiento])*($G38=Producción_Lecheria[Categoría Hacienda])*(N$1=Producción_Lecheria[Mes Financiero])*(N$2=Producción_Lecheria[Año Financiero])*(Producción_Lecheria[Financiero $Corrientes]))</f>
        <v>0</v>
      </c>
      <c r="O38" s="118">
        <f>SUMPRODUCT(($C$30=Producción_Lecheria[Movimiento])*($G38=Producción_Lecheria[Categoría Hacienda])*(O$1=Producción_Lecheria[Mes Financiero])*(O$2=Producción_Lecheria[Año Financiero])*(Producción_Lecheria[Financiero $Corrientes]))</f>
        <v>0</v>
      </c>
      <c r="P38" s="117">
        <f>SUMPRODUCT(($C$30=Producción_Lecheria[Movimiento])*($G38=Producción_Lecheria[Categoría Hacienda])*(P$1=Producción_Lecheria[Mes Financiero])*(P$2=Producción_Lecheria[Año Financiero])*(Producción_Lecheria[Financiero $Corrientes]))</f>
        <v>0</v>
      </c>
      <c r="Q38" s="118">
        <f>SUMPRODUCT(($C$30=Producción_Lecheria[Movimiento])*($G38=Producción_Lecheria[Categoría Hacienda])*(Q$1=Producción_Lecheria[Mes Financiero])*(Q$2=Producción_Lecheria[Año Financiero])*(Producción_Lecheria[Financiero $Corrientes]))</f>
        <v>0</v>
      </c>
      <c r="R38" s="117">
        <f>SUMPRODUCT(($C$30=Producción_Lecheria[Movimiento])*($G38=Producción_Lecheria[Categoría Hacienda])*(R$1=Producción_Lecheria[Mes Financiero])*(R$2=Producción_Lecheria[Año Financiero])*(Producción_Lecheria[Financiero $Corrientes]))</f>
        <v>0</v>
      </c>
      <c r="S38" s="118">
        <f>SUMPRODUCT(($C$30=Producción_Lecheria[Movimiento])*($G38=Producción_Lecheria[Categoría Hacienda])*(S$1=Producción_Lecheria[Mes Financiero])*(S$2=Producción_Lecheria[Año Financiero])*(Producción_Lecheria[Financiero $Corrientes]))</f>
        <v>0</v>
      </c>
      <c r="T38" s="117">
        <f>SUMPRODUCT(($C$30=Producción_Lecheria[Movimiento])*($G38=Producción_Lecheria[Categoría Hacienda])*(T$1=Producción_Lecheria[Mes Financiero])*(T$2=Producción_Lecheria[Año Financiero])*(Producción_Lecheria[Financiero $Corrientes]))</f>
        <v>0</v>
      </c>
      <c r="U38" s="118">
        <f>SUMPRODUCT(($C$30=Producción_Lecheria[Movimiento])*($G38=Producción_Lecheria[Categoría Hacienda])*(U$1=Producción_Lecheria[Mes Financiero])*(U$2=Producción_Lecheria[Año Financiero])*(Producción_Lecheria[Financiero $Corrientes]))</f>
        <v>0</v>
      </c>
      <c r="V38" s="117">
        <f>SUMPRODUCT(($C$30=Producción_Lecheria[Movimiento])*($G38=Producción_Lecheria[Categoría Hacienda])*(V$1=Producción_Lecheria[Mes Financiero])*(V$2=Producción_Lecheria[Año Financiero])*(Producción_Lecheria[Financiero $Corrientes]))</f>
        <v>0</v>
      </c>
      <c r="W38" s="118">
        <f>SUMPRODUCT(($C$30=Producción_Lecheria[Movimiento])*($G38=Producción_Lecheria[Categoría Hacienda])*(W$1=Producción_Lecheria[Mes Financiero])*(W$2=Producción_Lecheria[Año Financiero])*(Producción_Lecheria[Financiero $Corrientes]))</f>
        <v>0</v>
      </c>
      <c r="X38" s="117">
        <f>SUMPRODUCT(($C$30=Producción_Lecheria[Movimiento])*($G38=Producción_Lecheria[Categoría Hacienda])*(X$1=Producción_Lecheria[Mes Financiero])*(X$2=Producción_Lecheria[Año Financiero])*(Producción_Lecheria[Financiero $Corrientes]))</f>
        <v>0</v>
      </c>
      <c r="Y38" s="118">
        <f>SUMPRODUCT(($C$30=Producción_Lecheria[Movimiento])*($G38=Producción_Lecheria[Categoría Hacienda])*(Y$1=Producción_Lecheria[Mes Financiero])*(Y$2=Producción_Lecheria[Año Financiero])*(Producción_Lecheria[Financiero $Corrientes]))</f>
        <v>0</v>
      </c>
      <c r="Z38" s="142">
        <f t="shared" si="3"/>
        <v>0</v>
      </c>
    </row>
    <row r="39" spans="2:30" hidden="1" outlineLevel="1" x14ac:dyDescent="0.25">
      <c r="F39" s="215">
        <f>IFERROR(MATCH(G39,Produccion_Lecheria[Categoría],0),0)</f>
        <v>8</v>
      </c>
      <c r="G39" s="229" t="str">
        <f>Configuración!BM12</f>
        <v>Ternero</v>
      </c>
      <c r="H39" s="117">
        <f>SUMPRODUCT(($C$30=Producción_Lecheria[Movimiento])*($G39=Producción_Lecheria[Categoría Hacienda])*(H$1=Producción_Lecheria[Mes Financiero])*(H$2=Producción_Lecheria[Año Financiero])*(Producción_Lecheria[Financiero $Corrientes]))</f>
        <v>0</v>
      </c>
      <c r="I39" s="118">
        <f>SUMPRODUCT(($C$30=Producción_Lecheria[Movimiento])*($G39=Producción_Lecheria[Categoría Hacienda])*(I$1=Producción_Lecheria[Mes Financiero])*(I$2=Producción_Lecheria[Año Financiero])*(Producción_Lecheria[Financiero $Corrientes]))</f>
        <v>0</v>
      </c>
      <c r="J39" s="117">
        <f>SUMPRODUCT(($C$30=Producción_Lecheria[Movimiento])*($G39=Producción_Lecheria[Categoría Hacienda])*(J$1=Producción_Lecheria[Mes Financiero])*(J$2=Producción_Lecheria[Año Financiero])*(Producción_Lecheria[Financiero $Corrientes]))</f>
        <v>0</v>
      </c>
      <c r="K39" s="118">
        <f>SUMPRODUCT(($C$30=Producción_Lecheria[Movimiento])*($G39=Producción_Lecheria[Categoría Hacienda])*(K$1=Producción_Lecheria[Mes Financiero])*(K$2=Producción_Lecheria[Año Financiero])*(Producción_Lecheria[Financiero $Corrientes]))</f>
        <v>0</v>
      </c>
      <c r="L39" s="117">
        <f>SUMPRODUCT(($C$30=Producción_Lecheria[Movimiento])*($G39=Producción_Lecheria[Categoría Hacienda])*(L$1=Producción_Lecheria[Mes Financiero])*(L$2=Producción_Lecheria[Año Financiero])*(Producción_Lecheria[Financiero $Corrientes]))</f>
        <v>0</v>
      </c>
      <c r="M39" s="118">
        <f>SUMPRODUCT(($C$30=Producción_Lecheria[Movimiento])*($G39=Producción_Lecheria[Categoría Hacienda])*(M$1=Producción_Lecheria[Mes Financiero])*(M$2=Producción_Lecheria[Año Financiero])*(Producción_Lecheria[Financiero $Corrientes]))</f>
        <v>0</v>
      </c>
      <c r="N39" s="117">
        <f>SUMPRODUCT(($C$30=Producción_Lecheria[Movimiento])*($G39=Producción_Lecheria[Categoría Hacienda])*(N$1=Producción_Lecheria[Mes Financiero])*(N$2=Producción_Lecheria[Año Financiero])*(Producción_Lecheria[Financiero $Corrientes]))</f>
        <v>0</v>
      </c>
      <c r="O39" s="118">
        <f>SUMPRODUCT(($C$30=Producción_Lecheria[Movimiento])*($G39=Producción_Lecheria[Categoría Hacienda])*(O$1=Producción_Lecheria[Mes Financiero])*(O$2=Producción_Lecheria[Año Financiero])*(Producción_Lecheria[Financiero $Corrientes]))</f>
        <v>0</v>
      </c>
      <c r="P39" s="117">
        <f>SUMPRODUCT(($C$30=Producción_Lecheria[Movimiento])*($G39=Producción_Lecheria[Categoría Hacienda])*(P$1=Producción_Lecheria[Mes Financiero])*(P$2=Producción_Lecheria[Año Financiero])*(Producción_Lecheria[Financiero $Corrientes]))</f>
        <v>0</v>
      </c>
      <c r="Q39" s="118">
        <f>SUMPRODUCT(($C$30=Producción_Lecheria[Movimiento])*($G39=Producción_Lecheria[Categoría Hacienda])*(Q$1=Producción_Lecheria[Mes Financiero])*(Q$2=Producción_Lecheria[Año Financiero])*(Producción_Lecheria[Financiero $Corrientes]))</f>
        <v>0</v>
      </c>
      <c r="R39" s="117">
        <f>SUMPRODUCT(($C$30=Producción_Lecheria[Movimiento])*($G39=Producción_Lecheria[Categoría Hacienda])*(R$1=Producción_Lecheria[Mes Financiero])*(R$2=Producción_Lecheria[Año Financiero])*(Producción_Lecheria[Financiero $Corrientes]))</f>
        <v>0</v>
      </c>
      <c r="S39" s="118">
        <f>SUMPRODUCT(($C$30=Producción_Lecheria[Movimiento])*($G39=Producción_Lecheria[Categoría Hacienda])*(S$1=Producción_Lecheria[Mes Financiero])*(S$2=Producción_Lecheria[Año Financiero])*(Producción_Lecheria[Financiero $Corrientes]))</f>
        <v>0</v>
      </c>
      <c r="T39" s="117">
        <f>SUMPRODUCT(($C$30=Producción_Lecheria[Movimiento])*($G39=Producción_Lecheria[Categoría Hacienda])*(T$1=Producción_Lecheria[Mes Financiero])*(T$2=Producción_Lecheria[Año Financiero])*(Producción_Lecheria[Financiero $Corrientes]))</f>
        <v>0</v>
      </c>
      <c r="U39" s="118">
        <f>SUMPRODUCT(($C$30=Producción_Lecheria[Movimiento])*($G39=Producción_Lecheria[Categoría Hacienda])*(U$1=Producción_Lecheria[Mes Financiero])*(U$2=Producción_Lecheria[Año Financiero])*(Producción_Lecheria[Financiero $Corrientes]))</f>
        <v>0</v>
      </c>
      <c r="V39" s="117">
        <f>SUMPRODUCT(($C$30=Producción_Lecheria[Movimiento])*($G39=Producción_Lecheria[Categoría Hacienda])*(V$1=Producción_Lecheria[Mes Financiero])*(V$2=Producción_Lecheria[Año Financiero])*(Producción_Lecheria[Financiero $Corrientes]))</f>
        <v>0</v>
      </c>
      <c r="W39" s="118">
        <f>SUMPRODUCT(($C$30=Producción_Lecheria[Movimiento])*($G39=Producción_Lecheria[Categoría Hacienda])*(W$1=Producción_Lecheria[Mes Financiero])*(W$2=Producción_Lecheria[Año Financiero])*(Producción_Lecheria[Financiero $Corrientes]))</f>
        <v>0</v>
      </c>
      <c r="X39" s="117">
        <f>SUMPRODUCT(($C$30=Producción_Lecheria[Movimiento])*($G39=Producción_Lecheria[Categoría Hacienda])*(X$1=Producción_Lecheria[Mes Financiero])*(X$2=Producción_Lecheria[Año Financiero])*(Producción_Lecheria[Financiero $Corrientes]))</f>
        <v>0</v>
      </c>
      <c r="Y39" s="118">
        <f>SUMPRODUCT(($C$30=Producción_Lecheria[Movimiento])*($G39=Producción_Lecheria[Categoría Hacienda])*(Y$1=Producción_Lecheria[Mes Financiero])*(Y$2=Producción_Lecheria[Año Financiero])*(Producción_Lecheria[Financiero $Corrientes]))</f>
        <v>0</v>
      </c>
      <c r="Z39" s="142">
        <f t="shared" si="3"/>
        <v>0</v>
      </c>
    </row>
    <row r="40" spans="2:30" hidden="1" outlineLevel="1" x14ac:dyDescent="0.25">
      <c r="F40" s="215">
        <f>IFERROR(MATCH(G40,Produccion_Lecheria[Categoría],0),0)</f>
        <v>9</v>
      </c>
      <c r="G40" s="229" t="str">
        <f>Configuración!BM13</f>
        <v>Vaca descarte</v>
      </c>
      <c r="H40" s="117">
        <f>SUMPRODUCT(($C$30=Producción_Lecheria[Movimiento])*($G40=Producción_Lecheria[Categoría Hacienda])*(H$1=Producción_Lecheria[Mes Financiero])*(H$2=Producción_Lecheria[Año Financiero])*(Producción_Lecheria[Financiero $Corrientes]))</f>
        <v>0</v>
      </c>
      <c r="I40" s="118">
        <f>SUMPRODUCT(($C$30=Producción_Lecheria[Movimiento])*($G40=Producción_Lecheria[Categoría Hacienda])*(I$1=Producción_Lecheria[Mes Financiero])*(I$2=Producción_Lecheria[Año Financiero])*(Producción_Lecheria[Financiero $Corrientes]))</f>
        <v>0</v>
      </c>
      <c r="J40" s="117">
        <f>SUMPRODUCT(($C$30=Producción_Lecheria[Movimiento])*($G40=Producción_Lecheria[Categoría Hacienda])*(J$1=Producción_Lecheria[Mes Financiero])*(J$2=Producción_Lecheria[Año Financiero])*(Producción_Lecheria[Financiero $Corrientes]))</f>
        <v>0</v>
      </c>
      <c r="K40" s="118">
        <f>SUMPRODUCT(($C$30=Producción_Lecheria[Movimiento])*($G40=Producción_Lecheria[Categoría Hacienda])*(K$1=Producción_Lecheria[Mes Financiero])*(K$2=Producción_Lecheria[Año Financiero])*(Producción_Lecheria[Financiero $Corrientes]))</f>
        <v>0</v>
      </c>
      <c r="L40" s="117">
        <f>SUMPRODUCT(($C$30=Producción_Lecheria[Movimiento])*($G40=Producción_Lecheria[Categoría Hacienda])*(L$1=Producción_Lecheria[Mes Financiero])*(L$2=Producción_Lecheria[Año Financiero])*(Producción_Lecheria[Financiero $Corrientes]))</f>
        <v>0</v>
      </c>
      <c r="M40" s="118">
        <f>SUMPRODUCT(($C$30=Producción_Lecheria[Movimiento])*($G40=Producción_Lecheria[Categoría Hacienda])*(M$1=Producción_Lecheria[Mes Financiero])*(M$2=Producción_Lecheria[Año Financiero])*(Producción_Lecheria[Financiero $Corrientes]))</f>
        <v>0</v>
      </c>
      <c r="N40" s="117">
        <f>SUMPRODUCT(($C$30=Producción_Lecheria[Movimiento])*($G40=Producción_Lecheria[Categoría Hacienda])*(N$1=Producción_Lecheria[Mes Financiero])*(N$2=Producción_Lecheria[Año Financiero])*(Producción_Lecheria[Financiero $Corrientes]))</f>
        <v>0</v>
      </c>
      <c r="O40" s="118">
        <f>SUMPRODUCT(($C$30=Producción_Lecheria[Movimiento])*($G40=Producción_Lecheria[Categoría Hacienda])*(O$1=Producción_Lecheria[Mes Financiero])*(O$2=Producción_Lecheria[Año Financiero])*(Producción_Lecheria[Financiero $Corrientes]))</f>
        <v>0</v>
      </c>
      <c r="P40" s="117">
        <f>SUMPRODUCT(($C$30=Producción_Lecheria[Movimiento])*($G40=Producción_Lecheria[Categoría Hacienda])*(P$1=Producción_Lecheria[Mes Financiero])*(P$2=Producción_Lecheria[Año Financiero])*(Producción_Lecheria[Financiero $Corrientes]))</f>
        <v>0</v>
      </c>
      <c r="Q40" s="118">
        <f>SUMPRODUCT(($C$30=Producción_Lecheria[Movimiento])*($G40=Producción_Lecheria[Categoría Hacienda])*(Q$1=Producción_Lecheria[Mes Financiero])*(Q$2=Producción_Lecheria[Año Financiero])*(Producción_Lecheria[Financiero $Corrientes]))</f>
        <v>0</v>
      </c>
      <c r="R40" s="117">
        <f>SUMPRODUCT(($C$30=Producción_Lecheria[Movimiento])*($G40=Producción_Lecheria[Categoría Hacienda])*(R$1=Producción_Lecheria[Mes Financiero])*(R$2=Producción_Lecheria[Año Financiero])*(Producción_Lecheria[Financiero $Corrientes]))</f>
        <v>0</v>
      </c>
      <c r="S40" s="118">
        <f>SUMPRODUCT(($C$30=Producción_Lecheria[Movimiento])*($G40=Producción_Lecheria[Categoría Hacienda])*(S$1=Producción_Lecheria[Mes Financiero])*(S$2=Producción_Lecheria[Año Financiero])*(Producción_Lecheria[Financiero $Corrientes]))</f>
        <v>0</v>
      </c>
      <c r="T40" s="117">
        <f>SUMPRODUCT(($C$30=Producción_Lecheria[Movimiento])*($G40=Producción_Lecheria[Categoría Hacienda])*(T$1=Producción_Lecheria[Mes Financiero])*(T$2=Producción_Lecheria[Año Financiero])*(Producción_Lecheria[Financiero $Corrientes]))</f>
        <v>0</v>
      </c>
      <c r="U40" s="118">
        <f>SUMPRODUCT(($C$30=Producción_Lecheria[Movimiento])*($G40=Producción_Lecheria[Categoría Hacienda])*(U$1=Producción_Lecheria[Mes Financiero])*(U$2=Producción_Lecheria[Año Financiero])*(Producción_Lecheria[Financiero $Corrientes]))</f>
        <v>0</v>
      </c>
      <c r="V40" s="117">
        <f>SUMPRODUCT(($C$30=Producción_Lecheria[Movimiento])*($G40=Producción_Lecheria[Categoría Hacienda])*(V$1=Producción_Lecheria[Mes Financiero])*(V$2=Producción_Lecheria[Año Financiero])*(Producción_Lecheria[Financiero $Corrientes]))</f>
        <v>0</v>
      </c>
      <c r="W40" s="118">
        <f>SUMPRODUCT(($C$30=Producción_Lecheria[Movimiento])*($G40=Producción_Lecheria[Categoría Hacienda])*(W$1=Producción_Lecheria[Mes Financiero])*(W$2=Producción_Lecheria[Año Financiero])*(Producción_Lecheria[Financiero $Corrientes]))</f>
        <v>0</v>
      </c>
      <c r="X40" s="117">
        <f>SUMPRODUCT(($C$30=Producción_Lecheria[Movimiento])*($G40=Producción_Lecheria[Categoría Hacienda])*(X$1=Producción_Lecheria[Mes Financiero])*(X$2=Producción_Lecheria[Año Financiero])*(Producción_Lecheria[Financiero $Corrientes]))</f>
        <v>0</v>
      </c>
      <c r="Y40" s="118">
        <f>SUMPRODUCT(($C$30=Producción_Lecheria[Movimiento])*($G40=Producción_Lecheria[Categoría Hacienda])*(Y$1=Producción_Lecheria[Mes Financiero])*(Y$2=Producción_Lecheria[Año Financiero])*(Producción_Lecheria[Financiero $Corrientes]))</f>
        <v>0</v>
      </c>
      <c r="Z40" s="142">
        <f t="shared" si="3"/>
        <v>0</v>
      </c>
    </row>
    <row r="41" spans="2:30" hidden="1" outlineLevel="1" x14ac:dyDescent="0.25">
      <c r="F41" s="215">
        <f>IFERROR(MATCH(G41,Produccion_Lecheria[Categoría],0),0)</f>
        <v>10</v>
      </c>
      <c r="G41" s="229" t="str">
        <f>Configuración!BM14</f>
        <v>Toro Descarte</v>
      </c>
      <c r="H41" s="117">
        <f>SUMPRODUCT(($C$30=Producción_Lecheria[Movimiento])*($G41=Producción_Lecheria[Categoría Hacienda])*(H$1=Producción_Lecheria[Mes Financiero])*(H$2=Producción_Lecheria[Año Financiero])*(Producción_Lecheria[Financiero $Corrientes]))</f>
        <v>0</v>
      </c>
      <c r="I41" s="118">
        <f>SUMPRODUCT(($C$30=Producción_Lecheria[Movimiento])*($G41=Producción_Lecheria[Categoría Hacienda])*(I$1=Producción_Lecheria[Mes Financiero])*(I$2=Producción_Lecheria[Año Financiero])*(Producción_Lecheria[Financiero $Corrientes]))</f>
        <v>0</v>
      </c>
      <c r="J41" s="117">
        <f>SUMPRODUCT(($C$30=Producción_Lecheria[Movimiento])*($G41=Producción_Lecheria[Categoría Hacienda])*(J$1=Producción_Lecheria[Mes Financiero])*(J$2=Producción_Lecheria[Año Financiero])*(Producción_Lecheria[Financiero $Corrientes]))</f>
        <v>0</v>
      </c>
      <c r="K41" s="118">
        <f>SUMPRODUCT(($C$30=Producción_Lecheria[Movimiento])*($G41=Producción_Lecheria[Categoría Hacienda])*(K$1=Producción_Lecheria[Mes Financiero])*(K$2=Producción_Lecheria[Año Financiero])*(Producción_Lecheria[Financiero $Corrientes]))</f>
        <v>0</v>
      </c>
      <c r="L41" s="117">
        <f>SUMPRODUCT(($C$30=Producción_Lecheria[Movimiento])*($G41=Producción_Lecheria[Categoría Hacienda])*(L$1=Producción_Lecheria[Mes Financiero])*(L$2=Producción_Lecheria[Año Financiero])*(Producción_Lecheria[Financiero $Corrientes]))</f>
        <v>0</v>
      </c>
      <c r="M41" s="118">
        <f>SUMPRODUCT(($C$30=Producción_Lecheria[Movimiento])*($G41=Producción_Lecheria[Categoría Hacienda])*(M$1=Producción_Lecheria[Mes Financiero])*(M$2=Producción_Lecheria[Año Financiero])*(Producción_Lecheria[Financiero $Corrientes]))</f>
        <v>0</v>
      </c>
      <c r="N41" s="117">
        <f>SUMPRODUCT(($C$30=Producción_Lecheria[Movimiento])*($G41=Producción_Lecheria[Categoría Hacienda])*(N$1=Producción_Lecheria[Mes Financiero])*(N$2=Producción_Lecheria[Año Financiero])*(Producción_Lecheria[Financiero $Corrientes]))</f>
        <v>0</v>
      </c>
      <c r="O41" s="118">
        <f>SUMPRODUCT(($C$30=Producción_Lecheria[Movimiento])*($G41=Producción_Lecheria[Categoría Hacienda])*(O$1=Producción_Lecheria[Mes Financiero])*(O$2=Producción_Lecheria[Año Financiero])*(Producción_Lecheria[Financiero $Corrientes]))</f>
        <v>0</v>
      </c>
      <c r="P41" s="117">
        <f>SUMPRODUCT(($C$30=Producción_Lecheria[Movimiento])*($G41=Producción_Lecheria[Categoría Hacienda])*(P$1=Producción_Lecheria[Mes Financiero])*(P$2=Producción_Lecheria[Año Financiero])*(Producción_Lecheria[Financiero $Corrientes]))</f>
        <v>0</v>
      </c>
      <c r="Q41" s="118">
        <f>SUMPRODUCT(($C$30=Producción_Lecheria[Movimiento])*($G41=Producción_Lecheria[Categoría Hacienda])*(Q$1=Producción_Lecheria[Mes Financiero])*(Q$2=Producción_Lecheria[Año Financiero])*(Producción_Lecheria[Financiero $Corrientes]))</f>
        <v>0</v>
      </c>
      <c r="R41" s="117">
        <f>SUMPRODUCT(($C$30=Producción_Lecheria[Movimiento])*($G41=Producción_Lecheria[Categoría Hacienda])*(R$1=Producción_Lecheria[Mes Financiero])*(R$2=Producción_Lecheria[Año Financiero])*(Producción_Lecheria[Financiero $Corrientes]))</f>
        <v>0</v>
      </c>
      <c r="S41" s="118">
        <f>SUMPRODUCT(($C$30=Producción_Lecheria[Movimiento])*($G41=Producción_Lecheria[Categoría Hacienda])*(S$1=Producción_Lecheria[Mes Financiero])*(S$2=Producción_Lecheria[Año Financiero])*(Producción_Lecheria[Financiero $Corrientes]))</f>
        <v>0</v>
      </c>
      <c r="T41" s="117">
        <f>SUMPRODUCT(($C$30=Producción_Lecheria[Movimiento])*($G41=Producción_Lecheria[Categoría Hacienda])*(T$1=Producción_Lecheria[Mes Financiero])*(T$2=Producción_Lecheria[Año Financiero])*(Producción_Lecheria[Financiero $Corrientes]))</f>
        <v>0</v>
      </c>
      <c r="U41" s="118">
        <f>SUMPRODUCT(($C$30=Producción_Lecheria[Movimiento])*($G41=Producción_Lecheria[Categoría Hacienda])*(U$1=Producción_Lecheria[Mes Financiero])*(U$2=Producción_Lecheria[Año Financiero])*(Producción_Lecheria[Financiero $Corrientes]))</f>
        <v>0</v>
      </c>
      <c r="V41" s="117">
        <f>SUMPRODUCT(($C$30=Producción_Lecheria[Movimiento])*($G41=Producción_Lecheria[Categoría Hacienda])*(V$1=Producción_Lecheria[Mes Financiero])*(V$2=Producción_Lecheria[Año Financiero])*(Producción_Lecheria[Financiero $Corrientes]))</f>
        <v>0</v>
      </c>
      <c r="W41" s="118">
        <f>SUMPRODUCT(($C$30=Producción_Lecheria[Movimiento])*($G41=Producción_Lecheria[Categoría Hacienda])*(W$1=Producción_Lecheria[Mes Financiero])*(W$2=Producción_Lecheria[Año Financiero])*(Producción_Lecheria[Financiero $Corrientes]))</f>
        <v>0</v>
      </c>
      <c r="X41" s="117">
        <f>SUMPRODUCT(($C$30=Producción_Lecheria[Movimiento])*($G41=Producción_Lecheria[Categoría Hacienda])*(X$1=Producción_Lecheria[Mes Financiero])*(X$2=Producción_Lecheria[Año Financiero])*(Producción_Lecheria[Financiero $Corrientes]))</f>
        <v>0</v>
      </c>
      <c r="Y41" s="118">
        <f>SUMPRODUCT(($C$30=Producción_Lecheria[Movimiento])*($G41=Producción_Lecheria[Categoría Hacienda])*(Y$1=Producción_Lecheria[Mes Financiero])*(Y$2=Producción_Lecheria[Año Financiero])*(Producción_Lecheria[Financiero $Corrientes]))</f>
        <v>0</v>
      </c>
      <c r="Z41" s="142">
        <f t="shared" si="3"/>
        <v>0</v>
      </c>
    </row>
    <row r="42" spans="2:30" hidden="1" outlineLevel="1" x14ac:dyDescent="0.25">
      <c r="F42" s="215">
        <f>IFERROR(MATCH(G42,Produccion_Lecheria[Categoría],0),0)</f>
        <v>0</v>
      </c>
      <c r="G42" s="229">
        <f>Configuración!BM15</f>
        <v>0</v>
      </c>
      <c r="H42" s="117">
        <f>SUMPRODUCT(($C$30=Producción_Lecheria[Movimiento])*($G42=Producción_Lecheria[Categoría Hacienda])*(H$1=Producción_Lecheria[Mes Financiero])*(H$2=Producción_Lecheria[Año Financiero])*(Producción_Lecheria[Financiero $Corrientes]))</f>
        <v>0</v>
      </c>
      <c r="I42" s="118">
        <f>SUMPRODUCT(($C$30=Producción_Lecheria[Movimiento])*($G42=Producción_Lecheria[Categoría Hacienda])*(I$1=Producción_Lecheria[Mes Financiero])*(I$2=Producción_Lecheria[Año Financiero])*(Producción_Lecheria[Financiero $Corrientes]))</f>
        <v>0</v>
      </c>
      <c r="J42" s="117">
        <f>SUMPRODUCT(($C$30=Producción_Lecheria[Movimiento])*($G42=Producción_Lecheria[Categoría Hacienda])*(J$1=Producción_Lecheria[Mes Financiero])*(J$2=Producción_Lecheria[Año Financiero])*(Producción_Lecheria[Financiero $Corrientes]))</f>
        <v>0</v>
      </c>
      <c r="K42" s="118">
        <f>SUMPRODUCT(($C$30=Producción_Lecheria[Movimiento])*($G42=Producción_Lecheria[Categoría Hacienda])*(K$1=Producción_Lecheria[Mes Financiero])*(K$2=Producción_Lecheria[Año Financiero])*(Producción_Lecheria[Financiero $Corrientes]))</f>
        <v>0</v>
      </c>
      <c r="L42" s="117">
        <f>SUMPRODUCT(($C$30=Producción_Lecheria[Movimiento])*($G42=Producción_Lecheria[Categoría Hacienda])*(L$1=Producción_Lecheria[Mes Financiero])*(L$2=Producción_Lecheria[Año Financiero])*(Producción_Lecheria[Financiero $Corrientes]))</f>
        <v>0</v>
      </c>
      <c r="M42" s="118">
        <f>SUMPRODUCT(($C$30=Producción_Lecheria[Movimiento])*($G42=Producción_Lecheria[Categoría Hacienda])*(M$1=Producción_Lecheria[Mes Financiero])*(M$2=Producción_Lecheria[Año Financiero])*(Producción_Lecheria[Financiero $Corrientes]))</f>
        <v>0</v>
      </c>
      <c r="N42" s="117">
        <f>SUMPRODUCT(($C$30=Producción_Lecheria[Movimiento])*($G42=Producción_Lecheria[Categoría Hacienda])*(N$1=Producción_Lecheria[Mes Financiero])*(N$2=Producción_Lecheria[Año Financiero])*(Producción_Lecheria[Financiero $Corrientes]))</f>
        <v>0</v>
      </c>
      <c r="O42" s="118">
        <f>SUMPRODUCT(($C$30=Producción_Lecheria[Movimiento])*($G42=Producción_Lecheria[Categoría Hacienda])*(O$1=Producción_Lecheria[Mes Financiero])*(O$2=Producción_Lecheria[Año Financiero])*(Producción_Lecheria[Financiero $Corrientes]))</f>
        <v>0</v>
      </c>
      <c r="P42" s="117">
        <f>SUMPRODUCT(($C$30=Producción_Lecheria[Movimiento])*($G42=Producción_Lecheria[Categoría Hacienda])*(P$1=Producción_Lecheria[Mes Financiero])*(P$2=Producción_Lecheria[Año Financiero])*(Producción_Lecheria[Financiero $Corrientes]))</f>
        <v>0</v>
      </c>
      <c r="Q42" s="118">
        <f>SUMPRODUCT(($C$30=Producción_Lecheria[Movimiento])*($G42=Producción_Lecheria[Categoría Hacienda])*(Q$1=Producción_Lecheria[Mes Financiero])*(Q$2=Producción_Lecheria[Año Financiero])*(Producción_Lecheria[Financiero $Corrientes]))</f>
        <v>0</v>
      </c>
      <c r="R42" s="117">
        <f>SUMPRODUCT(($C$30=Producción_Lecheria[Movimiento])*($G42=Producción_Lecheria[Categoría Hacienda])*(R$1=Producción_Lecheria[Mes Financiero])*(R$2=Producción_Lecheria[Año Financiero])*(Producción_Lecheria[Financiero $Corrientes]))</f>
        <v>0</v>
      </c>
      <c r="S42" s="118">
        <f>SUMPRODUCT(($C$30=Producción_Lecheria[Movimiento])*($G42=Producción_Lecheria[Categoría Hacienda])*(S$1=Producción_Lecheria[Mes Financiero])*(S$2=Producción_Lecheria[Año Financiero])*(Producción_Lecheria[Financiero $Corrientes]))</f>
        <v>0</v>
      </c>
      <c r="T42" s="117">
        <f>SUMPRODUCT(($C$30=Producción_Lecheria[Movimiento])*($G42=Producción_Lecheria[Categoría Hacienda])*(T$1=Producción_Lecheria[Mes Financiero])*(T$2=Producción_Lecheria[Año Financiero])*(Producción_Lecheria[Financiero $Corrientes]))</f>
        <v>0</v>
      </c>
      <c r="U42" s="118">
        <f>SUMPRODUCT(($C$30=Producción_Lecheria[Movimiento])*($G42=Producción_Lecheria[Categoría Hacienda])*(U$1=Producción_Lecheria[Mes Financiero])*(U$2=Producción_Lecheria[Año Financiero])*(Producción_Lecheria[Financiero $Corrientes]))</f>
        <v>0</v>
      </c>
      <c r="V42" s="117">
        <f>SUMPRODUCT(($C$30=Producción_Lecheria[Movimiento])*($G42=Producción_Lecheria[Categoría Hacienda])*(V$1=Producción_Lecheria[Mes Financiero])*(V$2=Producción_Lecheria[Año Financiero])*(Producción_Lecheria[Financiero $Corrientes]))</f>
        <v>0</v>
      </c>
      <c r="W42" s="118">
        <f>SUMPRODUCT(($C$30=Producción_Lecheria[Movimiento])*($G42=Producción_Lecheria[Categoría Hacienda])*(W$1=Producción_Lecheria[Mes Financiero])*(W$2=Producción_Lecheria[Año Financiero])*(Producción_Lecheria[Financiero $Corrientes]))</f>
        <v>0</v>
      </c>
      <c r="X42" s="117">
        <f>SUMPRODUCT(($C$30=Producción_Lecheria[Movimiento])*($G42=Producción_Lecheria[Categoría Hacienda])*(X$1=Producción_Lecheria[Mes Financiero])*(X$2=Producción_Lecheria[Año Financiero])*(Producción_Lecheria[Financiero $Corrientes]))</f>
        <v>0</v>
      </c>
      <c r="Y42" s="118">
        <f>SUMPRODUCT(($C$30=Producción_Lecheria[Movimiento])*($G42=Producción_Lecheria[Categoría Hacienda])*(Y$1=Producción_Lecheria[Mes Financiero])*(Y$2=Producción_Lecheria[Año Financiero])*(Producción_Lecheria[Financiero $Corrientes]))</f>
        <v>0</v>
      </c>
      <c r="Z42" s="142">
        <f t="shared" si="3"/>
        <v>0</v>
      </c>
    </row>
    <row r="43" spans="2:30" hidden="1" outlineLevel="1" x14ac:dyDescent="0.25">
      <c r="B43" s="166" t="s">
        <v>101</v>
      </c>
      <c r="F43" s="216">
        <f>IFERROR(MATCH(G43,Produccion_Lecheria[Categoría],0),0)</f>
        <v>0</v>
      </c>
      <c r="G43" s="230">
        <f>Configuración!BM16</f>
        <v>0</v>
      </c>
      <c r="H43" s="128">
        <f>SUMPRODUCT(($C$30=Producción_Lecheria[Movimiento])*($G43=Producción_Lecheria[Categoría Hacienda])*(H$1=Producción_Lecheria[Mes Financiero])*(H$2=Producción_Lecheria[Año Financiero])*(Producción_Lecheria[Financiero $Corrientes]))</f>
        <v>0</v>
      </c>
      <c r="I43" s="129">
        <f>SUMPRODUCT(($C$30=Producción_Lecheria[Movimiento])*($G43=Producción_Lecheria[Categoría Hacienda])*(I$1=Producción_Lecheria[Mes Financiero])*(I$2=Producción_Lecheria[Año Financiero])*(Producción_Lecheria[Financiero $Corrientes]))</f>
        <v>0</v>
      </c>
      <c r="J43" s="128">
        <f>SUMPRODUCT(($C$30=Producción_Lecheria[Movimiento])*($G43=Producción_Lecheria[Categoría Hacienda])*(J$1=Producción_Lecheria[Mes Financiero])*(J$2=Producción_Lecheria[Año Financiero])*(Producción_Lecheria[Financiero $Corrientes]))</f>
        <v>0</v>
      </c>
      <c r="K43" s="129">
        <f>SUMPRODUCT(($C$30=Producción_Lecheria[Movimiento])*($G43=Producción_Lecheria[Categoría Hacienda])*(K$1=Producción_Lecheria[Mes Financiero])*(K$2=Producción_Lecheria[Año Financiero])*(Producción_Lecheria[Financiero $Corrientes]))</f>
        <v>0</v>
      </c>
      <c r="L43" s="128">
        <f>SUMPRODUCT(($C$30=Producción_Lecheria[Movimiento])*($G43=Producción_Lecheria[Categoría Hacienda])*(L$1=Producción_Lecheria[Mes Financiero])*(L$2=Producción_Lecheria[Año Financiero])*(Producción_Lecheria[Financiero $Corrientes]))</f>
        <v>0</v>
      </c>
      <c r="M43" s="129">
        <f>SUMPRODUCT(($C$30=Producción_Lecheria[Movimiento])*($G43=Producción_Lecheria[Categoría Hacienda])*(M$1=Producción_Lecheria[Mes Financiero])*(M$2=Producción_Lecheria[Año Financiero])*(Producción_Lecheria[Financiero $Corrientes]))</f>
        <v>0</v>
      </c>
      <c r="N43" s="128">
        <f>SUMPRODUCT(($C$30=Producción_Lecheria[Movimiento])*($G43=Producción_Lecheria[Categoría Hacienda])*(N$1=Producción_Lecheria[Mes Financiero])*(N$2=Producción_Lecheria[Año Financiero])*(Producción_Lecheria[Financiero $Corrientes]))</f>
        <v>0</v>
      </c>
      <c r="O43" s="129">
        <f>SUMPRODUCT(($C$30=Producción_Lecheria[Movimiento])*($G43=Producción_Lecheria[Categoría Hacienda])*(O$1=Producción_Lecheria[Mes Financiero])*(O$2=Producción_Lecheria[Año Financiero])*(Producción_Lecheria[Financiero $Corrientes]))</f>
        <v>0</v>
      </c>
      <c r="P43" s="128">
        <f>SUMPRODUCT(($C$30=Producción_Lecheria[Movimiento])*($G43=Producción_Lecheria[Categoría Hacienda])*(P$1=Producción_Lecheria[Mes Financiero])*(P$2=Producción_Lecheria[Año Financiero])*(Producción_Lecheria[Financiero $Corrientes]))</f>
        <v>0</v>
      </c>
      <c r="Q43" s="129">
        <f>SUMPRODUCT(($C$30=Producción_Lecheria[Movimiento])*($G43=Producción_Lecheria[Categoría Hacienda])*(Q$1=Producción_Lecheria[Mes Financiero])*(Q$2=Producción_Lecheria[Año Financiero])*(Producción_Lecheria[Financiero $Corrientes]))</f>
        <v>0</v>
      </c>
      <c r="R43" s="128">
        <f>SUMPRODUCT(($C$30=Producción_Lecheria[Movimiento])*($G43=Producción_Lecheria[Categoría Hacienda])*(R$1=Producción_Lecheria[Mes Financiero])*(R$2=Producción_Lecheria[Año Financiero])*(Producción_Lecheria[Financiero $Corrientes]))</f>
        <v>0</v>
      </c>
      <c r="S43" s="129">
        <f>SUMPRODUCT(($C$30=Producción_Lecheria[Movimiento])*($G43=Producción_Lecheria[Categoría Hacienda])*(S$1=Producción_Lecheria[Mes Financiero])*(S$2=Producción_Lecheria[Año Financiero])*(Producción_Lecheria[Financiero $Corrientes]))</f>
        <v>0</v>
      </c>
      <c r="T43" s="128">
        <f>SUMPRODUCT(($C$30=Producción_Lecheria[Movimiento])*($G43=Producción_Lecheria[Categoría Hacienda])*(T$1=Producción_Lecheria[Mes Financiero])*(T$2=Producción_Lecheria[Año Financiero])*(Producción_Lecheria[Financiero $Corrientes]))</f>
        <v>0</v>
      </c>
      <c r="U43" s="129">
        <f>SUMPRODUCT(($C$30=Producción_Lecheria[Movimiento])*($G43=Producción_Lecheria[Categoría Hacienda])*(U$1=Producción_Lecheria[Mes Financiero])*(U$2=Producción_Lecheria[Año Financiero])*(Producción_Lecheria[Financiero $Corrientes]))</f>
        <v>0</v>
      </c>
      <c r="V43" s="128">
        <f>SUMPRODUCT(($C$30=Producción_Lecheria[Movimiento])*($G43=Producción_Lecheria[Categoría Hacienda])*(V$1=Producción_Lecheria[Mes Financiero])*(V$2=Producción_Lecheria[Año Financiero])*(Producción_Lecheria[Financiero $Corrientes]))</f>
        <v>0</v>
      </c>
      <c r="W43" s="129">
        <f>SUMPRODUCT(($C$30=Producción_Lecheria[Movimiento])*($G43=Producción_Lecheria[Categoría Hacienda])*(W$1=Producción_Lecheria[Mes Financiero])*(W$2=Producción_Lecheria[Año Financiero])*(Producción_Lecheria[Financiero $Corrientes]))</f>
        <v>0</v>
      </c>
      <c r="X43" s="128">
        <f>SUMPRODUCT(($C$30=Producción_Lecheria[Movimiento])*($G43=Producción_Lecheria[Categoría Hacienda])*(X$1=Producción_Lecheria[Mes Financiero])*(X$2=Producción_Lecheria[Año Financiero])*(Producción_Lecheria[Financiero $Corrientes]))</f>
        <v>0</v>
      </c>
      <c r="Y43" s="129">
        <f>SUMPRODUCT(($C$30=Producción_Lecheria[Movimiento])*($G43=Producción_Lecheria[Categoría Hacienda])*(Y$1=Producción_Lecheria[Mes Financiero])*(Y$2=Producción_Lecheria[Año Financiero])*(Producción_Lecheria[Financiero $Corrientes]))</f>
        <v>0</v>
      </c>
      <c r="Z43" s="143">
        <f t="shared" si="3"/>
        <v>0</v>
      </c>
    </row>
    <row r="44" spans="2:30" collapsed="1" x14ac:dyDescent="0.25">
      <c r="B44" s="175"/>
      <c r="D44" s="102"/>
      <c r="E44" s="120"/>
      <c r="F44" s="126" t="s">
        <v>215</v>
      </c>
      <c r="G44" s="123"/>
      <c r="H44" s="208">
        <f>SUMPRODUCT(($C$30=Producción_Lecheria[Movimiento])*(H$1=Producción_Lecheria[Mes Financiero])*(H$2=Producción_Lecheria[Año Financiero])*(Producción_Lecheria[Financiero $Corrientes]))-H30-H31</f>
        <v>0</v>
      </c>
      <c r="I44" s="209">
        <f>SUMPRODUCT(($C$30=Producción_Lecheria[Movimiento])*(I$1=Producción_Lecheria[Mes Financiero])*(I$2=Producción_Lecheria[Año Financiero])*(Producción_Lecheria[Financiero $Corrientes]))-I30-I31</f>
        <v>0</v>
      </c>
      <c r="J44" s="208">
        <f>SUMPRODUCT(($C$30=Producción_Lecheria[Movimiento])*(J$1=Producción_Lecheria[Mes Financiero])*(J$2=Producción_Lecheria[Año Financiero])*(Producción_Lecheria[Financiero $Corrientes]))-J30-J31</f>
        <v>0</v>
      </c>
      <c r="K44" s="209">
        <f>SUMPRODUCT(($C$30=Producción_Lecheria[Movimiento])*(K$1=Producción_Lecheria[Mes Financiero])*(K$2=Producción_Lecheria[Año Financiero])*(Producción_Lecheria[Financiero $Corrientes]))-K30-K31</f>
        <v>0</v>
      </c>
      <c r="L44" s="208">
        <f>SUMPRODUCT(($C$30=Producción_Lecheria[Movimiento])*(L$1=Producción_Lecheria[Mes Financiero])*(L$2=Producción_Lecheria[Año Financiero])*(Producción_Lecheria[Financiero $Corrientes]))-L30-L31</f>
        <v>0</v>
      </c>
      <c r="M44" s="209">
        <f>SUMPRODUCT(($C$30=Producción_Lecheria[Movimiento])*(M$1=Producción_Lecheria[Mes Financiero])*(M$2=Producción_Lecheria[Año Financiero])*(Producción_Lecheria[Financiero $Corrientes]))-M30-M31</f>
        <v>0</v>
      </c>
      <c r="N44" s="208">
        <f>SUMPRODUCT(($C$30=Producción_Lecheria[Movimiento])*(N$1=Producción_Lecheria[Mes Financiero])*(N$2=Producción_Lecheria[Año Financiero])*(Producción_Lecheria[Financiero $Corrientes]))-N30-N31</f>
        <v>0</v>
      </c>
      <c r="O44" s="209">
        <f>SUMPRODUCT(($C$30=Producción_Lecheria[Movimiento])*(O$1=Producción_Lecheria[Mes Financiero])*(O$2=Producción_Lecheria[Año Financiero])*(Producción_Lecheria[Financiero $Corrientes]))-O30-O31</f>
        <v>0</v>
      </c>
      <c r="P44" s="208">
        <f>SUMPRODUCT(($C$30=Producción_Lecheria[Movimiento])*(P$1=Producción_Lecheria[Mes Financiero])*(P$2=Producción_Lecheria[Año Financiero])*(Producción_Lecheria[Financiero $Corrientes]))-P30-P31</f>
        <v>0</v>
      </c>
      <c r="Q44" s="209">
        <f>SUMPRODUCT(($C$30=Producción_Lecheria[Movimiento])*(Q$1=Producción_Lecheria[Mes Financiero])*(Q$2=Producción_Lecheria[Año Financiero])*(Producción_Lecheria[Financiero $Corrientes]))-Q30-Q31</f>
        <v>0</v>
      </c>
      <c r="R44" s="208">
        <f>SUMPRODUCT(($C$30=Producción_Lecheria[Movimiento])*(R$1=Producción_Lecheria[Mes Financiero])*(R$2=Producción_Lecheria[Año Financiero])*(Producción_Lecheria[Financiero $Corrientes]))-R30-R31</f>
        <v>0</v>
      </c>
      <c r="S44" s="209">
        <f>SUMPRODUCT(($C$30=Producción_Lecheria[Movimiento])*(S$1=Producción_Lecheria[Mes Financiero])*(S$2=Producción_Lecheria[Año Financiero])*(Producción_Lecheria[Financiero $Corrientes]))-S30-S31</f>
        <v>0</v>
      </c>
      <c r="T44" s="208">
        <f>SUMPRODUCT(($C$30=Producción_Lecheria[Movimiento])*(T$1=Producción_Lecheria[Mes Financiero])*(T$2=Producción_Lecheria[Año Financiero])*(Producción_Lecheria[Financiero $Corrientes]))-T30-T31</f>
        <v>0</v>
      </c>
      <c r="U44" s="209">
        <f>SUMPRODUCT(($C$30=Producción_Lecheria[Movimiento])*(U$1=Producción_Lecheria[Mes Financiero])*(U$2=Producción_Lecheria[Año Financiero])*(Producción_Lecheria[Financiero $Corrientes]))-U30-U31</f>
        <v>0</v>
      </c>
      <c r="V44" s="208">
        <f>SUMPRODUCT(($C$30=Producción_Lecheria[Movimiento])*(V$1=Producción_Lecheria[Mes Financiero])*(V$2=Producción_Lecheria[Año Financiero])*(Producción_Lecheria[Financiero $Corrientes]))-V30-V31</f>
        <v>0</v>
      </c>
      <c r="W44" s="209">
        <f>SUMPRODUCT(($C$30=Producción_Lecheria[Movimiento])*(W$1=Producción_Lecheria[Mes Financiero])*(W$2=Producción_Lecheria[Año Financiero])*(Producción_Lecheria[Financiero $Corrientes]))-W30-W31</f>
        <v>0</v>
      </c>
      <c r="X44" s="208">
        <f>SUMPRODUCT(($C$30=Producción_Lecheria[Movimiento])*(X$1=Producción_Lecheria[Mes Financiero])*(X$2=Producción_Lecheria[Año Financiero])*(Producción_Lecheria[Financiero $Corrientes]))-X30-X31</f>
        <v>0</v>
      </c>
      <c r="Y44" s="209">
        <f>SUMPRODUCT(($C$30=Producción_Lecheria[Movimiento])*(Y$1=Producción_Lecheria[Mes Financiero])*(Y$2=Producción_Lecheria[Año Financiero])*(Producción_Lecheria[Financiero $Corrientes]))-Y30-Y31</f>
        <v>0</v>
      </c>
      <c r="Z44" s="146">
        <f t="shared" si="3"/>
        <v>0</v>
      </c>
    </row>
    <row r="45" spans="2:30" x14ac:dyDescent="0.25">
      <c r="B45" s="175"/>
      <c r="C45" s="210" t="s">
        <v>37</v>
      </c>
      <c r="D45" s="381" t="s">
        <v>199</v>
      </c>
      <c r="E45" s="223">
        <f>IFERROR(MATCH(F45,Otras_Actividades_Cuentas[Cuenta Contable],0),0)</f>
        <v>2</v>
      </c>
      <c r="F45" s="92" t="s">
        <v>56</v>
      </c>
      <c r="G45" s="138"/>
      <c r="H45" s="99">
        <f>SUMPRODUCT(($C$45=Otras_Actividades_Base[Movimiento])*($F45=Otras_Actividades_Base[Cuenta Contable])*(H$1=Otras_Actividades_Base[Mes Financiero])*(H$2=Otras_Actividades_Base[Año Financiero])*(Otras_Actividades_Base[Financiero $Corrientes]))</f>
        <v>0</v>
      </c>
      <c r="I45" s="100">
        <f>SUMPRODUCT(($C$45=Otras_Actividades_Base[Movimiento])*($F45=Otras_Actividades_Base[Cuenta Contable])*(I$1=Otras_Actividades_Base[Mes Financiero])*(I$2=Otras_Actividades_Base[Año Financiero])*(Otras_Actividades_Base[Financiero $Corrientes]))</f>
        <v>0</v>
      </c>
      <c r="J45" s="99">
        <f>SUMPRODUCT(($C$45=Otras_Actividades_Base[Movimiento])*($F45=Otras_Actividades_Base[Cuenta Contable])*(J$1=Otras_Actividades_Base[Mes Financiero])*(J$2=Otras_Actividades_Base[Año Financiero])*(Otras_Actividades_Base[Financiero $Corrientes]))</f>
        <v>0</v>
      </c>
      <c r="K45" s="100">
        <f>SUMPRODUCT(($C$45=Otras_Actividades_Base[Movimiento])*($F45=Otras_Actividades_Base[Cuenta Contable])*(K$1=Otras_Actividades_Base[Mes Financiero])*(K$2=Otras_Actividades_Base[Año Financiero])*(Otras_Actividades_Base[Financiero $Corrientes]))</f>
        <v>0</v>
      </c>
      <c r="L45" s="99">
        <f>SUMPRODUCT(($C$45=Otras_Actividades_Base[Movimiento])*($F45=Otras_Actividades_Base[Cuenta Contable])*(L$1=Otras_Actividades_Base[Mes Financiero])*(L$2=Otras_Actividades_Base[Año Financiero])*(Otras_Actividades_Base[Financiero $Corrientes]))</f>
        <v>0</v>
      </c>
      <c r="M45" s="100">
        <f>SUMPRODUCT(($C$45=Otras_Actividades_Base[Movimiento])*($F45=Otras_Actividades_Base[Cuenta Contable])*(M$1=Otras_Actividades_Base[Mes Financiero])*(M$2=Otras_Actividades_Base[Año Financiero])*(Otras_Actividades_Base[Financiero $Corrientes]))</f>
        <v>0</v>
      </c>
      <c r="N45" s="99">
        <f>SUMPRODUCT(($C$45=Otras_Actividades_Base[Movimiento])*($F45=Otras_Actividades_Base[Cuenta Contable])*(N$1=Otras_Actividades_Base[Mes Financiero])*(N$2=Otras_Actividades_Base[Año Financiero])*(Otras_Actividades_Base[Financiero $Corrientes]))</f>
        <v>0</v>
      </c>
      <c r="O45" s="100">
        <f>SUMPRODUCT(($C$45=Otras_Actividades_Base[Movimiento])*($F45=Otras_Actividades_Base[Cuenta Contable])*(O$1=Otras_Actividades_Base[Mes Financiero])*(O$2=Otras_Actividades_Base[Año Financiero])*(Otras_Actividades_Base[Financiero $Corrientes]))</f>
        <v>0</v>
      </c>
      <c r="P45" s="99">
        <f>SUMPRODUCT(($C$45=Otras_Actividades_Base[Movimiento])*($F45=Otras_Actividades_Base[Cuenta Contable])*(P$1=Otras_Actividades_Base[Mes Financiero])*(P$2=Otras_Actividades_Base[Año Financiero])*(Otras_Actividades_Base[Financiero $Corrientes]))</f>
        <v>0</v>
      </c>
      <c r="Q45" s="100">
        <f>SUMPRODUCT(($C$45=Otras_Actividades_Base[Movimiento])*($F45=Otras_Actividades_Base[Cuenta Contable])*(Q$1=Otras_Actividades_Base[Mes Financiero])*(Q$2=Otras_Actividades_Base[Año Financiero])*(Otras_Actividades_Base[Financiero $Corrientes]))</f>
        <v>0</v>
      </c>
      <c r="R45" s="99">
        <f>SUMPRODUCT(($C$45=Otras_Actividades_Base[Movimiento])*($F45=Otras_Actividades_Base[Cuenta Contable])*(R$1=Otras_Actividades_Base[Mes Financiero])*(R$2=Otras_Actividades_Base[Año Financiero])*(Otras_Actividades_Base[Financiero $Corrientes]))</f>
        <v>0</v>
      </c>
      <c r="S45" s="100">
        <f>SUMPRODUCT(($C$45=Otras_Actividades_Base[Movimiento])*($F45=Otras_Actividades_Base[Cuenta Contable])*(S$1=Otras_Actividades_Base[Mes Financiero])*(S$2=Otras_Actividades_Base[Año Financiero])*(Otras_Actividades_Base[Financiero $Corrientes]))</f>
        <v>0</v>
      </c>
      <c r="T45" s="99">
        <f>SUMPRODUCT(($C$45=Otras_Actividades_Base[Movimiento])*($F45=Otras_Actividades_Base[Cuenta Contable])*(T$1=Otras_Actividades_Base[Mes Financiero])*(T$2=Otras_Actividades_Base[Año Financiero])*(Otras_Actividades_Base[Financiero $Corrientes]))</f>
        <v>0</v>
      </c>
      <c r="U45" s="100">
        <f>SUMPRODUCT(($C$45=Otras_Actividades_Base[Movimiento])*($F45=Otras_Actividades_Base[Cuenta Contable])*(U$1=Otras_Actividades_Base[Mes Financiero])*(U$2=Otras_Actividades_Base[Año Financiero])*(Otras_Actividades_Base[Financiero $Corrientes]))</f>
        <v>0</v>
      </c>
      <c r="V45" s="99">
        <f>SUMPRODUCT(($C$45=Otras_Actividades_Base[Movimiento])*($F45=Otras_Actividades_Base[Cuenta Contable])*(V$1=Otras_Actividades_Base[Mes Financiero])*(V$2=Otras_Actividades_Base[Año Financiero])*(Otras_Actividades_Base[Financiero $Corrientes]))</f>
        <v>0</v>
      </c>
      <c r="W45" s="100">
        <f>SUMPRODUCT(($C$45=Otras_Actividades_Base[Movimiento])*($F45=Otras_Actividades_Base[Cuenta Contable])*(W$1=Otras_Actividades_Base[Mes Financiero])*(W$2=Otras_Actividades_Base[Año Financiero])*(Otras_Actividades_Base[Financiero $Corrientes]))</f>
        <v>0</v>
      </c>
      <c r="X45" s="99">
        <f>SUMPRODUCT(($C$45=Otras_Actividades_Base[Movimiento])*($F45=Otras_Actividades_Base[Cuenta Contable])*(X$1=Otras_Actividades_Base[Mes Financiero])*(X$2=Otras_Actividades_Base[Año Financiero])*(Otras_Actividades_Base[Financiero $Corrientes]))</f>
        <v>0</v>
      </c>
      <c r="Y45" s="100">
        <f>SUMPRODUCT(($C$45=Otras_Actividades_Base[Movimiento])*($F45=Otras_Actividades_Base[Cuenta Contable])*(Y$1=Otras_Actividades_Base[Mes Financiero])*(Y$2=Otras_Actividades_Base[Año Financiero])*(Otras_Actividades_Base[Financiero $Corrientes]))</f>
        <v>0</v>
      </c>
      <c r="Z45" s="139">
        <f t="shared" si="3"/>
        <v>0</v>
      </c>
      <c r="AC45" s="281">
        <f>SUMPRODUCT((F45=Otras_Actividades_Cuentas[Cuenta Contable])*(Otras_Actividades_Cuentas[IVA]))</f>
        <v>0</v>
      </c>
      <c r="AD45" s="281">
        <v>0.05</v>
      </c>
    </row>
    <row r="46" spans="2:30" x14ac:dyDescent="0.25">
      <c r="B46" s="175"/>
      <c r="E46" s="223">
        <f>IFERROR(MATCH(F46,Otras_Actividades_Cuentas[Cuenta Contable],0),0)</f>
        <v>1</v>
      </c>
      <c r="F46" s="92" t="s">
        <v>202</v>
      </c>
      <c r="G46" s="138"/>
      <c r="H46" s="99">
        <f>SUMPRODUCT(($C$45=Otras_Actividades_Base[Movimiento])*($F46=Otras_Actividades_Base[Cuenta Contable])*(H$1=Otras_Actividades_Base[Mes Financiero])*(H$2=Otras_Actividades_Base[Año Financiero])*(Otras_Actividades_Base[Financiero $Corrientes]))</f>
        <v>0</v>
      </c>
      <c r="I46" s="100">
        <f>SUMPRODUCT(($C$45=Otras_Actividades_Base[Movimiento])*($F46=Otras_Actividades_Base[Cuenta Contable])*(I$1=Otras_Actividades_Base[Mes Financiero])*(I$2=Otras_Actividades_Base[Año Financiero])*(Otras_Actividades_Base[Financiero $Corrientes]))</f>
        <v>0</v>
      </c>
      <c r="J46" s="99">
        <f>SUMPRODUCT(($C$45=Otras_Actividades_Base[Movimiento])*($F46=Otras_Actividades_Base[Cuenta Contable])*(J$1=Otras_Actividades_Base[Mes Financiero])*(J$2=Otras_Actividades_Base[Año Financiero])*(Otras_Actividades_Base[Financiero $Corrientes]))</f>
        <v>0</v>
      </c>
      <c r="K46" s="100">
        <f>SUMPRODUCT(($C$45=Otras_Actividades_Base[Movimiento])*($F46=Otras_Actividades_Base[Cuenta Contable])*(K$1=Otras_Actividades_Base[Mes Financiero])*(K$2=Otras_Actividades_Base[Año Financiero])*(Otras_Actividades_Base[Financiero $Corrientes]))</f>
        <v>0</v>
      </c>
      <c r="L46" s="99">
        <f>SUMPRODUCT(($C$45=Otras_Actividades_Base[Movimiento])*($F46=Otras_Actividades_Base[Cuenta Contable])*(L$1=Otras_Actividades_Base[Mes Financiero])*(L$2=Otras_Actividades_Base[Año Financiero])*(Otras_Actividades_Base[Financiero $Corrientes]))</f>
        <v>0</v>
      </c>
      <c r="M46" s="100">
        <f>SUMPRODUCT(($C$45=Otras_Actividades_Base[Movimiento])*($F46=Otras_Actividades_Base[Cuenta Contable])*(M$1=Otras_Actividades_Base[Mes Financiero])*(M$2=Otras_Actividades_Base[Año Financiero])*(Otras_Actividades_Base[Financiero $Corrientes]))</f>
        <v>0</v>
      </c>
      <c r="N46" s="99">
        <f>SUMPRODUCT(($C$45=Otras_Actividades_Base[Movimiento])*($F46=Otras_Actividades_Base[Cuenta Contable])*(N$1=Otras_Actividades_Base[Mes Financiero])*(N$2=Otras_Actividades_Base[Año Financiero])*(Otras_Actividades_Base[Financiero $Corrientes]))</f>
        <v>0</v>
      </c>
      <c r="O46" s="100">
        <f>SUMPRODUCT(($C$45=Otras_Actividades_Base[Movimiento])*($F46=Otras_Actividades_Base[Cuenta Contable])*(O$1=Otras_Actividades_Base[Mes Financiero])*(O$2=Otras_Actividades_Base[Año Financiero])*(Otras_Actividades_Base[Financiero $Corrientes]))</f>
        <v>0</v>
      </c>
      <c r="P46" s="99">
        <f>SUMPRODUCT(($C$45=Otras_Actividades_Base[Movimiento])*($F46=Otras_Actividades_Base[Cuenta Contable])*(P$1=Otras_Actividades_Base[Mes Financiero])*(P$2=Otras_Actividades_Base[Año Financiero])*(Otras_Actividades_Base[Financiero $Corrientes]))</f>
        <v>0</v>
      </c>
      <c r="Q46" s="100">
        <f>SUMPRODUCT(($C$45=Otras_Actividades_Base[Movimiento])*($F46=Otras_Actividades_Base[Cuenta Contable])*(Q$1=Otras_Actividades_Base[Mes Financiero])*(Q$2=Otras_Actividades_Base[Año Financiero])*(Otras_Actividades_Base[Financiero $Corrientes]))</f>
        <v>0</v>
      </c>
      <c r="R46" s="99">
        <f>SUMPRODUCT(($C$45=Otras_Actividades_Base[Movimiento])*($F46=Otras_Actividades_Base[Cuenta Contable])*(R$1=Otras_Actividades_Base[Mes Financiero])*(R$2=Otras_Actividades_Base[Año Financiero])*(Otras_Actividades_Base[Financiero $Corrientes]))</f>
        <v>0</v>
      </c>
      <c r="S46" s="100">
        <f>SUMPRODUCT(($C$45=Otras_Actividades_Base[Movimiento])*($F46=Otras_Actividades_Base[Cuenta Contable])*(S$1=Otras_Actividades_Base[Mes Financiero])*(S$2=Otras_Actividades_Base[Año Financiero])*(Otras_Actividades_Base[Financiero $Corrientes]))</f>
        <v>0</v>
      </c>
      <c r="T46" s="99">
        <f>SUMPRODUCT(($C$45=Otras_Actividades_Base[Movimiento])*($F46=Otras_Actividades_Base[Cuenta Contable])*(T$1=Otras_Actividades_Base[Mes Financiero])*(T$2=Otras_Actividades_Base[Año Financiero])*(Otras_Actividades_Base[Financiero $Corrientes]))</f>
        <v>0</v>
      </c>
      <c r="U46" s="100">
        <f>SUMPRODUCT(($C$45=Otras_Actividades_Base[Movimiento])*($F46=Otras_Actividades_Base[Cuenta Contable])*(U$1=Otras_Actividades_Base[Mes Financiero])*(U$2=Otras_Actividades_Base[Año Financiero])*(Otras_Actividades_Base[Financiero $Corrientes]))</f>
        <v>0</v>
      </c>
      <c r="V46" s="99">
        <f>SUMPRODUCT(($C$45=Otras_Actividades_Base[Movimiento])*($F46=Otras_Actividades_Base[Cuenta Contable])*(V$1=Otras_Actividades_Base[Mes Financiero])*(V$2=Otras_Actividades_Base[Año Financiero])*(Otras_Actividades_Base[Financiero $Corrientes]))</f>
        <v>0</v>
      </c>
      <c r="W46" s="100">
        <f>SUMPRODUCT(($C$45=Otras_Actividades_Base[Movimiento])*($F46=Otras_Actividades_Base[Cuenta Contable])*(W$1=Otras_Actividades_Base[Mes Financiero])*(W$2=Otras_Actividades_Base[Año Financiero])*(Otras_Actividades_Base[Financiero $Corrientes]))</f>
        <v>0</v>
      </c>
      <c r="X46" s="99">
        <f>SUMPRODUCT(($C$45=Otras_Actividades_Base[Movimiento])*($F46=Otras_Actividades_Base[Cuenta Contable])*(X$1=Otras_Actividades_Base[Mes Financiero])*(X$2=Otras_Actividades_Base[Año Financiero])*(Otras_Actividades_Base[Financiero $Corrientes]))</f>
        <v>0</v>
      </c>
      <c r="Y46" s="100">
        <f>SUMPRODUCT(($C$45=Otras_Actividades_Base[Movimiento])*($F46=Otras_Actividades_Base[Cuenta Contable])*(Y$1=Otras_Actividades_Base[Mes Financiero])*(Y$2=Otras_Actividades_Base[Año Financiero])*(Otras_Actividades_Base[Financiero $Corrientes]))</f>
        <v>0</v>
      </c>
      <c r="Z46" s="139">
        <f t="shared" si="3"/>
        <v>0</v>
      </c>
      <c r="AC46" s="281">
        <f>SUMPRODUCT((F46=Otras_Actividades_Cuentas[Cuenta Contable])*(Otras_Actividades_Cuentas[IVA]))</f>
        <v>0.21</v>
      </c>
      <c r="AD46" s="281">
        <v>3.5000000000000003E-2</v>
      </c>
    </row>
    <row r="47" spans="2:30" x14ac:dyDescent="0.25">
      <c r="B47" s="175"/>
      <c r="E47" s="223">
        <f>IFERROR(MATCH(F47,Otras_Actividades_Cuentas[Cuenta Contable],0),0)</f>
        <v>0</v>
      </c>
      <c r="F47" s="92"/>
      <c r="G47" s="138"/>
      <c r="H47" s="99">
        <f>SUMPRODUCT(($C$45=Otras_Actividades_Base[Movimiento])*($F47=Otras_Actividades_Base[Cuenta Contable])*(H$1=Otras_Actividades_Base[Mes Financiero])*(H$2=Otras_Actividades_Base[Año Financiero])*(Otras_Actividades_Base[Financiero $Corrientes]))</f>
        <v>0</v>
      </c>
      <c r="I47" s="100">
        <f>SUMPRODUCT(($C$45=Otras_Actividades_Base[Movimiento])*($F47=Otras_Actividades_Base[Cuenta Contable])*(I$1=Otras_Actividades_Base[Mes Financiero])*(I$2=Otras_Actividades_Base[Año Financiero])*(Otras_Actividades_Base[Financiero $Corrientes]))</f>
        <v>0</v>
      </c>
      <c r="J47" s="99">
        <f>SUMPRODUCT(($C$45=Otras_Actividades_Base[Movimiento])*($F47=Otras_Actividades_Base[Cuenta Contable])*(J$1=Otras_Actividades_Base[Mes Financiero])*(J$2=Otras_Actividades_Base[Año Financiero])*(Otras_Actividades_Base[Financiero $Corrientes]))</f>
        <v>0</v>
      </c>
      <c r="K47" s="100">
        <f>SUMPRODUCT(($C$45=Otras_Actividades_Base[Movimiento])*($F47=Otras_Actividades_Base[Cuenta Contable])*(K$1=Otras_Actividades_Base[Mes Financiero])*(K$2=Otras_Actividades_Base[Año Financiero])*(Otras_Actividades_Base[Financiero $Corrientes]))</f>
        <v>0</v>
      </c>
      <c r="L47" s="99">
        <f>SUMPRODUCT(($C$45=Otras_Actividades_Base[Movimiento])*($F47=Otras_Actividades_Base[Cuenta Contable])*(L$1=Otras_Actividades_Base[Mes Financiero])*(L$2=Otras_Actividades_Base[Año Financiero])*(Otras_Actividades_Base[Financiero $Corrientes]))</f>
        <v>0</v>
      </c>
      <c r="M47" s="100">
        <f>SUMPRODUCT(($C$45=Otras_Actividades_Base[Movimiento])*($F47=Otras_Actividades_Base[Cuenta Contable])*(M$1=Otras_Actividades_Base[Mes Financiero])*(M$2=Otras_Actividades_Base[Año Financiero])*(Otras_Actividades_Base[Financiero $Corrientes]))</f>
        <v>0</v>
      </c>
      <c r="N47" s="99">
        <f>SUMPRODUCT(($C$45=Otras_Actividades_Base[Movimiento])*($F47=Otras_Actividades_Base[Cuenta Contable])*(N$1=Otras_Actividades_Base[Mes Financiero])*(N$2=Otras_Actividades_Base[Año Financiero])*(Otras_Actividades_Base[Financiero $Corrientes]))</f>
        <v>0</v>
      </c>
      <c r="O47" s="100">
        <f>SUMPRODUCT(($C$45=Otras_Actividades_Base[Movimiento])*($F47=Otras_Actividades_Base[Cuenta Contable])*(O$1=Otras_Actividades_Base[Mes Financiero])*(O$2=Otras_Actividades_Base[Año Financiero])*(Otras_Actividades_Base[Financiero $Corrientes]))</f>
        <v>0</v>
      </c>
      <c r="P47" s="99">
        <f>SUMPRODUCT(($C$45=Otras_Actividades_Base[Movimiento])*($F47=Otras_Actividades_Base[Cuenta Contable])*(P$1=Otras_Actividades_Base[Mes Financiero])*(P$2=Otras_Actividades_Base[Año Financiero])*(Otras_Actividades_Base[Financiero $Corrientes]))</f>
        <v>0</v>
      </c>
      <c r="Q47" s="100">
        <f>SUMPRODUCT(($C$45=Otras_Actividades_Base[Movimiento])*($F47=Otras_Actividades_Base[Cuenta Contable])*(Q$1=Otras_Actividades_Base[Mes Financiero])*(Q$2=Otras_Actividades_Base[Año Financiero])*(Otras_Actividades_Base[Financiero $Corrientes]))</f>
        <v>0</v>
      </c>
      <c r="R47" s="99">
        <f>SUMPRODUCT(($C$45=Otras_Actividades_Base[Movimiento])*($F47=Otras_Actividades_Base[Cuenta Contable])*(R$1=Otras_Actividades_Base[Mes Financiero])*(R$2=Otras_Actividades_Base[Año Financiero])*(Otras_Actividades_Base[Financiero $Corrientes]))</f>
        <v>0</v>
      </c>
      <c r="S47" s="100">
        <f>SUMPRODUCT(($C$45=Otras_Actividades_Base[Movimiento])*($F47=Otras_Actividades_Base[Cuenta Contable])*(S$1=Otras_Actividades_Base[Mes Financiero])*(S$2=Otras_Actividades_Base[Año Financiero])*(Otras_Actividades_Base[Financiero $Corrientes]))</f>
        <v>0</v>
      </c>
      <c r="T47" s="99">
        <f>SUMPRODUCT(($C$45=Otras_Actividades_Base[Movimiento])*($F47=Otras_Actividades_Base[Cuenta Contable])*(T$1=Otras_Actividades_Base[Mes Financiero])*(T$2=Otras_Actividades_Base[Año Financiero])*(Otras_Actividades_Base[Financiero $Corrientes]))</f>
        <v>0</v>
      </c>
      <c r="U47" s="100">
        <f>SUMPRODUCT(($C$45=Otras_Actividades_Base[Movimiento])*($F47=Otras_Actividades_Base[Cuenta Contable])*(U$1=Otras_Actividades_Base[Mes Financiero])*(U$2=Otras_Actividades_Base[Año Financiero])*(Otras_Actividades_Base[Financiero $Corrientes]))</f>
        <v>0</v>
      </c>
      <c r="V47" s="99">
        <f>SUMPRODUCT(($C$45=Otras_Actividades_Base[Movimiento])*($F47=Otras_Actividades_Base[Cuenta Contable])*(V$1=Otras_Actividades_Base[Mes Financiero])*(V$2=Otras_Actividades_Base[Año Financiero])*(Otras_Actividades_Base[Financiero $Corrientes]))</f>
        <v>0</v>
      </c>
      <c r="W47" s="100">
        <f>SUMPRODUCT(($C$45=Otras_Actividades_Base[Movimiento])*($F47=Otras_Actividades_Base[Cuenta Contable])*(W$1=Otras_Actividades_Base[Mes Financiero])*(W$2=Otras_Actividades_Base[Año Financiero])*(Otras_Actividades_Base[Financiero $Corrientes]))</f>
        <v>0</v>
      </c>
      <c r="X47" s="99">
        <f>SUMPRODUCT(($C$45=Otras_Actividades_Base[Movimiento])*($F47=Otras_Actividades_Base[Cuenta Contable])*(X$1=Otras_Actividades_Base[Mes Financiero])*(X$2=Otras_Actividades_Base[Año Financiero])*(Otras_Actividades_Base[Financiero $Corrientes]))</f>
        <v>0</v>
      </c>
      <c r="Y47" s="100">
        <f>SUMPRODUCT(($C$45=Otras_Actividades_Base[Movimiento])*($F47=Otras_Actividades_Base[Cuenta Contable])*(Y$1=Otras_Actividades_Base[Mes Financiero])*(Y$2=Otras_Actividades_Base[Año Financiero])*(Otras_Actividades_Base[Financiero $Corrientes]))</f>
        <v>0</v>
      </c>
      <c r="Z47" s="139">
        <f t="shared" ref="Z47:Z48" si="4">SUM(H47:Y47)</f>
        <v>0</v>
      </c>
      <c r="AC47" s="281">
        <f>SUMPRODUCT((F47=Otras_Actividades_Cuentas[Cuenta Contable])*(Otras_Actividades_Cuentas[IVA]))</f>
        <v>0</v>
      </c>
      <c r="AD47" s="281"/>
    </row>
    <row r="48" spans="2:30" x14ac:dyDescent="0.25">
      <c r="B48" s="175"/>
      <c r="E48" s="223">
        <f>IFERROR(MATCH(F48,Otras_Actividades_Cuentas[Cuenta Contable],0),0)</f>
        <v>0</v>
      </c>
      <c r="F48" s="92"/>
      <c r="G48" s="138"/>
      <c r="H48" s="99">
        <f>SUMPRODUCT(($C$45=Otras_Actividades_Base[Movimiento])*($F48=Otras_Actividades_Base[Cuenta Contable])*(H$1=Otras_Actividades_Base[Mes Financiero])*(H$2=Otras_Actividades_Base[Año Financiero])*(Otras_Actividades_Base[Financiero $Corrientes]))</f>
        <v>0</v>
      </c>
      <c r="I48" s="100">
        <f>SUMPRODUCT(($C$45=Otras_Actividades_Base[Movimiento])*($F48=Otras_Actividades_Base[Cuenta Contable])*(I$1=Otras_Actividades_Base[Mes Financiero])*(I$2=Otras_Actividades_Base[Año Financiero])*(Otras_Actividades_Base[Financiero $Corrientes]))</f>
        <v>0</v>
      </c>
      <c r="J48" s="99">
        <f>SUMPRODUCT(($C$45=Otras_Actividades_Base[Movimiento])*($F48=Otras_Actividades_Base[Cuenta Contable])*(J$1=Otras_Actividades_Base[Mes Financiero])*(J$2=Otras_Actividades_Base[Año Financiero])*(Otras_Actividades_Base[Financiero $Corrientes]))</f>
        <v>0</v>
      </c>
      <c r="K48" s="100">
        <f>SUMPRODUCT(($C$45=Otras_Actividades_Base[Movimiento])*($F48=Otras_Actividades_Base[Cuenta Contable])*(K$1=Otras_Actividades_Base[Mes Financiero])*(K$2=Otras_Actividades_Base[Año Financiero])*(Otras_Actividades_Base[Financiero $Corrientes]))</f>
        <v>0</v>
      </c>
      <c r="L48" s="99">
        <f>SUMPRODUCT(($C$45=Otras_Actividades_Base[Movimiento])*($F48=Otras_Actividades_Base[Cuenta Contable])*(L$1=Otras_Actividades_Base[Mes Financiero])*(L$2=Otras_Actividades_Base[Año Financiero])*(Otras_Actividades_Base[Financiero $Corrientes]))</f>
        <v>0</v>
      </c>
      <c r="M48" s="100">
        <f>SUMPRODUCT(($C$45=Otras_Actividades_Base[Movimiento])*($F48=Otras_Actividades_Base[Cuenta Contable])*(M$1=Otras_Actividades_Base[Mes Financiero])*(M$2=Otras_Actividades_Base[Año Financiero])*(Otras_Actividades_Base[Financiero $Corrientes]))</f>
        <v>0</v>
      </c>
      <c r="N48" s="99">
        <f>SUMPRODUCT(($C$45=Otras_Actividades_Base[Movimiento])*($F48=Otras_Actividades_Base[Cuenta Contable])*(N$1=Otras_Actividades_Base[Mes Financiero])*(N$2=Otras_Actividades_Base[Año Financiero])*(Otras_Actividades_Base[Financiero $Corrientes]))</f>
        <v>0</v>
      </c>
      <c r="O48" s="100">
        <f>SUMPRODUCT(($C$45=Otras_Actividades_Base[Movimiento])*($F48=Otras_Actividades_Base[Cuenta Contable])*(O$1=Otras_Actividades_Base[Mes Financiero])*(O$2=Otras_Actividades_Base[Año Financiero])*(Otras_Actividades_Base[Financiero $Corrientes]))</f>
        <v>0</v>
      </c>
      <c r="P48" s="99">
        <f>SUMPRODUCT(($C$45=Otras_Actividades_Base[Movimiento])*($F48=Otras_Actividades_Base[Cuenta Contable])*(P$1=Otras_Actividades_Base[Mes Financiero])*(P$2=Otras_Actividades_Base[Año Financiero])*(Otras_Actividades_Base[Financiero $Corrientes]))</f>
        <v>0</v>
      </c>
      <c r="Q48" s="100">
        <f>SUMPRODUCT(($C$45=Otras_Actividades_Base[Movimiento])*($F48=Otras_Actividades_Base[Cuenta Contable])*(Q$1=Otras_Actividades_Base[Mes Financiero])*(Q$2=Otras_Actividades_Base[Año Financiero])*(Otras_Actividades_Base[Financiero $Corrientes]))</f>
        <v>0</v>
      </c>
      <c r="R48" s="99">
        <f>SUMPRODUCT(($C$45=Otras_Actividades_Base[Movimiento])*($F48=Otras_Actividades_Base[Cuenta Contable])*(R$1=Otras_Actividades_Base[Mes Financiero])*(R$2=Otras_Actividades_Base[Año Financiero])*(Otras_Actividades_Base[Financiero $Corrientes]))</f>
        <v>0</v>
      </c>
      <c r="S48" s="100">
        <f>SUMPRODUCT(($C$45=Otras_Actividades_Base[Movimiento])*($F48=Otras_Actividades_Base[Cuenta Contable])*(S$1=Otras_Actividades_Base[Mes Financiero])*(S$2=Otras_Actividades_Base[Año Financiero])*(Otras_Actividades_Base[Financiero $Corrientes]))</f>
        <v>0</v>
      </c>
      <c r="T48" s="99">
        <f>SUMPRODUCT(($C$45=Otras_Actividades_Base[Movimiento])*($F48=Otras_Actividades_Base[Cuenta Contable])*(T$1=Otras_Actividades_Base[Mes Financiero])*(T$2=Otras_Actividades_Base[Año Financiero])*(Otras_Actividades_Base[Financiero $Corrientes]))</f>
        <v>0</v>
      </c>
      <c r="U48" s="100">
        <f>SUMPRODUCT(($C$45=Otras_Actividades_Base[Movimiento])*($F48=Otras_Actividades_Base[Cuenta Contable])*(U$1=Otras_Actividades_Base[Mes Financiero])*(U$2=Otras_Actividades_Base[Año Financiero])*(Otras_Actividades_Base[Financiero $Corrientes]))</f>
        <v>0</v>
      </c>
      <c r="V48" s="99">
        <f>SUMPRODUCT(($C$45=Otras_Actividades_Base[Movimiento])*($F48=Otras_Actividades_Base[Cuenta Contable])*(V$1=Otras_Actividades_Base[Mes Financiero])*(V$2=Otras_Actividades_Base[Año Financiero])*(Otras_Actividades_Base[Financiero $Corrientes]))</f>
        <v>0</v>
      </c>
      <c r="W48" s="100">
        <f>SUMPRODUCT(($C$45=Otras_Actividades_Base[Movimiento])*($F48=Otras_Actividades_Base[Cuenta Contable])*(W$1=Otras_Actividades_Base[Mes Financiero])*(W$2=Otras_Actividades_Base[Año Financiero])*(Otras_Actividades_Base[Financiero $Corrientes]))</f>
        <v>0</v>
      </c>
      <c r="X48" s="99">
        <f>SUMPRODUCT(($C$45=Otras_Actividades_Base[Movimiento])*($F48=Otras_Actividades_Base[Cuenta Contable])*(X$1=Otras_Actividades_Base[Mes Financiero])*(X$2=Otras_Actividades_Base[Año Financiero])*(Otras_Actividades_Base[Financiero $Corrientes]))</f>
        <v>0</v>
      </c>
      <c r="Y48" s="100">
        <f>SUMPRODUCT(($C$45=Otras_Actividades_Base[Movimiento])*($F48=Otras_Actividades_Base[Cuenta Contable])*(Y$1=Otras_Actividades_Base[Mes Financiero])*(Y$2=Otras_Actividades_Base[Año Financiero])*(Otras_Actividades_Base[Financiero $Corrientes]))</f>
        <v>0</v>
      </c>
      <c r="Z48" s="139">
        <f t="shared" si="4"/>
        <v>0</v>
      </c>
      <c r="AC48" s="281">
        <f>SUMPRODUCT((F48=Otras_Actividades_Cuentas[Cuenta Contable])*(Otras_Actividades_Cuentas[IVA]))</f>
        <v>0</v>
      </c>
      <c r="AD48" s="281"/>
    </row>
    <row r="49" spans="2:31" x14ac:dyDescent="0.25">
      <c r="B49" s="175"/>
      <c r="D49" s="102"/>
      <c r="E49" s="224"/>
      <c r="F49" s="126" t="s">
        <v>218</v>
      </c>
      <c r="G49" s="123"/>
      <c r="H49" s="208">
        <f>SUMPRODUCT(($C$45=Otras_Actividades_Base[Movimiento])*(H$1=Otras_Actividades_Base[Mes Financiero])*(H$2=Otras_Actividades_Base[Año Financiero])*(Otras_Actividades_Base[Financiero $Corrientes]))</f>
        <v>0</v>
      </c>
      <c r="I49" s="209">
        <f>SUMPRODUCT(($C$45=Otras_Actividades_Base[Movimiento])*(I$1=Otras_Actividades_Base[Mes Financiero])*(I$2=Otras_Actividades_Base[Año Financiero])*(Otras_Actividades_Base[Financiero $Corrientes]))</f>
        <v>0</v>
      </c>
      <c r="J49" s="208">
        <f>SUMPRODUCT(($C$45=Otras_Actividades_Base[Movimiento])*(J$1=Otras_Actividades_Base[Mes Financiero])*(J$2=Otras_Actividades_Base[Año Financiero])*(Otras_Actividades_Base[Financiero $Corrientes]))</f>
        <v>0</v>
      </c>
      <c r="K49" s="209">
        <f>SUMPRODUCT(($C$45=Otras_Actividades_Base[Movimiento])*(K$1=Otras_Actividades_Base[Mes Financiero])*(K$2=Otras_Actividades_Base[Año Financiero])*(Otras_Actividades_Base[Financiero $Corrientes]))</f>
        <v>0</v>
      </c>
      <c r="L49" s="208">
        <f>SUMPRODUCT(($C$45=Otras_Actividades_Base[Movimiento])*(L$1=Otras_Actividades_Base[Mes Financiero])*(L$2=Otras_Actividades_Base[Año Financiero])*(Otras_Actividades_Base[Financiero $Corrientes]))</f>
        <v>0</v>
      </c>
      <c r="M49" s="209">
        <f>SUMPRODUCT(($C$45=Otras_Actividades_Base[Movimiento])*(M$1=Otras_Actividades_Base[Mes Financiero])*(M$2=Otras_Actividades_Base[Año Financiero])*(Otras_Actividades_Base[Financiero $Corrientes]))</f>
        <v>0</v>
      </c>
      <c r="N49" s="208">
        <f>SUMPRODUCT(($C$45=Otras_Actividades_Base[Movimiento])*(N$1=Otras_Actividades_Base[Mes Financiero])*(N$2=Otras_Actividades_Base[Año Financiero])*(Otras_Actividades_Base[Financiero $Corrientes]))</f>
        <v>0</v>
      </c>
      <c r="O49" s="209">
        <f>SUMPRODUCT(($C$45=Otras_Actividades_Base[Movimiento])*(O$1=Otras_Actividades_Base[Mes Financiero])*(O$2=Otras_Actividades_Base[Año Financiero])*(Otras_Actividades_Base[Financiero $Corrientes]))</f>
        <v>0</v>
      </c>
      <c r="P49" s="208">
        <f>SUMPRODUCT(($C$45=Otras_Actividades_Base[Movimiento])*(P$1=Otras_Actividades_Base[Mes Financiero])*(P$2=Otras_Actividades_Base[Año Financiero])*(Otras_Actividades_Base[Financiero $Corrientes]))</f>
        <v>0</v>
      </c>
      <c r="Q49" s="209">
        <f>SUMPRODUCT(($C$45=Otras_Actividades_Base[Movimiento])*(Q$1=Otras_Actividades_Base[Mes Financiero])*(Q$2=Otras_Actividades_Base[Año Financiero])*(Otras_Actividades_Base[Financiero $Corrientes]))</f>
        <v>0</v>
      </c>
      <c r="R49" s="208">
        <f>SUMPRODUCT(($C$45=Otras_Actividades_Base[Movimiento])*(R$1=Otras_Actividades_Base[Mes Financiero])*(R$2=Otras_Actividades_Base[Año Financiero])*(Otras_Actividades_Base[Financiero $Corrientes]))</f>
        <v>0</v>
      </c>
      <c r="S49" s="209">
        <f>SUMPRODUCT(($C$45=Otras_Actividades_Base[Movimiento])*(S$1=Otras_Actividades_Base[Mes Financiero])*(S$2=Otras_Actividades_Base[Año Financiero])*(Otras_Actividades_Base[Financiero $Corrientes]))</f>
        <v>0</v>
      </c>
      <c r="T49" s="208">
        <f>SUMPRODUCT(($C$45=Otras_Actividades_Base[Movimiento])*(T$1=Otras_Actividades_Base[Mes Financiero])*(T$2=Otras_Actividades_Base[Año Financiero])*(Otras_Actividades_Base[Financiero $Corrientes]))</f>
        <v>0</v>
      </c>
      <c r="U49" s="209">
        <f>SUMPRODUCT(($C$45=Otras_Actividades_Base[Movimiento])*(U$1=Otras_Actividades_Base[Mes Financiero])*(U$2=Otras_Actividades_Base[Año Financiero])*(Otras_Actividades_Base[Financiero $Corrientes]))</f>
        <v>0</v>
      </c>
      <c r="V49" s="208">
        <f>SUMPRODUCT(($C$45=Otras_Actividades_Base[Movimiento])*(V$1=Otras_Actividades_Base[Mes Financiero])*(V$2=Otras_Actividades_Base[Año Financiero])*(Otras_Actividades_Base[Financiero $Corrientes]))</f>
        <v>0</v>
      </c>
      <c r="W49" s="209">
        <f>SUMPRODUCT(($C$45=Otras_Actividades_Base[Movimiento])*(W$1=Otras_Actividades_Base[Mes Financiero])*(W$2=Otras_Actividades_Base[Año Financiero])*(Otras_Actividades_Base[Financiero $Corrientes]))</f>
        <v>0</v>
      </c>
      <c r="X49" s="208">
        <f>SUMPRODUCT(($C$45=Otras_Actividades_Base[Movimiento])*(X$1=Otras_Actividades_Base[Mes Financiero])*(X$2=Otras_Actividades_Base[Año Financiero])*(Otras_Actividades_Base[Financiero $Corrientes]))</f>
        <v>0</v>
      </c>
      <c r="Y49" s="209">
        <f>SUMPRODUCT(($C$45=Otras_Actividades_Base[Movimiento])*(Y$1=Otras_Actividades_Base[Mes Financiero])*(Y$2=Otras_Actividades_Base[Año Financiero])*(Otras_Actividades_Base[Financiero $Corrientes]))</f>
        <v>0</v>
      </c>
      <c r="Z49" s="146">
        <f>SUMPRODUCT(($C$45=Otras_Actividades_Base[Movimiento])*(Z$1=Otras_Actividades_Base[Mes Financiero])*(Z$2=Otras_Actividades_Base[Año Financiero])*(Otras_Actividades_Base[Financiero $Corrientes]))</f>
        <v>0</v>
      </c>
    </row>
    <row r="50" spans="2:31" x14ac:dyDescent="0.25">
      <c r="C50" s="210" t="s">
        <v>37</v>
      </c>
      <c r="D50" s="108" t="s">
        <v>176</v>
      </c>
      <c r="E50" s="121"/>
      <c r="F50" s="92" t="s">
        <v>195</v>
      </c>
      <c r="G50" s="109"/>
      <c r="H50" s="110"/>
      <c r="I50" s="111"/>
      <c r="J50" s="110"/>
      <c r="K50" s="111"/>
      <c r="L50" s="110"/>
      <c r="M50" s="111"/>
      <c r="N50" s="110"/>
      <c r="O50" s="111"/>
      <c r="P50" s="110"/>
      <c r="Q50" s="111"/>
      <c r="R50" s="110"/>
      <c r="S50" s="111"/>
      <c r="T50" s="110"/>
      <c r="U50" s="111"/>
      <c r="V50" s="110"/>
      <c r="W50" s="111"/>
      <c r="X50" s="110"/>
      <c r="Y50" s="111"/>
      <c r="Z50" s="139">
        <f t="shared" si="3"/>
        <v>0</v>
      </c>
      <c r="AC50" s="174">
        <f>SUMPRODUCT((F50=Comercializacion_Granos_Cuentas[Cuenta Contable])*(Comercializacion_Granos_Cuentas[IVA Financiero]))</f>
        <v>0</v>
      </c>
      <c r="AD50" s="174">
        <v>3.5000000000000003E-2</v>
      </c>
    </row>
    <row r="51" spans="2:31" x14ac:dyDescent="0.25">
      <c r="D51" s="108"/>
      <c r="E51" s="121"/>
      <c r="F51" s="92" t="s">
        <v>196</v>
      </c>
      <c r="G51" s="109"/>
      <c r="H51" s="110"/>
      <c r="I51" s="111"/>
      <c r="J51" s="110"/>
      <c r="K51" s="111"/>
      <c r="L51" s="110"/>
      <c r="M51" s="111"/>
      <c r="N51" s="110"/>
      <c r="O51" s="111"/>
      <c r="P51" s="110"/>
      <c r="Q51" s="111"/>
      <c r="R51" s="110"/>
      <c r="S51" s="111"/>
      <c r="T51" s="110"/>
      <c r="U51" s="111"/>
      <c r="V51" s="110"/>
      <c r="W51" s="111"/>
      <c r="X51" s="110"/>
      <c r="Y51" s="111"/>
      <c r="Z51" s="139">
        <f t="shared" si="3"/>
        <v>0</v>
      </c>
      <c r="AB51" s="173"/>
      <c r="AC51" s="174">
        <v>0.105</v>
      </c>
      <c r="AD51" s="174">
        <v>3.5000000000000003E-2</v>
      </c>
    </row>
    <row r="52" spans="2:31" x14ac:dyDescent="0.25">
      <c r="D52" s="108"/>
      <c r="E52" s="121"/>
      <c r="F52" s="92" t="s">
        <v>197</v>
      </c>
      <c r="G52" s="109"/>
      <c r="H52" s="110"/>
      <c r="I52" s="111"/>
      <c r="J52" s="110"/>
      <c r="K52" s="111"/>
      <c r="L52" s="110"/>
      <c r="M52" s="111"/>
      <c r="N52" s="110"/>
      <c r="O52" s="111"/>
      <c r="P52" s="110"/>
      <c r="Q52" s="111"/>
      <c r="R52" s="110"/>
      <c r="S52" s="111"/>
      <c r="T52" s="110"/>
      <c r="U52" s="111"/>
      <c r="V52" s="110"/>
      <c r="W52" s="111"/>
      <c r="X52" s="110"/>
      <c r="Y52" s="111"/>
      <c r="Z52" s="139">
        <f t="shared" si="3"/>
        <v>0</v>
      </c>
      <c r="AB52" s="173"/>
      <c r="AC52" s="174">
        <v>0.21</v>
      </c>
      <c r="AD52" s="174">
        <v>3.5000000000000003E-2</v>
      </c>
    </row>
    <row r="53" spans="2:31" x14ac:dyDescent="0.25">
      <c r="D53" s="108"/>
      <c r="E53" s="121"/>
      <c r="F53" s="92" t="s">
        <v>198</v>
      </c>
      <c r="G53" s="109"/>
      <c r="H53" s="110"/>
      <c r="I53" s="111"/>
      <c r="J53" s="110"/>
      <c r="K53" s="111"/>
      <c r="L53" s="110"/>
      <c r="M53" s="111"/>
      <c r="N53" s="110"/>
      <c r="O53" s="111"/>
      <c r="P53" s="110"/>
      <c r="Q53" s="111"/>
      <c r="R53" s="110"/>
      <c r="S53" s="111"/>
      <c r="T53" s="110"/>
      <c r="U53" s="111"/>
      <c r="V53" s="110"/>
      <c r="W53" s="111"/>
      <c r="X53" s="110"/>
      <c r="Y53" s="111"/>
      <c r="Z53" s="139">
        <f t="shared" si="3"/>
        <v>0</v>
      </c>
      <c r="AB53" s="173"/>
      <c r="AC53" s="174">
        <v>0.27</v>
      </c>
      <c r="AD53" s="174">
        <v>3.5000000000000003E-2</v>
      </c>
    </row>
    <row r="54" spans="2:31" x14ac:dyDescent="0.25">
      <c r="C54" s="210" t="s">
        <v>37</v>
      </c>
      <c r="D54" s="151" t="s">
        <v>177</v>
      </c>
      <c r="E54" s="152"/>
      <c r="F54" s="153" t="s">
        <v>178</v>
      </c>
      <c r="G54" s="154"/>
      <c r="H54" s="155">
        <f>SUM(H4,H15,H16,H29,H30,H31,H44,H45:H53)</f>
        <v>0</v>
      </c>
      <c r="I54" s="155">
        <f t="shared" ref="I54:Z54" si="5">SUM(I4,I15,I16,I29,I30,I31,I44,I45:I53)</f>
        <v>0</v>
      </c>
      <c r="J54" s="155">
        <f t="shared" si="5"/>
        <v>0</v>
      </c>
      <c r="K54" s="155">
        <f t="shared" si="5"/>
        <v>0</v>
      </c>
      <c r="L54" s="155">
        <f t="shared" si="5"/>
        <v>0</v>
      </c>
      <c r="M54" s="155">
        <f t="shared" si="5"/>
        <v>0</v>
      </c>
      <c r="N54" s="155">
        <f t="shared" si="5"/>
        <v>0</v>
      </c>
      <c r="O54" s="155">
        <f t="shared" si="5"/>
        <v>0</v>
      </c>
      <c r="P54" s="155">
        <f t="shared" si="5"/>
        <v>0</v>
      </c>
      <c r="Q54" s="155">
        <f t="shared" si="5"/>
        <v>0</v>
      </c>
      <c r="R54" s="155">
        <f t="shared" si="5"/>
        <v>0</v>
      </c>
      <c r="S54" s="155">
        <f t="shared" si="5"/>
        <v>0</v>
      </c>
      <c r="T54" s="155">
        <f t="shared" si="5"/>
        <v>0</v>
      </c>
      <c r="U54" s="155">
        <f t="shared" si="5"/>
        <v>0</v>
      </c>
      <c r="V54" s="155">
        <f t="shared" si="5"/>
        <v>0</v>
      </c>
      <c r="W54" s="155">
        <f t="shared" si="5"/>
        <v>0</v>
      </c>
      <c r="X54" s="155">
        <f t="shared" si="5"/>
        <v>0</v>
      </c>
      <c r="Y54" s="155">
        <f t="shared" si="5"/>
        <v>0</v>
      </c>
      <c r="Z54" s="156">
        <f t="shared" si="5"/>
        <v>0</v>
      </c>
    </row>
    <row r="55" spans="2:31" hidden="1" outlineLevel="1" x14ac:dyDescent="0.25">
      <c r="C55" s="212"/>
      <c r="D55" s="108" t="s">
        <v>179</v>
      </c>
      <c r="E55" s="121"/>
      <c r="F55" s="114">
        <v>2.5000000000000001E-2</v>
      </c>
      <c r="G55" s="109"/>
      <c r="H55" s="110">
        <f>H4*$F$55</f>
        <v>0</v>
      </c>
      <c r="I55" s="111">
        <f t="shared" ref="I55:Y55" si="6">I4*$F$55</f>
        <v>0</v>
      </c>
      <c r="J55" s="110">
        <f t="shared" si="6"/>
        <v>0</v>
      </c>
      <c r="K55" s="111">
        <f t="shared" si="6"/>
        <v>0</v>
      </c>
      <c r="L55" s="110">
        <f t="shared" si="6"/>
        <v>0</v>
      </c>
      <c r="M55" s="111">
        <f t="shared" si="6"/>
        <v>0</v>
      </c>
      <c r="N55" s="110">
        <f t="shared" si="6"/>
        <v>0</v>
      </c>
      <c r="O55" s="111">
        <f t="shared" si="6"/>
        <v>0</v>
      </c>
      <c r="P55" s="110">
        <f t="shared" si="6"/>
        <v>0</v>
      </c>
      <c r="Q55" s="111">
        <f t="shared" si="6"/>
        <v>0</v>
      </c>
      <c r="R55" s="110">
        <f t="shared" si="6"/>
        <v>0</v>
      </c>
      <c r="S55" s="111">
        <f t="shared" si="6"/>
        <v>0</v>
      </c>
      <c r="T55" s="110">
        <f t="shared" si="6"/>
        <v>0</v>
      </c>
      <c r="U55" s="111">
        <f t="shared" si="6"/>
        <v>0</v>
      </c>
      <c r="V55" s="110">
        <f t="shared" si="6"/>
        <v>0</v>
      </c>
      <c r="W55" s="111">
        <f t="shared" si="6"/>
        <v>0</v>
      </c>
      <c r="X55" s="110">
        <f t="shared" si="6"/>
        <v>0</v>
      </c>
      <c r="Y55" s="111">
        <f t="shared" si="6"/>
        <v>0</v>
      </c>
      <c r="Z55" s="144">
        <f t="shared" si="3"/>
        <v>0</v>
      </c>
    </row>
    <row r="56" spans="2:31" hidden="1" outlineLevel="1" x14ac:dyDescent="0.25">
      <c r="C56" s="212"/>
      <c r="D56" s="108" t="s">
        <v>179</v>
      </c>
      <c r="E56" s="121"/>
      <c r="F56" s="114">
        <v>7.0000000000000007E-2</v>
      </c>
      <c r="G56" s="282">
        <v>4</v>
      </c>
      <c r="H56" s="110">
        <f>SUMPRODUCT(((COLUMN(H1)-$G$56=COLUMN($H$1:$Y$1))*($H$4:$Y$4)))*$F$56</f>
        <v>0</v>
      </c>
      <c r="I56" s="111">
        <f t="shared" ref="I56:Y56" si="7">SUMPRODUCT(((COLUMN(I1)-$G$56=COLUMN($H$1:$Y$1))*($H$4:$Y$4)))*$F$56</f>
        <v>0</v>
      </c>
      <c r="J56" s="110">
        <f t="shared" si="7"/>
        <v>0</v>
      </c>
      <c r="K56" s="111">
        <f t="shared" si="7"/>
        <v>0</v>
      </c>
      <c r="L56" s="110">
        <f t="shared" si="7"/>
        <v>0</v>
      </c>
      <c r="M56" s="111">
        <f t="shared" si="7"/>
        <v>0</v>
      </c>
      <c r="N56" s="110">
        <f t="shared" si="7"/>
        <v>0</v>
      </c>
      <c r="O56" s="111">
        <f t="shared" si="7"/>
        <v>0</v>
      </c>
      <c r="P56" s="110">
        <f t="shared" si="7"/>
        <v>0</v>
      </c>
      <c r="Q56" s="111">
        <f t="shared" si="7"/>
        <v>0</v>
      </c>
      <c r="R56" s="110">
        <f t="shared" si="7"/>
        <v>0</v>
      </c>
      <c r="S56" s="111">
        <f t="shared" si="7"/>
        <v>0</v>
      </c>
      <c r="T56" s="110">
        <f t="shared" si="7"/>
        <v>0</v>
      </c>
      <c r="U56" s="111">
        <f t="shared" si="7"/>
        <v>0</v>
      </c>
      <c r="V56" s="110">
        <f t="shared" si="7"/>
        <v>0</v>
      </c>
      <c r="W56" s="111">
        <f t="shared" si="7"/>
        <v>0</v>
      </c>
      <c r="X56" s="110">
        <f t="shared" si="7"/>
        <v>0</v>
      </c>
      <c r="Y56" s="111">
        <f t="shared" si="7"/>
        <v>0</v>
      </c>
      <c r="Z56" s="144">
        <f t="shared" si="3"/>
        <v>0</v>
      </c>
    </row>
    <row r="57" spans="2:31" hidden="1" outlineLevel="1" x14ac:dyDescent="0.25">
      <c r="C57" s="212"/>
      <c r="D57" s="108" t="s">
        <v>180</v>
      </c>
      <c r="E57" s="121"/>
      <c r="F57" s="114">
        <v>0.01</v>
      </c>
      <c r="G57" s="109"/>
      <c r="H57" s="110">
        <f>H4*$F$57</f>
        <v>0</v>
      </c>
      <c r="I57" s="111">
        <f t="shared" ref="I57:Y57" si="8">I4*$F$57</f>
        <v>0</v>
      </c>
      <c r="J57" s="110">
        <f t="shared" si="8"/>
        <v>0</v>
      </c>
      <c r="K57" s="111">
        <f t="shared" si="8"/>
        <v>0</v>
      </c>
      <c r="L57" s="110">
        <f t="shared" si="8"/>
        <v>0</v>
      </c>
      <c r="M57" s="111">
        <f t="shared" si="8"/>
        <v>0</v>
      </c>
      <c r="N57" s="110">
        <f t="shared" si="8"/>
        <v>0</v>
      </c>
      <c r="O57" s="111">
        <f t="shared" si="8"/>
        <v>0</v>
      </c>
      <c r="P57" s="110">
        <f t="shared" si="8"/>
        <v>0</v>
      </c>
      <c r="Q57" s="111">
        <f t="shared" si="8"/>
        <v>0</v>
      </c>
      <c r="R57" s="110">
        <f t="shared" si="8"/>
        <v>0</v>
      </c>
      <c r="S57" s="111">
        <f t="shared" si="8"/>
        <v>0</v>
      </c>
      <c r="T57" s="110">
        <f t="shared" si="8"/>
        <v>0</v>
      </c>
      <c r="U57" s="111">
        <f t="shared" si="8"/>
        <v>0</v>
      </c>
      <c r="V57" s="110">
        <f t="shared" si="8"/>
        <v>0</v>
      </c>
      <c r="W57" s="111">
        <f t="shared" si="8"/>
        <v>0</v>
      </c>
      <c r="X57" s="110">
        <f t="shared" si="8"/>
        <v>0</v>
      </c>
      <c r="Y57" s="111">
        <f t="shared" si="8"/>
        <v>0</v>
      </c>
      <c r="Z57" s="144">
        <f t="shared" si="3"/>
        <v>0</v>
      </c>
      <c r="AE57" s="169" t="s">
        <v>216</v>
      </c>
    </row>
    <row r="58" spans="2:31" hidden="1" outlineLevel="1" x14ac:dyDescent="0.25">
      <c r="C58" s="212"/>
      <c r="D58" s="108" t="s">
        <v>179</v>
      </c>
      <c r="E58" s="121"/>
      <c r="F58" s="115">
        <v>0.105</v>
      </c>
      <c r="G58" s="109"/>
      <c r="H58" s="110">
        <f>SUMPRODUCT(($F$58=$AC$4:$AC$53)*(H$4:H$53)*($AC$4:$AC$53))</f>
        <v>0</v>
      </c>
      <c r="I58" s="111">
        <f t="shared" ref="I58:Y58" si="9">SUMPRODUCT(($F$58=$AC$4:$AC$53)*(I$4:I$53)*($AC$4:$AC$53))</f>
        <v>0</v>
      </c>
      <c r="J58" s="110">
        <f t="shared" si="9"/>
        <v>0</v>
      </c>
      <c r="K58" s="111">
        <f t="shared" si="9"/>
        <v>0</v>
      </c>
      <c r="L58" s="110">
        <f t="shared" si="9"/>
        <v>0</v>
      </c>
      <c r="M58" s="111">
        <f t="shared" si="9"/>
        <v>0</v>
      </c>
      <c r="N58" s="110">
        <f t="shared" si="9"/>
        <v>0</v>
      </c>
      <c r="O58" s="111">
        <f t="shared" si="9"/>
        <v>0</v>
      </c>
      <c r="P58" s="110">
        <f t="shared" si="9"/>
        <v>0</v>
      </c>
      <c r="Q58" s="111">
        <f t="shared" si="9"/>
        <v>0</v>
      </c>
      <c r="R58" s="110">
        <f t="shared" si="9"/>
        <v>0</v>
      </c>
      <c r="S58" s="111">
        <f t="shared" si="9"/>
        <v>0</v>
      </c>
      <c r="T58" s="110">
        <f t="shared" si="9"/>
        <v>0</v>
      </c>
      <c r="U58" s="111">
        <f t="shared" si="9"/>
        <v>0</v>
      </c>
      <c r="V58" s="110">
        <f t="shared" si="9"/>
        <v>0</v>
      </c>
      <c r="W58" s="111">
        <f t="shared" si="9"/>
        <v>0</v>
      </c>
      <c r="X58" s="110">
        <f t="shared" si="9"/>
        <v>0</v>
      </c>
      <c r="Y58" s="111">
        <f t="shared" si="9"/>
        <v>0</v>
      </c>
      <c r="Z58" s="144">
        <f t="shared" si="3"/>
        <v>0</v>
      </c>
    </row>
    <row r="59" spans="2:31" hidden="1" outlineLevel="1" x14ac:dyDescent="0.25">
      <c r="C59" s="212"/>
      <c r="D59" s="108" t="s">
        <v>179</v>
      </c>
      <c r="E59" s="121"/>
      <c r="F59" s="115">
        <v>0.21</v>
      </c>
      <c r="G59" s="109"/>
      <c r="H59" s="110">
        <f>SUMPRODUCT(($F$59=$AC$4:$AC$53)*(H$4:H$53)*($AC$4:$AC$53))</f>
        <v>0</v>
      </c>
      <c r="I59" s="111">
        <f t="shared" ref="I59:Y59" si="10">SUMPRODUCT(($F$59=$AC$4:$AC$53)*(I$4:I$53)*($AC$4:$AC$53))</f>
        <v>0</v>
      </c>
      <c r="J59" s="110">
        <f t="shared" si="10"/>
        <v>0</v>
      </c>
      <c r="K59" s="111">
        <f t="shared" si="10"/>
        <v>0</v>
      </c>
      <c r="L59" s="110">
        <f t="shared" si="10"/>
        <v>0</v>
      </c>
      <c r="M59" s="111">
        <f t="shared" si="10"/>
        <v>0</v>
      </c>
      <c r="N59" s="110">
        <f t="shared" si="10"/>
        <v>0</v>
      </c>
      <c r="O59" s="111">
        <f t="shared" si="10"/>
        <v>0</v>
      </c>
      <c r="P59" s="110">
        <f t="shared" si="10"/>
        <v>0</v>
      </c>
      <c r="Q59" s="111">
        <f t="shared" si="10"/>
        <v>0</v>
      </c>
      <c r="R59" s="110">
        <f t="shared" si="10"/>
        <v>0</v>
      </c>
      <c r="S59" s="111">
        <f t="shared" si="10"/>
        <v>0</v>
      </c>
      <c r="T59" s="110">
        <f t="shared" si="10"/>
        <v>0</v>
      </c>
      <c r="U59" s="111">
        <f t="shared" si="10"/>
        <v>0</v>
      </c>
      <c r="V59" s="110">
        <f t="shared" si="10"/>
        <v>0</v>
      </c>
      <c r="W59" s="111">
        <f t="shared" si="10"/>
        <v>0</v>
      </c>
      <c r="X59" s="110">
        <f t="shared" si="10"/>
        <v>0</v>
      </c>
      <c r="Y59" s="111">
        <f t="shared" si="10"/>
        <v>0</v>
      </c>
      <c r="Z59" s="144">
        <f t="shared" ref="Z59" si="11">SUM(H59:Y59)</f>
        <v>0</v>
      </c>
    </row>
    <row r="60" spans="2:31" hidden="1" outlineLevel="1" x14ac:dyDescent="0.25">
      <c r="C60" s="212"/>
      <c r="D60" s="108" t="s">
        <v>179</v>
      </c>
      <c r="E60" s="121"/>
      <c r="F60" s="114">
        <v>0.27</v>
      </c>
      <c r="G60" s="109"/>
      <c r="H60" s="110">
        <f>SUMPRODUCT(($F$60=$AC$4:$AC$53)*(H$4:H$53)*($AC$4:$AC$53))</f>
        <v>0</v>
      </c>
      <c r="I60" s="111">
        <f t="shared" ref="I60:Y60" si="12">SUMPRODUCT(($F$60=$AC$4:$AC$53)*(I$4:I$53)*($AC$4:$AC$53))</f>
        <v>0</v>
      </c>
      <c r="J60" s="110">
        <f t="shared" si="12"/>
        <v>0</v>
      </c>
      <c r="K60" s="111">
        <f t="shared" si="12"/>
        <v>0</v>
      </c>
      <c r="L60" s="110">
        <f t="shared" si="12"/>
        <v>0</v>
      </c>
      <c r="M60" s="111">
        <f t="shared" si="12"/>
        <v>0</v>
      </c>
      <c r="N60" s="110">
        <f t="shared" si="12"/>
        <v>0</v>
      </c>
      <c r="O60" s="111">
        <f t="shared" si="12"/>
        <v>0</v>
      </c>
      <c r="P60" s="110">
        <f t="shared" si="12"/>
        <v>0</v>
      </c>
      <c r="Q60" s="111">
        <f t="shared" si="12"/>
        <v>0</v>
      </c>
      <c r="R60" s="110">
        <f t="shared" si="12"/>
        <v>0</v>
      </c>
      <c r="S60" s="111">
        <f t="shared" si="12"/>
        <v>0</v>
      </c>
      <c r="T60" s="110">
        <f t="shared" si="12"/>
        <v>0</v>
      </c>
      <c r="U60" s="111">
        <f t="shared" si="12"/>
        <v>0</v>
      </c>
      <c r="V60" s="110">
        <f t="shared" si="12"/>
        <v>0</v>
      </c>
      <c r="W60" s="111">
        <f t="shared" si="12"/>
        <v>0</v>
      </c>
      <c r="X60" s="110">
        <f t="shared" si="12"/>
        <v>0</v>
      </c>
      <c r="Y60" s="111">
        <f t="shared" si="12"/>
        <v>0</v>
      </c>
      <c r="Z60" s="144">
        <f t="shared" si="3"/>
        <v>0</v>
      </c>
    </row>
    <row r="61" spans="2:31" collapsed="1" x14ac:dyDescent="0.25">
      <c r="C61" s="210" t="s">
        <v>37</v>
      </c>
      <c r="D61" s="151" t="s">
        <v>177</v>
      </c>
      <c r="E61" s="152"/>
      <c r="F61" s="153" t="s">
        <v>181</v>
      </c>
      <c r="G61" s="154"/>
      <c r="H61" s="155">
        <f>SUM(H54:H60)-H57</f>
        <v>0</v>
      </c>
      <c r="I61" s="155">
        <f t="shared" ref="I61:Y61" si="13">SUM(I54:I60)-I57</f>
        <v>0</v>
      </c>
      <c r="J61" s="155">
        <f t="shared" si="13"/>
        <v>0</v>
      </c>
      <c r="K61" s="155">
        <f t="shared" si="13"/>
        <v>0</v>
      </c>
      <c r="L61" s="155">
        <f t="shared" si="13"/>
        <v>0</v>
      </c>
      <c r="M61" s="155">
        <f t="shared" si="13"/>
        <v>0</v>
      </c>
      <c r="N61" s="155">
        <f t="shared" si="13"/>
        <v>0</v>
      </c>
      <c r="O61" s="155">
        <f t="shared" si="13"/>
        <v>0</v>
      </c>
      <c r="P61" s="155">
        <f t="shared" si="13"/>
        <v>0</v>
      </c>
      <c r="Q61" s="155">
        <f t="shared" si="13"/>
        <v>0</v>
      </c>
      <c r="R61" s="155">
        <f t="shared" si="13"/>
        <v>0</v>
      </c>
      <c r="S61" s="155">
        <f t="shared" si="13"/>
        <v>0</v>
      </c>
      <c r="T61" s="155">
        <f t="shared" si="13"/>
        <v>0</v>
      </c>
      <c r="U61" s="155">
        <f t="shared" si="13"/>
        <v>0</v>
      </c>
      <c r="V61" s="155">
        <f t="shared" si="13"/>
        <v>0</v>
      </c>
      <c r="W61" s="155">
        <f t="shared" si="13"/>
        <v>0</v>
      </c>
      <c r="X61" s="155">
        <f t="shared" si="13"/>
        <v>0</v>
      </c>
      <c r="Y61" s="155">
        <f t="shared" si="13"/>
        <v>0</v>
      </c>
      <c r="Z61" s="156">
        <f t="shared" ref="Z61" si="14">SUM(H61:Y61)</f>
        <v>0</v>
      </c>
    </row>
    <row r="62" spans="2:31" hidden="1" outlineLevel="1" x14ac:dyDescent="0.25">
      <c r="C62" s="210" t="s">
        <v>38</v>
      </c>
      <c r="D62" s="108" t="s">
        <v>41</v>
      </c>
      <c r="E62" s="121"/>
      <c r="F62" s="114">
        <v>0.02</v>
      </c>
      <c r="G62" s="109"/>
      <c r="H62" s="110">
        <f>-H54*$F$62</f>
        <v>0</v>
      </c>
      <c r="I62" s="111">
        <f t="shared" ref="I62:Y62" si="15">-I54*$F$62</f>
        <v>0</v>
      </c>
      <c r="J62" s="110">
        <f t="shared" si="15"/>
        <v>0</v>
      </c>
      <c r="K62" s="111">
        <f t="shared" si="15"/>
        <v>0</v>
      </c>
      <c r="L62" s="110">
        <f t="shared" si="15"/>
        <v>0</v>
      </c>
      <c r="M62" s="111">
        <f t="shared" si="15"/>
        <v>0</v>
      </c>
      <c r="N62" s="110">
        <f t="shared" si="15"/>
        <v>0</v>
      </c>
      <c r="O62" s="111">
        <f t="shared" si="15"/>
        <v>0</v>
      </c>
      <c r="P62" s="110">
        <f t="shared" si="15"/>
        <v>0</v>
      </c>
      <c r="Q62" s="111">
        <f t="shared" si="15"/>
        <v>0</v>
      </c>
      <c r="R62" s="110">
        <f t="shared" si="15"/>
        <v>0</v>
      </c>
      <c r="S62" s="111">
        <f t="shared" si="15"/>
        <v>0</v>
      </c>
      <c r="T62" s="110">
        <f t="shared" si="15"/>
        <v>0</v>
      </c>
      <c r="U62" s="111">
        <f t="shared" si="15"/>
        <v>0</v>
      </c>
      <c r="V62" s="110">
        <f t="shared" si="15"/>
        <v>0</v>
      </c>
      <c r="W62" s="111">
        <f t="shared" si="15"/>
        <v>0</v>
      </c>
      <c r="X62" s="110">
        <f t="shared" si="15"/>
        <v>0</v>
      </c>
      <c r="Y62" s="111">
        <f t="shared" si="15"/>
        <v>0</v>
      </c>
      <c r="Z62" s="144">
        <f t="shared" si="3"/>
        <v>0</v>
      </c>
      <c r="AE62" s="169" t="s">
        <v>216</v>
      </c>
    </row>
    <row r="63" spans="2:31" hidden="1" outlineLevel="1" x14ac:dyDescent="0.25">
      <c r="C63" s="210" t="s">
        <v>38</v>
      </c>
      <c r="D63" s="108" t="s">
        <v>40</v>
      </c>
      <c r="E63" s="121"/>
      <c r="F63" s="114">
        <v>0.01</v>
      </c>
      <c r="G63" s="109"/>
      <c r="H63" s="110">
        <f>-H54*$F$63</f>
        <v>0</v>
      </c>
      <c r="I63" s="111">
        <f t="shared" ref="I63:Y63" si="16">-I54*$F$63</f>
        <v>0</v>
      </c>
      <c r="J63" s="110">
        <f t="shared" si="16"/>
        <v>0</v>
      </c>
      <c r="K63" s="111">
        <f t="shared" si="16"/>
        <v>0</v>
      </c>
      <c r="L63" s="110">
        <f t="shared" si="16"/>
        <v>0</v>
      </c>
      <c r="M63" s="111">
        <f t="shared" si="16"/>
        <v>0</v>
      </c>
      <c r="N63" s="110">
        <f t="shared" si="16"/>
        <v>0</v>
      </c>
      <c r="O63" s="111">
        <f t="shared" si="16"/>
        <v>0</v>
      </c>
      <c r="P63" s="110">
        <f t="shared" si="16"/>
        <v>0</v>
      </c>
      <c r="Q63" s="111">
        <f t="shared" si="16"/>
        <v>0</v>
      </c>
      <c r="R63" s="110">
        <f t="shared" si="16"/>
        <v>0</v>
      </c>
      <c r="S63" s="111">
        <f t="shared" si="16"/>
        <v>0</v>
      </c>
      <c r="T63" s="110">
        <f t="shared" si="16"/>
        <v>0</v>
      </c>
      <c r="U63" s="111">
        <f t="shared" si="16"/>
        <v>0</v>
      </c>
      <c r="V63" s="110">
        <f t="shared" si="16"/>
        <v>0</v>
      </c>
      <c r="W63" s="111">
        <f t="shared" si="16"/>
        <v>0</v>
      </c>
      <c r="X63" s="110">
        <f t="shared" si="16"/>
        <v>0</v>
      </c>
      <c r="Y63" s="111">
        <f t="shared" si="16"/>
        <v>0</v>
      </c>
      <c r="Z63" s="144">
        <f t="shared" si="3"/>
        <v>0</v>
      </c>
    </row>
    <row r="64" spans="2:31" hidden="1" outlineLevel="1" x14ac:dyDescent="0.25">
      <c r="C64" s="210" t="s">
        <v>38</v>
      </c>
      <c r="D64" s="108" t="s">
        <v>183</v>
      </c>
      <c r="E64" s="121"/>
      <c r="F64" s="114">
        <v>1.2E-2</v>
      </c>
      <c r="G64" s="109"/>
      <c r="H64" s="110">
        <f>-H61*$F$64</f>
        <v>0</v>
      </c>
      <c r="I64" s="111">
        <f t="shared" ref="I64:Y64" si="17">-I61*$F$64</f>
        <v>0</v>
      </c>
      <c r="J64" s="110">
        <f t="shared" si="17"/>
        <v>0</v>
      </c>
      <c r="K64" s="111">
        <f t="shared" si="17"/>
        <v>0</v>
      </c>
      <c r="L64" s="110">
        <f t="shared" si="17"/>
        <v>0</v>
      </c>
      <c r="M64" s="111">
        <f t="shared" si="17"/>
        <v>0</v>
      </c>
      <c r="N64" s="110">
        <f t="shared" si="17"/>
        <v>0</v>
      </c>
      <c r="O64" s="111">
        <f t="shared" si="17"/>
        <v>0</v>
      </c>
      <c r="P64" s="110">
        <f t="shared" si="17"/>
        <v>0</v>
      </c>
      <c r="Q64" s="111">
        <f t="shared" si="17"/>
        <v>0</v>
      </c>
      <c r="R64" s="110">
        <f t="shared" si="17"/>
        <v>0</v>
      </c>
      <c r="S64" s="111">
        <f t="shared" si="17"/>
        <v>0</v>
      </c>
      <c r="T64" s="110">
        <f t="shared" si="17"/>
        <v>0</v>
      </c>
      <c r="U64" s="111">
        <f t="shared" si="17"/>
        <v>0</v>
      </c>
      <c r="V64" s="110">
        <f t="shared" si="17"/>
        <v>0</v>
      </c>
      <c r="W64" s="111">
        <f t="shared" si="17"/>
        <v>0</v>
      </c>
      <c r="X64" s="110">
        <f t="shared" si="17"/>
        <v>0</v>
      </c>
      <c r="Y64" s="111">
        <f t="shared" si="17"/>
        <v>0</v>
      </c>
      <c r="Z64" s="144">
        <f t="shared" si="3"/>
        <v>0</v>
      </c>
    </row>
    <row r="65" spans="2:30" collapsed="1" x14ac:dyDescent="0.25">
      <c r="C65" s="210" t="s">
        <v>37</v>
      </c>
      <c r="D65" s="157" t="s">
        <v>177</v>
      </c>
      <c r="E65" s="158"/>
      <c r="F65" s="159" t="s">
        <v>182</v>
      </c>
      <c r="G65" s="160"/>
      <c r="H65" s="161">
        <f>SUM(H61:H64)</f>
        <v>0</v>
      </c>
      <c r="I65" s="161">
        <f t="shared" ref="I65:Y65" si="18">SUM(I61:I64)</f>
        <v>0</v>
      </c>
      <c r="J65" s="161">
        <f t="shared" si="18"/>
        <v>0</v>
      </c>
      <c r="K65" s="161">
        <f t="shared" si="18"/>
        <v>0</v>
      </c>
      <c r="L65" s="161">
        <f t="shared" si="18"/>
        <v>0</v>
      </c>
      <c r="M65" s="161">
        <f t="shared" si="18"/>
        <v>0</v>
      </c>
      <c r="N65" s="161">
        <f t="shared" si="18"/>
        <v>0</v>
      </c>
      <c r="O65" s="161">
        <f t="shared" si="18"/>
        <v>0</v>
      </c>
      <c r="P65" s="161">
        <f t="shared" si="18"/>
        <v>0</v>
      </c>
      <c r="Q65" s="161">
        <f t="shared" si="18"/>
        <v>0</v>
      </c>
      <c r="R65" s="161">
        <f t="shared" si="18"/>
        <v>0</v>
      </c>
      <c r="S65" s="161">
        <f t="shared" si="18"/>
        <v>0</v>
      </c>
      <c r="T65" s="161">
        <f t="shared" si="18"/>
        <v>0</v>
      </c>
      <c r="U65" s="161">
        <f t="shared" si="18"/>
        <v>0</v>
      </c>
      <c r="V65" s="161">
        <f t="shared" si="18"/>
        <v>0</v>
      </c>
      <c r="W65" s="161">
        <f t="shared" si="18"/>
        <v>0</v>
      </c>
      <c r="X65" s="161">
        <f t="shared" si="18"/>
        <v>0</v>
      </c>
      <c r="Y65" s="161">
        <f t="shared" si="18"/>
        <v>0</v>
      </c>
      <c r="Z65" s="162">
        <f t="shared" si="3"/>
        <v>0</v>
      </c>
    </row>
    <row r="66" spans="2:30" x14ac:dyDescent="0.25">
      <c r="C66" s="212"/>
      <c r="D66" s="108"/>
      <c r="E66" s="121"/>
      <c r="F66" s="19"/>
      <c r="G66" s="109"/>
      <c r="H66" s="110"/>
      <c r="I66" s="111"/>
      <c r="J66" s="110"/>
      <c r="K66" s="111"/>
      <c r="L66" s="110"/>
      <c r="M66" s="111"/>
      <c r="N66" s="110"/>
      <c r="O66" s="111"/>
      <c r="P66" s="110"/>
      <c r="Q66" s="111"/>
      <c r="R66" s="110"/>
      <c r="S66" s="111"/>
      <c r="T66" s="110"/>
      <c r="U66" s="111"/>
      <c r="V66" s="110"/>
      <c r="W66" s="111"/>
      <c r="X66" s="110"/>
      <c r="Y66" s="111"/>
      <c r="Z66" s="145"/>
    </row>
    <row r="67" spans="2:30" x14ac:dyDescent="0.25">
      <c r="C67" s="210" t="s">
        <v>38</v>
      </c>
      <c r="D67" s="381" t="s">
        <v>102</v>
      </c>
      <c r="F67" s="92" t="s">
        <v>184</v>
      </c>
      <c r="G67" s="109"/>
      <c r="H67" s="112">
        <f>SUMPRODUCT(($C$67=Comercial_Agricola[Movimiento])*(Comercial_Agricola[Financiero $Corrientes])*(H$1=Comercial_Agricola[Mes Financiero])*(H$2=Comercial_Agricola[Año Financiero]))</f>
        <v>0</v>
      </c>
      <c r="I67" s="113">
        <f>SUMPRODUCT(($C$67=Comercial_Agricola[Movimiento])*(Comercial_Agricola[Financiero $Corrientes])*(I$1=Comercial_Agricola[Mes Financiero])*(I$2=Comercial_Agricola[Año Financiero]))</f>
        <v>0</v>
      </c>
      <c r="J67" s="112">
        <f>SUMPRODUCT(($C$67=Comercial_Agricola[Movimiento])*(Comercial_Agricola[Financiero $Corrientes])*(J$1=Comercial_Agricola[Mes Financiero])*(J$2=Comercial_Agricola[Año Financiero]))</f>
        <v>0</v>
      </c>
      <c r="K67" s="113">
        <f>SUMPRODUCT(($C$67=Comercial_Agricola[Movimiento])*(Comercial_Agricola[Financiero $Corrientes])*(K$1=Comercial_Agricola[Mes Financiero])*(K$2=Comercial_Agricola[Año Financiero]))</f>
        <v>0</v>
      </c>
      <c r="L67" s="112">
        <f>SUMPRODUCT(($C$67=Comercial_Agricola[Movimiento])*(Comercial_Agricola[Financiero $Corrientes])*(L$1=Comercial_Agricola[Mes Financiero])*(L$2=Comercial_Agricola[Año Financiero]))</f>
        <v>0</v>
      </c>
      <c r="M67" s="113">
        <f>SUMPRODUCT(($C$67=Comercial_Agricola[Movimiento])*(Comercial_Agricola[Financiero $Corrientes])*(M$1=Comercial_Agricola[Mes Financiero])*(M$2=Comercial_Agricola[Año Financiero]))</f>
        <v>0</v>
      </c>
      <c r="N67" s="112">
        <f>SUMPRODUCT(($C$67=Comercial_Agricola[Movimiento])*(Comercial_Agricola[Financiero $Corrientes])*(N$1=Comercial_Agricola[Mes Financiero])*(N$2=Comercial_Agricola[Año Financiero]))</f>
        <v>0</v>
      </c>
      <c r="O67" s="113">
        <f>SUMPRODUCT(($C$67=Comercial_Agricola[Movimiento])*(Comercial_Agricola[Financiero $Corrientes])*(O$1=Comercial_Agricola[Mes Financiero])*(O$2=Comercial_Agricola[Año Financiero]))</f>
        <v>0</v>
      </c>
      <c r="P67" s="112">
        <f>SUMPRODUCT(($C$67=Comercial_Agricola[Movimiento])*(Comercial_Agricola[Financiero $Corrientes])*(P$1=Comercial_Agricola[Mes Financiero])*(P$2=Comercial_Agricola[Año Financiero]))</f>
        <v>0</v>
      </c>
      <c r="Q67" s="113">
        <f>SUMPRODUCT(($C$67=Comercial_Agricola[Movimiento])*(Comercial_Agricola[Financiero $Corrientes])*(Q$1=Comercial_Agricola[Mes Financiero])*(Q$2=Comercial_Agricola[Año Financiero]))</f>
        <v>0</v>
      </c>
      <c r="R67" s="112">
        <f>SUMPRODUCT(($C$67=Comercial_Agricola[Movimiento])*(Comercial_Agricola[Financiero $Corrientes])*(R$1=Comercial_Agricola[Mes Financiero])*(R$2=Comercial_Agricola[Año Financiero]))</f>
        <v>0</v>
      </c>
      <c r="S67" s="113">
        <f>SUMPRODUCT(($C$67=Comercial_Agricola[Movimiento])*(Comercial_Agricola[Financiero $Corrientes])*(S$1=Comercial_Agricola[Mes Financiero])*(S$2=Comercial_Agricola[Año Financiero]))</f>
        <v>0</v>
      </c>
      <c r="T67" s="112">
        <f>SUMPRODUCT(($C$67=Comercial_Agricola[Movimiento])*(Comercial_Agricola[Financiero $Corrientes])*(T$1=Comercial_Agricola[Mes Financiero])*(T$2=Comercial_Agricola[Año Financiero]))</f>
        <v>0</v>
      </c>
      <c r="U67" s="113">
        <f>SUMPRODUCT(($C$67=Comercial_Agricola[Movimiento])*(Comercial_Agricola[Financiero $Corrientes])*(U$1=Comercial_Agricola[Mes Financiero])*(U$2=Comercial_Agricola[Año Financiero]))</f>
        <v>0</v>
      </c>
      <c r="V67" s="112">
        <f>SUMPRODUCT(($C$67=Comercial_Agricola[Movimiento])*(Comercial_Agricola[Financiero $Corrientes])*(V$1=Comercial_Agricola[Mes Financiero])*(V$2=Comercial_Agricola[Año Financiero]))</f>
        <v>0</v>
      </c>
      <c r="W67" s="113">
        <f>SUMPRODUCT(($C$67=Comercial_Agricola[Movimiento])*(Comercial_Agricola[Financiero $Corrientes])*(W$1=Comercial_Agricola[Mes Financiero])*(W$2=Comercial_Agricola[Año Financiero]))</f>
        <v>0</v>
      </c>
      <c r="X67" s="112">
        <f>SUMPRODUCT(($C$67=Comercial_Agricola[Movimiento])*(Comercial_Agricola[Financiero $Corrientes])*(X$1=Comercial_Agricola[Mes Financiero])*(X$2=Comercial_Agricola[Año Financiero]))</f>
        <v>0</v>
      </c>
      <c r="Y67" s="113">
        <f>SUMPRODUCT(($C$67=Comercial_Agricola[Movimiento])*(Comercial_Agricola[Financiero $Corrientes])*(Y$1=Comercial_Agricola[Mes Financiero])*(Y$2=Comercial_Agricola[Año Financiero]))</f>
        <v>0</v>
      </c>
      <c r="Z67" s="139">
        <f>SUM(H67:Y67)</f>
        <v>0</v>
      </c>
    </row>
    <row r="68" spans="2:30" hidden="1" outlineLevel="2" x14ac:dyDescent="0.25">
      <c r="E68" s="121"/>
      <c r="F68" s="215">
        <f>IFERROR(MATCH('Financiero $'!G68,Tabla811[Producto],0),0)</f>
        <v>1</v>
      </c>
      <c r="G68" s="217" t="str">
        <f t="shared" ref="G68:G77" si="19">G5</f>
        <v>Soja</v>
      </c>
      <c r="H68" s="391">
        <f>SUMPRODUCT(($C$67=Comercial_Agricola[Movimiento])*(Comercial_Agricola[Financiero $Corrientes])*($G68=Comercial_Agricola[Producto])*(H$1=Comercial_Agricola[Mes Financiero])*(H$2=Comercial_Agricola[Año Financiero]))</f>
        <v>0</v>
      </c>
      <c r="I68" s="390">
        <f>SUMPRODUCT(($C$67=Comercial_Agricola[Movimiento])*(Comercial_Agricola[Financiero $Corrientes])*($G68=Comercial_Agricola[Producto])*(I$1=Comercial_Agricola[Mes Financiero])*(I$2=Comercial_Agricola[Año Financiero]))</f>
        <v>0</v>
      </c>
      <c r="J68" s="391">
        <f>SUMPRODUCT(($C$67=Comercial_Agricola[Movimiento])*(Comercial_Agricola[Financiero $Corrientes])*($G68=Comercial_Agricola[Producto])*(J$1=Comercial_Agricola[Mes Financiero])*(J$2=Comercial_Agricola[Año Financiero]))</f>
        <v>0</v>
      </c>
      <c r="K68" s="390">
        <f>SUMPRODUCT(($C$67=Comercial_Agricola[Movimiento])*(Comercial_Agricola[Financiero $Corrientes])*($G68=Comercial_Agricola[Producto])*(K$1=Comercial_Agricola[Mes Financiero])*(K$2=Comercial_Agricola[Año Financiero]))</f>
        <v>0</v>
      </c>
      <c r="L68" s="391">
        <f>SUMPRODUCT(($C$67=Comercial_Agricola[Movimiento])*(Comercial_Agricola[Financiero $Corrientes])*($G68=Comercial_Agricola[Producto])*(L$1=Comercial_Agricola[Mes Financiero])*(L$2=Comercial_Agricola[Año Financiero]))</f>
        <v>0</v>
      </c>
      <c r="M68" s="390">
        <f>SUMPRODUCT(($C$67=Comercial_Agricola[Movimiento])*(Comercial_Agricola[Financiero $Corrientes])*($G68=Comercial_Agricola[Producto])*(M$1=Comercial_Agricola[Mes Financiero])*(M$2=Comercial_Agricola[Año Financiero]))</f>
        <v>0</v>
      </c>
      <c r="N68" s="391">
        <f>SUMPRODUCT(($C$67=Comercial_Agricola[Movimiento])*(Comercial_Agricola[Financiero $Corrientes])*($G68=Comercial_Agricola[Producto])*(N$1=Comercial_Agricola[Mes Financiero])*(N$2=Comercial_Agricola[Año Financiero]))</f>
        <v>0</v>
      </c>
      <c r="O68" s="390">
        <f>SUMPRODUCT(($C$67=Comercial_Agricola[Movimiento])*(Comercial_Agricola[Financiero $Corrientes])*($G68=Comercial_Agricola[Producto])*(O$1=Comercial_Agricola[Mes Financiero])*(O$2=Comercial_Agricola[Año Financiero]))</f>
        <v>0</v>
      </c>
      <c r="P68" s="391">
        <f>SUMPRODUCT(($C$67=Comercial_Agricola[Movimiento])*(Comercial_Agricola[Financiero $Corrientes])*($G68=Comercial_Agricola[Producto])*(P$1=Comercial_Agricola[Mes Financiero])*(P$2=Comercial_Agricola[Año Financiero]))</f>
        <v>0</v>
      </c>
      <c r="Q68" s="390">
        <f>SUMPRODUCT(($C$67=Comercial_Agricola[Movimiento])*(Comercial_Agricola[Financiero $Corrientes])*($G68=Comercial_Agricola[Producto])*(Q$1=Comercial_Agricola[Mes Financiero])*(Q$2=Comercial_Agricola[Año Financiero]))</f>
        <v>0</v>
      </c>
      <c r="R68" s="391">
        <f>SUMPRODUCT(($C$67=Comercial_Agricola[Movimiento])*(Comercial_Agricola[Financiero $Corrientes])*($G68=Comercial_Agricola[Producto])*(R$1=Comercial_Agricola[Mes Financiero])*(R$2=Comercial_Agricola[Año Financiero]))</f>
        <v>0</v>
      </c>
      <c r="S68" s="390">
        <f>SUMPRODUCT(($C$67=Comercial_Agricola[Movimiento])*(Comercial_Agricola[Financiero $Corrientes])*($G68=Comercial_Agricola[Producto])*(S$1=Comercial_Agricola[Mes Financiero])*(S$2=Comercial_Agricola[Año Financiero]))</f>
        <v>0</v>
      </c>
      <c r="T68" s="391">
        <f>SUMPRODUCT(($C$67=Comercial_Agricola[Movimiento])*(Comercial_Agricola[Financiero $Corrientes])*($G68=Comercial_Agricola[Producto])*(T$1=Comercial_Agricola[Mes Financiero])*(T$2=Comercial_Agricola[Año Financiero]))</f>
        <v>0</v>
      </c>
      <c r="U68" s="390">
        <f>SUMPRODUCT(($C$67=Comercial_Agricola[Movimiento])*(Comercial_Agricola[Financiero $Corrientes])*($G68=Comercial_Agricola[Producto])*(U$1=Comercial_Agricola[Mes Financiero])*(U$2=Comercial_Agricola[Año Financiero]))</f>
        <v>0</v>
      </c>
      <c r="V68" s="391">
        <f>SUMPRODUCT(($C$67=Comercial_Agricola[Movimiento])*(Comercial_Agricola[Financiero $Corrientes])*($G68=Comercial_Agricola[Producto])*(V$1=Comercial_Agricola[Mes Financiero])*(V$2=Comercial_Agricola[Año Financiero]))</f>
        <v>0</v>
      </c>
      <c r="W68" s="390">
        <f>SUMPRODUCT(($C$67=Comercial_Agricola[Movimiento])*(Comercial_Agricola[Financiero $Corrientes])*($G68=Comercial_Agricola[Producto])*(W$1=Comercial_Agricola[Mes Financiero])*(W$2=Comercial_Agricola[Año Financiero]))</f>
        <v>0</v>
      </c>
      <c r="X68" s="391">
        <f>SUMPRODUCT(($C$67=Comercial_Agricola[Movimiento])*(Comercial_Agricola[Financiero $Corrientes])*($G68=Comercial_Agricola[Producto])*(X$1=Comercial_Agricola[Mes Financiero])*(X$2=Comercial_Agricola[Año Financiero]))</f>
        <v>0</v>
      </c>
      <c r="Y68" s="390">
        <f>SUMPRODUCT(($C$67=Comercial_Agricola[Movimiento])*(Comercial_Agricola[Financiero $Corrientes])*($G68=Comercial_Agricola[Producto])*(Y$1=Comercial_Agricola[Mes Financiero])*(Y$2=Comercial_Agricola[Año Financiero]))</f>
        <v>0</v>
      </c>
      <c r="Z68" s="396"/>
    </row>
    <row r="69" spans="2:30" hidden="1" outlineLevel="2" x14ac:dyDescent="0.25">
      <c r="E69" s="121"/>
      <c r="F69" s="215">
        <f>IFERROR(MATCH('Financiero $'!G69,Tabla811[Producto],0),0)</f>
        <v>2</v>
      </c>
      <c r="G69" s="217" t="str">
        <f t="shared" si="19"/>
        <v>Maíz</v>
      </c>
      <c r="H69" s="391">
        <f>SUMPRODUCT(($C$67=Comercial_Agricola[Movimiento])*(Comercial_Agricola[Financiero $Corrientes])*($G69=Comercial_Agricola[Producto])*(H$1=Comercial_Agricola[Mes Financiero])*(H$2=Comercial_Agricola[Año Financiero]))</f>
        <v>0</v>
      </c>
      <c r="I69" s="390">
        <f>SUMPRODUCT(($C$67=Comercial_Agricola[Movimiento])*(Comercial_Agricola[Financiero $Corrientes])*($G69=Comercial_Agricola[Producto])*(I$1=Comercial_Agricola[Mes Financiero])*(I$2=Comercial_Agricola[Año Financiero]))</f>
        <v>0</v>
      </c>
      <c r="J69" s="391">
        <f>SUMPRODUCT(($C$67=Comercial_Agricola[Movimiento])*(Comercial_Agricola[Financiero $Corrientes])*($G69=Comercial_Agricola[Producto])*(J$1=Comercial_Agricola[Mes Financiero])*(J$2=Comercial_Agricola[Año Financiero]))</f>
        <v>0</v>
      </c>
      <c r="K69" s="390">
        <f>SUMPRODUCT(($C$67=Comercial_Agricola[Movimiento])*(Comercial_Agricola[Financiero $Corrientes])*($G69=Comercial_Agricola[Producto])*(K$1=Comercial_Agricola[Mes Financiero])*(K$2=Comercial_Agricola[Año Financiero]))</f>
        <v>0</v>
      </c>
      <c r="L69" s="391">
        <f>SUMPRODUCT(($C$67=Comercial_Agricola[Movimiento])*(Comercial_Agricola[Financiero $Corrientes])*($G69=Comercial_Agricola[Producto])*(L$1=Comercial_Agricola[Mes Financiero])*(L$2=Comercial_Agricola[Año Financiero]))</f>
        <v>0</v>
      </c>
      <c r="M69" s="390">
        <f>SUMPRODUCT(($C$67=Comercial_Agricola[Movimiento])*(Comercial_Agricola[Financiero $Corrientes])*($G69=Comercial_Agricola[Producto])*(M$1=Comercial_Agricola[Mes Financiero])*(M$2=Comercial_Agricola[Año Financiero]))</f>
        <v>0</v>
      </c>
      <c r="N69" s="391">
        <f>SUMPRODUCT(($C$67=Comercial_Agricola[Movimiento])*(Comercial_Agricola[Financiero $Corrientes])*($G69=Comercial_Agricola[Producto])*(N$1=Comercial_Agricola[Mes Financiero])*(N$2=Comercial_Agricola[Año Financiero]))</f>
        <v>0</v>
      </c>
      <c r="O69" s="390">
        <f>SUMPRODUCT(($C$67=Comercial_Agricola[Movimiento])*(Comercial_Agricola[Financiero $Corrientes])*($G69=Comercial_Agricola[Producto])*(O$1=Comercial_Agricola[Mes Financiero])*(O$2=Comercial_Agricola[Año Financiero]))</f>
        <v>0</v>
      </c>
      <c r="P69" s="391">
        <f>SUMPRODUCT(($C$67=Comercial_Agricola[Movimiento])*(Comercial_Agricola[Financiero $Corrientes])*($G69=Comercial_Agricola[Producto])*(P$1=Comercial_Agricola[Mes Financiero])*(P$2=Comercial_Agricola[Año Financiero]))</f>
        <v>0</v>
      </c>
      <c r="Q69" s="390">
        <f>SUMPRODUCT(($C$67=Comercial_Agricola[Movimiento])*(Comercial_Agricola[Financiero $Corrientes])*($G69=Comercial_Agricola[Producto])*(Q$1=Comercial_Agricola[Mes Financiero])*(Q$2=Comercial_Agricola[Año Financiero]))</f>
        <v>0</v>
      </c>
      <c r="R69" s="391">
        <f>SUMPRODUCT(($C$67=Comercial_Agricola[Movimiento])*(Comercial_Agricola[Financiero $Corrientes])*($G69=Comercial_Agricola[Producto])*(R$1=Comercial_Agricola[Mes Financiero])*(R$2=Comercial_Agricola[Año Financiero]))</f>
        <v>0</v>
      </c>
      <c r="S69" s="390">
        <f>SUMPRODUCT(($C$67=Comercial_Agricola[Movimiento])*(Comercial_Agricola[Financiero $Corrientes])*($G69=Comercial_Agricola[Producto])*(S$1=Comercial_Agricola[Mes Financiero])*(S$2=Comercial_Agricola[Año Financiero]))</f>
        <v>0</v>
      </c>
      <c r="T69" s="391">
        <f>SUMPRODUCT(($C$67=Comercial_Agricola[Movimiento])*(Comercial_Agricola[Financiero $Corrientes])*($G69=Comercial_Agricola[Producto])*(T$1=Comercial_Agricola[Mes Financiero])*(T$2=Comercial_Agricola[Año Financiero]))</f>
        <v>0</v>
      </c>
      <c r="U69" s="390">
        <f>SUMPRODUCT(($C$67=Comercial_Agricola[Movimiento])*(Comercial_Agricola[Financiero $Corrientes])*($G69=Comercial_Agricola[Producto])*(U$1=Comercial_Agricola[Mes Financiero])*(U$2=Comercial_Agricola[Año Financiero]))</f>
        <v>0</v>
      </c>
      <c r="V69" s="391">
        <f>SUMPRODUCT(($C$67=Comercial_Agricola[Movimiento])*(Comercial_Agricola[Financiero $Corrientes])*($G69=Comercial_Agricola[Producto])*(V$1=Comercial_Agricola[Mes Financiero])*(V$2=Comercial_Agricola[Año Financiero]))</f>
        <v>0</v>
      </c>
      <c r="W69" s="390">
        <f>SUMPRODUCT(($C$67=Comercial_Agricola[Movimiento])*(Comercial_Agricola[Financiero $Corrientes])*($G69=Comercial_Agricola[Producto])*(W$1=Comercial_Agricola[Mes Financiero])*(W$2=Comercial_Agricola[Año Financiero]))</f>
        <v>0</v>
      </c>
      <c r="X69" s="391">
        <f>SUMPRODUCT(($C$67=Comercial_Agricola[Movimiento])*(Comercial_Agricola[Financiero $Corrientes])*($G69=Comercial_Agricola[Producto])*(X$1=Comercial_Agricola[Mes Financiero])*(X$2=Comercial_Agricola[Año Financiero]))</f>
        <v>0</v>
      </c>
      <c r="Y69" s="390">
        <f>SUMPRODUCT(($C$67=Comercial_Agricola[Movimiento])*(Comercial_Agricola[Financiero $Corrientes])*($G69=Comercial_Agricola[Producto])*(Y$1=Comercial_Agricola[Mes Financiero])*(Y$2=Comercial_Agricola[Año Financiero]))</f>
        <v>0</v>
      </c>
      <c r="Z69" s="396"/>
    </row>
    <row r="70" spans="2:30" hidden="1" outlineLevel="2" x14ac:dyDescent="0.25">
      <c r="E70" s="121"/>
      <c r="F70" s="215">
        <f>IFERROR(MATCH('Financiero $'!G70,Tabla811[Producto],0),0)</f>
        <v>3</v>
      </c>
      <c r="G70" s="217" t="str">
        <f t="shared" si="19"/>
        <v>Girasol</v>
      </c>
      <c r="H70" s="391">
        <f>SUMPRODUCT(($C$67=Comercial_Agricola[Movimiento])*(Comercial_Agricola[Financiero $Corrientes])*($G70=Comercial_Agricola[Producto])*(H$1=Comercial_Agricola[Mes Financiero])*(H$2=Comercial_Agricola[Año Financiero]))</f>
        <v>0</v>
      </c>
      <c r="I70" s="390">
        <f>SUMPRODUCT(($C$67=Comercial_Agricola[Movimiento])*(Comercial_Agricola[Financiero $Corrientes])*($G70=Comercial_Agricola[Producto])*(I$1=Comercial_Agricola[Mes Financiero])*(I$2=Comercial_Agricola[Año Financiero]))</f>
        <v>0</v>
      </c>
      <c r="J70" s="391">
        <f>SUMPRODUCT(($C$67=Comercial_Agricola[Movimiento])*(Comercial_Agricola[Financiero $Corrientes])*($G70=Comercial_Agricola[Producto])*(J$1=Comercial_Agricola[Mes Financiero])*(J$2=Comercial_Agricola[Año Financiero]))</f>
        <v>0</v>
      </c>
      <c r="K70" s="390">
        <f>SUMPRODUCT(($C$67=Comercial_Agricola[Movimiento])*(Comercial_Agricola[Financiero $Corrientes])*($G70=Comercial_Agricola[Producto])*(K$1=Comercial_Agricola[Mes Financiero])*(K$2=Comercial_Agricola[Año Financiero]))</f>
        <v>0</v>
      </c>
      <c r="L70" s="391">
        <f>SUMPRODUCT(($C$67=Comercial_Agricola[Movimiento])*(Comercial_Agricola[Financiero $Corrientes])*($G70=Comercial_Agricola[Producto])*(L$1=Comercial_Agricola[Mes Financiero])*(L$2=Comercial_Agricola[Año Financiero]))</f>
        <v>0</v>
      </c>
      <c r="M70" s="390">
        <f>SUMPRODUCT(($C$67=Comercial_Agricola[Movimiento])*(Comercial_Agricola[Financiero $Corrientes])*($G70=Comercial_Agricola[Producto])*(M$1=Comercial_Agricola[Mes Financiero])*(M$2=Comercial_Agricola[Año Financiero]))</f>
        <v>0</v>
      </c>
      <c r="N70" s="391">
        <f>SUMPRODUCT(($C$67=Comercial_Agricola[Movimiento])*(Comercial_Agricola[Financiero $Corrientes])*($G70=Comercial_Agricola[Producto])*(N$1=Comercial_Agricola[Mes Financiero])*(N$2=Comercial_Agricola[Año Financiero]))</f>
        <v>0</v>
      </c>
      <c r="O70" s="390">
        <f>SUMPRODUCT(($C$67=Comercial_Agricola[Movimiento])*(Comercial_Agricola[Financiero $Corrientes])*($G70=Comercial_Agricola[Producto])*(O$1=Comercial_Agricola[Mes Financiero])*(O$2=Comercial_Agricola[Año Financiero]))</f>
        <v>0</v>
      </c>
      <c r="P70" s="391">
        <f>SUMPRODUCT(($C$67=Comercial_Agricola[Movimiento])*(Comercial_Agricola[Financiero $Corrientes])*($G70=Comercial_Agricola[Producto])*(P$1=Comercial_Agricola[Mes Financiero])*(P$2=Comercial_Agricola[Año Financiero]))</f>
        <v>0</v>
      </c>
      <c r="Q70" s="390">
        <f>SUMPRODUCT(($C$67=Comercial_Agricola[Movimiento])*(Comercial_Agricola[Financiero $Corrientes])*($G70=Comercial_Agricola[Producto])*(Q$1=Comercial_Agricola[Mes Financiero])*(Q$2=Comercial_Agricola[Año Financiero]))</f>
        <v>0</v>
      </c>
      <c r="R70" s="391">
        <f>SUMPRODUCT(($C$67=Comercial_Agricola[Movimiento])*(Comercial_Agricola[Financiero $Corrientes])*($G70=Comercial_Agricola[Producto])*(R$1=Comercial_Agricola[Mes Financiero])*(R$2=Comercial_Agricola[Año Financiero]))</f>
        <v>0</v>
      </c>
      <c r="S70" s="390">
        <f>SUMPRODUCT(($C$67=Comercial_Agricola[Movimiento])*(Comercial_Agricola[Financiero $Corrientes])*($G70=Comercial_Agricola[Producto])*(S$1=Comercial_Agricola[Mes Financiero])*(S$2=Comercial_Agricola[Año Financiero]))</f>
        <v>0</v>
      </c>
      <c r="T70" s="391">
        <f>SUMPRODUCT(($C$67=Comercial_Agricola[Movimiento])*(Comercial_Agricola[Financiero $Corrientes])*($G70=Comercial_Agricola[Producto])*(T$1=Comercial_Agricola[Mes Financiero])*(T$2=Comercial_Agricola[Año Financiero]))</f>
        <v>0</v>
      </c>
      <c r="U70" s="390">
        <f>SUMPRODUCT(($C$67=Comercial_Agricola[Movimiento])*(Comercial_Agricola[Financiero $Corrientes])*($G70=Comercial_Agricola[Producto])*(U$1=Comercial_Agricola[Mes Financiero])*(U$2=Comercial_Agricola[Año Financiero]))</f>
        <v>0</v>
      </c>
      <c r="V70" s="391">
        <f>SUMPRODUCT(($C$67=Comercial_Agricola[Movimiento])*(Comercial_Agricola[Financiero $Corrientes])*($G70=Comercial_Agricola[Producto])*(V$1=Comercial_Agricola[Mes Financiero])*(V$2=Comercial_Agricola[Año Financiero]))</f>
        <v>0</v>
      </c>
      <c r="W70" s="390">
        <f>SUMPRODUCT(($C$67=Comercial_Agricola[Movimiento])*(Comercial_Agricola[Financiero $Corrientes])*($G70=Comercial_Agricola[Producto])*(W$1=Comercial_Agricola[Mes Financiero])*(W$2=Comercial_Agricola[Año Financiero]))</f>
        <v>0</v>
      </c>
      <c r="X70" s="391">
        <f>SUMPRODUCT(($C$67=Comercial_Agricola[Movimiento])*(Comercial_Agricola[Financiero $Corrientes])*($G70=Comercial_Agricola[Producto])*(X$1=Comercial_Agricola[Mes Financiero])*(X$2=Comercial_Agricola[Año Financiero]))</f>
        <v>0</v>
      </c>
      <c r="Y70" s="390">
        <f>SUMPRODUCT(($C$67=Comercial_Agricola[Movimiento])*(Comercial_Agricola[Financiero $Corrientes])*($G70=Comercial_Agricola[Producto])*(Y$1=Comercial_Agricola[Mes Financiero])*(Y$2=Comercial_Agricola[Año Financiero]))</f>
        <v>0</v>
      </c>
      <c r="Z70" s="396"/>
    </row>
    <row r="71" spans="2:30" hidden="1" outlineLevel="2" x14ac:dyDescent="0.25">
      <c r="E71" s="121"/>
      <c r="F71" s="215">
        <f>IFERROR(MATCH('Financiero $'!G71,Tabla811[Producto],0),0)</f>
        <v>4</v>
      </c>
      <c r="G71" s="217" t="str">
        <f t="shared" si="19"/>
        <v>Trigo</v>
      </c>
      <c r="H71" s="391">
        <f>SUMPRODUCT(($C$67=Comercial_Agricola[Movimiento])*(Comercial_Agricola[Financiero $Corrientes])*($G71=Comercial_Agricola[Producto])*(H$1=Comercial_Agricola[Mes Financiero])*(H$2=Comercial_Agricola[Año Financiero]))</f>
        <v>0</v>
      </c>
      <c r="I71" s="390">
        <f>SUMPRODUCT(($C$67=Comercial_Agricola[Movimiento])*(Comercial_Agricola[Financiero $Corrientes])*($G71=Comercial_Agricola[Producto])*(I$1=Comercial_Agricola[Mes Financiero])*(I$2=Comercial_Agricola[Año Financiero]))</f>
        <v>0</v>
      </c>
      <c r="J71" s="391">
        <f>SUMPRODUCT(($C$67=Comercial_Agricola[Movimiento])*(Comercial_Agricola[Financiero $Corrientes])*($G71=Comercial_Agricola[Producto])*(J$1=Comercial_Agricola[Mes Financiero])*(J$2=Comercial_Agricola[Año Financiero]))</f>
        <v>0</v>
      </c>
      <c r="K71" s="390">
        <f>SUMPRODUCT(($C$67=Comercial_Agricola[Movimiento])*(Comercial_Agricola[Financiero $Corrientes])*($G71=Comercial_Agricola[Producto])*(K$1=Comercial_Agricola[Mes Financiero])*(K$2=Comercial_Agricola[Año Financiero]))</f>
        <v>0</v>
      </c>
      <c r="L71" s="391">
        <f>SUMPRODUCT(($C$67=Comercial_Agricola[Movimiento])*(Comercial_Agricola[Financiero $Corrientes])*($G71=Comercial_Agricola[Producto])*(L$1=Comercial_Agricola[Mes Financiero])*(L$2=Comercial_Agricola[Año Financiero]))</f>
        <v>0</v>
      </c>
      <c r="M71" s="390">
        <f>SUMPRODUCT(($C$67=Comercial_Agricola[Movimiento])*(Comercial_Agricola[Financiero $Corrientes])*($G71=Comercial_Agricola[Producto])*(M$1=Comercial_Agricola[Mes Financiero])*(M$2=Comercial_Agricola[Año Financiero]))</f>
        <v>0</v>
      </c>
      <c r="N71" s="391">
        <f>SUMPRODUCT(($C$67=Comercial_Agricola[Movimiento])*(Comercial_Agricola[Financiero $Corrientes])*($G71=Comercial_Agricola[Producto])*(N$1=Comercial_Agricola[Mes Financiero])*(N$2=Comercial_Agricola[Año Financiero]))</f>
        <v>0</v>
      </c>
      <c r="O71" s="390">
        <f>SUMPRODUCT(($C$67=Comercial_Agricola[Movimiento])*(Comercial_Agricola[Financiero $Corrientes])*($G71=Comercial_Agricola[Producto])*(O$1=Comercial_Agricola[Mes Financiero])*(O$2=Comercial_Agricola[Año Financiero]))</f>
        <v>0</v>
      </c>
      <c r="P71" s="391">
        <f>SUMPRODUCT(($C$67=Comercial_Agricola[Movimiento])*(Comercial_Agricola[Financiero $Corrientes])*($G71=Comercial_Agricola[Producto])*(P$1=Comercial_Agricola[Mes Financiero])*(P$2=Comercial_Agricola[Año Financiero]))</f>
        <v>0</v>
      </c>
      <c r="Q71" s="390">
        <f>SUMPRODUCT(($C$67=Comercial_Agricola[Movimiento])*(Comercial_Agricola[Financiero $Corrientes])*($G71=Comercial_Agricola[Producto])*(Q$1=Comercial_Agricola[Mes Financiero])*(Q$2=Comercial_Agricola[Año Financiero]))</f>
        <v>0</v>
      </c>
      <c r="R71" s="391">
        <f>SUMPRODUCT(($C$67=Comercial_Agricola[Movimiento])*(Comercial_Agricola[Financiero $Corrientes])*($G71=Comercial_Agricola[Producto])*(R$1=Comercial_Agricola[Mes Financiero])*(R$2=Comercial_Agricola[Año Financiero]))</f>
        <v>0</v>
      </c>
      <c r="S71" s="390">
        <f>SUMPRODUCT(($C$67=Comercial_Agricola[Movimiento])*(Comercial_Agricola[Financiero $Corrientes])*($G71=Comercial_Agricola[Producto])*(S$1=Comercial_Agricola[Mes Financiero])*(S$2=Comercial_Agricola[Año Financiero]))</f>
        <v>0</v>
      </c>
      <c r="T71" s="391">
        <f>SUMPRODUCT(($C$67=Comercial_Agricola[Movimiento])*(Comercial_Agricola[Financiero $Corrientes])*($G71=Comercial_Agricola[Producto])*(T$1=Comercial_Agricola[Mes Financiero])*(T$2=Comercial_Agricola[Año Financiero]))</f>
        <v>0</v>
      </c>
      <c r="U71" s="390">
        <f>SUMPRODUCT(($C$67=Comercial_Agricola[Movimiento])*(Comercial_Agricola[Financiero $Corrientes])*($G71=Comercial_Agricola[Producto])*(U$1=Comercial_Agricola[Mes Financiero])*(U$2=Comercial_Agricola[Año Financiero]))</f>
        <v>0</v>
      </c>
      <c r="V71" s="391">
        <f>SUMPRODUCT(($C$67=Comercial_Agricola[Movimiento])*(Comercial_Agricola[Financiero $Corrientes])*($G71=Comercial_Agricola[Producto])*(V$1=Comercial_Agricola[Mes Financiero])*(V$2=Comercial_Agricola[Año Financiero]))</f>
        <v>0</v>
      </c>
      <c r="W71" s="390">
        <f>SUMPRODUCT(($C$67=Comercial_Agricola[Movimiento])*(Comercial_Agricola[Financiero $Corrientes])*($G71=Comercial_Agricola[Producto])*(W$1=Comercial_Agricola[Mes Financiero])*(W$2=Comercial_Agricola[Año Financiero]))</f>
        <v>0</v>
      </c>
      <c r="X71" s="391">
        <f>SUMPRODUCT(($C$67=Comercial_Agricola[Movimiento])*(Comercial_Agricola[Financiero $Corrientes])*($G71=Comercial_Agricola[Producto])*(X$1=Comercial_Agricola[Mes Financiero])*(X$2=Comercial_Agricola[Año Financiero]))</f>
        <v>0</v>
      </c>
      <c r="Y71" s="390">
        <f>SUMPRODUCT(($C$67=Comercial_Agricola[Movimiento])*(Comercial_Agricola[Financiero $Corrientes])*($G71=Comercial_Agricola[Producto])*(Y$1=Comercial_Agricola[Mes Financiero])*(Y$2=Comercial_Agricola[Año Financiero]))</f>
        <v>0</v>
      </c>
      <c r="Z71" s="396"/>
    </row>
    <row r="72" spans="2:30" hidden="1" outlineLevel="2" x14ac:dyDescent="0.25">
      <c r="E72" s="121"/>
      <c r="F72" s="215">
        <f>IFERROR(MATCH('Financiero $'!G72,Tabla811[Producto],0),0)</f>
        <v>5</v>
      </c>
      <c r="G72" s="217" t="str">
        <f t="shared" si="19"/>
        <v>Cebada</v>
      </c>
      <c r="H72" s="391">
        <f>SUMPRODUCT(($C$67=Comercial_Agricola[Movimiento])*(Comercial_Agricola[Financiero $Corrientes])*($G72=Comercial_Agricola[Producto])*(H$1=Comercial_Agricola[Mes Financiero])*(H$2=Comercial_Agricola[Año Financiero]))</f>
        <v>0</v>
      </c>
      <c r="I72" s="390">
        <f>SUMPRODUCT(($C$67=Comercial_Agricola[Movimiento])*(Comercial_Agricola[Financiero $Corrientes])*($G72=Comercial_Agricola[Producto])*(I$1=Comercial_Agricola[Mes Financiero])*(I$2=Comercial_Agricola[Año Financiero]))</f>
        <v>0</v>
      </c>
      <c r="J72" s="391">
        <f>SUMPRODUCT(($C$67=Comercial_Agricola[Movimiento])*(Comercial_Agricola[Financiero $Corrientes])*($G72=Comercial_Agricola[Producto])*(J$1=Comercial_Agricola[Mes Financiero])*(J$2=Comercial_Agricola[Año Financiero]))</f>
        <v>0</v>
      </c>
      <c r="K72" s="390">
        <f>SUMPRODUCT(($C$67=Comercial_Agricola[Movimiento])*(Comercial_Agricola[Financiero $Corrientes])*($G72=Comercial_Agricola[Producto])*(K$1=Comercial_Agricola[Mes Financiero])*(K$2=Comercial_Agricola[Año Financiero]))</f>
        <v>0</v>
      </c>
      <c r="L72" s="391">
        <f>SUMPRODUCT(($C$67=Comercial_Agricola[Movimiento])*(Comercial_Agricola[Financiero $Corrientes])*($G72=Comercial_Agricola[Producto])*(L$1=Comercial_Agricola[Mes Financiero])*(L$2=Comercial_Agricola[Año Financiero]))</f>
        <v>0</v>
      </c>
      <c r="M72" s="390">
        <f>SUMPRODUCT(($C$67=Comercial_Agricola[Movimiento])*(Comercial_Agricola[Financiero $Corrientes])*($G72=Comercial_Agricola[Producto])*(M$1=Comercial_Agricola[Mes Financiero])*(M$2=Comercial_Agricola[Año Financiero]))</f>
        <v>0</v>
      </c>
      <c r="N72" s="391">
        <f>SUMPRODUCT(($C$67=Comercial_Agricola[Movimiento])*(Comercial_Agricola[Financiero $Corrientes])*($G72=Comercial_Agricola[Producto])*(N$1=Comercial_Agricola[Mes Financiero])*(N$2=Comercial_Agricola[Año Financiero]))</f>
        <v>0</v>
      </c>
      <c r="O72" s="390">
        <f>SUMPRODUCT(($C$67=Comercial_Agricola[Movimiento])*(Comercial_Agricola[Financiero $Corrientes])*($G72=Comercial_Agricola[Producto])*(O$1=Comercial_Agricola[Mes Financiero])*(O$2=Comercial_Agricola[Año Financiero]))</f>
        <v>0</v>
      </c>
      <c r="P72" s="391">
        <f>SUMPRODUCT(($C$67=Comercial_Agricola[Movimiento])*(Comercial_Agricola[Financiero $Corrientes])*($G72=Comercial_Agricola[Producto])*(P$1=Comercial_Agricola[Mes Financiero])*(P$2=Comercial_Agricola[Año Financiero]))</f>
        <v>0</v>
      </c>
      <c r="Q72" s="390">
        <f>SUMPRODUCT(($C$67=Comercial_Agricola[Movimiento])*(Comercial_Agricola[Financiero $Corrientes])*($G72=Comercial_Agricola[Producto])*(Q$1=Comercial_Agricola[Mes Financiero])*(Q$2=Comercial_Agricola[Año Financiero]))</f>
        <v>0</v>
      </c>
      <c r="R72" s="391">
        <f>SUMPRODUCT(($C$67=Comercial_Agricola[Movimiento])*(Comercial_Agricola[Financiero $Corrientes])*($G72=Comercial_Agricola[Producto])*(R$1=Comercial_Agricola[Mes Financiero])*(R$2=Comercial_Agricola[Año Financiero]))</f>
        <v>0</v>
      </c>
      <c r="S72" s="390">
        <f>SUMPRODUCT(($C$67=Comercial_Agricola[Movimiento])*(Comercial_Agricola[Financiero $Corrientes])*($G72=Comercial_Agricola[Producto])*(S$1=Comercial_Agricola[Mes Financiero])*(S$2=Comercial_Agricola[Año Financiero]))</f>
        <v>0</v>
      </c>
      <c r="T72" s="391">
        <f>SUMPRODUCT(($C$67=Comercial_Agricola[Movimiento])*(Comercial_Agricola[Financiero $Corrientes])*($G72=Comercial_Agricola[Producto])*(T$1=Comercial_Agricola[Mes Financiero])*(T$2=Comercial_Agricola[Año Financiero]))</f>
        <v>0</v>
      </c>
      <c r="U72" s="390">
        <f>SUMPRODUCT(($C$67=Comercial_Agricola[Movimiento])*(Comercial_Agricola[Financiero $Corrientes])*($G72=Comercial_Agricola[Producto])*(U$1=Comercial_Agricola[Mes Financiero])*(U$2=Comercial_Agricola[Año Financiero]))</f>
        <v>0</v>
      </c>
      <c r="V72" s="391">
        <f>SUMPRODUCT(($C$67=Comercial_Agricola[Movimiento])*(Comercial_Agricola[Financiero $Corrientes])*($G72=Comercial_Agricola[Producto])*(V$1=Comercial_Agricola[Mes Financiero])*(V$2=Comercial_Agricola[Año Financiero]))</f>
        <v>0</v>
      </c>
      <c r="W72" s="390">
        <f>SUMPRODUCT(($C$67=Comercial_Agricola[Movimiento])*(Comercial_Agricola[Financiero $Corrientes])*($G72=Comercial_Agricola[Producto])*(W$1=Comercial_Agricola[Mes Financiero])*(W$2=Comercial_Agricola[Año Financiero]))</f>
        <v>0</v>
      </c>
      <c r="X72" s="391">
        <f>SUMPRODUCT(($C$67=Comercial_Agricola[Movimiento])*(Comercial_Agricola[Financiero $Corrientes])*($G72=Comercial_Agricola[Producto])*(X$1=Comercial_Agricola[Mes Financiero])*(X$2=Comercial_Agricola[Año Financiero]))</f>
        <v>0</v>
      </c>
      <c r="Y72" s="390">
        <f>SUMPRODUCT(($C$67=Comercial_Agricola[Movimiento])*(Comercial_Agricola[Financiero $Corrientes])*($G72=Comercial_Agricola[Producto])*(Y$1=Comercial_Agricola[Mes Financiero])*(Y$2=Comercial_Agricola[Año Financiero]))</f>
        <v>0</v>
      </c>
      <c r="Z72" s="396"/>
    </row>
    <row r="73" spans="2:30" hidden="1" outlineLevel="2" x14ac:dyDescent="0.25">
      <c r="E73" s="121"/>
      <c r="F73" s="215">
        <f>IFERROR(MATCH('Financiero $'!G73,Tabla811[Producto],0),0)</f>
        <v>6</v>
      </c>
      <c r="G73" s="217" t="str">
        <f t="shared" si="19"/>
        <v>Sorgo</v>
      </c>
      <c r="H73" s="391">
        <f>SUMPRODUCT(($C$67=Comercial_Agricola[Movimiento])*(Comercial_Agricola[Financiero $Corrientes])*($G73=Comercial_Agricola[Producto])*(H$1=Comercial_Agricola[Mes Financiero])*(H$2=Comercial_Agricola[Año Financiero]))</f>
        <v>0</v>
      </c>
      <c r="I73" s="390">
        <f>SUMPRODUCT(($C$67=Comercial_Agricola[Movimiento])*(Comercial_Agricola[Financiero $Corrientes])*($G73=Comercial_Agricola[Producto])*(I$1=Comercial_Agricola[Mes Financiero])*(I$2=Comercial_Agricola[Año Financiero]))</f>
        <v>0</v>
      </c>
      <c r="J73" s="391">
        <f>SUMPRODUCT(($C$67=Comercial_Agricola[Movimiento])*(Comercial_Agricola[Financiero $Corrientes])*($G73=Comercial_Agricola[Producto])*(J$1=Comercial_Agricola[Mes Financiero])*(J$2=Comercial_Agricola[Año Financiero]))</f>
        <v>0</v>
      </c>
      <c r="K73" s="390">
        <f>SUMPRODUCT(($C$67=Comercial_Agricola[Movimiento])*(Comercial_Agricola[Financiero $Corrientes])*($G73=Comercial_Agricola[Producto])*(K$1=Comercial_Agricola[Mes Financiero])*(K$2=Comercial_Agricola[Año Financiero]))</f>
        <v>0</v>
      </c>
      <c r="L73" s="391">
        <f>SUMPRODUCT(($C$67=Comercial_Agricola[Movimiento])*(Comercial_Agricola[Financiero $Corrientes])*($G73=Comercial_Agricola[Producto])*(L$1=Comercial_Agricola[Mes Financiero])*(L$2=Comercial_Agricola[Año Financiero]))</f>
        <v>0</v>
      </c>
      <c r="M73" s="390">
        <f>SUMPRODUCT(($C$67=Comercial_Agricola[Movimiento])*(Comercial_Agricola[Financiero $Corrientes])*($G73=Comercial_Agricola[Producto])*(M$1=Comercial_Agricola[Mes Financiero])*(M$2=Comercial_Agricola[Año Financiero]))</f>
        <v>0</v>
      </c>
      <c r="N73" s="391">
        <f>SUMPRODUCT(($C$67=Comercial_Agricola[Movimiento])*(Comercial_Agricola[Financiero $Corrientes])*($G73=Comercial_Agricola[Producto])*(N$1=Comercial_Agricola[Mes Financiero])*(N$2=Comercial_Agricola[Año Financiero]))</f>
        <v>0</v>
      </c>
      <c r="O73" s="390">
        <f>SUMPRODUCT(($C$67=Comercial_Agricola[Movimiento])*(Comercial_Agricola[Financiero $Corrientes])*($G73=Comercial_Agricola[Producto])*(O$1=Comercial_Agricola[Mes Financiero])*(O$2=Comercial_Agricola[Año Financiero]))</f>
        <v>0</v>
      </c>
      <c r="P73" s="391">
        <f>SUMPRODUCT(($C$67=Comercial_Agricola[Movimiento])*(Comercial_Agricola[Financiero $Corrientes])*($G73=Comercial_Agricola[Producto])*(P$1=Comercial_Agricola[Mes Financiero])*(P$2=Comercial_Agricola[Año Financiero]))</f>
        <v>0</v>
      </c>
      <c r="Q73" s="390">
        <f>SUMPRODUCT(($C$67=Comercial_Agricola[Movimiento])*(Comercial_Agricola[Financiero $Corrientes])*($G73=Comercial_Agricola[Producto])*(Q$1=Comercial_Agricola[Mes Financiero])*(Q$2=Comercial_Agricola[Año Financiero]))</f>
        <v>0</v>
      </c>
      <c r="R73" s="391">
        <f>SUMPRODUCT(($C$67=Comercial_Agricola[Movimiento])*(Comercial_Agricola[Financiero $Corrientes])*($G73=Comercial_Agricola[Producto])*(R$1=Comercial_Agricola[Mes Financiero])*(R$2=Comercial_Agricola[Año Financiero]))</f>
        <v>0</v>
      </c>
      <c r="S73" s="390">
        <f>SUMPRODUCT(($C$67=Comercial_Agricola[Movimiento])*(Comercial_Agricola[Financiero $Corrientes])*($G73=Comercial_Agricola[Producto])*(S$1=Comercial_Agricola[Mes Financiero])*(S$2=Comercial_Agricola[Año Financiero]))</f>
        <v>0</v>
      </c>
      <c r="T73" s="391">
        <f>SUMPRODUCT(($C$67=Comercial_Agricola[Movimiento])*(Comercial_Agricola[Financiero $Corrientes])*($G73=Comercial_Agricola[Producto])*(T$1=Comercial_Agricola[Mes Financiero])*(T$2=Comercial_Agricola[Año Financiero]))</f>
        <v>0</v>
      </c>
      <c r="U73" s="390">
        <f>SUMPRODUCT(($C$67=Comercial_Agricola[Movimiento])*(Comercial_Agricola[Financiero $Corrientes])*($G73=Comercial_Agricola[Producto])*(U$1=Comercial_Agricola[Mes Financiero])*(U$2=Comercial_Agricola[Año Financiero]))</f>
        <v>0</v>
      </c>
      <c r="V73" s="391">
        <f>SUMPRODUCT(($C$67=Comercial_Agricola[Movimiento])*(Comercial_Agricola[Financiero $Corrientes])*($G73=Comercial_Agricola[Producto])*(V$1=Comercial_Agricola[Mes Financiero])*(V$2=Comercial_Agricola[Año Financiero]))</f>
        <v>0</v>
      </c>
      <c r="W73" s="390">
        <f>SUMPRODUCT(($C$67=Comercial_Agricola[Movimiento])*(Comercial_Agricola[Financiero $Corrientes])*($G73=Comercial_Agricola[Producto])*(W$1=Comercial_Agricola[Mes Financiero])*(W$2=Comercial_Agricola[Año Financiero]))</f>
        <v>0</v>
      </c>
      <c r="X73" s="391">
        <f>SUMPRODUCT(($C$67=Comercial_Agricola[Movimiento])*(Comercial_Agricola[Financiero $Corrientes])*($G73=Comercial_Agricola[Producto])*(X$1=Comercial_Agricola[Mes Financiero])*(X$2=Comercial_Agricola[Año Financiero]))</f>
        <v>0</v>
      </c>
      <c r="Y73" s="390">
        <f>SUMPRODUCT(($C$67=Comercial_Agricola[Movimiento])*(Comercial_Agricola[Financiero $Corrientes])*($G73=Comercial_Agricola[Producto])*(Y$1=Comercial_Agricola[Mes Financiero])*(Y$2=Comercial_Agricola[Año Financiero]))</f>
        <v>0</v>
      </c>
      <c r="Z73" s="396"/>
    </row>
    <row r="74" spans="2:30" hidden="1" outlineLevel="2" x14ac:dyDescent="0.25">
      <c r="E74" s="121"/>
      <c r="F74" s="215">
        <f>IFERROR(MATCH('Financiero $'!G74,Tabla811[Producto],0),0)</f>
        <v>0</v>
      </c>
      <c r="G74" s="217">
        <f t="shared" si="19"/>
        <v>0</v>
      </c>
      <c r="H74" s="391">
        <f>SUMPRODUCT(($C$67=Comercial_Agricola[Movimiento])*(Comercial_Agricola[Financiero $Corrientes])*($G74=Comercial_Agricola[Producto])*(H$1=Comercial_Agricola[Mes Financiero])*(H$2=Comercial_Agricola[Año Financiero]))</f>
        <v>0</v>
      </c>
      <c r="I74" s="390">
        <f>SUMPRODUCT(($C$67=Comercial_Agricola[Movimiento])*(Comercial_Agricola[Financiero $Corrientes])*($G74=Comercial_Agricola[Producto])*(I$1=Comercial_Agricola[Mes Financiero])*(I$2=Comercial_Agricola[Año Financiero]))</f>
        <v>0</v>
      </c>
      <c r="J74" s="391">
        <f>SUMPRODUCT(($C$67=Comercial_Agricola[Movimiento])*(Comercial_Agricola[Financiero $Corrientes])*($G74=Comercial_Agricola[Producto])*(J$1=Comercial_Agricola[Mes Financiero])*(J$2=Comercial_Agricola[Año Financiero]))</f>
        <v>0</v>
      </c>
      <c r="K74" s="390">
        <f>SUMPRODUCT(($C$67=Comercial_Agricola[Movimiento])*(Comercial_Agricola[Financiero $Corrientes])*($G74=Comercial_Agricola[Producto])*(K$1=Comercial_Agricola[Mes Financiero])*(K$2=Comercial_Agricola[Año Financiero]))</f>
        <v>0</v>
      </c>
      <c r="L74" s="391">
        <f>SUMPRODUCT(($C$67=Comercial_Agricola[Movimiento])*(Comercial_Agricola[Financiero $Corrientes])*($G74=Comercial_Agricola[Producto])*(L$1=Comercial_Agricola[Mes Financiero])*(L$2=Comercial_Agricola[Año Financiero]))</f>
        <v>0</v>
      </c>
      <c r="M74" s="390">
        <f>SUMPRODUCT(($C$67=Comercial_Agricola[Movimiento])*(Comercial_Agricola[Financiero $Corrientes])*($G74=Comercial_Agricola[Producto])*(M$1=Comercial_Agricola[Mes Financiero])*(M$2=Comercial_Agricola[Año Financiero]))</f>
        <v>0</v>
      </c>
      <c r="N74" s="391">
        <f>SUMPRODUCT(($C$67=Comercial_Agricola[Movimiento])*(Comercial_Agricola[Financiero $Corrientes])*($G74=Comercial_Agricola[Producto])*(N$1=Comercial_Agricola[Mes Financiero])*(N$2=Comercial_Agricola[Año Financiero]))</f>
        <v>0</v>
      </c>
      <c r="O74" s="390">
        <f>SUMPRODUCT(($C$67=Comercial_Agricola[Movimiento])*(Comercial_Agricola[Financiero $Corrientes])*($G74=Comercial_Agricola[Producto])*(O$1=Comercial_Agricola[Mes Financiero])*(O$2=Comercial_Agricola[Año Financiero]))</f>
        <v>0</v>
      </c>
      <c r="P74" s="391">
        <f>SUMPRODUCT(($C$67=Comercial_Agricola[Movimiento])*(Comercial_Agricola[Financiero $Corrientes])*($G74=Comercial_Agricola[Producto])*(P$1=Comercial_Agricola[Mes Financiero])*(P$2=Comercial_Agricola[Año Financiero]))</f>
        <v>0</v>
      </c>
      <c r="Q74" s="390">
        <f>SUMPRODUCT(($C$67=Comercial_Agricola[Movimiento])*(Comercial_Agricola[Financiero $Corrientes])*($G74=Comercial_Agricola[Producto])*(Q$1=Comercial_Agricola[Mes Financiero])*(Q$2=Comercial_Agricola[Año Financiero]))</f>
        <v>0</v>
      </c>
      <c r="R74" s="391">
        <f>SUMPRODUCT(($C$67=Comercial_Agricola[Movimiento])*(Comercial_Agricola[Financiero $Corrientes])*($G74=Comercial_Agricola[Producto])*(R$1=Comercial_Agricola[Mes Financiero])*(R$2=Comercial_Agricola[Año Financiero]))</f>
        <v>0</v>
      </c>
      <c r="S74" s="390">
        <f>SUMPRODUCT(($C$67=Comercial_Agricola[Movimiento])*(Comercial_Agricola[Financiero $Corrientes])*($G74=Comercial_Agricola[Producto])*(S$1=Comercial_Agricola[Mes Financiero])*(S$2=Comercial_Agricola[Año Financiero]))</f>
        <v>0</v>
      </c>
      <c r="T74" s="391">
        <f>SUMPRODUCT(($C$67=Comercial_Agricola[Movimiento])*(Comercial_Agricola[Financiero $Corrientes])*($G74=Comercial_Agricola[Producto])*(T$1=Comercial_Agricola[Mes Financiero])*(T$2=Comercial_Agricola[Año Financiero]))</f>
        <v>0</v>
      </c>
      <c r="U74" s="390">
        <f>SUMPRODUCT(($C$67=Comercial_Agricola[Movimiento])*(Comercial_Agricola[Financiero $Corrientes])*($G74=Comercial_Agricola[Producto])*(U$1=Comercial_Agricola[Mes Financiero])*(U$2=Comercial_Agricola[Año Financiero]))</f>
        <v>0</v>
      </c>
      <c r="V74" s="391">
        <f>SUMPRODUCT(($C$67=Comercial_Agricola[Movimiento])*(Comercial_Agricola[Financiero $Corrientes])*($G74=Comercial_Agricola[Producto])*(V$1=Comercial_Agricola[Mes Financiero])*(V$2=Comercial_Agricola[Año Financiero]))</f>
        <v>0</v>
      </c>
      <c r="W74" s="390">
        <f>SUMPRODUCT(($C$67=Comercial_Agricola[Movimiento])*(Comercial_Agricola[Financiero $Corrientes])*($G74=Comercial_Agricola[Producto])*(W$1=Comercial_Agricola[Mes Financiero])*(W$2=Comercial_Agricola[Año Financiero]))</f>
        <v>0</v>
      </c>
      <c r="X74" s="391">
        <f>SUMPRODUCT(($C$67=Comercial_Agricola[Movimiento])*(Comercial_Agricola[Financiero $Corrientes])*($G74=Comercial_Agricola[Producto])*(X$1=Comercial_Agricola[Mes Financiero])*(X$2=Comercial_Agricola[Año Financiero]))</f>
        <v>0</v>
      </c>
      <c r="Y74" s="390">
        <f>SUMPRODUCT(($C$67=Comercial_Agricola[Movimiento])*(Comercial_Agricola[Financiero $Corrientes])*($G74=Comercial_Agricola[Producto])*(Y$1=Comercial_Agricola[Mes Financiero])*(Y$2=Comercial_Agricola[Año Financiero]))</f>
        <v>0</v>
      </c>
      <c r="Z74" s="396"/>
    </row>
    <row r="75" spans="2:30" hidden="1" outlineLevel="2" x14ac:dyDescent="0.25">
      <c r="E75" s="121"/>
      <c r="F75" s="215">
        <f>IFERROR(MATCH('Financiero $'!G75,Tabla811[Producto],0),0)</f>
        <v>0</v>
      </c>
      <c r="G75" s="217">
        <f t="shared" si="19"/>
        <v>0</v>
      </c>
      <c r="H75" s="391">
        <f>SUMPRODUCT(($C$67=Comercial_Agricola[Movimiento])*(Comercial_Agricola[Financiero $Corrientes])*($G75=Comercial_Agricola[Producto])*(H$1=Comercial_Agricola[Mes Financiero])*(H$2=Comercial_Agricola[Año Financiero]))</f>
        <v>0</v>
      </c>
      <c r="I75" s="390">
        <f>SUMPRODUCT(($C$67=Comercial_Agricola[Movimiento])*(Comercial_Agricola[Financiero $Corrientes])*($G75=Comercial_Agricola[Producto])*(I$1=Comercial_Agricola[Mes Financiero])*(I$2=Comercial_Agricola[Año Financiero]))</f>
        <v>0</v>
      </c>
      <c r="J75" s="391">
        <f>SUMPRODUCT(($C$67=Comercial_Agricola[Movimiento])*(Comercial_Agricola[Financiero $Corrientes])*($G75=Comercial_Agricola[Producto])*(J$1=Comercial_Agricola[Mes Financiero])*(J$2=Comercial_Agricola[Año Financiero]))</f>
        <v>0</v>
      </c>
      <c r="K75" s="390">
        <f>SUMPRODUCT(($C$67=Comercial_Agricola[Movimiento])*(Comercial_Agricola[Financiero $Corrientes])*($G75=Comercial_Agricola[Producto])*(K$1=Comercial_Agricola[Mes Financiero])*(K$2=Comercial_Agricola[Año Financiero]))</f>
        <v>0</v>
      </c>
      <c r="L75" s="391">
        <f>SUMPRODUCT(($C$67=Comercial_Agricola[Movimiento])*(Comercial_Agricola[Financiero $Corrientes])*($G75=Comercial_Agricola[Producto])*(L$1=Comercial_Agricola[Mes Financiero])*(L$2=Comercial_Agricola[Año Financiero]))</f>
        <v>0</v>
      </c>
      <c r="M75" s="390">
        <f>SUMPRODUCT(($C$67=Comercial_Agricola[Movimiento])*(Comercial_Agricola[Financiero $Corrientes])*($G75=Comercial_Agricola[Producto])*(M$1=Comercial_Agricola[Mes Financiero])*(M$2=Comercial_Agricola[Año Financiero]))</f>
        <v>0</v>
      </c>
      <c r="N75" s="391">
        <f>SUMPRODUCT(($C$67=Comercial_Agricola[Movimiento])*(Comercial_Agricola[Financiero $Corrientes])*($G75=Comercial_Agricola[Producto])*(N$1=Comercial_Agricola[Mes Financiero])*(N$2=Comercial_Agricola[Año Financiero]))</f>
        <v>0</v>
      </c>
      <c r="O75" s="390">
        <f>SUMPRODUCT(($C$67=Comercial_Agricola[Movimiento])*(Comercial_Agricola[Financiero $Corrientes])*($G75=Comercial_Agricola[Producto])*(O$1=Comercial_Agricola[Mes Financiero])*(O$2=Comercial_Agricola[Año Financiero]))</f>
        <v>0</v>
      </c>
      <c r="P75" s="391">
        <f>SUMPRODUCT(($C$67=Comercial_Agricola[Movimiento])*(Comercial_Agricola[Financiero $Corrientes])*($G75=Comercial_Agricola[Producto])*(P$1=Comercial_Agricola[Mes Financiero])*(P$2=Comercial_Agricola[Año Financiero]))</f>
        <v>0</v>
      </c>
      <c r="Q75" s="390">
        <f>SUMPRODUCT(($C$67=Comercial_Agricola[Movimiento])*(Comercial_Agricola[Financiero $Corrientes])*($G75=Comercial_Agricola[Producto])*(Q$1=Comercial_Agricola[Mes Financiero])*(Q$2=Comercial_Agricola[Año Financiero]))</f>
        <v>0</v>
      </c>
      <c r="R75" s="391">
        <f>SUMPRODUCT(($C$67=Comercial_Agricola[Movimiento])*(Comercial_Agricola[Financiero $Corrientes])*($G75=Comercial_Agricola[Producto])*(R$1=Comercial_Agricola[Mes Financiero])*(R$2=Comercial_Agricola[Año Financiero]))</f>
        <v>0</v>
      </c>
      <c r="S75" s="390">
        <f>SUMPRODUCT(($C$67=Comercial_Agricola[Movimiento])*(Comercial_Agricola[Financiero $Corrientes])*($G75=Comercial_Agricola[Producto])*(S$1=Comercial_Agricola[Mes Financiero])*(S$2=Comercial_Agricola[Año Financiero]))</f>
        <v>0</v>
      </c>
      <c r="T75" s="391">
        <f>SUMPRODUCT(($C$67=Comercial_Agricola[Movimiento])*(Comercial_Agricola[Financiero $Corrientes])*($G75=Comercial_Agricola[Producto])*(T$1=Comercial_Agricola[Mes Financiero])*(T$2=Comercial_Agricola[Año Financiero]))</f>
        <v>0</v>
      </c>
      <c r="U75" s="390">
        <f>SUMPRODUCT(($C$67=Comercial_Agricola[Movimiento])*(Comercial_Agricola[Financiero $Corrientes])*($G75=Comercial_Agricola[Producto])*(U$1=Comercial_Agricola[Mes Financiero])*(U$2=Comercial_Agricola[Año Financiero]))</f>
        <v>0</v>
      </c>
      <c r="V75" s="391">
        <f>SUMPRODUCT(($C$67=Comercial_Agricola[Movimiento])*(Comercial_Agricola[Financiero $Corrientes])*($G75=Comercial_Agricola[Producto])*(V$1=Comercial_Agricola[Mes Financiero])*(V$2=Comercial_Agricola[Año Financiero]))</f>
        <v>0</v>
      </c>
      <c r="W75" s="390">
        <f>SUMPRODUCT(($C$67=Comercial_Agricola[Movimiento])*(Comercial_Agricola[Financiero $Corrientes])*($G75=Comercial_Agricola[Producto])*(W$1=Comercial_Agricola[Mes Financiero])*(W$2=Comercial_Agricola[Año Financiero]))</f>
        <v>0</v>
      </c>
      <c r="X75" s="391">
        <f>SUMPRODUCT(($C$67=Comercial_Agricola[Movimiento])*(Comercial_Agricola[Financiero $Corrientes])*($G75=Comercial_Agricola[Producto])*(X$1=Comercial_Agricola[Mes Financiero])*(X$2=Comercial_Agricola[Año Financiero]))</f>
        <v>0</v>
      </c>
      <c r="Y75" s="390">
        <f>SUMPRODUCT(($C$67=Comercial_Agricola[Movimiento])*(Comercial_Agricola[Financiero $Corrientes])*($G75=Comercial_Agricola[Producto])*(Y$1=Comercial_Agricola[Mes Financiero])*(Y$2=Comercial_Agricola[Año Financiero]))</f>
        <v>0</v>
      </c>
      <c r="Z75" s="396"/>
    </row>
    <row r="76" spans="2:30" hidden="1" outlineLevel="2" x14ac:dyDescent="0.25">
      <c r="B76" s="166" t="s">
        <v>101</v>
      </c>
      <c r="E76" s="121"/>
      <c r="F76" s="215">
        <f>IFERROR(MATCH('Financiero $'!G76,Tabla811[Producto],0),0)</f>
        <v>0</v>
      </c>
      <c r="G76" s="217">
        <f t="shared" si="19"/>
        <v>0</v>
      </c>
      <c r="H76" s="391">
        <f>SUMPRODUCT(($C$67=Comercial_Agricola[Movimiento])*(Comercial_Agricola[Financiero $Corrientes])*($G76=Comercial_Agricola[Producto])*(H$1=Comercial_Agricola[Mes Financiero])*(H$2=Comercial_Agricola[Año Financiero]))</f>
        <v>0</v>
      </c>
      <c r="I76" s="390">
        <f>SUMPRODUCT(($C$67=Comercial_Agricola[Movimiento])*(Comercial_Agricola[Financiero $Corrientes])*($G76=Comercial_Agricola[Producto])*(I$1=Comercial_Agricola[Mes Financiero])*(I$2=Comercial_Agricola[Año Financiero]))</f>
        <v>0</v>
      </c>
      <c r="J76" s="391">
        <f>SUMPRODUCT(($C$67=Comercial_Agricola[Movimiento])*(Comercial_Agricola[Financiero $Corrientes])*($G76=Comercial_Agricola[Producto])*(J$1=Comercial_Agricola[Mes Financiero])*(J$2=Comercial_Agricola[Año Financiero]))</f>
        <v>0</v>
      </c>
      <c r="K76" s="390">
        <f>SUMPRODUCT(($C$67=Comercial_Agricola[Movimiento])*(Comercial_Agricola[Financiero $Corrientes])*($G76=Comercial_Agricola[Producto])*(K$1=Comercial_Agricola[Mes Financiero])*(K$2=Comercial_Agricola[Año Financiero]))</f>
        <v>0</v>
      </c>
      <c r="L76" s="391">
        <f>SUMPRODUCT(($C$67=Comercial_Agricola[Movimiento])*(Comercial_Agricola[Financiero $Corrientes])*($G76=Comercial_Agricola[Producto])*(L$1=Comercial_Agricola[Mes Financiero])*(L$2=Comercial_Agricola[Año Financiero]))</f>
        <v>0</v>
      </c>
      <c r="M76" s="390">
        <f>SUMPRODUCT(($C$67=Comercial_Agricola[Movimiento])*(Comercial_Agricola[Financiero $Corrientes])*($G76=Comercial_Agricola[Producto])*(M$1=Comercial_Agricola[Mes Financiero])*(M$2=Comercial_Agricola[Año Financiero]))</f>
        <v>0</v>
      </c>
      <c r="N76" s="391">
        <f>SUMPRODUCT(($C$67=Comercial_Agricola[Movimiento])*(Comercial_Agricola[Financiero $Corrientes])*($G76=Comercial_Agricola[Producto])*(N$1=Comercial_Agricola[Mes Financiero])*(N$2=Comercial_Agricola[Año Financiero]))</f>
        <v>0</v>
      </c>
      <c r="O76" s="390">
        <f>SUMPRODUCT(($C$67=Comercial_Agricola[Movimiento])*(Comercial_Agricola[Financiero $Corrientes])*($G76=Comercial_Agricola[Producto])*(O$1=Comercial_Agricola[Mes Financiero])*(O$2=Comercial_Agricola[Año Financiero]))</f>
        <v>0</v>
      </c>
      <c r="P76" s="391">
        <f>SUMPRODUCT(($C$67=Comercial_Agricola[Movimiento])*(Comercial_Agricola[Financiero $Corrientes])*($G76=Comercial_Agricola[Producto])*(P$1=Comercial_Agricola[Mes Financiero])*(P$2=Comercial_Agricola[Año Financiero]))</f>
        <v>0</v>
      </c>
      <c r="Q76" s="390">
        <f>SUMPRODUCT(($C$67=Comercial_Agricola[Movimiento])*(Comercial_Agricola[Financiero $Corrientes])*($G76=Comercial_Agricola[Producto])*(Q$1=Comercial_Agricola[Mes Financiero])*(Q$2=Comercial_Agricola[Año Financiero]))</f>
        <v>0</v>
      </c>
      <c r="R76" s="391">
        <f>SUMPRODUCT(($C$67=Comercial_Agricola[Movimiento])*(Comercial_Agricola[Financiero $Corrientes])*($G76=Comercial_Agricola[Producto])*(R$1=Comercial_Agricola[Mes Financiero])*(R$2=Comercial_Agricola[Año Financiero]))</f>
        <v>0</v>
      </c>
      <c r="S76" s="390">
        <f>SUMPRODUCT(($C$67=Comercial_Agricola[Movimiento])*(Comercial_Agricola[Financiero $Corrientes])*($G76=Comercial_Agricola[Producto])*(S$1=Comercial_Agricola[Mes Financiero])*(S$2=Comercial_Agricola[Año Financiero]))</f>
        <v>0</v>
      </c>
      <c r="T76" s="391">
        <f>SUMPRODUCT(($C$67=Comercial_Agricola[Movimiento])*(Comercial_Agricola[Financiero $Corrientes])*($G76=Comercial_Agricola[Producto])*(T$1=Comercial_Agricola[Mes Financiero])*(T$2=Comercial_Agricola[Año Financiero]))</f>
        <v>0</v>
      </c>
      <c r="U76" s="390">
        <f>SUMPRODUCT(($C$67=Comercial_Agricola[Movimiento])*(Comercial_Agricola[Financiero $Corrientes])*($G76=Comercial_Agricola[Producto])*(U$1=Comercial_Agricola[Mes Financiero])*(U$2=Comercial_Agricola[Año Financiero]))</f>
        <v>0</v>
      </c>
      <c r="V76" s="391">
        <f>SUMPRODUCT(($C$67=Comercial_Agricola[Movimiento])*(Comercial_Agricola[Financiero $Corrientes])*($G76=Comercial_Agricola[Producto])*(V$1=Comercial_Agricola[Mes Financiero])*(V$2=Comercial_Agricola[Año Financiero]))</f>
        <v>0</v>
      </c>
      <c r="W76" s="390">
        <f>SUMPRODUCT(($C$67=Comercial_Agricola[Movimiento])*(Comercial_Agricola[Financiero $Corrientes])*($G76=Comercial_Agricola[Producto])*(W$1=Comercial_Agricola[Mes Financiero])*(W$2=Comercial_Agricola[Año Financiero]))</f>
        <v>0</v>
      </c>
      <c r="X76" s="391">
        <f>SUMPRODUCT(($C$67=Comercial_Agricola[Movimiento])*(Comercial_Agricola[Financiero $Corrientes])*($G76=Comercial_Agricola[Producto])*(X$1=Comercial_Agricola[Mes Financiero])*(X$2=Comercial_Agricola[Año Financiero]))</f>
        <v>0</v>
      </c>
      <c r="Y76" s="390">
        <f>SUMPRODUCT(($C$67=Comercial_Agricola[Movimiento])*(Comercial_Agricola[Financiero $Corrientes])*($G76=Comercial_Agricola[Producto])*(Y$1=Comercial_Agricola[Mes Financiero])*(Y$2=Comercial_Agricola[Año Financiero]))</f>
        <v>0</v>
      </c>
      <c r="Z76" s="396"/>
    </row>
    <row r="77" spans="2:30" hidden="1" outlineLevel="2" x14ac:dyDescent="0.25">
      <c r="E77" s="121"/>
      <c r="F77" s="216">
        <f>IFERROR(MATCH('Financiero $'!G77,Tabla811[Producto],0),0)</f>
        <v>7</v>
      </c>
      <c r="G77" s="218" t="str">
        <f t="shared" si="19"/>
        <v>Silo Maíz</v>
      </c>
      <c r="H77" s="393">
        <f>SUMPRODUCT(($C$67=Comercial_Agricola[Movimiento])*(Comercial_Agricola[Financiero $Corrientes])*($G77=Comercial_Agricola[Producto])*(H$1=Comercial_Agricola[Mes Financiero])*(H$2=Comercial_Agricola[Año Financiero]))</f>
        <v>0</v>
      </c>
      <c r="I77" s="394">
        <f>SUMPRODUCT(($C$67=Comercial_Agricola[Movimiento])*(Comercial_Agricola[Financiero $Corrientes])*($G77=Comercial_Agricola[Producto])*(I$1=Comercial_Agricola[Mes Financiero])*(I$2=Comercial_Agricola[Año Financiero]))</f>
        <v>0</v>
      </c>
      <c r="J77" s="393">
        <f>SUMPRODUCT(($C$67=Comercial_Agricola[Movimiento])*(Comercial_Agricola[Financiero $Corrientes])*($G77=Comercial_Agricola[Producto])*(J$1=Comercial_Agricola[Mes Financiero])*(J$2=Comercial_Agricola[Año Financiero]))</f>
        <v>0</v>
      </c>
      <c r="K77" s="394">
        <f>SUMPRODUCT(($C$67=Comercial_Agricola[Movimiento])*(Comercial_Agricola[Financiero $Corrientes])*($G77=Comercial_Agricola[Producto])*(K$1=Comercial_Agricola[Mes Financiero])*(K$2=Comercial_Agricola[Año Financiero]))</f>
        <v>0</v>
      </c>
      <c r="L77" s="393">
        <f>SUMPRODUCT(($C$67=Comercial_Agricola[Movimiento])*(Comercial_Agricola[Financiero $Corrientes])*($G77=Comercial_Agricola[Producto])*(L$1=Comercial_Agricola[Mes Financiero])*(L$2=Comercial_Agricola[Año Financiero]))</f>
        <v>0</v>
      </c>
      <c r="M77" s="394">
        <f>SUMPRODUCT(($C$67=Comercial_Agricola[Movimiento])*(Comercial_Agricola[Financiero $Corrientes])*($G77=Comercial_Agricola[Producto])*(M$1=Comercial_Agricola[Mes Financiero])*(M$2=Comercial_Agricola[Año Financiero]))</f>
        <v>0</v>
      </c>
      <c r="N77" s="393">
        <f>SUMPRODUCT(($C$67=Comercial_Agricola[Movimiento])*(Comercial_Agricola[Financiero $Corrientes])*($G77=Comercial_Agricola[Producto])*(N$1=Comercial_Agricola[Mes Financiero])*(N$2=Comercial_Agricola[Año Financiero]))</f>
        <v>0</v>
      </c>
      <c r="O77" s="394">
        <f>SUMPRODUCT(($C$67=Comercial_Agricola[Movimiento])*(Comercial_Agricola[Financiero $Corrientes])*($G77=Comercial_Agricola[Producto])*(O$1=Comercial_Agricola[Mes Financiero])*(O$2=Comercial_Agricola[Año Financiero]))</f>
        <v>0</v>
      </c>
      <c r="P77" s="393">
        <f>SUMPRODUCT(($C$67=Comercial_Agricola[Movimiento])*(Comercial_Agricola[Financiero $Corrientes])*($G77=Comercial_Agricola[Producto])*(P$1=Comercial_Agricola[Mes Financiero])*(P$2=Comercial_Agricola[Año Financiero]))</f>
        <v>0</v>
      </c>
      <c r="Q77" s="394">
        <f>SUMPRODUCT(($C$67=Comercial_Agricola[Movimiento])*(Comercial_Agricola[Financiero $Corrientes])*($G77=Comercial_Agricola[Producto])*(Q$1=Comercial_Agricola[Mes Financiero])*(Q$2=Comercial_Agricola[Año Financiero]))</f>
        <v>0</v>
      </c>
      <c r="R77" s="393">
        <f>SUMPRODUCT(($C$67=Comercial_Agricola[Movimiento])*(Comercial_Agricola[Financiero $Corrientes])*($G77=Comercial_Agricola[Producto])*(R$1=Comercial_Agricola[Mes Financiero])*(R$2=Comercial_Agricola[Año Financiero]))</f>
        <v>0</v>
      </c>
      <c r="S77" s="394">
        <f>SUMPRODUCT(($C$67=Comercial_Agricola[Movimiento])*(Comercial_Agricola[Financiero $Corrientes])*($G77=Comercial_Agricola[Producto])*(S$1=Comercial_Agricola[Mes Financiero])*(S$2=Comercial_Agricola[Año Financiero]))</f>
        <v>0</v>
      </c>
      <c r="T77" s="393">
        <f>SUMPRODUCT(($C$67=Comercial_Agricola[Movimiento])*(Comercial_Agricola[Financiero $Corrientes])*($G77=Comercial_Agricola[Producto])*(T$1=Comercial_Agricola[Mes Financiero])*(T$2=Comercial_Agricola[Año Financiero]))</f>
        <v>0</v>
      </c>
      <c r="U77" s="394">
        <f>SUMPRODUCT(($C$67=Comercial_Agricola[Movimiento])*(Comercial_Agricola[Financiero $Corrientes])*($G77=Comercial_Agricola[Producto])*(U$1=Comercial_Agricola[Mes Financiero])*(U$2=Comercial_Agricola[Año Financiero]))</f>
        <v>0</v>
      </c>
      <c r="V77" s="393">
        <f>SUMPRODUCT(($C$67=Comercial_Agricola[Movimiento])*(Comercial_Agricola[Financiero $Corrientes])*($G77=Comercial_Agricola[Producto])*(V$1=Comercial_Agricola[Mes Financiero])*(V$2=Comercial_Agricola[Año Financiero]))</f>
        <v>0</v>
      </c>
      <c r="W77" s="394">
        <f>SUMPRODUCT(($C$67=Comercial_Agricola[Movimiento])*(Comercial_Agricola[Financiero $Corrientes])*($G77=Comercial_Agricola[Producto])*(W$1=Comercial_Agricola[Mes Financiero])*(W$2=Comercial_Agricola[Año Financiero]))</f>
        <v>0</v>
      </c>
      <c r="X77" s="393">
        <f>SUMPRODUCT(($C$67=Comercial_Agricola[Movimiento])*(Comercial_Agricola[Financiero $Corrientes])*($G77=Comercial_Agricola[Producto])*(X$1=Comercial_Agricola[Mes Financiero])*(X$2=Comercial_Agricola[Año Financiero]))</f>
        <v>0</v>
      </c>
      <c r="Y77" s="394">
        <f>SUMPRODUCT(($C$67=Comercial_Agricola[Movimiento])*(Comercial_Agricola[Financiero $Corrientes])*($G77=Comercial_Agricola[Producto])*(Y$1=Comercial_Agricola[Mes Financiero])*(Y$2=Comercial_Agricola[Año Financiero]))</f>
        <v>0</v>
      </c>
      <c r="Z77" s="396"/>
    </row>
    <row r="78" spans="2:30" hidden="1" outlineLevel="1" collapsed="1" x14ac:dyDescent="0.25">
      <c r="E78" s="221">
        <f>IFERROR(MATCH(F78,Comercializacion_Granos_Cuentas[Cuenta Contable],0),0)</f>
        <v>6</v>
      </c>
      <c r="F78" s="32" t="str">
        <f>Configuración!AC10</f>
        <v>Compra de Granos</v>
      </c>
      <c r="H78" s="103">
        <f>SUMPRODUCT(($C$67=Comercial_Agricola[Movimiento])*(Comercial_Agricola[Financiero $Corrientes])*($F78=Comercial_Agricola[Cuenta Contable])*(H$1=Comercial_Agricola[Mes Financiero])*(H$2=Comercial_Agricola[Año Financiero]))</f>
        <v>0</v>
      </c>
      <c r="I78" s="104">
        <f>SUMPRODUCT(($C$67=Comercial_Agricola[Movimiento])*(Comercial_Agricola[Financiero $Corrientes])*($F78=Comercial_Agricola[Cuenta Contable])*(I$1=Comercial_Agricola[Mes Financiero])*(I$2=Comercial_Agricola[Año Financiero]))</f>
        <v>0</v>
      </c>
      <c r="J78" s="103">
        <f>SUMPRODUCT(($C$67=Comercial_Agricola[Movimiento])*(Comercial_Agricola[Financiero $Corrientes])*($F78=Comercial_Agricola[Cuenta Contable])*(J$1=Comercial_Agricola[Mes Financiero])*(J$2=Comercial_Agricola[Año Financiero]))</f>
        <v>0</v>
      </c>
      <c r="K78" s="104">
        <f>SUMPRODUCT(($C$67=Comercial_Agricola[Movimiento])*(Comercial_Agricola[Financiero $Corrientes])*($F78=Comercial_Agricola[Cuenta Contable])*(K$1=Comercial_Agricola[Mes Financiero])*(K$2=Comercial_Agricola[Año Financiero]))</f>
        <v>0</v>
      </c>
      <c r="L78" s="103">
        <f>SUMPRODUCT(($C$67=Comercial_Agricola[Movimiento])*(Comercial_Agricola[Financiero $Corrientes])*($F78=Comercial_Agricola[Cuenta Contable])*(L$1=Comercial_Agricola[Mes Financiero])*(L$2=Comercial_Agricola[Año Financiero]))</f>
        <v>0</v>
      </c>
      <c r="M78" s="104">
        <f>SUMPRODUCT(($C$67=Comercial_Agricola[Movimiento])*(Comercial_Agricola[Financiero $Corrientes])*($F78=Comercial_Agricola[Cuenta Contable])*(M$1=Comercial_Agricola[Mes Financiero])*(M$2=Comercial_Agricola[Año Financiero]))</f>
        <v>0</v>
      </c>
      <c r="N78" s="103">
        <f>SUMPRODUCT(($C$67=Comercial_Agricola[Movimiento])*(Comercial_Agricola[Financiero $Corrientes])*($F78=Comercial_Agricola[Cuenta Contable])*(N$1=Comercial_Agricola[Mes Financiero])*(N$2=Comercial_Agricola[Año Financiero]))</f>
        <v>0</v>
      </c>
      <c r="O78" s="104">
        <f>SUMPRODUCT(($C$67=Comercial_Agricola[Movimiento])*(Comercial_Agricola[Financiero $Corrientes])*($F78=Comercial_Agricola[Cuenta Contable])*(O$1=Comercial_Agricola[Mes Financiero])*(O$2=Comercial_Agricola[Año Financiero]))</f>
        <v>0</v>
      </c>
      <c r="P78" s="103">
        <f>SUMPRODUCT(($C$67=Comercial_Agricola[Movimiento])*(Comercial_Agricola[Financiero $Corrientes])*($F78=Comercial_Agricola[Cuenta Contable])*(P$1=Comercial_Agricola[Mes Financiero])*(P$2=Comercial_Agricola[Año Financiero]))</f>
        <v>0</v>
      </c>
      <c r="Q78" s="104">
        <f>SUMPRODUCT(($C$67=Comercial_Agricola[Movimiento])*(Comercial_Agricola[Financiero $Corrientes])*($F78=Comercial_Agricola[Cuenta Contable])*(Q$1=Comercial_Agricola[Mes Financiero])*(Q$2=Comercial_Agricola[Año Financiero]))</f>
        <v>0</v>
      </c>
      <c r="R78" s="103">
        <f>SUMPRODUCT(($C$67=Comercial_Agricola[Movimiento])*(Comercial_Agricola[Financiero $Corrientes])*($F78=Comercial_Agricola[Cuenta Contable])*(R$1=Comercial_Agricola[Mes Financiero])*(R$2=Comercial_Agricola[Año Financiero]))</f>
        <v>0</v>
      </c>
      <c r="S78" s="104">
        <f>SUMPRODUCT(($C$67=Comercial_Agricola[Movimiento])*(Comercial_Agricola[Financiero $Corrientes])*($F78=Comercial_Agricola[Cuenta Contable])*(S$1=Comercial_Agricola[Mes Financiero])*(S$2=Comercial_Agricola[Año Financiero]))</f>
        <v>0</v>
      </c>
      <c r="T78" s="103">
        <f>SUMPRODUCT(($C$67=Comercial_Agricola[Movimiento])*(Comercial_Agricola[Financiero $Corrientes])*($F78=Comercial_Agricola[Cuenta Contable])*(T$1=Comercial_Agricola[Mes Financiero])*(T$2=Comercial_Agricola[Año Financiero]))</f>
        <v>0</v>
      </c>
      <c r="U78" s="104">
        <f>SUMPRODUCT(($C$67=Comercial_Agricola[Movimiento])*(Comercial_Agricola[Financiero $Corrientes])*($F78=Comercial_Agricola[Cuenta Contable])*(U$1=Comercial_Agricola[Mes Financiero])*(U$2=Comercial_Agricola[Año Financiero]))</f>
        <v>0</v>
      </c>
      <c r="V78" s="103">
        <f>SUMPRODUCT(($C$67=Comercial_Agricola[Movimiento])*(Comercial_Agricola[Financiero $Corrientes])*($F78=Comercial_Agricola[Cuenta Contable])*(V$1=Comercial_Agricola[Mes Financiero])*(V$2=Comercial_Agricola[Año Financiero]))</f>
        <v>0</v>
      </c>
      <c r="W78" s="104">
        <f>SUMPRODUCT(($C$67=Comercial_Agricola[Movimiento])*(Comercial_Agricola[Financiero $Corrientes])*($F78=Comercial_Agricola[Cuenta Contable])*(W$1=Comercial_Agricola[Mes Financiero])*(W$2=Comercial_Agricola[Año Financiero]))</f>
        <v>0</v>
      </c>
      <c r="X78" s="103">
        <f>SUMPRODUCT(($C$67=Comercial_Agricola[Movimiento])*(Comercial_Agricola[Financiero $Corrientes])*($F78=Comercial_Agricola[Cuenta Contable])*(X$1=Comercial_Agricola[Mes Financiero])*(X$2=Comercial_Agricola[Año Financiero]))</f>
        <v>0</v>
      </c>
      <c r="Y78" s="104">
        <f>SUMPRODUCT(($C$67=Comercial_Agricola[Movimiento])*(Comercial_Agricola[Financiero $Corrientes])*($F78=Comercial_Agricola[Cuenta Contable])*(Y$1=Comercial_Agricola[Mes Financiero])*(Y$2=Comercial_Agricola[Año Financiero]))</f>
        <v>0</v>
      </c>
      <c r="Z78" s="144">
        <f t="shared" si="3"/>
        <v>0</v>
      </c>
      <c r="AC78" s="174">
        <f>SUMPRODUCT((F78=Comercializacion_Granos_Cuentas[Cuenta Contable])*(Comercializacion_Granos_Cuentas[IVA Financiero]))</f>
        <v>0.105</v>
      </c>
      <c r="AD78" s="174">
        <f>SUMPRODUCT((G78=Comercializacion_Granos_Cuentas[Cuenta Contable])*(Comercializacion_Granos_Cuentas[IVA Financiero]))</f>
        <v>0</v>
      </c>
    </row>
    <row r="79" spans="2:30" hidden="1" outlineLevel="1" x14ac:dyDescent="0.25">
      <c r="E79" s="221">
        <f>IFERROR(MATCH(F79,Comercializacion_Granos_Cuentas[Cuenta Contable],0),0)</f>
        <v>7</v>
      </c>
      <c r="F79" s="32" t="str">
        <f>Configuración!AC11</f>
        <v>Fletes Corto</v>
      </c>
      <c r="H79" s="103">
        <f>SUMPRODUCT(($C$67=Comercial_Agricola[Movimiento])*(Comercial_Agricola[Financiero $Corrientes])*($F79=Comercial_Agricola[Cuenta Contable])*(H$1=Comercial_Agricola[Mes Financiero])*(H$2=Comercial_Agricola[Año Financiero]))</f>
        <v>0</v>
      </c>
      <c r="I79" s="104">
        <f>SUMPRODUCT(($C$67=Comercial_Agricola[Movimiento])*(Comercial_Agricola[Financiero $Corrientes])*($F79=Comercial_Agricola[Cuenta Contable])*(I$1=Comercial_Agricola[Mes Financiero])*(I$2=Comercial_Agricola[Año Financiero]))</f>
        <v>0</v>
      </c>
      <c r="J79" s="103">
        <f>SUMPRODUCT(($C$67=Comercial_Agricola[Movimiento])*(Comercial_Agricola[Financiero $Corrientes])*($F79=Comercial_Agricola[Cuenta Contable])*(J$1=Comercial_Agricola[Mes Financiero])*(J$2=Comercial_Agricola[Año Financiero]))</f>
        <v>0</v>
      </c>
      <c r="K79" s="104">
        <f>SUMPRODUCT(($C$67=Comercial_Agricola[Movimiento])*(Comercial_Agricola[Financiero $Corrientes])*($F79=Comercial_Agricola[Cuenta Contable])*(K$1=Comercial_Agricola[Mes Financiero])*(K$2=Comercial_Agricola[Año Financiero]))</f>
        <v>0</v>
      </c>
      <c r="L79" s="103">
        <f>SUMPRODUCT(($C$67=Comercial_Agricola[Movimiento])*(Comercial_Agricola[Financiero $Corrientes])*($F79=Comercial_Agricola[Cuenta Contable])*(L$1=Comercial_Agricola[Mes Financiero])*(L$2=Comercial_Agricola[Año Financiero]))</f>
        <v>0</v>
      </c>
      <c r="M79" s="104">
        <f>SUMPRODUCT(($C$67=Comercial_Agricola[Movimiento])*(Comercial_Agricola[Financiero $Corrientes])*($F79=Comercial_Agricola[Cuenta Contable])*(M$1=Comercial_Agricola[Mes Financiero])*(M$2=Comercial_Agricola[Año Financiero]))</f>
        <v>0</v>
      </c>
      <c r="N79" s="103">
        <f>SUMPRODUCT(($C$67=Comercial_Agricola[Movimiento])*(Comercial_Agricola[Financiero $Corrientes])*($F79=Comercial_Agricola[Cuenta Contable])*(N$1=Comercial_Agricola[Mes Financiero])*(N$2=Comercial_Agricola[Año Financiero]))</f>
        <v>0</v>
      </c>
      <c r="O79" s="104">
        <f>SUMPRODUCT(($C$67=Comercial_Agricola[Movimiento])*(Comercial_Agricola[Financiero $Corrientes])*($F79=Comercial_Agricola[Cuenta Contable])*(O$1=Comercial_Agricola[Mes Financiero])*(O$2=Comercial_Agricola[Año Financiero]))</f>
        <v>0</v>
      </c>
      <c r="P79" s="103">
        <f>SUMPRODUCT(($C$67=Comercial_Agricola[Movimiento])*(Comercial_Agricola[Financiero $Corrientes])*($F79=Comercial_Agricola[Cuenta Contable])*(P$1=Comercial_Agricola[Mes Financiero])*(P$2=Comercial_Agricola[Año Financiero]))</f>
        <v>0</v>
      </c>
      <c r="Q79" s="104">
        <f>SUMPRODUCT(($C$67=Comercial_Agricola[Movimiento])*(Comercial_Agricola[Financiero $Corrientes])*($F79=Comercial_Agricola[Cuenta Contable])*(Q$1=Comercial_Agricola[Mes Financiero])*(Q$2=Comercial_Agricola[Año Financiero]))</f>
        <v>0</v>
      </c>
      <c r="R79" s="103">
        <f>SUMPRODUCT(($C$67=Comercial_Agricola[Movimiento])*(Comercial_Agricola[Financiero $Corrientes])*($F79=Comercial_Agricola[Cuenta Contable])*(R$1=Comercial_Agricola[Mes Financiero])*(R$2=Comercial_Agricola[Año Financiero]))</f>
        <v>0</v>
      </c>
      <c r="S79" s="104">
        <f>SUMPRODUCT(($C$67=Comercial_Agricola[Movimiento])*(Comercial_Agricola[Financiero $Corrientes])*($F79=Comercial_Agricola[Cuenta Contable])*(S$1=Comercial_Agricola[Mes Financiero])*(S$2=Comercial_Agricola[Año Financiero]))</f>
        <v>0</v>
      </c>
      <c r="T79" s="103">
        <f>SUMPRODUCT(($C$67=Comercial_Agricola[Movimiento])*(Comercial_Agricola[Financiero $Corrientes])*($F79=Comercial_Agricola[Cuenta Contable])*(T$1=Comercial_Agricola[Mes Financiero])*(T$2=Comercial_Agricola[Año Financiero]))</f>
        <v>0</v>
      </c>
      <c r="U79" s="104">
        <f>SUMPRODUCT(($C$67=Comercial_Agricola[Movimiento])*(Comercial_Agricola[Financiero $Corrientes])*($F79=Comercial_Agricola[Cuenta Contable])*(U$1=Comercial_Agricola[Mes Financiero])*(U$2=Comercial_Agricola[Año Financiero]))</f>
        <v>0</v>
      </c>
      <c r="V79" s="103">
        <f>SUMPRODUCT(($C$67=Comercial_Agricola[Movimiento])*(Comercial_Agricola[Financiero $Corrientes])*($F79=Comercial_Agricola[Cuenta Contable])*(V$1=Comercial_Agricola[Mes Financiero])*(V$2=Comercial_Agricola[Año Financiero]))</f>
        <v>0</v>
      </c>
      <c r="W79" s="104">
        <f>SUMPRODUCT(($C$67=Comercial_Agricola[Movimiento])*(Comercial_Agricola[Financiero $Corrientes])*($F79=Comercial_Agricola[Cuenta Contable])*(W$1=Comercial_Agricola[Mes Financiero])*(W$2=Comercial_Agricola[Año Financiero]))</f>
        <v>0</v>
      </c>
      <c r="X79" s="103">
        <f>SUMPRODUCT(($C$67=Comercial_Agricola[Movimiento])*(Comercial_Agricola[Financiero $Corrientes])*($F79=Comercial_Agricola[Cuenta Contable])*(X$1=Comercial_Agricola[Mes Financiero])*(X$2=Comercial_Agricola[Año Financiero]))</f>
        <v>0</v>
      </c>
      <c r="Y79" s="104">
        <f>SUMPRODUCT(($C$67=Comercial_Agricola[Movimiento])*(Comercial_Agricola[Financiero $Corrientes])*($F79=Comercial_Agricola[Cuenta Contable])*(Y$1=Comercial_Agricola[Mes Financiero])*(Y$2=Comercial_Agricola[Año Financiero]))</f>
        <v>0</v>
      </c>
      <c r="Z79" s="144">
        <f t="shared" si="3"/>
        <v>0</v>
      </c>
      <c r="AC79" s="174">
        <f>SUMPRODUCT((F79=Comercializacion_Granos_Cuentas[Cuenta Contable])*(Comercializacion_Granos_Cuentas[IVA Financiero]))</f>
        <v>0.21</v>
      </c>
      <c r="AD79" s="174">
        <f>SUMPRODUCT((G79=Comercializacion_Granos_Cuentas[Cuenta Contable])*(Comercializacion_Granos_Cuentas[IVA Financiero]))</f>
        <v>0</v>
      </c>
    </row>
    <row r="80" spans="2:30" hidden="1" outlineLevel="1" x14ac:dyDescent="0.25">
      <c r="E80" s="221">
        <f>IFERROR(MATCH(F80,Comercializacion_Granos_Cuentas[Cuenta Contable],0),0)</f>
        <v>8</v>
      </c>
      <c r="F80" s="32" t="str">
        <f>Configuración!AC12</f>
        <v>Flete Largo</v>
      </c>
      <c r="H80" s="103">
        <f>SUMPRODUCT(($C$67=Comercial_Agricola[Movimiento])*(Comercial_Agricola[Financiero $Corrientes])*($F80=Comercial_Agricola[Cuenta Contable])*(H$1=Comercial_Agricola[Mes Financiero])*(H$2=Comercial_Agricola[Año Financiero]))</f>
        <v>0</v>
      </c>
      <c r="I80" s="104">
        <f>SUMPRODUCT(($C$67=Comercial_Agricola[Movimiento])*(Comercial_Agricola[Financiero $Corrientes])*($F80=Comercial_Agricola[Cuenta Contable])*(I$1=Comercial_Agricola[Mes Financiero])*(I$2=Comercial_Agricola[Año Financiero]))</f>
        <v>0</v>
      </c>
      <c r="J80" s="103">
        <f>SUMPRODUCT(($C$67=Comercial_Agricola[Movimiento])*(Comercial_Agricola[Financiero $Corrientes])*($F80=Comercial_Agricola[Cuenta Contable])*(J$1=Comercial_Agricola[Mes Financiero])*(J$2=Comercial_Agricola[Año Financiero]))</f>
        <v>0</v>
      </c>
      <c r="K80" s="104">
        <f>SUMPRODUCT(($C$67=Comercial_Agricola[Movimiento])*(Comercial_Agricola[Financiero $Corrientes])*($F80=Comercial_Agricola[Cuenta Contable])*(K$1=Comercial_Agricola[Mes Financiero])*(K$2=Comercial_Agricola[Año Financiero]))</f>
        <v>0</v>
      </c>
      <c r="L80" s="103">
        <f>SUMPRODUCT(($C$67=Comercial_Agricola[Movimiento])*(Comercial_Agricola[Financiero $Corrientes])*($F80=Comercial_Agricola[Cuenta Contable])*(L$1=Comercial_Agricola[Mes Financiero])*(L$2=Comercial_Agricola[Año Financiero]))</f>
        <v>0</v>
      </c>
      <c r="M80" s="104">
        <f>SUMPRODUCT(($C$67=Comercial_Agricola[Movimiento])*(Comercial_Agricola[Financiero $Corrientes])*($F80=Comercial_Agricola[Cuenta Contable])*(M$1=Comercial_Agricola[Mes Financiero])*(M$2=Comercial_Agricola[Año Financiero]))</f>
        <v>0</v>
      </c>
      <c r="N80" s="103">
        <f>SUMPRODUCT(($C$67=Comercial_Agricola[Movimiento])*(Comercial_Agricola[Financiero $Corrientes])*($F80=Comercial_Agricola[Cuenta Contable])*(N$1=Comercial_Agricola[Mes Financiero])*(N$2=Comercial_Agricola[Año Financiero]))</f>
        <v>0</v>
      </c>
      <c r="O80" s="104">
        <f>SUMPRODUCT(($C$67=Comercial_Agricola[Movimiento])*(Comercial_Agricola[Financiero $Corrientes])*($F80=Comercial_Agricola[Cuenta Contable])*(O$1=Comercial_Agricola[Mes Financiero])*(O$2=Comercial_Agricola[Año Financiero]))</f>
        <v>0</v>
      </c>
      <c r="P80" s="103">
        <f>SUMPRODUCT(($C$67=Comercial_Agricola[Movimiento])*(Comercial_Agricola[Financiero $Corrientes])*($F80=Comercial_Agricola[Cuenta Contable])*(P$1=Comercial_Agricola[Mes Financiero])*(P$2=Comercial_Agricola[Año Financiero]))</f>
        <v>0</v>
      </c>
      <c r="Q80" s="104">
        <f>SUMPRODUCT(($C$67=Comercial_Agricola[Movimiento])*(Comercial_Agricola[Financiero $Corrientes])*($F80=Comercial_Agricola[Cuenta Contable])*(Q$1=Comercial_Agricola[Mes Financiero])*(Q$2=Comercial_Agricola[Año Financiero]))</f>
        <v>0</v>
      </c>
      <c r="R80" s="103">
        <f>SUMPRODUCT(($C$67=Comercial_Agricola[Movimiento])*(Comercial_Agricola[Financiero $Corrientes])*($F80=Comercial_Agricola[Cuenta Contable])*(R$1=Comercial_Agricola[Mes Financiero])*(R$2=Comercial_Agricola[Año Financiero]))</f>
        <v>0</v>
      </c>
      <c r="S80" s="104">
        <f>SUMPRODUCT(($C$67=Comercial_Agricola[Movimiento])*(Comercial_Agricola[Financiero $Corrientes])*($F80=Comercial_Agricola[Cuenta Contable])*(S$1=Comercial_Agricola[Mes Financiero])*(S$2=Comercial_Agricola[Año Financiero]))</f>
        <v>0</v>
      </c>
      <c r="T80" s="103">
        <f>SUMPRODUCT(($C$67=Comercial_Agricola[Movimiento])*(Comercial_Agricola[Financiero $Corrientes])*($F80=Comercial_Agricola[Cuenta Contable])*(T$1=Comercial_Agricola[Mes Financiero])*(T$2=Comercial_Agricola[Año Financiero]))</f>
        <v>0</v>
      </c>
      <c r="U80" s="104">
        <f>SUMPRODUCT(($C$67=Comercial_Agricola[Movimiento])*(Comercial_Agricola[Financiero $Corrientes])*($F80=Comercial_Agricola[Cuenta Contable])*(U$1=Comercial_Agricola[Mes Financiero])*(U$2=Comercial_Agricola[Año Financiero]))</f>
        <v>0</v>
      </c>
      <c r="V80" s="103">
        <f>SUMPRODUCT(($C$67=Comercial_Agricola[Movimiento])*(Comercial_Agricola[Financiero $Corrientes])*($F80=Comercial_Agricola[Cuenta Contable])*(V$1=Comercial_Agricola[Mes Financiero])*(V$2=Comercial_Agricola[Año Financiero]))</f>
        <v>0</v>
      </c>
      <c r="W80" s="104">
        <f>SUMPRODUCT(($C$67=Comercial_Agricola[Movimiento])*(Comercial_Agricola[Financiero $Corrientes])*($F80=Comercial_Agricola[Cuenta Contable])*(W$1=Comercial_Agricola[Mes Financiero])*(W$2=Comercial_Agricola[Año Financiero]))</f>
        <v>0</v>
      </c>
      <c r="X80" s="103">
        <f>SUMPRODUCT(($C$67=Comercial_Agricola[Movimiento])*(Comercial_Agricola[Financiero $Corrientes])*($F80=Comercial_Agricola[Cuenta Contable])*(X$1=Comercial_Agricola[Mes Financiero])*(X$2=Comercial_Agricola[Año Financiero]))</f>
        <v>0</v>
      </c>
      <c r="Y80" s="104">
        <f>SUMPRODUCT(($C$67=Comercial_Agricola[Movimiento])*(Comercial_Agricola[Financiero $Corrientes])*($F80=Comercial_Agricola[Cuenta Contable])*(Y$1=Comercial_Agricola[Mes Financiero])*(Y$2=Comercial_Agricola[Año Financiero]))</f>
        <v>0</v>
      </c>
      <c r="Z80" s="144">
        <f t="shared" si="3"/>
        <v>0</v>
      </c>
      <c r="AC80" s="174">
        <f>SUMPRODUCT((F80=Comercializacion_Granos_Cuentas[Cuenta Contable])*(Comercializacion_Granos_Cuentas[IVA Financiero]))</f>
        <v>0.21</v>
      </c>
      <c r="AD80" s="174">
        <f>SUMPRODUCT((G80=Comercializacion_Granos_Cuentas[Cuenta Contable])*(Comercializacion_Granos_Cuentas[IVA Financiero]))</f>
        <v>0</v>
      </c>
    </row>
    <row r="81" spans="2:30" hidden="1" outlineLevel="1" x14ac:dyDescent="0.25">
      <c r="E81" s="221">
        <f>IFERROR(MATCH(F81,Comercializacion_Granos_Cuentas[Cuenta Contable],0),0)</f>
        <v>9</v>
      </c>
      <c r="F81" s="32" t="str">
        <f>Configuración!AC13</f>
        <v>Acondicionamiento</v>
      </c>
      <c r="H81" s="103">
        <f>SUMPRODUCT(($C$67=Comercial_Agricola[Movimiento])*(Comercial_Agricola[Financiero $Corrientes])*($F81=Comercial_Agricola[Cuenta Contable])*(H$1=Comercial_Agricola[Mes Financiero])*(H$2=Comercial_Agricola[Año Financiero]))</f>
        <v>0</v>
      </c>
      <c r="I81" s="104">
        <f>SUMPRODUCT(($C$67=Comercial_Agricola[Movimiento])*(Comercial_Agricola[Financiero $Corrientes])*($F81=Comercial_Agricola[Cuenta Contable])*(I$1=Comercial_Agricola[Mes Financiero])*(I$2=Comercial_Agricola[Año Financiero]))</f>
        <v>0</v>
      </c>
      <c r="J81" s="103">
        <f>SUMPRODUCT(($C$67=Comercial_Agricola[Movimiento])*(Comercial_Agricola[Financiero $Corrientes])*($F81=Comercial_Agricola[Cuenta Contable])*(J$1=Comercial_Agricola[Mes Financiero])*(J$2=Comercial_Agricola[Año Financiero]))</f>
        <v>0</v>
      </c>
      <c r="K81" s="104">
        <f>SUMPRODUCT(($C$67=Comercial_Agricola[Movimiento])*(Comercial_Agricola[Financiero $Corrientes])*($F81=Comercial_Agricola[Cuenta Contable])*(K$1=Comercial_Agricola[Mes Financiero])*(K$2=Comercial_Agricola[Año Financiero]))</f>
        <v>0</v>
      </c>
      <c r="L81" s="103">
        <f>SUMPRODUCT(($C$67=Comercial_Agricola[Movimiento])*(Comercial_Agricola[Financiero $Corrientes])*($F81=Comercial_Agricola[Cuenta Contable])*(L$1=Comercial_Agricola[Mes Financiero])*(L$2=Comercial_Agricola[Año Financiero]))</f>
        <v>0</v>
      </c>
      <c r="M81" s="104">
        <f>SUMPRODUCT(($C$67=Comercial_Agricola[Movimiento])*(Comercial_Agricola[Financiero $Corrientes])*($F81=Comercial_Agricola[Cuenta Contable])*(M$1=Comercial_Agricola[Mes Financiero])*(M$2=Comercial_Agricola[Año Financiero]))</f>
        <v>0</v>
      </c>
      <c r="N81" s="103">
        <f>SUMPRODUCT(($C$67=Comercial_Agricola[Movimiento])*(Comercial_Agricola[Financiero $Corrientes])*($F81=Comercial_Agricola[Cuenta Contable])*(N$1=Comercial_Agricola[Mes Financiero])*(N$2=Comercial_Agricola[Año Financiero]))</f>
        <v>0</v>
      </c>
      <c r="O81" s="104">
        <f>SUMPRODUCT(($C$67=Comercial_Agricola[Movimiento])*(Comercial_Agricola[Financiero $Corrientes])*($F81=Comercial_Agricola[Cuenta Contable])*(O$1=Comercial_Agricola[Mes Financiero])*(O$2=Comercial_Agricola[Año Financiero]))</f>
        <v>0</v>
      </c>
      <c r="P81" s="103">
        <f>SUMPRODUCT(($C$67=Comercial_Agricola[Movimiento])*(Comercial_Agricola[Financiero $Corrientes])*($F81=Comercial_Agricola[Cuenta Contable])*(P$1=Comercial_Agricola[Mes Financiero])*(P$2=Comercial_Agricola[Año Financiero]))</f>
        <v>0</v>
      </c>
      <c r="Q81" s="104">
        <f>SUMPRODUCT(($C$67=Comercial_Agricola[Movimiento])*(Comercial_Agricola[Financiero $Corrientes])*($F81=Comercial_Agricola[Cuenta Contable])*(Q$1=Comercial_Agricola[Mes Financiero])*(Q$2=Comercial_Agricola[Año Financiero]))</f>
        <v>0</v>
      </c>
      <c r="R81" s="103">
        <f>SUMPRODUCT(($C$67=Comercial_Agricola[Movimiento])*(Comercial_Agricola[Financiero $Corrientes])*($F81=Comercial_Agricola[Cuenta Contable])*(R$1=Comercial_Agricola[Mes Financiero])*(R$2=Comercial_Agricola[Año Financiero]))</f>
        <v>0</v>
      </c>
      <c r="S81" s="104">
        <f>SUMPRODUCT(($C$67=Comercial_Agricola[Movimiento])*(Comercial_Agricola[Financiero $Corrientes])*($F81=Comercial_Agricola[Cuenta Contable])*(S$1=Comercial_Agricola[Mes Financiero])*(S$2=Comercial_Agricola[Año Financiero]))</f>
        <v>0</v>
      </c>
      <c r="T81" s="103">
        <f>SUMPRODUCT(($C$67=Comercial_Agricola[Movimiento])*(Comercial_Agricola[Financiero $Corrientes])*($F81=Comercial_Agricola[Cuenta Contable])*(T$1=Comercial_Agricola[Mes Financiero])*(T$2=Comercial_Agricola[Año Financiero]))</f>
        <v>0</v>
      </c>
      <c r="U81" s="104">
        <f>SUMPRODUCT(($C$67=Comercial_Agricola[Movimiento])*(Comercial_Agricola[Financiero $Corrientes])*($F81=Comercial_Agricola[Cuenta Contable])*(U$1=Comercial_Agricola[Mes Financiero])*(U$2=Comercial_Agricola[Año Financiero]))</f>
        <v>0</v>
      </c>
      <c r="V81" s="103">
        <f>SUMPRODUCT(($C$67=Comercial_Agricola[Movimiento])*(Comercial_Agricola[Financiero $Corrientes])*($F81=Comercial_Agricola[Cuenta Contable])*(V$1=Comercial_Agricola[Mes Financiero])*(V$2=Comercial_Agricola[Año Financiero]))</f>
        <v>0</v>
      </c>
      <c r="W81" s="104">
        <f>SUMPRODUCT(($C$67=Comercial_Agricola[Movimiento])*(Comercial_Agricola[Financiero $Corrientes])*($F81=Comercial_Agricola[Cuenta Contable])*(W$1=Comercial_Agricola[Mes Financiero])*(W$2=Comercial_Agricola[Año Financiero]))</f>
        <v>0</v>
      </c>
      <c r="X81" s="103">
        <f>SUMPRODUCT(($C$67=Comercial_Agricola[Movimiento])*(Comercial_Agricola[Financiero $Corrientes])*($F81=Comercial_Agricola[Cuenta Contable])*(X$1=Comercial_Agricola[Mes Financiero])*(X$2=Comercial_Agricola[Año Financiero]))</f>
        <v>0</v>
      </c>
      <c r="Y81" s="104">
        <f>SUMPRODUCT(($C$67=Comercial_Agricola[Movimiento])*(Comercial_Agricola[Financiero $Corrientes])*($F81=Comercial_Agricola[Cuenta Contable])*(Y$1=Comercial_Agricola[Mes Financiero])*(Y$2=Comercial_Agricola[Año Financiero]))</f>
        <v>0</v>
      </c>
      <c r="Z81" s="144">
        <f t="shared" si="3"/>
        <v>0</v>
      </c>
      <c r="AC81" s="174">
        <f>SUMPRODUCT((F81=Comercializacion_Granos_Cuentas[Cuenta Contable])*(Comercializacion_Granos_Cuentas[IVA Financiero]))</f>
        <v>0.21</v>
      </c>
      <c r="AD81" s="174">
        <f>SUMPRODUCT((G81=Comercializacion_Granos_Cuentas[Cuenta Contable])*(Comercializacion_Granos_Cuentas[IVA Financiero]))</f>
        <v>0</v>
      </c>
    </row>
    <row r="82" spans="2:30" hidden="1" outlineLevel="1" x14ac:dyDescent="0.25">
      <c r="E82" s="221">
        <f>IFERROR(MATCH(F82,Comercializacion_Granos_Cuentas[Cuenta Contable],0),0)</f>
        <v>10</v>
      </c>
      <c r="F82" s="32" t="str">
        <f>Configuración!AC14</f>
        <v>Paritarias</v>
      </c>
      <c r="H82" s="103">
        <f>SUMPRODUCT(($C$67=Comercial_Agricola[Movimiento])*(Comercial_Agricola[Financiero $Corrientes])*($F82=Comercial_Agricola[Cuenta Contable])*(H$1=Comercial_Agricola[Mes Financiero])*(H$2=Comercial_Agricola[Año Financiero]))</f>
        <v>0</v>
      </c>
      <c r="I82" s="104">
        <f>SUMPRODUCT(($C$67=Comercial_Agricola[Movimiento])*(Comercial_Agricola[Financiero $Corrientes])*($F82=Comercial_Agricola[Cuenta Contable])*(I$1=Comercial_Agricola[Mes Financiero])*(I$2=Comercial_Agricola[Año Financiero]))</f>
        <v>0</v>
      </c>
      <c r="J82" s="103">
        <f>SUMPRODUCT(($C$67=Comercial_Agricola[Movimiento])*(Comercial_Agricola[Financiero $Corrientes])*($F82=Comercial_Agricola[Cuenta Contable])*(J$1=Comercial_Agricola[Mes Financiero])*(J$2=Comercial_Agricola[Año Financiero]))</f>
        <v>0</v>
      </c>
      <c r="K82" s="104">
        <f>SUMPRODUCT(($C$67=Comercial_Agricola[Movimiento])*(Comercial_Agricola[Financiero $Corrientes])*($F82=Comercial_Agricola[Cuenta Contable])*(K$1=Comercial_Agricola[Mes Financiero])*(K$2=Comercial_Agricola[Año Financiero]))</f>
        <v>0</v>
      </c>
      <c r="L82" s="103">
        <f>SUMPRODUCT(($C$67=Comercial_Agricola[Movimiento])*(Comercial_Agricola[Financiero $Corrientes])*($F82=Comercial_Agricola[Cuenta Contable])*(L$1=Comercial_Agricola[Mes Financiero])*(L$2=Comercial_Agricola[Año Financiero]))</f>
        <v>0</v>
      </c>
      <c r="M82" s="104">
        <f>SUMPRODUCT(($C$67=Comercial_Agricola[Movimiento])*(Comercial_Agricola[Financiero $Corrientes])*($F82=Comercial_Agricola[Cuenta Contable])*(M$1=Comercial_Agricola[Mes Financiero])*(M$2=Comercial_Agricola[Año Financiero]))</f>
        <v>0</v>
      </c>
      <c r="N82" s="103">
        <f>SUMPRODUCT(($C$67=Comercial_Agricola[Movimiento])*(Comercial_Agricola[Financiero $Corrientes])*($F82=Comercial_Agricola[Cuenta Contable])*(N$1=Comercial_Agricola[Mes Financiero])*(N$2=Comercial_Agricola[Año Financiero]))</f>
        <v>0</v>
      </c>
      <c r="O82" s="104">
        <f>SUMPRODUCT(($C$67=Comercial_Agricola[Movimiento])*(Comercial_Agricola[Financiero $Corrientes])*($F82=Comercial_Agricola[Cuenta Contable])*(O$1=Comercial_Agricola[Mes Financiero])*(O$2=Comercial_Agricola[Año Financiero]))</f>
        <v>0</v>
      </c>
      <c r="P82" s="103">
        <f>SUMPRODUCT(($C$67=Comercial_Agricola[Movimiento])*(Comercial_Agricola[Financiero $Corrientes])*($F82=Comercial_Agricola[Cuenta Contable])*(P$1=Comercial_Agricola[Mes Financiero])*(P$2=Comercial_Agricola[Año Financiero]))</f>
        <v>0</v>
      </c>
      <c r="Q82" s="104">
        <f>SUMPRODUCT(($C$67=Comercial_Agricola[Movimiento])*(Comercial_Agricola[Financiero $Corrientes])*($F82=Comercial_Agricola[Cuenta Contable])*(Q$1=Comercial_Agricola[Mes Financiero])*(Q$2=Comercial_Agricola[Año Financiero]))</f>
        <v>0</v>
      </c>
      <c r="R82" s="103">
        <f>SUMPRODUCT(($C$67=Comercial_Agricola[Movimiento])*(Comercial_Agricola[Financiero $Corrientes])*($F82=Comercial_Agricola[Cuenta Contable])*(R$1=Comercial_Agricola[Mes Financiero])*(R$2=Comercial_Agricola[Año Financiero]))</f>
        <v>0</v>
      </c>
      <c r="S82" s="104">
        <f>SUMPRODUCT(($C$67=Comercial_Agricola[Movimiento])*(Comercial_Agricola[Financiero $Corrientes])*($F82=Comercial_Agricola[Cuenta Contable])*(S$1=Comercial_Agricola[Mes Financiero])*(S$2=Comercial_Agricola[Año Financiero]))</f>
        <v>0</v>
      </c>
      <c r="T82" s="103">
        <f>SUMPRODUCT(($C$67=Comercial_Agricola[Movimiento])*(Comercial_Agricola[Financiero $Corrientes])*($F82=Comercial_Agricola[Cuenta Contable])*(T$1=Comercial_Agricola[Mes Financiero])*(T$2=Comercial_Agricola[Año Financiero]))</f>
        <v>0</v>
      </c>
      <c r="U82" s="104">
        <f>SUMPRODUCT(($C$67=Comercial_Agricola[Movimiento])*(Comercial_Agricola[Financiero $Corrientes])*($F82=Comercial_Agricola[Cuenta Contable])*(U$1=Comercial_Agricola[Mes Financiero])*(U$2=Comercial_Agricola[Año Financiero]))</f>
        <v>0</v>
      </c>
      <c r="V82" s="103">
        <f>SUMPRODUCT(($C$67=Comercial_Agricola[Movimiento])*(Comercial_Agricola[Financiero $Corrientes])*($F82=Comercial_Agricola[Cuenta Contable])*(V$1=Comercial_Agricola[Mes Financiero])*(V$2=Comercial_Agricola[Año Financiero]))</f>
        <v>0</v>
      </c>
      <c r="W82" s="104">
        <f>SUMPRODUCT(($C$67=Comercial_Agricola[Movimiento])*(Comercial_Agricola[Financiero $Corrientes])*($F82=Comercial_Agricola[Cuenta Contable])*(W$1=Comercial_Agricola[Mes Financiero])*(W$2=Comercial_Agricola[Año Financiero]))</f>
        <v>0</v>
      </c>
      <c r="X82" s="103">
        <f>SUMPRODUCT(($C$67=Comercial_Agricola[Movimiento])*(Comercial_Agricola[Financiero $Corrientes])*($F82=Comercial_Agricola[Cuenta Contable])*(X$1=Comercial_Agricola[Mes Financiero])*(X$2=Comercial_Agricola[Año Financiero]))</f>
        <v>0</v>
      </c>
      <c r="Y82" s="104">
        <f>SUMPRODUCT(($C$67=Comercial_Agricola[Movimiento])*(Comercial_Agricola[Financiero $Corrientes])*($F82=Comercial_Agricola[Cuenta Contable])*(Y$1=Comercial_Agricola[Mes Financiero])*(Y$2=Comercial_Agricola[Año Financiero]))</f>
        <v>0</v>
      </c>
      <c r="Z82" s="144">
        <f t="shared" si="3"/>
        <v>0</v>
      </c>
      <c r="AC82" s="174">
        <f>SUMPRODUCT((F82=Comercializacion_Granos_Cuentas[Cuenta Contable])*(Comercializacion_Granos_Cuentas[IVA Financiero]))</f>
        <v>0.21</v>
      </c>
      <c r="AD82" s="174">
        <f>SUMPRODUCT((G82=Comercializacion_Granos_Cuentas[Cuenta Contable])*(Comercializacion_Granos_Cuentas[IVA Financiero]))</f>
        <v>0</v>
      </c>
    </row>
    <row r="83" spans="2:30" hidden="1" outlineLevel="1" x14ac:dyDescent="0.25">
      <c r="E83" s="221">
        <f>IFERROR(MATCH(F83,Comercializacion_Granos_Cuentas[Cuenta Contable],0),0)</f>
        <v>11</v>
      </c>
      <c r="F83" s="32" t="str">
        <f>Configuración!AC15</f>
        <v>Secada</v>
      </c>
      <c r="H83" s="103">
        <f>SUMPRODUCT(($C$67=Comercial_Agricola[Movimiento])*(Comercial_Agricola[Financiero $Corrientes])*($F83=Comercial_Agricola[Cuenta Contable])*(H$1=Comercial_Agricola[Mes Financiero])*(H$2=Comercial_Agricola[Año Financiero]))</f>
        <v>0</v>
      </c>
      <c r="I83" s="104">
        <f>SUMPRODUCT(($C$67=Comercial_Agricola[Movimiento])*(Comercial_Agricola[Financiero $Corrientes])*($F83=Comercial_Agricola[Cuenta Contable])*(I$1=Comercial_Agricola[Mes Financiero])*(I$2=Comercial_Agricola[Año Financiero]))</f>
        <v>0</v>
      </c>
      <c r="J83" s="103">
        <f>SUMPRODUCT(($C$67=Comercial_Agricola[Movimiento])*(Comercial_Agricola[Financiero $Corrientes])*($F83=Comercial_Agricola[Cuenta Contable])*(J$1=Comercial_Agricola[Mes Financiero])*(J$2=Comercial_Agricola[Año Financiero]))</f>
        <v>0</v>
      </c>
      <c r="K83" s="104">
        <f>SUMPRODUCT(($C$67=Comercial_Agricola[Movimiento])*(Comercial_Agricola[Financiero $Corrientes])*($F83=Comercial_Agricola[Cuenta Contable])*(K$1=Comercial_Agricola[Mes Financiero])*(K$2=Comercial_Agricola[Año Financiero]))</f>
        <v>0</v>
      </c>
      <c r="L83" s="103">
        <f>SUMPRODUCT(($C$67=Comercial_Agricola[Movimiento])*(Comercial_Agricola[Financiero $Corrientes])*($F83=Comercial_Agricola[Cuenta Contable])*(L$1=Comercial_Agricola[Mes Financiero])*(L$2=Comercial_Agricola[Año Financiero]))</f>
        <v>0</v>
      </c>
      <c r="M83" s="104">
        <f>SUMPRODUCT(($C$67=Comercial_Agricola[Movimiento])*(Comercial_Agricola[Financiero $Corrientes])*($F83=Comercial_Agricola[Cuenta Contable])*(M$1=Comercial_Agricola[Mes Financiero])*(M$2=Comercial_Agricola[Año Financiero]))</f>
        <v>0</v>
      </c>
      <c r="N83" s="103">
        <f>SUMPRODUCT(($C$67=Comercial_Agricola[Movimiento])*(Comercial_Agricola[Financiero $Corrientes])*($F83=Comercial_Agricola[Cuenta Contable])*(N$1=Comercial_Agricola[Mes Financiero])*(N$2=Comercial_Agricola[Año Financiero]))</f>
        <v>0</v>
      </c>
      <c r="O83" s="104">
        <f>SUMPRODUCT(($C$67=Comercial_Agricola[Movimiento])*(Comercial_Agricola[Financiero $Corrientes])*($F83=Comercial_Agricola[Cuenta Contable])*(O$1=Comercial_Agricola[Mes Financiero])*(O$2=Comercial_Agricola[Año Financiero]))</f>
        <v>0</v>
      </c>
      <c r="P83" s="103">
        <f>SUMPRODUCT(($C$67=Comercial_Agricola[Movimiento])*(Comercial_Agricola[Financiero $Corrientes])*($F83=Comercial_Agricola[Cuenta Contable])*(P$1=Comercial_Agricola[Mes Financiero])*(P$2=Comercial_Agricola[Año Financiero]))</f>
        <v>0</v>
      </c>
      <c r="Q83" s="104">
        <f>SUMPRODUCT(($C$67=Comercial_Agricola[Movimiento])*(Comercial_Agricola[Financiero $Corrientes])*($F83=Comercial_Agricola[Cuenta Contable])*(Q$1=Comercial_Agricola[Mes Financiero])*(Q$2=Comercial_Agricola[Año Financiero]))</f>
        <v>0</v>
      </c>
      <c r="R83" s="103">
        <f>SUMPRODUCT(($C$67=Comercial_Agricola[Movimiento])*(Comercial_Agricola[Financiero $Corrientes])*($F83=Comercial_Agricola[Cuenta Contable])*(R$1=Comercial_Agricola[Mes Financiero])*(R$2=Comercial_Agricola[Año Financiero]))</f>
        <v>0</v>
      </c>
      <c r="S83" s="104">
        <f>SUMPRODUCT(($C$67=Comercial_Agricola[Movimiento])*(Comercial_Agricola[Financiero $Corrientes])*($F83=Comercial_Agricola[Cuenta Contable])*(S$1=Comercial_Agricola[Mes Financiero])*(S$2=Comercial_Agricola[Año Financiero]))</f>
        <v>0</v>
      </c>
      <c r="T83" s="103">
        <f>SUMPRODUCT(($C$67=Comercial_Agricola[Movimiento])*(Comercial_Agricola[Financiero $Corrientes])*($F83=Comercial_Agricola[Cuenta Contable])*(T$1=Comercial_Agricola[Mes Financiero])*(T$2=Comercial_Agricola[Año Financiero]))</f>
        <v>0</v>
      </c>
      <c r="U83" s="104">
        <f>SUMPRODUCT(($C$67=Comercial_Agricola[Movimiento])*(Comercial_Agricola[Financiero $Corrientes])*($F83=Comercial_Agricola[Cuenta Contable])*(U$1=Comercial_Agricola[Mes Financiero])*(U$2=Comercial_Agricola[Año Financiero]))</f>
        <v>0</v>
      </c>
      <c r="V83" s="103">
        <f>SUMPRODUCT(($C$67=Comercial_Agricola[Movimiento])*(Comercial_Agricola[Financiero $Corrientes])*($F83=Comercial_Agricola[Cuenta Contable])*(V$1=Comercial_Agricola[Mes Financiero])*(V$2=Comercial_Agricola[Año Financiero]))</f>
        <v>0</v>
      </c>
      <c r="W83" s="104">
        <f>SUMPRODUCT(($C$67=Comercial_Agricola[Movimiento])*(Comercial_Agricola[Financiero $Corrientes])*($F83=Comercial_Agricola[Cuenta Contable])*(W$1=Comercial_Agricola[Mes Financiero])*(W$2=Comercial_Agricola[Año Financiero]))</f>
        <v>0</v>
      </c>
      <c r="X83" s="103">
        <f>SUMPRODUCT(($C$67=Comercial_Agricola[Movimiento])*(Comercial_Agricola[Financiero $Corrientes])*($F83=Comercial_Agricola[Cuenta Contable])*(X$1=Comercial_Agricola[Mes Financiero])*(X$2=Comercial_Agricola[Año Financiero]))</f>
        <v>0</v>
      </c>
      <c r="Y83" s="104">
        <f>SUMPRODUCT(($C$67=Comercial_Agricola[Movimiento])*(Comercial_Agricola[Financiero $Corrientes])*($F83=Comercial_Agricola[Cuenta Contable])*(Y$1=Comercial_Agricola[Mes Financiero])*(Y$2=Comercial_Agricola[Año Financiero]))</f>
        <v>0</v>
      </c>
      <c r="Z83" s="144">
        <f t="shared" si="3"/>
        <v>0</v>
      </c>
      <c r="AC83" s="174">
        <f>SUMPRODUCT((F83=Comercializacion_Granos_Cuentas[Cuenta Contable])*(Comercializacion_Granos_Cuentas[IVA Financiero]))</f>
        <v>0.21</v>
      </c>
      <c r="AD83" s="174">
        <f>SUMPRODUCT((G83=Comercializacion_Granos_Cuentas[Cuenta Contable])*(Comercializacion_Granos_Cuentas[IVA Financiero]))</f>
        <v>0</v>
      </c>
    </row>
    <row r="84" spans="2:30" hidden="1" outlineLevel="1" x14ac:dyDescent="0.25">
      <c r="E84" s="221">
        <f>IFERROR(MATCH(F84,Comercializacion_Granos_Cuentas[Cuenta Contable],0),0)</f>
        <v>12</v>
      </c>
      <c r="F84" s="32" t="str">
        <f>Configuración!AC16</f>
        <v>Comisión</v>
      </c>
      <c r="H84" s="103">
        <f>SUMPRODUCT(($C$67=Comercial_Agricola[Movimiento])*(Comercial_Agricola[Financiero $Corrientes])*($F84=Comercial_Agricola[Cuenta Contable])*(H$1=Comercial_Agricola[Mes Financiero])*(H$2=Comercial_Agricola[Año Financiero]))</f>
        <v>0</v>
      </c>
      <c r="I84" s="104">
        <f>SUMPRODUCT(($C$67=Comercial_Agricola[Movimiento])*(Comercial_Agricola[Financiero $Corrientes])*($F84=Comercial_Agricola[Cuenta Contable])*(I$1=Comercial_Agricola[Mes Financiero])*(I$2=Comercial_Agricola[Año Financiero]))</f>
        <v>0</v>
      </c>
      <c r="J84" s="103">
        <f>SUMPRODUCT(($C$67=Comercial_Agricola[Movimiento])*(Comercial_Agricola[Financiero $Corrientes])*($F84=Comercial_Agricola[Cuenta Contable])*(J$1=Comercial_Agricola[Mes Financiero])*(J$2=Comercial_Agricola[Año Financiero]))</f>
        <v>0</v>
      </c>
      <c r="K84" s="104">
        <f>SUMPRODUCT(($C$67=Comercial_Agricola[Movimiento])*(Comercial_Agricola[Financiero $Corrientes])*($F84=Comercial_Agricola[Cuenta Contable])*(K$1=Comercial_Agricola[Mes Financiero])*(K$2=Comercial_Agricola[Año Financiero]))</f>
        <v>0</v>
      </c>
      <c r="L84" s="103">
        <f>SUMPRODUCT(($C$67=Comercial_Agricola[Movimiento])*(Comercial_Agricola[Financiero $Corrientes])*($F84=Comercial_Agricola[Cuenta Contable])*(L$1=Comercial_Agricola[Mes Financiero])*(L$2=Comercial_Agricola[Año Financiero]))</f>
        <v>0</v>
      </c>
      <c r="M84" s="104">
        <f>SUMPRODUCT(($C$67=Comercial_Agricola[Movimiento])*(Comercial_Agricola[Financiero $Corrientes])*($F84=Comercial_Agricola[Cuenta Contable])*(M$1=Comercial_Agricola[Mes Financiero])*(M$2=Comercial_Agricola[Año Financiero]))</f>
        <v>0</v>
      </c>
      <c r="N84" s="103">
        <f>SUMPRODUCT(($C$67=Comercial_Agricola[Movimiento])*(Comercial_Agricola[Financiero $Corrientes])*($F84=Comercial_Agricola[Cuenta Contable])*(N$1=Comercial_Agricola[Mes Financiero])*(N$2=Comercial_Agricola[Año Financiero]))</f>
        <v>0</v>
      </c>
      <c r="O84" s="104">
        <f>SUMPRODUCT(($C$67=Comercial_Agricola[Movimiento])*(Comercial_Agricola[Financiero $Corrientes])*($F84=Comercial_Agricola[Cuenta Contable])*(O$1=Comercial_Agricola[Mes Financiero])*(O$2=Comercial_Agricola[Año Financiero]))</f>
        <v>0</v>
      </c>
      <c r="P84" s="103">
        <f>SUMPRODUCT(($C$67=Comercial_Agricola[Movimiento])*(Comercial_Agricola[Financiero $Corrientes])*($F84=Comercial_Agricola[Cuenta Contable])*(P$1=Comercial_Agricola[Mes Financiero])*(P$2=Comercial_Agricola[Año Financiero]))</f>
        <v>0</v>
      </c>
      <c r="Q84" s="104">
        <f>SUMPRODUCT(($C$67=Comercial_Agricola[Movimiento])*(Comercial_Agricola[Financiero $Corrientes])*($F84=Comercial_Agricola[Cuenta Contable])*(Q$1=Comercial_Agricola[Mes Financiero])*(Q$2=Comercial_Agricola[Año Financiero]))</f>
        <v>0</v>
      </c>
      <c r="R84" s="103">
        <f>SUMPRODUCT(($C$67=Comercial_Agricola[Movimiento])*(Comercial_Agricola[Financiero $Corrientes])*($F84=Comercial_Agricola[Cuenta Contable])*(R$1=Comercial_Agricola[Mes Financiero])*(R$2=Comercial_Agricola[Año Financiero]))</f>
        <v>0</v>
      </c>
      <c r="S84" s="104">
        <f>SUMPRODUCT(($C$67=Comercial_Agricola[Movimiento])*(Comercial_Agricola[Financiero $Corrientes])*($F84=Comercial_Agricola[Cuenta Contable])*(S$1=Comercial_Agricola[Mes Financiero])*(S$2=Comercial_Agricola[Año Financiero]))</f>
        <v>0</v>
      </c>
      <c r="T84" s="103">
        <f>SUMPRODUCT(($C$67=Comercial_Agricola[Movimiento])*(Comercial_Agricola[Financiero $Corrientes])*($F84=Comercial_Agricola[Cuenta Contable])*(T$1=Comercial_Agricola[Mes Financiero])*(T$2=Comercial_Agricola[Año Financiero]))</f>
        <v>0</v>
      </c>
      <c r="U84" s="104">
        <f>SUMPRODUCT(($C$67=Comercial_Agricola[Movimiento])*(Comercial_Agricola[Financiero $Corrientes])*($F84=Comercial_Agricola[Cuenta Contable])*(U$1=Comercial_Agricola[Mes Financiero])*(U$2=Comercial_Agricola[Año Financiero]))</f>
        <v>0</v>
      </c>
      <c r="V84" s="103">
        <f>SUMPRODUCT(($C$67=Comercial_Agricola[Movimiento])*(Comercial_Agricola[Financiero $Corrientes])*($F84=Comercial_Agricola[Cuenta Contable])*(V$1=Comercial_Agricola[Mes Financiero])*(V$2=Comercial_Agricola[Año Financiero]))</f>
        <v>0</v>
      </c>
      <c r="W84" s="104">
        <f>SUMPRODUCT(($C$67=Comercial_Agricola[Movimiento])*(Comercial_Agricola[Financiero $Corrientes])*($F84=Comercial_Agricola[Cuenta Contable])*(W$1=Comercial_Agricola[Mes Financiero])*(W$2=Comercial_Agricola[Año Financiero]))</f>
        <v>0</v>
      </c>
      <c r="X84" s="103">
        <f>SUMPRODUCT(($C$67=Comercial_Agricola[Movimiento])*(Comercial_Agricola[Financiero $Corrientes])*($F84=Comercial_Agricola[Cuenta Contable])*(X$1=Comercial_Agricola[Mes Financiero])*(X$2=Comercial_Agricola[Año Financiero]))</f>
        <v>0</v>
      </c>
      <c r="Y84" s="104">
        <f>SUMPRODUCT(($C$67=Comercial_Agricola[Movimiento])*(Comercial_Agricola[Financiero $Corrientes])*($F84=Comercial_Agricola[Cuenta Contable])*(Y$1=Comercial_Agricola[Mes Financiero])*(Y$2=Comercial_Agricola[Año Financiero]))</f>
        <v>0</v>
      </c>
      <c r="Z84" s="144">
        <f t="shared" ref="Z84:Z87" si="20">SUM(H84:Y84)</f>
        <v>0</v>
      </c>
      <c r="AC84" s="174">
        <f>SUMPRODUCT((F84=Comercializacion_Granos_Cuentas[Cuenta Contable])*(Comercializacion_Granos_Cuentas[IVA Financiero]))</f>
        <v>0.21</v>
      </c>
      <c r="AD84" s="174">
        <f>SUMPRODUCT((G84=Comercializacion_Granos_Cuentas[Cuenta Contable])*(Comercializacion_Granos_Cuentas[IVA Financiero]))</f>
        <v>0</v>
      </c>
    </row>
    <row r="85" spans="2:30" hidden="1" outlineLevel="1" x14ac:dyDescent="0.25">
      <c r="E85" s="221">
        <f>IFERROR(MATCH(F85,Comercializacion_Granos_Cuentas[Cuenta Contable],0),0)</f>
        <v>13</v>
      </c>
      <c r="F85" s="32" t="str">
        <f>Configuración!AC17</f>
        <v>Fletes Propios</v>
      </c>
      <c r="H85" s="103">
        <f>SUMPRODUCT(($C$67=Comercial_Agricola[Movimiento])*(Comercial_Agricola[Financiero $Corrientes])*($F85=Comercial_Agricola[Cuenta Contable])*(H$1=Comercial_Agricola[Mes Financiero])*(H$2=Comercial_Agricola[Año Financiero]))</f>
        <v>0</v>
      </c>
      <c r="I85" s="104">
        <f>SUMPRODUCT(($C$67=Comercial_Agricola[Movimiento])*(Comercial_Agricola[Financiero $Corrientes])*($F85=Comercial_Agricola[Cuenta Contable])*(I$1=Comercial_Agricola[Mes Financiero])*(I$2=Comercial_Agricola[Año Financiero]))</f>
        <v>0</v>
      </c>
      <c r="J85" s="103">
        <f>SUMPRODUCT(($C$67=Comercial_Agricola[Movimiento])*(Comercial_Agricola[Financiero $Corrientes])*($F85=Comercial_Agricola[Cuenta Contable])*(J$1=Comercial_Agricola[Mes Financiero])*(J$2=Comercial_Agricola[Año Financiero]))</f>
        <v>0</v>
      </c>
      <c r="K85" s="104">
        <f>SUMPRODUCT(($C$67=Comercial_Agricola[Movimiento])*(Comercial_Agricola[Financiero $Corrientes])*($F85=Comercial_Agricola[Cuenta Contable])*(K$1=Comercial_Agricola[Mes Financiero])*(K$2=Comercial_Agricola[Año Financiero]))</f>
        <v>0</v>
      </c>
      <c r="L85" s="103">
        <f>SUMPRODUCT(($C$67=Comercial_Agricola[Movimiento])*(Comercial_Agricola[Financiero $Corrientes])*($F85=Comercial_Agricola[Cuenta Contable])*(L$1=Comercial_Agricola[Mes Financiero])*(L$2=Comercial_Agricola[Año Financiero]))</f>
        <v>0</v>
      </c>
      <c r="M85" s="104">
        <f>SUMPRODUCT(($C$67=Comercial_Agricola[Movimiento])*(Comercial_Agricola[Financiero $Corrientes])*($F85=Comercial_Agricola[Cuenta Contable])*(M$1=Comercial_Agricola[Mes Financiero])*(M$2=Comercial_Agricola[Año Financiero]))</f>
        <v>0</v>
      </c>
      <c r="N85" s="103">
        <f>SUMPRODUCT(($C$67=Comercial_Agricola[Movimiento])*(Comercial_Agricola[Financiero $Corrientes])*($F85=Comercial_Agricola[Cuenta Contable])*(N$1=Comercial_Agricola[Mes Financiero])*(N$2=Comercial_Agricola[Año Financiero]))</f>
        <v>0</v>
      </c>
      <c r="O85" s="104">
        <f>SUMPRODUCT(($C$67=Comercial_Agricola[Movimiento])*(Comercial_Agricola[Financiero $Corrientes])*($F85=Comercial_Agricola[Cuenta Contable])*(O$1=Comercial_Agricola[Mes Financiero])*(O$2=Comercial_Agricola[Año Financiero]))</f>
        <v>0</v>
      </c>
      <c r="P85" s="103">
        <f>SUMPRODUCT(($C$67=Comercial_Agricola[Movimiento])*(Comercial_Agricola[Financiero $Corrientes])*($F85=Comercial_Agricola[Cuenta Contable])*(P$1=Comercial_Agricola[Mes Financiero])*(P$2=Comercial_Agricola[Año Financiero]))</f>
        <v>0</v>
      </c>
      <c r="Q85" s="104">
        <f>SUMPRODUCT(($C$67=Comercial_Agricola[Movimiento])*(Comercial_Agricola[Financiero $Corrientes])*($F85=Comercial_Agricola[Cuenta Contable])*(Q$1=Comercial_Agricola[Mes Financiero])*(Q$2=Comercial_Agricola[Año Financiero]))</f>
        <v>0</v>
      </c>
      <c r="R85" s="103">
        <f>SUMPRODUCT(($C$67=Comercial_Agricola[Movimiento])*(Comercial_Agricola[Financiero $Corrientes])*($F85=Comercial_Agricola[Cuenta Contable])*(R$1=Comercial_Agricola[Mes Financiero])*(R$2=Comercial_Agricola[Año Financiero]))</f>
        <v>0</v>
      </c>
      <c r="S85" s="104">
        <f>SUMPRODUCT(($C$67=Comercial_Agricola[Movimiento])*(Comercial_Agricola[Financiero $Corrientes])*($F85=Comercial_Agricola[Cuenta Contable])*(S$1=Comercial_Agricola[Mes Financiero])*(S$2=Comercial_Agricola[Año Financiero]))</f>
        <v>0</v>
      </c>
      <c r="T85" s="103">
        <f>SUMPRODUCT(($C$67=Comercial_Agricola[Movimiento])*(Comercial_Agricola[Financiero $Corrientes])*($F85=Comercial_Agricola[Cuenta Contable])*(T$1=Comercial_Agricola[Mes Financiero])*(T$2=Comercial_Agricola[Año Financiero]))</f>
        <v>0</v>
      </c>
      <c r="U85" s="104">
        <f>SUMPRODUCT(($C$67=Comercial_Agricola[Movimiento])*(Comercial_Agricola[Financiero $Corrientes])*($F85=Comercial_Agricola[Cuenta Contable])*(U$1=Comercial_Agricola[Mes Financiero])*(U$2=Comercial_Agricola[Año Financiero]))</f>
        <v>0</v>
      </c>
      <c r="V85" s="103">
        <f>SUMPRODUCT(($C$67=Comercial_Agricola[Movimiento])*(Comercial_Agricola[Financiero $Corrientes])*($F85=Comercial_Agricola[Cuenta Contable])*(V$1=Comercial_Agricola[Mes Financiero])*(V$2=Comercial_Agricola[Año Financiero]))</f>
        <v>0</v>
      </c>
      <c r="W85" s="104">
        <f>SUMPRODUCT(($C$67=Comercial_Agricola[Movimiento])*(Comercial_Agricola[Financiero $Corrientes])*($F85=Comercial_Agricola[Cuenta Contable])*(W$1=Comercial_Agricola[Mes Financiero])*(W$2=Comercial_Agricola[Año Financiero]))</f>
        <v>0</v>
      </c>
      <c r="X85" s="103">
        <f>SUMPRODUCT(($C$67=Comercial_Agricola[Movimiento])*(Comercial_Agricola[Financiero $Corrientes])*($F85=Comercial_Agricola[Cuenta Contable])*(X$1=Comercial_Agricola[Mes Financiero])*(X$2=Comercial_Agricola[Año Financiero]))</f>
        <v>0</v>
      </c>
      <c r="Y85" s="104">
        <f>SUMPRODUCT(($C$67=Comercial_Agricola[Movimiento])*(Comercial_Agricola[Financiero $Corrientes])*($F85=Comercial_Agricola[Cuenta Contable])*(Y$1=Comercial_Agricola[Mes Financiero])*(Y$2=Comercial_Agricola[Año Financiero]))</f>
        <v>0</v>
      </c>
      <c r="Z85" s="144">
        <f t="shared" si="20"/>
        <v>0</v>
      </c>
      <c r="AC85" s="174">
        <f>SUMPRODUCT((F85=Comercializacion_Granos_Cuentas[Cuenta Contable])*(Comercializacion_Granos_Cuentas[IVA Financiero]))</f>
        <v>0</v>
      </c>
      <c r="AD85" s="174">
        <f>SUMPRODUCT((G85=Comercializacion_Granos_Cuentas[Cuenta Contable])*(Comercializacion_Granos_Cuentas[IVA Financiero]))</f>
        <v>0</v>
      </c>
    </row>
    <row r="86" spans="2:30" hidden="1" outlineLevel="1" x14ac:dyDescent="0.25">
      <c r="B86" s="166" t="s">
        <v>101</v>
      </c>
      <c r="E86" s="221">
        <f>IFERROR(MATCH(F86,Comercializacion_Granos_Cuentas[Cuenta Contable],0),0)</f>
        <v>0</v>
      </c>
      <c r="F86" s="32">
        <f>Configuración!AC18</f>
        <v>0</v>
      </c>
      <c r="H86" s="103">
        <f>SUMPRODUCT(($C$67=Comercial_Agricola[Movimiento])*(Comercial_Agricola[Financiero $Corrientes])*($F86=Comercial_Agricola[Cuenta Contable])*(H$1=Comercial_Agricola[Mes Financiero])*(H$2=Comercial_Agricola[Año Financiero]))</f>
        <v>0</v>
      </c>
      <c r="I86" s="104">
        <f>SUMPRODUCT(($C$67=Comercial_Agricola[Movimiento])*(Comercial_Agricola[Financiero $Corrientes])*($F86=Comercial_Agricola[Cuenta Contable])*(I$1=Comercial_Agricola[Mes Financiero])*(I$2=Comercial_Agricola[Año Financiero]))</f>
        <v>0</v>
      </c>
      <c r="J86" s="103">
        <f>SUMPRODUCT(($C$67=Comercial_Agricola[Movimiento])*(Comercial_Agricola[Financiero $Corrientes])*($F86=Comercial_Agricola[Cuenta Contable])*(J$1=Comercial_Agricola[Mes Financiero])*(J$2=Comercial_Agricola[Año Financiero]))</f>
        <v>0</v>
      </c>
      <c r="K86" s="104">
        <f>SUMPRODUCT(($C$67=Comercial_Agricola[Movimiento])*(Comercial_Agricola[Financiero $Corrientes])*($F86=Comercial_Agricola[Cuenta Contable])*(K$1=Comercial_Agricola[Mes Financiero])*(K$2=Comercial_Agricola[Año Financiero]))</f>
        <v>0</v>
      </c>
      <c r="L86" s="103">
        <f>SUMPRODUCT(($C$67=Comercial_Agricola[Movimiento])*(Comercial_Agricola[Financiero $Corrientes])*($F86=Comercial_Agricola[Cuenta Contable])*(L$1=Comercial_Agricola[Mes Financiero])*(L$2=Comercial_Agricola[Año Financiero]))</f>
        <v>0</v>
      </c>
      <c r="M86" s="104">
        <f>SUMPRODUCT(($C$67=Comercial_Agricola[Movimiento])*(Comercial_Agricola[Financiero $Corrientes])*($F86=Comercial_Agricola[Cuenta Contable])*(M$1=Comercial_Agricola[Mes Financiero])*(M$2=Comercial_Agricola[Año Financiero]))</f>
        <v>0</v>
      </c>
      <c r="N86" s="103">
        <f>SUMPRODUCT(($C$67=Comercial_Agricola[Movimiento])*(Comercial_Agricola[Financiero $Corrientes])*($F86=Comercial_Agricola[Cuenta Contable])*(N$1=Comercial_Agricola[Mes Financiero])*(N$2=Comercial_Agricola[Año Financiero]))</f>
        <v>0</v>
      </c>
      <c r="O86" s="104">
        <f>SUMPRODUCT(($C$67=Comercial_Agricola[Movimiento])*(Comercial_Agricola[Financiero $Corrientes])*($F86=Comercial_Agricola[Cuenta Contable])*(O$1=Comercial_Agricola[Mes Financiero])*(O$2=Comercial_Agricola[Año Financiero]))</f>
        <v>0</v>
      </c>
      <c r="P86" s="103">
        <f>SUMPRODUCT(($C$67=Comercial_Agricola[Movimiento])*(Comercial_Agricola[Financiero $Corrientes])*($F86=Comercial_Agricola[Cuenta Contable])*(P$1=Comercial_Agricola[Mes Financiero])*(P$2=Comercial_Agricola[Año Financiero]))</f>
        <v>0</v>
      </c>
      <c r="Q86" s="104">
        <f>SUMPRODUCT(($C$67=Comercial_Agricola[Movimiento])*(Comercial_Agricola[Financiero $Corrientes])*($F86=Comercial_Agricola[Cuenta Contable])*(Q$1=Comercial_Agricola[Mes Financiero])*(Q$2=Comercial_Agricola[Año Financiero]))</f>
        <v>0</v>
      </c>
      <c r="R86" s="103">
        <f>SUMPRODUCT(($C$67=Comercial_Agricola[Movimiento])*(Comercial_Agricola[Financiero $Corrientes])*($F86=Comercial_Agricola[Cuenta Contable])*(R$1=Comercial_Agricola[Mes Financiero])*(R$2=Comercial_Agricola[Año Financiero]))</f>
        <v>0</v>
      </c>
      <c r="S86" s="104">
        <f>SUMPRODUCT(($C$67=Comercial_Agricola[Movimiento])*(Comercial_Agricola[Financiero $Corrientes])*($F86=Comercial_Agricola[Cuenta Contable])*(S$1=Comercial_Agricola[Mes Financiero])*(S$2=Comercial_Agricola[Año Financiero]))</f>
        <v>0</v>
      </c>
      <c r="T86" s="103">
        <f>SUMPRODUCT(($C$67=Comercial_Agricola[Movimiento])*(Comercial_Agricola[Financiero $Corrientes])*($F86=Comercial_Agricola[Cuenta Contable])*(T$1=Comercial_Agricola[Mes Financiero])*(T$2=Comercial_Agricola[Año Financiero]))</f>
        <v>0</v>
      </c>
      <c r="U86" s="104">
        <f>SUMPRODUCT(($C$67=Comercial_Agricola[Movimiento])*(Comercial_Agricola[Financiero $Corrientes])*($F86=Comercial_Agricola[Cuenta Contable])*(U$1=Comercial_Agricola[Mes Financiero])*(U$2=Comercial_Agricola[Año Financiero]))</f>
        <v>0</v>
      </c>
      <c r="V86" s="103">
        <f>SUMPRODUCT(($C$67=Comercial_Agricola[Movimiento])*(Comercial_Agricola[Financiero $Corrientes])*($F86=Comercial_Agricola[Cuenta Contable])*(V$1=Comercial_Agricola[Mes Financiero])*(V$2=Comercial_Agricola[Año Financiero]))</f>
        <v>0</v>
      </c>
      <c r="W86" s="104">
        <f>SUMPRODUCT(($C$67=Comercial_Agricola[Movimiento])*(Comercial_Agricola[Financiero $Corrientes])*($F86=Comercial_Agricola[Cuenta Contable])*(W$1=Comercial_Agricola[Mes Financiero])*(W$2=Comercial_Agricola[Año Financiero]))</f>
        <v>0</v>
      </c>
      <c r="X86" s="103">
        <f>SUMPRODUCT(($C$67=Comercial_Agricola[Movimiento])*(Comercial_Agricola[Financiero $Corrientes])*($F86=Comercial_Agricola[Cuenta Contable])*(X$1=Comercial_Agricola[Mes Financiero])*(X$2=Comercial_Agricola[Año Financiero]))</f>
        <v>0</v>
      </c>
      <c r="Y86" s="104">
        <f>SUMPRODUCT(($C$67=Comercial_Agricola[Movimiento])*(Comercial_Agricola[Financiero $Corrientes])*($F86=Comercial_Agricola[Cuenta Contable])*(Y$1=Comercial_Agricola[Mes Financiero])*(Y$2=Comercial_Agricola[Año Financiero]))</f>
        <v>0</v>
      </c>
      <c r="Z86" s="144">
        <f t="shared" si="20"/>
        <v>0</v>
      </c>
      <c r="AC86" s="174">
        <f>SUMPRODUCT((F86=Comercializacion_Granos_Cuentas[Cuenta Contable])*(Comercializacion_Granos_Cuentas[IVA Financiero]))</f>
        <v>0</v>
      </c>
      <c r="AD86" s="174">
        <f>SUMPRODUCT((G86=Comercializacion_Granos_Cuentas[Cuenta Contable])*(Comercializacion_Granos_Cuentas[IVA Financiero]))</f>
        <v>0</v>
      </c>
    </row>
    <row r="87" spans="2:30" hidden="1" outlineLevel="1" x14ac:dyDescent="0.25">
      <c r="E87" s="222">
        <f>IFERROR(MATCH(F87,Comercializacion_Granos_Cuentas[Cuenta Contable],0),0)</f>
        <v>0</v>
      </c>
      <c r="F87" s="219" t="s">
        <v>233</v>
      </c>
      <c r="G87" s="94"/>
      <c r="H87" s="105">
        <f>SUMPRODUCT(($C$67=Comercial_Agricola[Movimiento])*(Comercial_Agricola[Financiero $Corrientes])*(H$1=Comercial_Agricola[Mes Financiero])*(H$2=Comercial_Agricola[Año Financiero]))-SUM(H78:H86)</f>
        <v>0</v>
      </c>
      <c r="I87" s="106">
        <f>SUMPRODUCT(($C$67=Comercial_Agricola[Movimiento])*(Comercial_Agricola[Financiero $Corrientes])*(I$1=Comercial_Agricola[Mes Financiero])*(I$2=Comercial_Agricola[Año Financiero]))-SUM(I78:I86)</f>
        <v>0</v>
      </c>
      <c r="J87" s="105">
        <f>SUMPRODUCT(($C$67=Comercial_Agricola[Movimiento])*(Comercial_Agricola[Financiero $Corrientes])*(J$1=Comercial_Agricola[Mes Financiero])*(J$2=Comercial_Agricola[Año Financiero]))-SUM(J78:J86)</f>
        <v>0</v>
      </c>
      <c r="K87" s="106">
        <f>SUMPRODUCT(($C$67=Comercial_Agricola[Movimiento])*(Comercial_Agricola[Financiero $Corrientes])*(K$1=Comercial_Agricola[Mes Financiero])*(K$2=Comercial_Agricola[Año Financiero]))-SUM(K78:K86)</f>
        <v>0</v>
      </c>
      <c r="L87" s="105">
        <f>SUMPRODUCT(($C$67=Comercial_Agricola[Movimiento])*(Comercial_Agricola[Financiero $Corrientes])*(L$1=Comercial_Agricola[Mes Financiero])*(L$2=Comercial_Agricola[Año Financiero]))-SUM(L78:L86)</f>
        <v>0</v>
      </c>
      <c r="M87" s="106">
        <f>SUMPRODUCT(($C$67=Comercial_Agricola[Movimiento])*(Comercial_Agricola[Financiero $Corrientes])*(M$1=Comercial_Agricola[Mes Financiero])*(M$2=Comercial_Agricola[Año Financiero]))-SUM(M78:M86)</f>
        <v>0</v>
      </c>
      <c r="N87" s="105">
        <f>SUMPRODUCT(($C$67=Comercial_Agricola[Movimiento])*(Comercial_Agricola[Financiero $Corrientes])*(N$1=Comercial_Agricola[Mes Financiero])*(N$2=Comercial_Agricola[Año Financiero]))-SUM(N78:N86)</f>
        <v>0</v>
      </c>
      <c r="O87" s="106">
        <f>SUMPRODUCT(($C$67=Comercial_Agricola[Movimiento])*(Comercial_Agricola[Financiero $Corrientes])*(O$1=Comercial_Agricola[Mes Financiero])*(O$2=Comercial_Agricola[Año Financiero]))-SUM(O78:O86)</f>
        <v>0</v>
      </c>
      <c r="P87" s="105">
        <f>SUMPRODUCT(($C$67=Comercial_Agricola[Movimiento])*(Comercial_Agricola[Financiero $Corrientes])*(P$1=Comercial_Agricola[Mes Financiero])*(P$2=Comercial_Agricola[Año Financiero]))-SUM(P78:P86)</f>
        <v>0</v>
      </c>
      <c r="Q87" s="106">
        <f>SUMPRODUCT(($C$67=Comercial_Agricola[Movimiento])*(Comercial_Agricola[Financiero $Corrientes])*(Q$1=Comercial_Agricola[Mes Financiero])*(Q$2=Comercial_Agricola[Año Financiero]))-SUM(Q78:Q86)</f>
        <v>0</v>
      </c>
      <c r="R87" s="105">
        <f>SUMPRODUCT(($C$67=Comercial_Agricola[Movimiento])*(Comercial_Agricola[Financiero $Corrientes])*(R$1=Comercial_Agricola[Mes Financiero])*(R$2=Comercial_Agricola[Año Financiero]))-SUM(R78:R86)</f>
        <v>0</v>
      </c>
      <c r="S87" s="106">
        <f>SUMPRODUCT(($C$67=Comercial_Agricola[Movimiento])*(Comercial_Agricola[Financiero $Corrientes])*(S$1=Comercial_Agricola[Mes Financiero])*(S$2=Comercial_Agricola[Año Financiero]))-SUM(S78:S86)</f>
        <v>0</v>
      </c>
      <c r="T87" s="105">
        <f>SUMPRODUCT(($C$67=Comercial_Agricola[Movimiento])*(Comercial_Agricola[Financiero $Corrientes])*(T$1=Comercial_Agricola[Mes Financiero])*(T$2=Comercial_Agricola[Año Financiero]))-SUM(T78:T86)</f>
        <v>0</v>
      </c>
      <c r="U87" s="106">
        <f>SUMPRODUCT(($C$67=Comercial_Agricola[Movimiento])*(Comercial_Agricola[Financiero $Corrientes])*(U$1=Comercial_Agricola[Mes Financiero])*(U$2=Comercial_Agricola[Año Financiero]))-SUM(U78:U86)</f>
        <v>0</v>
      </c>
      <c r="V87" s="105">
        <f>SUMPRODUCT(($C$67=Comercial_Agricola[Movimiento])*(Comercial_Agricola[Financiero $Corrientes])*(V$1=Comercial_Agricola[Mes Financiero])*(V$2=Comercial_Agricola[Año Financiero]))-SUM(V78:V86)</f>
        <v>0</v>
      </c>
      <c r="W87" s="106">
        <f>SUMPRODUCT(($C$67=Comercial_Agricola[Movimiento])*(Comercial_Agricola[Financiero $Corrientes])*(W$1=Comercial_Agricola[Mes Financiero])*(W$2=Comercial_Agricola[Año Financiero]))-SUM(W78:W86)</f>
        <v>0</v>
      </c>
      <c r="X87" s="105">
        <f>SUMPRODUCT(($C$67=Comercial_Agricola[Movimiento])*(Comercial_Agricola[Financiero $Corrientes])*(X$1=Comercial_Agricola[Mes Financiero])*(X$2=Comercial_Agricola[Año Financiero]))-SUM(X78:X86)</f>
        <v>0</v>
      </c>
      <c r="Y87" s="106">
        <f>SUMPRODUCT(($C$67=Comercial_Agricola[Movimiento])*(Comercial_Agricola[Financiero $Corrientes])*(Y$1=Comercial_Agricola[Mes Financiero])*(Y$2=Comercial_Agricola[Año Financiero]))-SUM(Y78:Y86)</f>
        <v>0</v>
      </c>
      <c r="Z87" s="163">
        <f t="shared" si="20"/>
        <v>0</v>
      </c>
      <c r="AC87" s="174">
        <f>SUMPRODUCT((F87=Comercializacion_Granos_Cuentas[Cuenta Contable])*(Comercializacion_Granos_Cuentas[IVA Financiero]))</f>
        <v>0</v>
      </c>
      <c r="AD87" s="174">
        <f>SUMPRODUCT((G87=Comercializacion_Granos_Cuentas[Cuenta Contable])*(Comercializacion_Granos_Cuentas[IVA Financiero]))</f>
        <v>0</v>
      </c>
    </row>
    <row r="88" spans="2:30" collapsed="1" x14ac:dyDescent="0.25">
      <c r="C88" s="210" t="s">
        <v>38</v>
      </c>
      <c r="D88" s="381" t="s">
        <v>103</v>
      </c>
      <c r="F88" s="135" t="s">
        <v>217</v>
      </c>
      <c r="G88" s="19"/>
      <c r="H88" s="112">
        <f>SUMPRODUCT(($C$88=Producción_Agricola[Movimiento])*(Producción_Agricola[Financiero $Corrientes])*(H$1=Producción_Agricola[Mes Financiero])*(H$2=Producción_Agricola[Año Financiero]))</f>
        <v>0</v>
      </c>
      <c r="I88" s="113">
        <f>SUMPRODUCT(($C$88=Producción_Agricola[Movimiento])*(Producción_Agricola[Financiero $Corrientes])*(I$1=Producción_Agricola[Mes Financiero])*(I$2=Producción_Agricola[Año Financiero]))</f>
        <v>0</v>
      </c>
      <c r="J88" s="112">
        <f>SUMPRODUCT(($C$88=Producción_Agricola[Movimiento])*(Producción_Agricola[Financiero $Corrientes])*(J$1=Producción_Agricola[Mes Financiero])*(J$2=Producción_Agricola[Año Financiero]))</f>
        <v>0</v>
      </c>
      <c r="K88" s="113">
        <f>SUMPRODUCT(($C$88=Producción_Agricola[Movimiento])*(Producción_Agricola[Financiero $Corrientes])*(K$1=Producción_Agricola[Mes Financiero])*(K$2=Producción_Agricola[Año Financiero]))</f>
        <v>0</v>
      </c>
      <c r="L88" s="112">
        <f>SUMPRODUCT(($C$88=Producción_Agricola[Movimiento])*(Producción_Agricola[Financiero $Corrientes])*(L$1=Producción_Agricola[Mes Financiero])*(L$2=Producción_Agricola[Año Financiero]))</f>
        <v>0</v>
      </c>
      <c r="M88" s="113">
        <f>SUMPRODUCT(($C$88=Producción_Agricola[Movimiento])*(Producción_Agricola[Financiero $Corrientes])*(M$1=Producción_Agricola[Mes Financiero])*(M$2=Producción_Agricola[Año Financiero]))</f>
        <v>0</v>
      </c>
      <c r="N88" s="112">
        <f>SUMPRODUCT(($C$88=Producción_Agricola[Movimiento])*(Producción_Agricola[Financiero $Corrientes])*(N$1=Producción_Agricola[Mes Financiero])*(N$2=Producción_Agricola[Año Financiero]))</f>
        <v>0</v>
      </c>
      <c r="O88" s="113">
        <f>SUMPRODUCT(($C$88=Producción_Agricola[Movimiento])*(Producción_Agricola[Financiero $Corrientes])*(O$1=Producción_Agricola[Mes Financiero])*(O$2=Producción_Agricola[Año Financiero]))</f>
        <v>0</v>
      </c>
      <c r="P88" s="112">
        <f>SUMPRODUCT(($C$88=Producción_Agricola[Movimiento])*(Producción_Agricola[Financiero $Corrientes])*(P$1=Producción_Agricola[Mes Financiero])*(P$2=Producción_Agricola[Año Financiero]))</f>
        <v>0</v>
      </c>
      <c r="Q88" s="113">
        <f>SUMPRODUCT(($C$88=Producción_Agricola[Movimiento])*(Producción_Agricola[Financiero $Corrientes])*(Q$1=Producción_Agricola[Mes Financiero])*(Q$2=Producción_Agricola[Año Financiero]))</f>
        <v>0</v>
      </c>
      <c r="R88" s="112">
        <f>SUMPRODUCT(($C$88=Producción_Agricola[Movimiento])*(Producción_Agricola[Financiero $Corrientes])*(R$1=Producción_Agricola[Mes Financiero])*(R$2=Producción_Agricola[Año Financiero]))</f>
        <v>0</v>
      </c>
      <c r="S88" s="113">
        <f>SUMPRODUCT(($C$88=Producción_Agricola[Movimiento])*(Producción_Agricola[Financiero $Corrientes])*(S$1=Producción_Agricola[Mes Financiero])*(S$2=Producción_Agricola[Año Financiero]))</f>
        <v>0</v>
      </c>
      <c r="T88" s="112">
        <f>SUMPRODUCT(($C$88=Producción_Agricola[Movimiento])*(Producción_Agricola[Financiero $Corrientes])*(T$1=Producción_Agricola[Mes Financiero])*(T$2=Producción_Agricola[Año Financiero]))</f>
        <v>0</v>
      </c>
      <c r="U88" s="113">
        <f>SUMPRODUCT(($C$88=Producción_Agricola[Movimiento])*(Producción_Agricola[Financiero $Corrientes])*(U$1=Producción_Agricola[Mes Financiero])*(U$2=Producción_Agricola[Año Financiero]))</f>
        <v>0</v>
      </c>
      <c r="V88" s="112">
        <f>SUMPRODUCT(($C$88=Producción_Agricola[Movimiento])*(Producción_Agricola[Financiero $Corrientes])*(V$1=Producción_Agricola[Mes Financiero])*(V$2=Producción_Agricola[Año Financiero]))</f>
        <v>0</v>
      </c>
      <c r="W88" s="113">
        <f>SUMPRODUCT(($C$88=Producción_Agricola[Movimiento])*(Producción_Agricola[Financiero $Corrientes])*(W$1=Producción_Agricola[Mes Financiero])*(W$2=Producción_Agricola[Año Financiero]))</f>
        <v>0</v>
      </c>
      <c r="X88" s="112">
        <f>SUMPRODUCT(($C$88=Producción_Agricola[Movimiento])*(Producción_Agricola[Financiero $Corrientes])*(X$1=Producción_Agricola[Mes Financiero])*(X$2=Producción_Agricola[Año Financiero]))</f>
        <v>0</v>
      </c>
      <c r="Y88" s="113">
        <f>SUMPRODUCT(($C$88=Producción_Agricola[Movimiento])*(Producción_Agricola[Financiero $Corrientes])*(Y$1=Producción_Agricola[Mes Financiero])*(Y$2=Producción_Agricola[Año Financiero]))</f>
        <v>0</v>
      </c>
      <c r="Z88" s="139">
        <f>SUM(H88:Y88)</f>
        <v>0</v>
      </c>
    </row>
    <row r="89" spans="2:30" hidden="1" outlineLevel="2" x14ac:dyDescent="0.25">
      <c r="E89" s="135"/>
      <c r="F89" s="215">
        <f>IFERROR(MATCH('Financiero $'!G89,Tabla8[Unidades de Negocio],0),0)</f>
        <v>1</v>
      </c>
      <c r="G89" s="225" t="str">
        <f>Configuración!U5</f>
        <v>Maíz Temprano</v>
      </c>
      <c r="H89" s="389">
        <f>SUMPRODUCT(($C$88=Producción_Agricola[Movimiento])*(Producción_Agricola[Financiero $Corrientes])*($G89=Producción_Agricola[Unidad de Negocio])*(H$1=Producción_Agricola[Mes Financiero])*(H$2=Producción_Agricola[Año Financiero]))</f>
        <v>0</v>
      </c>
      <c r="I89" s="390">
        <f>SUMPRODUCT(($C$88=Producción_Agricola[Movimiento])*(Producción_Agricola[Financiero $Corrientes])*($G89=Producción_Agricola[Unidad de Negocio])*(I$1=Producción_Agricola[Mes Financiero])*(I$2=Producción_Agricola[Año Financiero]))</f>
        <v>0</v>
      </c>
      <c r="J89" s="391">
        <f>SUMPRODUCT(($C$88=Producción_Agricola[Movimiento])*(Producción_Agricola[Financiero $Corrientes])*($G89=Producción_Agricola[Unidad de Negocio])*(J$1=Producción_Agricola[Mes Financiero])*(J$2=Producción_Agricola[Año Financiero]))</f>
        <v>0</v>
      </c>
      <c r="K89" s="390">
        <f>SUMPRODUCT(($C$88=Producción_Agricola[Movimiento])*(Producción_Agricola[Financiero $Corrientes])*($G89=Producción_Agricola[Unidad de Negocio])*(K$1=Producción_Agricola[Mes Financiero])*(K$2=Producción_Agricola[Año Financiero]))</f>
        <v>0</v>
      </c>
      <c r="L89" s="391">
        <f>SUMPRODUCT(($C$88=Producción_Agricola[Movimiento])*(Producción_Agricola[Financiero $Corrientes])*($G89=Producción_Agricola[Unidad de Negocio])*(L$1=Producción_Agricola[Mes Financiero])*(L$2=Producción_Agricola[Año Financiero]))</f>
        <v>0</v>
      </c>
      <c r="M89" s="390">
        <f>SUMPRODUCT(($C$88=Producción_Agricola[Movimiento])*(Producción_Agricola[Financiero $Corrientes])*($G89=Producción_Agricola[Unidad de Negocio])*(M$1=Producción_Agricola[Mes Financiero])*(M$2=Producción_Agricola[Año Financiero]))</f>
        <v>0</v>
      </c>
      <c r="N89" s="391">
        <f>SUMPRODUCT(($C$88=Producción_Agricola[Movimiento])*(Producción_Agricola[Financiero $Corrientes])*($G89=Producción_Agricola[Unidad de Negocio])*(N$1=Producción_Agricola[Mes Financiero])*(N$2=Producción_Agricola[Año Financiero]))</f>
        <v>0</v>
      </c>
      <c r="O89" s="390">
        <f>SUMPRODUCT(($C$88=Producción_Agricola[Movimiento])*(Producción_Agricola[Financiero $Corrientes])*($G89=Producción_Agricola[Unidad de Negocio])*(O$1=Producción_Agricola[Mes Financiero])*(O$2=Producción_Agricola[Año Financiero]))</f>
        <v>0</v>
      </c>
      <c r="P89" s="391">
        <f>SUMPRODUCT(($C$88=Producción_Agricola[Movimiento])*(Producción_Agricola[Financiero $Corrientes])*($G89=Producción_Agricola[Unidad de Negocio])*(P$1=Producción_Agricola[Mes Financiero])*(P$2=Producción_Agricola[Año Financiero]))</f>
        <v>0</v>
      </c>
      <c r="Q89" s="390">
        <f>SUMPRODUCT(($C$88=Producción_Agricola[Movimiento])*(Producción_Agricola[Financiero $Corrientes])*($G89=Producción_Agricola[Unidad de Negocio])*(Q$1=Producción_Agricola[Mes Financiero])*(Q$2=Producción_Agricola[Año Financiero]))</f>
        <v>0</v>
      </c>
      <c r="R89" s="391">
        <f>SUMPRODUCT(($C$88=Producción_Agricola[Movimiento])*(Producción_Agricola[Financiero $Corrientes])*($G89=Producción_Agricola[Unidad de Negocio])*(R$1=Producción_Agricola[Mes Financiero])*(R$2=Producción_Agricola[Año Financiero]))</f>
        <v>0</v>
      </c>
      <c r="S89" s="390">
        <f>SUMPRODUCT(($C$88=Producción_Agricola[Movimiento])*(Producción_Agricola[Financiero $Corrientes])*($G89=Producción_Agricola[Unidad de Negocio])*(S$1=Producción_Agricola[Mes Financiero])*(S$2=Producción_Agricola[Año Financiero]))</f>
        <v>0</v>
      </c>
      <c r="T89" s="391">
        <f>SUMPRODUCT(($C$88=Producción_Agricola[Movimiento])*(Producción_Agricola[Financiero $Corrientes])*($G89=Producción_Agricola[Unidad de Negocio])*(T$1=Producción_Agricola[Mes Financiero])*(T$2=Producción_Agricola[Año Financiero]))</f>
        <v>0</v>
      </c>
      <c r="U89" s="390">
        <f>SUMPRODUCT(($C$88=Producción_Agricola[Movimiento])*(Producción_Agricola[Financiero $Corrientes])*($G89=Producción_Agricola[Unidad de Negocio])*(U$1=Producción_Agricola[Mes Financiero])*(U$2=Producción_Agricola[Año Financiero]))</f>
        <v>0</v>
      </c>
      <c r="V89" s="391">
        <f>SUMPRODUCT(($C$88=Producción_Agricola[Movimiento])*(Producción_Agricola[Financiero $Corrientes])*($G89=Producción_Agricola[Unidad de Negocio])*(V$1=Producción_Agricola[Mes Financiero])*(V$2=Producción_Agricola[Año Financiero]))</f>
        <v>0</v>
      </c>
      <c r="W89" s="390">
        <f>SUMPRODUCT(($C$88=Producción_Agricola[Movimiento])*(Producción_Agricola[Financiero $Corrientes])*($G89=Producción_Agricola[Unidad de Negocio])*(W$1=Producción_Agricola[Mes Financiero])*(W$2=Producción_Agricola[Año Financiero]))</f>
        <v>0</v>
      </c>
      <c r="X89" s="391">
        <f>SUMPRODUCT(($C$88=Producción_Agricola[Movimiento])*(Producción_Agricola[Financiero $Corrientes])*($G89=Producción_Agricola[Unidad de Negocio])*(X$1=Producción_Agricola[Mes Financiero])*(X$2=Producción_Agricola[Año Financiero]))</f>
        <v>0</v>
      </c>
      <c r="Y89" s="390">
        <f>SUMPRODUCT(($C$88=Producción_Agricola[Movimiento])*(Producción_Agricola[Financiero $Corrientes])*($G89=Producción_Agricola[Unidad de Negocio])*(Y$1=Producción_Agricola[Mes Financiero])*(Y$2=Producción_Agricola[Año Financiero]))</f>
        <v>0</v>
      </c>
      <c r="Z89" s="392"/>
    </row>
    <row r="90" spans="2:30" hidden="1" outlineLevel="2" x14ac:dyDescent="0.25">
      <c r="E90" s="135"/>
      <c r="F90" s="215">
        <f>IFERROR(MATCH('Financiero $'!G90,Tabla8[Unidades de Negocio],0),0)</f>
        <v>2</v>
      </c>
      <c r="G90" s="225" t="str">
        <f>Configuración!U6</f>
        <v>Maíz Tardío</v>
      </c>
      <c r="H90" s="391">
        <f>SUMPRODUCT(($C$88=Producción_Agricola[Movimiento])*(Producción_Agricola[Financiero $Corrientes])*($G90=Producción_Agricola[Unidad de Negocio])*(H$1=Producción_Agricola[Mes Financiero])*(H$2=Producción_Agricola[Año Financiero]))</f>
        <v>0</v>
      </c>
      <c r="I90" s="390">
        <f>SUMPRODUCT(($C$88=Producción_Agricola[Movimiento])*(Producción_Agricola[Financiero $Corrientes])*($G90=Producción_Agricola[Unidad de Negocio])*(I$1=Producción_Agricola[Mes Financiero])*(I$2=Producción_Agricola[Año Financiero]))</f>
        <v>0</v>
      </c>
      <c r="J90" s="391">
        <f>SUMPRODUCT(($C$88=Producción_Agricola[Movimiento])*(Producción_Agricola[Financiero $Corrientes])*($G90=Producción_Agricola[Unidad de Negocio])*(J$1=Producción_Agricola[Mes Financiero])*(J$2=Producción_Agricola[Año Financiero]))</f>
        <v>0</v>
      </c>
      <c r="K90" s="390">
        <f>SUMPRODUCT(($C$88=Producción_Agricola[Movimiento])*(Producción_Agricola[Financiero $Corrientes])*($G90=Producción_Agricola[Unidad de Negocio])*(K$1=Producción_Agricola[Mes Financiero])*(K$2=Producción_Agricola[Año Financiero]))</f>
        <v>0</v>
      </c>
      <c r="L90" s="391">
        <f>SUMPRODUCT(($C$88=Producción_Agricola[Movimiento])*(Producción_Agricola[Financiero $Corrientes])*($G90=Producción_Agricola[Unidad de Negocio])*(L$1=Producción_Agricola[Mes Financiero])*(L$2=Producción_Agricola[Año Financiero]))</f>
        <v>0</v>
      </c>
      <c r="M90" s="390">
        <f>SUMPRODUCT(($C$88=Producción_Agricola[Movimiento])*(Producción_Agricola[Financiero $Corrientes])*($G90=Producción_Agricola[Unidad de Negocio])*(M$1=Producción_Agricola[Mes Financiero])*(M$2=Producción_Agricola[Año Financiero]))</f>
        <v>0</v>
      </c>
      <c r="N90" s="391">
        <f>SUMPRODUCT(($C$88=Producción_Agricola[Movimiento])*(Producción_Agricola[Financiero $Corrientes])*($G90=Producción_Agricola[Unidad de Negocio])*(N$1=Producción_Agricola[Mes Financiero])*(N$2=Producción_Agricola[Año Financiero]))</f>
        <v>0</v>
      </c>
      <c r="O90" s="390">
        <f>SUMPRODUCT(($C$88=Producción_Agricola[Movimiento])*(Producción_Agricola[Financiero $Corrientes])*($G90=Producción_Agricola[Unidad de Negocio])*(O$1=Producción_Agricola[Mes Financiero])*(O$2=Producción_Agricola[Año Financiero]))</f>
        <v>0</v>
      </c>
      <c r="P90" s="391">
        <f>SUMPRODUCT(($C$88=Producción_Agricola[Movimiento])*(Producción_Agricola[Financiero $Corrientes])*($G90=Producción_Agricola[Unidad de Negocio])*(P$1=Producción_Agricola[Mes Financiero])*(P$2=Producción_Agricola[Año Financiero]))</f>
        <v>0</v>
      </c>
      <c r="Q90" s="390">
        <f>SUMPRODUCT(($C$88=Producción_Agricola[Movimiento])*(Producción_Agricola[Financiero $Corrientes])*($G90=Producción_Agricola[Unidad de Negocio])*(Q$1=Producción_Agricola[Mes Financiero])*(Q$2=Producción_Agricola[Año Financiero]))</f>
        <v>0</v>
      </c>
      <c r="R90" s="391">
        <f>SUMPRODUCT(($C$88=Producción_Agricola[Movimiento])*(Producción_Agricola[Financiero $Corrientes])*($G90=Producción_Agricola[Unidad de Negocio])*(R$1=Producción_Agricola[Mes Financiero])*(R$2=Producción_Agricola[Año Financiero]))</f>
        <v>0</v>
      </c>
      <c r="S90" s="390">
        <f>SUMPRODUCT(($C$88=Producción_Agricola[Movimiento])*(Producción_Agricola[Financiero $Corrientes])*($G90=Producción_Agricola[Unidad de Negocio])*(S$1=Producción_Agricola[Mes Financiero])*(S$2=Producción_Agricola[Año Financiero]))</f>
        <v>0</v>
      </c>
      <c r="T90" s="391">
        <f>SUMPRODUCT(($C$88=Producción_Agricola[Movimiento])*(Producción_Agricola[Financiero $Corrientes])*($G90=Producción_Agricola[Unidad de Negocio])*(T$1=Producción_Agricola[Mes Financiero])*(T$2=Producción_Agricola[Año Financiero]))</f>
        <v>0</v>
      </c>
      <c r="U90" s="390">
        <f>SUMPRODUCT(($C$88=Producción_Agricola[Movimiento])*(Producción_Agricola[Financiero $Corrientes])*($G90=Producción_Agricola[Unidad de Negocio])*(U$1=Producción_Agricola[Mes Financiero])*(U$2=Producción_Agricola[Año Financiero]))</f>
        <v>0</v>
      </c>
      <c r="V90" s="391">
        <f>SUMPRODUCT(($C$88=Producción_Agricola[Movimiento])*(Producción_Agricola[Financiero $Corrientes])*($G90=Producción_Agricola[Unidad de Negocio])*(V$1=Producción_Agricola[Mes Financiero])*(V$2=Producción_Agricola[Año Financiero]))</f>
        <v>0</v>
      </c>
      <c r="W90" s="390">
        <f>SUMPRODUCT(($C$88=Producción_Agricola[Movimiento])*(Producción_Agricola[Financiero $Corrientes])*($G90=Producción_Agricola[Unidad de Negocio])*(W$1=Producción_Agricola[Mes Financiero])*(W$2=Producción_Agricola[Año Financiero]))</f>
        <v>0</v>
      </c>
      <c r="X90" s="391">
        <f>SUMPRODUCT(($C$88=Producción_Agricola[Movimiento])*(Producción_Agricola[Financiero $Corrientes])*($G90=Producción_Agricola[Unidad de Negocio])*(X$1=Producción_Agricola[Mes Financiero])*(X$2=Producción_Agricola[Año Financiero]))</f>
        <v>0</v>
      </c>
      <c r="Y90" s="390">
        <f>SUMPRODUCT(($C$88=Producción_Agricola[Movimiento])*(Producción_Agricola[Financiero $Corrientes])*($G90=Producción_Agricola[Unidad de Negocio])*(Y$1=Producción_Agricola[Mes Financiero])*(Y$2=Producción_Agricola[Año Financiero]))</f>
        <v>0</v>
      </c>
      <c r="Z90" s="392"/>
    </row>
    <row r="91" spans="2:30" hidden="1" outlineLevel="2" x14ac:dyDescent="0.25">
      <c r="E91" s="135"/>
      <c r="F91" s="215">
        <f>IFERROR(MATCH('Financiero $'!G91,Tabla8[Unidades de Negocio],0),0)</f>
        <v>3</v>
      </c>
      <c r="G91" s="225" t="str">
        <f>Configuración!U7</f>
        <v>Maíz de Segunda</v>
      </c>
      <c r="H91" s="391">
        <f>SUMPRODUCT(($C$88=Producción_Agricola[Movimiento])*(Producción_Agricola[Financiero $Corrientes])*($G91=Producción_Agricola[Unidad de Negocio])*(H$1=Producción_Agricola[Mes Financiero])*(H$2=Producción_Agricola[Año Financiero]))</f>
        <v>0</v>
      </c>
      <c r="I91" s="390">
        <f>SUMPRODUCT(($C$88=Producción_Agricola[Movimiento])*(Producción_Agricola[Financiero $Corrientes])*($G91=Producción_Agricola[Unidad de Negocio])*(I$1=Producción_Agricola[Mes Financiero])*(I$2=Producción_Agricola[Año Financiero]))</f>
        <v>0</v>
      </c>
      <c r="J91" s="391">
        <f>SUMPRODUCT(($C$88=Producción_Agricola[Movimiento])*(Producción_Agricola[Financiero $Corrientes])*($G91=Producción_Agricola[Unidad de Negocio])*(J$1=Producción_Agricola[Mes Financiero])*(J$2=Producción_Agricola[Año Financiero]))</f>
        <v>0</v>
      </c>
      <c r="K91" s="390">
        <f>SUMPRODUCT(($C$88=Producción_Agricola[Movimiento])*(Producción_Agricola[Financiero $Corrientes])*($G91=Producción_Agricola[Unidad de Negocio])*(K$1=Producción_Agricola[Mes Financiero])*(K$2=Producción_Agricola[Año Financiero]))</f>
        <v>0</v>
      </c>
      <c r="L91" s="391">
        <f>SUMPRODUCT(($C$88=Producción_Agricola[Movimiento])*(Producción_Agricola[Financiero $Corrientes])*($G91=Producción_Agricola[Unidad de Negocio])*(L$1=Producción_Agricola[Mes Financiero])*(L$2=Producción_Agricola[Año Financiero]))</f>
        <v>0</v>
      </c>
      <c r="M91" s="390">
        <f>SUMPRODUCT(($C$88=Producción_Agricola[Movimiento])*(Producción_Agricola[Financiero $Corrientes])*($G91=Producción_Agricola[Unidad de Negocio])*(M$1=Producción_Agricola[Mes Financiero])*(M$2=Producción_Agricola[Año Financiero]))</f>
        <v>0</v>
      </c>
      <c r="N91" s="391">
        <f>SUMPRODUCT(($C$88=Producción_Agricola[Movimiento])*(Producción_Agricola[Financiero $Corrientes])*($G91=Producción_Agricola[Unidad de Negocio])*(N$1=Producción_Agricola[Mes Financiero])*(N$2=Producción_Agricola[Año Financiero]))</f>
        <v>0</v>
      </c>
      <c r="O91" s="390">
        <f>SUMPRODUCT(($C$88=Producción_Agricola[Movimiento])*(Producción_Agricola[Financiero $Corrientes])*($G91=Producción_Agricola[Unidad de Negocio])*(O$1=Producción_Agricola[Mes Financiero])*(O$2=Producción_Agricola[Año Financiero]))</f>
        <v>0</v>
      </c>
      <c r="P91" s="391">
        <f>SUMPRODUCT(($C$88=Producción_Agricola[Movimiento])*(Producción_Agricola[Financiero $Corrientes])*($G91=Producción_Agricola[Unidad de Negocio])*(P$1=Producción_Agricola[Mes Financiero])*(P$2=Producción_Agricola[Año Financiero]))</f>
        <v>0</v>
      </c>
      <c r="Q91" s="390">
        <f>SUMPRODUCT(($C$88=Producción_Agricola[Movimiento])*(Producción_Agricola[Financiero $Corrientes])*($G91=Producción_Agricola[Unidad de Negocio])*(Q$1=Producción_Agricola[Mes Financiero])*(Q$2=Producción_Agricola[Año Financiero]))</f>
        <v>0</v>
      </c>
      <c r="R91" s="391">
        <f>SUMPRODUCT(($C$88=Producción_Agricola[Movimiento])*(Producción_Agricola[Financiero $Corrientes])*($G91=Producción_Agricola[Unidad de Negocio])*(R$1=Producción_Agricola[Mes Financiero])*(R$2=Producción_Agricola[Año Financiero]))</f>
        <v>0</v>
      </c>
      <c r="S91" s="390">
        <f>SUMPRODUCT(($C$88=Producción_Agricola[Movimiento])*(Producción_Agricola[Financiero $Corrientes])*($G91=Producción_Agricola[Unidad de Negocio])*(S$1=Producción_Agricola[Mes Financiero])*(S$2=Producción_Agricola[Año Financiero]))</f>
        <v>0</v>
      </c>
      <c r="T91" s="391">
        <f>SUMPRODUCT(($C$88=Producción_Agricola[Movimiento])*(Producción_Agricola[Financiero $Corrientes])*($G91=Producción_Agricola[Unidad de Negocio])*(T$1=Producción_Agricola[Mes Financiero])*(T$2=Producción_Agricola[Año Financiero]))</f>
        <v>0</v>
      </c>
      <c r="U91" s="390">
        <f>SUMPRODUCT(($C$88=Producción_Agricola[Movimiento])*(Producción_Agricola[Financiero $Corrientes])*($G91=Producción_Agricola[Unidad de Negocio])*(U$1=Producción_Agricola[Mes Financiero])*(U$2=Producción_Agricola[Año Financiero]))</f>
        <v>0</v>
      </c>
      <c r="V91" s="391">
        <f>SUMPRODUCT(($C$88=Producción_Agricola[Movimiento])*(Producción_Agricola[Financiero $Corrientes])*($G91=Producción_Agricola[Unidad de Negocio])*(V$1=Producción_Agricola[Mes Financiero])*(V$2=Producción_Agricola[Año Financiero]))</f>
        <v>0</v>
      </c>
      <c r="W91" s="390">
        <f>SUMPRODUCT(($C$88=Producción_Agricola[Movimiento])*(Producción_Agricola[Financiero $Corrientes])*($G91=Producción_Agricola[Unidad de Negocio])*(W$1=Producción_Agricola[Mes Financiero])*(W$2=Producción_Agricola[Año Financiero]))</f>
        <v>0</v>
      </c>
      <c r="X91" s="391">
        <f>SUMPRODUCT(($C$88=Producción_Agricola[Movimiento])*(Producción_Agricola[Financiero $Corrientes])*($G91=Producción_Agricola[Unidad de Negocio])*(X$1=Producción_Agricola[Mes Financiero])*(X$2=Producción_Agricola[Año Financiero]))</f>
        <v>0</v>
      </c>
      <c r="Y91" s="390">
        <f>SUMPRODUCT(($C$88=Producción_Agricola[Movimiento])*(Producción_Agricola[Financiero $Corrientes])*($G91=Producción_Agricola[Unidad de Negocio])*(Y$1=Producción_Agricola[Mes Financiero])*(Y$2=Producción_Agricola[Año Financiero]))</f>
        <v>0</v>
      </c>
      <c r="Z91" s="392"/>
    </row>
    <row r="92" spans="2:30" hidden="1" outlineLevel="2" x14ac:dyDescent="0.25">
      <c r="E92" s="135"/>
      <c r="F92" s="215">
        <f>IFERROR(MATCH('Financiero $'!G92,Tabla8[Unidades de Negocio],0),0)</f>
        <v>4</v>
      </c>
      <c r="G92" s="225" t="str">
        <f>Configuración!U8</f>
        <v>Maíz de Tercera</v>
      </c>
      <c r="H92" s="391">
        <f>SUMPRODUCT(($C$88=Producción_Agricola[Movimiento])*(Producción_Agricola[Financiero $Corrientes])*($G92=Producción_Agricola[Unidad de Negocio])*(H$1=Producción_Agricola[Mes Financiero])*(H$2=Producción_Agricola[Año Financiero]))</f>
        <v>0</v>
      </c>
      <c r="I92" s="390">
        <f>SUMPRODUCT(($C$88=Producción_Agricola[Movimiento])*(Producción_Agricola[Financiero $Corrientes])*($G92=Producción_Agricola[Unidad de Negocio])*(I$1=Producción_Agricola[Mes Financiero])*(I$2=Producción_Agricola[Año Financiero]))</f>
        <v>0</v>
      </c>
      <c r="J92" s="391">
        <f>SUMPRODUCT(($C$88=Producción_Agricola[Movimiento])*(Producción_Agricola[Financiero $Corrientes])*($G92=Producción_Agricola[Unidad de Negocio])*(J$1=Producción_Agricola[Mes Financiero])*(J$2=Producción_Agricola[Año Financiero]))</f>
        <v>0</v>
      </c>
      <c r="K92" s="390">
        <f>SUMPRODUCT(($C$88=Producción_Agricola[Movimiento])*(Producción_Agricola[Financiero $Corrientes])*($G92=Producción_Agricola[Unidad de Negocio])*(K$1=Producción_Agricola[Mes Financiero])*(K$2=Producción_Agricola[Año Financiero]))</f>
        <v>0</v>
      </c>
      <c r="L92" s="391">
        <f>SUMPRODUCT(($C$88=Producción_Agricola[Movimiento])*(Producción_Agricola[Financiero $Corrientes])*($G92=Producción_Agricola[Unidad de Negocio])*(L$1=Producción_Agricola[Mes Financiero])*(L$2=Producción_Agricola[Año Financiero]))</f>
        <v>0</v>
      </c>
      <c r="M92" s="390">
        <f>SUMPRODUCT(($C$88=Producción_Agricola[Movimiento])*(Producción_Agricola[Financiero $Corrientes])*($G92=Producción_Agricola[Unidad de Negocio])*(M$1=Producción_Agricola[Mes Financiero])*(M$2=Producción_Agricola[Año Financiero]))</f>
        <v>0</v>
      </c>
      <c r="N92" s="391">
        <f>SUMPRODUCT(($C$88=Producción_Agricola[Movimiento])*(Producción_Agricola[Financiero $Corrientes])*($G92=Producción_Agricola[Unidad de Negocio])*(N$1=Producción_Agricola[Mes Financiero])*(N$2=Producción_Agricola[Año Financiero]))</f>
        <v>0</v>
      </c>
      <c r="O92" s="390">
        <f>SUMPRODUCT(($C$88=Producción_Agricola[Movimiento])*(Producción_Agricola[Financiero $Corrientes])*($G92=Producción_Agricola[Unidad de Negocio])*(O$1=Producción_Agricola[Mes Financiero])*(O$2=Producción_Agricola[Año Financiero]))</f>
        <v>0</v>
      </c>
      <c r="P92" s="391">
        <f>SUMPRODUCT(($C$88=Producción_Agricola[Movimiento])*(Producción_Agricola[Financiero $Corrientes])*($G92=Producción_Agricola[Unidad de Negocio])*(P$1=Producción_Agricola[Mes Financiero])*(P$2=Producción_Agricola[Año Financiero]))</f>
        <v>0</v>
      </c>
      <c r="Q92" s="390">
        <f>SUMPRODUCT(($C$88=Producción_Agricola[Movimiento])*(Producción_Agricola[Financiero $Corrientes])*($G92=Producción_Agricola[Unidad de Negocio])*(Q$1=Producción_Agricola[Mes Financiero])*(Q$2=Producción_Agricola[Año Financiero]))</f>
        <v>0</v>
      </c>
      <c r="R92" s="391">
        <f>SUMPRODUCT(($C$88=Producción_Agricola[Movimiento])*(Producción_Agricola[Financiero $Corrientes])*($G92=Producción_Agricola[Unidad de Negocio])*(R$1=Producción_Agricola[Mes Financiero])*(R$2=Producción_Agricola[Año Financiero]))</f>
        <v>0</v>
      </c>
      <c r="S92" s="390">
        <f>SUMPRODUCT(($C$88=Producción_Agricola[Movimiento])*(Producción_Agricola[Financiero $Corrientes])*($G92=Producción_Agricola[Unidad de Negocio])*(S$1=Producción_Agricola[Mes Financiero])*(S$2=Producción_Agricola[Año Financiero]))</f>
        <v>0</v>
      </c>
      <c r="T92" s="391">
        <f>SUMPRODUCT(($C$88=Producción_Agricola[Movimiento])*(Producción_Agricola[Financiero $Corrientes])*($G92=Producción_Agricola[Unidad de Negocio])*(T$1=Producción_Agricola[Mes Financiero])*(T$2=Producción_Agricola[Año Financiero]))</f>
        <v>0</v>
      </c>
      <c r="U92" s="390">
        <f>SUMPRODUCT(($C$88=Producción_Agricola[Movimiento])*(Producción_Agricola[Financiero $Corrientes])*($G92=Producción_Agricola[Unidad de Negocio])*(U$1=Producción_Agricola[Mes Financiero])*(U$2=Producción_Agricola[Año Financiero]))</f>
        <v>0</v>
      </c>
      <c r="V92" s="391">
        <f>SUMPRODUCT(($C$88=Producción_Agricola[Movimiento])*(Producción_Agricola[Financiero $Corrientes])*($G92=Producción_Agricola[Unidad de Negocio])*(V$1=Producción_Agricola[Mes Financiero])*(V$2=Producción_Agricola[Año Financiero]))</f>
        <v>0</v>
      </c>
      <c r="W92" s="390">
        <f>SUMPRODUCT(($C$88=Producción_Agricola[Movimiento])*(Producción_Agricola[Financiero $Corrientes])*($G92=Producción_Agricola[Unidad de Negocio])*(W$1=Producción_Agricola[Mes Financiero])*(W$2=Producción_Agricola[Año Financiero]))</f>
        <v>0</v>
      </c>
      <c r="X92" s="391">
        <f>SUMPRODUCT(($C$88=Producción_Agricola[Movimiento])*(Producción_Agricola[Financiero $Corrientes])*($G92=Producción_Agricola[Unidad de Negocio])*(X$1=Producción_Agricola[Mes Financiero])*(X$2=Producción_Agricola[Año Financiero]))</f>
        <v>0</v>
      </c>
      <c r="Y92" s="390">
        <f>SUMPRODUCT(($C$88=Producción_Agricola[Movimiento])*(Producción_Agricola[Financiero $Corrientes])*($G92=Producción_Agricola[Unidad de Negocio])*(Y$1=Producción_Agricola[Mes Financiero])*(Y$2=Producción_Agricola[Año Financiero]))</f>
        <v>0</v>
      </c>
      <c r="Z92" s="392"/>
    </row>
    <row r="93" spans="2:30" hidden="1" outlineLevel="2" x14ac:dyDescent="0.25">
      <c r="E93" s="135"/>
      <c r="F93" s="215">
        <f>IFERROR(MATCH('Financiero $'!G93,Tabla8[Unidades de Negocio],0),0)</f>
        <v>5</v>
      </c>
      <c r="G93" s="225" t="str">
        <f>Configuración!U9</f>
        <v>Soja de Primera</v>
      </c>
      <c r="H93" s="391">
        <f>SUMPRODUCT(($C$88=Producción_Agricola[Movimiento])*(Producción_Agricola[Financiero $Corrientes])*($G93=Producción_Agricola[Unidad de Negocio])*(H$1=Producción_Agricola[Mes Financiero])*(H$2=Producción_Agricola[Año Financiero]))</f>
        <v>0</v>
      </c>
      <c r="I93" s="390">
        <f>SUMPRODUCT(($C$88=Producción_Agricola[Movimiento])*(Producción_Agricola[Financiero $Corrientes])*($G93=Producción_Agricola[Unidad de Negocio])*(I$1=Producción_Agricola[Mes Financiero])*(I$2=Producción_Agricola[Año Financiero]))</f>
        <v>0</v>
      </c>
      <c r="J93" s="391">
        <f>SUMPRODUCT(($C$88=Producción_Agricola[Movimiento])*(Producción_Agricola[Financiero $Corrientes])*($G93=Producción_Agricola[Unidad de Negocio])*(J$1=Producción_Agricola[Mes Financiero])*(J$2=Producción_Agricola[Año Financiero]))</f>
        <v>0</v>
      </c>
      <c r="K93" s="390">
        <f>SUMPRODUCT(($C$88=Producción_Agricola[Movimiento])*(Producción_Agricola[Financiero $Corrientes])*($G93=Producción_Agricola[Unidad de Negocio])*(K$1=Producción_Agricola[Mes Financiero])*(K$2=Producción_Agricola[Año Financiero]))</f>
        <v>0</v>
      </c>
      <c r="L93" s="391">
        <f>SUMPRODUCT(($C$88=Producción_Agricola[Movimiento])*(Producción_Agricola[Financiero $Corrientes])*($G93=Producción_Agricola[Unidad de Negocio])*(L$1=Producción_Agricola[Mes Financiero])*(L$2=Producción_Agricola[Año Financiero]))</f>
        <v>0</v>
      </c>
      <c r="M93" s="390">
        <f>SUMPRODUCT(($C$88=Producción_Agricola[Movimiento])*(Producción_Agricola[Financiero $Corrientes])*($G93=Producción_Agricola[Unidad de Negocio])*(M$1=Producción_Agricola[Mes Financiero])*(M$2=Producción_Agricola[Año Financiero]))</f>
        <v>0</v>
      </c>
      <c r="N93" s="391">
        <f>SUMPRODUCT(($C$88=Producción_Agricola[Movimiento])*(Producción_Agricola[Financiero $Corrientes])*($G93=Producción_Agricola[Unidad de Negocio])*(N$1=Producción_Agricola[Mes Financiero])*(N$2=Producción_Agricola[Año Financiero]))</f>
        <v>0</v>
      </c>
      <c r="O93" s="390">
        <f>SUMPRODUCT(($C$88=Producción_Agricola[Movimiento])*(Producción_Agricola[Financiero $Corrientes])*($G93=Producción_Agricola[Unidad de Negocio])*(O$1=Producción_Agricola[Mes Financiero])*(O$2=Producción_Agricola[Año Financiero]))</f>
        <v>0</v>
      </c>
      <c r="P93" s="391">
        <f>SUMPRODUCT(($C$88=Producción_Agricola[Movimiento])*(Producción_Agricola[Financiero $Corrientes])*($G93=Producción_Agricola[Unidad de Negocio])*(P$1=Producción_Agricola[Mes Financiero])*(P$2=Producción_Agricola[Año Financiero]))</f>
        <v>0</v>
      </c>
      <c r="Q93" s="390">
        <f>SUMPRODUCT(($C$88=Producción_Agricola[Movimiento])*(Producción_Agricola[Financiero $Corrientes])*($G93=Producción_Agricola[Unidad de Negocio])*(Q$1=Producción_Agricola[Mes Financiero])*(Q$2=Producción_Agricola[Año Financiero]))</f>
        <v>0</v>
      </c>
      <c r="R93" s="391">
        <f>SUMPRODUCT(($C$88=Producción_Agricola[Movimiento])*(Producción_Agricola[Financiero $Corrientes])*($G93=Producción_Agricola[Unidad de Negocio])*(R$1=Producción_Agricola[Mes Financiero])*(R$2=Producción_Agricola[Año Financiero]))</f>
        <v>0</v>
      </c>
      <c r="S93" s="390">
        <f>SUMPRODUCT(($C$88=Producción_Agricola[Movimiento])*(Producción_Agricola[Financiero $Corrientes])*($G93=Producción_Agricola[Unidad de Negocio])*(S$1=Producción_Agricola[Mes Financiero])*(S$2=Producción_Agricola[Año Financiero]))</f>
        <v>0</v>
      </c>
      <c r="T93" s="391">
        <f>SUMPRODUCT(($C$88=Producción_Agricola[Movimiento])*(Producción_Agricola[Financiero $Corrientes])*($G93=Producción_Agricola[Unidad de Negocio])*(T$1=Producción_Agricola[Mes Financiero])*(T$2=Producción_Agricola[Año Financiero]))</f>
        <v>0</v>
      </c>
      <c r="U93" s="390">
        <f>SUMPRODUCT(($C$88=Producción_Agricola[Movimiento])*(Producción_Agricola[Financiero $Corrientes])*($G93=Producción_Agricola[Unidad de Negocio])*(U$1=Producción_Agricola[Mes Financiero])*(U$2=Producción_Agricola[Año Financiero]))</f>
        <v>0</v>
      </c>
      <c r="V93" s="391">
        <f>SUMPRODUCT(($C$88=Producción_Agricola[Movimiento])*(Producción_Agricola[Financiero $Corrientes])*($G93=Producción_Agricola[Unidad de Negocio])*(V$1=Producción_Agricola[Mes Financiero])*(V$2=Producción_Agricola[Año Financiero]))</f>
        <v>0</v>
      </c>
      <c r="W93" s="390">
        <f>SUMPRODUCT(($C$88=Producción_Agricola[Movimiento])*(Producción_Agricola[Financiero $Corrientes])*($G93=Producción_Agricola[Unidad de Negocio])*(W$1=Producción_Agricola[Mes Financiero])*(W$2=Producción_Agricola[Año Financiero]))</f>
        <v>0</v>
      </c>
      <c r="X93" s="391">
        <f>SUMPRODUCT(($C$88=Producción_Agricola[Movimiento])*(Producción_Agricola[Financiero $Corrientes])*($G93=Producción_Agricola[Unidad de Negocio])*(X$1=Producción_Agricola[Mes Financiero])*(X$2=Producción_Agricola[Año Financiero]))</f>
        <v>0</v>
      </c>
      <c r="Y93" s="390">
        <f>SUMPRODUCT(($C$88=Producción_Agricola[Movimiento])*(Producción_Agricola[Financiero $Corrientes])*($G93=Producción_Agricola[Unidad de Negocio])*(Y$1=Producción_Agricola[Mes Financiero])*(Y$2=Producción_Agricola[Año Financiero]))</f>
        <v>0</v>
      </c>
      <c r="Z93" s="392"/>
    </row>
    <row r="94" spans="2:30" hidden="1" outlineLevel="2" x14ac:dyDescent="0.25">
      <c r="E94" s="135"/>
      <c r="F94" s="215">
        <f>IFERROR(MATCH('Financiero $'!G94,Tabla8[Unidades de Negocio],0),0)</f>
        <v>6</v>
      </c>
      <c r="G94" s="225" t="str">
        <f>Configuración!U10</f>
        <v>Soja de Segunda</v>
      </c>
      <c r="H94" s="391">
        <f>SUMPRODUCT(($C$88=Producción_Agricola[Movimiento])*(Producción_Agricola[Financiero $Corrientes])*($G94=Producción_Agricola[Unidad de Negocio])*(H$1=Producción_Agricola[Mes Financiero])*(H$2=Producción_Agricola[Año Financiero]))</f>
        <v>0</v>
      </c>
      <c r="I94" s="390">
        <f>SUMPRODUCT(($C$88=Producción_Agricola[Movimiento])*(Producción_Agricola[Financiero $Corrientes])*($G94=Producción_Agricola[Unidad de Negocio])*(I$1=Producción_Agricola[Mes Financiero])*(I$2=Producción_Agricola[Año Financiero]))</f>
        <v>0</v>
      </c>
      <c r="J94" s="391">
        <f>SUMPRODUCT(($C$88=Producción_Agricola[Movimiento])*(Producción_Agricola[Financiero $Corrientes])*($G94=Producción_Agricola[Unidad de Negocio])*(J$1=Producción_Agricola[Mes Financiero])*(J$2=Producción_Agricola[Año Financiero]))</f>
        <v>0</v>
      </c>
      <c r="K94" s="390">
        <f>SUMPRODUCT(($C$88=Producción_Agricola[Movimiento])*(Producción_Agricola[Financiero $Corrientes])*($G94=Producción_Agricola[Unidad de Negocio])*(K$1=Producción_Agricola[Mes Financiero])*(K$2=Producción_Agricola[Año Financiero]))</f>
        <v>0</v>
      </c>
      <c r="L94" s="391">
        <f>SUMPRODUCT(($C$88=Producción_Agricola[Movimiento])*(Producción_Agricola[Financiero $Corrientes])*($G94=Producción_Agricola[Unidad de Negocio])*(L$1=Producción_Agricola[Mes Financiero])*(L$2=Producción_Agricola[Año Financiero]))</f>
        <v>0</v>
      </c>
      <c r="M94" s="390">
        <f>SUMPRODUCT(($C$88=Producción_Agricola[Movimiento])*(Producción_Agricola[Financiero $Corrientes])*($G94=Producción_Agricola[Unidad de Negocio])*(M$1=Producción_Agricola[Mes Financiero])*(M$2=Producción_Agricola[Año Financiero]))</f>
        <v>0</v>
      </c>
      <c r="N94" s="391">
        <f>SUMPRODUCT(($C$88=Producción_Agricola[Movimiento])*(Producción_Agricola[Financiero $Corrientes])*($G94=Producción_Agricola[Unidad de Negocio])*(N$1=Producción_Agricola[Mes Financiero])*(N$2=Producción_Agricola[Año Financiero]))</f>
        <v>0</v>
      </c>
      <c r="O94" s="390">
        <f>SUMPRODUCT(($C$88=Producción_Agricola[Movimiento])*(Producción_Agricola[Financiero $Corrientes])*($G94=Producción_Agricola[Unidad de Negocio])*(O$1=Producción_Agricola[Mes Financiero])*(O$2=Producción_Agricola[Año Financiero]))</f>
        <v>0</v>
      </c>
      <c r="P94" s="391">
        <f>SUMPRODUCT(($C$88=Producción_Agricola[Movimiento])*(Producción_Agricola[Financiero $Corrientes])*($G94=Producción_Agricola[Unidad de Negocio])*(P$1=Producción_Agricola[Mes Financiero])*(P$2=Producción_Agricola[Año Financiero]))</f>
        <v>0</v>
      </c>
      <c r="Q94" s="390">
        <f>SUMPRODUCT(($C$88=Producción_Agricola[Movimiento])*(Producción_Agricola[Financiero $Corrientes])*($G94=Producción_Agricola[Unidad de Negocio])*(Q$1=Producción_Agricola[Mes Financiero])*(Q$2=Producción_Agricola[Año Financiero]))</f>
        <v>0</v>
      </c>
      <c r="R94" s="391">
        <f>SUMPRODUCT(($C$88=Producción_Agricola[Movimiento])*(Producción_Agricola[Financiero $Corrientes])*($G94=Producción_Agricola[Unidad de Negocio])*(R$1=Producción_Agricola[Mes Financiero])*(R$2=Producción_Agricola[Año Financiero]))</f>
        <v>0</v>
      </c>
      <c r="S94" s="390">
        <f>SUMPRODUCT(($C$88=Producción_Agricola[Movimiento])*(Producción_Agricola[Financiero $Corrientes])*($G94=Producción_Agricola[Unidad de Negocio])*(S$1=Producción_Agricola[Mes Financiero])*(S$2=Producción_Agricola[Año Financiero]))</f>
        <v>0</v>
      </c>
      <c r="T94" s="391">
        <f>SUMPRODUCT(($C$88=Producción_Agricola[Movimiento])*(Producción_Agricola[Financiero $Corrientes])*($G94=Producción_Agricola[Unidad de Negocio])*(T$1=Producción_Agricola[Mes Financiero])*(T$2=Producción_Agricola[Año Financiero]))</f>
        <v>0</v>
      </c>
      <c r="U94" s="390">
        <f>SUMPRODUCT(($C$88=Producción_Agricola[Movimiento])*(Producción_Agricola[Financiero $Corrientes])*($G94=Producción_Agricola[Unidad de Negocio])*(U$1=Producción_Agricola[Mes Financiero])*(U$2=Producción_Agricola[Año Financiero]))</f>
        <v>0</v>
      </c>
      <c r="V94" s="391">
        <f>SUMPRODUCT(($C$88=Producción_Agricola[Movimiento])*(Producción_Agricola[Financiero $Corrientes])*($G94=Producción_Agricola[Unidad de Negocio])*(V$1=Producción_Agricola[Mes Financiero])*(V$2=Producción_Agricola[Año Financiero]))</f>
        <v>0</v>
      </c>
      <c r="W94" s="390">
        <f>SUMPRODUCT(($C$88=Producción_Agricola[Movimiento])*(Producción_Agricola[Financiero $Corrientes])*($G94=Producción_Agricola[Unidad de Negocio])*(W$1=Producción_Agricola[Mes Financiero])*(W$2=Producción_Agricola[Año Financiero]))</f>
        <v>0</v>
      </c>
      <c r="X94" s="391">
        <f>SUMPRODUCT(($C$88=Producción_Agricola[Movimiento])*(Producción_Agricola[Financiero $Corrientes])*($G94=Producción_Agricola[Unidad de Negocio])*(X$1=Producción_Agricola[Mes Financiero])*(X$2=Producción_Agricola[Año Financiero]))</f>
        <v>0</v>
      </c>
      <c r="Y94" s="390">
        <f>SUMPRODUCT(($C$88=Producción_Agricola[Movimiento])*(Producción_Agricola[Financiero $Corrientes])*($G94=Producción_Agricola[Unidad de Negocio])*(Y$1=Producción_Agricola[Mes Financiero])*(Y$2=Producción_Agricola[Año Financiero]))</f>
        <v>0</v>
      </c>
      <c r="Z94" s="392"/>
    </row>
    <row r="95" spans="2:30" hidden="1" outlineLevel="2" x14ac:dyDescent="0.25">
      <c r="E95" s="135"/>
      <c r="F95" s="215">
        <f>IFERROR(MATCH('Financiero $'!G95,Tabla8[Unidades de Negocio],0),0)</f>
        <v>7</v>
      </c>
      <c r="G95" s="225" t="str">
        <f>Configuración!U11</f>
        <v>Girasol</v>
      </c>
      <c r="H95" s="391">
        <f>SUMPRODUCT(($C$88=Producción_Agricola[Movimiento])*(Producción_Agricola[Financiero $Corrientes])*($G95=Producción_Agricola[Unidad de Negocio])*(H$1=Producción_Agricola[Mes Financiero])*(H$2=Producción_Agricola[Año Financiero]))</f>
        <v>0</v>
      </c>
      <c r="I95" s="390">
        <f>SUMPRODUCT(($C$88=Producción_Agricola[Movimiento])*(Producción_Agricola[Financiero $Corrientes])*($G95=Producción_Agricola[Unidad de Negocio])*(I$1=Producción_Agricola[Mes Financiero])*(I$2=Producción_Agricola[Año Financiero]))</f>
        <v>0</v>
      </c>
      <c r="J95" s="391">
        <f>SUMPRODUCT(($C$88=Producción_Agricola[Movimiento])*(Producción_Agricola[Financiero $Corrientes])*($G95=Producción_Agricola[Unidad de Negocio])*(J$1=Producción_Agricola[Mes Financiero])*(J$2=Producción_Agricola[Año Financiero]))</f>
        <v>0</v>
      </c>
      <c r="K95" s="390">
        <f>SUMPRODUCT(($C$88=Producción_Agricola[Movimiento])*(Producción_Agricola[Financiero $Corrientes])*($G95=Producción_Agricola[Unidad de Negocio])*(K$1=Producción_Agricola[Mes Financiero])*(K$2=Producción_Agricola[Año Financiero]))</f>
        <v>0</v>
      </c>
      <c r="L95" s="391">
        <f>SUMPRODUCT(($C$88=Producción_Agricola[Movimiento])*(Producción_Agricola[Financiero $Corrientes])*($G95=Producción_Agricola[Unidad de Negocio])*(L$1=Producción_Agricola[Mes Financiero])*(L$2=Producción_Agricola[Año Financiero]))</f>
        <v>0</v>
      </c>
      <c r="M95" s="390">
        <f>SUMPRODUCT(($C$88=Producción_Agricola[Movimiento])*(Producción_Agricola[Financiero $Corrientes])*($G95=Producción_Agricola[Unidad de Negocio])*(M$1=Producción_Agricola[Mes Financiero])*(M$2=Producción_Agricola[Año Financiero]))</f>
        <v>0</v>
      </c>
      <c r="N95" s="391">
        <f>SUMPRODUCT(($C$88=Producción_Agricola[Movimiento])*(Producción_Agricola[Financiero $Corrientes])*($G95=Producción_Agricola[Unidad de Negocio])*(N$1=Producción_Agricola[Mes Financiero])*(N$2=Producción_Agricola[Año Financiero]))</f>
        <v>0</v>
      </c>
      <c r="O95" s="390">
        <f>SUMPRODUCT(($C$88=Producción_Agricola[Movimiento])*(Producción_Agricola[Financiero $Corrientes])*($G95=Producción_Agricola[Unidad de Negocio])*(O$1=Producción_Agricola[Mes Financiero])*(O$2=Producción_Agricola[Año Financiero]))</f>
        <v>0</v>
      </c>
      <c r="P95" s="391">
        <f>SUMPRODUCT(($C$88=Producción_Agricola[Movimiento])*(Producción_Agricola[Financiero $Corrientes])*($G95=Producción_Agricola[Unidad de Negocio])*(P$1=Producción_Agricola[Mes Financiero])*(P$2=Producción_Agricola[Año Financiero]))</f>
        <v>0</v>
      </c>
      <c r="Q95" s="390">
        <f>SUMPRODUCT(($C$88=Producción_Agricola[Movimiento])*(Producción_Agricola[Financiero $Corrientes])*($G95=Producción_Agricola[Unidad de Negocio])*(Q$1=Producción_Agricola[Mes Financiero])*(Q$2=Producción_Agricola[Año Financiero]))</f>
        <v>0</v>
      </c>
      <c r="R95" s="391">
        <f>SUMPRODUCT(($C$88=Producción_Agricola[Movimiento])*(Producción_Agricola[Financiero $Corrientes])*($G95=Producción_Agricola[Unidad de Negocio])*(R$1=Producción_Agricola[Mes Financiero])*(R$2=Producción_Agricola[Año Financiero]))</f>
        <v>0</v>
      </c>
      <c r="S95" s="390">
        <f>SUMPRODUCT(($C$88=Producción_Agricola[Movimiento])*(Producción_Agricola[Financiero $Corrientes])*($G95=Producción_Agricola[Unidad de Negocio])*(S$1=Producción_Agricola[Mes Financiero])*(S$2=Producción_Agricola[Año Financiero]))</f>
        <v>0</v>
      </c>
      <c r="T95" s="391">
        <f>SUMPRODUCT(($C$88=Producción_Agricola[Movimiento])*(Producción_Agricola[Financiero $Corrientes])*($G95=Producción_Agricola[Unidad de Negocio])*(T$1=Producción_Agricola[Mes Financiero])*(T$2=Producción_Agricola[Año Financiero]))</f>
        <v>0</v>
      </c>
      <c r="U95" s="390">
        <f>SUMPRODUCT(($C$88=Producción_Agricola[Movimiento])*(Producción_Agricola[Financiero $Corrientes])*($G95=Producción_Agricola[Unidad de Negocio])*(U$1=Producción_Agricola[Mes Financiero])*(U$2=Producción_Agricola[Año Financiero]))</f>
        <v>0</v>
      </c>
      <c r="V95" s="391">
        <f>SUMPRODUCT(($C$88=Producción_Agricola[Movimiento])*(Producción_Agricola[Financiero $Corrientes])*($G95=Producción_Agricola[Unidad de Negocio])*(V$1=Producción_Agricola[Mes Financiero])*(V$2=Producción_Agricola[Año Financiero]))</f>
        <v>0</v>
      </c>
      <c r="W95" s="390">
        <f>SUMPRODUCT(($C$88=Producción_Agricola[Movimiento])*(Producción_Agricola[Financiero $Corrientes])*($G95=Producción_Agricola[Unidad de Negocio])*(W$1=Producción_Agricola[Mes Financiero])*(W$2=Producción_Agricola[Año Financiero]))</f>
        <v>0</v>
      </c>
      <c r="X95" s="391">
        <f>SUMPRODUCT(($C$88=Producción_Agricola[Movimiento])*(Producción_Agricola[Financiero $Corrientes])*($G95=Producción_Agricola[Unidad de Negocio])*(X$1=Producción_Agricola[Mes Financiero])*(X$2=Producción_Agricola[Año Financiero]))</f>
        <v>0</v>
      </c>
      <c r="Y95" s="390">
        <f>SUMPRODUCT(($C$88=Producción_Agricola[Movimiento])*(Producción_Agricola[Financiero $Corrientes])*($G95=Producción_Agricola[Unidad de Negocio])*(Y$1=Producción_Agricola[Mes Financiero])*(Y$2=Producción_Agricola[Año Financiero]))</f>
        <v>0</v>
      </c>
      <c r="Z95" s="392"/>
    </row>
    <row r="96" spans="2:30" hidden="1" outlineLevel="2" x14ac:dyDescent="0.25">
      <c r="E96" s="135"/>
      <c r="F96" s="215">
        <f>IFERROR(MATCH('Financiero $'!G96,Tabla8[Unidades de Negocio],0),0)</f>
        <v>8</v>
      </c>
      <c r="G96" s="225" t="str">
        <f>Configuración!U12</f>
        <v>Girasol AO</v>
      </c>
      <c r="H96" s="391">
        <f>SUMPRODUCT(($C$88=Producción_Agricola[Movimiento])*(Producción_Agricola[Financiero $Corrientes])*($G96=Producción_Agricola[Unidad de Negocio])*(H$1=Producción_Agricola[Mes Financiero])*(H$2=Producción_Agricola[Año Financiero]))</f>
        <v>0</v>
      </c>
      <c r="I96" s="390">
        <f>SUMPRODUCT(($C$88=Producción_Agricola[Movimiento])*(Producción_Agricola[Financiero $Corrientes])*($G96=Producción_Agricola[Unidad de Negocio])*(I$1=Producción_Agricola[Mes Financiero])*(I$2=Producción_Agricola[Año Financiero]))</f>
        <v>0</v>
      </c>
      <c r="J96" s="391">
        <f>SUMPRODUCT(($C$88=Producción_Agricola[Movimiento])*(Producción_Agricola[Financiero $Corrientes])*($G96=Producción_Agricola[Unidad de Negocio])*(J$1=Producción_Agricola[Mes Financiero])*(J$2=Producción_Agricola[Año Financiero]))</f>
        <v>0</v>
      </c>
      <c r="K96" s="390">
        <f>SUMPRODUCT(($C$88=Producción_Agricola[Movimiento])*(Producción_Agricola[Financiero $Corrientes])*($G96=Producción_Agricola[Unidad de Negocio])*(K$1=Producción_Agricola[Mes Financiero])*(K$2=Producción_Agricola[Año Financiero]))</f>
        <v>0</v>
      </c>
      <c r="L96" s="391">
        <f>SUMPRODUCT(($C$88=Producción_Agricola[Movimiento])*(Producción_Agricola[Financiero $Corrientes])*($G96=Producción_Agricola[Unidad de Negocio])*(L$1=Producción_Agricola[Mes Financiero])*(L$2=Producción_Agricola[Año Financiero]))</f>
        <v>0</v>
      </c>
      <c r="M96" s="390">
        <f>SUMPRODUCT(($C$88=Producción_Agricola[Movimiento])*(Producción_Agricola[Financiero $Corrientes])*($G96=Producción_Agricola[Unidad de Negocio])*(M$1=Producción_Agricola[Mes Financiero])*(M$2=Producción_Agricola[Año Financiero]))</f>
        <v>0</v>
      </c>
      <c r="N96" s="391">
        <f>SUMPRODUCT(($C$88=Producción_Agricola[Movimiento])*(Producción_Agricola[Financiero $Corrientes])*($G96=Producción_Agricola[Unidad de Negocio])*(N$1=Producción_Agricola[Mes Financiero])*(N$2=Producción_Agricola[Año Financiero]))</f>
        <v>0</v>
      </c>
      <c r="O96" s="390">
        <f>SUMPRODUCT(($C$88=Producción_Agricola[Movimiento])*(Producción_Agricola[Financiero $Corrientes])*($G96=Producción_Agricola[Unidad de Negocio])*(O$1=Producción_Agricola[Mes Financiero])*(O$2=Producción_Agricola[Año Financiero]))</f>
        <v>0</v>
      </c>
      <c r="P96" s="391">
        <f>SUMPRODUCT(($C$88=Producción_Agricola[Movimiento])*(Producción_Agricola[Financiero $Corrientes])*($G96=Producción_Agricola[Unidad de Negocio])*(P$1=Producción_Agricola[Mes Financiero])*(P$2=Producción_Agricola[Año Financiero]))</f>
        <v>0</v>
      </c>
      <c r="Q96" s="390">
        <f>SUMPRODUCT(($C$88=Producción_Agricola[Movimiento])*(Producción_Agricola[Financiero $Corrientes])*($G96=Producción_Agricola[Unidad de Negocio])*(Q$1=Producción_Agricola[Mes Financiero])*(Q$2=Producción_Agricola[Año Financiero]))</f>
        <v>0</v>
      </c>
      <c r="R96" s="391">
        <f>SUMPRODUCT(($C$88=Producción_Agricola[Movimiento])*(Producción_Agricola[Financiero $Corrientes])*($G96=Producción_Agricola[Unidad de Negocio])*(R$1=Producción_Agricola[Mes Financiero])*(R$2=Producción_Agricola[Año Financiero]))</f>
        <v>0</v>
      </c>
      <c r="S96" s="390">
        <f>SUMPRODUCT(($C$88=Producción_Agricola[Movimiento])*(Producción_Agricola[Financiero $Corrientes])*($G96=Producción_Agricola[Unidad de Negocio])*(S$1=Producción_Agricola[Mes Financiero])*(S$2=Producción_Agricola[Año Financiero]))</f>
        <v>0</v>
      </c>
      <c r="T96" s="391">
        <f>SUMPRODUCT(($C$88=Producción_Agricola[Movimiento])*(Producción_Agricola[Financiero $Corrientes])*($G96=Producción_Agricola[Unidad de Negocio])*(T$1=Producción_Agricola[Mes Financiero])*(T$2=Producción_Agricola[Año Financiero]))</f>
        <v>0</v>
      </c>
      <c r="U96" s="390">
        <f>SUMPRODUCT(($C$88=Producción_Agricola[Movimiento])*(Producción_Agricola[Financiero $Corrientes])*($G96=Producción_Agricola[Unidad de Negocio])*(U$1=Producción_Agricola[Mes Financiero])*(U$2=Producción_Agricola[Año Financiero]))</f>
        <v>0</v>
      </c>
      <c r="V96" s="391">
        <f>SUMPRODUCT(($C$88=Producción_Agricola[Movimiento])*(Producción_Agricola[Financiero $Corrientes])*($G96=Producción_Agricola[Unidad de Negocio])*(V$1=Producción_Agricola[Mes Financiero])*(V$2=Producción_Agricola[Año Financiero]))</f>
        <v>0</v>
      </c>
      <c r="W96" s="390">
        <f>SUMPRODUCT(($C$88=Producción_Agricola[Movimiento])*(Producción_Agricola[Financiero $Corrientes])*($G96=Producción_Agricola[Unidad de Negocio])*(W$1=Producción_Agricola[Mes Financiero])*(W$2=Producción_Agricola[Año Financiero]))</f>
        <v>0</v>
      </c>
      <c r="X96" s="391">
        <f>SUMPRODUCT(($C$88=Producción_Agricola[Movimiento])*(Producción_Agricola[Financiero $Corrientes])*($G96=Producción_Agricola[Unidad de Negocio])*(X$1=Producción_Agricola[Mes Financiero])*(X$2=Producción_Agricola[Año Financiero]))</f>
        <v>0</v>
      </c>
      <c r="Y96" s="390">
        <f>SUMPRODUCT(($C$88=Producción_Agricola[Movimiento])*(Producción_Agricola[Financiero $Corrientes])*($G96=Producción_Agricola[Unidad de Negocio])*(Y$1=Producción_Agricola[Mes Financiero])*(Y$2=Producción_Agricola[Año Financiero]))</f>
        <v>0</v>
      </c>
      <c r="Z96" s="392"/>
    </row>
    <row r="97" spans="2:30" hidden="1" outlineLevel="2" x14ac:dyDescent="0.25">
      <c r="E97" s="135"/>
      <c r="F97" s="215">
        <f>IFERROR(MATCH('Financiero $'!G97,Tabla8[Unidades de Negocio],0),0)</f>
        <v>9</v>
      </c>
      <c r="G97" s="225" t="str">
        <f>Configuración!U13</f>
        <v xml:space="preserve"> Trigo</v>
      </c>
      <c r="H97" s="391">
        <f>SUMPRODUCT(($C$88=Producción_Agricola[Movimiento])*(Producción_Agricola[Financiero $Corrientes])*($G97=Producción_Agricola[Unidad de Negocio])*(H$1=Producción_Agricola[Mes Financiero])*(H$2=Producción_Agricola[Año Financiero]))</f>
        <v>0</v>
      </c>
      <c r="I97" s="390">
        <f>SUMPRODUCT(($C$88=Producción_Agricola[Movimiento])*(Producción_Agricola[Financiero $Corrientes])*($G97=Producción_Agricola[Unidad de Negocio])*(I$1=Producción_Agricola[Mes Financiero])*(I$2=Producción_Agricola[Año Financiero]))</f>
        <v>0</v>
      </c>
      <c r="J97" s="391">
        <f>SUMPRODUCT(($C$88=Producción_Agricola[Movimiento])*(Producción_Agricola[Financiero $Corrientes])*($G97=Producción_Agricola[Unidad de Negocio])*(J$1=Producción_Agricola[Mes Financiero])*(J$2=Producción_Agricola[Año Financiero]))</f>
        <v>0</v>
      </c>
      <c r="K97" s="390">
        <f>SUMPRODUCT(($C$88=Producción_Agricola[Movimiento])*(Producción_Agricola[Financiero $Corrientes])*($G97=Producción_Agricola[Unidad de Negocio])*(K$1=Producción_Agricola[Mes Financiero])*(K$2=Producción_Agricola[Año Financiero]))</f>
        <v>0</v>
      </c>
      <c r="L97" s="391">
        <f>SUMPRODUCT(($C$88=Producción_Agricola[Movimiento])*(Producción_Agricola[Financiero $Corrientes])*($G97=Producción_Agricola[Unidad de Negocio])*(L$1=Producción_Agricola[Mes Financiero])*(L$2=Producción_Agricola[Año Financiero]))</f>
        <v>0</v>
      </c>
      <c r="M97" s="390">
        <f>SUMPRODUCT(($C$88=Producción_Agricola[Movimiento])*(Producción_Agricola[Financiero $Corrientes])*($G97=Producción_Agricola[Unidad de Negocio])*(M$1=Producción_Agricola[Mes Financiero])*(M$2=Producción_Agricola[Año Financiero]))</f>
        <v>0</v>
      </c>
      <c r="N97" s="391">
        <f>SUMPRODUCT(($C$88=Producción_Agricola[Movimiento])*(Producción_Agricola[Financiero $Corrientes])*($G97=Producción_Agricola[Unidad de Negocio])*(N$1=Producción_Agricola[Mes Financiero])*(N$2=Producción_Agricola[Año Financiero]))</f>
        <v>0</v>
      </c>
      <c r="O97" s="390">
        <f>SUMPRODUCT(($C$88=Producción_Agricola[Movimiento])*(Producción_Agricola[Financiero $Corrientes])*($G97=Producción_Agricola[Unidad de Negocio])*(O$1=Producción_Agricola[Mes Financiero])*(O$2=Producción_Agricola[Año Financiero]))</f>
        <v>0</v>
      </c>
      <c r="P97" s="391">
        <f>SUMPRODUCT(($C$88=Producción_Agricola[Movimiento])*(Producción_Agricola[Financiero $Corrientes])*($G97=Producción_Agricola[Unidad de Negocio])*(P$1=Producción_Agricola[Mes Financiero])*(P$2=Producción_Agricola[Año Financiero]))</f>
        <v>0</v>
      </c>
      <c r="Q97" s="390">
        <f>SUMPRODUCT(($C$88=Producción_Agricola[Movimiento])*(Producción_Agricola[Financiero $Corrientes])*($G97=Producción_Agricola[Unidad de Negocio])*(Q$1=Producción_Agricola[Mes Financiero])*(Q$2=Producción_Agricola[Año Financiero]))</f>
        <v>0</v>
      </c>
      <c r="R97" s="391">
        <f>SUMPRODUCT(($C$88=Producción_Agricola[Movimiento])*(Producción_Agricola[Financiero $Corrientes])*($G97=Producción_Agricola[Unidad de Negocio])*(R$1=Producción_Agricola[Mes Financiero])*(R$2=Producción_Agricola[Año Financiero]))</f>
        <v>0</v>
      </c>
      <c r="S97" s="390">
        <f>SUMPRODUCT(($C$88=Producción_Agricola[Movimiento])*(Producción_Agricola[Financiero $Corrientes])*($G97=Producción_Agricola[Unidad de Negocio])*(S$1=Producción_Agricola[Mes Financiero])*(S$2=Producción_Agricola[Año Financiero]))</f>
        <v>0</v>
      </c>
      <c r="T97" s="391">
        <f>SUMPRODUCT(($C$88=Producción_Agricola[Movimiento])*(Producción_Agricola[Financiero $Corrientes])*($G97=Producción_Agricola[Unidad de Negocio])*(T$1=Producción_Agricola[Mes Financiero])*(T$2=Producción_Agricola[Año Financiero]))</f>
        <v>0</v>
      </c>
      <c r="U97" s="390">
        <f>SUMPRODUCT(($C$88=Producción_Agricola[Movimiento])*(Producción_Agricola[Financiero $Corrientes])*($G97=Producción_Agricola[Unidad de Negocio])*(U$1=Producción_Agricola[Mes Financiero])*(U$2=Producción_Agricola[Año Financiero]))</f>
        <v>0</v>
      </c>
      <c r="V97" s="391">
        <f>SUMPRODUCT(($C$88=Producción_Agricola[Movimiento])*(Producción_Agricola[Financiero $Corrientes])*($G97=Producción_Agricola[Unidad de Negocio])*(V$1=Producción_Agricola[Mes Financiero])*(V$2=Producción_Agricola[Año Financiero]))</f>
        <v>0</v>
      </c>
      <c r="W97" s="390">
        <f>SUMPRODUCT(($C$88=Producción_Agricola[Movimiento])*(Producción_Agricola[Financiero $Corrientes])*($G97=Producción_Agricola[Unidad de Negocio])*(W$1=Producción_Agricola[Mes Financiero])*(W$2=Producción_Agricola[Año Financiero]))</f>
        <v>0</v>
      </c>
      <c r="X97" s="391">
        <f>SUMPRODUCT(($C$88=Producción_Agricola[Movimiento])*(Producción_Agricola[Financiero $Corrientes])*($G97=Producción_Agricola[Unidad de Negocio])*(X$1=Producción_Agricola[Mes Financiero])*(X$2=Producción_Agricola[Año Financiero]))</f>
        <v>0</v>
      </c>
      <c r="Y97" s="390">
        <f>SUMPRODUCT(($C$88=Producción_Agricola[Movimiento])*(Producción_Agricola[Financiero $Corrientes])*($G97=Producción_Agricola[Unidad de Negocio])*(Y$1=Producción_Agricola[Mes Financiero])*(Y$2=Producción_Agricola[Año Financiero]))</f>
        <v>0</v>
      </c>
      <c r="Z97" s="392"/>
    </row>
    <row r="98" spans="2:30" hidden="1" outlineLevel="2" x14ac:dyDescent="0.25">
      <c r="E98" s="135"/>
      <c r="F98" s="215">
        <f>IFERROR(MATCH('Financiero $'!G98,Tabla8[Unidades de Negocio],0),0)</f>
        <v>10</v>
      </c>
      <c r="G98" s="225" t="str">
        <f>Configuración!U14</f>
        <v>Cebada</v>
      </c>
      <c r="H98" s="391">
        <f>SUMPRODUCT(($C$88=Producción_Agricola[Movimiento])*(Producción_Agricola[Financiero $Corrientes])*($G98=Producción_Agricola[Unidad de Negocio])*(H$1=Producción_Agricola[Mes Financiero])*(H$2=Producción_Agricola[Año Financiero]))</f>
        <v>0</v>
      </c>
      <c r="I98" s="390">
        <f>SUMPRODUCT(($C$88=Producción_Agricola[Movimiento])*(Producción_Agricola[Financiero $Corrientes])*($G98=Producción_Agricola[Unidad de Negocio])*(I$1=Producción_Agricola[Mes Financiero])*(I$2=Producción_Agricola[Año Financiero]))</f>
        <v>0</v>
      </c>
      <c r="J98" s="391">
        <f>SUMPRODUCT(($C$88=Producción_Agricola[Movimiento])*(Producción_Agricola[Financiero $Corrientes])*($G98=Producción_Agricola[Unidad de Negocio])*(J$1=Producción_Agricola[Mes Financiero])*(J$2=Producción_Agricola[Año Financiero]))</f>
        <v>0</v>
      </c>
      <c r="K98" s="390">
        <f>SUMPRODUCT(($C$88=Producción_Agricola[Movimiento])*(Producción_Agricola[Financiero $Corrientes])*($G98=Producción_Agricola[Unidad de Negocio])*(K$1=Producción_Agricola[Mes Financiero])*(K$2=Producción_Agricola[Año Financiero]))</f>
        <v>0</v>
      </c>
      <c r="L98" s="391">
        <f>SUMPRODUCT(($C$88=Producción_Agricola[Movimiento])*(Producción_Agricola[Financiero $Corrientes])*($G98=Producción_Agricola[Unidad de Negocio])*(L$1=Producción_Agricola[Mes Financiero])*(L$2=Producción_Agricola[Año Financiero]))</f>
        <v>0</v>
      </c>
      <c r="M98" s="390">
        <f>SUMPRODUCT(($C$88=Producción_Agricola[Movimiento])*(Producción_Agricola[Financiero $Corrientes])*($G98=Producción_Agricola[Unidad de Negocio])*(M$1=Producción_Agricola[Mes Financiero])*(M$2=Producción_Agricola[Año Financiero]))</f>
        <v>0</v>
      </c>
      <c r="N98" s="391">
        <f>SUMPRODUCT(($C$88=Producción_Agricola[Movimiento])*(Producción_Agricola[Financiero $Corrientes])*($G98=Producción_Agricola[Unidad de Negocio])*(N$1=Producción_Agricola[Mes Financiero])*(N$2=Producción_Agricola[Año Financiero]))</f>
        <v>0</v>
      </c>
      <c r="O98" s="390">
        <f>SUMPRODUCT(($C$88=Producción_Agricola[Movimiento])*(Producción_Agricola[Financiero $Corrientes])*($G98=Producción_Agricola[Unidad de Negocio])*(O$1=Producción_Agricola[Mes Financiero])*(O$2=Producción_Agricola[Año Financiero]))</f>
        <v>0</v>
      </c>
      <c r="P98" s="391">
        <f>SUMPRODUCT(($C$88=Producción_Agricola[Movimiento])*(Producción_Agricola[Financiero $Corrientes])*($G98=Producción_Agricola[Unidad de Negocio])*(P$1=Producción_Agricola[Mes Financiero])*(P$2=Producción_Agricola[Año Financiero]))</f>
        <v>0</v>
      </c>
      <c r="Q98" s="390">
        <f>SUMPRODUCT(($C$88=Producción_Agricola[Movimiento])*(Producción_Agricola[Financiero $Corrientes])*($G98=Producción_Agricola[Unidad de Negocio])*(Q$1=Producción_Agricola[Mes Financiero])*(Q$2=Producción_Agricola[Año Financiero]))</f>
        <v>0</v>
      </c>
      <c r="R98" s="391">
        <f>SUMPRODUCT(($C$88=Producción_Agricola[Movimiento])*(Producción_Agricola[Financiero $Corrientes])*($G98=Producción_Agricola[Unidad de Negocio])*(R$1=Producción_Agricola[Mes Financiero])*(R$2=Producción_Agricola[Año Financiero]))</f>
        <v>0</v>
      </c>
      <c r="S98" s="390">
        <f>SUMPRODUCT(($C$88=Producción_Agricola[Movimiento])*(Producción_Agricola[Financiero $Corrientes])*($G98=Producción_Agricola[Unidad de Negocio])*(S$1=Producción_Agricola[Mes Financiero])*(S$2=Producción_Agricola[Año Financiero]))</f>
        <v>0</v>
      </c>
      <c r="T98" s="391">
        <f>SUMPRODUCT(($C$88=Producción_Agricola[Movimiento])*(Producción_Agricola[Financiero $Corrientes])*($G98=Producción_Agricola[Unidad de Negocio])*(T$1=Producción_Agricola[Mes Financiero])*(T$2=Producción_Agricola[Año Financiero]))</f>
        <v>0</v>
      </c>
      <c r="U98" s="390">
        <f>SUMPRODUCT(($C$88=Producción_Agricola[Movimiento])*(Producción_Agricola[Financiero $Corrientes])*($G98=Producción_Agricola[Unidad de Negocio])*(U$1=Producción_Agricola[Mes Financiero])*(U$2=Producción_Agricola[Año Financiero]))</f>
        <v>0</v>
      </c>
      <c r="V98" s="391">
        <f>SUMPRODUCT(($C$88=Producción_Agricola[Movimiento])*(Producción_Agricola[Financiero $Corrientes])*($G98=Producción_Agricola[Unidad de Negocio])*(V$1=Producción_Agricola[Mes Financiero])*(V$2=Producción_Agricola[Año Financiero]))</f>
        <v>0</v>
      </c>
      <c r="W98" s="390">
        <f>SUMPRODUCT(($C$88=Producción_Agricola[Movimiento])*(Producción_Agricola[Financiero $Corrientes])*($G98=Producción_Agricola[Unidad de Negocio])*(W$1=Producción_Agricola[Mes Financiero])*(W$2=Producción_Agricola[Año Financiero]))</f>
        <v>0</v>
      </c>
      <c r="X98" s="391">
        <f>SUMPRODUCT(($C$88=Producción_Agricola[Movimiento])*(Producción_Agricola[Financiero $Corrientes])*($G98=Producción_Agricola[Unidad de Negocio])*(X$1=Producción_Agricola[Mes Financiero])*(X$2=Producción_Agricola[Año Financiero]))</f>
        <v>0</v>
      </c>
      <c r="Y98" s="390">
        <f>SUMPRODUCT(($C$88=Producción_Agricola[Movimiento])*(Producción_Agricola[Financiero $Corrientes])*($G98=Producción_Agricola[Unidad de Negocio])*(Y$1=Producción_Agricola[Mes Financiero])*(Y$2=Producción_Agricola[Año Financiero]))</f>
        <v>0</v>
      </c>
      <c r="Z98" s="392"/>
    </row>
    <row r="99" spans="2:30" hidden="1" outlineLevel="2" x14ac:dyDescent="0.25">
      <c r="E99" s="135"/>
      <c r="F99" s="226">
        <f>IFERROR(MATCH('Financiero $'!G99,Tabla8[Unidades de Negocio],0),0)</f>
        <v>11</v>
      </c>
      <c r="G99" s="225" t="str">
        <f>Configuración!U15</f>
        <v>Sorgo</v>
      </c>
      <c r="H99" s="391">
        <f>SUMPRODUCT(($C$88=Producción_Agricola[Movimiento])*(Producción_Agricola[Financiero $Corrientes])*($G99=Producción_Agricola[Unidad de Negocio])*(H$1=Producción_Agricola[Mes Financiero])*(H$2=Producción_Agricola[Año Financiero]))</f>
        <v>0</v>
      </c>
      <c r="I99" s="390">
        <f>SUMPRODUCT(($C$88=Producción_Agricola[Movimiento])*(Producción_Agricola[Financiero $Corrientes])*($G99=Producción_Agricola[Unidad de Negocio])*(I$1=Producción_Agricola[Mes Financiero])*(I$2=Producción_Agricola[Año Financiero]))</f>
        <v>0</v>
      </c>
      <c r="J99" s="391">
        <f>SUMPRODUCT(($C$88=Producción_Agricola[Movimiento])*(Producción_Agricola[Financiero $Corrientes])*($G99=Producción_Agricola[Unidad de Negocio])*(J$1=Producción_Agricola[Mes Financiero])*(J$2=Producción_Agricola[Año Financiero]))</f>
        <v>0</v>
      </c>
      <c r="K99" s="390">
        <f>SUMPRODUCT(($C$88=Producción_Agricola[Movimiento])*(Producción_Agricola[Financiero $Corrientes])*($G99=Producción_Agricola[Unidad de Negocio])*(K$1=Producción_Agricola[Mes Financiero])*(K$2=Producción_Agricola[Año Financiero]))</f>
        <v>0</v>
      </c>
      <c r="L99" s="391">
        <f>SUMPRODUCT(($C$88=Producción_Agricola[Movimiento])*(Producción_Agricola[Financiero $Corrientes])*($G99=Producción_Agricola[Unidad de Negocio])*(L$1=Producción_Agricola[Mes Financiero])*(L$2=Producción_Agricola[Año Financiero]))</f>
        <v>0</v>
      </c>
      <c r="M99" s="390">
        <f>SUMPRODUCT(($C$88=Producción_Agricola[Movimiento])*(Producción_Agricola[Financiero $Corrientes])*($G99=Producción_Agricola[Unidad de Negocio])*(M$1=Producción_Agricola[Mes Financiero])*(M$2=Producción_Agricola[Año Financiero]))</f>
        <v>0</v>
      </c>
      <c r="N99" s="391">
        <f>SUMPRODUCT(($C$88=Producción_Agricola[Movimiento])*(Producción_Agricola[Financiero $Corrientes])*($G99=Producción_Agricola[Unidad de Negocio])*(N$1=Producción_Agricola[Mes Financiero])*(N$2=Producción_Agricola[Año Financiero]))</f>
        <v>0</v>
      </c>
      <c r="O99" s="390">
        <f>SUMPRODUCT(($C$88=Producción_Agricola[Movimiento])*(Producción_Agricola[Financiero $Corrientes])*($G99=Producción_Agricola[Unidad de Negocio])*(O$1=Producción_Agricola[Mes Financiero])*(O$2=Producción_Agricola[Año Financiero]))</f>
        <v>0</v>
      </c>
      <c r="P99" s="391">
        <f>SUMPRODUCT(($C$88=Producción_Agricola[Movimiento])*(Producción_Agricola[Financiero $Corrientes])*($G99=Producción_Agricola[Unidad de Negocio])*(P$1=Producción_Agricola[Mes Financiero])*(P$2=Producción_Agricola[Año Financiero]))</f>
        <v>0</v>
      </c>
      <c r="Q99" s="390">
        <f>SUMPRODUCT(($C$88=Producción_Agricola[Movimiento])*(Producción_Agricola[Financiero $Corrientes])*($G99=Producción_Agricola[Unidad de Negocio])*(Q$1=Producción_Agricola[Mes Financiero])*(Q$2=Producción_Agricola[Año Financiero]))</f>
        <v>0</v>
      </c>
      <c r="R99" s="391">
        <f>SUMPRODUCT(($C$88=Producción_Agricola[Movimiento])*(Producción_Agricola[Financiero $Corrientes])*($G99=Producción_Agricola[Unidad de Negocio])*(R$1=Producción_Agricola[Mes Financiero])*(R$2=Producción_Agricola[Año Financiero]))</f>
        <v>0</v>
      </c>
      <c r="S99" s="390">
        <f>SUMPRODUCT(($C$88=Producción_Agricola[Movimiento])*(Producción_Agricola[Financiero $Corrientes])*($G99=Producción_Agricola[Unidad de Negocio])*(S$1=Producción_Agricola[Mes Financiero])*(S$2=Producción_Agricola[Año Financiero]))</f>
        <v>0</v>
      </c>
      <c r="T99" s="391">
        <f>SUMPRODUCT(($C$88=Producción_Agricola[Movimiento])*(Producción_Agricola[Financiero $Corrientes])*($G99=Producción_Agricola[Unidad de Negocio])*(T$1=Producción_Agricola[Mes Financiero])*(T$2=Producción_Agricola[Año Financiero]))</f>
        <v>0</v>
      </c>
      <c r="U99" s="390">
        <f>SUMPRODUCT(($C$88=Producción_Agricola[Movimiento])*(Producción_Agricola[Financiero $Corrientes])*($G99=Producción_Agricola[Unidad de Negocio])*(U$1=Producción_Agricola[Mes Financiero])*(U$2=Producción_Agricola[Año Financiero]))</f>
        <v>0</v>
      </c>
      <c r="V99" s="391">
        <f>SUMPRODUCT(($C$88=Producción_Agricola[Movimiento])*(Producción_Agricola[Financiero $Corrientes])*($G99=Producción_Agricola[Unidad de Negocio])*(V$1=Producción_Agricola[Mes Financiero])*(V$2=Producción_Agricola[Año Financiero]))</f>
        <v>0</v>
      </c>
      <c r="W99" s="390">
        <f>SUMPRODUCT(($C$88=Producción_Agricola[Movimiento])*(Producción_Agricola[Financiero $Corrientes])*($G99=Producción_Agricola[Unidad de Negocio])*(W$1=Producción_Agricola[Mes Financiero])*(W$2=Producción_Agricola[Año Financiero]))</f>
        <v>0</v>
      </c>
      <c r="X99" s="391">
        <f>SUMPRODUCT(($C$88=Producción_Agricola[Movimiento])*(Producción_Agricola[Financiero $Corrientes])*($G99=Producción_Agricola[Unidad de Negocio])*(X$1=Producción_Agricola[Mes Financiero])*(X$2=Producción_Agricola[Año Financiero]))</f>
        <v>0</v>
      </c>
      <c r="Y99" s="390">
        <f>SUMPRODUCT(($C$88=Producción_Agricola[Movimiento])*(Producción_Agricola[Financiero $Corrientes])*($G99=Producción_Agricola[Unidad de Negocio])*(Y$1=Producción_Agricola[Mes Financiero])*(Y$2=Producción_Agricola[Año Financiero]))</f>
        <v>0</v>
      </c>
      <c r="Z99" s="392"/>
    </row>
    <row r="100" spans="2:30" hidden="1" outlineLevel="2" x14ac:dyDescent="0.25">
      <c r="B100" s="166" t="s">
        <v>101</v>
      </c>
      <c r="E100" s="135"/>
      <c r="F100" s="227">
        <f>IFERROR(MATCH('Financiero $'!G100,Tabla8[Unidades de Negocio],0),0)</f>
        <v>12</v>
      </c>
      <c r="G100" s="214" t="str">
        <f>Configuración!U16</f>
        <v>Maíz Silo</v>
      </c>
      <c r="H100" s="393">
        <f>SUMPRODUCT(($C$88=Producción_Agricola[Movimiento])*(Producción_Agricola[Financiero $Corrientes])*($G100=Producción_Agricola[Unidad de Negocio])*(H$1=Producción_Agricola[Mes Financiero])*(H$2=Producción_Agricola[Año Financiero]))</f>
        <v>0</v>
      </c>
      <c r="I100" s="394">
        <f>SUMPRODUCT(($C$88=Producción_Agricola[Movimiento])*(Producción_Agricola[Financiero $Corrientes])*($G100=Producción_Agricola[Unidad de Negocio])*(I$1=Producción_Agricola[Mes Financiero])*(I$2=Producción_Agricola[Año Financiero]))</f>
        <v>0</v>
      </c>
      <c r="J100" s="393">
        <f>SUMPRODUCT(($C$88=Producción_Agricola[Movimiento])*(Producción_Agricola[Financiero $Corrientes])*($G100=Producción_Agricola[Unidad de Negocio])*(J$1=Producción_Agricola[Mes Financiero])*(J$2=Producción_Agricola[Año Financiero]))</f>
        <v>0</v>
      </c>
      <c r="K100" s="394">
        <f>SUMPRODUCT(($C$88=Producción_Agricola[Movimiento])*(Producción_Agricola[Financiero $Corrientes])*($G100=Producción_Agricola[Unidad de Negocio])*(K$1=Producción_Agricola[Mes Financiero])*(K$2=Producción_Agricola[Año Financiero]))</f>
        <v>0</v>
      </c>
      <c r="L100" s="393">
        <f>SUMPRODUCT(($C$88=Producción_Agricola[Movimiento])*(Producción_Agricola[Financiero $Corrientes])*($G100=Producción_Agricola[Unidad de Negocio])*(L$1=Producción_Agricola[Mes Financiero])*(L$2=Producción_Agricola[Año Financiero]))</f>
        <v>0</v>
      </c>
      <c r="M100" s="394">
        <f>SUMPRODUCT(($C$88=Producción_Agricola[Movimiento])*(Producción_Agricola[Financiero $Corrientes])*($G100=Producción_Agricola[Unidad de Negocio])*(M$1=Producción_Agricola[Mes Financiero])*(M$2=Producción_Agricola[Año Financiero]))</f>
        <v>0</v>
      </c>
      <c r="N100" s="393">
        <f>SUMPRODUCT(($C$88=Producción_Agricola[Movimiento])*(Producción_Agricola[Financiero $Corrientes])*($G100=Producción_Agricola[Unidad de Negocio])*(N$1=Producción_Agricola[Mes Financiero])*(N$2=Producción_Agricola[Año Financiero]))</f>
        <v>0</v>
      </c>
      <c r="O100" s="394">
        <f>SUMPRODUCT(($C$88=Producción_Agricola[Movimiento])*(Producción_Agricola[Financiero $Corrientes])*($G100=Producción_Agricola[Unidad de Negocio])*(O$1=Producción_Agricola[Mes Financiero])*(O$2=Producción_Agricola[Año Financiero]))</f>
        <v>0</v>
      </c>
      <c r="P100" s="393">
        <f>SUMPRODUCT(($C$88=Producción_Agricola[Movimiento])*(Producción_Agricola[Financiero $Corrientes])*($G100=Producción_Agricola[Unidad de Negocio])*(P$1=Producción_Agricola[Mes Financiero])*(P$2=Producción_Agricola[Año Financiero]))</f>
        <v>0</v>
      </c>
      <c r="Q100" s="394">
        <f>SUMPRODUCT(($C$88=Producción_Agricola[Movimiento])*(Producción_Agricola[Financiero $Corrientes])*($G100=Producción_Agricola[Unidad de Negocio])*(Q$1=Producción_Agricola[Mes Financiero])*(Q$2=Producción_Agricola[Año Financiero]))</f>
        <v>0</v>
      </c>
      <c r="R100" s="393">
        <f>SUMPRODUCT(($C$88=Producción_Agricola[Movimiento])*(Producción_Agricola[Financiero $Corrientes])*($G100=Producción_Agricola[Unidad de Negocio])*(R$1=Producción_Agricola[Mes Financiero])*(R$2=Producción_Agricola[Año Financiero]))</f>
        <v>0</v>
      </c>
      <c r="S100" s="394">
        <f>SUMPRODUCT(($C$88=Producción_Agricola[Movimiento])*(Producción_Agricola[Financiero $Corrientes])*($G100=Producción_Agricola[Unidad de Negocio])*(S$1=Producción_Agricola[Mes Financiero])*(S$2=Producción_Agricola[Año Financiero]))</f>
        <v>0</v>
      </c>
      <c r="T100" s="393">
        <f>SUMPRODUCT(($C$88=Producción_Agricola[Movimiento])*(Producción_Agricola[Financiero $Corrientes])*($G100=Producción_Agricola[Unidad de Negocio])*(T$1=Producción_Agricola[Mes Financiero])*(T$2=Producción_Agricola[Año Financiero]))</f>
        <v>0</v>
      </c>
      <c r="U100" s="394">
        <f>SUMPRODUCT(($C$88=Producción_Agricola[Movimiento])*(Producción_Agricola[Financiero $Corrientes])*($G100=Producción_Agricola[Unidad de Negocio])*(U$1=Producción_Agricola[Mes Financiero])*(U$2=Producción_Agricola[Año Financiero]))</f>
        <v>0</v>
      </c>
      <c r="V100" s="393">
        <f>SUMPRODUCT(($C$88=Producción_Agricola[Movimiento])*(Producción_Agricola[Financiero $Corrientes])*($G100=Producción_Agricola[Unidad de Negocio])*(V$1=Producción_Agricola[Mes Financiero])*(V$2=Producción_Agricola[Año Financiero]))</f>
        <v>0</v>
      </c>
      <c r="W100" s="394">
        <f>SUMPRODUCT(($C$88=Producción_Agricola[Movimiento])*(Producción_Agricola[Financiero $Corrientes])*($G100=Producción_Agricola[Unidad de Negocio])*(W$1=Producción_Agricola[Mes Financiero])*(W$2=Producción_Agricola[Año Financiero]))</f>
        <v>0</v>
      </c>
      <c r="X100" s="393">
        <f>SUMPRODUCT(($C$88=Producción_Agricola[Movimiento])*(Producción_Agricola[Financiero $Corrientes])*($G100=Producción_Agricola[Unidad de Negocio])*(X$1=Producción_Agricola[Mes Financiero])*(X$2=Producción_Agricola[Año Financiero]))</f>
        <v>0</v>
      </c>
      <c r="Y100" s="394">
        <f>SUMPRODUCT(($C$88=Producción_Agricola[Movimiento])*(Producción_Agricola[Financiero $Corrientes])*($G100=Producción_Agricola[Unidad de Negocio])*(Y$1=Producción_Agricola[Mes Financiero])*(Y$2=Producción_Agricola[Año Financiero]))</f>
        <v>0</v>
      </c>
      <c r="Z100" s="395"/>
    </row>
    <row r="101" spans="2:30" hidden="1" outlineLevel="1" collapsed="1" x14ac:dyDescent="0.25">
      <c r="E101" s="221">
        <f>IFERROR(MATCH(F101,Produccion_Agricola_Cuentas[Cuenta Contable],0),0)</f>
        <v>2</v>
      </c>
      <c r="F101" s="116" t="s">
        <v>18</v>
      </c>
      <c r="H101" s="103">
        <f>SUMPRODUCT(($C$88=Producción_Agricola[Movimiento])*(Producción_Agricola[Financiero $Corrientes])*($F101=Producción_Agricola[Cuenta Contable])*(H$1=Producción_Agricola[Mes Financiero])*(H$2=Producción_Agricola[Año Financiero]))</f>
        <v>0</v>
      </c>
      <c r="I101" s="104">
        <f>SUMPRODUCT(($C$88=Producción_Agricola[Movimiento])*(Producción_Agricola[Financiero $Corrientes])*($F101=Producción_Agricola[Cuenta Contable])*(I$1=Producción_Agricola[Mes Financiero])*(I$2=Producción_Agricola[Año Financiero]))</f>
        <v>0</v>
      </c>
      <c r="J101" s="103">
        <f>SUMPRODUCT(($C$88=Producción_Agricola[Movimiento])*(Producción_Agricola[Financiero $Corrientes])*($F101=Producción_Agricola[Cuenta Contable])*(J$1=Producción_Agricola[Mes Financiero])*(J$2=Producción_Agricola[Año Financiero]))</f>
        <v>0</v>
      </c>
      <c r="K101" s="104">
        <f>SUMPRODUCT(($C$88=Producción_Agricola[Movimiento])*(Producción_Agricola[Financiero $Corrientes])*($F101=Producción_Agricola[Cuenta Contable])*(K$1=Producción_Agricola[Mes Financiero])*(K$2=Producción_Agricola[Año Financiero]))</f>
        <v>0</v>
      </c>
      <c r="L101" s="103">
        <f>SUMPRODUCT(($C$88=Producción_Agricola[Movimiento])*(Producción_Agricola[Financiero $Corrientes])*($F101=Producción_Agricola[Cuenta Contable])*(L$1=Producción_Agricola[Mes Financiero])*(L$2=Producción_Agricola[Año Financiero]))</f>
        <v>0</v>
      </c>
      <c r="M101" s="104">
        <f>SUMPRODUCT(($C$88=Producción_Agricola[Movimiento])*(Producción_Agricola[Financiero $Corrientes])*($F101=Producción_Agricola[Cuenta Contable])*(M$1=Producción_Agricola[Mes Financiero])*(M$2=Producción_Agricola[Año Financiero]))</f>
        <v>0</v>
      </c>
      <c r="N101" s="103">
        <f>SUMPRODUCT(($C$88=Producción_Agricola[Movimiento])*(Producción_Agricola[Financiero $Corrientes])*($F101=Producción_Agricola[Cuenta Contable])*(N$1=Producción_Agricola[Mes Financiero])*(N$2=Producción_Agricola[Año Financiero]))</f>
        <v>0</v>
      </c>
      <c r="O101" s="104">
        <f>SUMPRODUCT(($C$88=Producción_Agricola[Movimiento])*(Producción_Agricola[Financiero $Corrientes])*($F101=Producción_Agricola[Cuenta Contable])*(O$1=Producción_Agricola[Mes Financiero])*(O$2=Producción_Agricola[Año Financiero]))</f>
        <v>0</v>
      </c>
      <c r="P101" s="103">
        <f>SUMPRODUCT(($C$88=Producción_Agricola[Movimiento])*(Producción_Agricola[Financiero $Corrientes])*($F101=Producción_Agricola[Cuenta Contable])*(P$1=Producción_Agricola[Mes Financiero])*(P$2=Producción_Agricola[Año Financiero]))</f>
        <v>0</v>
      </c>
      <c r="Q101" s="104">
        <f>SUMPRODUCT(($C$88=Producción_Agricola[Movimiento])*(Producción_Agricola[Financiero $Corrientes])*($F101=Producción_Agricola[Cuenta Contable])*(Q$1=Producción_Agricola[Mes Financiero])*(Q$2=Producción_Agricola[Año Financiero]))</f>
        <v>0</v>
      </c>
      <c r="R101" s="103">
        <f>SUMPRODUCT(($C$88=Producción_Agricola[Movimiento])*(Producción_Agricola[Financiero $Corrientes])*($F101=Producción_Agricola[Cuenta Contable])*(R$1=Producción_Agricola[Mes Financiero])*(R$2=Producción_Agricola[Año Financiero]))</f>
        <v>0</v>
      </c>
      <c r="S101" s="104">
        <f>SUMPRODUCT(($C$88=Producción_Agricola[Movimiento])*(Producción_Agricola[Financiero $Corrientes])*($F101=Producción_Agricola[Cuenta Contable])*(S$1=Producción_Agricola[Mes Financiero])*(S$2=Producción_Agricola[Año Financiero]))</f>
        <v>0</v>
      </c>
      <c r="T101" s="103">
        <f>SUMPRODUCT(($C$88=Producción_Agricola[Movimiento])*(Producción_Agricola[Financiero $Corrientes])*($F101=Producción_Agricola[Cuenta Contable])*(T$1=Producción_Agricola[Mes Financiero])*(T$2=Producción_Agricola[Año Financiero]))</f>
        <v>0</v>
      </c>
      <c r="U101" s="104">
        <f>SUMPRODUCT(($C$88=Producción_Agricola[Movimiento])*(Producción_Agricola[Financiero $Corrientes])*($F101=Producción_Agricola[Cuenta Contable])*(U$1=Producción_Agricola[Mes Financiero])*(U$2=Producción_Agricola[Año Financiero]))</f>
        <v>0</v>
      </c>
      <c r="V101" s="103">
        <f>SUMPRODUCT(($C$88=Producción_Agricola[Movimiento])*(Producción_Agricola[Financiero $Corrientes])*($F101=Producción_Agricola[Cuenta Contable])*(V$1=Producción_Agricola[Mes Financiero])*(V$2=Producción_Agricola[Año Financiero]))</f>
        <v>0</v>
      </c>
      <c r="W101" s="104">
        <f>SUMPRODUCT(($C$88=Producción_Agricola[Movimiento])*(Producción_Agricola[Financiero $Corrientes])*($F101=Producción_Agricola[Cuenta Contable])*(W$1=Producción_Agricola[Mes Financiero])*(W$2=Producción_Agricola[Año Financiero]))</f>
        <v>0</v>
      </c>
      <c r="X101" s="103">
        <f>SUMPRODUCT(($C$88=Producción_Agricola[Movimiento])*(Producción_Agricola[Financiero $Corrientes])*($F101=Producción_Agricola[Cuenta Contable])*(X$1=Producción_Agricola[Mes Financiero])*(X$2=Producción_Agricola[Año Financiero]))</f>
        <v>0</v>
      </c>
      <c r="Y101" s="104">
        <f>SUMPRODUCT(($C$88=Producción_Agricola[Movimiento])*(Producción_Agricola[Financiero $Corrientes])*($F101=Producción_Agricola[Cuenta Contable])*(Y$1=Producción_Agricola[Mes Financiero])*(Y$2=Producción_Agricola[Año Financiero]))</f>
        <v>0</v>
      </c>
      <c r="Z101" s="144">
        <f t="shared" si="3"/>
        <v>0</v>
      </c>
      <c r="AC101" s="174">
        <f>SUMPRODUCT((F101=Produccion_Agricola_Cuentas[Cuenta Contable])*(Produccion_Agricola_Cuentas[IVA]))</f>
        <v>0.21</v>
      </c>
      <c r="AD101" s="174">
        <f>SUMPRODUCT((G101=Produccion_Agricola_Cuentas[Cuenta Contable])*(Produccion_Agricola_Cuentas[IVA]))</f>
        <v>0</v>
      </c>
    </row>
    <row r="102" spans="2:30" hidden="1" outlineLevel="1" x14ac:dyDescent="0.25">
      <c r="E102" s="221">
        <f>IFERROR(MATCH(F102,Produccion_Agricola_Cuentas[Cuenta Contable],0),0)</f>
        <v>3</v>
      </c>
      <c r="F102" s="116" t="s">
        <v>20</v>
      </c>
      <c r="H102" s="103">
        <f>SUMPRODUCT(($C$88=Producción_Agricola[Movimiento])*(Producción_Agricola[Financiero $Corrientes])*($F102=Producción_Agricola[Cuenta Contable])*(H$1=Producción_Agricola[Mes Financiero])*(H$2=Producción_Agricola[Año Financiero]))</f>
        <v>0</v>
      </c>
      <c r="I102" s="104">
        <f>SUMPRODUCT(($C$88=Producción_Agricola[Movimiento])*(Producción_Agricola[Financiero $Corrientes])*($F102=Producción_Agricola[Cuenta Contable])*(I$1=Producción_Agricola[Mes Financiero])*(I$2=Producción_Agricola[Año Financiero]))</f>
        <v>0</v>
      </c>
      <c r="J102" s="103">
        <f>SUMPRODUCT(($C$88=Producción_Agricola[Movimiento])*(Producción_Agricola[Financiero $Corrientes])*($F102=Producción_Agricola[Cuenta Contable])*(J$1=Producción_Agricola[Mes Financiero])*(J$2=Producción_Agricola[Año Financiero]))</f>
        <v>0</v>
      </c>
      <c r="K102" s="104">
        <f>SUMPRODUCT(($C$88=Producción_Agricola[Movimiento])*(Producción_Agricola[Financiero $Corrientes])*($F102=Producción_Agricola[Cuenta Contable])*(K$1=Producción_Agricola[Mes Financiero])*(K$2=Producción_Agricola[Año Financiero]))</f>
        <v>0</v>
      </c>
      <c r="L102" s="103">
        <f>SUMPRODUCT(($C$88=Producción_Agricola[Movimiento])*(Producción_Agricola[Financiero $Corrientes])*($F102=Producción_Agricola[Cuenta Contable])*(L$1=Producción_Agricola[Mes Financiero])*(L$2=Producción_Agricola[Año Financiero]))</f>
        <v>0</v>
      </c>
      <c r="M102" s="104">
        <f>SUMPRODUCT(($C$88=Producción_Agricola[Movimiento])*(Producción_Agricola[Financiero $Corrientes])*($F102=Producción_Agricola[Cuenta Contable])*(M$1=Producción_Agricola[Mes Financiero])*(M$2=Producción_Agricola[Año Financiero]))</f>
        <v>0</v>
      </c>
      <c r="N102" s="103">
        <f>SUMPRODUCT(($C$88=Producción_Agricola[Movimiento])*(Producción_Agricola[Financiero $Corrientes])*($F102=Producción_Agricola[Cuenta Contable])*(N$1=Producción_Agricola[Mes Financiero])*(N$2=Producción_Agricola[Año Financiero]))</f>
        <v>0</v>
      </c>
      <c r="O102" s="104">
        <f>SUMPRODUCT(($C$88=Producción_Agricola[Movimiento])*(Producción_Agricola[Financiero $Corrientes])*($F102=Producción_Agricola[Cuenta Contable])*(O$1=Producción_Agricola[Mes Financiero])*(O$2=Producción_Agricola[Año Financiero]))</f>
        <v>0</v>
      </c>
      <c r="P102" s="103">
        <f>SUMPRODUCT(($C$88=Producción_Agricola[Movimiento])*(Producción_Agricola[Financiero $Corrientes])*($F102=Producción_Agricola[Cuenta Contable])*(P$1=Producción_Agricola[Mes Financiero])*(P$2=Producción_Agricola[Año Financiero]))</f>
        <v>0</v>
      </c>
      <c r="Q102" s="104">
        <f>SUMPRODUCT(($C$88=Producción_Agricola[Movimiento])*(Producción_Agricola[Financiero $Corrientes])*($F102=Producción_Agricola[Cuenta Contable])*(Q$1=Producción_Agricola[Mes Financiero])*(Q$2=Producción_Agricola[Año Financiero]))</f>
        <v>0</v>
      </c>
      <c r="R102" s="103">
        <f>SUMPRODUCT(($C$88=Producción_Agricola[Movimiento])*(Producción_Agricola[Financiero $Corrientes])*($F102=Producción_Agricola[Cuenta Contable])*(R$1=Producción_Agricola[Mes Financiero])*(R$2=Producción_Agricola[Año Financiero]))</f>
        <v>0</v>
      </c>
      <c r="S102" s="104">
        <f>SUMPRODUCT(($C$88=Producción_Agricola[Movimiento])*(Producción_Agricola[Financiero $Corrientes])*($F102=Producción_Agricola[Cuenta Contable])*(S$1=Producción_Agricola[Mes Financiero])*(S$2=Producción_Agricola[Año Financiero]))</f>
        <v>0</v>
      </c>
      <c r="T102" s="103">
        <f>SUMPRODUCT(($C$88=Producción_Agricola[Movimiento])*(Producción_Agricola[Financiero $Corrientes])*($F102=Producción_Agricola[Cuenta Contable])*(T$1=Producción_Agricola[Mes Financiero])*(T$2=Producción_Agricola[Año Financiero]))</f>
        <v>0</v>
      </c>
      <c r="U102" s="104">
        <f>SUMPRODUCT(($C$88=Producción_Agricola[Movimiento])*(Producción_Agricola[Financiero $Corrientes])*($F102=Producción_Agricola[Cuenta Contable])*(U$1=Producción_Agricola[Mes Financiero])*(U$2=Producción_Agricola[Año Financiero]))</f>
        <v>0</v>
      </c>
      <c r="V102" s="103">
        <f>SUMPRODUCT(($C$88=Producción_Agricola[Movimiento])*(Producción_Agricola[Financiero $Corrientes])*($F102=Producción_Agricola[Cuenta Contable])*(V$1=Producción_Agricola[Mes Financiero])*(V$2=Producción_Agricola[Año Financiero]))</f>
        <v>0</v>
      </c>
      <c r="W102" s="104">
        <f>SUMPRODUCT(($C$88=Producción_Agricola[Movimiento])*(Producción_Agricola[Financiero $Corrientes])*($F102=Producción_Agricola[Cuenta Contable])*(W$1=Producción_Agricola[Mes Financiero])*(W$2=Producción_Agricola[Año Financiero]))</f>
        <v>0</v>
      </c>
      <c r="X102" s="103">
        <f>SUMPRODUCT(($C$88=Producción_Agricola[Movimiento])*(Producción_Agricola[Financiero $Corrientes])*($F102=Producción_Agricola[Cuenta Contable])*(X$1=Producción_Agricola[Mes Financiero])*(X$2=Producción_Agricola[Año Financiero]))</f>
        <v>0</v>
      </c>
      <c r="Y102" s="104">
        <f>SUMPRODUCT(($C$88=Producción_Agricola[Movimiento])*(Producción_Agricola[Financiero $Corrientes])*($F102=Producción_Agricola[Cuenta Contable])*(Y$1=Producción_Agricola[Mes Financiero])*(Y$2=Producción_Agricola[Año Financiero]))</f>
        <v>0</v>
      </c>
      <c r="Z102" s="144">
        <f t="shared" si="3"/>
        <v>0</v>
      </c>
      <c r="AC102" s="174">
        <f>SUMPRODUCT((F102=Produccion_Agricola_Cuentas[Cuenta Contable])*(Produccion_Agricola_Cuentas[IVA]))</f>
        <v>0.21</v>
      </c>
      <c r="AD102" s="174">
        <f>SUMPRODUCT((G102=Produccion_Agricola_Cuentas[Cuenta Contable])*(Produccion_Agricola_Cuentas[IVA]))</f>
        <v>0</v>
      </c>
    </row>
    <row r="103" spans="2:30" hidden="1" outlineLevel="1" x14ac:dyDescent="0.25">
      <c r="E103" s="221">
        <f>IFERROR(MATCH(F103,Produccion_Agricola_Cuentas[Cuenta Contable],0),0)</f>
        <v>4</v>
      </c>
      <c r="F103" s="116" t="s">
        <v>21</v>
      </c>
      <c r="H103" s="103">
        <f>SUMPRODUCT(($C$88=Producción_Agricola[Movimiento])*(Producción_Agricola[Financiero $Corrientes])*($F103=Producción_Agricola[Cuenta Contable])*(H$1=Producción_Agricola[Mes Financiero])*(H$2=Producción_Agricola[Año Financiero]))</f>
        <v>0</v>
      </c>
      <c r="I103" s="104">
        <f>SUMPRODUCT(($C$88=Producción_Agricola[Movimiento])*(Producción_Agricola[Financiero $Corrientes])*($F103=Producción_Agricola[Cuenta Contable])*(I$1=Producción_Agricola[Mes Financiero])*(I$2=Producción_Agricola[Año Financiero]))</f>
        <v>0</v>
      </c>
      <c r="J103" s="103">
        <f>SUMPRODUCT(($C$88=Producción_Agricola[Movimiento])*(Producción_Agricola[Financiero $Corrientes])*($F103=Producción_Agricola[Cuenta Contable])*(J$1=Producción_Agricola[Mes Financiero])*(J$2=Producción_Agricola[Año Financiero]))</f>
        <v>0</v>
      </c>
      <c r="K103" s="104">
        <f>SUMPRODUCT(($C$88=Producción_Agricola[Movimiento])*(Producción_Agricola[Financiero $Corrientes])*($F103=Producción_Agricola[Cuenta Contable])*(K$1=Producción_Agricola[Mes Financiero])*(K$2=Producción_Agricola[Año Financiero]))</f>
        <v>0</v>
      </c>
      <c r="L103" s="103">
        <f>SUMPRODUCT(($C$88=Producción_Agricola[Movimiento])*(Producción_Agricola[Financiero $Corrientes])*($F103=Producción_Agricola[Cuenta Contable])*(L$1=Producción_Agricola[Mes Financiero])*(L$2=Producción_Agricola[Año Financiero]))</f>
        <v>0</v>
      </c>
      <c r="M103" s="104">
        <f>SUMPRODUCT(($C$88=Producción_Agricola[Movimiento])*(Producción_Agricola[Financiero $Corrientes])*($F103=Producción_Agricola[Cuenta Contable])*(M$1=Producción_Agricola[Mes Financiero])*(M$2=Producción_Agricola[Año Financiero]))</f>
        <v>0</v>
      </c>
      <c r="N103" s="103">
        <f>SUMPRODUCT(($C$88=Producción_Agricola[Movimiento])*(Producción_Agricola[Financiero $Corrientes])*($F103=Producción_Agricola[Cuenta Contable])*(N$1=Producción_Agricola[Mes Financiero])*(N$2=Producción_Agricola[Año Financiero]))</f>
        <v>0</v>
      </c>
      <c r="O103" s="104">
        <f>SUMPRODUCT(($C$88=Producción_Agricola[Movimiento])*(Producción_Agricola[Financiero $Corrientes])*($F103=Producción_Agricola[Cuenta Contable])*(O$1=Producción_Agricola[Mes Financiero])*(O$2=Producción_Agricola[Año Financiero]))</f>
        <v>0</v>
      </c>
      <c r="P103" s="103">
        <f>SUMPRODUCT(($C$88=Producción_Agricola[Movimiento])*(Producción_Agricola[Financiero $Corrientes])*($F103=Producción_Agricola[Cuenta Contable])*(P$1=Producción_Agricola[Mes Financiero])*(P$2=Producción_Agricola[Año Financiero]))</f>
        <v>0</v>
      </c>
      <c r="Q103" s="104">
        <f>SUMPRODUCT(($C$88=Producción_Agricola[Movimiento])*(Producción_Agricola[Financiero $Corrientes])*($F103=Producción_Agricola[Cuenta Contable])*(Q$1=Producción_Agricola[Mes Financiero])*(Q$2=Producción_Agricola[Año Financiero]))</f>
        <v>0</v>
      </c>
      <c r="R103" s="103">
        <f>SUMPRODUCT(($C$88=Producción_Agricola[Movimiento])*(Producción_Agricola[Financiero $Corrientes])*($F103=Producción_Agricola[Cuenta Contable])*(R$1=Producción_Agricola[Mes Financiero])*(R$2=Producción_Agricola[Año Financiero]))</f>
        <v>0</v>
      </c>
      <c r="S103" s="104">
        <f>SUMPRODUCT(($C$88=Producción_Agricola[Movimiento])*(Producción_Agricola[Financiero $Corrientes])*($F103=Producción_Agricola[Cuenta Contable])*(S$1=Producción_Agricola[Mes Financiero])*(S$2=Producción_Agricola[Año Financiero]))</f>
        <v>0</v>
      </c>
      <c r="T103" s="103">
        <f>SUMPRODUCT(($C$88=Producción_Agricola[Movimiento])*(Producción_Agricola[Financiero $Corrientes])*($F103=Producción_Agricola[Cuenta Contable])*(T$1=Producción_Agricola[Mes Financiero])*(T$2=Producción_Agricola[Año Financiero]))</f>
        <v>0</v>
      </c>
      <c r="U103" s="104">
        <f>SUMPRODUCT(($C$88=Producción_Agricola[Movimiento])*(Producción_Agricola[Financiero $Corrientes])*($F103=Producción_Agricola[Cuenta Contable])*(U$1=Producción_Agricola[Mes Financiero])*(U$2=Producción_Agricola[Año Financiero]))</f>
        <v>0</v>
      </c>
      <c r="V103" s="103">
        <f>SUMPRODUCT(($C$88=Producción_Agricola[Movimiento])*(Producción_Agricola[Financiero $Corrientes])*($F103=Producción_Agricola[Cuenta Contable])*(V$1=Producción_Agricola[Mes Financiero])*(V$2=Producción_Agricola[Año Financiero]))</f>
        <v>0</v>
      </c>
      <c r="W103" s="104">
        <f>SUMPRODUCT(($C$88=Producción_Agricola[Movimiento])*(Producción_Agricola[Financiero $Corrientes])*($F103=Producción_Agricola[Cuenta Contable])*(W$1=Producción_Agricola[Mes Financiero])*(W$2=Producción_Agricola[Año Financiero]))</f>
        <v>0</v>
      </c>
      <c r="X103" s="103">
        <f>SUMPRODUCT(($C$88=Producción_Agricola[Movimiento])*(Producción_Agricola[Financiero $Corrientes])*($F103=Producción_Agricola[Cuenta Contable])*(X$1=Producción_Agricola[Mes Financiero])*(X$2=Producción_Agricola[Año Financiero]))</f>
        <v>0</v>
      </c>
      <c r="Y103" s="104">
        <f>SUMPRODUCT(($C$88=Producción_Agricola[Movimiento])*(Producción_Agricola[Financiero $Corrientes])*($F103=Producción_Agricola[Cuenta Contable])*(Y$1=Producción_Agricola[Mes Financiero])*(Y$2=Producción_Agricola[Año Financiero]))</f>
        <v>0</v>
      </c>
      <c r="Z103" s="144">
        <f t="shared" si="3"/>
        <v>0</v>
      </c>
      <c r="AC103" s="174">
        <f>SUMPRODUCT((F103=Produccion_Agricola_Cuentas[Cuenta Contable])*(Produccion_Agricola_Cuentas[IVA]))</f>
        <v>0.21</v>
      </c>
      <c r="AD103" s="174">
        <f>SUMPRODUCT((G103=Produccion_Agricola_Cuentas[Cuenta Contable])*(Produccion_Agricola_Cuentas[IVA]))</f>
        <v>0</v>
      </c>
    </row>
    <row r="104" spans="2:30" hidden="1" outlineLevel="1" x14ac:dyDescent="0.25">
      <c r="E104" s="221">
        <f>IFERROR(MATCH(F104,Produccion_Agricola_Cuentas[Cuenta Contable],0),0)</f>
        <v>5</v>
      </c>
      <c r="F104" s="116" t="s">
        <v>19</v>
      </c>
      <c r="H104" s="103">
        <f>SUMPRODUCT(($C$88=Producción_Agricola[Movimiento])*(Producción_Agricola[Financiero $Corrientes])*($F104=Producción_Agricola[Cuenta Contable])*(H$1=Producción_Agricola[Mes Financiero])*(H$2=Producción_Agricola[Año Financiero]))</f>
        <v>0</v>
      </c>
      <c r="I104" s="104">
        <f>SUMPRODUCT(($C$88=Producción_Agricola[Movimiento])*(Producción_Agricola[Financiero $Corrientes])*($F104=Producción_Agricola[Cuenta Contable])*(I$1=Producción_Agricola[Mes Financiero])*(I$2=Producción_Agricola[Año Financiero]))</f>
        <v>0</v>
      </c>
      <c r="J104" s="103">
        <f>SUMPRODUCT(($C$88=Producción_Agricola[Movimiento])*(Producción_Agricola[Financiero $Corrientes])*($F104=Producción_Agricola[Cuenta Contable])*(J$1=Producción_Agricola[Mes Financiero])*(J$2=Producción_Agricola[Año Financiero]))</f>
        <v>0</v>
      </c>
      <c r="K104" s="104">
        <f>SUMPRODUCT(($C$88=Producción_Agricola[Movimiento])*(Producción_Agricola[Financiero $Corrientes])*($F104=Producción_Agricola[Cuenta Contable])*(K$1=Producción_Agricola[Mes Financiero])*(K$2=Producción_Agricola[Año Financiero]))</f>
        <v>0</v>
      </c>
      <c r="L104" s="103">
        <f>SUMPRODUCT(($C$88=Producción_Agricola[Movimiento])*(Producción_Agricola[Financiero $Corrientes])*($F104=Producción_Agricola[Cuenta Contable])*(L$1=Producción_Agricola[Mes Financiero])*(L$2=Producción_Agricola[Año Financiero]))</f>
        <v>0</v>
      </c>
      <c r="M104" s="104">
        <f>SUMPRODUCT(($C$88=Producción_Agricola[Movimiento])*(Producción_Agricola[Financiero $Corrientes])*($F104=Producción_Agricola[Cuenta Contable])*(M$1=Producción_Agricola[Mes Financiero])*(M$2=Producción_Agricola[Año Financiero]))</f>
        <v>0</v>
      </c>
      <c r="N104" s="103">
        <f>SUMPRODUCT(($C$88=Producción_Agricola[Movimiento])*(Producción_Agricola[Financiero $Corrientes])*($F104=Producción_Agricola[Cuenta Contable])*(N$1=Producción_Agricola[Mes Financiero])*(N$2=Producción_Agricola[Año Financiero]))</f>
        <v>0</v>
      </c>
      <c r="O104" s="104">
        <f>SUMPRODUCT(($C$88=Producción_Agricola[Movimiento])*(Producción_Agricola[Financiero $Corrientes])*($F104=Producción_Agricola[Cuenta Contable])*(O$1=Producción_Agricola[Mes Financiero])*(O$2=Producción_Agricola[Año Financiero]))</f>
        <v>0</v>
      </c>
      <c r="P104" s="103">
        <f>SUMPRODUCT(($C$88=Producción_Agricola[Movimiento])*(Producción_Agricola[Financiero $Corrientes])*($F104=Producción_Agricola[Cuenta Contable])*(P$1=Producción_Agricola[Mes Financiero])*(P$2=Producción_Agricola[Año Financiero]))</f>
        <v>0</v>
      </c>
      <c r="Q104" s="104">
        <f>SUMPRODUCT(($C$88=Producción_Agricola[Movimiento])*(Producción_Agricola[Financiero $Corrientes])*($F104=Producción_Agricola[Cuenta Contable])*(Q$1=Producción_Agricola[Mes Financiero])*(Q$2=Producción_Agricola[Año Financiero]))</f>
        <v>0</v>
      </c>
      <c r="R104" s="103">
        <f>SUMPRODUCT(($C$88=Producción_Agricola[Movimiento])*(Producción_Agricola[Financiero $Corrientes])*($F104=Producción_Agricola[Cuenta Contable])*(R$1=Producción_Agricola[Mes Financiero])*(R$2=Producción_Agricola[Año Financiero]))</f>
        <v>0</v>
      </c>
      <c r="S104" s="104">
        <f>SUMPRODUCT(($C$88=Producción_Agricola[Movimiento])*(Producción_Agricola[Financiero $Corrientes])*($F104=Producción_Agricola[Cuenta Contable])*(S$1=Producción_Agricola[Mes Financiero])*(S$2=Producción_Agricola[Año Financiero]))</f>
        <v>0</v>
      </c>
      <c r="T104" s="103">
        <f>SUMPRODUCT(($C$88=Producción_Agricola[Movimiento])*(Producción_Agricola[Financiero $Corrientes])*($F104=Producción_Agricola[Cuenta Contable])*(T$1=Producción_Agricola[Mes Financiero])*(T$2=Producción_Agricola[Año Financiero]))</f>
        <v>0</v>
      </c>
      <c r="U104" s="104">
        <f>SUMPRODUCT(($C$88=Producción_Agricola[Movimiento])*(Producción_Agricola[Financiero $Corrientes])*($F104=Producción_Agricola[Cuenta Contable])*(U$1=Producción_Agricola[Mes Financiero])*(U$2=Producción_Agricola[Año Financiero]))</f>
        <v>0</v>
      </c>
      <c r="V104" s="103">
        <f>SUMPRODUCT(($C$88=Producción_Agricola[Movimiento])*(Producción_Agricola[Financiero $Corrientes])*($F104=Producción_Agricola[Cuenta Contable])*(V$1=Producción_Agricola[Mes Financiero])*(V$2=Producción_Agricola[Año Financiero]))</f>
        <v>0</v>
      </c>
      <c r="W104" s="104">
        <f>SUMPRODUCT(($C$88=Producción_Agricola[Movimiento])*(Producción_Agricola[Financiero $Corrientes])*($F104=Producción_Agricola[Cuenta Contable])*(W$1=Producción_Agricola[Mes Financiero])*(W$2=Producción_Agricola[Año Financiero]))</f>
        <v>0</v>
      </c>
      <c r="X104" s="103">
        <f>SUMPRODUCT(($C$88=Producción_Agricola[Movimiento])*(Producción_Agricola[Financiero $Corrientes])*($F104=Producción_Agricola[Cuenta Contable])*(X$1=Producción_Agricola[Mes Financiero])*(X$2=Producción_Agricola[Año Financiero]))</f>
        <v>0</v>
      </c>
      <c r="Y104" s="104">
        <f>SUMPRODUCT(($C$88=Producción_Agricola[Movimiento])*(Producción_Agricola[Financiero $Corrientes])*($F104=Producción_Agricola[Cuenta Contable])*(Y$1=Producción_Agricola[Mes Financiero])*(Y$2=Producción_Agricola[Año Financiero]))</f>
        <v>0</v>
      </c>
      <c r="Z104" s="144">
        <f t="shared" si="3"/>
        <v>0</v>
      </c>
      <c r="AC104" s="174">
        <f>SUMPRODUCT((F104=Produccion_Agricola_Cuentas[Cuenta Contable])*(Produccion_Agricola_Cuentas[IVA]))</f>
        <v>0.21</v>
      </c>
      <c r="AD104" s="174">
        <f>SUMPRODUCT((G104=Produccion_Agricola_Cuentas[Cuenta Contable])*(Produccion_Agricola_Cuentas[IVA]))</f>
        <v>0</v>
      </c>
    </row>
    <row r="105" spans="2:30" hidden="1" outlineLevel="1" x14ac:dyDescent="0.25">
      <c r="E105" s="221">
        <f>IFERROR(MATCH(F105,Produccion_Agricola_Cuentas[Cuenta Contable],0),0)</f>
        <v>6</v>
      </c>
      <c r="F105" s="116" t="s">
        <v>17</v>
      </c>
      <c r="H105" s="103">
        <f>SUMPRODUCT(($C$88=Producción_Agricola[Movimiento])*(Producción_Agricola[Financiero $Corrientes])*($F105=Producción_Agricola[Cuenta Contable])*(H$1=Producción_Agricola[Mes Financiero])*(H$2=Producción_Agricola[Año Financiero]))</f>
        <v>0</v>
      </c>
      <c r="I105" s="104">
        <f>SUMPRODUCT(($C$88=Producción_Agricola[Movimiento])*(Producción_Agricola[Financiero $Corrientes])*($F105=Producción_Agricola[Cuenta Contable])*(I$1=Producción_Agricola[Mes Financiero])*(I$2=Producción_Agricola[Año Financiero]))</f>
        <v>0</v>
      </c>
      <c r="J105" s="103">
        <f>SUMPRODUCT(($C$88=Producción_Agricola[Movimiento])*(Producción_Agricola[Financiero $Corrientes])*($F105=Producción_Agricola[Cuenta Contable])*(J$1=Producción_Agricola[Mes Financiero])*(J$2=Producción_Agricola[Año Financiero]))</f>
        <v>0</v>
      </c>
      <c r="K105" s="104">
        <f>SUMPRODUCT(($C$88=Producción_Agricola[Movimiento])*(Producción_Agricola[Financiero $Corrientes])*($F105=Producción_Agricola[Cuenta Contable])*(K$1=Producción_Agricola[Mes Financiero])*(K$2=Producción_Agricola[Año Financiero]))</f>
        <v>0</v>
      </c>
      <c r="L105" s="103">
        <f>SUMPRODUCT(($C$88=Producción_Agricola[Movimiento])*(Producción_Agricola[Financiero $Corrientes])*($F105=Producción_Agricola[Cuenta Contable])*(L$1=Producción_Agricola[Mes Financiero])*(L$2=Producción_Agricola[Año Financiero]))</f>
        <v>0</v>
      </c>
      <c r="M105" s="104">
        <f>SUMPRODUCT(($C$88=Producción_Agricola[Movimiento])*(Producción_Agricola[Financiero $Corrientes])*($F105=Producción_Agricola[Cuenta Contable])*(M$1=Producción_Agricola[Mes Financiero])*(M$2=Producción_Agricola[Año Financiero]))</f>
        <v>0</v>
      </c>
      <c r="N105" s="103">
        <f>SUMPRODUCT(($C$88=Producción_Agricola[Movimiento])*(Producción_Agricola[Financiero $Corrientes])*($F105=Producción_Agricola[Cuenta Contable])*(N$1=Producción_Agricola[Mes Financiero])*(N$2=Producción_Agricola[Año Financiero]))</f>
        <v>0</v>
      </c>
      <c r="O105" s="104">
        <f>SUMPRODUCT(($C$88=Producción_Agricola[Movimiento])*(Producción_Agricola[Financiero $Corrientes])*($F105=Producción_Agricola[Cuenta Contable])*(O$1=Producción_Agricola[Mes Financiero])*(O$2=Producción_Agricola[Año Financiero]))</f>
        <v>0</v>
      </c>
      <c r="P105" s="103">
        <f>SUMPRODUCT(($C$88=Producción_Agricola[Movimiento])*(Producción_Agricola[Financiero $Corrientes])*($F105=Producción_Agricola[Cuenta Contable])*(P$1=Producción_Agricola[Mes Financiero])*(P$2=Producción_Agricola[Año Financiero]))</f>
        <v>0</v>
      </c>
      <c r="Q105" s="104">
        <f>SUMPRODUCT(($C$88=Producción_Agricola[Movimiento])*(Producción_Agricola[Financiero $Corrientes])*($F105=Producción_Agricola[Cuenta Contable])*(Q$1=Producción_Agricola[Mes Financiero])*(Q$2=Producción_Agricola[Año Financiero]))</f>
        <v>0</v>
      </c>
      <c r="R105" s="103">
        <f>SUMPRODUCT(($C$88=Producción_Agricola[Movimiento])*(Producción_Agricola[Financiero $Corrientes])*($F105=Producción_Agricola[Cuenta Contable])*(R$1=Producción_Agricola[Mes Financiero])*(R$2=Producción_Agricola[Año Financiero]))</f>
        <v>0</v>
      </c>
      <c r="S105" s="104">
        <f>SUMPRODUCT(($C$88=Producción_Agricola[Movimiento])*(Producción_Agricola[Financiero $Corrientes])*($F105=Producción_Agricola[Cuenta Contable])*(S$1=Producción_Agricola[Mes Financiero])*(S$2=Producción_Agricola[Año Financiero]))</f>
        <v>0</v>
      </c>
      <c r="T105" s="103">
        <f>SUMPRODUCT(($C$88=Producción_Agricola[Movimiento])*(Producción_Agricola[Financiero $Corrientes])*($F105=Producción_Agricola[Cuenta Contable])*(T$1=Producción_Agricola[Mes Financiero])*(T$2=Producción_Agricola[Año Financiero]))</f>
        <v>0</v>
      </c>
      <c r="U105" s="104">
        <f>SUMPRODUCT(($C$88=Producción_Agricola[Movimiento])*(Producción_Agricola[Financiero $Corrientes])*($F105=Producción_Agricola[Cuenta Contable])*(U$1=Producción_Agricola[Mes Financiero])*(U$2=Producción_Agricola[Año Financiero]))</f>
        <v>0</v>
      </c>
      <c r="V105" s="103">
        <f>SUMPRODUCT(($C$88=Producción_Agricola[Movimiento])*(Producción_Agricola[Financiero $Corrientes])*($F105=Producción_Agricola[Cuenta Contable])*(V$1=Producción_Agricola[Mes Financiero])*(V$2=Producción_Agricola[Año Financiero]))</f>
        <v>0</v>
      </c>
      <c r="W105" s="104">
        <f>SUMPRODUCT(($C$88=Producción_Agricola[Movimiento])*(Producción_Agricola[Financiero $Corrientes])*($F105=Producción_Agricola[Cuenta Contable])*(W$1=Producción_Agricola[Mes Financiero])*(W$2=Producción_Agricola[Año Financiero]))</f>
        <v>0</v>
      </c>
      <c r="X105" s="103">
        <f>SUMPRODUCT(($C$88=Producción_Agricola[Movimiento])*(Producción_Agricola[Financiero $Corrientes])*($F105=Producción_Agricola[Cuenta Contable])*(X$1=Producción_Agricola[Mes Financiero])*(X$2=Producción_Agricola[Año Financiero]))</f>
        <v>0</v>
      </c>
      <c r="Y105" s="104">
        <f>SUMPRODUCT(($C$88=Producción_Agricola[Movimiento])*(Producción_Agricola[Financiero $Corrientes])*($F105=Producción_Agricola[Cuenta Contable])*(Y$1=Producción_Agricola[Mes Financiero])*(Y$2=Producción_Agricola[Año Financiero]))</f>
        <v>0</v>
      </c>
      <c r="Z105" s="144">
        <f t="shared" si="3"/>
        <v>0</v>
      </c>
      <c r="AC105" s="174">
        <f>SUMPRODUCT((F105=Produccion_Agricola_Cuentas[Cuenta Contable])*(Produccion_Agricola_Cuentas[IVA]))</f>
        <v>0.21</v>
      </c>
      <c r="AD105" s="174">
        <f>SUMPRODUCT((G105=Produccion_Agricola_Cuentas[Cuenta Contable])*(Produccion_Agricola_Cuentas[IVA]))</f>
        <v>0</v>
      </c>
    </row>
    <row r="106" spans="2:30" hidden="1" outlineLevel="1" x14ac:dyDescent="0.25">
      <c r="E106" s="221">
        <f>IFERROR(MATCH(F106,Produccion_Agricola_Cuentas[Cuenta Contable],0),0)</f>
        <v>7</v>
      </c>
      <c r="F106" s="116" t="s">
        <v>22</v>
      </c>
      <c r="H106" s="103">
        <f>SUMPRODUCT(($C$88=Producción_Agricola[Movimiento])*(Producción_Agricola[Financiero $Corrientes])*($F106=Producción_Agricola[Cuenta Contable])*(H$1=Producción_Agricola[Mes Financiero])*(H$2=Producción_Agricola[Año Financiero]))</f>
        <v>0</v>
      </c>
      <c r="I106" s="104">
        <f>SUMPRODUCT(($C$88=Producción_Agricola[Movimiento])*(Producción_Agricola[Financiero $Corrientes])*($F106=Producción_Agricola[Cuenta Contable])*(I$1=Producción_Agricola[Mes Financiero])*(I$2=Producción_Agricola[Año Financiero]))</f>
        <v>0</v>
      </c>
      <c r="J106" s="103">
        <f>SUMPRODUCT(($C$88=Producción_Agricola[Movimiento])*(Producción_Agricola[Financiero $Corrientes])*($F106=Producción_Agricola[Cuenta Contable])*(J$1=Producción_Agricola[Mes Financiero])*(J$2=Producción_Agricola[Año Financiero]))</f>
        <v>0</v>
      </c>
      <c r="K106" s="104">
        <f>SUMPRODUCT(($C$88=Producción_Agricola[Movimiento])*(Producción_Agricola[Financiero $Corrientes])*($F106=Producción_Agricola[Cuenta Contable])*(K$1=Producción_Agricola[Mes Financiero])*(K$2=Producción_Agricola[Año Financiero]))</f>
        <v>0</v>
      </c>
      <c r="L106" s="103">
        <f>SUMPRODUCT(($C$88=Producción_Agricola[Movimiento])*(Producción_Agricola[Financiero $Corrientes])*($F106=Producción_Agricola[Cuenta Contable])*(L$1=Producción_Agricola[Mes Financiero])*(L$2=Producción_Agricola[Año Financiero]))</f>
        <v>0</v>
      </c>
      <c r="M106" s="104">
        <f>SUMPRODUCT(($C$88=Producción_Agricola[Movimiento])*(Producción_Agricola[Financiero $Corrientes])*($F106=Producción_Agricola[Cuenta Contable])*(M$1=Producción_Agricola[Mes Financiero])*(M$2=Producción_Agricola[Año Financiero]))</f>
        <v>0</v>
      </c>
      <c r="N106" s="103">
        <f>SUMPRODUCT(($C$88=Producción_Agricola[Movimiento])*(Producción_Agricola[Financiero $Corrientes])*($F106=Producción_Agricola[Cuenta Contable])*(N$1=Producción_Agricola[Mes Financiero])*(N$2=Producción_Agricola[Año Financiero]))</f>
        <v>0</v>
      </c>
      <c r="O106" s="104">
        <f>SUMPRODUCT(($C$88=Producción_Agricola[Movimiento])*(Producción_Agricola[Financiero $Corrientes])*($F106=Producción_Agricola[Cuenta Contable])*(O$1=Producción_Agricola[Mes Financiero])*(O$2=Producción_Agricola[Año Financiero]))</f>
        <v>0</v>
      </c>
      <c r="P106" s="103">
        <f>SUMPRODUCT(($C$88=Producción_Agricola[Movimiento])*(Producción_Agricola[Financiero $Corrientes])*($F106=Producción_Agricola[Cuenta Contable])*(P$1=Producción_Agricola[Mes Financiero])*(P$2=Producción_Agricola[Año Financiero]))</f>
        <v>0</v>
      </c>
      <c r="Q106" s="104">
        <f>SUMPRODUCT(($C$88=Producción_Agricola[Movimiento])*(Producción_Agricola[Financiero $Corrientes])*($F106=Producción_Agricola[Cuenta Contable])*(Q$1=Producción_Agricola[Mes Financiero])*(Q$2=Producción_Agricola[Año Financiero]))</f>
        <v>0</v>
      </c>
      <c r="R106" s="103">
        <f>SUMPRODUCT(($C$88=Producción_Agricola[Movimiento])*(Producción_Agricola[Financiero $Corrientes])*($F106=Producción_Agricola[Cuenta Contable])*(R$1=Producción_Agricola[Mes Financiero])*(R$2=Producción_Agricola[Año Financiero]))</f>
        <v>0</v>
      </c>
      <c r="S106" s="104">
        <f>SUMPRODUCT(($C$88=Producción_Agricola[Movimiento])*(Producción_Agricola[Financiero $Corrientes])*($F106=Producción_Agricola[Cuenta Contable])*(S$1=Producción_Agricola[Mes Financiero])*(S$2=Producción_Agricola[Año Financiero]))</f>
        <v>0</v>
      </c>
      <c r="T106" s="103">
        <f>SUMPRODUCT(($C$88=Producción_Agricola[Movimiento])*(Producción_Agricola[Financiero $Corrientes])*($F106=Producción_Agricola[Cuenta Contable])*(T$1=Producción_Agricola[Mes Financiero])*(T$2=Producción_Agricola[Año Financiero]))</f>
        <v>0</v>
      </c>
      <c r="U106" s="104">
        <f>SUMPRODUCT(($C$88=Producción_Agricola[Movimiento])*(Producción_Agricola[Financiero $Corrientes])*($F106=Producción_Agricola[Cuenta Contable])*(U$1=Producción_Agricola[Mes Financiero])*(U$2=Producción_Agricola[Año Financiero]))</f>
        <v>0</v>
      </c>
      <c r="V106" s="103">
        <f>SUMPRODUCT(($C$88=Producción_Agricola[Movimiento])*(Producción_Agricola[Financiero $Corrientes])*($F106=Producción_Agricola[Cuenta Contable])*(V$1=Producción_Agricola[Mes Financiero])*(V$2=Producción_Agricola[Año Financiero]))</f>
        <v>0</v>
      </c>
      <c r="W106" s="104">
        <f>SUMPRODUCT(($C$88=Producción_Agricola[Movimiento])*(Producción_Agricola[Financiero $Corrientes])*($F106=Producción_Agricola[Cuenta Contable])*(W$1=Producción_Agricola[Mes Financiero])*(W$2=Producción_Agricola[Año Financiero]))</f>
        <v>0</v>
      </c>
      <c r="X106" s="103">
        <f>SUMPRODUCT(($C$88=Producción_Agricola[Movimiento])*(Producción_Agricola[Financiero $Corrientes])*($F106=Producción_Agricola[Cuenta Contable])*(X$1=Producción_Agricola[Mes Financiero])*(X$2=Producción_Agricola[Año Financiero]))</f>
        <v>0</v>
      </c>
      <c r="Y106" s="104">
        <f>SUMPRODUCT(($C$88=Producción_Agricola[Movimiento])*(Producción_Agricola[Financiero $Corrientes])*($F106=Producción_Agricola[Cuenta Contable])*(Y$1=Producción_Agricola[Mes Financiero])*(Y$2=Producción_Agricola[Año Financiero]))</f>
        <v>0</v>
      </c>
      <c r="Z106" s="144">
        <f t="shared" si="3"/>
        <v>0</v>
      </c>
      <c r="AC106" s="174">
        <f>SUMPRODUCT((F106=Produccion_Agricola_Cuentas[Cuenta Contable])*(Produccion_Agricola_Cuentas[IVA]))</f>
        <v>0.21</v>
      </c>
      <c r="AD106" s="174">
        <f>SUMPRODUCT((G106=Produccion_Agricola_Cuentas[Cuenta Contable])*(Produccion_Agricola_Cuentas[IVA]))</f>
        <v>0</v>
      </c>
    </row>
    <row r="107" spans="2:30" hidden="1" outlineLevel="1" x14ac:dyDescent="0.25">
      <c r="E107" s="221">
        <f>IFERROR(MATCH(F107,Produccion_Agricola_Cuentas[Cuenta Contable],0),0)</f>
        <v>8</v>
      </c>
      <c r="F107" s="116" t="s">
        <v>23</v>
      </c>
      <c r="H107" s="103">
        <f>SUMPRODUCT(($C$88=Producción_Agricola[Movimiento])*(Producción_Agricola[Financiero $Corrientes])*($F107=Producción_Agricola[Cuenta Contable])*(H$1=Producción_Agricola[Mes Financiero])*(H$2=Producción_Agricola[Año Financiero]))</f>
        <v>0</v>
      </c>
      <c r="I107" s="104">
        <f>SUMPRODUCT(($C$88=Producción_Agricola[Movimiento])*(Producción_Agricola[Financiero $Corrientes])*($F107=Producción_Agricola[Cuenta Contable])*(I$1=Producción_Agricola[Mes Financiero])*(I$2=Producción_Agricola[Año Financiero]))</f>
        <v>0</v>
      </c>
      <c r="J107" s="103">
        <f>SUMPRODUCT(($C$88=Producción_Agricola[Movimiento])*(Producción_Agricola[Financiero $Corrientes])*($F107=Producción_Agricola[Cuenta Contable])*(J$1=Producción_Agricola[Mes Financiero])*(J$2=Producción_Agricola[Año Financiero]))</f>
        <v>0</v>
      </c>
      <c r="K107" s="104">
        <f>SUMPRODUCT(($C$88=Producción_Agricola[Movimiento])*(Producción_Agricola[Financiero $Corrientes])*($F107=Producción_Agricola[Cuenta Contable])*(K$1=Producción_Agricola[Mes Financiero])*(K$2=Producción_Agricola[Año Financiero]))</f>
        <v>0</v>
      </c>
      <c r="L107" s="103">
        <f>SUMPRODUCT(($C$88=Producción_Agricola[Movimiento])*(Producción_Agricola[Financiero $Corrientes])*($F107=Producción_Agricola[Cuenta Contable])*(L$1=Producción_Agricola[Mes Financiero])*(L$2=Producción_Agricola[Año Financiero]))</f>
        <v>0</v>
      </c>
      <c r="M107" s="104">
        <f>SUMPRODUCT(($C$88=Producción_Agricola[Movimiento])*(Producción_Agricola[Financiero $Corrientes])*($F107=Producción_Agricola[Cuenta Contable])*(M$1=Producción_Agricola[Mes Financiero])*(M$2=Producción_Agricola[Año Financiero]))</f>
        <v>0</v>
      </c>
      <c r="N107" s="103">
        <f>SUMPRODUCT(($C$88=Producción_Agricola[Movimiento])*(Producción_Agricola[Financiero $Corrientes])*($F107=Producción_Agricola[Cuenta Contable])*(N$1=Producción_Agricola[Mes Financiero])*(N$2=Producción_Agricola[Año Financiero]))</f>
        <v>0</v>
      </c>
      <c r="O107" s="104">
        <f>SUMPRODUCT(($C$88=Producción_Agricola[Movimiento])*(Producción_Agricola[Financiero $Corrientes])*($F107=Producción_Agricola[Cuenta Contable])*(O$1=Producción_Agricola[Mes Financiero])*(O$2=Producción_Agricola[Año Financiero]))</f>
        <v>0</v>
      </c>
      <c r="P107" s="103">
        <f>SUMPRODUCT(($C$88=Producción_Agricola[Movimiento])*(Producción_Agricola[Financiero $Corrientes])*($F107=Producción_Agricola[Cuenta Contable])*(P$1=Producción_Agricola[Mes Financiero])*(P$2=Producción_Agricola[Año Financiero]))</f>
        <v>0</v>
      </c>
      <c r="Q107" s="104">
        <f>SUMPRODUCT(($C$88=Producción_Agricola[Movimiento])*(Producción_Agricola[Financiero $Corrientes])*($F107=Producción_Agricola[Cuenta Contable])*(Q$1=Producción_Agricola[Mes Financiero])*(Q$2=Producción_Agricola[Año Financiero]))</f>
        <v>0</v>
      </c>
      <c r="R107" s="103">
        <f>SUMPRODUCT(($C$88=Producción_Agricola[Movimiento])*(Producción_Agricola[Financiero $Corrientes])*($F107=Producción_Agricola[Cuenta Contable])*(R$1=Producción_Agricola[Mes Financiero])*(R$2=Producción_Agricola[Año Financiero]))</f>
        <v>0</v>
      </c>
      <c r="S107" s="104">
        <f>SUMPRODUCT(($C$88=Producción_Agricola[Movimiento])*(Producción_Agricola[Financiero $Corrientes])*($F107=Producción_Agricola[Cuenta Contable])*(S$1=Producción_Agricola[Mes Financiero])*(S$2=Producción_Agricola[Año Financiero]))</f>
        <v>0</v>
      </c>
      <c r="T107" s="103">
        <f>SUMPRODUCT(($C$88=Producción_Agricola[Movimiento])*(Producción_Agricola[Financiero $Corrientes])*($F107=Producción_Agricola[Cuenta Contable])*(T$1=Producción_Agricola[Mes Financiero])*(T$2=Producción_Agricola[Año Financiero]))</f>
        <v>0</v>
      </c>
      <c r="U107" s="104">
        <f>SUMPRODUCT(($C$88=Producción_Agricola[Movimiento])*(Producción_Agricola[Financiero $Corrientes])*($F107=Producción_Agricola[Cuenta Contable])*(U$1=Producción_Agricola[Mes Financiero])*(U$2=Producción_Agricola[Año Financiero]))</f>
        <v>0</v>
      </c>
      <c r="V107" s="103">
        <f>SUMPRODUCT(($C$88=Producción_Agricola[Movimiento])*(Producción_Agricola[Financiero $Corrientes])*($F107=Producción_Agricola[Cuenta Contable])*(V$1=Producción_Agricola[Mes Financiero])*(V$2=Producción_Agricola[Año Financiero]))</f>
        <v>0</v>
      </c>
      <c r="W107" s="104">
        <f>SUMPRODUCT(($C$88=Producción_Agricola[Movimiento])*(Producción_Agricola[Financiero $Corrientes])*($F107=Producción_Agricola[Cuenta Contable])*(W$1=Producción_Agricola[Mes Financiero])*(W$2=Producción_Agricola[Año Financiero]))</f>
        <v>0</v>
      </c>
      <c r="X107" s="103">
        <f>SUMPRODUCT(($C$88=Producción_Agricola[Movimiento])*(Producción_Agricola[Financiero $Corrientes])*($F107=Producción_Agricola[Cuenta Contable])*(X$1=Producción_Agricola[Mes Financiero])*(X$2=Producción_Agricola[Año Financiero]))</f>
        <v>0</v>
      </c>
      <c r="Y107" s="104">
        <f>SUMPRODUCT(($C$88=Producción_Agricola[Movimiento])*(Producción_Agricola[Financiero $Corrientes])*($F107=Producción_Agricola[Cuenta Contable])*(Y$1=Producción_Agricola[Mes Financiero])*(Y$2=Producción_Agricola[Año Financiero]))</f>
        <v>0</v>
      </c>
      <c r="Z107" s="144">
        <f t="shared" si="3"/>
        <v>0</v>
      </c>
      <c r="AC107" s="174">
        <f>SUMPRODUCT((F107=Produccion_Agricola_Cuentas[Cuenta Contable])*(Produccion_Agricola_Cuentas[IVA]))</f>
        <v>0.21</v>
      </c>
      <c r="AD107" s="174">
        <f>SUMPRODUCT((G107=Produccion_Agricola_Cuentas[Cuenta Contable])*(Produccion_Agricola_Cuentas[IVA]))</f>
        <v>0</v>
      </c>
    </row>
    <row r="108" spans="2:30" hidden="1" outlineLevel="1" x14ac:dyDescent="0.25">
      <c r="E108" s="221">
        <f>IFERROR(MATCH(F108,Produccion_Agricola_Cuentas[Cuenta Contable],0),0)</f>
        <v>9</v>
      </c>
      <c r="F108" s="116" t="s">
        <v>24</v>
      </c>
      <c r="H108" s="103">
        <f>SUMPRODUCT(($C$88=Producción_Agricola[Movimiento])*(Producción_Agricola[Financiero $Corrientes])*($F108=Producción_Agricola[Cuenta Contable])*(H$1=Producción_Agricola[Mes Financiero])*(H$2=Producción_Agricola[Año Financiero]))</f>
        <v>0</v>
      </c>
      <c r="I108" s="104">
        <f>SUMPRODUCT(($C$88=Producción_Agricola[Movimiento])*(Producción_Agricola[Financiero $Corrientes])*($F108=Producción_Agricola[Cuenta Contable])*(I$1=Producción_Agricola[Mes Financiero])*(I$2=Producción_Agricola[Año Financiero]))</f>
        <v>0</v>
      </c>
      <c r="J108" s="103">
        <f>SUMPRODUCT(($C$88=Producción_Agricola[Movimiento])*(Producción_Agricola[Financiero $Corrientes])*($F108=Producción_Agricola[Cuenta Contable])*(J$1=Producción_Agricola[Mes Financiero])*(J$2=Producción_Agricola[Año Financiero]))</f>
        <v>0</v>
      </c>
      <c r="K108" s="104">
        <f>SUMPRODUCT(($C$88=Producción_Agricola[Movimiento])*(Producción_Agricola[Financiero $Corrientes])*($F108=Producción_Agricola[Cuenta Contable])*(K$1=Producción_Agricola[Mes Financiero])*(K$2=Producción_Agricola[Año Financiero]))</f>
        <v>0</v>
      </c>
      <c r="L108" s="103">
        <f>SUMPRODUCT(($C$88=Producción_Agricola[Movimiento])*(Producción_Agricola[Financiero $Corrientes])*($F108=Producción_Agricola[Cuenta Contable])*(L$1=Producción_Agricola[Mes Financiero])*(L$2=Producción_Agricola[Año Financiero]))</f>
        <v>0</v>
      </c>
      <c r="M108" s="104">
        <f>SUMPRODUCT(($C$88=Producción_Agricola[Movimiento])*(Producción_Agricola[Financiero $Corrientes])*($F108=Producción_Agricola[Cuenta Contable])*(M$1=Producción_Agricola[Mes Financiero])*(M$2=Producción_Agricola[Año Financiero]))</f>
        <v>0</v>
      </c>
      <c r="N108" s="103">
        <f>SUMPRODUCT(($C$88=Producción_Agricola[Movimiento])*(Producción_Agricola[Financiero $Corrientes])*($F108=Producción_Agricola[Cuenta Contable])*(N$1=Producción_Agricola[Mes Financiero])*(N$2=Producción_Agricola[Año Financiero]))</f>
        <v>0</v>
      </c>
      <c r="O108" s="104">
        <f>SUMPRODUCT(($C$88=Producción_Agricola[Movimiento])*(Producción_Agricola[Financiero $Corrientes])*($F108=Producción_Agricola[Cuenta Contable])*(O$1=Producción_Agricola[Mes Financiero])*(O$2=Producción_Agricola[Año Financiero]))</f>
        <v>0</v>
      </c>
      <c r="P108" s="103">
        <f>SUMPRODUCT(($C$88=Producción_Agricola[Movimiento])*(Producción_Agricola[Financiero $Corrientes])*($F108=Producción_Agricola[Cuenta Contable])*(P$1=Producción_Agricola[Mes Financiero])*(P$2=Producción_Agricola[Año Financiero]))</f>
        <v>0</v>
      </c>
      <c r="Q108" s="104">
        <f>SUMPRODUCT(($C$88=Producción_Agricola[Movimiento])*(Producción_Agricola[Financiero $Corrientes])*($F108=Producción_Agricola[Cuenta Contable])*(Q$1=Producción_Agricola[Mes Financiero])*(Q$2=Producción_Agricola[Año Financiero]))</f>
        <v>0</v>
      </c>
      <c r="R108" s="103">
        <f>SUMPRODUCT(($C$88=Producción_Agricola[Movimiento])*(Producción_Agricola[Financiero $Corrientes])*($F108=Producción_Agricola[Cuenta Contable])*(R$1=Producción_Agricola[Mes Financiero])*(R$2=Producción_Agricola[Año Financiero]))</f>
        <v>0</v>
      </c>
      <c r="S108" s="104">
        <f>SUMPRODUCT(($C$88=Producción_Agricola[Movimiento])*(Producción_Agricola[Financiero $Corrientes])*($F108=Producción_Agricola[Cuenta Contable])*(S$1=Producción_Agricola[Mes Financiero])*(S$2=Producción_Agricola[Año Financiero]))</f>
        <v>0</v>
      </c>
      <c r="T108" s="103">
        <f>SUMPRODUCT(($C$88=Producción_Agricola[Movimiento])*(Producción_Agricola[Financiero $Corrientes])*($F108=Producción_Agricola[Cuenta Contable])*(T$1=Producción_Agricola[Mes Financiero])*(T$2=Producción_Agricola[Año Financiero]))</f>
        <v>0</v>
      </c>
      <c r="U108" s="104">
        <f>SUMPRODUCT(($C$88=Producción_Agricola[Movimiento])*(Producción_Agricola[Financiero $Corrientes])*($F108=Producción_Agricola[Cuenta Contable])*(U$1=Producción_Agricola[Mes Financiero])*(U$2=Producción_Agricola[Año Financiero]))</f>
        <v>0</v>
      </c>
      <c r="V108" s="103">
        <f>SUMPRODUCT(($C$88=Producción_Agricola[Movimiento])*(Producción_Agricola[Financiero $Corrientes])*($F108=Producción_Agricola[Cuenta Contable])*(V$1=Producción_Agricola[Mes Financiero])*(V$2=Producción_Agricola[Año Financiero]))</f>
        <v>0</v>
      </c>
      <c r="W108" s="104">
        <f>SUMPRODUCT(($C$88=Producción_Agricola[Movimiento])*(Producción_Agricola[Financiero $Corrientes])*($F108=Producción_Agricola[Cuenta Contable])*(W$1=Producción_Agricola[Mes Financiero])*(W$2=Producción_Agricola[Año Financiero]))</f>
        <v>0</v>
      </c>
      <c r="X108" s="103">
        <f>SUMPRODUCT(($C$88=Producción_Agricola[Movimiento])*(Producción_Agricola[Financiero $Corrientes])*($F108=Producción_Agricola[Cuenta Contable])*(X$1=Producción_Agricola[Mes Financiero])*(X$2=Producción_Agricola[Año Financiero]))</f>
        <v>0</v>
      </c>
      <c r="Y108" s="104">
        <f>SUMPRODUCT(($C$88=Producción_Agricola[Movimiento])*(Producción_Agricola[Financiero $Corrientes])*($F108=Producción_Agricola[Cuenta Contable])*(Y$1=Producción_Agricola[Mes Financiero])*(Y$2=Producción_Agricola[Año Financiero]))</f>
        <v>0</v>
      </c>
      <c r="Z108" s="144">
        <f t="shared" si="3"/>
        <v>0</v>
      </c>
      <c r="AC108" s="174">
        <f>SUMPRODUCT((F108=Produccion_Agricola_Cuentas[Cuenta Contable])*(Produccion_Agricola_Cuentas[IVA]))</f>
        <v>0.21</v>
      </c>
      <c r="AD108" s="174">
        <f>SUMPRODUCT((G108=Produccion_Agricola_Cuentas[Cuenta Contable])*(Produccion_Agricola_Cuentas[IVA]))</f>
        <v>0</v>
      </c>
    </row>
    <row r="109" spans="2:30" hidden="1" outlineLevel="1" x14ac:dyDescent="0.25">
      <c r="E109" s="221">
        <f>IFERROR(MATCH(F109,Produccion_Agricola_Cuentas[Cuenta Contable],0),0)</f>
        <v>10</v>
      </c>
      <c r="F109" s="116" t="s">
        <v>25</v>
      </c>
      <c r="H109" s="103">
        <f>SUMPRODUCT(($C$88=Producción_Agricola[Movimiento])*(Producción_Agricola[Financiero $Corrientes])*($F109=Producción_Agricola[Cuenta Contable])*(H$1=Producción_Agricola[Mes Financiero])*(H$2=Producción_Agricola[Año Financiero]))</f>
        <v>0</v>
      </c>
      <c r="I109" s="104">
        <f>SUMPRODUCT(($C$88=Producción_Agricola[Movimiento])*(Producción_Agricola[Financiero $Corrientes])*($F109=Producción_Agricola[Cuenta Contable])*(I$1=Producción_Agricola[Mes Financiero])*(I$2=Producción_Agricola[Año Financiero]))</f>
        <v>0</v>
      </c>
      <c r="J109" s="103">
        <f>SUMPRODUCT(($C$88=Producción_Agricola[Movimiento])*(Producción_Agricola[Financiero $Corrientes])*($F109=Producción_Agricola[Cuenta Contable])*(J$1=Producción_Agricola[Mes Financiero])*(J$2=Producción_Agricola[Año Financiero]))</f>
        <v>0</v>
      </c>
      <c r="K109" s="104">
        <f>SUMPRODUCT(($C$88=Producción_Agricola[Movimiento])*(Producción_Agricola[Financiero $Corrientes])*($F109=Producción_Agricola[Cuenta Contable])*(K$1=Producción_Agricola[Mes Financiero])*(K$2=Producción_Agricola[Año Financiero]))</f>
        <v>0</v>
      </c>
      <c r="L109" s="103">
        <f>SUMPRODUCT(($C$88=Producción_Agricola[Movimiento])*(Producción_Agricola[Financiero $Corrientes])*($F109=Producción_Agricola[Cuenta Contable])*(L$1=Producción_Agricola[Mes Financiero])*(L$2=Producción_Agricola[Año Financiero]))</f>
        <v>0</v>
      </c>
      <c r="M109" s="104">
        <f>SUMPRODUCT(($C$88=Producción_Agricola[Movimiento])*(Producción_Agricola[Financiero $Corrientes])*($F109=Producción_Agricola[Cuenta Contable])*(M$1=Producción_Agricola[Mes Financiero])*(M$2=Producción_Agricola[Año Financiero]))</f>
        <v>0</v>
      </c>
      <c r="N109" s="103">
        <f>SUMPRODUCT(($C$88=Producción_Agricola[Movimiento])*(Producción_Agricola[Financiero $Corrientes])*($F109=Producción_Agricola[Cuenta Contable])*(N$1=Producción_Agricola[Mes Financiero])*(N$2=Producción_Agricola[Año Financiero]))</f>
        <v>0</v>
      </c>
      <c r="O109" s="104">
        <f>SUMPRODUCT(($C$88=Producción_Agricola[Movimiento])*(Producción_Agricola[Financiero $Corrientes])*($F109=Producción_Agricola[Cuenta Contable])*(O$1=Producción_Agricola[Mes Financiero])*(O$2=Producción_Agricola[Año Financiero]))</f>
        <v>0</v>
      </c>
      <c r="P109" s="103">
        <f>SUMPRODUCT(($C$88=Producción_Agricola[Movimiento])*(Producción_Agricola[Financiero $Corrientes])*($F109=Producción_Agricola[Cuenta Contable])*(P$1=Producción_Agricola[Mes Financiero])*(P$2=Producción_Agricola[Año Financiero]))</f>
        <v>0</v>
      </c>
      <c r="Q109" s="104">
        <f>SUMPRODUCT(($C$88=Producción_Agricola[Movimiento])*(Producción_Agricola[Financiero $Corrientes])*($F109=Producción_Agricola[Cuenta Contable])*(Q$1=Producción_Agricola[Mes Financiero])*(Q$2=Producción_Agricola[Año Financiero]))</f>
        <v>0</v>
      </c>
      <c r="R109" s="103">
        <f>SUMPRODUCT(($C$88=Producción_Agricola[Movimiento])*(Producción_Agricola[Financiero $Corrientes])*($F109=Producción_Agricola[Cuenta Contable])*(R$1=Producción_Agricola[Mes Financiero])*(R$2=Producción_Agricola[Año Financiero]))</f>
        <v>0</v>
      </c>
      <c r="S109" s="104">
        <f>SUMPRODUCT(($C$88=Producción_Agricola[Movimiento])*(Producción_Agricola[Financiero $Corrientes])*($F109=Producción_Agricola[Cuenta Contable])*(S$1=Producción_Agricola[Mes Financiero])*(S$2=Producción_Agricola[Año Financiero]))</f>
        <v>0</v>
      </c>
      <c r="T109" s="103">
        <f>SUMPRODUCT(($C$88=Producción_Agricola[Movimiento])*(Producción_Agricola[Financiero $Corrientes])*($F109=Producción_Agricola[Cuenta Contable])*(T$1=Producción_Agricola[Mes Financiero])*(T$2=Producción_Agricola[Año Financiero]))</f>
        <v>0</v>
      </c>
      <c r="U109" s="104">
        <f>SUMPRODUCT(($C$88=Producción_Agricola[Movimiento])*(Producción_Agricola[Financiero $Corrientes])*($F109=Producción_Agricola[Cuenta Contable])*(U$1=Producción_Agricola[Mes Financiero])*(U$2=Producción_Agricola[Año Financiero]))</f>
        <v>0</v>
      </c>
      <c r="V109" s="103">
        <f>SUMPRODUCT(($C$88=Producción_Agricola[Movimiento])*(Producción_Agricola[Financiero $Corrientes])*($F109=Producción_Agricola[Cuenta Contable])*(V$1=Producción_Agricola[Mes Financiero])*(V$2=Producción_Agricola[Año Financiero]))</f>
        <v>0</v>
      </c>
      <c r="W109" s="104">
        <f>SUMPRODUCT(($C$88=Producción_Agricola[Movimiento])*(Producción_Agricola[Financiero $Corrientes])*($F109=Producción_Agricola[Cuenta Contable])*(W$1=Producción_Agricola[Mes Financiero])*(W$2=Producción_Agricola[Año Financiero]))</f>
        <v>0</v>
      </c>
      <c r="X109" s="103">
        <f>SUMPRODUCT(($C$88=Producción_Agricola[Movimiento])*(Producción_Agricola[Financiero $Corrientes])*($F109=Producción_Agricola[Cuenta Contable])*(X$1=Producción_Agricola[Mes Financiero])*(X$2=Producción_Agricola[Año Financiero]))</f>
        <v>0</v>
      </c>
      <c r="Y109" s="104">
        <f>SUMPRODUCT(($C$88=Producción_Agricola[Movimiento])*(Producción_Agricola[Financiero $Corrientes])*($F109=Producción_Agricola[Cuenta Contable])*(Y$1=Producción_Agricola[Mes Financiero])*(Y$2=Producción_Agricola[Año Financiero]))</f>
        <v>0</v>
      </c>
      <c r="Z109" s="144">
        <f t="shared" si="3"/>
        <v>0</v>
      </c>
      <c r="AC109" s="174">
        <f>SUMPRODUCT((F109=Produccion_Agricola_Cuentas[Cuenta Contable])*(Produccion_Agricola_Cuentas[IVA]))</f>
        <v>0.105</v>
      </c>
      <c r="AD109" s="174">
        <f>SUMPRODUCT((G109=Produccion_Agricola_Cuentas[Cuenta Contable])*(Produccion_Agricola_Cuentas[IVA]))</f>
        <v>0</v>
      </c>
    </row>
    <row r="110" spans="2:30" hidden="1" outlineLevel="1" x14ac:dyDescent="0.25">
      <c r="E110" s="221">
        <f>IFERROR(MATCH(F110,Produccion_Agricola_Cuentas[Cuenta Contable],0),0)</f>
        <v>11</v>
      </c>
      <c r="F110" s="116" t="s">
        <v>53</v>
      </c>
      <c r="H110" s="103">
        <f>SUMPRODUCT(($C$88=Producción_Agricola[Movimiento])*(Producción_Agricola[Financiero $Corrientes])*($F110=Producción_Agricola[Cuenta Contable])*(H$1=Producción_Agricola[Mes Financiero])*(H$2=Producción_Agricola[Año Financiero]))</f>
        <v>0</v>
      </c>
      <c r="I110" s="104">
        <f>SUMPRODUCT(($C$88=Producción_Agricola[Movimiento])*(Producción_Agricola[Financiero $Corrientes])*($F110=Producción_Agricola[Cuenta Contable])*(I$1=Producción_Agricola[Mes Financiero])*(I$2=Producción_Agricola[Año Financiero]))</f>
        <v>0</v>
      </c>
      <c r="J110" s="103">
        <f>SUMPRODUCT(($C$88=Producción_Agricola[Movimiento])*(Producción_Agricola[Financiero $Corrientes])*($F110=Producción_Agricola[Cuenta Contable])*(J$1=Producción_Agricola[Mes Financiero])*(J$2=Producción_Agricola[Año Financiero]))</f>
        <v>0</v>
      </c>
      <c r="K110" s="104">
        <f>SUMPRODUCT(($C$88=Producción_Agricola[Movimiento])*(Producción_Agricola[Financiero $Corrientes])*($F110=Producción_Agricola[Cuenta Contable])*(K$1=Producción_Agricola[Mes Financiero])*(K$2=Producción_Agricola[Año Financiero]))</f>
        <v>0</v>
      </c>
      <c r="L110" s="103">
        <f>SUMPRODUCT(($C$88=Producción_Agricola[Movimiento])*(Producción_Agricola[Financiero $Corrientes])*($F110=Producción_Agricola[Cuenta Contable])*(L$1=Producción_Agricola[Mes Financiero])*(L$2=Producción_Agricola[Año Financiero]))</f>
        <v>0</v>
      </c>
      <c r="M110" s="104">
        <f>SUMPRODUCT(($C$88=Producción_Agricola[Movimiento])*(Producción_Agricola[Financiero $Corrientes])*($F110=Producción_Agricola[Cuenta Contable])*(M$1=Producción_Agricola[Mes Financiero])*(M$2=Producción_Agricola[Año Financiero]))</f>
        <v>0</v>
      </c>
      <c r="N110" s="103">
        <f>SUMPRODUCT(($C$88=Producción_Agricola[Movimiento])*(Producción_Agricola[Financiero $Corrientes])*($F110=Producción_Agricola[Cuenta Contable])*(N$1=Producción_Agricola[Mes Financiero])*(N$2=Producción_Agricola[Año Financiero]))</f>
        <v>0</v>
      </c>
      <c r="O110" s="104">
        <f>SUMPRODUCT(($C$88=Producción_Agricola[Movimiento])*(Producción_Agricola[Financiero $Corrientes])*($F110=Producción_Agricola[Cuenta Contable])*(O$1=Producción_Agricola[Mes Financiero])*(O$2=Producción_Agricola[Año Financiero]))</f>
        <v>0</v>
      </c>
      <c r="P110" s="103">
        <f>SUMPRODUCT(($C$88=Producción_Agricola[Movimiento])*(Producción_Agricola[Financiero $Corrientes])*($F110=Producción_Agricola[Cuenta Contable])*(P$1=Producción_Agricola[Mes Financiero])*(P$2=Producción_Agricola[Año Financiero]))</f>
        <v>0</v>
      </c>
      <c r="Q110" s="104">
        <f>SUMPRODUCT(($C$88=Producción_Agricola[Movimiento])*(Producción_Agricola[Financiero $Corrientes])*($F110=Producción_Agricola[Cuenta Contable])*(Q$1=Producción_Agricola[Mes Financiero])*(Q$2=Producción_Agricola[Año Financiero]))</f>
        <v>0</v>
      </c>
      <c r="R110" s="103">
        <f>SUMPRODUCT(($C$88=Producción_Agricola[Movimiento])*(Producción_Agricola[Financiero $Corrientes])*($F110=Producción_Agricola[Cuenta Contable])*(R$1=Producción_Agricola[Mes Financiero])*(R$2=Producción_Agricola[Año Financiero]))</f>
        <v>0</v>
      </c>
      <c r="S110" s="104">
        <f>SUMPRODUCT(($C$88=Producción_Agricola[Movimiento])*(Producción_Agricola[Financiero $Corrientes])*($F110=Producción_Agricola[Cuenta Contable])*(S$1=Producción_Agricola[Mes Financiero])*(S$2=Producción_Agricola[Año Financiero]))</f>
        <v>0</v>
      </c>
      <c r="T110" s="103">
        <f>SUMPRODUCT(($C$88=Producción_Agricola[Movimiento])*(Producción_Agricola[Financiero $Corrientes])*($F110=Producción_Agricola[Cuenta Contable])*(T$1=Producción_Agricola[Mes Financiero])*(T$2=Producción_Agricola[Año Financiero]))</f>
        <v>0</v>
      </c>
      <c r="U110" s="104">
        <f>SUMPRODUCT(($C$88=Producción_Agricola[Movimiento])*(Producción_Agricola[Financiero $Corrientes])*($F110=Producción_Agricola[Cuenta Contable])*(U$1=Producción_Agricola[Mes Financiero])*(U$2=Producción_Agricola[Año Financiero]))</f>
        <v>0</v>
      </c>
      <c r="V110" s="103">
        <f>SUMPRODUCT(($C$88=Producción_Agricola[Movimiento])*(Producción_Agricola[Financiero $Corrientes])*($F110=Producción_Agricola[Cuenta Contable])*(V$1=Producción_Agricola[Mes Financiero])*(V$2=Producción_Agricola[Año Financiero]))</f>
        <v>0</v>
      </c>
      <c r="W110" s="104">
        <f>SUMPRODUCT(($C$88=Producción_Agricola[Movimiento])*(Producción_Agricola[Financiero $Corrientes])*($F110=Producción_Agricola[Cuenta Contable])*(W$1=Producción_Agricola[Mes Financiero])*(W$2=Producción_Agricola[Año Financiero]))</f>
        <v>0</v>
      </c>
      <c r="X110" s="103">
        <f>SUMPRODUCT(($C$88=Producción_Agricola[Movimiento])*(Producción_Agricola[Financiero $Corrientes])*($F110=Producción_Agricola[Cuenta Contable])*(X$1=Producción_Agricola[Mes Financiero])*(X$2=Producción_Agricola[Año Financiero]))</f>
        <v>0</v>
      </c>
      <c r="Y110" s="104">
        <f>SUMPRODUCT(($C$88=Producción_Agricola[Movimiento])*(Producción_Agricola[Financiero $Corrientes])*($F110=Producción_Agricola[Cuenta Contable])*(Y$1=Producción_Agricola[Mes Financiero])*(Y$2=Producción_Agricola[Año Financiero]))</f>
        <v>0</v>
      </c>
      <c r="Z110" s="144">
        <f t="shared" si="3"/>
        <v>0</v>
      </c>
      <c r="AC110" s="174">
        <f>SUMPRODUCT((F110=Produccion_Agricola_Cuentas[Cuenta Contable])*(Produccion_Agricola_Cuentas[IVA]))</f>
        <v>0.105</v>
      </c>
      <c r="AD110" s="174">
        <f>SUMPRODUCT((G110=Produccion_Agricola_Cuentas[Cuenta Contable])*(Produccion_Agricola_Cuentas[IVA]))</f>
        <v>0</v>
      </c>
    </row>
    <row r="111" spans="2:30" hidden="1" outlineLevel="1" x14ac:dyDescent="0.25">
      <c r="E111" s="221">
        <f>IFERROR(MATCH(F111,Produccion_Agricola_Cuentas[Cuenta Contable],0),0)</f>
        <v>12</v>
      </c>
      <c r="F111" s="116" t="s">
        <v>43</v>
      </c>
      <c r="H111" s="103">
        <f>SUMPRODUCT(($C$88=Producción_Agricola[Movimiento])*(Producción_Agricola[Financiero $Corrientes])*($F111=Producción_Agricola[Cuenta Contable])*(H$1=Producción_Agricola[Mes Financiero])*(H$2=Producción_Agricola[Año Financiero]))</f>
        <v>0</v>
      </c>
      <c r="I111" s="104">
        <f>SUMPRODUCT(($C$88=Producción_Agricola[Movimiento])*(Producción_Agricola[Financiero $Corrientes])*($F111=Producción_Agricola[Cuenta Contable])*(I$1=Producción_Agricola[Mes Financiero])*(I$2=Producción_Agricola[Año Financiero]))</f>
        <v>0</v>
      </c>
      <c r="J111" s="103">
        <f>SUMPRODUCT(($C$88=Producción_Agricola[Movimiento])*(Producción_Agricola[Financiero $Corrientes])*($F111=Producción_Agricola[Cuenta Contable])*(J$1=Producción_Agricola[Mes Financiero])*(J$2=Producción_Agricola[Año Financiero]))</f>
        <v>0</v>
      </c>
      <c r="K111" s="104">
        <f>SUMPRODUCT(($C$88=Producción_Agricola[Movimiento])*(Producción_Agricola[Financiero $Corrientes])*($F111=Producción_Agricola[Cuenta Contable])*(K$1=Producción_Agricola[Mes Financiero])*(K$2=Producción_Agricola[Año Financiero]))</f>
        <v>0</v>
      </c>
      <c r="L111" s="103">
        <f>SUMPRODUCT(($C$88=Producción_Agricola[Movimiento])*(Producción_Agricola[Financiero $Corrientes])*($F111=Producción_Agricola[Cuenta Contable])*(L$1=Producción_Agricola[Mes Financiero])*(L$2=Producción_Agricola[Año Financiero]))</f>
        <v>0</v>
      </c>
      <c r="M111" s="104">
        <f>SUMPRODUCT(($C$88=Producción_Agricola[Movimiento])*(Producción_Agricola[Financiero $Corrientes])*($F111=Producción_Agricola[Cuenta Contable])*(M$1=Producción_Agricola[Mes Financiero])*(M$2=Producción_Agricola[Año Financiero]))</f>
        <v>0</v>
      </c>
      <c r="N111" s="103">
        <f>SUMPRODUCT(($C$88=Producción_Agricola[Movimiento])*(Producción_Agricola[Financiero $Corrientes])*($F111=Producción_Agricola[Cuenta Contable])*(N$1=Producción_Agricola[Mes Financiero])*(N$2=Producción_Agricola[Año Financiero]))</f>
        <v>0</v>
      </c>
      <c r="O111" s="104">
        <f>SUMPRODUCT(($C$88=Producción_Agricola[Movimiento])*(Producción_Agricola[Financiero $Corrientes])*($F111=Producción_Agricola[Cuenta Contable])*(O$1=Producción_Agricola[Mes Financiero])*(O$2=Producción_Agricola[Año Financiero]))</f>
        <v>0</v>
      </c>
      <c r="P111" s="103">
        <f>SUMPRODUCT(($C$88=Producción_Agricola[Movimiento])*(Producción_Agricola[Financiero $Corrientes])*($F111=Producción_Agricola[Cuenta Contable])*(P$1=Producción_Agricola[Mes Financiero])*(P$2=Producción_Agricola[Año Financiero]))</f>
        <v>0</v>
      </c>
      <c r="Q111" s="104">
        <f>SUMPRODUCT(($C$88=Producción_Agricola[Movimiento])*(Producción_Agricola[Financiero $Corrientes])*($F111=Producción_Agricola[Cuenta Contable])*(Q$1=Producción_Agricola[Mes Financiero])*(Q$2=Producción_Agricola[Año Financiero]))</f>
        <v>0</v>
      </c>
      <c r="R111" s="103">
        <f>SUMPRODUCT(($C$88=Producción_Agricola[Movimiento])*(Producción_Agricola[Financiero $Corrientes])*($F111=Producción_Agricola[Cuenta Contable])*(R$1=Producción_Agricola[Mes Financiero])*(R$2=Producción_Agricola[Año Financiero]))</f>
        <v>0</v>
      </c>
      <c r="S111" s="104">
        <f>SUMPRODUCT(($C$88=Producción_Agricola[Movimiento])*(Producción_Agricola[Financiero $Corrientes])*($F111=Producción_Agricola[Cuenta Contable])*(S$1=Producción_Agricola[Mes Financiero])*(S$2=Producción_Agricola[Año Financiero]))</f>
        <v>0</v>
      </c>
      <c r="T111" s="103">
        <f>SUMPRODUCT(($C$88=Producción_Agricola[Movimiento])*(Producción_Agricola[Financiero $Corrientes])*($F111=Producción_Agricola[Cuenta Contable])*(T$1=Producción_Agricola[Mes Financiero])*(T$2=Producción_Agricola[Año Financiero]))</f>
        <v>0</v>
      </c>
      <c r="U111" s="104">
        <f>SUMPRODUCT(($C$88=Producción_Agricola[Movimiento])*(Producción_Agricola[Financiero $Corrientes])*($F111=Producción_Agricola[Cuenta Contable])*(U$1=Producción_Agricola[Mes Financiero])*(U$2=Producción_Agricola[Año Financiero]))</f>
        <v>0</v>
      </c>
      <c r="V111" s="103">
        <f>SUMPRODUCT(($C$88=Producción_Agricola[Movimiento])*(Producción_Agricola[Financiero $Corrientes])*($F111=Producción_Agricola[Cuenta Contable])*(V$1=Producción_Agricola[Mes Financiero])*(V$2=Producción_Agricola[Año Financiero]))</f>
        <v>0</v>
      </c>
      <c r="W111" s="104">
        <f>SUMPRODUCT(($C$88=Producción_Agricola[Movimiento])*(Producción_Agricola[Financiero $Corrientes])*($F111=Producción_Agricola[Cuenta Contable])*(W$1=Producción_Agricola[Mes Financiero])*(W$2=Producción_Agricola[Año Financiero]))</f>
        <v>0</v>
      </c>
      <c r="X111" s="103">
        <f>SUMPRODUCT(($C$88=Producción_Agricola[Movimiento])*(Producción_Agricola[Financiero $Corrientes])*($F111=Producción_Agricola[Cuenta Contable])*(X$1=Producción_Agricola[Mes Financiero])*(X$2=Producción_Agricola[Año Financiero]))</f>
        <v>0</v>
      </c>
      <c r="Y111" s="104">
        <f>SUMPRODUCT(($C$88=Producción_Agricola[Movimiento])*(Producción_Agricola[Financiero $Corrientes])*($F111=Producción_Agricola[Cuenta Contable])*(Y$1=Producción_Agricola[Mes Financiero])*(Y$2=Producción_Agricola[Año Financiero]))</f>
        <v>0</v>
      </c>
      <c r="Z111" s="144">
        <f t="shared" si="3"/>
        <v>0</v>
      </c>
      <c r="AC111" s="174">
        <f>SUMPRODUCT((F111=Produccion_Agricola_Cuentas[Cuenta Contable])*(Produccion_Agricola_Cuentas[IVA]))</f>
        <v>0.105</v>
      </c>
      <c r="AD111" s="174">
        <f>SUMPRODUCT((G111=Produccion_Agricola_Cuentas[Cuenta Contable])*(Produccion_Agricola_Cuentas[IVA]))</f>
        <v>0</v>
      </c>
    </row>
    <row r="112" spans="2:30" hidden="1" outlineLevel="1" x14ac:dyDescent="0.25">
      <c r="E112" s="221">
        <f>IFERROR(MATCH(F112,Produccion_Agricola_Cuentas[Cuenta Contable],0),0)</f>
        <v>13</v>
      </c>
      <c r="F112" s="116" t="s">
        <v>56</v>
      </c>
      <c r="H112" s="103">
        <f>SUMPRODUCT(($C$88=Producción_Agricola[Movimiento])*(Producción_Agricola[Financiero $Corrientes])*($F112=Producción_Agricola[Cuenta Contable])*(H$1=Producción_Agricola[Mes Financiero])*(H$2=Producción_Agricola[Año Financiero]))</f>
        <v>0</v>
      </c>
      <c r="I112" s="104">
        <f>SUMPRODUCT(($C$88=Producción_Agricola[Movimiento])*(Producción_Agricola[Financiero $Corrientes])*($F112=Producción_Agricola[Cuenta Contable])*(I$1=Producción_Agricola[Mes Financiero])*(I$2=Producción_Agricola[Año Financiero]))</f>
        <v>0</v>
      </c>
      <c r="J112" s="103">
        <f>SUMPRODUCT(($C$88=Producción_Agricola[Movimiento])*(Producción_Agricola[Financiero $Corrientes])*($F112=Producción_Agricola[Cuenta Contable])*(J$1=Producción_Agricola[Mes Financiero])*(J$2=Producción_Agricola[Año Financiero]))</f>
        <v>0</v>
      </c>
      <c r="K112" s="104">
        <f>SUMPRODUCT(($C$88=Producción_Agricola[Movimiento])*(Producción_Agricola[Financiero $Corrientes])*($F112=Producción_Agricola[Cuenta Contable])*(K$1=Producción_Agricola[Mes Financiero])*(K$2=Producción_Agricola[Año Financiero]))</f>
        <v>0</v>
      </c>
      <c r="L112" s="103">
        <f>SUMPRODUCT(($C$88=Producción_Agricola[Movimiento])*(Producción_Agricola[Financiero $Corrientes])*($F112=Producción_Agricola[Cuenta Contable])*(L$1=Producción_Agricola[Mes Financiero])*(L$2=Producción_Agricola[Año Financiero]))</f>
        <v>0</v>
      </c>
      <c r="M112" s="104">
        <f>SUMPRODUCT(($C$88=Producción_Agricola[Movimiento])*(Producción_Agricola[Financiero $Corrientes])*($F112=Producción_Agricola[Cuenta Contable])*(M$1=Producción_Agricola[Mes Financiero])*(M$2=Producción_Agricola[Año Financiero]))</f>
        <v>0</v>
      </c>
      <c r="N112" s="103">
        <f>SUMPRODUCT(($C$88=Producción_Agricola[Movimiento])*(Producción_Agricola[Financiero $Corrientes])*($F112=Producción_Agricola[Cuenta Contable])*(N$1=Producción_Agricola[Mes Financiero])*(N$2=Producción_Agricola[Año Financiero]))</f>
        <v>0</v>
      </c>
      <c r="O112" s="104">
        <f>SUMPRODUCT(($C$88=Producción_Agricola[Movimiento])*(Producción_Agricola[Financiero $Corrientes])*($F112=Producción_Agricola[Cuenta Contable])*(O$1=Producción_Agricola[Mes Financiero])*(O$2=Producción_Agricola[Año Financiero]))</f>
        <v>0</v>
      </c>
      <c r="P112" s="103">
        <f>SUMPRODUCT(($C$88=Producción_Agricola[Movimiento])*(Producción_Agricola[Financiero $Corrientes])*($F112=Producción_Agricola[Cuenta Contable])*(P$1=Producción_Agricola[Mes Financiero])*(P$2=Producción_Agricola[Año Financiero]))</f>
        <v>0</v>
      </c>
      <c r="Q112" s="104">
        <f>SUMPRODUCT(($C$88=Producción_Agricola[Movimiento])*(Producción_Agricola[Financiero $Corrientes])*($F112=Producción_Agricola[Cuenta Contable])*(Q$1=Producción_Agricola[Mes Financiero])*(Q$2=Producción_Agricola[Año Financiero]))</f>
        <v>0</v>
      </c>
      <c r="R112" s="103">
        <f>SUMPRODUCT(($C$88=Producción_Agricola[Movimiento])*(Producción_Agricola[Financiero $Corrientes])*($F112=Producción_Agricola[Cuenta Contable])*(R$1=Producción_Agricola[Mes Financiero])*(R$2=Producción_Agricola[Año Financiero]))</f>
        <v>0</v>
      </c>
      <c r="S112" s="104">
        <f>SUMPRODUCT(($C$88=Producción_Agricola[Movimiento])*(Producción_Agricola[Financiero $Corrientes])*($F112=Producción_Agricola[Cuenta Contable])*(S$1=Producción_Agricola[Mes Financiero])*(S$2=Producción_Agricola[Año Financiero]))</f>
        <v>0</v>
      </c>
      <c r="T112" s="103">
        <f>SUMPRODUCT(($C$88=Producción_Agricola[Movimiento])*(Producción_Agricola[Financiero $Corrientes])*($F112=Producción_Agricola[Cuenta Contable])*(T$1=Producción_Agricola[Mes Financiero])*(T$2=Producción_Agricola[Año Financiero]))</f>
        <v>0</v>
      </c>
      <c r="U112" s="104">
        <f>SUMPRODUCT(($C$88=Producción_Agricola[Movimiento])*(Producción_Agricola[Financiero $Corrientes])*($F112=Producción_Agricola[Cuenta Contable])*(U$1=Producción_Agricola[Mes Financiero])*(U$2=Producción_Agricola[Año Financiero]))</f>
        <v>0</v>
      </c>
      <c r="V112" s="103">
        <f>SUMPRODUCT(($C$88=Producción_Agricola[Movimiento])*(Producción_Agricola[Financiero $Corrientes])*($F112=Producción_Agricola[Cuenta Contable])*(V$1=Producción_Agricola[Mes Financiero])*(V$2=Producción_Agricola[Año Financiero]))</f>
        <v>0</v>
      </c>
      <c r="W112" s="104">
        <f>SUMPRODUCT(($C$88=Producción_Agricola[Movimiento])*(Producción_Agricola[Financiero $Corrientes])*($F112=Producción_Agricola[Cuenta Contable])*(W$1=Producción_Agricola[Mes Financiero])*(W$2=Producción_Agricola[Año Financiero]))</f>
        <v>0</v>
      </c>
      <c r="X112" s="103">
        <f>SUMPRODUCT(($C$88=Producción_Agricola[Movimiento])*(Producción_Agricola[Financiero $Corrientes])*($F112=Producción_Agricola[Cuenta Contable])*(X$1=Producción_Agricola[Mes Financiero])*(X$2=Producción_Agricola[Año Financiero]))</f>
        <v>0</v>
      </c>
      <c r="Y112" s="104">
        <f>SUMPRODUCT(($C$88=Producción_Agricola[Movimiento])*(Producción_Agricola[Financiero $Corrientes])*($F112=Producción_Agricola[Cuenta Contable])*(Y$1=Producción_Agricola[Mes Financiero])*(Y$2=Producción_Agricola[Año Financiero]))</f>
        <v>0</v>
      </c>
      <c r="Z112" s="144">
        <f t="shared" ref="Z112:Z113" si="21">SUM(H112:Y112)</f>
        <v>0</v>
      </c>
      <c r="AC112" s="174"/>
      <c r="AD112" s="174"/>
    </row>
    <row r="113" spans="2:30" hidden="1" outlineLevel="1" x14ac:dyDescent="0.25">
      <c r="B113" s="166" t="s">
        <v>101</v>
      </c>
      <c r="E113" s="221">
        <f>IFERROR(MATCH(F113,Produccion_Agricola_Cuentas[Cuenta Contable],0),0)</f>
        <v>0</v>
      </c>
      <c r="F113" s="116"/>
      <c r="H113" s="103">
        <f>SUMPRODUCT(($C$88=Producción_Agricola[Movimiento])*(Producción_Agricola[Financiero $Corrientes])*($F113=Producción_Agricola[Cuenta Contable])*(H$1=Producción_Agricola[Mes Financiero])*(H$2=Producción_Agricola[Año Financiero]))</f>
        <v>0</v>
      </c>
      <c r="I113" s="104">
        <f>SUMPRODUCT(($C$88=Producción_Agricola[Movimiento])*(Producción_Agricola[Financiero $Corrientes])*($F113=Producción_Agricola[Cuenta Contable])*(I$1=Producción_Agricola[Mes Financiero])*(I$2=Producción_Agricola[Año Financiero]))</f>
        <v>0</v>
      </c>
      <c r="J113" s="103">
        <f>SUMPRODUCT(($C$88=Producción_Agricola[Movimiento])*(Producción_Agricola[Financiero $Corrientes])*($F113=Producción_Agricola[Cuenta Contable])*(J$1=Producción_Agricola[Mes Financiero])*(J$2=Producción_Agricola[Año Financiero]))</f>
        <v>0</v>
      </c>
      <c r="K113" s="104">
        <f>SUMPRODUCT(($C$88=Producción_Agricola[Movimiento])*(Producción_Agricola[Financiero $Corrientes])*($F113=Producción_Agricola[Cuenta Contable])*(K$1=Producción_Agricola[Mes Financiero])*(K$2=Producción_Agricola[Año Financiero]))</f>
        <v>0</v>
      </c>
      <c r="L113" s="103">
        <f>SUMPRODUCT(($C$88=Producción_Agricola[Movimiento])*(Producción_Agricola[Financiero $Corrientes])*($F113=Producción_Agricola[Cuenta Contable])*(L$1=Producción_Agricola[Mes Financiero])*(L$2=Producción_Agricola[Año Financiero]))</f>
        <v>0</v>
      </c>
      <c r="M113" s="104">
        <f>SUMPRODUCT(($C$88=Producción_Agricola[Movimiento])*(Producción_Agricola[Financiero $Corrientes])*($F113=Producción_Agricola[Cuenta Contable])*(M$1=Producción_Agricola[Mes Financiero])*(M$2=Producción_Agricola[Año Financiero]))</f>
        <v>0</v>
      </c>
      <c r="N113" s="103">
        <f>SUMPRODUCT(($C$88=Producción_Agricola[Movimiento])*(Producción_Agricola[Financiero $Corrientes])*($F113=Producción_Agricola[Cuenta Contable])*(N$1=Producción_Agricola[Mes Financiero])*(N$2=Producción_Agricola[Año Financiero]))</f>
        <v>0</v>
      </c>
      <c r="O113" s="104">
        <f>SUMPRODUCT(($C$88=Producción_Agricola[Movimiento])*(Producción_Agricola[Financiero $Corrientes])*($F113=Producción_Agricola[Cuenta Contable])*(O$1=Producción_Agricola[Mes Financiero])*(O$2=Producción_Agricola[Año Financiero]))</f>
        <v>0</v>
      </c>
      <c r="P113" s="103">
        <f>SUMPRODUCT(($C$88=Producción_Agricola[Movimiento])*(Producción_Agricola[Financiero $Corrientes])*($F113=Producción_Agricola[Cuenta Contable])*(P$1=Producción_Agricola[Mes Financiero])*(P$2=Producción_Agricola[Año Financiero]))</f>
        <v>0</v>
      </c>
      <c r="Q113" s="104">
        <f>SUMPRODUCT(($C$88=Producción_Agricola[Movimiento])*(Producción_Agricola[Financiero $Corrientes])*($F113=Producción_Agricola[Cuenta Contable])*(Q$1=Producción_Agricola[Mes Financiero])*(Q$2=Producción_Agricola[Año Financiero]))</f>
        <v>0</v>
      </c>
      <c r="R113" s="103">
        <f>SUMPRODUCT(($C$88=Producción_Agricola[Movimiento])*(Producción_Agricola[Financiero $Corrientes])*($F113=Producción_Agricola[Cuenta Contable])*(R$1=Producción_Agricola[Mes Financiero])*(R$2=Producción_Agricola[Año Financiero]))</f>
        <v>0</v>
      </c>
      <c r="S113" s="104">
        <f>SUMPRODUCT(($C$88=Producción_Agricola[Movimiento])*(Producción_Agricola[Financiero $Corrientes])*($F113=Producción_Agricola[Cuenta Contable])*(S$1=Producción_Agricola[Mes Financiero])*(S$2=Producción_Agricola[Año Financiero]))</f>
        <v>0</v>
      </c>
      <c r="T113" s="103">
        <f>SUMPRODUCT(($C$88=Producción_Agricola[Movimiento])*(Producción_Agricola[Financiero $Corrientes])*($F113=Producción_Agricola[Cuenta Contable])*(T$1=Producción_Agricola[Mes Financiero])*(T$2=Producción_Agricola[Año Financiero]))</f>
        <v>0</v>
      </c>
      <c r="U113" s="104">
        <f>SUMPRODUCT(($C$88=Producción_Agricola[Movimiento])*(Producción_Agricola[Financiero $Corrientes])*($F113=Producción_Agricola[Cuenta Contable])*(U$1=Producción_Agricola[Mes Financiero])*(U$2=Producción_Agricola[Año Financiero]))</f>
        <v>0</v>
      </c>
      <c r="V113" s="103">
        <f>SUMPRODUCT(($C$88=Producción_Agricola[Movimiento])*(Producción_Agricola[Financiero $Corrientes])*($F113=Producción_Agricola[Cuenta Contable])*(V$1=Producción_Agricola[Mes Financiero])*(V$2=Producción_Agricola[Año Financiero]))</f>
        <v>0</v>
      </c>
      <c r="W113" s="104">
        <f>SUMPRODUCT(($C$88=Producción_Agricola[Movimiento])*(Producción_Agricola[Financiero $Corrientes])*($F113=Producción_Agricola[Cuenta Contable])*(W$1=Producción_Agricola[Mes Financiero])*(W$2=Producción_Agricola[Año Financiero]))</f>
        <v>0</v>
      </c>
      <c r="X113" s="103">
        <f>SUMPRODUCT(($C$88=Producción_Agricola[Movimiento])*(Producción_Agricola[Financiero $Corrientes])*($F113=Producción_Agricola[Cuenta Contable])*(X$1=Producción_Agricola[Mes Financiero])*(X$2=Producción_Agricola[Año Financiero]))</f>
        <v>0</v>
      </c>
      <c r="Y113" s="104">
        <f>SUMPRODUCT(($C$88=Producción_Agricola[Movimiento])*(Producción_Agricola[Financiero $Corrientes])*($F113=Producción_Agricola[Cuenta Contable])*(Y$1=Producción_Agricola[Mes Financiero])*(Y$2=Producción_Agricola[Año Financiero]))</f>
        <v>0</v>
      </c>
      <c r="Z113" s="144">
        <f t="shared" si="21"/>
        <v>0</v>
      </c>
      <c r="AC113" s="174"/>
      <c r="AD113" s="174"/>
    </row>
    <row r="114" spans="2:30" hidden="1" outlineLevel="1" x14ac:dyDescent="0.25">
      <c r="E114" s="224"/>
      <c r="F114" s="219" t="s">
        <v>344</v>
      </c>
      <c r="G114" s="94"/>
      <c r="H114" s="105">
        <f>SUMPRODUCT(($C$88=Producción_Agricola[Movimiento])*(Producción_Agricola[Financiero $Corrientes])*(H$1=Producción_Agricola[Mes Financiero])*(H$2=Producción_Agricola[Año Financiero]))-SUM(H101:H113)</f>
        <v>0</v>
      </c>
      <c r="I114" s="106">
        <f>SUMPRODUCT(($C$88=Producción_Agricola[Movimiento])*(Producción_Agricola[Financiero $Corrientes])*(I$1=Producción_Agricola[Mes Financiero])*(I$2=Producción_Agricola[Año Financiero]))-SUM(I101:I113)</f>
        <v>0</v>
      </c>
      <c r="J114" s="105">
        <f>SUMPRODUCT(($C$88=Producción_Agricola[Movimiento])*(Producción_Agricola[Financiero $Corrientes])*(J$1=Producción_Agricola[Mes Financiero])*(J$2=Producción_Agricola[Año Financiero]))-SUM(J101:J113)</f>
        <v>0</v>
      </c>
      <c r="K114" s="106">
        <f>SUMPRODUCT(($C$88=Producción_Agricola[Movimiento])*(Producción_Agricola[Financiero $Corrientes])*(K$1=Producción_Agricola[Mes Financiero])*(K$2=Producción_Agricola[Año Financiero]))-SUM(K101:K113)</f>
        <v>0</v>
      </c>
      <c r="L114" s="105">
        <f>SUMPRODUCT(($C$88=Producción_Agricola[Movimiento])*(Producción_Agricola[Financiero $Corrientes])*(L$1=Producción_Agricola[Mes Financiero])*(L$2=Producción_Agricola[Año Financiero]))-SUM(L101:L113)</f>
        <v>0</v>
      </c>
      <c r="M114" s="106">
        <f>SUMPRODUCT(($C$88=Producción_Agricola[Movimiento])*(Producción_Agricola[Financiero $Corrientes])*(M$1=Producción_Agricola[Mes Financiero])*(M$2=Producción_Agricola[Año Financiero]))-SUM(M101:M113)</f>
        <v>0</v>
      </c>
      <c r="N114" s="105">
        <f>SUMPRODUCT(($C$88=Producción_Agricola[Movimiento])*(Producción_Agricola[Financiero $Corrientes])*(N$1=Producción_Agricola[Mes Financiero])*(N$2=Producción_Agricola[Año Financiero]))-SUM(N101:N113)</f>
        <v>0</v>
      </c>
      <c r="O114" s="106">
        <f>SUMPRODUCT(($C$88=Producción_Agricola[Movimiento])*(Producción_Agricola[Financiero $Corrientes])*(O$1=Producción_Agricola[Mes Financiero])*(O$2=Producción_Agricola[Año Financiero]))-SUM(O101:O113)</f>
        <v>0</v>
      </c>
      <c r="P114" s="105">
        <f>SUMPRODUCT(($C$88=Producción_Agricola[Movimiento])*(Producción_Agricola[Financiero $Corrientes])*(P$1=Producción_Agricola[Mes Financiero])*(P$2=Producción_Agricola[Año Financiero]))-SUM(P101:P113)</f>
        <v>0</v>
      </c>
      <c r="Q114" s="106">
        <f>SUMPRODUCT(($C$88=Producción_Agricola[Movimiento])*(Producción_Agricola[Financiero $Corrientes])*(Q$1=Producción_Agricola[Mes Financiero])*(Q$2=Producción_Agricola[Año Financiero]))-SUM(Q101:Q113)</f>
        <v>0</v>
      </c>
      <c r="R114" s="105">
        <f>SUMPRODUCT(($C$88=Producción_Agricola[Movimiento])*(Producción_Agricola[Financiero $Corrientes])*(R$1=Producción_Agricola[Mes Financiero])*(R$2=Producción_Agricola[Año Financiero]))-SUM(R101:R113)</f>
        <v>0</v>
      </c>
      <c r="S114" s="106">
        <f>SUMPRODUCT(($C$88=Producción_Agricola[Movimiento])*(Producción_Agricola[Financiero $Corrientes])*(S$1=Producción_Agricola[Mes Financiero])*(S$2=Producción_Agricola[Año Financiero]))-SUM(S101:S113)</f>
        <v>0</v>
      </c>
      <c r="T114" s="105">
        <f>SUMPRODUCT(($C$88=Producción_Agricola[Movimiento])*(Producción_Agricola[Financiero $Corrientes])*(T$1=Producción_Agricola[Mes Financiero])*(T$2=Producción_Agricola[Año Financiero]))-SUM(T101:T113)</f>
        <v>0</v>
      </c>
      <c r="U114" s="106">
        <f>SUMPRODUCT(($C$88=Producción_Agricola[Movimiento])*(Producción_Agricola[Financiero $Corrientes])*(U$1=Producción_Agricola[Mes Financiero])*(U$2=Producción_Agricola[Año Financiero]))-SUM(U101:U113)</f>
        <v>0</v>
      </c>
      <c r="V114" s="105">
        <f>SUMPRODUCT(($C$88=Producción_Agricola[Movimiento])*(Producción_Agricola[Financiero $Corrientes])*(V$1=Producción_Agricola[Mes Financiero])*(V$2=Producción_Agricola[Año Financiero]))-SUM(V101:V113)</f>
        <v>0</v>
      </c>
      <c r="W114" s="106">
        <f>SUMPRODUCT(($C$88=Producción_Agricola[Movimiento])*(Producción_Agricola[Financiero $Corrientes])*(W$1=Producción_Agricola[Mes Financiero])*(W$2=Producción_Agricola[Año Financiero]))-SUM(W101:W113)</f>
        <v>0</v>
      </c>
      <c r="X114" s="105">
        <f>SUMPRODUCT(($C$88=Producción_Agricola[Movimiento])*(Producción_Agricola[Financiero $Corrientes])*(X$1=Producción_Agricola[Mes Financiero])*(X$2=Producción_Agricola[Año Financiero]))-SUM(X101:X113)</f>
        <v>0</v>
      </c>
      <c r="Y114" s="106">
        <f>SUMPRODUCT(($C$88=Producción_Agricola[Movimiento])*(Producción_Agricola[Financiero $Corrientes])*(Y$1=Producción_Agricola[Mes Financiero])*(Y$2=Producción_Agricola[Año Financiero]))-SUM(Y101:Y113)</f>
        <v>0</v>
      </c>
      <c r="Z114" s="163">
        <f t="shared" si="3"/>
        <v>0</v>
      </c>
      <c r="AC114" s="174">
        <f>SUMPRODUCT((F114=Produccion_Agricola_Cuentas[Cuenta Contable])*(Produccion_Agricola_Cuentas[IVA]))</f>
        <v>0</v>
      </c>
      <c r="AD114" s="174">
        <f>SUMPRODUCT((G114=Produccion_Agricola_Cuentas[Cuenta Contable])*(Produccion_Agricola_Cuentas[IVA]))</f>
        <v>0</v>
      </c>
    </row>
    <row r="115" spans="2:30" collapsed="1" x14ac:dyDescent="0.25">
      <c r="C115" s="210" t="s">
        <v>38</v>
      </c>
      <c r="D115" s="381" t="s">
        <v>165</v>
      </c>
      <c r="F115" s="135" t="s">
        <v>186</v>
      </c>
      <c r="G115" s="19"/>
      <c r="H115" s="112">
        <f>SUMPRODUCT(($C$115=Producción_Ganadera[Movimiento])*(H$1=Producción_Ganadera[Mes Financiero])*(H$2=Producción_Ganadera[Año Financiero])*(Producción_Ganadera[Financiero $Corrientes]))</f>
        <v>0</v>
      </c>
      <c r="I115" s="113">
        <f>SUMPRODUCT(($C$115=Producción_Ganadera[Movimiento])*(I$1=Producción_Ganadera[Mes Financiero])*(I$2=Producción_Ganadera[Año Financiero])*(Producción_Ganadera[Financiero $Corrientes]))</f>
        <v>0</v>
      </c>
      <c r="J115" s="112">
        <f>SUMPRODUCT(($C$115=Producción_Ganadera[Movimiento])*(J$1=Producción_Ganadera[Mes Financiero])*(J$2=Producción_Ganadera[Año Financiero])*(Producción_Ganadera[Financiero $Corrientes]))</f>
        <v>0</v>
      </c>
      <c r="K115" s="113">
        <f>SUMPRODUCT(($C$115=Producción_Ganadera[Movimiento])*(K$1=Producción_Ganadera[Mes Financiero])*(K$2=Producción_Ganadera[Año Financiero])*(Producción_Ganadera[Financiero $Corrientes]))</f>
        <v>0</v>
      </c>
      <c r="L115" s="112">
        <f>SUMPRODUCT(($C$115=Producción_Ganadera[Movimiento])*(L$1=Producción_Ganadera[Mes Financiero])*(L$2=Producción_Ganadera[Año Financiero])*(Producción_Ganadera[Financiero $Corrientes]))</f>
        <v>0</v>
      </c>
      <c r="M115" s="113">
        <f>SUMPRODUCT(($C$115=Producción_Ganadera[Movimiento])*(M$1=Producción_Ganadera[Mes Financiero])*(M$2=Producción_Ganadera[Año Financiero])*(Producción_Ganadera[Financiero $Corrientes]))</f>
        <v>0</v>
      </c>
      <c r="N115" s="112">
        <f>SUMPRODUCT(($C$115=Producción_Ganadera[Movimiento])*(N$1=Producción_Ganadera[Mes Financiero])*(N$2=Producción_Ganadera[Año Financiero])*(Producción_Ganadera[Financiero $Corrientes]))</f>
        <v>0</v>
      </c>
      <c r="O115" s="113">
        <f>SUMPRODUCT(($C$115=Producción_Ganadera[Movimiento])*(O$1=Producción_Ganadera[Mes Financiero])*(O$2=Producción_Ganadera[Año Financiero])*(Producción_Ganadera[Financiero $Corrientes]))</f>
        <v>0</v>
      </c>
      <c r="P115" s="112">
        <f>SUMPRODUCT(($C$115=Producción_Ganadera[Movimiento])*(P$1=Producción_Ganadera[Mes Financiero])*(P$2=Producción_Ganadera[Año Financiero])*(Producción_Ganadera[Financiero $Corrientes]))</f>
        <v>0</v>
      </c>
      <c r="Q115" s="113">
        <f>SUMPRODUCT(($C$115=Producción_Ganadera[Movimiento])*(Q$1=Producción_Ganadera[Mes Financiero])*(Q$2=Producción_Ganadera[Año Financiero])*(Producción_Ganadera[Financiero $Corrientes]))</f>
        <v>0</v>
      </c>
      <c r="R115" s="112">
        <f>SUMPRODUCT(($C$115=Producción_Ganadera[Movimiento])*(R$1=Producción_Ganadera[Mes Financiero])*(R$2=Producción_Ganadera[Año Financiero])*(Producción_Ganadera[Financiero $Corrientes]))</f>
        <v>0</v>
      </c>
      <c r="S115" s="113">
        <f>SUMPRODUCT(($C$115=Producción_Ganadera[Movimiento])*(S$1=Producción_Ganadera[Mes Financiero])*(S$2=Producción_Ganadera[Año Financiero])*(Producción_Ganadera[Financiero $Corrientes]))</f>
        <v>0</v>
      </c>
      <c r="T115" s="112">
        <f>SUMPRODUCT(($C$115=Producción_Ganadera[Movimiento])*(T$1=Producción_Ganadera[Mes Financiero])*(T$2=Producción_Ganadera[Año Financiero])*(Producción_Ganadera[Financiero $Corrientes]))</f>
        <v>0</v>
      </c>
      <c r="U115" s="113">
        <f>SUMPRODUCT(($C$115=Producción_Ganadera[Movimiento])*(U$1=Producción_Ganadera[Mes Financiero])*(U$2=Producción_Ganadera[Año Financiero])*(Producción_Ganadera[Financiero $Corrientes]))</f>
        <v>0</v>
      </c>
      <c r="V115" s="112">
        <f>SUMPRODUCT(($C$115=Producción_Ganadera[Movimiento])*(V$1=Producción_Ganadera[Mes Financiero])*(V$2=Producción_Ganadera[Año Financiero])*(Producción_Ganadera[Financiero $Corrientes]))</f>
        <v>0</v>
      </c>
      <c r="W115" s="113">
        <f>SUMPRODUCT(($C$115=Producción_Ganadera[Movimiento])*(W$1=Producción_Ganadera[Mes Financiero])*(W$2=Producción_Ganadera[Año Financiero])*(Producción_Ganadera[Financiero $Corrientes]))</f>
        <v>0</v>
      </c>
      <c r="X115" s="112">
        <f>SUMPRODUCT(($C$115=Producción_Ganadera[Movimiento])*(X$1=Producción_Ganadera[Mes Financiero])*(X$2=Producción_Ganadera[Año Financiero])*(Producción_Ganadera[Financiero $Corrientes]))</f>
        <v>0</v>
      </c>
      <c r="Y115" s="113">
        <f>SUMPRODUCT(($C$115=Producción_Ganadera[Movimiento])*(Y$1=Producción_Ganadera[Mes Financiero])*(Y$2=Producción_Ganadera[Año Financiero])*(Producción_Ganadera[Financiero $Corrientes]))</f>
        <v>0</v>
      </c>
      <c r="Z115" s="147">
        <f>SUM(H115:Y115)</f>
        <v>0</v>
      </c>
    </row>
    <row r="116" spans="2:30" hidden="1" outlineLevel="1" x14ac:dyDescent="0.25">
      <c r="E116" s="223">
        <f>MATCH(F116,Produccion_Ganadera_Cuentas[Cuenta Contable],0)</f>
        <v>7</v>
      </c>
      <c r="F116" s="382" t="s">
        <v>170</v>
      </c>
      <c r="H116" s="103">
        <f>SUMPRODUCT((H$1=Producción_Ganadera[Mes Financiero])*(H$2=Producción_Ganadera[Año Financiero])*($C$115=Producción_Ganadera[Movimiento])*($F116=Producción_Ganadera[Cuenta Contable])*(Producción_Ganadera[Financiero $Corrientes]))</f>
        <v>0</v>
      </c>
      <c r="I116" s="104">
        <f>SUMPRODUCT((I$1=Producción_Ganadera[Mes Financiero])*(I$2=Producción_Ganadera[Año Financiero])*($C$115=Producción_Ganadera[Movimiento])*($F116=Producción_Ganadera[Cuenta Contable])*(Producción_Ganadera[Financiero $Corrientes]))</f>
        <v>0</v>
      </c>
      <c r="J116" s="103">
        <f>SUMPRODUCT((J$1=Producción_Ganadera[Mes Financiero])*(J$2=Producción_Ganadera[Año Financiero])*($C$115=Producción_Ganadera[Movimiento])*($F116=Producción_Ganadera[Cuenta Contable])*(Producción_Ganadera[Financiero $Corrientes]))</f>
        <v>0</v>
      </c>
      <c r="K116" s="104">
        <f>SUMPRODUCT((K$1=Producción_Ganadera[Mes Financiero])*(K$2=Producción_Ganadera[Año Financiero])*($C$115=Producción_Ganadera[Movimiento])*($F116=Producción_Ganadera[Cuenta Contable])*(Producción_Ganadera[Financiero $Corrientes]))</f>
        <v>0</v>
      </c>
      <c r="L116" s="103">
        <f>SUMPRODUCT((L$1=Producción_Ganadera[Mes Financiero])*(L$2=Producción_Ganadera[Año Financiero])*($C$115=Producción_Ganadera[Movimiento])*($F116=Producción_Ganadera[Cuenta Contable])*(Producción_Ganadera[Financiero $Corrientes]))</f>
        <v>0</v>
      </c>
      <c r="M116" s="104">
        <f>SUMPRODUCT((M$1=Producción_Ganadera[Mes Financiero])*(M$2=Producción_Ganadera[Año Financiero])*($C$115=Producción_Ganadera[Movimiento])*($F116=Producción_Ganadera[Cuenta Contable])*(Producción_Ganadera[Financiero $Corrientes]))</f>
        <v>0</v>
      </c>
      <c r="N116" s="103">
        <f>SUMPRODUCT((N$1=Producción_Ganadera[Mes Financiero])*(N$2=Producción_Ganadera[Año Financiero])*($C$115=Producción_Ganadera[Movimiento])*($F116=Producción_Ganadera[Cuenta Contable])*(Producción_Ganadera[Financiero $Corrientes]))</f>
        <v>0</v>
      </c>
      <c r="O116" s="104">
        <f>SUMPRODUCT((O$1=Producción_Ganadera[Mes Financiero])*(O$2=Producción_Ganadera[Año Financiero])*($C$115=Producción_Ganadera[Movimiento])*($F116=Producción_Ganadera[Cuenta Contable])*(Producción_Ganadera[Financiero $Corrientes]))</f>
        <v>0</v>
      </c>
      <c r="P116" s="103">
        <f>SUMPRODUCT((P$1=Producción_Ganadera[Mes Financiero])*(P$2=Producción_Ganadera[Año Financiero])*($C$115=Producción_Ganadera[Movimiento])*($F116=Producción_Ganadera[Cuenta Contable])*(Producción_Ganadera[Financiero $Corrientes]))</f>
        <v>0</v>
      </c>
      <c r="Q116" s="104">
        <f>SUMPRODUCT((Q$1=Producción_Ganadera[Mes Financiero])*(Q$2=Producción_Ganadera[Año Financiero])*($C$115=Producción_Ganadera[Movimiento])*($F116=Producción_Ganadera[Cuenta Contable])*(Producción_Ganadera[Financiero $Corrientes]))</f>
        <v>0</v>
      </c>
      <c r="R116" s="103">
        <f>SUMPRODUCT((R$1=Producción_Ganadera[Mes Financiero])*(R$2=Producción_Ganadera[Año Financiero])*($C$115=Producción_Ganadera[Movimiento])*($F116=Producción_Ganadera[Cuenta Contable])*(Producción_Ganadera[Financiero $Corrientes]))</f>
        <v>0</v>
      </c>
      <c r="S116" s="104">
        <f>SUMPRODUCT((S$1=Producción_Ganadera[Mes Financiero])*(S$2=Producción_Ganadera[Año Financiero])*($C$115=Producción_Ganadera[Movimiento])*($F116=Producción_Ganadera[Cuenta Contable])*(Producción_Ganadera[Financiero $Corrientes]))</f>
        <v>0</v>
      </c>
      <c r="T116" s="103">
        <f>SUMPRODUCT((T$1=Producción_Ganadera[Mes Financiero])*(T$2=Producción_Ganadera[Año Financiero])*($C$115=Producción_Ganadera[Movimiento])*($F116=Producción_Ganadera[Cuenta Contable])*(Producción_Ganadera[Financiero $Corrientes]))</f>
        <v>0</v>
      </c>
      <c r="U116" s="104">
        <f>SUMPRODUCT((U$1=Producción_Ganadera[Mes Financiero])*(U$2=Producción_Ganadera[Año Financiero])*($C$115=Producción_Ganadera[Movimiento])*($F116=Producción_Ganadera[Cuenta Contable])*(Producción_Ganadera[Financiero $Corrientes]))</f>
        <v>0</v>
      </c>
      <c r="V116" s="103">
        <f>SUMPRODUCT((V$1=Producción_Ganadera[Mes Financiero])*(V$2=Producción_Ganadera[Año Financiero])*($C$115=Producción_Ganadera[Movimiento])*($F116=Producción_Ganadera[Cuenta Contable])*(Producción_Ganadera[Financiero $Corrientes]))</f>
        <v>0</v>
      </c>
      <c r="W116" s="104">
        <f>SUMPRODUCT((W$1=Producción_Ganadera[Mes Financiero])*(W$2=Producción_Ganadera[Año Financiero])*($C$115=Producción_Ganadera[Movimiento])*($F116=Producción_Ganadera[Cuenta Contable])*(Producción_Ganadera[Financiero $Corrientes]))</f>
        <v>0</v>
      </c>
      <c r="X116" s="103">
        <f>SUMPRODUCT((X$1=Producción_Ganadera[Mes Financiero])*(X$2=Producción_Ganadera[Año Financiero])*($C$115=Producción_Ganadera[Movimiento])*($F116=Producción_Ganadera[Cuenta Contable])*(Producción_Ganadera[Financiero $Corrientes]))</f>
        <v>0</v>
      </c>
      <c r="Y116" s="104">
        <f>SUMPRODUCT((Y$1=Producción_Ganadera[Mes Financiero])*(Y$2=Producción_Ganadera[Año Financiero])*($C$115=Producción_Ganadera[Movimiento])*($F116=Producción_Ganadera[Cuenta Contable])*(Producción_Ganadera[Financiero $Corrientes]))</f>
        <v>0</v>
      </c>
      <c r="Z116" s="139">
        <f t="shared" si="3"/>
        <v>0</v>
      </c>
      <c r="AB116" s="170" t="b">
        <f>Z116=SUM(Z117:Z128)</f>
        <v>1</v>
      </c>
      <c r="AC116" s="174">
        <f>SUMPRODUCT((F116=Produccion_Ganadera_Cuentas[Cuenta Contable])*(Produccion_Ganadera_Cuentas[IVA]))</f>
        <v>0.105</v>
      </c>
      <c r="AD116" s="174">
        <f>SUMPRODUCT((G116=Produccion_Ganadera_Cuentas[Cuenta Contable])*(Produccion_Ganadera_Cuentas[IVA]))</f>
        <v>0</v>
      </c>
    </row>
    <row r="117" spans="2:30" hidden="1" outlineLevel="2" x14ac:dyDescent="0.25">
      <c r="F117" s="220">
        <f>IFERROR(MATCH(G117,Produccion_Ganadera[Categoría],0),0)</f>
        <v>1</v>
      </c>
      <c r="G117" s="122" t="str">
        <f>Configuración!AZ5</f>
        <v>Vaca CUT</v>
      </c>
      <c r="H117" s="117">
        <f>SUMPRODUCT(($C$115=Producción_Ganadera[Movimiento])*($G117=Producción_Ganadera[Categoría Hacienda])*(H$1=Producción_Ganadera[Mes Financiero])*(H$2=Producción_Ganadera[Año Financiero])*(Producción_Ganadera[Financiero $Corrientes]))</f>
        <v>0</v>
      </c>
      <c r="I117" s="118">
        <f>SUMPRODUCT(($C$115=Producción_Ganadera[Movimiento])*($G117=Producción_Ganadera[Categoría Hacienda])*(I$1=Producción_Ganadera[Mes Financiero])*(I$2=Producción_Ganadera[Año Financiero])*(Producción_Ganadera[Financiero $Corrientes]))</f>
        <v>0</v>
      </c>
      <c r="J117" s="117">
        <f>SUMPRODUCT(($C$115=Producción_Ganadera[Movimiento])*($G117=Producción_Ganadera[Categoría Hacienda])*(J$1=Producción_Ganadera[Mes Financiero])*(J$2=Producción_Ganadera[Año Financiero])*(Producción_Ganadera[Financiero $Corrientes]))</f>
        <v>0</v>
      </c>
      <c r="K117" s="118">
        <f>SUMPRODUCT(($C$115=Producción_Ganadera[Movimiento])*($G117=Producción_Ganadera[Categoría Hacienda])*(K$1=Producción_Ganadera[Mes Financiero])*(K$2=Producción_Ganadera[Año Financiero])*(Producción_Ganadera[Financiero $Corrientes]))</f>
        <v>0</v>
      </c>
      <c r="L117" s="117">
        <f>SUMPRODUCT(($C$115=Producción_Ganadera[Movimiento])*($G117=Producción_Ganadera[Categoría Hacienda])*(L$1=Producción_Ganadera[Mes Financiero])*(L$2=Producción_Ganadera[Año Financiero])*(Producción_Ganadera[Financiero $Corrientes]))</f>
        <v>0</v>
      </c>
      <c r="M117" s="118">
        <f>SUMPRODUCT(($C$115=Producción_Ganadera[Movimiento])*($G117=Producción_Ganadera[Categoría Hacienda])*(M$1=Producción_Ganadera[Mes Financiero])*(M$2=Producción_Ganadera[Año Financiero])*(Producción_Ganadera[Financiero $Corrientes]))</f>
        <v>0</v>
      </c>
      <c r="N117" s="117">
        <f>SUMPRODUCT(($C$115=Producción_Ganadera[Movimiento])*($G117=Producción_Ganadera[Categoría Hacienda])*(N$1=Producción_Ganadera[Mes Financiero])*(N$2=Producción_Ganadera[Año Financiero])*(Producción_Ganadera[Financiero $Corrientes]))</f>
        <v>0</v>
      </c>
      <c r="O117" s="118">
        <f>SUMPRODUCT(($C$115=Producción_Ganadera[Movimiento])*($G117=Producción_Ganadera[Categoría Hacienda])*(O$1=Producción_Ganadera[Mes Financiero])*(O$2=Producción_Ganadera[Año Financiero])*(Producción_Ganadera[Financiero $Corrientes]))</f>
        <v>0</v>
      </c>
      <c r="P117" s="117">
        <f>SUMPRODUCT(($C$115=Producción_Ganadera[Movimiento])*($G117=Producción_Ganadera[Categoría Hacienda])*(P$1=Producción_Ganadera[Mes Financiero])*(P$2=Producción_Ganadera[Año Financiero])*(Producción_Ganadera[Financiero $Corrientes]))</f>
        <v>0</v>
      </c>
      <c r="Q117" s="118">
        <f>SUMPRODUCT(($C$115=Producción_Ganadera[Movimiento])*($G117=Producción_Ganadera[Categoría Hacienda])*(Q$1=Producción_Ganadera[Mes Financiero])*(Q$2=Producción_Ganadera[Año Financiero])*(Producción_Ganadera[Financiero $Corrientes]))</f>
        <v>0</v>
      </c>
      <c r="R117" s="117">
        <f>SUMPRODUCT(($C$115=Producción_Ganadera[Movimiento])*($G117=Producción_Ganadera[Categoría Hacienda])*(R$1=Producción_Ganadera[Mes Financiero])*(R$2=Producción_Ganadera[Año Financiero])*(Producción_Ganadera[Financiero $Corrientes]))</f>
        <v>0</v>
      </c>
      <c r="S117" s="118">
        <f>SUMPRODUCT(($C$115=Producción_Ganadera[Movimiento])*($G117=Producción_Ganadera[Categoría Hacienda])*(S$1=Producción_Ganadera[Mes Financiero])*(S$2=Producción_Ganadera[Año Financiero])*(Producción_Ganadera[Financiero $Corrientes]))</f>
        <v>0</v>
      </c>
      <c r="T117" s="117">
        <f>SUMPRODUCT(($C$115=Producción_Ganadera[Movimiento])*($G117=Producción_Ganadera[Categoría Hacienda])*(T$1=Producción_Ganadera[Mes Financiero])*(T$2=Producción_Ganadera[Año Financiero])*(Producción_Ganadera[Financiero $Corrientes]))</f>
        <v>0</v>
      </c>
      <c r="U117" s="118">
        <f>SUMPRODUCT(($C$115=Producción_Ganadera[Movimiento])*($G117=Producción_Ganadera[Categoría Hacienda])*(U$1=Producción_Ganadera[Mes Financiero])*(U$2=Producción_Ganadera[Año Financiero])*(Producción_Ganadera[Financiero $Corrientes]))</f>
        <v>0</v>
      </c>
      <c r="V117" s="117">
        <f>SUMPRODUCT(($C$115=Producción_Ganadera[Movimiento])*($G117=Producción_Ganadera[Categoría Hacienda])*(V$1=Producción_Ganadera[Mes Financiero])*(V$2=Producción_Ganadera[Año Financiero])*(Producción_Ganadera[Financiero $Corrientes]))</f>
        <v>0</v>
      </c>
      <c r="W117" s="118">
        <f>SUMPRODUCT(($C$115=Producción_Ganadera[Movimiento])*($G117=Producción_Ganadera[Categoría Hacienda])*(W$1=Producción_Ganadera[Mes Financiero])*(W$2=Producción_Ganadera[Año Financiero])*(Producción_Ganadera[Financiero $Corrientes]))</f>
        <v>0</v>
      </c>
      <c r="X117" s="117">
        <f>SUMPRODUCT(($C$115=Producción_Ganadera[Movimiento])*($G117=Producción_Ganadera[Categoría Hacienda])*(X$1=Producción_Ganadera[Mes Financiero])*(X$2=Producción_Ganadera[Año Financiero])*(Producción_Ganadera[Financiero $Corrientes]))</f>
        <v>0</v>
      </c>
      <c r="Y117" s="118">
        <f>SUMPRODUCT(($C$115=Producción_Ganadera[Movimiento])*($G117=Producción_Ganadera[Categoría Hacienda])*(Y$1=Producción_Ganadera[Mes Financiero])*(Y$2=Producción_Ganadera[Año Financiero])*(Producción_Ganadera[Financiero $Corrientes]))</f>
        <v>0</v>
      </c>
      <c r="Z117" s="140">
        <f t="shared" ref="Z117:Z201" si="22">SUM(H117:Y117)</f>
        <v>0</v>
      </c>
      <c r="AC117" s="174"/>
      <c r="AD117" s="174"/>
    </row>
    <row r="118" spans="2:30" hidden="1" outlineLevel="2" x14ac:dyDescent="0.25">
      <c r="F118" s="220">
        <f>IFERROR(MATCH(G118,Produccion_Ganadera[Categoría],0),0)</f>
        <v>2</v>
      </c>
      <c r="G118" s="122" t="str">
        <f>Configuración!AZ6</f>
        <v>Vaca Preñada</v>
      </c>
      <c r="H118" s="117">
        <f>SUMPRODUCT(($C$115=Producción_Ganadera[Movimiento])*($G118=Producción_Ganadera[Categoría Hacienda])*(H$1=Producción_Ganadera[Mes Financiero])*(H$2=Producción_Ganadera[Año Financiero])*(Producción_Ganadera[Financiero $Corrientes]))</f>
        <v>0</v>
      </c>
      <c r="I118" s="118">
        <f>SUMPRODUCT(($C$115=Producción_Ganadera[Movimiento])*($G118=Producción_Ganadera[Categoría Hacienda])*(I$1=Producción_Ganadera[Mes Financiero])*(I$2=Producción_Ganadera[Año Financiero])*(Producción_Ganadera[Financiero $Corrientes]))</f>
        <v>0</v>
      </c>
      <c r="J118" s="117">
        <f>SUMPRODUCT(($C$115=Producción_Ganadera[Movimiento])*($G118=Producción_Ganadera[Categoría Hacienda])*(J$1=Producción_Ganadera[Mes Financiero])*(J$2=Producción_Ganadera[Año Financiero])*(Producción_Ganadera[Financiero $Corrientes]))</f>
        <v>0</v>
      </c>
      <c r="K118" s="118">
        <f>SUMPRODUCT(($C$115=Producción_Ganadera[Movimiento])*($G118=Producción_Ganadera[Categoría Hacienda])*(K$1=Producción_Ganadera[Mes Financiero])*(K$2=Producción_Ganadera[Año Financiero])*(Producción_Ganadera[Financiero $Corrientes]))</f>
        <v>0</v>
      </c>
      <c r="L118" s="117">
        <f>SUMPRODUCT(($C$115=Producción_Ganadera[Movimiento])*($G118=Producción_Ganadera[Categoría Hacienda])*(L$1=Producción_Ganadera[Mes Financiero])*(L$2=Producción_Ganadera[Año Financiero])*(Producción_Ganadera[Financiero $Corrientes]))</f>
        <v>0</v>
      </c>
      <c r="M118" s="118">
        <f>SUMPRODUCT(($C$115=Producción_Ganadera[Movimiento])*($G118=Producción_Ganadera[Categoría Hacienda])*(M$1=Producción_Ganadera[Mes Financiero])*(M$2=Producción_Ganadera[Año Financiero])*(Producción_Ganadera[Financiero $Corrientes]))</f>
        <v>0</v>
      </c>
      <c r="N118" s="117">
        <f>SUMPRODUCT(($C$115=Producción_Ganadera[Movimiento])*($G118=Producción_Ganadera[Categoría Hacienda])*(N$1=Producción_Ganadera[Mes Financiero])*(N$2=Producción_Ganadera[Año Financiero])*(Producción_Ganadera[Financiero $Corrientes]))</f>
        <v>0</v>
      </c>
      <c r="O118" s="118">
        <f>SUMPRODUCT(($C$115=Producción_Ganadera[Movimiento])*($G118=Producción_Ganadera[Categoría Hacienda])*(O$1=Producción_Ganadera[Mes Financiero])*(O$2=Producción_Ganadera[Año Financiero])*(Producción_Ganadera[Financiero $Corrientes]))</f>
        <v>0</v>
      </c>
      <c r="P118" s="117">
        <f>SUMPRODUCT(($C$115=Producción_Ganadera[Movimiento])*($G118=Producción_Ganadera[Categoría Hacienda])*(P$1=Producción_Ganadera[Mes Financiero])*(P$2=Producción_Ganadera[Año Financiero])*(Producción_Ganadera[Financiero $Corrientes]))</f>
        <v>0</v>
      </c>
      <c r="Q118" s="118">
        <f>SUMPRODUCT(($C$115=Producción_Ganadera[Movimiento])*($G118=Producción_Ganadera[Categoría Hacienda])*(Q$1=Producción_Ganadera[Mes Financiero])*(Q$2=Producción_Ganadera[Año Financiero])*(Producción_Ganadera[Financiero $Corrientes]))</f>
        <v>0</v>
      </c>
      <c r="R118" s="117">
        <f>SUMPRODUCT(($C$115=Producción_Ganadera[Movimiento])*($G118=Producción_Ganadera[Categoría Hacienda])*(R$1=Producción_Ganadera[Mes Financiero])*(R$2=Producción_Ganadera[Año Financiero])*(Producción_Ganadera[Financiero $Corrientes]))</f>
        <v>0</v>
      </c>
      <c r="S118" s="118">
        <f>SUMPRODUCT(($C$115=Producción_Ganadera[Movimiento])*($G118=Producción_Ganadera[Categoría Hacienda])*(S$1=Producción_Ganadera[Mes Financiero])*(S$2=Producción_Ganadera[Año Financiero])*(Producción_Ganadera[Financiero $Corrientes]))</f>
        <v>0</v>
      </c>
      <c r="T118" s="117">
        <f>SUMPRODUCT(($C$115=Producción_Ganadera[Movimiento])*($G118=Producción_Ganadera[Categoría Hacienda])*(T$1=Producción_Ganadera[Mes Financiero])*(T$2=Producción_Ganadera[Año Financiero])*(Producción_Ganadera[Financiero $Corrientes]))</f>
        <v>0</v>
      </c>
      <c r="U118" s="118">
        <f>SUMPRODUCT(($C$115=Producción_Ganadera[Movimiento])*($G118=Producción_Ganadera[Categoría Hacienda])*(U$1=Producción_Ganadera[Mes Financiero])*(U$2=Producción_Ganadera[Año Financiero])*(Producción_Ganadera[Financiero $Corrientes]))</f>
        <v>0</v>
      </c>
      <c r="V118" s="117">
        <f>SUMPRODUCT(($C$115=Producción_Ganadera[Movimiento])*($G118=Producción_Ganadera[Categoría Hacienda])*(V$1=Producción_Ganadera[Mes Financiero])*(V$2=Producción_Ganadera[Año Financiero])*(Producción_Ganadera[Financiero $Corrientes]))</f>
        <v>0</v>
      </c>
      <c r="W118" s="118">
        <f>SUMPRODUCT(($C$115=Producción_Ganadera[Movimiento])*($G118=Producción_Ganadera[Categoría Hacienda])*(W$1=Producción_Ganadera[Mes Financiero])*(W$2=Producción_Ganadera[Año Financiero])*(Producción_Ganadera[Financiero $Corrientes]))</f>
        <v>0</v>
      </c>
      <c r="X118" s="117">
        <f>SUMPRODUCT(($C$115=Producción_Ganadera[Movimiento])*($G118=Producción_Ganadera[Categoría Hacienda])*(X$1=Producción_Ganadera[Mes Financiero])*(X$2=Producción_Ganadera[Año Financiero])*(Producción_Ganadera[Financiero $Corrientes]))</f>
        <v>0</v>
      </c>
      <c r="Y118" s="118">
        <f>SUMPRODUCT(($C$115=Producción_Ganadera[Movimiento])*($G118=Producción_Ganadera[Categoría Hacienda])*(Y$1=Producción_Ganadera[Mes Financiero])*(Y$2=Producción_Ganadera[Año Financiero])*(Producción_Ganadera[Financiero $Corrientes]))</f>
        <v>0</v>
      </c>
      <c r="Z118" s="140">
        <f t="shared" si="22"/>
        <v>0</v>
      </c>
      <c r="AC118" s="174"/>
      <c r="AD118" s="174"/>
    </row>
    <row r="119" spans="2:30" hidden="1" outlineLevel="2" x14ac:dyDescent="0.25">
      <c r="F119" s="220">
        <f>IFERROR(MATCH(G119,Produccion_Ganadera[Categoría],0),0)</f>
        <v>3</v>
      </c>
      <c r="G119" s="122" t="str">
        <f>Configuración!AZ7</f>
        <v>Vaca Vacía</v>
      </c>
      <c r="H119" s="117">
        <f>SUMPRODUCT(($C$115=Producción_Ganadera[Movimiento])*($G119=Producción_Ganadera[Categoría Hacienda])*(H$1=Producción_Ganadera[Mes Financiero])*(H$2=Producción_Ganadera[Año Financiero])*(Producción_Ganadera[Financiero $Corrientes]))</f>
        <v>0</v>
      </c>
      <c r="I119" s="118">
        <f>SUMPRODUCT(($C$115=Producción_Ganadera[Movimiento])*($G119=Producción_Ganadera[Categoría Hacienda])*(I$1=Producción_Ganadera[Mes Financiero])*(I$2=Producción_Ganadera[Año Financiero])*(Producción_Ganadera[Financiero $Corrientes]))</f>
        <v>0</v>
      </c>
      <c r="J119" s="117">
        <f>SUMPRODUCT(($C$115=Producción_Ganadera[Movimiento])*($G119=Producción_Ganadera[Categoría Hacienda])*(J$1=Producción_Ganadera[Mes Financiero])*(J$2=Producción_Ganadera[Año Financiero])*(Producción_Ganadera[Financiero $Corrientes]))</f>
        <v>0</v>
      </c>
      <c r="K119" s="118">
        <f>SUMPRODUCT(($C$115=Producción_Ganadera[Movimiento])*($G119=Producción_Ganadera[Categoría Hacienda])*(K$1=Producción_Ganadera[Mes Financiero])*(K$2=Producción_Ganadera[Año Financiero])*(Producción_Ganadera[Financiero $Corrientes]))</f>
        <v>0</v>
      </c>
      <c r="L119" s="117">
        <f>SUMPRODUCT(($C$115=Producción_Ganadera[Movimiento])*($G119=Producción_Ganadera[Categoría Hacienda])*(L$1=Producción_Ganadera[Mes Financiero])*(L$2=Producción_Ganadera[Año Financiero])*(Producción_Ganadera[Financiero $Corrientes]))</f>
        <v>0</v>
      </c>
      <c r="M119" s="118">
        <f>SUMPRODUCT(($C$115=Producción_Ganadera[Movimiento])*($G119=Producción_Ganadera[Categoría Hacienda])*(M$1=Producción_Ganadera[Mes Financiero])*(M$2=Producción_Ganadera[Año Financiero])*(Producción_Ganadera[Financiero $Corrientes]))</f>
        <v>0</v>
      </c>
      <c r="N119" s="117">
        <f>SUMPRODUCT(($C$115=Producción_Ganadera[Movimiento])*($G119=Producción_Ganadera[Categoría Hacienda])*(N$1=Producción_Ganadera[Mes Financiero])*(N$2=Producción_Ganadera[Año Financiero])*(Producción_Ganadera[Financiero $Corrientes]))</f>
        <v>0</v>
      </c>
      <c r="O119" s="118">
        <f>SUMPRODUCT(($C$115=Producción_Ganadera[Movimiento])*($G119=Producción_Ganadera[Categoría Hacienda])*(O$1=Producción_Ganadera[Mes Financiero])*(O$2=Producción_Ganadera[Año Financiero])*(Producción_Ganadera[Financiero $Corrientes]))</f>
        <v>0</v>
      </c>
      <c r="P119" s="117">
        <f>SUMPRODUCT(($C$115=Producción_Ganadera[Movimiento])*($G119=Producción_Ganadera[Categoría Hacienda])*(P$1=Producción_Ganadera[Mes Financiero])*(P$2=Producción_Ganadera[Año Financiero])*(Producción_Ganadera[Financiero $Corrientes]))</f>
        <v>0</v>
      </c>
      <c r="Q119" s="118">
        <f>SUMPRODUCT(($C$115=Producción_Ganadera[Movimiento])*($G119=Producción_Ganadera[Categoría Hacienda])*(Q$1=Producción_Ganadera[Mes Financiero])*(Q$2=Producción_Ganadera[Año Financiero])*(Producción_Ganadera[Financiero $Corrientes]))</f>
        <v>0</v>
      </c>
      <c r="R119" s="117">
        <f>SUMPRODUCT(($C$115=Producción_Ganadera[Movimiento])*($G119=Producción_Ganadera[Categoría Hacienda])*(R$1=Producción_Ganadera[Mes Financiero])*(R$2=Producción_Ganadera[Año Financiero])*(Producción_Ganadera[Financiero $Corrientes]))</f>
        <v>0</v>
      </c>
      <c r="S119" s="118">
        <f>SUMPRODUCT(($C$115=Producción_Ganadera[Movimiento])*($G119=Producción_Ganadera[Categoría Hacienda])*(S$1=Producción_Ganadera[Mes Financiero])*(S$2=Producción_Ganadera[Año Financiero])*(Producción_Ganadera[Financiero $Corrientes]))</f>
        <v>0</v>
      </c>
      <c r="T119" s="117">
        <f>SUMPRODUCT(($C$115=Producción_Ganadera[Movimiento])*($G119=Producción_Ganadera[Categoría Hacienda])*(T$1=Producción_Ganadera[Mes Financiero])*(T$2=Producción_Ganadera[Año Financiero])*(Producción_Ganadera[Financiero $Corrientes]))</f>
        <v>0</v>
      </c>
      <c r="U119" s="118">
        <f>SUMPRODUCT(($C$115=Producción_Ganadera[Movimiento])*($G119=Producción_Ganadera[Categoría Hacienda])*(U$1=Producción_Ganadera[Mes Financiero])*(U$2=Producción_Ganadera[Año Financiero])*(Producción_Ganadera[Financiero $Corrientes]))</f>
        <v>0</v>
      </c>
      <c r="V119" s="117">
        <f>SUMPRODUCT(($C$115=Producción_Ganadera[Movimiento])*($G119=Producción_Ganadera[Categoría Hacienda])*(V$1=Producción_Ganadera[Mes Financiero])*(V$2=Producción_Ganadera[Año Financiero])*(Producción_Ganadera[Financiero $Corrientes]))</f>
        <v>0</v>
      </c>
      <c r="W119" s="118">
        <f>SUMPRODUCT(($C$115=Producción_Ganadera[Movimiento])*($G119=Producción_Ganadera[Categoría Hacienda])*(W$1=Producción_Ganadera[Mes Financiero])*(W$2=Producción_Ganadera[Año Financiero])*(Producción_Ganadera[Financiero $Corrientes]))</f>
        <v>0</v>
      </c>
      <c r="X119" s="117">
        <f>SUMPRODUCT(($C$115=Producción_Ganadera[Movimiento])*($G119=Producción_Ganadera[Categoría Hacienda])*(X$1=Producción_Ganadera[Mes Financiero])*(X$2=Producción_Ganadera[Año Financiero])*(Producción_Ganadera[Financiero $Corrientes]))</f>
        <v>0</v>
      </c>
      <c r="Y119" s="118">
        <f>SUMPRODUCT(($C$115=Producción_Ganadera[Movimiento])*($G119=Producción_Ganadera[Categoría Hacienda])*(Y$1=Producción_Ganadera[Mes Financiero])*(Y$2=Producción_Ganadera[Año Financiero])*(Producción_Ganadera[Financiero $Corrientes]))</f>
        <v>0</v>
      </c>
      <c r="Z119" s="140">
        <f t="shared" si="22"/>
        <v>0</v>
      </c>
      <c r="AC119" s="174"/>
      <c r="AD119" s="174"/>
    </row>
    <row r="120" spans="2:30" hidden="1" outlineLevel="2" x14ac:dyDescent="0.25">
      <c r="F120" s="220">
        <f>IFERROR(MATCH(G120,Produccion_Ganadera[Categoría],0),0)</f>
        <v>4</v>
      </c>
      <c r="G120" s="122" t="str">
        <f>Configuración!AZ8</f>
        <v>Vaquillona Preñada</v>
      </c>
      <c r="H120" s="117">
        <f>SUMPRODUCT(($C$115=Producción_Ganadera[Movimiento])*($G120=Producción_Ganadera[Categoría Hacienda])*(H$1=Producción_Ganadera[Mes Financiero])*(H$2=Producción_Ganadera[Año Financiero])*(Producción_Ganadera[Financiero $Corrientes]))</f>
        <v>0</v>
      </c>
      <c r="I120" s="118">
        <f>SUMPRODUCT(($C$115=Producción_Ganadera[Movimiento])*($G120=Producción_Ganadera[Categoría Hacienda])*(I$1=Producción_Ganadera[Mes Financiero])*(I$2=Producción_Ganadera[Año Financiero])*(Producción_Ganadera[Financiero $Corrientes]))</f>
        <v>0</v>
      </c>
      <c r="J120" s="117">
        <f>SUMPRODUCT(($C$115=Producción_Ganadera[Movimiento])*($G120=Producción_Ganadera[Categoría Hacienda])*(J$1=Producción_Ganadera[Mes Financiero])*(J$2=Producción_Ganadera[Año Financiero])*(Producción_Ganadera[Financiero $Corrientes]))</f>
        <v>0</v>
      </c>
      <c r="K120" s="118">
        <f>SUMPRODUCT(($C$115=Producción_Ganadera[Movimiento])*($G120=Producción_Ganadera[Categoría Hacienda])*(K$1=Producción_Ganadera[Mes Financiero])*(K$2=Producción_Ganadera[Año Financiero])*(Producción_Ganadera[Financiero $Corrientes]))</f>
        <v>0</v>
      </c>
      <c r="L120" s="117">
        <f>SUMPRODUCT(($C$115=Producción_Ganadera[Movimiento])*($G120=Producción_Ganadera[Categoría Hacienda])*(L$1=Producción_Ganadera[Mes Financiero])*(L$2=Producción_Ganadera[Año Financiero])*(Producción_Ganadera[Financiero $Corrientes]))</f>
        <v>0</v>
      </c>
      <c r="M120" s="118">
        <f>SUMPRODUCT(($C$115=Producción_Ganadera[Movimiento])*($G120=Producción_Ganadera[Categoría Hacienda])*(M$1=Producción_Ganadera[Mes Financiero])*(M$2=Producción_Ganadera[Año Financiero])*(Producción_Ganadera[Financiero $Corrientes]))</f>
        <v>0</v>
      </c>
      <c r="N120" s="117">
        <f>SUMPRODUCT(($C$115=Producción_Ganadera[Movimiento])*($G120=Producción_Ganadera[Categoría Hacienda])*(N$1=Producción_Ganadera[Mes Financiero])*(N$2=Producción_Ganadera[Año Financiero])*(Producción_Ganadera[Financiero $Corrientes]))</f>
        <v>0</v>
      </c>
      <c r="O120" s="118">
        <f>SUMPRODUCT(($C$115=Producción_Ganadera[Movimiento])*($G120=Producción_Ganadera[Categoría Hacienda])*(O$1=Producción_Ganadera[Mes Financiero])*(O$2=Producción_Ganadera[Año Financiero])*(Producción_Ganadera[Financiero $Corrientes]))</f>
        <v>0</v>
      </c>
      <c r="P120" s="117">
        <f>SUMPRODUCT(($C$115=Producción_Ganadera[Movimiento])*($G120=Producción_Ganadera[Categoría Hacienda])*(P$1=Producción_Ganadera[Mes Financiero])*(P$2=Producción_Ganadera[Año Financiero])*(Producción_Ganadera[Financiero $Corrientes]))</f>
        <v>0</v>
      </c>
      <c r="Q120" s="118">
        <f>SUMPRODUCT(($C$115=Producción_Ganadera[Movimiento])*($G120=Producción_Ganadera[Categoría Hacienda])*(Q$1=Producción_Ganadera[Mes Financiero])*(Q$2=Producción_Ganadera[Año Financiero])*(Producción_Ganadera[Financiero $Corrientes]))</f>
        <v>0</v>
      </c>
      <c r="R120" s="117">
        <f>SUMPRODUCT(($C$115=Producción_Ganadera[Movimiento])*($G120=Producción_Ganadera[Categoría Hacienda])*(R$1=Producción_Ganadera[Mes Financiero])*(R$2=Producción_Ganadera[Año Financiero])*(Producción_Ganadera[Financiero $Corrientes]))</f>
        <v>0</v>
      </c>
      <c r="S120" s="118">
        <f>SUMPRODUCT(($C$115=Producción_Ganadera[Movimiento])*($G120=Producción_Ganadera[Categoría Hacienda])*(S$1=Producción_Ganadera[Mes Financiero])*(S$2=Producción_Ganadera[Año Financiero])*(Producción_Ganadera[Financiero $Corrientes]))</f>
        <v>0</v>
      </c>
      <c r="T120" s="117">
        <f>SUMPRODUCT(($C$115=Producción_Ganadera[Movimiento])*($G120=Producción_Ganadera[Categoría Hacienda])*(T$1=Producción_Ganadera[Mes Financiero])*(T$2=Producción_Ganadera[Año Financiero])*(Producción_Ganadera[Financiero $Corrientes]))</f>
        <v>0</v>
      </c>
      <c r="U120" s="118">
        <f>SUMPRODUCT(($C$115=Producción_Ganadera[Movimiento])*($G120=Producción_Ganadera[Categoría Hacienda])*(U$1=Producción_Ganadera[Mes Financiero])*(U$2=Producción_Ganadera[Año Financiero])*(Producción_Ganadera[Financiero $Corrientes]))</f>
        <v>0</v>
      </c>
      <c r="V120" s="117">
        <f>SUMPRODUCT(($C$115=Producción_Ganadera[Movimiento])*($G120=Producción_Ganadera[Categoría Hacienda])*(V$1=Producción_Ganadera[Mes Financiero])*(V$2=Producción_Ganadera[Año Financiero])*(Producción_Ganadera[Financiero $Corrientes]))</f>
        <v>0</v>
      </c>
      <c r="W120" s="118">
        <f>SUMPRODUCT(($C$115=Producción_Ganadera[Movimiento])*($G120=Producción_Ganadera[Categoría Hacienda])*(W$1=Producción_Ganadera[Mes Financiero])*(W$2=Producción_Ganadera[Año Financiero])*(Producción_Ganadera[Financiero $Corrientes]))</f>
        <v>0</v>
      </c>
      <c r="X120" s="117">
        <f>SUMPRODUCT(($C$115=Producción_Ganadera[Movimiento])*($G120=Producción_Ganadera[Categoría Hacienda])*(X$1=Producción_Ganadera[Mes Financiero])*(X$2=Producción_Ganadera[Año Financiero])*(Producción_Ganadera[Financiero $Corrientes]))</f>
        <v>0</v>
      </c>
      <c r="Y120" s="118">
        <f>SUMPRODUCT(($C$115=Producción_Ganadera[Movimiento])*($G120=Producción_Ganadera[Categoría Hacienda])*(Y$1=Producción_Ganadera[Mes Financiero])*(Y$2=Producción_Ganadera[Año Financiero])*(Producción_Ganadera[Financiero $Corrientes]))</f>
        <v>0</v>
      </c>
      <c r="Z120" s="140">
        <f t="shared" si="22"/>
        <v>0</v>
      </c>
      <c r="AC120" s="174"/>
      <c r="AD120" s="174"/>
    </row>
    <row r="121" spans="2:30" hidden="1" outlineLevel="2" x14ac:dyDescent="0.25">
      <c r="F121" s="220">
        <f>IFERROR(MATCH(G121,Produccion_Ganadera[Categoría],0),0)</f>
        <v>5</v>
      </c>
      <c r="G121" s="122" t="str">
        <f>Configuración!AZ9</f>
        <v>Vaquillona 06-15</v>
      </c>
      <c r="H121" s="117">
        <f>SUMPRODUCT(($C$115=Producción_Ganadera[Movimiento])*($G121=Producción_Ganadera[Categoría Hacienda])*(H$1=Producción_Ganadera[Mes Financiero])*(H$2=Producción_Ganadera[Año Financiero])*(Producción_Ganadera[Financiero $Corrientes]))</f>
        <v>0</v>
      </c>
      <c r="I121" s="118">
        <f>SUMPRODUCT(($C$115=Producción_Ganadera[Movimiento])*($G121=Producción_Ganadera[Categoría Hacienda])*(I$1=Producción_Ganadera[Mes Financiero])*(I$2=Producción_Ganadera[Año Financiero])*(Producción_Ganadera[Financiero $Corrientes]))</f>
        <v>0</v>
      </c>
      <c r="J121" s="117">
        <f>SUMPRODUCT(($C$115=Producción_Ganadera[Movimiento])*($G121=Producción_Ganadera[Categoría Hacienda])*(J$1=Producción_Ganadera[Mes Financiero])*(J$2=Producción_Ganadera[Año Financiero])*(Producción_Ganadera[Financiero $Corrientes]))</f>
        <v>0</v>
      </c>
      <c r="K121" s="118">
        <f>SUMPRODUCT(($C$115=Producción_Ganadera[Movimiento])*($G121=Producción_Ganadera[Categoría Hacienda])*(K$1=Producción_Ganadera[Mes Financiero])*(K$2=Producción_Ganadera[Año Financiero])*(Producción_Ganadera[Financiero $Corrientes]))</f>
        <v>0</v>
      </c>
      <c r="L121" s="117">
        <f>SUMPRODUCT(($C$115=Producción_Ganadera[Movimiento])*($G121=Producción_Ganadera[Categoría Hacienda])*(L$1=Producción_Ganadera[Mes Financiero])*(L$2=Producción_Ganadera[Año Financiero])*(Producción_Ganadera[Financiero $Corrientes]))</f>
        <v>0</v>
      </c>
      <c r="M121" s="118">
        <f>SUMPRODUCT(($C$115=Producción_Ganadera[Movimiento])*($G121=Producción_Ganadera[Categoría Hacienda])*(M$1=Producción_Ganadera[Mes Financiero])*(M$2=Producción_Ganadera[Año Financiero])*(Producción_Ganadera[Financiero $Corrientes]))</f>
        <v>0</v>
      </c>
      <c r="N121" s="117">
        <f>SUMPRODUCT(($C$115=Producción_Ganadera[Movimiento])*($G121=Producción_Ganadera[Categoría Hacienda])*(N$1=Producción_Ganadera[Mes Financiero])*(N$2=Producción_Ganadera[Año Financiero])*(Producción_Ganadera[Financiero $Corrientes]))</f>
        <v>0</v>
      </c>
      <c r="O121" s="118">
        <f>SUMPRODUCT(($C$115=Producción_Ganadera[Movimiento])*($G121=Producción_Ganadera[Categoría Hacienda])*(O$1=Producción_Ganadera[Mes Financiero])*(O$2=Producción_Ganadera[Año Financiero])*(Producción_Ganadera[Financiero $Corrientes]))</f>
        <v>0</v>
      </c>
      <c r="P121" s="117">
        <f>SUMPRODUCT(($C$115=Producción_Ganadera[Movimiento])*($G121=Producción_Ganadera[Categoría Hacienda])*(P$1=Producción_Ganadera[Mes Financiero])*(P$2=Producción_Ganadera[Año Financiero])*(Producción_Ganadera[Financiero $Corrientes]))</f>
        <v>0</v>
      </c>
      <c r="Q121" s="118">
        <f>SUMPRODUCT(($C$115=Producción_Ganadera[Movimiento])*($G121=Producción_Ganadera[Categoría Hacienda])*(Q$1=Producción_Ganadera[Mes Financiero])*(Q$2=Producción_Ganadera[Año Financiero])*(Producción_Ganadera[Financiero $Corrientes]))</f>
        <v>0</v>
      </c>
      <c r="R121" s="117">
        <f>SUMPRODUCT(($C$115=Producción_Ganadera[Movimiento])*($G121=Producción_Ganadera[Categoría Hacienda])*(R$1=Producción_Ganadera[Mes Financiero])*(R$2=Producción_Ganadera[Año Financiero])*(Producción_Ganadera[Financiero $Corrientes]))</f>
        <v>0</v>
      </c>
      <c r="S121" s="118">
        <f>SUMPRODUCT(($C$115=Producción_Ganadera[Movimiento])*($G121=Producción_Ganadera[Categoría Hacienda])*(S$1=Producción_Ganadera[Mes Financiero])*(S$2=Producción_Ganadera[Año Financiero])*(Producción_Ganadera[Financiero $Corrientes]))</f>
        <v>0</v>
      </c>
      <c r="T121" s="117">
        <f>SUMPRODUCT(($C$115=Producción_Ganadera[Movimiento])*($G121=Producción_Ganadera[Categoría Hacienda])*(T$1=Producción_Ganadera[Mes Financiero])*(T$2=Producción_Ganadera[Año Financiero])*(Producción_Ganadera[Financiero $Corrientes]))</f>
        <v>0</v>
      </c>
      <c r="U121" s="118">
        <f>SUMPRODUCT(($C$115=Producción_Ganadera[Movimiento])*($G121=Producción_Ganadera[Categoría Hacienda])*(U$1=Producción_Ganadera[Mes Financiero])*(U$2=Producción_Ganadera[Año Financiero])*(Producción_Ganadera[Financiero $Corrientes]))</f>
        <v>0</v>
      </c>
      <c r="V121" s="117">
        <f>SUMPRODUCT(($C$115=Producción_Ganadera[Movimiento])*($G121=Producción_Ganadera[Categoría Hacienda])*(V$1=Producción_Ganadera[Mes Financiero])*(V$2=Producción_Ganadera[Año Financiero])*(Producción_Ganadera[Financiero $Corrientes]))</f>
        <v>0</v>
      </c>
      <c r="W121" s="118">
        <f>SUMPRODUCT(($C$115=Producción_Ganadera[Movimiento])*($G121=Producción_Ganadera[Categoría Hacienda])*(W$1=Producción_Ganadera[Mes Financiero])*(W$2=Producción_Ganadera[Año Financiero])*(Producción_Ganadera[Financiero $Corrientes]))</f>
        <v>0</v>
      </c>
      <c r="X121" s="117">
        <f>SUMPRODUCT(($C$115=Producción_Ganadera[Movimiento])*($G121=Producción_Ganadera[Categoría Hacienda])*(X$1=Producción_Ganadera[Mes Financiero])*(X$2=Producción_Ganadera[Año Financiero])*(Producción_Ganadera[Financiero $Corrientes]))</f>
        <v>0</v>
      </c>
      <c r="Y121" s="118">
        <f>SUMPRODUCT(($C$115=Producción_Ganadera[Movimiento])*($G121=Producción_Ganadera[Categoría Hacienda])*(Y$1=Producción_Ganadera[Mes Financiero])*(Y$2=Producción_Ganadera[Año Financiero])*(Producción_Ganadera[Financiero $Corrientes]))</f>
        <v>0</v>
      </c>
      <c r="Z121" s="140">
        <f t="shared" si="22"/>
        <v>0</v>
      </c>
      <c r="AC121" s="174"/>
      <c r="AD121" s="174"/>
    </row>
    <row r="122" spans="2:30" hidden="1" outlineLevel="2" x14ac:dyDescent="0.25">
      <c r="F122" s="220">
        <f>IFERROR(MATCH(G122,Produccion_Ganadera[Categoría],0),0)</f>
        <v>6</v>
      </c>
      <c r="G122" s="122" t="str">
        <f>Configuración!AZ10</f>
        <v>Vaquillona 15-27</v>
      </c>
      <c r="H122" s="117">
        <f>SUMPRODUCT(($C$115=Producción_Ganadera[Movimiento])*($G122=Producción_Ganadera[Categoría Hacienda])*(H$1=Producción_Ganadera[Mes Financiero])*(H$2=Producción_Ganadera[Año Financiero])*(Producción_Ganadera[Financiero $Corrientes]))</f>
        <v>0</v>
      </c>
      <c r="I122" s="118">
        <f>SUMPRODUCT(($C$115=Producción_Ganadera[Movimiento])*($G122=Producción_Ganadera[Categoría Hacienda])*(I$1=Producción_Ganadera[Mes Financiero])*(I$2=Producción_Ganadera[Año Financiero])*(Producción_Ganadera[Financiero $Corrientes]))</f>
        <v>0</v>
      </c>
      <c r="J122" s="117">
        <f>SUMPRODUCT(($C$115=Producción_Ganadera[Movimiento])*($G122=Producción_Ganadera[Categoría Hacienda])*(J$1=Producción_Ganadera[Mes Financiero])*(J$2=Producción_Ganadera[Año Financiero])*(Producción_Ganadera[Financiero $Corrientes]))</f>
        <v>0</v>
      </c>
      <c r="K122" s="118">
        <f>SUMPRODUCT(($C$115=Producción_Ganadera[Movimiento])*($G122=Producción_Ganadera[Categoría Hacienda])*(K$1=Producción_Ganadera[Mes Financiero])*(K$2=Producción_Ganadera[Año Financiero])*(Producción_Ganadera[Financiero $Corrientes]))</f>
        <v>0</v>
      </c>
      <c r="L122" s="117">
        <f>SUMPRODUCT(($C$115=Producción_Ganadera[Movimiento])*($G122=Producción_Ganadera[Categoría Hacienda])*(L$1=Producción_Ganadera[Mes Financiero])*(L$2=Producción_Ganadera[Año Financiero])*(Producción_Ganadera[Financiero $Corrientes]))</f>
        <v>0</v>
      </c>
      <c r="M122" s="118">
        <f>SUMPRODUCT(($C$115=Producción_Ganadera[Movimiento])*($G122=Producción_Ganadera[Categoría Hacienda])*(M$1=Producción_Ganadera[Mes Financiero])*(M$2=Producción_Ganadera[Año Financiero])*(Producción_Ganadera[Financiero $Corrientes]))</f>
        <v>0</v>
      </c>
      <c r="N122" s="117">
        <f>SUMPRODUCT(($C$115=Producción_Ganadera[Movimiento])*($G122=Producción_Ganadera[Categoría Hacienda])*(N$1=Producción_Ganadera[Mes Financiero])*(N$2=Producción_Ganadera[Año Financiero])*(Producción_Ganadera[Financiero $Corrientes]))</f>
        <v>0</v>
      </c>
      <c r="O122" s="118">
        <f>SUMPRODUCT(($C$115=Producción_Ganadera[Movimiento])*($G122=Producción_Ganadera[Categoría Hacienda])*(O$1=Producción_Ganadera[Mes Financiero])*(O$2=Producción_Ganadera[Año Financiero])*(Producción_Ganadera[Financiero $Corrientes]))</f>
        <v>0</v>
      </c>
      <c r="P122" s="117">
        <f>SUMPRODUCT(($C$115=Producción_Ganadera[Movimiento])*($G122=Producción_Ganadera[Categoría Hacienda])*(P$1=Producción_Ganadera[Mes Financiero])*(P$2=Producción_Ganadera[Año Financiero])*(Producción_Ganadera[Financiero $Corrientes]))</f>
        <v>0</v>
      </c>
      <c r="Q122" s="118">
        <f>SUMPRODUCT(($C$115=Producción_Ganadera[Movimiento])*($G122=Producción_Ganadera[Categoría Hacienda])*(Q$1=Producción_Ganadera[Mes Financiero])*(Q$2=Producción_Ganadera[Año Financiero])*(Producción_Ganadera[Financiero $Corrientes]))</f>
        <v>0</v>
      </c>
      <c r="R122" s="117">
        <f>SUMPRODUCT(($C$115=Producción_Ganadera[Movimiento])*($G122=Producción_Ganadera[Categoría Hacienda])*(R$1=Producción_Ganadera[Mes Financiero])*(R$2=Producción_Ganadera[Año Financiero])*(Producción_Ganadera[Financiero $Corrientes]))</f>
        <v>0</v>
      </c>
      <c r="S122" s="118">
        <f>SUMPRODUCT(($C$115=Producción_Ganadera[Movimiento])*($G122=Producción_Ganadera[Categoría Hacienda])*(S$1=Producción_Ganadera[Mes Financiero])*(S$2=Producción_Ganadera[Año Financiero])*(Producción_Ganadera[Financiero $Corrientes]))</f>
        <v>0</v>
      </c>
      <c r="T122" s="117">
        <f>SUMPRODUCT(($C$115=Producción_Ganadera[Movimiento])*($G122=Producción_Ganadera[Categoría Hacienda])*(T$1=Producción_Ganadera[Mes Financiero])*(T$2=Producción_Ganadera[Año Financiero])*(Producción_Ganadera[Financiero $Corrientes]))</f>
        <v>0</v>
      </c>
      <c r="U122" s="118">
        <f>SUMPRODUCT(($C$115=Producción_Ganadera[Movimiento])*($G122=Producción_Ganadera[Categoría Hacienda])*(U$1=Producción_Ganadera[Mes Financiero])*(U$2=Producción_Ganadera[Año Financiero])*(Producción_Ganadera[Financiero $Corrientes]))</f>
        <v>0</v>
      </c>
      <c r="V122" s="117">
        <f>SUMPRODUCT(($C$115=Producción_Ganadera[Movimiento])*($G122=Producción_Ganadera[Categoría Hacienda])*(V$1=Producción_Ganadera[Mes Financiero])*(V$2=Producción_Ganadera[Año Financiero])*(Producción_Ganadera[Financiero $Corrientes]))</f>
        <v>0</v>
      </c>
      <c r="W122" s="118">
        <f>SUMPRODUCT(($C$115=Producción_Ganadera[Movimiento])*($G122=Producción_Ganadera[Categoría Hacienda])*(W$1=Producción_Ganadera[Mes Financiero])*(W$2=Producción_Ganadera[Año Financiero])*(Producción_Ganadera[Financiero $Corrientes]))</f>
        <v>0</v>
      </c>
      <c r="X122" s="117">
        <f>SUMPRODUCT(($C$115=Producción_Ganadera[Movimiento])*($G122=Producción_Ganadera[Categoría Hacienda])*(X$1=Producción_Ganadera[Mes Financiero])*(X$2=Producción_Ganadera[Año Financiero])*(Producción_Ganadera[Financiero $Corrientes]))</f>
        <v>0</v>
      </c>
      <c r="Y122" s="118">
        <f>SUMPRODUCT(($C$115=Producción_Ganadera[Movimiento])*($G122=Producción_Ganadera[Categoría Hacienda])*(Y$1=Producción_Ganadera[Mes Financiero])*(Y$2=Producción_Ganadera[Año Financiero])*(Producción_Ganadera[Financiero $Corrientes]))</f>
        <v>0</v>
      </c>
      <c r="Z122" s="140">
        <f t="shared" si="22"/>
        <v>0</v>
      </c>
      <c r="AC122" s="174"/>
      <c r="AD122" s="174"/>
    </row>
    <row r="123" spans="2:30" hidden="1" outlineLevel="2" x14ac:dyDescent="0.25">
      <c r="F123" s="220">
        <f>IFERROR(MATCH(G123,Produccion_Ganadera[Categoría],0),0)</f>
        <v>7</v>
      </c>
      <c r="G123" s="122" t="str">
        <f>Configuración!AZ11</f>
        <v>Ternera</v>
      </c>
      <c r="H123" s="117">
        <f>SUMPRODUCT(($C$115=Producción_Ganadera[Movimiento])*($G123=Producción_Ganadera[Categoría Hacienda])*(H$1=Producción_Ganadera[Mes Financiero])*(H$2=Producción_Ganadera[Año Financiero])*(Producción_Ganadera[Financiero $Corrientes]))</f>
        <v>0</v>
      </c>
      <c r="I123" s="118">
        <f>SUMPRODUCT(($C$115=Producción_Ganadera[Movimiento])*($G123=Producción_Ganadera[Categoría Hacienda])*(I$1=Producción_Ganadera[Mes Financiero])*(I$2=Producción_Ganadera[Año Financiero])*(Producción_Ganadera[Financiero $Corrientes]))</f>
        <v>0</v>
      </c>
      <c r="J123" s="117">
        <f>SUMPRODUCT(($C$115=Producción_Ganadera[Movimiento])*($G123=Producción_Ganadera[Categoría Hacienda])*(J$1=Producción_Ganadera[Mes Financiero])*(J$2=Producción_Ganadera[Año Financiero])*(Producción_Ganadera[Financiero $Corrientes]))</f>
        <v>0</v>
      </c>
      <c r="K123" s="118">
        <f>SUMPRODUCT(($C$115=Producción_Ganadera[Movimiento])*($G123=Producción_Ganadera[Categoría Hacienda])*(K$1=Producción_Ganadera[Mes Financiero])*(K$2=Producción_Ganadera[Año Financiero])*(Producción_Ganadera[Financiero $Corrientes]))</f>
        <v>0</v>
      </c>
      <c r="L123" s="117">
        <f>SUMPRODUCT(($C$115=Producción_Ganadera[Movimiento])*($G123=Producción_Ganadera[Categoría Hacienda])*(L$1=Producción_Ganadera[Mes Financiero])*(L$2=Producción_Ganadera[Año Financiero])*(Producción_Ganadera[Financiero $Corrientes]))</f>
        <v>0</v>
      </c>
      <c r="M123" s="118">
        <f>SUMPRODUCT(($C$115=Producción_Ganadera[Movimiento])*($G123=Producción_Ganadera[Categoría Hacienda])*(M$1=Producción_Ganadera[Mes Financiero])*(M$2=Producción_Ganadera[Año Financiero])*(Producción_Ganadera[Financiero $Corrientes]))</f>
        <v>0</v>
      </c>
      <c r="N123" s="117">
        <f>SUMPRODUCT(($C$115=Producción_Ganadera[Movimiento])*($G123=Producción_Ganadera[Categoría Hacienda])*(N$1=Producción_Ganadera[Mes Financiero])*(N$2=Producción_Ganadera[Año Financiero])*(Producción_Ganadera[Financiero $Corrientes]))</f>
        <v>0</v>
      </c>
      <c r="O123" s="118">
        <f>SUMPRODUCT(($C$115=Producción_Ganadera[Movimiento])*($G123=Producción_Ganadera[Categoría Hacienda])*(O$1=Producción_Ganadera[Mes Financiero])*(O$2=Producción_Ganadera[Año Financiero])*(Producción_Ganadera[Financiero $Corrientes]))</f>
        <v>0</v>
      </c>
      <c r="P123" s="117">
        <f>SUMPRODUCT(($C$115=Producción_Ganadera[Movimiento])*($G123=Producción_Ganadera[Categoría Hacienda])*(P$1=Producción_Ganadera[Mes Financiero])*(P$2=Producción_Ganadera[Año Financiero])*(Producción_Ganadera[Financiero $Corrientes]))</f>
        <v>0</v>
      </c>
      <c r="Q123" s="118">
        <f>SUMPRODUCT(($C$115=Producción_Ganadera[Movimiento])*($G123=Producción_Ganadera[Categoría Hacienda])*(Q$1=Producción_Ganadera[Mes Financiero])*(Q$2=Producción_Ganadera[Año Financiero])*(Producción_Ganadera[Financiero $Corrientes]))</f>
        <v>0</v>
      </c>
      <c r="R123" s="117">
        <f>SUMPRODUCT(($C$115=Producción_Ganadera[Movimiento])*($G123=Producción_Ganadera[Categoría Hacienda])*(R$1=Producción_Ganadera[Mes Financiero])*(R$2=Producción_Ganadera[Año Financiero])*(Producción_Ganadera[Financiero $Corrientes]))</f>
        <v>0</v>
      </c>
      <c r="S123" s="118">
        <f>SUMPRODUCT(($C$115=Producción_Ganadera[Movimiento])*($G123=Producción_Ganadera[Categoría Hacienda])*(S$1=Producción_Ganadera[Mes Financiero])*(S$2=Producción_Ganadera[Año Financiero])*(Producción_Ganadera[Financiero $Corrientes]))</f>
        <v>0</v>
      </c>
      <c r="T123" s="117">
        <f>SUMPRODUCT(($C$115=Producción_Ganadera[Movimiento])*($G123=Producción_Ganadera[Categoría Hacienda])*(T$1=Producción_Ganadera[Mes Financiero])*(T$2=Producción_Ganadera[Año Financiero])*(Producción_Ganadera[Financiero $Corrientes]))</f>
        <v>0</v>
      </c>
      <c r="U123" s="118">
        <f>SUMPRODUCT(($C$115=Producción_Ganadera[Movimiento])*($G123=Producción_Ganadera[Categoría Hacienda])*(U$1=Producción_Ganadera[Mes Financiero])*(U$2=Producción_Ganadera[Año Financiero])*(Producción_Ganadera[Financiero $Corrientes]))</f>
        <v>0</v>
      </c>
      <c r="V123" s="117">
        <f>SUMPRODUCT(($C$115=Producción_Ganadera[Movimiento])*($G123=Producción_Ganadera[Categoría Hacienda])*(V$1=Producción_Ganadera[Mes Financiero])*(V$2=Producción_Ganadera[Año Financiero])*(Producción_Ganadera[Financiero $Corrientes]))</f>
        <v>0</v>
      </c>
      <c r="W123" s="118">
        <f>SUMPRODUCT(($C$115=Producción_Ganadera[Movimiento])*($G123=Producción_Ganadera[Categoría Hacienda])*(W$1=Producción_Ganadera[Mes Financiero])*(W$2=Producción_Ganadera[Año Financiero])*(Producción_Ganadera[Financiero $Corrientes]))</f>
        <v>0</v>
      </c>
      <c r="X123" s="117">
        <f>SUMPRODUCT(($C$115=Producción_Ganadera[Movimiento])*($G123=Producción_Ganadera[Categoría Hacienda])*(X$1=Producción_Ganadera[Mes Financiero])*(X$2=Producción_Ganadera[Año Financiero])*(Producción_Ganadera[Financiero $Corrientes]))</f>
        <v>0</v>
      </c>
      <c r="Y123" s="118">
        <f>SUMPRODUCT(($C$115=Producción_Ganadera[Movimiento])*($G123=Producción_Ganadera[Categoría Hacienda])*(Y$1=Producción_Ganadera[Mes Financiero])*(Y$2=Producción_Ganadera[Año Financiero])*(Producción_Ganadera[Financiero $Corrientes]))</f>
        <v>0</v>
      </c>
      <c r="Z123" s="140">
        <f t="shared" si="22"/>
        <v>0</v>
      </c>
      <c r="AC123" s="174"/>
      <c r="AD123" s="174"/>
    </row>
    <row r="124" spans="2:30" hidden="1" outlineLevel="2" x14ac:dyDescent="0.25">
      <c r="F124" s="220">
        <f>IFERROR(MATCH(G124,Produccion_Ganadera[Categoría],0),0)</f>
        <v>8</v>
      </c>
      <c r="G124" s="122" t="str">
        <f>Configuración!AZ12</f>
        <v>Ternero</v>
      </c>
      <c r="H124" s="117">
        <f>SUMPRODUCT(($C$115=Producción_Ganadera[Movimiento])*($G124=Producción_Ganadera[Categoría Hacienda])*(H$1=Producción_Ganadera[Mes Financiero])*(H$2=Producción_Ganadera[Año Financiero])*(Producción_Ganadera[Financiero $Corrientes]))</f>
        <v>0</v>
      </c>
      <c r="I124" s="118">
        <f>SUMPRODUCT(($C$115=Producción_Ganadera[Movimiento])*($G124=Producción_Ganadera[Categoría Hacienda])*(I$1=Producción_Ganadera[Mes Financiero])*(I$2=Producción_Ganadera[Año Financiero])*(Producción_Ganadera[Financiero $Corrientes]))</f>
        <v>0</v>
      </c>
      <c r="J124" s="117">
        <f>SUMPRODUCT(($C$115=Producción_Ganadera[Movimiento])*($G124=Producción_Ganadera[Categoría Hacienda])*(J$1=Producción_Ganadera[Mes Financiero])*(J$2=Producción_Ganadera[Año Financiero])*(Producción_Ganadera[Financiero $Corrientes]))</f>
        <v>0</v>
      </c>
      <c r="K124" s="118">
        <f>SUMPRODUCT(($C$115=Producción_Ganadera[Movimiento])*($G124=Producción_Ganadera[Categoría Hacienda])*(K$1=Producción_Ganadera[Mes Financiero])*(K$2=Producción_Ganadera[Año Financiero])*(Producción_Ganadera[Financiero $Corrientes]))</f>
        <v>0</v>
      </c>
      <c r="L124" s="117">
        <f>SUMPRODUCT(($C$115=Producción_Ganadera[Movimiento])*($G124=Producción_Ganadera[Categoría Hacienda])*(L$1=Producción_Ganadera[Mes Financiero])*(L$2=Producción_Ganadera[Año Financiero])*(Producción_Ganadera[Financiero $Corrientes]))</f>
        <v>0</v>
      </c>
      <c r="M124" s="118">
        <f>SUMPRODUCT(($C$115=Producción_Ganadera[Movimiento])*($G124=Producción_Ganadera[Categoría Hacienda])*(M$1=Producción_Ganadera[Mes Financiero])*(M$2=Producción_Ganadera[Año Financiero])*(Producción_Ganadera[Financiero $Corrientes]))</f>
        <v>0</v>
      </c>
      <c r="N124" s="117">
        <f>SUMPRODUCT(($C$115=Producción_Ganadera[Movimiento])*($G124=Producción_Ganadera[Categoría Hacienda])*(N$1=Producción_Ganadera[Mes Financiero])*(N$2=Producción_Ganadera[Año Financiero])*(Producción_Ganadera[Financiero $Corrientes]))</f>
        <v>0</v>
      </c>
      <c r="O124" s="118">
        <f>SUMPRODUCT(($C$115=Producción_Ganadera[Movimiento])*($G124=Producción_Ganadera[Categoría Hacienda])*(O$1=Producción_Ganadera[Mes Financiero])*(O$2=Producción_Ganadera[Año Financiero])*(Producción_Ganadera[Financiero $Corrientes]))</f>
        <v>0</v>
      </c>
      <c r="P124" s="117">
        <f>SUMPRODUCT(($C$115=Producción_Ganadera[Movimiento])*($G124=Producción_Ganadera[Categoría Hacienda])*(P$1=Producción_Ganadera[Mes Financiero])*(P$2=Producción_Ganadera[Año Financiero])*(Producción_Ganadera[Financiero $Corrientes]))</f>
        <v>0</v>
      </c>
      <c r="Q124" s="118">
        <f>SUMPRODUCT(($C$115=Producción_Ganadera[Movimiento])*($G124=Producción_Ganadera[Categoría Hacienda])*(Q$1=Producción_Ganadera[Mes Financiero])*(Q$2=Producción_Ganadera[Año Financiero])*(Producción_Ganadera[Financiero $Corrientes]))</f>
        <v>0</v>
      </c>
      <c r="R124" s="117">
        <f>SUMPRODUCT(($C$115=Producción_Ganadera[Movimiento])*($G124=Producción_Ganadera[Categoría Hacienda])*(R$1=Producción_Ganadera[Mes Financiero])*(R$2=Producción_Ganadera[Año Financiero])*(Producción_Ganadera[Financiero $Corrientes]))</f>
        <v>0</v>
      </c>
      <c r="S124" s="118">
        <f>SUMPRODUCT(($C$115=Producción_Ganadera[Movimiento])*($G124=Producción_Ganadera[Categoría Hacienda])*(S$1=Producción_Ganadera[Mes Financiero])*(S$2=Producción_Ganadera[Año Financiero])*(Producción_Ganadera[Financiero $Corrientes]))</f>
        <v>0</v>
      </c>
      <c r="T124" s="117">
        <f>SUMPRODUCT(($C$115=Producción_Ganadera[Movimiento])*($G124=Producción_Ganadera[Categoría Hacienda])*(T$1=Producción_Ganadera[Mes Financiero])*(T$2=Producción_Ganadera[Año Financiero])*(Producción_Ganadera[Financiero $Corrientes]))</f>
        <v>0</v>
      </c>
      <c r="U124" s="118">
        <f>SUMPRODUCT(($C$115=Producción_Ganadera[Movimiento])*($G124=Producción_Ganadera[Categoría Hacienda])*(U$1=Producción_Ganadera[Mes Financiero])*(U$2=Producción_Ganadera[Año Financiero])*(Producción_Ganadera[Financiero $Corrientes]))</f>
        <v>0</v>
      </c>
      <c r="V124" s="117">
        <f>SUMPRODUCT(($C$115=Producción_Ganadera[Movimiento])*($G124=Producción_Ganadera[Categoría Hacienda])*(V$1=Producción_Ganadera[Mes Financiero])*(V$2=Producción_Ganadera[Año Financiero])*(Producción_Ganadera[Financiero $Corrientes]))</f>
        <v>0</v>
      </c>
      <c r="W124" s="118">
        <f>SUMPRODUCT(($C$115=Producción_Ganadera[Movimiento])*($G124=Producción_Ganadera[Categoría Hacienda])*(W$1=Producción_Ganadera[Mes Financiero])*(W$2=Producción_Ganadera[Año Financiero])*(Producción_Ganadera[Financiero $Corrientes]))</f>
        <v>0</v>
      </c>
      <c r="X124" s="117">
        <f>SUMPRODUCT(($C$115=Producción_Ganadera[Movimiento])*($G124=Producción_Ganadera[Categoría Hacienda])*(X$1=Producción_Ganadera[Mes Financiero])*(X$2=Producción_Ganadera[Año Financiero])*(Producción_Ganadera[Financiero $Corrientes]))</f>
        <v>0</v>
      </c>
      <c r="Y124" s="118">
        <f>SUMPRODUCT(($C$115=Producción_Ganadera[Movimiento])*($G124=Producción_Ganadera[Categoría Hacienda])*(Y$1=Producción_Ganadera[Mes Financiero])*(Y$2=Producción_Ganadera[Año Financiero])*(Producción_Ganadera[Financiero $Corrientes]))</f>
        <v>0</v>
      </c>
      <c r="Z124" s="140">
        <f t="shared" si="22"/>
        <v>0</v>
      </c>
      <c r="AC124" s="174"/>
      <c r="AD124" s="174"/>
    </row>
    <row r="125" spans="2:30" hidden="1" outlineLevel="2" x14ac:dyDescent="0.25">
      <c r="F125" s="220">
        <f>IFERROR(MATCH(G125,Produccion_Ganadera[Categoría],0),0)</f>
        <v>9</v>
      </c>
      <c r="G125" s="122" t="str">
        <f>Configuración!AZ13</f>
        <v>Toro</v>
      </c>
      <c r="H125" s="117">
        <f>SUMPRODUCT(($C$115=Producción_Ganadera[Movimiento])*($G125=Producción_Ganadera[Categoría Hacienda])*(H$1=Producción_Ganadera[Mes Financiero])*(H$2=Producción_Ganadera[Año Financiero])*(Producción_Ganadera[Financiero $Corrientes]))</f>
        <v>0</v>
      </c>
      <c r="I125" s="118">
        <f>SUMPRODUCT(($C$115=Producción_Ganadera[Movimiento])*($G125=Producción_Ganadera[Categoría Hacienda])*(I$1=Producción_Ganadera[Mes Financiero])*(I$2=Producción_Ganadera[Año Financiero])*(Producción_Ganadera[Financiero $Corrientes]))</f>
        <v>0</v>
      </c>
      <c r="J125" s="117">
        <f>SUMPRODUCT(($C$115=Producción_Ganadera[Movimiento])*($G125=Producción_Ganadera[Categoría Hacienda])*(J$1=Producción_Ganadera[Mes Financiero])*(J$2=Producción_Ganadera[Año Financiero])*(Producción_Ganadera[Financiero $Corrientes]))</f>
        <v>0</v>
      </c>
      <c r="K125" s="118">
        <f>SUMPRODUCT(($C$115=Producción_Ganadera[Movimiento])*($G125=Producción_Ganadera[Categoría Hacienda])*(K$1=Producción_Ganadera[Mes Financiero])*(K$2=Producción_Ganadera[Año Financiero])*(Producción_Ganadera[Financiero $Corrientes]))</f>
        <v>0</v>
      </c>
      <c r="L125" s="117">
        <f>SUMPRODUCT(($C$115=Producción_Ganadera[Movimiento])*($G125=Producción_Ganadera[Categoría Hacienda])*(L$1=Producción_Ganadera[Mes Financiero])*(L$2=Producción_Ganadera[Año Financiero])*(Producción_Ganadera[Financiero $Corrientes]))</f>
        <v>0</v>
      </c>
      <c r="M125" s="118">
        <f>SUMPRODUCT(($C$115=Producción_Ganadera[Movimiento])*($G125=Producción_Ganadera[Categoría Hacienda])*(M$1=Producción_Ganadera[Mes Financiero])*(M$2=Producción_Ganadera[Año Financiero])*(Producción_Ganadera[Financiero $Corrientes]))</f>
        <v>0</v>
      </c>
      <c r="N125" s="117">
        <f>SUMPRODUCT(($C$115=Producción_Ganadera[Movimiento])*($G125=Producción_Ganadera[Categoría Hacienda])*(N$1=Producción_Ganadera[Mes Financiero])*(N$2=Producción_Ganadera[Año Financiero])*(Producción_Ganadera[Financiero $Corrientes]))</f>
        <v>0</v>
      </c>
      <c r="O125" s="118">
        <f>SUMPRODUCT(($C$115=Producción_Ganadera[Movimiento])*($G125=Producción_Ganadera[Categoría Hacienda])*(O$1=Producción_Ganadera[Mes Financiero])*(O$2=Producción_Ganadera[Año Financiero])*(Producción_Ganadera[Financiero $Corrientes]))</f>
        <v>0</v>
      </c>
      <c r="P125" s="117">
        <f>SUMPRODUCT(($C$115=Producción_Ganadera[Movimiento])*($G125=Producción_Ganadera[Categoría Hacienda])*(P$1=Producción_Ganadera[Mes Financiero])*(P$2=Producción_Ganadera[Año Financiero])*(Producción_Ganadera[Financiero $Corrientes]))</f>
        <v>0</v>
      </c>
      <c r="Q125" s="118">
        <f>SUMPRODUCT(($C$115=Producción_Ganadera[Movimiento])*($G125=Producción_Ganadera[Categoría Hacienda])*(Q$1=Producción_Ganadera[Mes Financiero])*(Q$2=Producción_Ganadera[Año Financiero])*(Producción_Ganadera[Financiero $Corrientes]))</f>
        <v>0</v>
      </c>
      <c r="R125" s="117">
        <f>SUMPRODUCT(($C$115=Producción_Ganadera[Movimiento])*($G125=Producción_Ganadera[Categoría Hacienda])*(R$1=Producción_Ganadera[Mes Financiero])*(R$2=Producción_Ganadera[Año Financiero])*(Producción_Ganadera[Financiero $Corrientes]))</f>
        <v>0</v>
      </c>
      <c r="S125" s="118">
        <f>SUMPRODUCT(($C$115=Producción_Ganadera[Movimiento])*($G125=Producción_Ganadera[Categoría Hacienda])*(S$1=Producción_Ganadera[Mes Financiero])*(S$2=Producción_Ganadera[Año Financiero])*(Producción_Ganadera[Financiero $Corrientes]))</f>
        <v>0</v>
      </c>
      <c r="T125" s="117">
        <f>SUMPRODUCT(($C$115=Producción_Ganadera[Movimiento])*($G125=Producción_Ganadera[Categoría Hacienda])*(T$1=Producción_Ganadera[Mes Financiero])*(T$2=Producción_Ganadera[Año Financiero])*(Producción_Ganadera[Financiero $Corrientes]))</f>
        <v>0</v>
      </c>
      <c r="U125" s="118">
        <f>SUMPRODUCT(($C$115=Producción_Ganadera[Movimiento])*($G125=Producción_Ganadera[Categoría Hacienda])*(U$1=Producción_Ganadera[Mes Financiero])*(U$2=Producción_Ganadera[Año Financiero])*(Producción_Ganadera[Financiero $Corrientes]))</f>
        <v>0</v>
      </c>
      <c r="V125" s="117">
        <f>SUMPRODUCT(($C$115=Producción_Ganadera[Movimiento])*($G125=Producción_Ganadera[Categoría Hacienda])*(V$1=Producción_Ganadera[Mes Financiero])*(V$2=Producción_Ganadera[Año Financiero])*(Producción_Ganadera[Financiero $Corrientes]))</f>
        <v>0</v>
      </c>
      <c r="W125" s="118">
        <f>SUMPRODUCT(($C$115=Producción_Ganadera[Movimiento])*($G125=Producción_Ganadera[Categoría Hacienda])*(W$1=Producción_Ganadera[Mes Financiero])*(W$2=Producción_Ganadera[Año Financiero])*(Producción_Ganadera[Financiero $Corrientes]))</f>
        <v>0</v>
      </c>
      <c r="X125" s="117">
        <f>SUMPRODUCT(($C$115=Producción_Ganadera[Movimiento])*($G125=Producción_Ganadera[Categoría Hacienda])*(X$1=Producción_Ganadera[Mes Financiero])*(X$2=Producción_Ganadera[Año Financiero])*(Producción_Ganadera[Financiero $Corrientes]))</f>
        <v>0</v>
      </c>
      <c r="Y125" s="118">
        <f>SUMPRODUCT(($C$115=Producción_Ganadera[Movimiento])*($G125=Producción_Ganadera[Categoría Hacienda])*(Y$1=Producción_Ganadera[Mes Financiero])*(Y$2=Producción_Ganadera[Año Financiero])*(Producción_Ganadera[Financiero $Corrientes]))</f>
        <v>0</v>
      </c>
      <c r="Z125" s="140">
        <f t="shared" si="22"/>
        <v>0</v>
      </c>
      <c r="AC125" s="174"/>
      <c r="AD125" s="174"/>
    </row>
    <row r="126" spans="2:30" hidden="1" outlineLevel="2" x14ac:dyDescent="0.25">
      <c r="F126" s="220">
        <f>IFERROR(MATCH(G126,Produccion_Ganadera[Categoría],0),0)</f>
        <v>10</v>
      </c>
      <c r="G126" s="122" t="str">
        <f>Configuración!AZ14</f>
        <v>Toro Descarte</v>
      </c>
      <c r="H126" s="117">
        <f>SUMPRODUCT(($C$115=Producción_Ganadera[Movimiento])*($G126=Producción_Ganadera[Categoría Hacienda])*(H$1=Producción_Ganadera[Mes Financiero])*(H$2=Producción_Ganadera[Año Financiero])*(Producción_Ganadera[Financiero $Corrientes]))</f>
        <v>0</v>
      </c>
      <c r="I126" s="118">
        <f>SUMPRODUCT(($C$115=Producción_Ganadera[Movimiento])*($G126=Producción_Ganadera[Categoría Hacienda])*(I$1=Producción_Ganadera[Mes Financiero])*(I$2=Producción_Ganadera[Año Financiero])*(Producción_Ganadera[Financiero $Corrientes]))</f>
        <v>0</v>
      </c>
      <c r="J126" s="117">
        <f>SUMPRODUCT(($C$115=Producción_Ganadera[Movimiento])*($G126=Producción_Ganadera[Categoría Hacienda])*(J$1=Producción_Ganadera[Mes Financiero])*(J$2=Producción_Ganadera[Año Financiero])*(Producción_Ganadera[Financiero $Corrientes]))</f>
        <v>0</v>
      </c>
      <c r="K126" s="118">
        <f>SUMPRODUCT(($C$115=Producción_Ganadera[Movimiento])*($G126=Producción_Ganadera[Categoría Hacienda])*(K$1=Producción_Ganadera[Mes Financiero])*(K$2=Producción_Ganadera[Año Financiero])*(Producción_Ganadera[Financiero $Corrientes]))</f>
        <v>0</v>
      </c>
      <c r="L126" s="117">
        <f>SUMPRODUCT(($C$115=Producción_Ganadera[Movimiento])*($G126=Producción_Ganadera[Categoría Hacienda])*(L$1=Producción_Ganadera[Mes Financiero])*(L$2=Producción_Ganadera[Año Financiero])*(Producción_Ganadera[Financiero $Corrientes]))</f>
        <v>0</v>
      </c>
      <c r="M126" s="118">
        <f>SUMPRODUCT(($C$115=Producción_Ganadera[Movimiento])*($G126=Producción_Ganadera[Categoría Hacienda])*(M$1=Producción_Ganadera[Mes Financiero])*(M$2=Producción_Ganadera[Año Financiero])*(Producción_Ganadera[Financiero $Corrientes]))</f>
        <v>0</v>
      </c>
      <c r="N126" s="117">
        <f>SUMPRODUCT(($C$115=Producción_Ganadera[Movimiento])*($G126=Producción_Ganadera[Categoría Hacienda])*(N$1=Producción_Ganadera[Mes Financiero])*(N$2=Producción_Ganadera[Año Financiero])*(Producción_Ganadera[Financiero $Corrientes]))</f>
        <v>0</v>
      </c>
      <c r="O126" s="118">
        <f>SUMPRODUCT(($C$115=Producción_Ganadera[Movimiento])*($G126=Producción_Ganadera[Categoría Hacienda])*(O$1=Producción_Ganadera[Mes Financiero])*(O$2=Producción_Ganadera[Año Financiero])*(Producción_Ganadera[Financiero $Corrientes]))</f>
        <v>0</v>
      </c>
      <c r="P126" s="117">
        <f>SUMPRODUCT(($C$115=Producción_Ganadera[Movimiento])*($G126=Producción_Ganadera[Categoría Hacienda])*(P$1=Producción_Ganadera[Mes Financiero])*(P$2=Producción_Ganadera[Año Financiero])*(Producción_Ganadera[Financiero $Corrientes]))</f>
        <v>0</v>
      </c>
      <c r="Q126" s="118">
        <f>SUMPRODUCT(($C$115=Producción_Ganadera[Movimiento])*($G126=Producción_Ganadera[Categoría Hacienda])*(Q$1=Producción_Ganadera[Mes Financiero])*(Q$2=Producción_Ganadera[Año Financiero])*(Producción_Ganadera[Financiero $Corrientes]))</f>
        <v>0</v>
      </c>
      <c r="R126" s="117">
        <f>SUMPRODUCT(($C$115=Producción_Ganadera[Movimiento])*($G126=Producción_Ganadera[Categoría Hacienda])*(R$1=Producción_Ganadera[Mes Financiero])*(R$2=Producción_Ganadera[Año Financiero])*(Producción_Ganadera[Financiero $Corrientes]))</f>
        <v>0</v>
      </c>
      <c r="S126" s="118">
        <f>SUMPRODUCT(($C$115=Producción_Ganadera[Movimiento])*($G126=Producción_Ganadera[Categoría Hacienda])*(S$1=Producción_Ganadera[Mes Financiero])*(S$2=Producción_Ganadera[Año Financiero])*(Producción_Ganadera[Financiero $Corrientes]))</f>
        <v>0</v>
      </c>
      <c r="T126" s="117">
        <f>SUMPRODUCT(($C$115=Producción_Ganadera[Movimiento])*($G126=Producción_Ganadera[Categoría Hacienda])*(T$1=Producción_Ganadera[Mes Financiero])*(T$2=Producción_Ganadera[Año Financiero])*(Producción_Ganadera[Financiero $Corrientes]))</f>
        <v>0</v>
      </c>
      <c r="U126" s="118">
        <f>SUMPRODUCT(($C$115=Producción_Ganadera[Movimiento])*($G126=Producción_Ganadera[Categoría Hacienda])*(U$1=Producción_Ganadera[Mes Financiero])*(U$2=Producción_Ganadera[Año Financiero])*(Producción_Ganadera[Financiero $Corrientes]))</f>
        <v>0</v>
      </c>
      <c r="V126" s="117">
        <f>SUMPRODUCT(($C$115=Producción_Ganadera[Movimiento])*($G126=Producción_Ganadera[Categoría Hacienda])*(V$1=Producción_Ganadera[Mes Financiero])*(V$2=Producción_Ganadera[Año Financiero])*(Producción_Ganadera[Financiero $Corrientes]))</f>
        <v>0</v>
      </c>
      <c r="W126" s="118">
        <f>SUMPRODUCT(($C$115=Producción_Ganadera[Movimiento])*($G126=Producción_Ganadera[Categoría Hacienda])*(W$1=Producción_Ganadera[Mes Financiero])*(W$2=Producción_Ganadera[Año Financiero])*(Producción_Ganadera[Financiero $Corrientes]))</f>
        <v>0</v>
      </c>
      <c r="X126" s="117">
        <f>SUMPRODUCT(($C$115=Producción_Ganadera[Movimiento])*($G126=Producción_Ganadera[Categoría Hacienda])*(X$1=Producción_Ganadera[Mes Financiero])*(X$2=Producción_Ganadera[Año Financiero])*(Producción_Ganadera[Financiero $Corrientes]))</f>
        <v>0</v>
      </c>
      <c r="Y126" s="118">
        <f>SUMPRODUCT(($C$115=Producción_Ganadera[Movimiento])*($G126=Producción_Ganadera[Categoría Hacienda])*(Y$1=Producción_Ganadera[Mes Financiero])*(Y$2=Producción_Ganadera[Año Financiero])*(Producción_Ganadera[Financiero $Corrientes]))</f>
        <v>0</v>
      </c>
      <c r="Z126" s="140">
        <f t="shared" si="22"/>
        <v>0</v>
      </c>
      <c r="AC126" s="174"/>
      <c r="AD126" s="174"/>
    </row>
    <row r="127" spans="2:30" hidden="1" outlineLevel="2" x14ac:dyDescent="0.25">
      <c r="F127" s="220">
        <f>IFERROR(MATCH(G127,Produccion_Ganadera[Categoría],0),0)</f>
        <v>11</v>
      </c>
      <c r="G127" s="122" t="str">
        <f>Configuración!AZ15</f>
        <v>Novillo 06-15</v>
      </c>
      <c r="H127" s="117">
        <f>SUMPRODUCT(($C$115=Producción_Ganadera[Movimiento])*($G127=Producción_Ganadera[Categoría Hacienda])*(H$1=Producción_Ganadera[Mes Financiero])*(H$2=Producción_Ganadera[Año Financiero])*(Producción_Ganadera[Financiero $Corrientes]))</f>
        <v>0</v>
      </c>
      <c r="I127" s="118">
        <f>SUMPRODUCT(($C$115=Producción_Ganadera[Movimiento])*($G127=Producción_Ganadera[Categoría Hacienda])*(I$1=Producción_Ganadera[Mes Financiero])*(I$2=Producción_Ganadera[Año Financiero])*(Producción_Ganadera[Financiero $Corrientes]))</f>
        <v>0</v>
      </c>
      <c r="J127" s="117">
        <f>SUMPRODUCT(($C$115=Producción_Ganadera[Movimiento])*($G127=Producción_Ganadera[Categoría Hacienda])*(J$1=Producción_Ganadera[Mes Financiero])*(J$2=Producción_Ganadera[Año Financiero])*(Producción_Ganadera[Financiero $Corrientes]))</f>
        <v>0</v>
      </c>
      <c r="K127" s="118">
        <f>SUMPRODUCT(($C$115=Producción_Ganadera[Movimiento])*($G127=Producción_Ganadera[Categoría Hacienda])*(K$1=Producción_Ganadera[Mes Financiero])*(K$2=Producción_Ganadera[Año Financiero])*(Producción_Ganadera[Financiero $Corrientes]))</f>
        <v>0</v>
      </c>
      <c r="L127" s="117">
        <f>SUMPRODUCT(($C$115=Producción_Ganadera[Movimiento])*($G127=Producción_Ganadera[Categoría Hacienda])*(L$1=Producción_Ganadera[Mes Financiero])*(L$2=Producción_Ganadera[Año Financiero])*(Producción_Ganadera[Financiero $Corrientes]))</f>
        <v>0</v>
      </c>
      <c r="M127" s="118">
        <f>SUMPRODUCT(($C$115=Producción_Ganadera[Movimiento])*($G127=Producción_Ganadera[Categoría Hacienda])*(M$1=Producción_Ganadera[Mes Financiero])*(M$2=Producción_Ganadera[Año Financiero])*(Producción_Ganadera[Financiero $Corrientes]))</f>
        <v>0</v>
      </c>
      <c r="N127" s="117">
        <f>SUMPRODUCT(($C$115=Producción_Ganadera[Movimiento])*($G127=Producción_Ganadera[Categoría Hacienda])*(N$1=Producción_Ganadera[Mes Financiero])*(N$2=Producción_Ganadera[Año Financiero])*(Producción_Ganadera[Financiero $Corrientes]))</f>
        <v>0</v>
      </c>
      <c r="O127" s="118">
        <f>SUMPRODUCT(($C$115=Producción_Ganadera[Movimiento])*($G127=Producción_Ganadera[Categoría Hacienda])*(O$1=Producción_Ganadera[Mes Financiero])*(O$2=Producción_Ganadera[Año Financiero])*(Producción_Ganadera[Financiero $Corrientes]))</f>
        <v>0</v>
      </c>
      <c r="P127" s="117">
        <f>SUMPRODUCT(($C$115=Producción_Ganadera[Movimiento])*($G127=Producción_Ganadera[Categoría Hacienda])*(P$1=Producción_Ganadera[Mes Financiero])*(P$2=Producción_Ganadera[Año Financiero])*(Producción_Ganadera[Financiero $Corrientes]))</f>
        <v>0</v>
      </c>
      <c r="Q127" s="118">
        <f>SUMPRODUCT(($C$115=Producción_Ganadera[Movimiento])*($G127=Producción_Ganadera[Categoría Hacienda])*(Q$1=Producción_Ganadera[Mes Financiero])*(Q$2=Producción_Ganadera[Año Financiero])*(Producción_Ganadera[Financiero $Corrientes]))</f>
        <v>0</v>
      </c>
      <c r="R127" s="117">
        <f>SUMPRODUCT(($C$115=Producción_Ganadera[Movimiento])*($G127=Producción_Ganadera[Categoría Hacienda])*(R$1=Producción_Ganadera[Mes Financiero])*(R$2=Producción_Ganadera[Año Financiero])*(Producción_Ganadera[Financiero $Corrientes]))</f>
        <v>0</v>
      </c>
      <c r="S127" s="118">
        <f>SUMPRODUCT(($C$115=Producción_Ganadera[Movimiento])*($G127=Producción_Ganadera[Categoría Hacienda])*(S$1=Producción_Ganadera[Mes Financiero])*(S$2=Producción_Ganadera[Año Financiero])*(Producción_Ganadera[Financiero $Corrientes]))</f>
        <v>0</v>
      </c>
      <c r="T127" s="117">
        <f>SUMPRODUCT(($C$115=Producción_Ganadera[Movimiento])*($G127=Producción_Ganadera[Categoría Hacienda])*(T$1=Producción_Ganadera[Mes Financiero])*(T$2=Producción_Ganadera[Año Financiero])*(Producción_Ganadera[Financiero $Corrientes]))</f>
        <v>0</v>
      </c>
      <c r="U127" s="118">
        <f>SUMPRODUCT(($C$115=Producción_Ganadera[Movimiento])*($G127=Producción_Ganadera[Categoría Hacienda])*(U$1=Producción_Ganadera[Mes Financiero])*(U$2=Producción_Ganadera[Año Financiero])*(Producción_Ganadera[Financiero $Corrientes]))</f>
        <v>0</v>
      </c>
      <c r="V127" s="117">
        <f>SUMPRODUCT(($C$115=Producción_Ganadera[Movimiento])*($G127=Producción_Ganadera[Categoría Hacienda])*(V$1=Producción_Ganadera[Mes Financiero])*(V$2=Producción_Ganadera[Año Financiero])*(Producción_Ganadera[Financiero $Corrientes]))</f>
        <v>0</v>
      </c>
      <c r="W127" s="118">
        <f>SUMPRODUCT(($C$115=Producción_Ganadera[Movimiento])*($G127=Producción_Ganadera[Categoría Hacienda])*(W$1=Producción_Ganadera[Mes Financiero])*(W$2=Producción_Ganadera[Año Financiero])*(Producción_Ganadera[Financiero $Corrientes]))</f>
        <v>0</v>
      </c>
      <c r="X127" s="117">
        <f>SUMPRODUCT(($C$115=Producción_Ganadera[Movimiento])*($G127=Producción_Ganadera[Categoría Hacienda])*(X$1=Producción_Ganadera[Mes Financiero])*(X$2=Producción_Ganadera[Año Financiero])*(Producción_Ganadera[Financiero $Corrientes]))</f>
        <v>0</v>
      </c>
      <c r="Y127" s="118">
        <f>SUMPRODUCT(($C$115=Producción_Ganadera[Movimiento])*($G127=Producción_Ganadera[Categoría Hacienda])*(Y$1=Producción_Ganadera[Mes Financiero])*(Y$2=Producción_Ganadera[Año Financiero])*(Producción_Ganadera[Financiero $Corrientes]))</f>
        <v>0</v>
      </c>
      <c r="Z127" s="140">
        <f t="shared" si="22"/>
        <v>0</v>
      </c>
      <c r="AC127" s="174"/>
      <c r="AD127" s="174"/>
    </row>
    <row r="128" spans="2:30" hidden="1" outlineLevel="2" x14ac:dyDescent="0.25">
      <c r="B128" s="166" t="s">
        <v>101</v>
      </c>
      <c r="F128" s="228">
        <f>IFERROR(MATCH(G128,Produccion_Ganadera[Categoría],0),0)</f>
        <v>12</v>
      </c>
      <c r="G128" s="127" t="str">
        <f>Configuración!AZ16</f>
        <v>Novillo 15-27</v>
      </c>
      <c r="H128" s="128">
        <f>SUMPRODUCT(($C$115=Producción_Ganadera[Movimiento])*($G128=Producción_Ganadera[Categoría Hacienda])*(H$1=Producción_Ganadera[Mes Financiero])*(H$2=Producción_Ganadera[Año Financiero])*(Producción_Ganadera[Financiero $Corrientes]))</f>
        <v>0</v>
      </c>
      <c r="I128" s="129">
        <f>SUMPRODUCT(($C$115=Producción_Ganadera[Movimiento])*($G128=Producción_Ganadera[Categoría Hacienda])*(I$1=Producción_Ganadera[Mes Financiero])*(I$2=Producción_Ganadera[Año Financiero])*(Producción_Ganadera[Financiero $Corrientes]))</f>
        <v>0</v>
      </c>
      <c r="J128" s="128">
        <f>SUMPRODUCT(($C$115=Producción_Ganadera[Movimiento])*($G128=Producción_Ganadera[Categoría Hacienda])*(J$1=Producción_Ganadera[Mes Financiero])*(J$2=Producción_Ganadera[Año Financiero])*(Producción_Ganadera[Financiero $Corrientes]))</f>
        <v>0</v>
      </c>
      <c r="K128" s="129">
        <f>SUMPRODUCT(($C$115=Producción_Ganadera[Movimiento])*($G128=Producción_Ganadera[Categoría Hacienda])*(K$1=Producción_Ganadera[Mes Financiero])*(K$2=Producción_Ganadera[Año Financiero])*(Producción_Ganadera[Financiero $Corrientes]))</f>
        <v>0</v>
      </c>
      <c r="L128" s="128">
        <f>SUMPRODUCT(($C$115=Producción_Ganadera[Movimiento])*($G128=Producción_Ganadera[Categoría Hacienda])*(L$1=Producción_Ganadera[Mes Financiero])*(L$2=Producción_Ganadera[Año Financiero])*(Producción_Ganadera[Financiero $Corrientes]))</f>
        <v>0</v>
      </c>
      <c r="M128" s="129">
        <f>SUMPRODUCT(($C$115=Producción_Ganadera[Movimiento])*($G128=Producción_Ganadera[Categoría Hacienda])*(M$1=Producción_Ganadera[Mes Financiero])*(M$2=Producción_Ganadera[Año Financiero])*(Producción_Ganadera[Financiero $Corrientes]))</f>
        <v>0</v>
      </c>
      <c r="N128" s="128">
        <f>SUMPRODUCT(($C$115=Producción_Ganadera[Movimiento])*($G128=Producción_Ganadera[Categoría Hacienda])*(N$1=Producción_Ganadera[Mes Financiero])*(N$2=Producción_Ganadera[Año Financiero])*(Producción_Ganadera[Financiero $Corrientes]))</f>
        <v>0</v>
      </c>
      <c r="O128" s="129">
        <f>SUMPRODUCT(($C$115=Producción_Ganadera[Movimiento])*($G128=Producción_Ganadera[Categoría Hacienda])*(O$1=Producción_Ganadera[Mes Financiero])*(O$2=Producción_Ganadera[Año Financiero])*(Producción_Ganadera[Financiero $Corrientes]))</f>
        <v>0</v>
      </c>
      <c r="P128" s="128">
        <f>SUMPRODUCT(($C$115=Producción_Ganadera[Movimiento])*($G128=Producción_Ganadera[Categoría Hacienda])*(P$1=Producción_Ganadera[Mes Financiero])*(P$2=Producción_Ganadera[Año Financiero])*(Producción_Ganadera[Financiero $Corrientes]))</f>
        <v>0</v>
      </c>
      <c r="Q128" s="129">
        <f>SUMPRODUCT(($C$115=Producción_Ganadera[Movimiento])*($G128=Producción_Ganadera[Categoría Hacienda])*(Q$1=Producción_Ganadera[Mes Financiero])*(Q$2=Producción_Ganadera[Año Financiero])*(Producción_Ganadera[Financiero $Corrientes]))</f>
        <v>0</v>
      </c>
      <c r="R128" s="128">
        <f>SUMPRODUCT(($C$115=Producción_Ganadera[Movimiento])*($G128=Producción_Ganadera[Categoría Hacienda])*(R$1=Producción_Ganadera[Mes Financiero])*(R$2=Producción_Ganadera[Año Financiero])*(Producción_Ganadera[Financiero $Corrientes]))</f>
        <v>0</v>
      </c>
      <c r="S128" s="129">
        <f>SUMPRODUCT(($C$115=Producción_Ganadera[Movimiento])*($G128=Producción_Ganadera[Categoría Hacienda])*(S$1=Producción_Ganadera[Mes Financiero])*(S$2=Producción_Ganadera[Año Financiero])*(Producción_Ganadera[Financiero $Corrientes]))</f>
        <v>0</v>
      </c>
      <c r="T128" s="128">
        <f>SUMPRODUCT(($C$115=Producción_Ganadera[Movimiento])*($G128=Producción_Ganadera[Categoría Hacienda])*(T$1=Producción_Ganadera[Mes Financiero])*(T$2=Producción_Ganadera[Año Financiero])*(Producción_Ganadera[Financiero $Corrientes]))</f>
        <v>0</v>
      </c>
      <c r="U128" s="129">
        <f>SUMPRODUCT(($C$115=Producción_Ganadera[Movimiento])*($G128=Producción_Ganadera[Categoría Hacienda])*(U$1=Producción_Ganadera[Mes Financiero])*(U$2=Producción_Ganadera[Año Financiero])*(Producción_Ganadera[Financiero $Corrientes]))</f>
        <v>0</v>
      </c>
      <c r="V128" s="128">
        <f>SUMPRODUCT(($C$115=Producción_Ganadera[Movimiento])*($G128=Producción_Ganadera[Categoría Hacienda])*(V$1=Producción_Ganadera[Mes Financiero])*(V$2=Producción_Ganadera[Año Financiero])*(Producción_Ganadera[Financiero $Corrientes]))</f>
        <v>0</v>
      </c>
      <c r="W128" s="129">
        <f>SUMPRODUCT(($C$115=Producción_Ganadera[Movimiento])*($G128=Producción_Ganadera[Categoría Hacienda])*(W$1=Producción_Ganadera[Mes Financiero])*(W$2=Producción_Ganadera[Año Financiero])*(Producción_Ganadera[Financiero $Corrientes]))</f>
        <v>0</v>
      </c>
      <c r="X128" s="128">
        <f>SUMPRODUCT(($C$115=Producción_Ganadera[Movimiento])*($G128=Producción_Ganadera[Categoría Hacienda])*(X$1=Producción_Ganadera[Mes Financiero])*(X$2=Producción_Ganadera[Año Financiero])*(Producción_Ganadera[Financiero $Corrientes]))</f>
        <v>0</v>
      </c>
      <c r="Y128" s="129">
        <f>SUMPRODUCT(($C$115=Producción_Ganadera[Movimiento])*($G128=Producción_Ganadera[Categoría Hacienda])*(Y$1=Producción_Ganadera[Mes Financiero])*(Y$2=Producción_Ganadera[Año Financiero])*(Producción_Ganadera[Financiero $Corrientes]))</f>
        <v>0</v>
      </c>
      <c r="Z128" s="141">
        <f t="shared" si="22"/>
        <v>0</v>
      </c>
      <c r="AC128" s="174"/>
      <c r="AD128" s="174"/>
    </row>
    <row r="129" spans="2:30" hidden="1" outlineLevel="1" collapsed="1" x14ac:dyDescent="0.25">
      <c r="E129" s="221">
        <f>IFERROR(MATCH(F129,Produccion_Ganadera_Cuentas[Cuenta Contable],0),0)</f>
        <v>13</v>
      </c>
      <c r="F129" s="383" t="s">
        <v>107</v>
      </c>
      <c r="G129" s="93"/>
      <c r="H129" s="103">
        <f>SUMPRODUCT((H$1=Producción_Ganadera[Mes Financiero])*(H$2=Producción_Ganadera[Año Financiero])*($C$115=Producción_Ganadera[Movimiento])*($F129=Producción_Ganadera[Cuenta Contable])*(Producción_Ganadera[Financiero $Corrientes]))</f>
        <v>0</v>
      </c>
      <c r="I129" s="104">
        <f>SUMPRODUCT((I$1=Producción_Ganadera[Mes Financiero])*(I$2=Producción_Ganadera[Año Financiero])*($C$115=Producción_Ganadera[Movimiento])*($F129=Producción_Ganadera[Cuenta Contable])*(Producción_Ganadera[Financiero $Corrientes]))</f>
        <v>0</v>
      </c>
      <c r="J129" s="103">
        <f>SUMPRODUCT((J$1=Producción_Ganadera[Mes Financiero])*(J$2=Producción_Ganadera[Año Financiero])*($C$115=Producción_Ganadera[Movimiento])*($F129=Producción_Ganadera[Cuenta Contable])*(Producción_Ganadera[Financiero $Corrientes]))</f>
        <v>0</v>
      </c>
      <c r="K129" s="104">
        <f>SUMPRODUCT((K$1=Producción_Ganadera[Mes Financiero])*(K$2=Producción_Ganadera[Año Financiero])*($C$115=Producción_Ganadera[Movimiento])*($F129=Producción_Ganadera[Cuenta Contable])*(Producción_Ganadera[Financiero $Corrientes]))</f>
        <v>0</v>
      </c>
      <c r="L129" s="103">
        <f>SUMPRODUCT((L$1=Producción_Ganadera[Mes Financiero])*(L$2=Producción_Ganadera[Año Financiero])*($C$115=Producción_Ganadera[Movimiento])*($F129=Producción_Ganadera[Cuenta Contable])*(Producción_Ganadera[Financiero $Corrientes]))</f>
        <v>0</v>
      </c>
      <c r="M129" s="104">
        <f>SUMPRODUCT((M$1=Producción_Ganadera[Mes Financiero])*(M$2=Producción_Ganadera[Año Financiero])*($C$115=Producción_Ganadera[Movimiento])*($F129=Producción_Ganadera[Cuenta Contable])*(Producción_Ganadera[Financiero $Corrientes]))</f>
        <v>0</v>
      </c>
      <c r="N129" s="103">
        <f>SUMPRODUCT((N$1=Producción_Ganadera[Mes Financiero])*(N$2=Producción_Ganadera[Año Financiero])*($C$115=Producción_Ganadera[Movimiento])*($F129=Producción_Ganadera[Cuenta Contable])*(Producción_Ganadera[Financiero $Corrientes]))</f>
        <v>0</v>
      </c>
      <c r="O129" s="104">
        <f>SUMPRODUCT((O$1=Producción_Ganadera[Mes Financiero])*(O$2=Producción_Ganadera[Año Financiero])*($C$115=Producción_Ganadera[Movimiento])*($F129=Producción_Ganadera[Cuenta Contable])*(Producción_Ganadera[Financiero $Corrientes]))</f>
        <v>0</v>
      </c>
      <c r="P129" s="103">
        <f>SUMPRODUCT((P$1=Producción_Ganadera[Mes Financiero])*(P$2=Producción_Ganadera[Año Financiero])*($C$115=Producción_Ganadera[Movimiento])*($F129=Producción_Ganadera[Cuenta Contable])*(Producción_Ganadera[Financiero $Corrientes]))</f>
        <v>0</v>
      </c>
      <c r="Q129" s="104">
        <f>SUMPRODUCT((Q$1=Producción_Ganadera[Mes Financiero])*(Q$2=Producción_Ganadera[Año Financiero])*($C$115=Producción_Ganadera[Movimiento])*($F129=Producción_Ganadera[Cuenta Contable])*(Producción_Ganadera[Financiero $Corrientes]))</f>
        <v>0</v>
      </c>
      <c r="R129" s="103">
        <f>SUMPRODUCT((R$1=Producción_Ganadera[Mes Financiero])*(R$2=Producción_Ganadera[Año Financiero])*($C$115=Producción_Ganadera[Movimiento])*($F129=Producción_Ganadera[Cuenta Contable])*(Producción_Ganadera[Financiero $Corrientes]))</f>
        <v>0</v>
      </c>
      <c r="S129" s="104">
        <f>SUMPRODUCT((S$1=Producción_Ganadera[Mes Financiero])*(S$2=Producción_Ganadera[Año Financiero])*($C$115=Producción_Ganadera[Movimiento])*($F129=Producción_Ganadera[Cuenta Contable])*(Producción_Ganadera[Financiero $Corrientes]))</f>
        <v>0</v>
      </c>
      <c r="T129" s="103">
        <f>SUMPRODUCT((T$1=Producción_Ganadera[Mes Financiero])*(T$2=Producción_Ganadera[Año Financiero])*($C$115=Producción_Ganadera[Movimiento])*($F129=Producción_Ganadera[Cuenta Contable])*(Producción_Ganadera[Financiero $Corrientes]))</f>
        <v>0</v>
      </c>
      <c r="U129" s="104">
        <f>SUMPRODUCT((U$1=Producción_Ganadera[Mes Financiero])*(U$2=Producción_Ganadera[Año Financiero])*($C$115=Producción_Ganadera[Movimiento])*($F129=Producción_Ganadera[Cuenta Contable])*(Producción_Ganadera[Financiero $Corrientes]))</f>
        <v>0</v>
      </c>
      <c r="V129" s="103">
        <f>SUMPRODUCT((V$1=Producción_Ganadera[Mes Financiero])*(V$2=Producción_Ganadera[Año Financiero])*($C$115=Producción_Ganadera[Movimiento])*($F129=Producción_Ganadera[Cuenta Contable])*(Producción_Ganadera[Financiero $Corrientes]))</f>
        <v>0</v>
      </c>
      <c r="W129" s="104">
        <f>SUMPRODUCT((W$1=Producción_Ganadera[Mes Financiero])*(W$2=Producción_Ganadera[Año Financiero])*($C$115=Producción_Ganadera[Movimiento])*($F129=Producción_Ganadera[Cuenta Contable])*(Producción_Ganadera[Financiero $Corrientes]))</f>
        <v>0</v>
      </c>
      <c r="X129" s="103">
        <f>SUMPRODUCT((X$1=Producción_Ganadera[Mes Financiero])*(X$2=Producción_Ganadera[Año Financiero])*($C$115=Producción_Ganadera[Movimiento])*($F129=Producción_Ganadera[Cuenta Contable])*(Producción_Ganadera[Financiero $Corrientes]))</f>
        <v>0</v>
      </c>
      <c r="Y129" s="104">
        <f>SUMPRODUCT((Y$1=Producción_Ganadera[Mes Financiero])*(Y$2=Producción_Ganadera[Año Financiero])*($C$115=Producción_Ganadera[Movimiento])*($F129=Producción_Ganadera[Cuenta Contable])*(Producción_Ganadera[Financiero $Corrientes]))</f>
        <v>0</v>
      </c>
      <c r="Z129" s="144">
        <f t="shared" si="22"/>
        <v>0</v>
      </c>
      <c r="AC129" s="174">
        <f>SUMPRODUCT((F129=Produccion_Ganadera_Cuentas[Cuenta Contable])*(Produccion_Ganadera_Cuentas[IVA]))</f>
        <v>0</v>
      </c>
      <c r="AD129" s="174">
        <f>SUMPRODUCT((G129=Produccion_Ganadera_Cuentas[Cuenta Contable])*(Produccion_Ganadera_Cuentas[IVA]))</f>
        <v>0</v>
      </c>
    </row>
    <row r="130" spans="2:30" hidden="1" outlineLevel="1" x14ac:dyDescent="0.25">
      <c r="E130" s="221">
        <f>IFERROR(MATCH(F130,Produccion_Ganadera_Cuentas[Cuenta Contable],0),0)</f>
        <v>14</v>
      </c>
      <c r="F130" s="383" t="s">
        <v>108</v>
      </c>
      <c r="H130" s="103">
        <f>SUMPRODUCT((H$1=Producción_Ganadera[Mes Financiero])*(H$2=Producción_Ganadera[Año Financiero])*($C$115=Producción_Ganadera[Movimiento])*($F130=Producción_Ganadera[Cuenta Contable])*(Producción_Ganadera[Financiero $Corrientes]))</f>
        <v>0</v>
      </c>
      <c r="I130" s="104">
        <f>SUMPRODUCT((I$1=Producción_Ganadera[Mes Financiero])*(I$2=Producción_Ganadera[Año Financiero])*($C$115=Producción_Ganadera[Movimiento])*($F130=Producción_Ganadera[Cuenta Contable])*(Producción_Ganadera[Financiero $Corrientes]))</f>
        <v>0</v>
      </c>
      <c r="J130" s="103">
        <f>SUMPRODUCT((J$1=Producción_Ganadera[Mes Financiero])*(J$2=Producción_Ganadera[Año Financiero])*($C$115=Producción_Ganadera[Movimiento])*($F130=Producción_Ganadera[Cuenta Contable])*(Producción_Ganadera[Financiero $Corrientes]))</f>
        <v>0</v>
      </c>
      <c r="K130" s="104">
        <f>SUMPRODUCT((K$1=Producción_Ganadera[Mes Financiero])*(K$2=Producción_Ganadera[Año Financiero])*($C$115=Producción_Ganadera[Movimiento])*($F130=Producción_Ganadera[Cuenta Contable])*(Producción_Ganadera[Financiero $Corrientes]))</f>
        <v>0</v>
      </c>
      <c r="L130" s="103">
        <f>SUMPRODUCT((L$1=Producción_Ganadera[Mes Financiero])*(L$2=Producción_Ganadera[Año Financiero])*($C$115=Producción_Ganadera[Movimiento])*($F130=Producción_Ganadera[Cuenta Contable])*(Producción_Ganadera[Financiero $Corrientes]))</f>
        <v>0</v>
      </c>
      <c r="M130" s="104">
        <f>SUMPRODUCT((M$1=Producción_Ganadera[Mes Financiero])*(M$2=Producción_Ganadera[Año Financiero])*($C$115=Producción_Ganadera[Movimiento])*($F130=Producción_Ganadera[Cuenta Contable])*(Producción_Ganadera[Financiero $Corrientes]))</f>
        <v>0</v>
      </c>
      <c r="N130" s="103">
        <f>SUMPRODUCT((N$1=Producción_Ganadera[Mes Financiero])*(N$2=Producción_Ganadera[Año Financiero])*($C$115=Producción_Ganadera[Movimiento])*($F130=Producción_Ganadera[Cuenta Contable])*(Producción_Ganadera[Financiero $Corrientes]))</f>
        <v>0</v>
      </c>
      <c r="O130" s="104">
        <f>SUMPRODUCT((O$1=Producción_Ganadera[Mes Financiero])*(O$2=Producción_Ganadera[Año Financiero])*($C$115=Producción_Ganadera[Movimiento])*($F130=Producción_Ganadera[Cuenta Contable])*(Producción_Ganadera[Financiero $Corrientes]))</f>
        <v>0</v>
      </c>
      <c r="P130" s="103">
        <f>SUMPRODUCT((P$1=Producción_Ganadera[Mes Financiero])*(P$2=Producción_Ganadera[Año Financiero])*($C$115=Producción_Ganadera[Movimiento])*($F130=Producción_Ganadera[Cuenta Contable])*(Producción_Ganadera[Financiero $Corrientes]))</f>
        <v>0</v>
      </c>
      <c r="Q130" s="104">
        <f>SUMPRODUCT((Q$1=Producción_Ganadera[Mes Financiero])*(Q$2=Producción_Ganadera[Año Financiero])*($C$115=Producción_Ganadera[Movimiento])*($F130=Producción_Ganadera[Cuenta Contable])*(Producción_Ganadera[Financiero $Corrientes]))</f>
        <v>0</v>
      </c>
      <c r="R130" s="103">
        <f>SUMPRODUCT((R$1=Producción_Ganadera[Mes Financiero])*(R$2=Producción_Ganadera[Año Financiero])*($C$115=Producción_Ganadera[Movimiento])*($F130=Producción_Ganadera[Cuenta Contable])*(Producción_Ganadera[Financiero $Corrientes]))</f>
        <v>0</v>
      </c>
      <c r="S130" s="104">
        <f>SUMPRODUCT((S$1=Producción_Ganadera[Mes Financiero])*(S$2=Producción_Ganadera[Año Financiero])*($C$115=Producción_Ganadera[Movimiento])*($F130=Producción_Ganadera[Cuenta Contable])*(Producción_Ganadera[Financiero $Corrientes]))</f>
        <v>0</v>
      </c>
      <c r="T130" s="103">
        <f>SUMPRODUCT((T$1=Producción_Ganadera[Mes Financiero])*(T$2=Producción_Ganadera[Año Financiero])*($C$115=Producción_Ganadera[Movimiento])*($F130=Producción_Ganadera[Cuenta Contable])*(Producción_Ganadera[Financiero $Corrientes]))</f>
        <v>0</v>
      </c>
      <c r="U130" s="104">
        <f>SUMPRODUCT((U$1=Producción_Ganadera[Mes Financiero])*(U$2=Producción_Ganadera[Año Financiero])*($C$115=Producción_Ganadera[Movimiento])*($F130=Producción_Ganadera[Cuenta Contable])*(Producción_Ganadera[Financiero $Corrientes]))</f>
        <v>0</v>
      </c>
      <c r="V130" s="103">
        <f>SUMPRODUCT((V$1=Producción_Ganadera[Mes Financiero])*(V$2=Producción_Ganadera[Año Financiero])*($C$115=Producción_Ganadera[Movimiento])*($F130=Producción_Ganadera[Cuenta Contable])*(Producción_Ganadera[Financiero $Corrientes]))</f>
        <v>0</v>
      </c>
      <c r="W130" s="104">
        <f>SUMPRODUCT((W$1=Producción_Ganadera[Mes Financiero])*(W$2=Producción_Ganadera[Año Financiero])*($C$115=Producción_Ganadera[Movimiento])*($F130=Producción_Ganadera[Cuenta Contable])*(Producción_Ganadera[Financiero $Corrientes]))</f>
        <v>0</v>
      </c>
      <c r="X130" s="103">
        <f>SUMPRODUCT((X$1=Producción_Ganadera[Mes Financiero])*(X$2=Producción_Ganadera[Año Financiero])*($C$115=Producción_Ganadera[Movimiento])*($F130=Producción_Ganadera[Cuenta Contable])*(Producción_Ganadera[Financiero $Corrientes]))</f>
        <v>0</v>
      </c>
      <c r="Y130" s="104">
        <f>SUMPRODUCT((Y$1=Producción_Ganadera[Mes Financiero])*(Y$2=Producción_Ganadera[Año Financiero])*($C$115=Producción_Ganadera[Movimiento])*($F130=Producción_Ganadera[Cuenta Contable])*(Producción_Ganadera[Financiero $Corrientes]))</f>
        <v>0</v>
      </c>
      <c r="Z130" s="144">
        <f t="shared" si="22"/>
        <v>0</v>
      </c>
      <c r="AC130" s="174">
        <f>SUMPRODUCT((F130=Produccion_Ganadera_Cuentas[Cuenta Contable])*(Produccion_Ganadera_Cuentas[IVA]))</f>
        <v>0</v>
      </c>
      <c r="AD130" s="174">
        <f>SUMPRODUCT((G130=Produccion_Ganadera_Cuentas[Cuenta Contable])*(Produccion_Ganadera_Cuentas[IVA]))</f>
        <v>0</v>
      </c>
    </row>
    <row r="131" spans="2:30" hidden="1" outlineLevel="1" x14ac:dyDescent="0.25">
      <c r="E131" s="221">
        <f>IFERROR(MATCH(F131,Produccion_Ganadera_Cuentas[Cuenta Contable],0),0)</f>
        <v>14</v>
      </c>
      <c r="F131" s="383" t="s">
        <v>108</v>
      </c>
      <c r="H131" s="103">
        <f>SUMPRODUCT((H$1=Producción_Ganadera[Mes Financiero])*(H$2=Producción_Ganadera[Año Financiero])*($C$115=Producción_Ganadera[Movimiento])*($F131=Producción_Ganadera[Cuenta Contable])*(Producción_Ganadera[Financiero $Corrientes]))</f>
        <v>0</v>
      </c>
      <c r="I131" s="104">
        <f>SUMPRODUCT((I$1=Producción_Ganadera[Mes Financiero])*(I$2=Producción_Ganadera[Año Financiero])*($C$115=Producción_Ganadera[Movimiento])*($F131=Producción_Ganadera[Cuenta Contable])*(Producción_Ganadera[Financiero $Corrientes]))</f>
        <v>0</v>
      </c>
      <c r="J131" s="103">
        <f>SUMPRODUCT((J$1=Producción_Ganadera[Mes Financiero])*(J$2=Producción_Ganadera[Año Financiero])*($C$115=Producción_Ganadera[Movimiento])*($F131=Producción_Ganadera[Cuenta Contable])*(Producción_Ganadera[Financiero $Corrientes]))</f>
        <v>0</v>
      </c>
      <c r="K131" s="104">
        <f>SUMPRODUCT((K$1=Producción_Ganadera[Mes Financiero])*(K$2=Producción_Ganadera[Año Financiero])*($C$115=Producción_Ganadera[Movimiento])*($F131=Producción_Ganadera[Cuenta Contable])*(Producción_Ganadera[Financiero $Corrientes]))</f>
        <v>0</v>
      </c>
      <c r="L131" s="103">
        <f>SUMPRODUCT((L$1=Producción_Ganadera[Mes Financiero])*(L$2=Producción_Ganadera[Año Financiero])*($C$115=Producción_Ganadera[Movimiento])*($F131=Producción_Ganadera[Cuenta Contable])*(Producción_Ganadera[Financiero $Corrientes]))</f>
        <v>0</v>
      </c>
      <c r="M131" s="104">
        <f>SUMPRODUCT((M$1=Producción_Ganadera[Mes Financiero])*(M$2=Producción_Ganadera[Año Financiero])*($C$115=Producción_Ganadera[Movimiento])*($F131=Producción_Ganadera[Cuenta Contable])*(Producción_Ganadera[Financiero $Corrientes]))</f>
        <v>0</v>
      </c>
      <c r="N131" s="103">
        <f>SUMPRODUCT((N$1=Producción_Ganadera[Mes Financiero])*(N$2=Producción_Ganadera[Año Financiero])*($C$115=Producción_Ganadera[Movimiento])*($F131=Producción_Ganadera[Cuenta Contable])*(Producción_Ganadera[Financiero $Corrientes]))</f>
        <v>0</v>
      </c>
      <c r="O131" s="104">
        <f>SUMPRODUCT((O$1=Producción_Ganadera[Mes Financiero])*(O$2=Producción_Ganadera[Año Financiero])*($C$115=Producción_Ganadera[Movimiento])*($F131=Producción_Ganadera[Cuenta Contable])*(Producción_Ganadera[Financiero $Corrientes]))</f>
        <v>0</v>
      </c>
      <c r="P131" s="103">
        <f>SUMPRODUCT((P$1=Producción_Ganadera[Mes Financiero])*(P$2=Producción_Ganadera[Año Financiero])*($C$115=Producción_Ganadera[Movimiento])*($F131=Producción_Ganadera[Cuenta Contable])*(Producción_Ganadera[Financiero $Corrientes]))</f>
        <v>0</v>
      </c>
      <c r="Q131" s="104">
        <f>SUMPRODUCT((Q$1=Producción_Ganadera[Mes Financiero])*(Q$2=Producción_Ganadera[Año Financiero])*($C$115=Producción_Ganadera[Movimiento])*($F131=Producción_Ganadera[Cuenta Contable])*(Producción_Ganadera[Financiero $Corrientes]))</f>
        <v>0</v>
      </c>
      <c r="R131" s="103">
        <f>SUMPRODUCT((R$1=Producción_Ganadera[Mes Financiero])*(R$2=Producción_Ganadera[Año Financiero])*($C$115=Producción_Ganadera[Movimiento])*($F131=Producción_Ganadera[Cuenta Contable])*(Producción_Ganadera[Financiero $Corrientes]))</f>
        <v>0</v>
      </c>
      <c r="S131" s="104">
        <f>SUMPRODUCT((S$1=Producción_Ganadera[Mes Financiero])*(S$2=Producción_Ganadera[Año Financiero])*($C$115=Producción_Ganadera[Movimiento])*($F131=Producción_Ganadera[Cuenta Contable])*(Producción_Ganadera[Financiero $Corrientes]))</f>
        <v>0</v>
      </c>
      <c r="T131" s="103">
        <f>SUMPRODUCT((T$1=Producción_Ganadera[Mes Financiero])*(T$2=Producción_Ganadera[Año Financiero])*($C$115=Producción_Ganadera[Movimiento])*($F131=Producción_Ganadera[Cuenta Contable])*(Producción_Ganadera[Financiero $Corrientes]))</f>
        <v>0</v>
      </c>
      <c r="U131" s="104">
        <f>SUMPRODUCT((U$1=Producción_Ganadera[Mes Financiero])*(U$2=Producción_Ganadera[Año Financiero])*($C$115=Producción_Ganadera[Movimiento])*($F131=Producción_Ganadera[Cuenta Contable])*(Producción_Ganadera[Financiero $Corrientes]))</f>
        <v>0</v>
      </c>
      <c r="V131" s="103">
        <f>SUMPRODUCT((V$1=Producción_Ganadera[Mes Financiero])*(V$2=Producción_Ganadera[Año Financiero])*($C$115=Producción_Ganadera[Movimiento])*($F131=Producción_Ganadera[Cuenta Contable])*(Producción_Ganadera[Financiero $Corrientes]))</f>
        <v>0</v>
      </c>
      <c r="W131" s="104">
        <f>SUMPRODUCT((W$1=Producción_Ganadera[Mes Financiero])*(W$2=Producción_Ganadera[Año Financiero])*($C$115=Producción_Ganadera[Movimiento])*($F131=Producción_Ganadera[Cuenta Contable])*(Producción_Ganadera[Financiero $Corrientes]))</f>
        <v>0</v>
      </c>
      <c r="X131" s="103">
        <f>SUMPRODUCT((X$1=Producción_Ganadera[Mes Financiero])*(X$2=Producción_Ganadera[Año Financiero])*($C$115=Producción_Ganadera[Movimiento])*($F131=Producción_Ganadera[Cuenta Contable])*(Producción_Ganadera[Financiero $Corrientes]))</f>
        <v>0</v>
      </c>
      <c r="Y131" s="104">
        <f>SUMPRODUCT((Y$1=Producción_Ganadera[Mes Financiero])*(Y$2=Producción_Ganadera[Año Financiero])*($C$115=Producción_Ganadera[Movimiento])*($F131=Producción_Ganadera[Cuenta Contable])*(Producción_Ganadera[Financiero $Corrientes]))</f>
        <v>0</v>
      </c>
      <c r="Z131" s="144">
        <f t="shared" si="22"/>
        <v>0</v>
      </c>
      <c r="AC131" s="174">
        <f>SUMPRODUCT((F131=Produccion_Ganadera_Cuentas[Cuenta Contable])*(Produccion_Ganadera_Cuentas[IVA]))</f>
        <v>0</v>
      </c>
      <c r="AD131" s="174">
        <f>SUMPRODUCT((G131=Produccion_Ganadera_Cuentas[Cuenta Contable])*(Produccion_Ganadera_Cuentas[IVA]))</f>
        <v>0</v>
      </c>
    </row>
    <row r="132" spans="2:30" hidden="1" outlineLevel="1" x14ac:dyDescent="0.25">
      <c r="E132" s="221">
        <f>IFERROR(MATCH(F132,Produccion_Ganadera_Cuentas[Cuenta Contable],0),0)</f>
        <v>16</v>
      </c>
      <c r="F132" s="383" t="s">
        <v>121</v>
      </c>
      <c r="H132" s="103">
        <f>SUMPRODUCT((H$1=Producción_Ganadera[Mes Financiero])*(H$2=Producción_Ganadera[Año Financiero])*($C$115=Producción_Ganadera[Movimiento])*($F132=Producción_Ganadera[Cuenta Contable])*(Producción_Ganadera[Financiero $Corrientes]))</f>
        <v>0</v>
      </c>
      <c r="I132" s="104">
        <f>SUMPRODUCT((I$1=Producción_Ganadera[Mes Financiero])*(I$2=Producción_Ganadera[Año Financiero])*($C$115=Producción_Ganadera[Movimiento])*($F132=Producción_Ganadera[Cuenta Contable])*(Producción_Ganadera[Financiero $Corrientes]))</f>
        <v>0</v>
      </c>
      <c r="J132" s="103">
        <f>SUMPRODUCT((J$1=Producción_Ganadera[Mes Financiero])*(J$2=Producción_Ganadera[Año Financiero])*($C$115=Producción_Ganadera[Movimiento])*($F132=Producción_Ganadera[Cuenta Contable])*(Producción_Ganadera[Financiero $Corrientes]))</f>
        <v>0</v>
      </c>
      <c r="K132" s="104">
        <f>SUMPRODUCT((K$1=Producción_Ganadera[Mes Financiero])*(K$2=Producción_Ganadera[Año Financiero])*($C$115=Producción_Ganadera[Movimiento])*($F132=Producción_Ganadera[Cuenta Contable])*(Producción_Ganadera[Financiero $Corrientes]))</f>
        <v>0</v>
      </c>
      <c r="L132" s="103">
        <f>SUMPRODUCT((L$1=Producción_Ganadera[Mes Financiero])*(L$2=Producción_Ganadera[Año Financiero])*($C$115=Producción_Ganadera[Movimiento])*($F132=Producción_Ganadera[Cuenta Contable])*(Producción_Ganadera[Financiero $Corrientes]))</f>
        <v>0</v>
      </c>
      <c r="M132" s="104">
        <f>SUMPRODUCT((M$1=Producción_Ganadera[Mes Financiero])*(M$2=Producción_Ganadera[Año Financiero])*($C$115=Producción_Ganadera[Movimiento])*($F132=Producción_Ganadera[Cuenta Contable])*(Producción_Ganadera[Financiero $Corrientes]))</f>
        <v>0</v>
      </c>
      <c r="N132" s="103">
        <f>SUMPRODUCT((N$1=Producción_Ganadera[Mes Financiero])*(N$2=Producción_Ganadera[Año Financiero])*($C$115=Producción_Ganadera[Movimiento])*($F132=Producción_Ganadera[Cuenta Contable])*(Producción_Ganadera[Financiero $Corrientes]))</f>
        <v>0</v>
      </c>
      <c r="O132" s="104">
        <f>SUMPRODUCT((O$1=Producción_Ganadera[Mes Financiero])*(O$2=Producción_Ganadera[Año Financiero])*($C$115=Producción_Ganadera[Movimiento])*($F132=Producción_Ganadera[Cuenta Contable])*(Producción_Ganadera[Financiero $Corrientes]))</f>
        <v>0</v>
      </c>
      <c r="P132" s="103">
        <f>SUMPRODUCT((P$1=Producción_Ganadera[Mes Financiero])*(P$2=Producción_Ganadera[Año Financiero])*($C$115=Producción_Ganadera[Movimiento])*($F132=Producción_Ganadera[Cuenta Contable])*(Producción_Ganadera[Financiero $Corrientes]))</f>
        <v>0</v>
      </c>
      <c r="Q132" s="104">
        <f>SUMPRODUCT((Q$1=Producción_Ganadera[Mes Financiero])*(Q$2=Producción_Ganadera[Año Financiero])*($C$115=Producción_Ganadera[Movimiento])*($F132=Producción_Ganadera[Cuenta Contable])*(Producción_Ganadera[Financiero $Corrientes]))</f>
        <v>0</v>
      </c>
      <c r="R132" s="103">
        <f>SUMPRODUCT((R$1=Producción_Ganadera[Mes Financiero])*(R$2=Producción_Ganadera[Año Financiero])*($C$115=Producción_Ganadera[Movimiento])*($F132=Producción_Ganadera[Cuenta Contable])*(Producción_Ganadera[Financiero $Corrientes]))</f>
        <v>0</v>
      </c>
      <c r="S132" s="104">
        <f>SUMPRODUCT((S$1=Producción_Ganadera[Mes Financiero])*(S$2=Producción_Ganadera[Año Financiero])*($C$115=Producción_Ganadera[Movimiento])*($F132=Producción_Ganadera[Cuenta Contable])*(Producción_Ganadera[Financiero $Corrientes]))</f>
        <v>0</v>
      </c>
      <c r="T132" s="103">
        <f>SUMPRODUCT((T$1=Producción_Ganadera[Mes Financiero])*(T$2=Producción_Ganadera[Año Financiero])*($C$115=Producción_Ganadera[Movimiento])*($F132=Producción_Ganadera[Cuenta Contable])*(Producción_Ganadera[Financiero $Corrientes]))</f>
        <v>0</v>
      </c>
      <c r="U132" s="104">
        <f>SUMPRODUCT((U$1=Producción_Ganadera[Mes Financiero])*(U$2=Producción_Ganadera[Año Financiero])*($C$115=Producción_Ganadera[Movimiento])*($F132=Producción_Ganadera[Cuenta Contable])*(Producción_Ganadera[Financiero $Corrientes]))</f>
        <v>0</v>
      </c>
      <c r="V132" s="103">
        <f>SUMPRODUCT((V$1=Producción_Ganadera[Mes Financiero])*(V$2=Producción_Ganadera[Año Financiero])*($C$115=Producción_Ganadera[Movimiento])*($F132=Producción_Ganadera[Cuenta Contable])*(Producción_Ganadera[Financiero $Corrientes]))</f>
        <v>0</v>
      </c>
      <c r="W132" s="104">
        <f>SUMPRODUCT((W$1=Producción_Ganadera[Mes Financiero])*(W$2=Producción_Ganadera[Año Financiero])*($C$115=Producción_Ganadera[Movimiento])*($F132=Producción_Ganadera[Cuenta Contable])*(Producción_Ganadera[Financiero $Corrientes]))</f>
        <v>0</v>
      </c>
      <c r="X132" s="103">
        <f>SUMPRODUCT((X$1=Producción_Ganadera[Mes Financiero])*(X$2=Producción_Ganadera[Año Financiero])*($C$115=Producción_Ganadera[Movimiento])*($F132=Producción_Ganadera[Cuenta Contable])*(Producción_Ganadera[Financiero $Corrientes]))</f>
        <v>0</v>
      </c>
      <c r="Y132" s="104">
        <f>SUMPRODUCT((Y$1=Producción_Ganadera[Mes Financiero])*(Y$2=Producción_Ganadera[Año Financiero])*($C$115=Producción_Ganadera[Movimiento])*($F132=Producción_Ganadera[Cuenta Contable])*(Producción_Ganadera[Financiero $Corrientes]))</f>
        <v>0</v>
      </c>
      <c r="Z132" s="144">
        <f t="shared" si="22"/>
        <v>0</v>
      </c>
      <c r="AC132" s="174">
        <f>SUMPRODUCT((F132=Produccion_Ganadera_Cuentas[Cuenta Contable])*(Produccion_Ganadera_Cuentas[IVA]))</f>
        <v>0.21</v>
      </c>
      <c r="AD132" s="174">
        <f>SUMPRODUCT((G132=Produccion_Ganadera_Cuentas[Cuenta Contable])*(Produccion_Ganadera_Cuentas[IVA]))</f>
        <v>0</v>
      </c>
    </row>
    <row r="133" spans="2:30" hidden="1" outlineLevel="1" x14ac:dyDescent="0.25">
      <c r="E133" s="221">
        <f>IFERROR(MATCH(F133,Produccion_Ganadera_Cuentas[Cuenta Contable],0),0)</f>
        <v>16</v>
      </c>
      <c r="F133" s="383" t="s">
        <v>121</v>
      </c>
      <c r="H133" s="103">
        <f>SUMPRODUCT((H$1=Producción_Ganadera[Mes Financiero])*(H$2=Producción_Ganadera[Año Financiero])*($C$115=Producción_Ganadera[Movimiento])*($F133=Producción_Ganadera[Cuenta Contable])*(Producción_Ganadera[Financiero $Corrientes]))</f>
        <v>0</v>
      </c>
      <c r="I133" s="104">
        <f>SUMPRODUCT((I$1=Producción_Ganadera[Mes Financiero])*(I$2=Producción_Ganadera[Año Financiero])*($C$115=Producción_Ganadera[Movimiento])*($F133=Producción_Ganadera[Cuenta Contable])*(Producción_Ganadera[Financiero $Corrientes]))</f>
        <v>0</v>
      </c>
      <c r="J133" s="103">
        <f>SUMPRODUCT((J$1=Producción_Ganadera[Mes Financiero])*(J$2=Producción_Ganadera[Año Financiero])*($C$115=Producción_Ganadera[Movimiento])*($F133=Producción_Ganadera[Cuenta Contable])*(Producción_Ganadera[Financiero $Corrientes]))</f>
        <v>0</v>
      </c>
      <c r="K133" s="104">
        <f>SUMPRODUCT((K$1=Producción_Ganadera[Mes Financiero])*(K$2=Producción_Ganadera[Año Financiero])*($C$115=Producción_Ganadera[Movimiento])*($F133=Producción_Ganadera[Cuenta Contable])*(Producción_Ganadera[Financiero $Corrientes]))</f>
        <v>0</v>
      </c>
      <c r="L133" s="103">
        <f>SUMPRODUCT((L$1=Producción_Ganadera[Mes Financiero])*(L$2=Producción_Ganadera[Año Financiero])*($C$115=Producción_Ganadera[Movimiento])*($F133=Producción_Ganadera[Cuenta Contable])*(Producción_Ganadera[Financiero $Corrientes]))</f>
        <v>0</v>
      </c>
      <c r="M133" s="104">
        <f>SUMPRODUCT((M$1=Producción_Ganadera[Mes Financiero])*(M$2=Producción_Ganadera[Año Financiero])*($C$115=Producción_Ganadera[Movimiento])*($F133=Producción_Ganadera[Cuenta Contable])*(Producción_Ganadera[Financiero $Corrientes]))</f>
        <v>0</v>
      </c>
      <c r="N133" s="103">
        <f>SUMPRODUCT((N$1=Producción_Ganadera[Mes Financiero])*(N$2=Producción_Ganadera[Año Financiero])*($C$115=Producción_Ganadera[Movimiento])*($F133=Producción_Ganadera[Cuenta Contable])*(Producción_Ganadera[Financiero $Corrientes]))</f>
        <v>0</v>
      </c>
      <c r="O133" s="104">
        <f>SUMPRODUCT((O$1=Producción_Ganadera[Mes Financiero])*(O$2=Producción_Ganadera[Año Financiero])*($C$115=Producción_Ganadera[Movimiento])*($F133=Producción_Ganadera[Cuenta Contable])*(Producción_Ganadera[Financiero $Corrientes]))</f>
        <v>0</v>
      </c>
      <c r="P133" s="103">
        <f>SUMPRODUCT((P$1=Producción_Ganadera[Mes Financiero])*(P$2=Producción_Ganadera[Año Financiero])*($C$115=Producción_Ganadera[Movimiento])*($F133=Producción_Ganadera[Cuenta Contable])*(Producción_Ganadera[Financiero $Corrientes]))</f>
        <v>0</v>
      </c>
      <c r="Q133" s="104">
        <f>SUMPRODUCT((Q$1=Producción_Ganadera[Mes Financiero])*(Q$2=Producción_Ganadera[Año Financiero])*($C$115=Producción_Ganadera[Movimiento])*($F133=Producción_Ganadera[Cuenta Contable])*(Producción_Ganadera[Financiero $Corrientes]))</f>
        <v>0</v>
      </c>
      <c r="R133" s="103">
        <f>SUMPRODUCT((R$1=Producción_Ganadera[Mes Financiero])*(R$2=Producción_Ganadera[Año Financiero])*($C$115=Producción_Ganadera[Movimiento])*($F133=Producción_Ganadera[Cuenta Contable])*(Producción_Ganadera[Financiero $Corrientes]))</f>
        <v>0</v>
      </c>
      <c r="S133" s="104">
        <f>SUMPRODUCT((S$1=Producción_Ganadera[Mes Financiero])*(S$2=Producción_Ganadera[Año Financiero])*($C$115=Producción_Ganadera[Movimiento])*($F133=Producción_Ganadera[Cuenta Contable])*(Producción_Ganadera[Financiero $Corrientes]))</f>
        <v>0</v>
      </c>
      <c r="T133" s="103">
        <f>SUMPRODUCT((T$1=Producción_Ganadera[Mes Financiero])*(T$2=Producción_Ganadera[Año Financiero])*($C$115=Producción_Ganadera[Movimiento])*($F133=Producción_Ganadera[Cuenta Contable])*(Producción_Ganadera[Financiero $Corrientes]))</f>
        <v>0</v>
      </c>
      <c r="U133" s="104">
        <f>SUMPRODUCT((U$1=Producción_Ganadera[Mes Financiero])*(U$2=Producción_Ganadera[Año Financiero])*($C$115=Producción_Ganadera[Movimiento])*($F133=Producción_Ganadera[Cuenta Contable])*(Producción_Ganadera[Financiero $Corrientes]))</f>
        <v>0</v>
      </c>
      <c r="V133" s="103">
        <f>SUMPRODUCT((V$1=Producción_Ganadera[Mes Financiero])*(V$2=Producción_Ganadera[Año Financiero])*($C$115=Producción_Ganadera[Movimiento])*($F133=Producción_Ganadera[Cuenta Contable])*(Producción_Ganadera[Financiero $Corrientes]))</f>
        <v>0</v>
      </c>
      <c r="W133" s="104">
        <f>SUMPRODUCT((W$1=Producción_Ganadera[Mes Financiero])*(W$2=Producción_Ganadera[Año Financiero])*($C$115=Producción_Ganadera[Movimiento])*($F133=Producción_Ganadera[Cuenta Contable])*(Producción_Ganadera[Financiero $Corrientes]))</f>
        <v>0</v>
      </c>
      <c r="X133" s="103">
        <f>SUMPRODUCT((X$1=Producción_Ganadera[Mes Financiero])*(X$2=Producción_Ganadera[Año Financiero])*($C$115=Producción_Ganadera[Movimiento])*($F133=Producción_Ganadera[Cuenta Contable])*(Producción_Ganadera[Financiero $Corrientes]))</f>
        <v>0</v>
      </c>
      <c r="Y133" s="104">
        <f>SUMPRODUCT((Y$1=Producción_Ganadera[Mes Financiero])*(Y$2=Producción_Ganadera[Año Financiero])*($C$115=Producción_Ganadera[Movimiento])*($F133=Producción_Ganadera[Cuenta Contable])*(Producción_Ganadera[Financiero $Corrientes]))</f>
        <v>0</v>
      </c>
      <c r="Z133" s="144">
        <f t="shared" si="22"/>
        <v>0</v>
      </c>
      <c r="AC133" s="174">
        <f>SUMPRODUCT((F133=Produccion_Ganadera_Cuentas[Cuenta Contable])*(Produccion_Ganadera_Cuentas[IVA]))</f>
        <v>0.21</v>
      </c>
      <c r="AD133" s="174">
        <f>SUMPRODUCT((G133=Produccion_Ganadera_Cuentas[Cuenta Contable])*(Produccion_Ganadera_Cuentas[IVA]))</f>
        <v>0</v>
      </c>
    </row>
    <row r="134" spans="2:30" hidden="1" outlineLevel="1" x14ac:dyDescent="0.25">
      <c r="E134" s="221">
        <f>IFERROR(MATCH(F134,Produccion_Ganadera_Cuentas[Cuenta Contable],0),0)</f>
        <v>18</v>
      </c>
      <c r="F134" s="383" t="s">
        <v>123</v>
      </c>
      <c r="H134" s="103">
        <f>SUMPRODUCT((H$1=Producción_Ganadera[Mes Financiero])*(H$2=Producción_Ganadera[Año Financiero])*($C$115=Producción_Ganadera[Movimiento])*($F134=Producción_Ganadera[Cuenta Contable])*(Producción_Ganadera[Financiero $Corrientes]))</f>
        <v>0</v>
      </c>
      <c r="I134" s="104">
        <f>SUMPRODUCT((I$1=Producción_Ganadera[Mes Financiero])*(I$2=Producción_Ganadera[Año Financiero])*($C$115=Producción_Ganadera[Movimiento])*($F134=Producción_Ganadera[Cuenta Contable])*(Producción_Ganadera[Financiero $Corrientes]))</f>
        <v>0</v>
      </c>
      <c r="J134" s="103">
        <f>SUMPRODUCT((J$1=Producción_Ganadera[Mes Financiero])*(J$2=Producción_Ganadera[Año Financiero])*($C$115=Producción_Ganadera[Movimiento])*($F134=Producción_Ganadera[Cuenta Contable])*(Producción_Ganadera[Financiero $Corrientes]))</f>
        <v>0</v>
      </c>
      <c r="K134" s="104">
        <f>SUMPRODUCT((K$1=Producción_Ganadera[Mes Financiero])*(K$2=Producción_Ganadera[Año Financiero])*($C$115=Producción_Ganadera[Movimiento])*($F134=Producción_Ganadera[Cuenta Contable])*(Producción_Ganadera[Financiero $Corrientes]))</f>
        <v>0</v>
      </c>
      <c r="L134" s="103">
        <f>SUMPRODUCT((L$1=Producción_Ganadera[Mes Financiero])*(L$2=Producción_Ganadera[Año Financiero])*($C$115=Producción_Ganadera[Movimiento])*($F134=Producción_Ganadera[Cuenta Contable])*(Producción_Ganadera[Financiero $Corrientes]))</f>
        <v>0</v>
      </c>
      <c r="M134" s="104">
        <f>SUMPRODUCT((M$1=Producción_Ganadera[Mes Financiero])*(M$2=Producción_Ganadera[Año Financiero])*($C$115=Producción_Ganadera[Movimiento])*($F134=Producción_Ganadera[Cuenta Contable])*(Producción_Ganadera[Financiero $Corrientes]))</f>
        <v>0</v>
      </c>
      <c r="N134" s="103">
        <f>SUMPRODUCT((N$1=Producción_Ganadera[Mes Financiero])*(N$2=Producción_Ganadera[Año Financiero])*($C$115=Producción_Ganadera[Movimiento])*($F134=Producción_Ganadera[Cuenta Contable])*(Producción_Ganadera[Financiero $Corrientes]))</f>
        <v>0</v>
      </c>
      <c r="O134" s="104">
        <f>SUMPRODUCT((O$1=Producción_Ganadera[Mes Financiero])*(O$2=Producción_Ganadera[Año Financiero])*($C$115=Producción_Ganadera[Movimiento])*($F134=Producción_Ganadera[Cuenta Contable])*(Producción_Ganadera[Financiero $Corrientes]))</f>
        <v>0</v>
      </c>
      <c r="P134" s="103">
        <f>SUMPRODUCT((P$1=Producción_Ganadera[Mes Financiero])*(P$2=Producción_Ganadera[Año Financiero])*($C$115=Producción_Ganadera[Movimiento])*($F134=Producción_Ganadera[Cuenta Contable])*(Producción_Ganadera[Financiero $Corrientes]))</f>
        <v>0</v>
      </c>
      <c r="Q134" s="104">
        <f>SUMPRODUCT((Q$1=Producción_Ganadera[Mes Financiero])*(Q$2=Producción_Ganadera[Año Financiero])*($C$115=Producción_Ganadera[Movimiento])*($F134=Producción_Ganadera[Cuenta Contable])*(Producción_Ganadera[Financiero $Corrientes]))</f>
        <v>0</v>
      </c>
      <c r="R134" s="103">
        <f>SUMPRODUCT((R$1=Producción_Ganadera[Mes Financiero])*(R$2=Producción_Ganadera[Año Financiero])*($C$115=Producción_Ganadera[Movimiento])*($F134=Producción_Ganadera[Cuenta Contable])*(Producción_Ganadera[Financiero $Corrientes]))</f>
        <v>0</v>
      </c>
      <c r="S134" s="104">
        <f>SUMPRODUCT((S$1=Producción_Ganadera[Mes Financiero])*(S$2=Producción_Ganadera[Año Financiero])*($C$115=Producción_Ganadera[Movimiento])*($F134=Producción_Ganadera[Cuenta Contable])*(Producción_Ganadera[Financiero $Corrientes]))</f>
        <v>0</v>
      </c>
      <c r="T134" s="103">
        <f>SUMPRODUCT((T$1=Producción_Ganadera[Mes Financiero])*(T$2=Producción_Ganadera[Año Financiero])*($C$115=Producción_Ganadera[Movimiento])*($F134=Producción_Ganadera[Cuenta Contable])*(Producción_Ganadera[Financiero $Corrientes]))</f>
        <v>0</v>
      </c>
      <c r="U134" s="104">
        <f>SUMPRODUCT((U$1=Producción_Ganadera[Mes Financiero])*(U$2=Producción_Ganadera[Año Financiero])*($C$115=Producción_Ganadera[Movimiento])*($F134=Producción_Ganadera[Cuenta Contable])*(Producción_Ganadera[Financiero $Corrientes]))</f>
        <v>0</v>
      </c>
      <c r="V134" s="103">
        <f>SUMPRODUCT((V$1=Producción_Ganadera[Mes Financiero])*(V$2=Producción_Ganadera[Año Financiero])*($C$115=Producción_Ganadera[Movimiento])*($F134=Producción_Ganadera[Cuenta Contable])*(Producción_Ganadera[Financiero $Corrientes]))</f>
        <v>0</v>
      </c>
      <c r="W134" s="104">
        <f>SUMPRODUCT((W$1=Producción_Ganadera[Mes Financiero])*(W$2=Producción_Ganadera[Año Financiero])*($C$115=Producción_Ganadera[Movimiento])*($F134=Producción_Ganadera[Cuenta Contable])*(Producción_Ganadera[Financiero $Corrientes]))</f>
        <v>0</v>
      </c>
      <c r="X134" s="103">
        <f>SUMPRODUCT((X$1=Producción_Ganadera[Mes Financiero])*(X$2=Producción_Ganadera[Año Financiero])*($C$115=Producción_Ganadera[Movimiento])*($F134=Producción_Ganadera[Cuenta Contable])*(Producción_Ganadera[Financiero $Corrientes]))</f>
        <v>0</v>
      </c>
      <c r="Y134" s="104">
        <f>SUMPRODUCT((Y$1=Producción_Ganadera[Mes Financiero])*(Y$2=Producción_Ganadera[Año Financiero])*($C$115=Producción_Ganadera[Movimiento])*($F134=Producción_Ganadera[Cuenta Contable])*(Producción_Ganadera[Financiero $Corrientes]))</f>
        <v>0</v>
      </c>
      <c r="Z134" s="144">
        <f t="shared" si="22"/>
        <v>0</v>
      </c>
      <c r="AC134" s="174">
        <f>SUMPRODUCT((F134=Produccion_Ganadera_Cuentas[Cuenta Contable])*(Produccion_Ganadera_Cuentas[IVA]))</f>
        <v>0.21</v>
      </c>
      <c r="AD134" s="174">
        <f>SUMPRODUCT((G134=Produccion_Ganadera_Cuentas[Cuenta Contable])*(Produccion_Ganadera_Cuentas[IVA]))</f>
        <v>0</v>
      </c>
    </row>
    <row r="135" spans="2:30" hidden="1" outlineLevel="1" x14ac:dyDescent="0.25">
      <c r="E135" s="221">
        <f>IFERROR(MATCH(F135,Produccion_Ganadera_Cuentas[Cuenta Contable],0),0)</f>
        <v>19</v>
      </c>
      <c r="F135" s="383" t="s">
        <v>124</v>
      </c>
      <c r="H135" s="103">
        <f>SUMPRODUCT((H$1=Producción_Ganadera[Mes Financiero])*(H$2=Producción_Ganadera[Año Financiero])*($C$115=Producción_Ganadera[Movimiento])*($F135=Producción_Ganadera[Cuenta Contable])*(Producción_Ganadera[Financiero $Corrientes]))</f>
        <v>0</v>
      </c>
      <c r="I135" s="104">
        <f>SUMPRODUCT((I$1=Producción_Ganadera[Mes Financiero])*(I$2=Producción_Ganadera[Año Financiero])*($C$115=Producción_Ganadera[Movimiento])*($F135=Producción_Ganadera[Cuenta Contable])*(Producción_Ganadera[Financiero $Corrientes]))</f>
        <v>0</v>
      </c>
      <c r="J135" s="103">
        <f>SUMPRODUCT((J$1=Producción_Ganadera[Mes Financiero])*(J$2=Producción_Ganadera[Año Financiero])*($C$115=Producción_Ganadera[Movimiento])*($F135=Producción_Ganadera[Cuenta Contable])*(Producción_Ganadera[Financiero $Corrientes]))</f>
        <v>0</v>
      </c>
      <c r="K135" s="104">
        <f>SUMPRODUCT((K$1=Producción_Ganadera[Mes Financiero])*(K$2=Producción_Ganadera[Año Financiero])*($C$115=Producción_Ganadera[Movimiento])*($F135=Producción_Ganadera[Cuenta Contable])*(Producción_Ganadera[Financiero $Corrientes]))</f>
        <v>0</v>
      </c>
      <c r="L135" s="103">
        <f>SUMPRODUCT((L$1=Producción_Ganadera[Mes Financiero])*(L$2=Producción_Ganadera[Año Financiero])*($C$115=Producción_Ganadera[Movimiento])*($F135=Producción_Ganadera[Cuenta Contable])*(Producción_Ganadera[Financiero $Corrientes]))</f>
        <v>0</v>
      </c>
      <c r="M135" s="104">
        <f>SUMPRODUCT((M$1=Producción_Ganadera[Mes Financiero])*(M$2=Producción_Ganadera[Año Financiero])*($C$115=Producción_Ganadera[Movimiento])*($F135=Producción_Ganadera[Cuenta Contable])*(Producción_Ganadera[Financiero $Corrientes]))</f>
        <v>0</v>
      </c>
      <c r="N135" s="103">
        <f>SUMPRODUCT((N$1=Producción_Ganadera[Mes Financiero])*(N$2=Producción_Ganadera[Año Financiero])*($C$115=Producción_Ganadera[Movimiento])*($F135=Producción_Ganadera[Cuenta Contable])*(Producción_Ganadera[Financiero $Corrientes]))</f>
        <v>0</v>
      </c>
      <c r="O135" s="104">
        <f>SUMPRODUCT((O$1=Producción_Ganadera[Mes Financiero])*(O$2=Producción_Ganadera[Año Financiero])*($C$115=Producción_Ganadera[Movimiento])*($F135=Producción_Ganadera[Cuenta Contable])*(Producción_Ganadera[Financiero $Corrientes]))</f>
        <v>0</v>
      </c>
      <c r="P135" s="103">
        <f>SUMPRODUCT((P$1=Producción_Ganadera[Mes Financiero])*(P$2=Producción_Ganadera[Año Financiero])*($C$115=Producción_Ganadera[Movimiento])*($F135=Producción_Ganadera[Cuenta Contable])*(Producción_Ganadera[Financiero $Corrientes]))</f>
        <v>0</v>
      </c>
      <c r="Q135" s="104">
        <f>SUMPRODUCT((Q$1=Producción_Ganadera[Mes Financiero])*(Q$2=Producción_Ganadera[Año Financiero])*($C$115=Producción_Ganadera[Movimiento])*($F135=Producción_Ganadera[Cuenta Contable])*(Producción_Ganadera[Financiero $Corrientes]))</f>
        <v>0</v>
      </c>
      <c r="R135" s="103">
        <f>SUMPRODUCT((R$1=Producción_Ganadera[Mes Financiero])*(R$2=Producción_Ganadera[Año Financiero])*($C$115=Producción_Ganadera[Movimiento])*($F135=Producción_Ganadera[Cuenta Contable])*(Producción_Ganadera[Financiero $Corrientes]))</f>
        <v>0</v>
      </c>
      <c r="S135" s="104">
        <f>SUMPRODUCT((S$1=Producción_Ganadera[Mes Financiero])*(S$2=Producción_Ganadera[Año Financiero])*($C$115=Producción_Ganadera[Movimiento])*($F135=Producción_Ganadera[Cuenta Contable])*(Producción_Ganadera[Financiero $Corrientes]))</f>
        <v>0</v>
      </c>
      <c r="T135" s="103">
        <f>SUMPRODUCT((T$1=Producción_Ganadera[Mes Financiero])*(T$2=Producción_Ganadera[Año Financiero])*($C$115=Producción_Ganadera[Movimiento])*($F135=Producción_Ganadera[Cuenta Contable])*(Producción_Ganadera[Financiero $Corrientes]))</f>
        <v>0</v>
      </c>
      <c r="U135" s="104">
        <f>SUMPRODUCT((U$1=Producción_Ganadera[Mes Financiero])*(U$2=Producción_Ganadera[Año Financiero])*($C$115=Producción_Ganadera[Movimiento])*($F135=Producción_Ganadera[Cuenta Contable])*(Producción_Ganadera[Financiero $Corrientes]))</f>
        <v>0</v>
      </c>
      <c r="V135" s="103">
        <f>SUMPRODUCT((V$1=Producción_Ganadera[Mes Financiero])*(V$2=Producción_Ganadera[Año Financiero])*($C$115=Producción_Ganadera[Movimiento])*($F135=Producción_Ganadera[Cuenta Contable])*(Producción_Ganadera[Financiero $Corrientes]))</f>
        <v>0</v>
      </c>
      <c r="W135" s="104">
        <f>SUMPRODUCT((W$1=Producción_Ganadera[Mes Financiero])*(W$2=Producción_Ganadera[Año Financiero])*($C$115=Producción_Ganadera[Movimiento])*($F135=Producción_Ganadera[Cuenta Contable])*(Producción_Ganadera[Financiero $Corrientes]))</f>
        <v>0</v>
      </c>
      <c r="X135" s="103">
        <f>SUMPRODUCT((X$1=Producción_Ganadera[Mes Financiero])*(X$2=Producción_Ganadera[Año Financiero])*($C$115=Producción_Ganadera[Movimiento])*($F135=Producción_Ganadera[Cuenta Contable])*(Producción_Ganadera[Financiero $Corrientes]))</f>
        <v>0</v>
      </c>
      <c r="Y135" s="104">
        <f>SUMPRODUCT((Y$1=Producción_Ganadera[Mes Financiero])*(Y$2=Producción_Ganadera[Año Financiero])*($C$115=Producción_Ganadera[Movimiento])*($F135=Producción_Ganadera[Cuenta Contable])*(Producción_Ganadera[Financiero $Corrientes]))</f>
        <v>0</v>
      </c>
      <c r="Z135" s="144">
        <f t="shared" si="22"/>
        <v>0</v>
      </c>
      <c r="AC135" s="174">
        <f>SUMPRODUCT((F135=Produccion_Ganadera_Cuentas[Cuenta Contable])*(Produccion_Ganadera_Cuentas[IVA]))</f>
        <v>0.21</v>
      </c>
      <c r="AD135" s="174">
        <f>SUMPRODUCT((G135=Produccion_Ganadera_Cuentas[Cuenta Contable])*(Produccion_Ganadera_Cuentas[IVA]))</f>
        <v>0</v>
      </c>
    </row>
    <row r="136" spans="2:30" hidden="1" outlineLevel="1" x14ac:dyDescent="0.25">
      <c r="E136" s="221">
        <f>IFERROR(MATCH(F136,Produccion_Ganadera_Cuentas[Cuenta Contable],0),0)</f>
        <v>22</v>
      </c>
      <c r="F136" s="383" t="s">
        <v>53</v>
      </c>
      <c r="H136" s="103">
        <f>SUMPRODUCT((H$1=Producción_Ganadera[Mes Financiero])*(H$2=Producción_Ganadera[Año Financiero])*($C$115=Producción_Ganadera[Movimiento])*($F136=Producción_Ganadera[Cuenta Contable])*(Producción_Ganadera[Financiero $Corrientes]))</f>
        <v>0</v>
      </c>
      <c r="I136" s="104">
        <f>SUMPRODUCT((I$1=Producción_Ganadera[Mes Financiero])*(I$2=Producción_Ganadera[Año Financiero])*($C$115=Producción_Ganadera[Movimiento])*($F136=Producción_Ganadera[Cuenta Contable])*(Producción_Ganadera[Financiero $Corrientes]))</f>
        <v>0</v>
      </c>
      <c r="J136" s="103">
        <f>SUMPRODUCT((J$1=Producción_Ganadera[Mes Financiero])*(J$2=Producción_Ganadera[Año Financiero])*($C$115=Producción_Ganadera[Movimiento])*($F136=Producción_Ganadera[Cuenta Contable])*(Producción_Ganadera[Financiero $Corrientes]))</f>
        <v>0</v>
      </c>
      <c r="K136" s="104">
        <f>SUMPRODUCT((K$1=Producción_Ganadera[Mes Financiero])*(K$2=Producción_Ganadera[Año Financiero])*($C$115=Producción_Ganadera[Movimiento])*($F136=Producción_Ganadera[Cuenta Contable])*(Producción_Ganadera[Financiero $Corrientes]))</f>
        <v>0</v>
      </c>
      <c r="L136" s="103">
        <f>SUMPRODUCT((L$1=Producción_Ganadera[Mes Financiero])*(L$2=Producción_Ganadera[Año Financiero])*($C$115=Producción_Ganadera[Movimiento])*($F136=Producción_Ganadera[Cuenta Contable])*(Producción_Ganadera[Financiero $Corrientes]))</f>
        <v>0</v>
      </c>
      <c r="M136" s="104">
        <f>SUMPRODUCT((M$1=Producción_Ganadera[Mes Financiero])*(M$2=Producción_Ganadera[Año Financiero])*($C$115=Producción_Ganadera[Movimiento])*($F136=Producción_Ganadera[Cuenta Contable])*(Producción_Ganadera[Financiero $Corrientes]))</f>
        <v>0</v>
      </c>
      <c r="N136" s="103">
        <f>SUMPRODUCT((N$1=Producción_Ganadera[Mes Financiero])*(N$2=Producción_Ganadera[Año Financiero])*($C$115=Producción_Ganadera[Movimiento])*($F136=Producción_Ganadera[Cuenta Contable])*(Producción_Ganadera[Financiero $Corrientes]))</f>
        <v>0</v>
      </c>
      <c r="O136" s="104">
        <f>SUMPRODUCT((O$1=Producción_Ganadera[Mes Financiero])*(O$2=Producción_Ganadera[Año Financiero])*($C$115=Producción_Ganadera[Movimiento])*($F136=Producción_Ganadera[Cuenta Contable])*(Producción_Ganadera[Financiero $Corrientes]))</f>
        <v>0</v>
      </c>
      <c r="P136" s="103">
        <f>SUMPRODUCT((P$1=Producción_Ganadera[Mes Financiero])*(P$2=Producción_Ganadera[Año Financiero])*($C$115=Producción_Ganadera[Movimiento])*($F136=Producción_Ganadera[Cuenta Contable])*(Producción_Ganadera[Financiero $Corrientes]))</f>
        <v>0</v>
      </c>
      <c r="Q136" s="104">
        <f>SUMPRODUCT((Q$1=Producción_Ganadera[Mes Financiero])*(Q$2=Producción_Ganadera[Año Financiero])*($C$115=Producción_Ganadera[Movimiento])*($F136=Producción_Ganadera[Cuenta Contable])*(Producción_Ganadera[Financiero $Corrientes]))</f>
        <v>0</v>
      </c>
      <c r="R136" s="103">
        <f>SUMPRODUCT((R$1=Producción_Ganadera[Mes Financiero])*(R$2=Producción_Ganadera[Año Financiero])*($C$115=Producción_Ganadera[Movimiento])*($F136=Producción_Ganadera[Cuenta Contable])*(Producción_Ganadera[Financiero $Corrientes]))</f>
        <v>0</v>
      </c>
      <c r="S136" s="104">
        <f>SUMPRODUCT((S$1=Producción_Ganadera[Mes Financiero])*(S$2=Producción_Ganadera[Año Financiero])*($C$115=Producción_Ganadera[Movimiento])*($F136=Producción_Ganadera[Cuenta Contable])*(Producción_Ganadera[Financiero $Corrientes]))</f>
        <v>0</v>
      </c>
      <c r="T136" s="103">
        <f>SUMPRODUCT((T$1=Producción_Ganadera[Mes Financiero])*(T$2=Producción_Ganadera[Año Financiero])*($C$115=Producción_Ganadera[Movimiento])*($F136=Producción_Ganadera[Cuenta Contable])*(Producción_Ganadera[Financiero $Corrientes]))</f>
        <v>0</v>
      </c>
      <c r="U136" s="104">
        <f>SUMPRODUCT((U$1=Producción_Ganadera[Mes Financiero])*(U$2=Producción_Ganadera[Año Financiero])*($C$115=Producción_Ganadera[Movimiento])*($F136=Producción_Ganadera[Cuenta Contable])*(Producción_Ganadera[Financiero $Corrientes]))</f>
        <v>0</v>
      </c>
      <c r="V136" s="103">
        <f>SUMPRODUCT((V$1=Producción_Ganadera[Mes Financiero])*(V$2=Producción_Ganadera[Año Financiero])*($C$115=Producción_Ganadera[Movimiento])*($F136=Producción_Ganadera[Cuenta Contable])*(Producción_Ganadera[Financiero $Corrientes]))</f>
        <v>0</v>
      </c>
      <c r="W136" s="104">
        <f>SUMPRODUCT((W$1=Producción_Ganadera[Mes Financiero])*(W$2=Producción_Ganadera[Año Financiero])*($C$115=Producción_Ganadera[Movimiento])*($F136=Producción_Ganadera[Cuenta Contable])*(Producción_Ganadera[Financiero $Corrientes]))</f>
        <v>0</v>
      </c>
      <c r="X136" s="103">
        <f>SUMPRODUCT((X$1=Producción_Ganadera[Mes Financiero])*(X$2=Producción_Ganadera[Año Financiero])*($C$115=Producción_Ganadera[Movimiento])*($F136=Producción_Ganadera[Cuenta Contable])*(Producción_Ganadera[Financiero $Corrientes]))</f>
        <v>0</v>
      </c>
      <c r="Y136" s="104">
        <f>SUMPRODUCT((Y$1=Producción_Ganadera[Mes Financiero])*(Y$2=Producción_Ganadera[Año Financiero])*($C$115=Producción_Ganadera[Movimiento])*($F136=Producción_Ganadera[Cuenta Contable])*(Producción_Ganadera[Financiero $Corrientes]))</f>
        <v>0</v>
      </c>
      <c r="Z136" s="144">
        <f t="shared" si="22"/>
        <v>0</v>
      </c>
      <c r="AC136" s="174">
        <f>SUMPRODUCT((F136=Produccion_Ganadera_Cuentas[Cuenta Contable])*(Produccion_Ganadera_Cuentas[IVA]))</f>
        <v>0.21</v>
      </c>
      <c r="AD136" s="174">
        <f>SUMPRODUCT((G136=Produccion_Ganadera_Cuentas[Cuenta Contable])*(Produccion_Ganadera_Cuentas[IVA]))</f>
        <v>0</v>
      </c>
    </row>
    <row r="137" spans="2:30" hidden="1" outlineLevel="1" x14ac:dyDescent="0.25">
      <c r="E137" s="221">
        <f>IFERROR(MATCH(F137,Produccion_Ganadera_Cuentas[Cuenta Contable],0),0)</f>
        <v>23</v>
      </c>
      <c r="F137" s="383" t="s">
        <v>56</v>
      </c>
      <c r="H137" s="103">
        <f>SUMPRODUCT((H$1=Producción_Ganadera[Mes Financiero])*(H$2=Producción_Ganadera[Año Financiero])*($C$115=Producción_Ganadera[Movimiento])*($F137=Producción_Ganadera[Cuenta Contable])*(Producción_Ganadera[Financiero $Corrientes]))</f>
        <v>0</v>
      </c>
      <c r="I137" s="104">
        <f>SUMPRODUCT((I$1=Producción_Ganadera[Mes Financiero])*(I$2=Producción_Ganadera[Año Financiero])*($C$115=Producción_Ganadera[Movimiento])*($F137=Producción_Ganadera[Cuenta Contable])*(Producción_Ganadera[Financiero $Corrientes]))</f>
        <v>0</v>
      </c>
      <c r="J137" s="103">
        <f>SUMPRODUCT((J$1=Producción_Ganadera[Mes Financiero])*(J$2=Producción_Ganadera[Año Financiero])*($C$115=Producción_Ganadera[Movimiento])*($F137=Producción_Ganadera[Cuenta Contable])*(Producción_Ganadera[Financiero $Corrientes]))</f>
        <v>0</v>
      </c>
      <c r="K137" s="104">
        <f>SUMPRODUCT((K$1=Producción_Ganadera[Mes Financiero])*(K$2=Producción_Ganadera[Año Financiero])*($C$115=Producción_Ganadera[Movimiento])*($F137=Producción_Ganadera[Cuenta Contable])*(Producción_Ganadera[Financiero $Corrientes]))</f>
        <v>0</v>
      </c>
      <c r="L137" s="103">
        <f>SUMPRODUCT((L$1=Producción_Ganadera[Mes Financiero])*(L$2=Producción_Ganadera[Año Financiero])*($C$115=Producción_Ganadera[Movimiento])*($F137=Producción_Ganadera[Cuenta Contable])*(Producción_Ganadera[Financiero $Corrientes]))</f>
        <v>0</v>
      </c>
      <c r="M137" s="104">
        <f>SUMPRODUCT((M$1=Producción_Ganadera[Mes Financiero])*(M$2=Producción_Ganadera[Año Financiero])*($C$115=Producción_Ganadera[Movimiento])*($F137=Producción_Ganadera[Cuenta Contable])*(Producción_Ganadera[Financiero $Corrientes]))</f>
        <v>0</v>
      </c>
      <c r="N137" s="103">
        <f>SUMPRODUCT((N$1=Producción_Ganadera[Mes Financiero])*(N$2=Producción_Ganadera[Año Financiero])*($C$115=Producción_Ganadera[Movimiento])*($F137=Producción_Ganadera[Cuenta Contable])*(Producción_Ganadera[Financiero $Corrientes]))</f>
        <v>0</v>
      </c>
      <c r="O137" s="104">
        <f>SUMPRODUCT((O$1=Producción_Ganadera[Mes Financiero])*(O$2=Producción_Ganadera[Año Financiero])*($C$115=Producción_Ganadera[Movimiento])*($F137=Producción_Ganadera[Cuenta Contable])*(Producción_Ganadera[Financiero $Corrientes]))</f>
        <v>0</v>
      </c>
      <c r="P137" s="103">
        <f>SUMPRODUCT((P$1=Producción_Ganadera[Mes Financiero])*(P$2=Producción_Ganadera[Año Financiero])*($C$115=Producción_Ganadera[Movimiento])*($F137=Producción_Ganadera[Cuenta Contable])*(Producción_Ganadera[Financiero $Corrientes]))</f>
        <v>0</v>
      </c>
      <c r="Q137" s="104">
        <f>SUMPRODUCT((Q$1=Producción_Ganadera[Mes Financiero])*(Q$2=Producción_Ganadera[Año Financiero])*($C$115=Producción_Ganadera[Movimiento])*($F137=Producción_Ganadera[Cuenta Contable])*(Producción_Ganadera[Financiero $Corrientes]))</f>
        <v>0</v>
      </c>
      <c r="R137" s="103">
        <f>SUMPRODUCT((R$1=Producción_Ganadera[Mes Financiero])*(R$2=Producción_Ganadera[Año Financiero])*($C$115=Producción_Ganadera[Movimiento])*($F137=Producción_Ganadera[Cuenta Contable])*(Producción_Ganadera[Financiero $Corrientes]))</f>
        <v>0</v>
      </c>
      <c r="S137" s="104">
        <f>SUMPRODUCT((S$1=Producción_Ganadera[Mes Financiero])*(S$2=Producción_Ganadera[Año Financiero])*($C$115=Producción_Ganadera[Movimiento])*($F137=Producción_Ganadera[Cuenta Contable])*(Producción_Ganadera[Financiero $Corrientes]))</f>
        <v>0</v>
      </c>
      <c r="T137" s="103">
        <f>SUMPRODUCT((T$1=Producción_Ganadera[Mes Financiero])*(T$2=Producción_Ganadera[Año Financiero])*($C$115=Producción_Ganadera[Movimiento])*($F137=Producción_Ganadera[Cuenta Contable])*(Producción_Ganadera[Financiero $Corrientes]))</f>
        <v>0</v>
      </c>
      <c r="U137" s="104">
        <f>SUMPRODUCT((U$1=Producción_Ganadera[Mes Financiero])*(U$2=Producción_Ganadera[Año Financiero])*($C$115=Producción_Ganadera[Movimiento])*($F137=Producción_Ganadera[Cuenta Contable])*(Producción_Ganadera[Financiero $Corrientes]))</f>
        <v>0</v>
      </c>
      <c r="V137" s="103">
        <f>SUMPRODUCT((V$1=Producción_Ganadera[Mes Financiero])*(V$2=Producción_Ganadera[Año Financiero])*($C$115=Producción_Ganadera[Movimiento])*($F137=Producción_Ganadera[Cuenta Contable])*(Producción_Ganadera[Financiero $Corrientes]))</f>
        <v>0</v>
      </c>
      <c r="W137" s="104">
        <f>SUMPRODUCT((W$1=Producción_Ganadera[Mes Financiero])*(W$2=Producción_Ganadera[Año Financiero])*($C$115=Producción_Ganadera[Movimiento])*($F137=Producción_Ganadera[Cuenta Contable])*(Producción_Ganadera[Financiero $Corrientes]))</f>
        <v>0</v>
      </c>
      <c r="X137" s="103">
        <f>SUMPRODUCT((X$1=Producción_Ganadera[Mes Financiero])*(X$2=Producción_Ganadera[Año Financiero])*($C$115=Producción_Ganadera[Movimiento])*($F137=Producción_Ganadera[Cuenta Contable])*(Producción_Ganadera[Financiero $Corrientes]))</f>
        <v>0</v>
      </c>
      <c r="Y137" s="104">
        <f>SUMPRODUCT((Y$1=Producción_Ganadera[Mes Financiero])*(Y$2=Producción_Ganadera[Año Financiero])*($C$115=Producción_Ganadera[Movimiento])*($F137=Producción_Ganadera[Cuenta Contable])*(Producción_Ganadera[Financiero $Corrientes]))</f>
        <v>0</v>
      </c>
      <c r="Z137" s="144">
        <f t="shared" ref="Z137:Z139" si="23">SUM(H137:Y137)</f>
        <v>0</v>
      </c>
      <c r="AC137" s="174"/>
      <c r="AD137" s="174"/>
    </row>
    <row r="138" spans="2:30" hidden="1" outlineLevel="1" x14ac:dyDescent="0.25">
      <c r="B138" s="166" t="s">
        <v>101</v>
      </c>
      <c r="E138" s="221">
        <f>IFERROR(MATCH(F138,Produccion_Ganadera_Cuentas[Cuenta Contable],0),0)</f>
        <v>0</v>
      </c>
      <c r="F138" s="384"/>
      <c r="H138" s="103">
        <f>SUMPRODUCT((H$1=Producción_Ganadera[Mes Financiero])*(H$2=Producción_Ganadera[Año Financiero])*($C$115=Producción_Ganadera[Movimiento])*($F138=Producción_Ganadera[Cuenta Contable])*(Producción_Ganadera[Financiero $Corrientes]))</f>
        <v>0</v>
      </c>
      <c r="I138" s="104">
        <f>SUMPRODUCT((I$1=Producción_Ganadera[Mes Financiero])*(I$2=Producción_Ganadera[Año Financiero])*($C$115=Producción_Ganadera[Movimiento])*($F138=Producción_Ganadera[Cuenta Contable])*(Producción_Ganadera[Financiero $Corrientes]))</f>
        <v>0</v>
      </c>
      <c r="J138" s="103">
        <f>SUMPRODUCT((J$1=Producción_Ganadera[Mes Financiero])*(J$2=Producción_Ganadera[Año Financiero])*($C$115=Producción_Ganadera[Movimiento])*($F138=Producción_Ganadera[Cuenta Contable])*(Producción_Ganadera[Financiero $Corrientes]))</f>
        <v>0</v>
      </c>
      <c r="K138" s="104">
        <f>SUMPRODUCT((K$1=Producción_Ganadera[Mes Financiero])*(K$2=Producción_Ganadera[Año Financiero])*($C$115=Producción_Ganadera[Movimiento])*($F138=Producción_Ganadera[Cuenta Contable])*(Producción_Ganadera[Financiero $Corrientes]))</f>
        <v>0</v>
      </c>
      <c r="L138" s="103">
        <f>SUMPRODUCT((L$1=Producción_Ganadera[Mes Financiero])*(L$2=Producción_Ganadera[Año Financiero])*($C$115=Producción_Ganadera[Movimiento])*($F138=Producción_Ganadera[Cuenta Contable])*(Producción_Ganadera[Financiero $Corrientes]))</f>
        <v>0</v>
      </c>
      <c r="M138" s="104">
        <f>SUMPRODUCT((M$1=Producción_Ganadera[Mes Financiero])*(M$2=Producción_Ganadera[Año Financiero])*($C$115=Producción_Ganadera[Movimiento])*($F138=Producción_Ganadera[Cuenta Contable])*(Producción_Ganadera[Financiero $Corrientes]))</f>
        <v>0</v>
      </c>
      <c r="N138" s="103">
        <f>SUMPRODUCT((N$1=Producción_Ganadera[Mes Financiero])*(N$2=Producción_Ganadera[Año Financiero])*($C$115=Producción_Ganadera[Movimiento])*($F138=Producción_Ganadera[Cuenta Contable])*(Producción_Ganadera[Financiero $Corrientes]))</f>
        <v>0</v>
      </c>
      <c r="O138" s="104">
        <f>SUMPRODUCT((O$1=Producción_Ganadera[Mes Financiero])*(O$2=Producción_Ganadera[Año Financiero])*($C$115=Producción_Ganadera[Movimiento])*($F138=Producción_Ganadera[Cuenta Contable])*(Producción_Ganadera[Financiero $Corrientes]))</f>
        <v>0</v>
      </c>
      <c r="P138" s="103">
        <f>SUMPRODUCT((P$1=Producción_Ganadera[Mes Financiero])*(P$2=Producción_Ganadera[Año Financiero])*($C$115=Producción_Ganadera[Movimiento])*($F138=Producción_Ganadera[Cuenta Contable])*(Producción_Ganadera[Financiero $Corrientes]))</f>
        <v>0</v>
      </c>
      <c r="Q138" s="104">
        <f>SUMPRODUCT((Q$1=Producción_Ganadera[Mes Financiero])*(Q$2=Producción_Ganadera[Año Financiero])*($C$115=Producción_Ganadera[Movimiento])*($F138=Producción_Ganadera[Cuenta Contable])*(Producción_Ganadera[Financiero $Corrientes]))</f>
        <v>0</v>
      </c>
      <c r="R138" s="103">
        <f>SUMPRODUCT((R$1=Producción_Ganadera[Mes Financiero])*(R$2=Producción_Ganadera[Año Financiero])*($C$115=Producción_Ganadera[Movimiento])*($F138=Producción_Ganadera[Cuenta Contable])*(Producción_Ganadera[Financiero $Corrientes]))</f>
        <v>0</v>
      </c>
      <c r="S138" s="104">
        <f>SUMPRODUCT((S$1=Producción_Ganadera[Mes Financiero])*(S$2=Producción_Ganadera[Año Financiero])*($C$115=Producción_Ganadera[Movimiento])*($F138=Producción_Ganadera[Cuenta Contable])*(Producción_Ganadera[Financiero $Corrientes]))</f>
        <v>0</v>
      </c>
      <c r="T138" s="103">
        <f>SUMPRODUCT((T$1=Producción_Ganadera[Mes Financiero])*(T$2=Producción_Ganadera[Año Financiero])*($C$115=Producción_Ganadera[Movimiento])*($F138=Producción_Ganadera[Cuenta Contable])*(Producción_Ganadera[Financiero $Corrientes]))</f>
        <v>0</v>
      </c>
      <c r="U138" s="104">
        <f>SUMPRODUCT((U$1=Producción_Ganadera[Mes Financiero])*(U$2=Producción_Ganadera[Año Financiero])*($C$115=Producción_Ganadera[Movimiento])*($F138=Producción_Ganadera[Cuenta Contable])*(Producción_Ganadera[Financiero $Corrientes]))</f>
        <v>0</v>
      </c>
      <c r="V138" s="103">
        <f>SUMPRODUCT((V$1=Producción_Ganadera[Mes Financiero])*(V$2=Producción_Ganadera[Año Financiero])*($C$115=Producción_Ganadera[Movimiento])*($F138=Producción_Ganadera[Cuenta Contable])*(Producción_Ganadera[Financiero $Corrientes]))</f>
        <v>0</v>
      </c>
      <c r="W138" s="104">
        <f>SUMPRODUCT((W$1=Producción_Ganadera[Mes Financiero])*(W$2=Producción_Ganadera[Año Financiero])*($C$115=Producción_Ganadera[Movimiento])*($F138=Producción_Ganadera[Cuenta Contable])*(Producción_Ganadera[Financiero $Corrientes]))</f>
        <v>0</v>
      </c>
      <c r="X138" s="103">
        <f>SUMPRODUCT((X$1=Producción_Ganadera[Mes Financiero])*(X$2=Producción_Ganadera[Año Financiero])*($C$115=Producción_Ganadera[Movimiento])*($F138=Producción_Ganadera[Cuenta Contable])*(Producción_Ganadera[Financiero $Corrientes]))</f>
        <v>0</v>
      </c>
      <c r="Y138" s="104">
        <f>SUMPRODUCT((Y$1=Producción_Ganadera[Mes Financiero])*(Y$2=Producción_Ganadera[Año Financiero])*($C$115=Producción_Ganadera[Movimiento])*($F138=Producción_Ganadera[Cuenta Contable])*(Producción_Ganadera[Financiero $Corrientes]))</f>
        <v>0</v>
      </c>
      <c r="Z138" s="144">
        <f t="shared" si="23"/>
        <v>0</v>
      </c>
      <c r="AC138" s="174"/>
      <c r="AD138" s="174"/>
    </row>
    <row r="139" spans="2:30" hidden="1" outlineLevel="1" x14ac:dyDescent="0.25">
      <c r="E139" s="222"/>
      <c r="F139" s="219" t="s">
        <v>234</v>
      </c>
      <c r="G139" s="94"/>
      <c r="H139" s="105">
        <f>SUMPRODUCT(($C$115=Producción_Ganadera[Movimiento])*(H$1=Producción_Ganadera[Mes Financiero])*(H$2=Producción_Ganadera[Año Financiero])*(Producción_Ganadera[Financiero $Corrientes]))-SUM(H129:H138,H116)</f>
        <v>0</v>
      </c>
      <c r="I139" s="106">
        <f>SUMPRODUCT(($C$115=Producción_Ganadera[Movimiento])*(I$1=Producción_Ganadera[Mes Financiero])*(I$2=Producción_Ganadera[Año Financiero])*(Producción_Ganadera[Financiero $Corrientes]))-SUM(I129:I138,I116)</f>
        <v>0</v>
      </c>
      <c r="J139" s="105">
        <f>SUMPRODUCT(($C$115=Producción_Ganadera[Movimiento])*(J$1=Producción_Ganadera[Mes Financiero])*(J$2=Producción_Ganadera[Año Financiero])*(Producción_Ganadera[Financiero $Corrientes]))-SUM(J129:J138,J116)</f>
        <v>0</v>
      </c>
      <c r="K139" s="106">
        <f>SUMPRODUCT(($C$115=Producción_Ganadera[Movimiento])*(K$1=Producción_Ganadera[Mes Financiero])*(K$2=Producción_Ganadera[Año Financiero])*(Producción_Ganadera[Financiero $Corrientes]))-SUM(K129:K138,K116)</f>
        <v>0</v>
      </c>
      <c r="L139" s="105">
        <f>SUMPRODUCT(($C$115=Producción_Ganadera[Movimiento])*(L$1=Producción_Ganadera[Mes Financiero])*(L$2=Producción_Ganadera[Año Financiero])*(Producción_Ganadera[Financiero $Corrientes]))-SUM(L129:L138,L116)</f>
        <v>0</v>
      </c>
      <c r="M139" s="106">
        <f>SUMPRODUCT(($C$115=Producción_Ganadera[Movimiento])*(M$1=Producción_Ganadera[Mes Financiero])*(M$2=Producción_Ganadera[Año Financiero])*(Producción_Ganadera[Financiero $Corrientes]))-SUM(M129:M138,M116)</f>
        <v>0</v>
      </c>
      <c r="N139" s="105">
        <f>SUMPRODUCT(($C$115=Producción_Ganadera[Movimiento])*(N$1=Producción_Ganadera[Mes Financiero])*(N$2=Producción_Ganadera[Año Financiero])*(Producción_Ganadera[Financiero $Corrientes]))-SUM(N129:N138,N116)</f>
        <v>0</v>
      </c>
      <c r="O139" s="106">
        <f>SUMPRODUCT(($C$115=Producción_Ganadera[Movimiento])*(O$1=Producción_Ganadera[Mes Financiero])*(O$2=Producción_Ganadera[Año Financiero])*(Producción_Ganadera[Financiero $Corrientes]))-SUM(O129:O138,O116)</f>
        <v>0</v>
      </c>
      <c r="P139" s="105">
        <f>SUMPRODUCT(($C$115=Producción_Ganadera[Movimiento])*(P$1=Producción_Ganadera[Mes Financiero])*(P$2=Producción_Ganadera[Año Financiero])*(Producción_Ganadera[Financiero $Corrientes]))-SUM(P129:P138,P116)</f>
        <v>0</v>
      </c>
      <c r="Q139" s="106">
        <f>SUMPRODUCT(($C$115=Producción_Ganadera[Movimiento])*(Q$1=Producción_Ganadera[Mes Financiero])*(Q$2=Producción_Ganadera[Año Financiero])*(Producción_Ganadera[Financiero $Corrientes]))-SUM(Q129:Q138,Q116)</f>
        <v>0</v>
      </c>
      <c r="R139" s="105">
        <f>SUMPRODUCT(($C$115=Producción_Ganadera[Movimiento])*(R$1=Producción_Ganadera[Mes Financiero])*(R$2=Producción_Ganadera[Año Financiero])*(Producción_Ganadera[Financiero $Corrientes]))-SUM(R129:R138,R116)</f>
        <v>0</v>
      </c>
      <c r="S139" s="106">
        <f>SUMPRODUCT(($C$115=Producción_Ganadera[Movimiento])*(S$1=Producción_Ganadera[Mes Financiero])*(S$2=Producción_Ganadera[Año Financiero])*(Producción_Ganadera[Financiero $Corrientes]))-SUM(S129:S138,S116)</f>
        <v>0</v>
      </c>
      <c r="T139" s="105">
        <f>SUMPRODUCT(($C$115=Producción_Ganadera[Movimiento])*(T$1=Producción_Ganadera[Mes Financiero])*(T$2=Producción_Ganadera[Año Financiero])*(Producción_Ganadera[Financiero $Corrientes]))-SUM(T129:T138,T116)</f>
        <v>0</v>
      </c>
      <c r="U139" s="106">
        <f>SUMPRODUCT(($C$115=Producción_Ganadera[Movimiento])*(U$1=Producción_Ganadera[Mes Financiero])*(U$2=Producción_Ganadera[Año Financiero])*(Producción_Ganadera[Financiero $Corrientes]))-SUM(U129:U138,U116)</f>
        <v>0</v>
      </c>
      <c r="V139" s="105">
        <f>SUMPRODUCT(($C$115=Producción_Ganadera[Movimiento])*(V$1=Producción_Ganadera[Mes Financiero])*(V$2=Producción_Ganadera[Año Financiero])*(Producción_Ganadera[Financiero $Corrientes]))-SUM(V129:V138,V116)</f>
        <v>0</v>
      </c>
      <c r="W139" s="106">
        <f>SUMPRODUCT(($C$115=Producción_Ganadera[Movimiento])*(W$1=Producción_Ganadera[Mes Financiero])*(W$2=Producción_Ganadera[Año Financiero])*(Producción_Ganadera[Financiero $Corrientes]))-SUM(W129:W138,W116)</f>
        <v>0</v>
      </c>
      <c r="X139" s="105">
        <f>SUMPRODUCT(($C$115=Producción_Ganadera[Movimiento])*(X$1=Producción_Ganadera[Mes Financiero])*(X$2=Producción_Ganadera[Año Financiero])*(Producción_Ganadera[Financiero $Corrientes]))-SUM(X129:X138,X116)</f>
        <v>0</v>
      </c>
      <c r="Y139" s="106">
        <f>SUMPRODUCT(($C$115=Producción_Ganadera[Movimiento])*(Y$1=Producción_Ganadera[Mes Financiero])*(Y$2=Producción_Ganadera[Año Financiero])*(Producción_Ganadera[Financiero $Corrientes]))-SUM(Y129:Y138,Y116)</f>
        <v>0</v>
      </c>
      <c r="Z139" s="163">
        <f t="shared" si="23"/>
        <v>0</v>
      </c>
      <c r="AC139" s="174">
        <f>SUMPRODUCT((F139=Produccion_Ganadera_Cuentas[Cuenta Contable])*(Produccion_Ganadera_Cuentas[IVA]))</f>
        <v>0</v>
      </c>
      <c r="AD139" s="174">
        <f>SUMPRODUCT((G139=Produccion_Ganadera_Cuentas[Cuenta Contable])*(Produccion_Ganadera_Cuentas[IVA]))</f>
        <v>0</v>
      </c>
    </row>
    <row r="140" spans="2:30" collapsed="1" x14ac:dyDescent="0.25">
      <c r="C140" s="210" t="s">
        <v>38</v>
      </c>
      <c r="D140" s="381" t="s">
        <v>164</v>
      </c>
      <c r="F140" s="135" t="s">
        <v>185</v>
      </c>
      <c r="G140" s="19"/>
      <c r="H140" s="112">
        <f>SUMPRODUCT(($C$140=Producción_Lecheria[Movimiento])*(H$1=Producción_Lecheria[Mes Financiero])*(H$2=Producción_Lecheria[Año Financiero])*(Producción_Lecheria[Financiero $Corrientes]))</f>
        <v>0</v>
      </c>
      <c r="I140" s="113">
        <f>SUMPRODUCT(($C$140=Producción_Lecheria[Movimiento])*(I$1=Producción_Lecheria[Mes Financiero])*(I$2=Producción_Lecheria[Año Financiero])*(Producción_Lecheria[Financiero $Corrientes]))</f>
        <v>0</v>
      </c>
      <c r="J140" s="112">
        <f>SUMPRODUCT(($C$140=Producción_Lecheria[Movimiento])*(J$1=Producción_Lecheria[Mes Financiero])*(J$2=Producción_Lecheria[Año Financiero])*(Producción_Lecheria[Financiero $Corrientes]))</f>
        <v>0</v>
      </c>
      <c r="K140" s="113">
        <f>SUMPRODUCT(($C$140=Producción_Lecheria[Movimiento])*(K$1=Producción_Lecheria[Mes Financiero])*(K$2=Producción_Lecheria[Año Financiero])*(Producción_Lecheria[Financiero $Corrientes]))</f>
        <v>0</v>
      </c>
      <c r="L140" s="112">
        <f>SUMPRODUCT(($C$140=Producción_Lecheria[Movimiento])*(L$1=Producción_Lecheria[Mes Financiero])*(L$2=Producción_Lecheria[Año Financiero])*(Producción_Lecheria[Financiero $Corrientes]))</f>
        <v>0</v>
      </c>
      <c r="M140" s="113">
        <f>SUMPRODUCT(($C$140=Producción_Lecheria[Movimiento])*(M$1=Producción_Lecheria[Mes Financiero])*(M$2=Producción_Lecheria[Año Financiero])*(Producción_Lecheria[Financiero $Corrientes]))</f>
        <v>0</v>
      </c>
      <c r="N140" s="112">
        <f>SUMPRODUCT(($C$140=Producción_Lecheria[Movimiento])*(N$1=Producción_Lecheria[Mes Financiero])*(N$2=Producción_Lecheria[Año Financiero])*(Producción_Lecheria[Financiero $Corrientes]))</f>
        <v>0</v>
      </c>
      <c r="O140" s="113">
        <f>SUMPRODUCT(($C$140=Producción_Lecheria[Movimiento])*(O$1=Producción_Lecheria[Mes Financiero])*(O$2=Producción_Lecheria[Año Financiero])*(Producción_Lecheria[Financiero $Corrientes]))</f>
        <v>0</v>
      </c>
      <c r="P140" s="112">
        <f>SUMPRODUCT(($C$140=Producción_Lecheria[Movimiento])*(P$1=Producción_Lecheria[Mes Financiero])*(P$2=Producción_Lecheria[Año Financiero])*(Producción_Lecheria[Financiero $Corrientes]))</f>
        <v>0</v>
      </c>
      <c r="Q140" s="113">
        <f>SUMPRODUCT(($C$140=Producción_Lecheria[Movimiento])*(Q$1=Producción_Lecheria[Mes Financiero])*(Q$2=Producción_Lecheria[Año Financiero])*(Producción_Lecheria[Financiero $Corrientes]))</f>
        <v>0</v>
      </c>
      <c r="R140" s="112">
        <f>SUMPRODUCT(($C$140=Producción_Lecheria[Movimiento])*(R$1=Producción_Lecheria[Mes Financiero])*(R$2=Producción_Lecheria[Año Financiero])*(Producción_Lecheria[Financiero $Corrientes]))</f>
        <v>0</v>
      </c>
      <c r="S140" s="113">
        <f>SUMPRODUCT(($C$140=Producción_Lecheria[Movimiento])*(S$1=Producción_Lecheria[Mes Financiero])*(S$2=Producción_Lecheria[Año Financiero])*(Producción_Lecheria[Financiero $Corrientes]))</f>
        <v>0</v>
      </c>
      <c r="T140" s="112">
        <f>SUMPRODUCT(($C$140=Producción_Lecheria[Movimiento])*(T$1=Producción_Lecheria[Mes Financiero])*(T$2=Producción_Lecheria[Año Financiero])*(Producción_Lecheria[Financiero $Corrientes]))</f>
        <v>0</v>
      </c>
      <c r="U140" s="113">
        <f>SUMPRODUCT(($C$140=Producción_Lecheria[Movimiento])*(U$1=Producción_Lecheria[Mes Financiero])*(U$2=Producción_Lecheria[Año Financiero])*(Producción_Lecheria[Financiero $Corrientes]))</f>
        <v>0</v>
      </c>
      <c r="V140" s="112">
        <f>SUMPRODUCT(($C$140=Producción_Lecheria[Movimiento])*(V$1=Producción_Lecheria[Mes Financiero])*(V$2=Producción_Lecheria[Año Financiero])*(Producción_Lecheria[Financiero $Corrientes]))</f>
        <v>0</v>
      </c>
      <c r="W140" s="113">
        <f>SUMPRODUCT(($C$140=Producción_Lecheria[Movimiento])*(W$1=Producción_Lecheria[Mes Financiero])*(W$2=Producción_Lecheria[Año Financiero])*(Producción_Lecheria[Financiero $Corrientes]))</f>
        <v>0</v>
      </c>
      <c r="X140" s="112">
        <f>SUMPRODUCT(($C$140=Producción_Lecheria[Movimiento])*(X$1=Producción_Lecheria[Mes Financiero])*(X$2=Producción_Lecheria[Año Financiero])*(Producción_Lecheria[Financiero $Corrientes]))</f>
        <v>0</v>
      </c>
      <c r="Y140" s="113">
        <f>SUMPRODUCT(($C$140=Producción_Lecheria[Movimiento])*(Y$1=Producción_Lecheria[Mes Financiero])*(Y$2=Producción_Lecheria[Año Financiero])*(Producción_Lecheria[Financiero $Corrientes]))</f>
        <v>0</v>
      </c>
      <c r="Z140" s="147">
        <f t="shared" si="22"/>
        <v>0</v>
      </c>
    </row>
    <row r="141" spans="2:30" hidden="1" outlineLevel="1" x14ac:dyDescent="0.25">
      <c r="E141" s="223">
        <f>MATCH(F141,Produccion_Lecheria_Cuentas[Cuenta Contable],0)</f>
        <v>7</v>
      </c>
      <c r="F141" s="116" t="s">
        <v>170</v>
      </c>
      <c r="H141" s="103">
        <f>SUMPRODUCT(($C$140=Producción_Lecheria[Movimiento])*($F141=Producción_Lecheria[Cuenta Contable])*(H$1=Producción_Lecheria[Mes Financiero])*(H$2=Producción_Lecheria[Año Financiero])*(Producción_Lecheria[Financiero $Corrientes]))</f>
        <v>0</v>
      </c>
      <c r="I141" s="104">
        <f>SUMPRODUCT(($C$140=Producción_Lecheria[Movimiento])*($F141=Producción_Lecheria[Cuenta Contable])*(I$1=Producción_Lecheria[Mes Financiero])*(I$2=Producción_Lecheria[Año Financiero])*(Producción_Lecheria[Financiero $Corrientes]))</f>
        <v>0</v>
      </c>
      <c r="J141" s="103">
        <f>SUMPRODUCT(($C$140=Producción_Lecheria[Movimiento])*($F141=Producción_Lecheria[Cuenta Contable])*(J$1=Producción_Lecheria[Mes Financiero])*(J$2=Producción_Lecheria[Año Financiero])*(Producción_Lecheria[Financiero $Corrientes]))</f>
        <v>0</v>
      </c>
      <c r="K141" s="104">
        <f>SUMPRODUCT(($C$140=Producción_Lecheria[Movimiento])*($F141=Producción_Lecheria[Cuenta Contable])*(K$1=Producción_Lecheria[Mes Financiero])*(K$2=Producción_Lecheria[Año Financiero])*(Producción_Lecheria[Financiero $Corrientes]))</f>
        <v>0</v>
      </c>
      <c r="L141" s="103">
        <f>SUMPRODUCT(($C$140=Producción_Lecheria[Movimiento])*($F141=Producción_Lecheria[Cuenta Contable])*(L$1=Producción_Lecheria[Mes Financiero])*(L$2=Producción_Lecheria[Año Financiero])*(Producción_Lecheria[Financiero $Corrientes]))</f>
        <v>0</v>
      </c>
      <c r="M141" s="104">
        <f>SUMPRODUCT(($C$140=Producción_Lecheria[Movimiento])*($F141=Producción_Lecheria[Cuenta Contable])*(M$1=Producción_Lecheria[Mes Financiero])*(M$2=Producción_Lecheria[Año Financiero])*(Producción_Lecheria[Financiero $Corrientes]))</f>
        <v>0</v>
      </c>
      <c r="N141" s="103">
        <f>SUMPRODUCT(($C$140=Producción_Lecheria[Movimiento])*($F141=Producción_Lecheria[Cuenta Contable])*(N$1=Producción_Lecheria[Mes Financiero])*(N$2=Producción_Lecheria[Año Financiero])*(Producción_Lecheria[Financiero $Corrientes]))</f>
        <v>0</v>
      </c>
      <c r="O141" s="104">
        <f>SUMPRODUCT(($C$140=Producción_Lecheria[Movimiento])*($F141=Producción_Lecheria[Cuenta Contable])*(O$1=Producción_Lecheria[Mes Financiero])*(O$2=Producción_Lecheria[Año Financiero])*(Producción_Lecheria[Financiero $Corrientes]))</f>
        <v>0</v>
      </c>
      <c r="P141" s="103">
        <f>SUMPRODUCT(($C$140=Producción_Lecheria[Movimiento])*($F141=Producción_Lecheria[Cuenta Contable])*(P$1=Producción_Lecheria[Mes Financiero])*(P$2=Producción_Lecheria[Año Financiero])*(Producción_Lecheria[Financiero $Corrientes]))</f>
        <v>0</v>
      </c>
      <c r="Q141" s="104">
        <f>SUMPRODUCT(($C$140=Producción_Lecheria[Movimiento])*($F141=Producción_Lecheria[Cuenta Contable])*(Q$1=Producción_Lecheria[Mes Financiero])*(Q$2=Producción_Lecheria[Año Financiero])*(Producción_Lecheria[Financiero $Corrientes]))</f>
        <v>0</v>
      </c>
      <c r="R141" s="103">
        <f>SUMPRODUCT(($C$140=Producción_Lecheria[Movimiento])*($F141=Producción_Lecheria[Cuenta Contable])*(R$1=Producción_Lecheria[Mes Financiero])*(R$2=Producción_Lecheria[Año Financiero])*(Producción_Lecheria[Financiero $Corrientes]))</f>
        <v>0</v>
      </c>
      <c r="S141" s="104">
        <f>SUMPRODUCT(($C$140=Producción_Lecheria[Movimiento])*($F141=Producción_Lecheria[Cuenta Contable])*(S$1=Producción_Lecheria[Mes Financiero])*(S$2=Producción_Lecheria[Año Financiero])*(Producción_Lecheria[Financiero $Corrientes]))</f>
        <v>0</v>
      </c>
      <c r="T141" s="103">
        <f>SUMPRODUCT(($C$140=Producción_Lecheria[Movimiento])*($F141=Producción_Lecheria[Cuenta Contable])*(T$1=Producción_Lecheria[Mes Financiero])*(T$2=Producción_Lecheria[Año Financiero])*(Producción_Lecheria[Financiero $Corrientes]))</f>
        <v>0</v>
      </c>
      <c r="U141" s="104">
        <f>SUMPRODUCT(($C$140=Producción_Lecheria[Movimiento])*($F141=Producción_Lecheria[Cuenta Contable])*(U$1=Producción_Lecheria[Mes Financiero])*(U$2=Producción_Lecheria[Año Financiero])*(Producción_Lecheria[Financiero $Corrientes]))</f>
        <v>0</v>
      </c>
      <c r="V141" s="103">
        <f>SUMPRODUCT(($C$140=Producción_Lecheria[Movimiento])*($F141=Producción_Lecheria[Cuenta Contable])*(V$1=Producción_Lecheria[Mes Financiero])*(V$2=Producción_Lecheria[Año Financiero])*(Producción_Lecheria[Financiero $Corrientes]))</f>
        <v>0</v>
      </c>
      <c r="W141" s="104">
        <f>SUMPRODUCT(($C$140=Producción_Lecheria[Movimiento])*($F141=Producción_Lecheria[Cuenta Contable])*(W$1=Producción_Lecheria[Mes Financiero])*(W$2=Producción_Lecheria[Año Financiero])*(Producción_Lecheria[Financiero $Corrientes]))</f>
        <v>0</v>
      </c>
      <c r="X141" s="103">
        <f>SUMPRODUCT(($C$140=Producción_Lecheria[Movimiento])*($F141=Producción_Lecheria[Cuenta Contable])*(X$1=Producción_Lecheria[Mes Financiero])*(X$2=Producción_Lecheria[Año Financiero])*(Producción_Lecheria[Financiero $Corrientes]))</f>
        <v>0</v>
      </c>
      <c r="Y141" s="104">
        <f>SUMPRODUCT(($C$140=Producción_Lecheria[Movimiento])*($F141=Producción_Lecheria[Cuenta Contable])*(Y$1=Producción_Lecheria[Mes Financiero])*(Y$2=Producción_Lecheria[Año Financiero])*(Producción_Lecheria[Financiero $Corrientes]))</f>
        <v>0</v>
      </c>
      <c r="Z141" s="139">
        <f t="shared" si="22"/>
        <v>0</v>
      </c>
    </row>
    <row r="142" spans="2:30" hidden="1" outlineLevel="2" x14ac:dyDescent="0.25">
      <c r="F142" s="220">
        <f>MATCH(G142,Produccion_Lecheria[Categoría],0)</f>
        <v>1</v>
      </c>
      <c r="G142" s="122" t="str">
        <f>Configuración!BM5</f>
        <v>Vaca Ordeñe</v>
      </c>
      <c r="H142" s="117">
        <f>SUMPRODUCT(($C$140=Producción_Lecheria[Movimiento])*($G142=Producción_Lecheria[Categoría Hacienda])*(H$1=Producción_Lecheria[Mes Financiero])*(H$2=Producción_Lecheria[Año Financiero])*(Producción_Lecheria[Financiero $Corrientes]))</f>
        <v>0</v>
      </c>
      <c r="I142" s="118">
        <f>SUMPRODUCT(($C$140=Producción_Lecheria[Movimiento])*($G142=Producción_Lecheria[Categoría Hacienda])*(I$1=Producción_Lecheria[Mes Financiero])*(I$2=Producción_Lecheria[Año Financiero])*(Producción_Lecheria[Financiero $Corrientes]))</f>
        <v>0</v>
      </c>
      <c r="J142" s="117">
        <f>SUMPRODUCT(($C$140=Producción_Lecheria[Movimiento])*($G142=Producción_Lecheria[Categoría Hacienda])*(J$1=Producción_Lecheria[Mes Financiero])*(J$2=Producción_Lecheria[Año Financiero])*(Producción_Lecheria[Financiero $Corrientes]))</f>
        <v>0</v>
      </c>
      <c r="K142" s="118">
        <f>SUMPRODUCT(($C$140=Producción_Lecheria[Movimiento])*($G142=Producción_Lecheria[Categoría Hacienda])*(K$1=Producción_Lecheria[Mes Financiero])*(K$2=Producción_Lecheria[Año Financiero])*(Producción_Lecheria[Financiero $Corrientes]))</f>
        <v>0</v>
      </c>
      <c r="L142" s="117">
        <f>SUMPRODUCT(($C$140=Producción_Lecheria[Movimiento])*($G142=Producción_Lecheria[Categoría Hacienda])*(L$1=Producción_Lecheria[Mes Financiero])*(L$2=Producción_Lecheria[Año Financiero])*(Producción_Lecheria[Financiero $Corrientes]))</f>
        <v>0</v>
      </c>
      <c r="M142" s="118">
        <f>SUMPRODUCT(($C$140=Producción_Lecheria[Movimiento])*($G142=Producción_Lecheria[Categoría Hacienda])*(M$1=Producción_Lecheria[Mes Financiero])*(M$2=Producción_Lecheria[Año Financiero])*(Producción_Lecheria[Financiero $Corrientes]))</f>
        <v>0</v>
      </c>
      <c r="N142" s="117">
        <f>SUMPRODUCT(($C$140=Producción_Lecheria[Movimiento])*($G142=Producción_Lecheria[Categoría Hacienda])*(N$1=Producción_Lecheria[Mes Financiero])*(N$2=Producción_Lecheria[Año Financiero])*(Producción_Lecheria[Financiero $Corrientes]))</f>
        <v>0</v>
      </c>
      <c r="O142" s="118">
        <f>SUMPRODUCT(($C$140=Producción_Lecheria[Movimiento])*($G142=Producción_Lecheria[Categoría Hacienda])*(O$1=Producción_Lecheria[Mes Financiero])*(O$2=Producción_Lecheria[Año Financiero])*(Producción_Lecheria[Financiero $Corrientes]))</f>
        <v>0</v>
      </c>
      <c r="P142" s="117">
        <f>SUMPRODUCT(($C$140=Producción_Lecheria[Movimiento])*($G142=Producción_Lecheria[Categoría Hacienda])*(P$1=Producción_Lecheria[Mes Financiero])*(P$2=Producción_Lecheria[Año Financiero])*(Producción_Lecheria[Financiero $Corrientes]))</f>
        <v>0</v>
      </c>
      <c r="Q142" s="118">
        <f>SUMPRODUCT(($C$140=Producción_Lecheria[Movimiento])*($G142=Producción_Lecheria[Categoría Hacienda])*(Q$1=Producción_Lecheria[Mes Financiero])*(Q$2=Producción_Lecheria[Año Financiero])*(Producción_Lecheria[Financiero $Corrientes]))</f>
        <v>0</v>
      </c>
      <c r="R142" s="117">
        <f>SUMPRODUCT(($C$140=Producción_Lecheria[Movimiento])*($G142=Producción_Lecheria[Categoría Hacienda])*(R$1=Producción_Lecheria[Mes Financiero])*(R$2=Producción_Lecheria[Año Financiero])*(Producción_Lecheria[Financiero $Corrientes]))</f>
        <v>0</v>
      </c>
      <c r="S142" s="118">
        <f>SUMPRODUCT(($C$140=Producción_Lecheria[Movimiento])*($G142=Producción_Lecheria[Categoría Hacienda])*(S$1=Producción_Lecheria[Mes Financiero])*(S$2=Producción_Lecheria[Año Financiero])*(Producción_Lecheria[Financiero $Corrientes]))</f>
        <v>0</v>
      </c>
      <c r="T142" s="117">
        <f>SUMPRODUCT(($C$140=Producción_Lecheria[Movimiento])*($G142=Producción_Lecheria[Categoría Hacienda])*(T$1=Producción_Lecheria[Mes Financiero])*(T$2=Producción_Lecheria[Año Financiero])*(Producción_Lecheria[Financiero $Corrientes]))</f>
        <v>0</v>
      </c>
      <c r="U142" s="118">
        <f>SUMPRODUCT(($C$140=Producción_Lecheria[Movimiento])*($G142=Producción_Lecheria[Categoría Hacienda])*(U$1=Producción_Lecheria[Mes Financiero])*(U$2=Producción_Lecheria[Año Financiero])*(Producción_Lecheria[Financiero $Corrientes]))</f>
        <v>0</v>
      </c>
      <c r="V142" s="117">
        <f>SUMPRODUCT(($C$140=Producción_Lecheria[Movimiento])*($G142=Producción_Lecheria[Categoría Hacienda])*(V$1=Producción_Lecheria[Mes Financiero])*(V$2=Producción_Lecheria[Año Financiero])*(Producción_Lecheria[Financiero $Corrientes]))</f>
        <v>0</v>
      </c>
      <c r="W142" s="118">
        <f>SUMPRODUCT(($C$140=Producción_Lecheria[Movimiento])*($G142=Producción_Lecheria[Categoría Hacienda])*(W$1=Producción_Lecheria[Mes Financiero])*(W$2=Producción_Lecheria[Año Financiero])*(Producción_Lecheria[Financiero $Corrientes]))</f>
        <v>0</v>
      </c>
      <c r="X142" s="117">
        <f>SUMPRODUCT(($C$140=Producción_Lecheria[Movimiento])*($G142=Producción_Lecheria[Categoría Hacienda])*(X$1=Producción_Lecheria[Mes Financiero])*(X$2=Producción_Lecheria[Año Financiero])*(Producción_Lecheria[Financiero $Corrientes]))</f>
        <v>0</v>
      </c>
      <c r="Y142" s="118">
        <f>SUMPRODUCT(($C$140=Producción_Lecheria[Movimiento])*($G142=Producción_Lecheria[Categoría Hacienda])*(Y$1=Producción_Lecheria[Mes Financiero])*(Y$2=Producción_Lecheria[Año Financiero])*(Producción_Lecheria[Financiero $Corrientes]))</f>
        <v>0</v>
      </c>
      <c r="Z142" s="148">
        <f t="shared" si="22"/>
        <v>0</v>
      </c>
    </row>
    <row r="143" spans="2:30" hidden="1" outlineLevel="2" x14ac:dyDescent="0.25">
      <c r="F143" s="220">
        <f>MATCH(G143,Produccion_Lecheria[Categoría],0)</f>
        <v>2</v>
      </c>
      <c r="G143" s="122" t="str">
        <f>Configuración!BM6</f>
        <v>Vaca Seca</v>
      </c>
      <c r="H143" s="117">
        <f>SUMPRODUCT(($C$140=Producción_Lecheria[Movimiento])*($G143=Producción_Lecheria[Categoría Hacienda])*(H$1=Producción_Lecheria[Mes Financiero])*(H$2=Producción_Lecheria[Año Financiero])*(Producción_Lecheria[Financiero $Corrientes]))</f>
        <v>0</v>
      </c>
      <c r="I143" s="118">
        <f>SUMPRODUCT(($C$140=Producción_Lecheria[Movimiento])*($G143=Producción_Lecheria[Categoría Hacienda])*(I$1=Producción_Lecheria[Mes Financiero])*(I$2=Producción_Lecheria[Año Financiero])*(Producción_Lecheria[Financiero $Corrientes]))</f>
        <v>0</v>
      </c>
      <c r="J143" s="117">
        <f>SUMPRODUCT(($C$140=Producción_Lecheria[Movimiento])*($G143=Producción_Lecheria[Categoría Hacienda])*(J$1=Producción_Lecheria[Mes Financiero])*(J$2=Producción_Lecheria[Año Financiero])*(Producción_Lecheria[Financiero $Corrientes]))</f>
        <v>0</v>
      </c>
      <c r="K143" s="118">
        <f>SUMPRODUCT(($C$140=Producción_Lecheria[Movimiento])*($G143=Producción_Lecheria[Categoría Hacienda])*(K$1=Producción_Lecheria[Mes Financiero])*(K$2=Producción_Lecheria[Año Financiero])*(Producción_Lecheria[Financiero $Corrientes]))</f>
        <v>0</v>
      </c>
      <c r="L143" s="117">
        <f>SUMPRODUCT(($C$140=Producción_Lecheria[Movimiento])*($G143=Producción_Lecheria[Categoría Hacienda])*(L$1=Producción_Lecheria[Mes Financiero])*(L$2=Producción_Lecheria[Año Financiero])*(Producción_Lecheria[Financiero $Corrientes]))</f>
        <v>0</v>
      </c>
      <c r="M143" s="118">
        <f>SUMPRODUCT(($C$140=Producción_Lecheria[Movimiento])*($G143=Producción_Lecheria[Categoría Hacienda])*(M$1=Producción_Lecheria[Mes Financiero])*(M$2=Producción_Lecheria[Año Financiero])*(Producción_Lecheria[Financiero $Corrientes]))</f>
        <v>0</v>
      </c>
      <c r="N143" s="117">
        <f>SUMPRODUCT(($C$140=Producción_Lecheria[Movimiento])*($G143=Producción_Lecheria[Categoría Hacienda])*(N$1=Producción_Lecheria[Mes Financiero])*(N$2=Producción_Lecheria[Año Financiero])*(Producción_Lecheria[Financiero $Corrientes]))</f>
        <v>0</v>
      </c>
      <c r="O143" s="118">
        <f>SUMPRODUCT(($C$140=Producción_Lecheria[Movimiento])*($G143=Producción_Lecheria[Categoría Hacienda])*(O$1=Producción_Lecheria[Mes Financiero])*(O$2=Producción_Lecheria[Año Financiero])*(Producción_Lecheria[Financiero $Corrientes]))</f>
        <v>0</v>
      </c>
      <c r="P143" s="117">
        <f>SUMPRODUCT(($C$140=Producción_Lecheria[Movimiento])*($G143=Producción_Lecheria[Categoría Hacienda])*(P$1=Producción_Lecheria[Mes Financiero])*(P$2=Producción_Lecheria[Año Financiero])*(Producción_Lecheria[Financiero $Corrientes]))</f>
        <v>0</v>
      </c>
      <c r="Q143" s="118">
        <f>SUMPRODUCT(($C$140=Producción_Lecheria[Movimiento])*($G143=Producción_Lecheria[Categoría Hacienda])*(Q$1=Producción_Lecheria[Mes Financiero])*(Q$2=Producción_Lecheria[Año Financiero])*(Producción_Lecheria[Financiero $Corrientes]))</f>
        <v>0</v>
      </c>
      <c r="R143" s="117">
        <f>SUMPRODUCT(($C$140=Producción_Lecheria[Movimiento])*($G143=Producción_Lecheria[Categoría Hacienda])*(R$1=Producción_Lecheria[Mes Financiero])*(R$2=Producción_Lecheria[Año Financiero])*(Producción_Lecheria[Financiero $Corrientes]))</f>
        <v>0</v>
      </c>
      <c r="S143" s="118">
        <f>SUMPRODUCT(($C$140=Producción_Lecheria[Movimiento])*($G143=Producción_Lecheria[Categoría Hacienda])*(S$1=Producción_Lecheria[Mes Financiero])*(S$2=Producción_Lecheria[Año Financiero])*(Producción_Lecheria[Financiero $Corrientes]))</f>
        <v>0</v>
      </c>
      <c r="T143" s="117">
        <f>SUMPRODUCT(($C$140=Producción_Lecheria[Movimiento])*($G143=Producción_Lecheria[Categoría Hacienda])*(T$1=Producción_Lecheria[Mes Financiero])*(T$2=Producción_Lecheria[Año Financiero])*(Producción_Lecheria[Financiero $Corrientes]))</f>
        <v>0</v>
      </c>
      <c r="U143" s="118">
        <f>SUMPRODUCT(($C$140=Producción_Lecheria[Movimiento])*($G143=Producción_Lecheria[Categoría Hacienda])*(U$1=Producción_Lecheria[Mes Financiero])*(U$2=Producción_Lecheria[Año Financiero])*(Producción_Lecheria[Financiero $Corrientes]))</f>
        <v>0</v>
      </c>
      <c r="V143" s="117">
        <f>SUMPRODUCT(($C$140=Producción_Lecheria[Movimiento])*($G143=Producción_Lecheria[Categoría Hacienda])*(V$1=Producción_Lecheria[Mes Financiero])*(V$2=Producción_Lecheria[Año Financiero])*(Producción_Lecheria[Financiero $Corrientes]))</f>
        <v>0</v>
      </c>
      <c r="W143" s="118">
        <f>SUMPRODUCT(($C$140=Producción_Lecheria[Movimiento])*($G143=Producción_Lecheria[Categoría Hacienda])*(W$1=Producción_Lecheria[Mes Financiero])*(W$2=Producción_Lecheria[Año Financiero])*(Producción_Lecheria[Financiero $Corrientes]))</f>
        <v>0</v>
      </c>
      <c r="X143" s="117">
        <f>SUMPRODUCT(($C$140=Producción_Lecheria[Movimiento])*($G143=Producción_Lecheria[Categoría Hacienda])*(X$1=Producción_Lecheria[Mes Financiero])*(X$2=Producción_Lecheria[Año Financiero])*(Producción_Lecheria[Financiero $Corrientes]))</f>
        <v>0</v>
      </c>
      <c r="Y143" s="118">
        <f>SUMPRODUCT(($C$140=Producción_Lecheria[Movimiento])*($G143=Producción_Lecheria[Categoría Hacienda])*(Y$1=Producción_Lecheria[Mes Financiero])*(Y$2=Producción_Lecheria[Año Financiero])*(Producción_Lecheria[Financiero $Corrientes]))</f>
        <v>0</v>
      </c>
      <c r="Z143" s="148">
        <f t="shared" si="22"/>
        <v>0</v>
      </c>
    </row>
    <row r="144" spans="2:30" hidden="1" outlineLevel="2" x14ac:dyDescent="0.25">
      <c r="F144" s="220">
        <f>MATCH(G144,Produccion_Lecheria[Categoría],0)</f>
        <v>3</v>
      </c>
      <c r="G144" s="122" t="str">
        <f>Configuración!BM7</f>
        <v>Toro</v>
      </c>
      <c r="H144" s="117">
        <f>SUMPRODUCT(($C$140=Producción_Lecheria[Movimiento])*($G144=Producción_Lecheria[Categoría Hacienda])*(H$1=Producción_Lecheria[Mes Financiero])*(H$2=Producción_Lecheria[Año Financiero])*(Producción_Lecheria[Financiero $Corrientes]))</f>
        <v>0</v>
      </c>
      <c r="I144" s="118">
        <f>SUMPRODUCT(($C$140=Producción_Lecheria[Movimiento])*($G144=Producción_Lecheria[Categoría Hacienda])*(I$1=Producción_Lecheria[Mes Financiero])*(I$2=Producción_Lecheria[Año Financiero])*(Producción_Lecheria[Financiero $Corrientes]))</f>
        <v>0</v>
      </c>
      <c r="J144" s="117">
        <f>SUMPRODUCT(($C$140=Producción_Lecheria[Movimiento])*($G144=Producción_Lecheria[Categoría Hacienda])*(J$1=Producción_Lecheria[Mes Financiero])*(J$2=Producción_Lecheria[Año Financiero])*(Producción_Lecheria[Financiero $Corrientes]))</f>
        <v>0</v>
      </c>
      <c r="K144" s="118">
        <f>SUMPRODUCT(($C$140=Producción_Lecheria[Movimiento])*($G144=Producción_Lecheria[Categoría Hacienda])*(K$1=Producción_Lecheria[Mes Financiero])*(K$2=Producción_Lecheria[Año Financiero])*(Producción_Lecheria[Financiero $Corrientes]))</f>
        <v>0</v>
      </c>
      <c r="L144" s="117">
        <f>SUMPRODUCT(($C$140=Producción_Lecheria[Movimiento])*($G144=Producción_Lecheria[Categoría Hacienda])*(L$1=Producción_Lecheria[Mes Financiero])*(L$2=Producción_Lecheria[Año Financiero])*(Producción_Lecheria[Financiero $Corrientes]))</f>
        <v>0</v>
      </c>
      <c r="M144" s="118">
        <f>SUMPRODUCT(($C$140=Producción_Lecheria[Movimiento])*($G144=Producción_Lecheria[Categoría Hacienda])*(M$1=Producción_Lecheria[Mes Financiero])*(M$2=Producción_Lecheria[Año Financiero])*(Producción_Lecheria[Financiero $Corrientes]))</f>
        <v>0</v>
      </c>
      <c r="N144" s="117">
        <f>SUMPRODUCT(($C$140=Producción_Lecheria[Movimiento])*($G144=Producción_Lecheria[Categoría Hacienda])*(N$1=Producción_Lecheria[Mes Financiero])*(N$2=Producción_Lecheria[Año Financiero])*(Producción_Lecheria[Financiero $Corrientes]))</f>
        <v>0</v>
      </c>
      <c r="O144" s="118">
        <f>SUMPRODUCT(($C$140=Producción_Lecheria[Movimiento])*($G144=Producción_Lecheria[Categoría Hacienda])*(O$1=Producción_Lecheria[Mes Financiero])*(O$2=Producción_Lecheria[Año Financiero])*(Producción_Lecheria[Financiero $Corrientes]))</f>
        <v>0</v>
      </c>
      <c r="P144" s="117">
        <f>SUMPRODUCT(($C$140=Producción_Lecheria[Movimiento])*($G144=Producción_Lecheria[Categoría Hacienda])*(P$1=Producción_Lecheria[Mes Financiero])*(P$2=Producción_Lecheria[Año Financiero])*(Producción_Lecheria[Financiero $Corrientes]))</f>
        <v>0</v>
      </c>
      <c r="Q144" s="118">
        <f>SUMPRODUCT(($C$140=Producción_Lecheria[Movimiento])*($G144=Producción_Lecheria[Categoría Hacienda])*(Q$1=Producción_Lecheria[Mes Financiero])*(Q$2=Producción_Lecheria[Año Financiero])*(Producción_Lecheria[Financiero $Corrientes]))</f>
        <v>0</v>
      </c>
      <c r="R144" s="117">
        <f>SUMPRODUCT(($C$140=Producción_Lecheria[Movimiento])*($G144=Producción_Lecheria[Categoría Hacienda])*(R$1=Producción_Lecheria[Mes Financiero])*(R$2=Producción_Lecheria[Año Financiero])*(Producción_Lecheria[Financiero $Corrientes]))</f>
        <v>0</v>
      </c>
      <c r="S144" s="118">
        <f>SUMPRODUCT(($C$140=Producción_Lecheria[Movimiento])*($G144=Producción_Lecheria[Categoría Hacienda])*(S$1=Producción_Lecheria[Mes Financiero])*(S$2=Producción_Lecheria[Año Financiero])*(Producción_Lecheria[Financiero $Corrientes]))</f>
        <v>0</v>
      </c>
      <c r="T144" s="117">
        <f>SUMPRODUCT(($C$140=Producción_Lecheria[Movimiento])*($G144=Producción_Lecheria[Categoría Hacienda])*(T$1=Producción_Lecheria[Mes Financiero])*(T$2=Producción_Lecheria[Año Financiero])*(Producción_Lecheria[Financiero $Corrientes]))</f>
        <v>0</v>
      </c>
      <c r="U144" s="118">
        <f>SUMPRODUCT(($C$140=Producción_Lecheria[Movimiento])*($G144=Producción_Lecheria[Categoría Hacienda])*(U$1=Producción_Lecheria[Mes Financiero])*(U$2=Producción_Lecheria[Año Financiero])*(Producción_Lecheria[Financiero $Corrientes]))</f>
        <v>0</v>
      </c>
      <c r="V144" s="117">
        <f>SUMPRODUCT(($C$140=Producción_Lecheria[Movimiento])*($G144=Producción_Lecheria[Categoría Hacienda])*(V$1=Producción_Lecheria[Mes Financiero])*(V$2=Producción_Lecheria[Año Financiero])*(Producción_Lecheria[Financiero $Corrientes]))</f>
        <v>0</v>
      </c>
      <c r="W144" s="118">
        <f>SUMPRODUCT(($C$140=Producción_Lecheria[Movimiento])*($G144=Producción_Lecheria[Categoría Hacienda])*(W$1=Producción_Lecheria[Mes Financiero])*(W$2=Producción_Lecheria[Año Financiero])*(Producción_Lecheria[Financiero $Corrientes]))</f>
        <v>0</v>
      </c>
      <c r="X144" s="117">
        <f>SUMPRODUCT(($C$140=Producción_Lecheria[Movimiento])*($G144=Producción_Lecheria[Categoría Hacienda])*(X$1=Producción_Lecheria[Mes Financiero])*(X$2=Producción_Lecheria[Año Financiero])*(Producción_Lecheria[Financiero $Corrientes]))</f>
        <v>0</v>
      </c>
      <c r="Y144" s="118">
        <f>SUMPRODUCT(($C$140=Producción_Lecheria[Movimiento])*($G144=Producción_Lecheria[Categoría Hacienda])*(Y$1=Producción_Lecheria[Mes Financiero])*(Y$2=Producción_Lecheria[Año Financiero])*(Producción_Lecheria[Financiero $Corrientes]))</f>
        <v>0</v>
      </c>
      <c r="Z144" s="148">
        <f t="shared" si="22"/>
        <v>0</v>
      </c>
    </row>
    <row r="145" spans="2:30" hidden="1" outlineLevel="2" x14ac:dyDescent="0.25">
      <c r="F145" s="220">
        <f>MATCH(G145,Produccion_Lecheria[Categoría],0)</f>
        <v>4</v>
      </c>
      <c r="G145" s="122" t="str">
        <f>Configuración!BM8</f>
        <v>Vaquillona Preñada</v>
      </c>
      <c r="H145" s="117">
        <f>SUMPRODUCT(($C$140=Producción_Lecheria[Movimiento])*($G145=Producción_Lecheria[Categoría Hacienda])*(H$1=Producción_Lecheria[Mes Financiero])*(H$2=Producción_Lecheria[Año Financiero])*(Producción_Lecheria[Financiero $Corrientes]))</f>
        <v>0</v>
      </c>
      <c r="I145" s="118">
        <f>SUMPRODUCT(($C$140=Producción_Lecheria[Movimiento])*($G145=Producción_Lecheria[Categoría Hacienda])*(I$1=Producción_Lecheria[Mes Financiero])*(I$2=Producción_Lecheria[Año Financiero])*(Producción_Lecheria[Financiero $Corrientes]))</f>
        <v>0</v>
      </c>
      <c r="J145" s="117">
        <f>SUMPRODUCT(($C$140=Producción_Lecheria[Movimiento])*($G145=Producción_Lecheria[Categoría Hacienda])*(J$1=Producción_Lecheria[Mes Financiero])*(J$2=Producción_Lecheria[Año Financiero])*(Producción_Lecheria[Financiero $Corrientes]))</f>
        <v>0</v>
      </c>
      <c r="K145" s="118">
        <f>SUMPRODUCT(($C$140=Producción_Lecheria[Movimiento])*($G145=Producción_Lecheria[Categoría Hacienda])*(K$1=Producción_Lecheria[Mes Financiero])*(K$2=Producción_Lecheria[Año Financiero])*(Producción_Lecheria[Financiero $Corrientes]))</f>
        <v>0</v>
      </c>
      <c r="L145" s="117">
        <f>SUMPRODUCT(($C$140=Producción_Lecheria[Movimiento])*($G145=Producción_Lecheria[Categoría Hacienda])*(L$1=Producción_Lecheria[Mes Financiero])*(L$2=Producción_Lecheria[Año Financiero])*(Producción_Lecheria[Financiero $Corrientes]))</f>
        <v>0</v>
      </c>
      <c r="M145" s="118">
        <f>SUMPRODUCT(($C$140=Producción_Lecheria[Movimiento])*($G145=Producción_Lecheria[Categoría Hacienda])*(M$1=Producción_Lecheria[Mes Financiero])*(M$2=Producción_Lecheria[Año Financiero])*(Producción_Lecheria[Financiero $Corrientes]))</f>
        <v>0</v>
      </c>
      <c r="N145" s="117">
        <f>SUMPRODUCT(($C$140=Producción_Lecheria[Movimiento])*($G145=Producción_Lecheria[Categoría Hacienda])*(N$1=Producción_Lecheria[Mes Financiero])*(N$2=Producción_Lecheria[Año Financiero])*(Producción_Lecheria[Financiero $Corrientes]))</f>
        <v>0</v>
      </c>
      <c r="O145" s="118">
        <f>SUMPRODUCT(($C$140=Producción_Lecheria[Movimiento])*($G145=Producción_Lecheria[Categoría Hacienda])*(O$1=Producción_Lecheria[Mes Financiero])*(O$2=Producción_Lecheria[Año Financiero])*(Producción_Lecheria[Financiero $Corrientes]))</f>
        <v>0</v>
      </c>
      <c r="P145" s="117">
        <f>SUMPRODUCT(($C$140=Producción_Lecheria[Movimiento])*($G145=Producción_Lecheria[Categoría Hacienda])*(P$1=Producción_Lecheria[Mes Financiero])*(P$2=Producción_Lecheria[Año Financiero])*(Producción_Lecheria[Financiero $Corrientes]))</f>
        <v>0</v>
      </c>
      <c r="Q145" s="118">
        <f>SUMPRODUCT(($C$140=Producción_Lecheria[Movimiento])*($G145=Producción_Lecheria[Categoría Hacienda])*(Q$1=Producción_Lecheria[Mes Financiero])*(Q$2=Producción_Lecheria[Año Financiero])*(Producción_Lecheria[Financiero $Corrientes]))</f>
        <v>0</v>
      </c>
      <c r="R145" s="117">
        <f>SUMPRODUCT(($C$140=Producción_Lecheria[Movimiento])*($G145=Producción_Lecheria[Categoría Hacienda])*(R$1=Producción_Lecheria[Mes Financiero])*(R$2=Producción_Lecheria[Año Financiero])*(Producción_Lecheria[Financiero $Corrientes]))</f>
        <v>0</v>
      </c>
      <c r="S145" s="118">
        <f>SUMPRODUCT(($C$140=Producción_Lecheria[Movimiento])*($G145=Producción_Lecheria[Categoría Hacienda])*(S$1=Producción_Lecheria[Mes Financiero])*(S$2=Producción_Lecheria[Año Financiero])*(Producción_Lecheria[Financiero $Corrientes]))</f>
        <v>0</v>
      </c>
      <c r="T145" s="117">
        <f>SUMPRODUCT(($C$140=Producción_Lecheria[Movimiento])*($G145=Producción_Lecheria[Categoría Hacienda])*(T$1=Producción_Lecheria[Mes Financiero])*(T$2=Producción_Lecheria[Año Financiero])*(Producción_Lecheria[Financiero $Corrientes]))</f>
        <v>0</v>
      </c>
      <c r="U145" s="118">
        <f>SUMPRODUCT(($C$140=Producción_Lecheria[Movimiento])*($G145=Producción_Lecheria[Categoría Hacienda])*(U$1=Producción_Lecheria[Mes Financiero])*(U$2=Producción_Lecheria[Año Financiero])*(Producción_Lecheria[Financiero $Corrientes]))</f>
        <v>0</v>
      </c>
      <c r="V145" s="117">
        <f>SUMPRODUCT(($C$140=Producción_Lecheria[Movimiento])*($G145=Producción_Lecheria[Categoría Hacienda])*(V$1=Producción_Lecheria[Mes Financiero])*(V$2=Producción_Lecheria[Año Financiero])*(Producción_Lecheria[Financiero $Corrientes]))</f>
        <v>0</v>
      </c>
      <c r="W145" s="118">
        <f>SUMPRODUCT(($C$140=Producción_Lecheria[Movimiento])*($G145=Producción_Lecheria[Categoría Hacienda])*(W$1=Producción_Lecheria[Mes Financiero])*(W$2=Producción_Lecheria[Año Financiero])*(Producción_Lecheria[Financiero $Corrientes]))</f>
        <v>0</v>
      </c>
      <c r="X145" s="117">
        <f>SUMPRODUCT(($C$140=Producción_Lecheria[Movimiento])*($G145=Producción_Lecheria[Categoría Hacienda])*(X$1=Producción_Lecheria[Mes Financiero])*(X$2=Producción_Lecheria[Año Financiero])*(Producción_Lecheria[Financiero $Corrientes]))</f>
        <v>0</v>
      </c>
      <c r="Y145" s="118">
        <f>SUMPRODUCT(($C$140=Producción_Lecheria[Movimiento])*($G145=Producción_Lecheria[Categoría Hacienda])*(Y$1=Producción_Lecheria[Mes Financiero])*(Y$2=Producción_Lecheria[Año Financiero])*(Producción_Lecheria[Financiero $Corrientes]))</f>
        <v>0</v>
      </c>
      <c r="Z145" s="148">
        <f t="shared" si="22"/>
        <v>0</v>
      </c>
    </row>
    <row r="146" spans="2:30" hidden="1" outlineLevel="2" x14ac:dyDescent="0.25">
      <c r="F146" s="220">
        <f>MATCH(G146,Produccion_Lecheria[Categoría],0)</f>
        <v>5</v>
      </c>
      <c r="G146" s="122" t="str">
        <f>Configuración!BM9</f>
        <v>Vaquillona 06-15</v>
      </c>
      <c r="H146" s="117">
        <f>SUMPRODUCT(($C$140=Producción_Lecheria[Movimiento])*($G146=Producción_Lecheria[Categoría Hacienda])*(H$1=Producción_Lecheria[Mes Financiero])*(H$2=Producción_Lecheria[Año Financiero])*(Producción_Lecheria[Financiero $Corrientes]))</f>
        <v>0</v>
      </c>
      <c r="I146" s="118">
        <f>SUMPRODUCT(($C$140=Producción_Lecheria[Movimiento])*($G146=Producción_Lecheria[Categoría Hacienda])*(I$1=Producción_Lecheria[Mes Financiero])*(I$2=Producción_Lecheria[Año Financiero])*(Producción_Lecheria[Financiero $Corrientes]))</f>
        <v>0</v>
      </c>
      <c r="J146" s="117">
        <f>SUMPRODUCT(($C$140=Producción_Lecheria[Movimiento])*($G146=Producción_Lecheria[Categoría Hacienda])*(J$1=Producción_Lecheria[Mes Financiero])*(J$2=Producción_Lecheria[Año Financiero])*(Producción_Lecheria[Financiero $Corrientes]))</f>
        <v>0</v>
      </c>
      <c r="K146" s="118">
        <f>SUMPRODUCT(($C$140=Producción_Lecheria[Movimiento])*($G146=Producción_Lecheria[Categoría Hacienda])*(K$1=Producción_Lecheria[Mes Financiero])*(K$2=Producción_Lecheria[Año Financiero])*(Producción_Lecheria[Financiero $Corrientes]))</f>
        <v>0</v>
      </c>
      <c r="L146" s="117">
        <f>SUMPRODUCT(($C$140=Producción_Lecheria[Movimiento])*($G146=Producción_Lecheria[Categoría Hacienda])*(L$1=Producción_Lecheria[Mes Financiero])*(L$2=Producción_Lecheria[Año Financiero])*(Producción_Lecheria[Financiero $Corrientes]))</f>
        <v>0</v>
      </c>
      <c r="M146" s="118">
        <f>SUMPRODUCT(($C$140=Producción_Lecheria[Movimiento])*($G146=Producción_Lecheria[Categoría Hacienda])*(M$1=Producción_Lecheria[Mes Financiero])*(M$2=Producción_Lecheria[Año Financiero])*(Producción_Lecheria[Financiero $Corrientes]))</f>
        <v>0</v>
      </c>
      <c r="N146" s="117">
        <f>SUMPRODUCT(($C$140=Producción_Lecheria[Movimiento])*($G146=Producción_Lecheria[Categoría Hacienda])*(N$1=Producción_Lecheria[Mes Financiero])*(N$2=Producción_Lecheria[Año Financiero])*(Producción_Lecheria[Financiero $Corrientes]))</f>
        <v>0</v>
      </c>
      <c r="O146" s="118">
        <f>SUMPRODUCT(($C$140=Producción_Lecheria[Movimiento])*($G146=Producción_Lecheria[Categoría Hacienda])*(O$1=Producción_Lecheria[Mes Financiero])*(O$2=Producción_Lecheria[Año Financiero])*(Producción_Lecheria[Financiero $Corrientes]))</f>
        <v>0</v>
      </c>
      <c r="P146" s="117">
        <f>SUMPRODUCT(($C$140=Producción_Lecheria[Movimiento])*($G146=Producción_Lecheria[Categoría Hacienda])*(P$1=Producción_Lecheria[Mes Financiero])*(P$2=Producción_Lecheria[Año Financiero])*(Producción_Lecheria[Financiero $Corrientes]))</f>
        <v>0</v>
      </c>
      <c r="Q146" s="118">
        <f>SUMPRODUCT(($C$140=Producción_Lecheria[Movimiento])*($G146=Producción_Lecheria[Categoría Hacienda])*(Q$1=Producción_Lecheria[Mes Financiero])*(Q$2=Producción_Lecheria[Año Financiero])*(Producción_Lecheria[Financiero $Corrientes]))</f>
        <v>0</v>
      </c>
      <c r="R146" s="117">
        <f>SUMPRODUCT(($C$140=Producción_Lecheria[Movimiento])*($G146=Producción_Lecheria[Categoría Hacienda])*(R$1=Producción_Lecheria[Mes Financiero])*(R$2=Producción_Lecheria[Año Financiero])*(Producción_Lecheria[Financiero $Corrientes]))</f>
        <v>0</v>
      </c>
      <c r="S146" s="118">
        <f>SUMPRODUCT(($C$140=Producción_Lecheria[Movimiento])*($G146=Producción_Lecheria[Categoría Hacienda])*(S$1=Producción_Lecheria[Mes Financiero])*(S$2=Producción_Lecheria[Año Financiero])*(Producción_Lecheria[Financiero $Corrientes]))</f>
        <v>0</v>
      </c>
      <c r="T146" s="117">
        <f>SUMPRODUCT(($C$140=Producción_Lecheria[Movimiento])*($G146=Producción_Lecheria[Categoría Hacienda])*(T$1=Producción_Lecheria[Mes Financiero])*(T$2=Producción_Lecheria[Año Financiero])*(Producción_Lecheria[Financiero $Corrientes]))</f>
        <v>0</v>
      </c>
      <c r="U146" s="118">
        <f>SUMPRODUCT(($C$140=Producción_Lecheria[Movimiento])*($G146=Producción_Lecheria[Categoría Hacienda])*(U$1=Producción_Lecheria[Mes Financiero])*(U$2=Producción_Lecheria[Año Financiero])*(Producción_Lecheria[Financiero $Corrientes]))</f>
        <v>0</v>
      </c>
      <c r="V146" s="117">
        <f>SUMPRODUCT(($C$140=Producción_Lecheria[Movimiento])*($G146=Producción_Lecheria[Categoría Hacienda])*(V$1=Producción_Lecheria[Mes Financiero])*(V$2=Producción_Lecheria[Año Financiero])*(Producción_Lecheria[Financiero $Corrientes]))</f>
        <v>0</v>
      </c>
      <c r="W146" s="118">
        <f>SUMPRODUCT(($C$140=Producción_Lecheria[Movimiento])*($G146=Producción_Lecheria[Categoría Hacienda])*(W$1=Producción_Lecheria[Mes Financiero])*(W$2=Producción_Lecheria[Año Financiero])*(Producción_Lecheria[Financiero $Corrientes]))</f>
        <v>0</v>
      </c>
      <c r="X146" s="117">
        <f>SUMPRODUCT(($C$140=Producción_Lecheria[Movimiento])*($G146=Producción_Lecheria[Categoría Hacienda])*(X$1=Producción_Lecheria[Mes Financiero])*(X$2=Producción_Lecheria[Año Financiero])*(Producción_Lecheria[Financiero $Corrientes]))</f>
        <v>0</v>
      </c>
      <c r="Y146" s="118">
        <f>SUMPRODUCT(($C$140=Producción_Lecheria[Movimiento])*($G146=Producción_Lecheria[Categoría Hacienda])*(Y$1=Producción_Lecheria[Mes Financiero])*(Y$2=Producción_Lecheria[Año Financiero])*(Producción_Lecheria[Financiero $Corrientes]))</f>
        <v>0</v>
      </c>
      <c r="Z146" s="148">
        <f t="shared" si="22"/>
        <v>0</v>
      </c>
    </row>
    <row r="147" spans="2:30" hidden="1" outlineLevel="2" x14ac:dyDescent="0.25">
      <c r="F147" s="220">
        <f>MATCH(G147,Produccion_Lecheria[Categoría],0)</f>
        <v>6</v>
      </c>
      <c r="G147" s="122" t="str">
        <f>Configuración!BM10</f>
        <v>Vaquillona 15-27</v>
      </c>
      <c r="H147" s="117">
        <f>SUMPRODUCT(($C$140=Producción_Lecheria[Movimiento])*($G147=Producción_Lecheria[Categoría Hacienda])*(H$1=Producción_Lecheria[Mes Financiero])*(H$2=Producción_Lecheria[Año Financiero])*(Producción_Lecheria[Financiero $Corrientes]))</f>
        <v>0</v>
      </c>
      <c r="I147" s="118">
        <f>SUMPRODUCT(($C$140=Producción_Lecheria[Movimiento])*($G147=Producción_Lecheria[Categoría Hacienda])*(I$1=Producción_Lecheria[Mes Financiero])*(I$2=Producción_Lecheria[Año Financiero])*(Producción_Lecheria[Financiero $Corrientes]))</f>
        <v>0</v>
      </c>
      <c r="J147" s="117">
        <f>SUMPRODUCT(($C$140=Producción_Lecheria[Movimiento])*($G147=Producción_Lecheria[Categoría Hacienda])*(J$1=Producción_Lecheria[Mes Financiero])*(J$2=Producción_Lecheria[Año Financiero])*(Producción_Lecheria[Financiero $Corrientes]))</f>
        <v>0</v>
      </c>
      <c r="K147" s="118">
        <f>SUMPRODUCT(($C$140=Producción_Lecheria[Movimiento])*($G147=Producción_Lecheria[Categoría Hacienda])*(K$1=Producción_Lecheria[Mes Financiero])*(K$2=Producción_Lecheria[Año Financiero])*(Producción_Lecheria[Financiero $Corrientes]))</f>
        <v>0</v>
      </c>
      <c r="L147" s="117">
        <f>SUMPRODUCT(($C$140=Producción_Lecheria[Movimiento])*($G147=Producción_Lecheria[Categoría Hacienda])*(L$1=Producción_Lecheria[Mes Financiero])*(L$2=Producción_Lecheria[Año Financiero])*(Producción_Lecheria[Financiero $Corrientes]))</f>
        <v>0</v>
      </c>
      <c r="M147" s="118">
        <f>SUMPRODUCT(($C$140=Producción_Lecheria[Movimiento])*($G147=Producción_Lecheria[Categoría Hacienda])*(M$1=Producción_Lecheria[Mes Financiero])*(M$2=Producción_Lecheria[Año Financiero])*(Producción_Lecheria[Financiero $Corrientes]))</f>
        <v>0</v>
      </c>
      <c r="N147" s="117">
        <f>SUMPRODUCT(($C$140=Producción_Lecheria[Movimiento])*($G147=Producción_Lecheria[Categoría Hacienda])*(N$1=Producción_Lecheria[Mes Financiero])*(N$2=Producción_Lecheria[Año Financiero])*(Producción_Lecheria[Financiero $Corrientes]))</f>
        <v>0</v>
      </c>
      <c r="O147" s="118">
        <f>SUMPRODUCT(($C$140=Producción_Lecheria[Movimiento])*($G147=Producción_Lecheria[Categoría Hacienda])*(O$1=Producción_Lecheria[Mes Financiero])*(O$2=Producción_Lecheria[Año Financiero])*(Producción_Lecheria[Financiero $Corrientes]))</f>
        <v>0</v>
      </c>
      <c r="P147" s="117">
        <f>SUMPRODUCT(($C$140=Producción_Lecheria[Movimiento])*($G147=Producción_Lecheria[Categoría Hacienda])*(P$1=Producción_Lecheria[Mes Financiero])*(P$2=Producción_Lecheria[Año Financiero])*(Producción_Lecheria[Financiero $Corrientes]))</f>
        <v>0</v>
      </c>
      <c r="Q147" s="118">
        <f>SUMPRODUCT(($C$140=Producción_Lecheria[Movimiento])*($G147=Producción_Lecheria[Categoría Hacienda])*(Q$1=Producción_Lecheria[Mes Financiero])*(Q$2=Producción_Lecheria[Año Financiero])*(Producción_Lecheria[Financiero $Corrientes]))</f>
        <v>0</v>
      </c>
      <c r="R147" s="117">
        <f>SUMPRODUCT(($C$140=Producción_Lecheria[Movimiento])*($G147=Producción_Lecheria[Categoría Hacienda])*(R$1=Producción_Lecheria[Mes Financiero])*(R$2=Producción_Lecheria[Año Financiero])*(Producción_Lecheria[Financiero $Corrientes]))</f>
        <v>0</v>
      </c>
      <c r="S147" s="118">
        <f>SUMPRODUCT(($C$140=Producción_Lecheria[Movimiento])*($G147=Producción_Lecheria[Categoría Hacienda])*(S$1=Producción_Lecheria[Mes Financiero])*(S$2=Producción_Lecheria[Año Financiero])*(Producción_Lecheria[Financiero $Corrientes]))</f>
        <v>0</v>
      </c>
      <c r="T147" s="117">
        <f>SUMPRODUCT(($C$140=Producción_Lecheria[Movimiento])*($G147=Producción_Lecheria[Categoría Hacienda])*(T$1=Producción_Lecheria[Mes Financiero])*(T$2=Producción_Lecheria[Año Financiero])*(Producción_Lecheria[Financiero $Corrientes]))</f>
        <v>0</v>
      </c>
      <c r="U147" s="118">
        <f>SUMPRODUCT(($C$140=Producción_Lecheria[Movimiento])*($G147=Producción_Lecheria[Categoría Hacienda])*(U$1=Producción_Lecheria[Mes Financiero])*(U$2=Producción_Lecheria[Año Financiero])*(Producción_Lecheria[Financiero $Corrientes]))</f>
        <v>0</v>
      </c>
      <c r="V147" s="117">
        <f>SUMPRODUCT(($C$140=Producción_Lecheria[Movimiento])*($G147=Producción_Lecheria[Categoría Hacienda])*(V$1=Producción_Lecheria[Mes Financiero])*(V$2=Producción_Lecheria[Año Financiero])*(Producción_Lecheria[Financiero $Corrientes]))</f>
        <v>0</v>
      </c>
      <c r="W147" s="118">
        <f>SUMPRODUCT(($C$140=Producción_Lecheria[Movimiento])*($G147=Producción_Lecheria[Categoría Hacienda])*(W$1=Producción_Lecheria[Mes Financiero])*(W$2=Producción_Lecheria[Año Financiero])*(Producción_Lecheria[Financiero $Corrientes]))</f>
        <v>0</v>
      </c>
      <c r="X147" s="117">
        <f>SUMPRODUCT(($C$140=Producción_Lecheria[Movimiento])*($G147=Producción_Lecheria[Categoría Hacienda])*(X$1=Producción_Lecheria[Mes Financiero])*(X$2=Producción_Lecheria[Año Financiero])*(Producción_Lecheria[Financiero $Corrientes]))</f>
        <v>0</v>
      </c>
      <c r="Y147" s="118">
        <f>SUMPRODUCT(($C$140=Producción_Lecheria[Movimiento])*($G147=Producción_Lecheria[Categoría Hacienda])*(Y$1=Producción_Lecheria[Mes Financiero])*(Y$2=Producción_Lecheria[Año Financiero])*(Producción_Lecheria[Financiero $Corrientes]))</f>
        <v>0</v>
      </c>
      <c r="Z147" s="148">
        <f t="shared" si="22"/>
        <v>0</v>
      </c>
    </row>
    <row r="148" spans="2:30" hidden="1" outlineLevel="2" x14ac:dyDescent="0.25">
      <c r="F148" s="220">
        <f>MATCH(G148,Produccion_Lecheria[Categoría],0)</f>
        <v>7</v>
      </c>
      <c r="G148" s="122" t="str">
        <f>Configuración!BM11</f>
        <v>Ternera</v>
      </c>
      <c r="H148" s="117">
        <f>SUMPRODUCT(($C$140=Producción_Lecheria[Movimiento])*($G148=Producción_Lecheria[Categoría Hacienda])*(H$1=Producción_Lecheria[Mes Financiero])*(H$2=Producción_Lecheria[Año Financiero])*(Producción_Lecheria[Financiero $Corrientes]))</f>
        <v>0</v>
      </c>
      <c r="I148" s="118">
        <f>SUMPRODUCT(($C$140=Producción_Lecheria[Movimiento])*($G148=Producción_Lecheria[Categoría Hacienda])*(I$1=Producción_Lecheria[Mes Financiero])*(I$2=Producción_Lecheria[Año Financiero])*(Producción_Lecheria[Financiero $Corrientes]))</f>
        <v>0</v>
      </c>
      <c r="J148" s="117">
        <f>SUMPRODUCT(($C$140=Producción_Lecheria[Movimiento])*($G148=Producción_Lecheria[Categoría Hacienda])*(J$1=Producción_Lecheria[Mes Financiero])*(J$2=Producción_Lecheria[Año Financiero])*(Producción_Lecheria[Financiero $Corrientes]))</f>
        <v>0</v>
      </c>
      <c r="K148" s="118">
        <f>SUMPRODUCT(($C$140=Producción_Lecheria[Movimiento])*($G148=Producción_Lecheria[Categoría Hacienda])*(K$1=Producción_Lecheria[Mes Financiero])*(K$2=Producción_Lecheria[Año Financiero])*(Producción_Lecheria[Financiero $Corrientes]))</f>
        <v>0</v>
      </c>
      <c r="L148" s="117">
        <f>SUMPRODUCT(($C$140=Producción_Lecheria[Movimiento])*($G148=Producción_Lecheria[Categoría Hacienda])*(L$1=Producción_Lecheria[Mes Financiero])*(L$2=Producción_Lecheria[Año Financiero])*(Producción_Lecheria[Financiero $Corrientes]))</f>
        <v>0</v>
      </c>
      <c r="M148" s="118">
        <f>SUMPRODUCT(($C$140=Producción_Lecheria[Movimiento])*($G148=Producción_Lecheria[Categoría Hacienda])*(M$1=Producción_Lecheria[Mes Financiero])*(M$2=Producción_Lecheria[Año Financiero])*(Producción_Lecheria[Financiero $Corrientes]))</f>
        <v>0</v>
      </c>
      <c r="N148" s="117">
        <f>SUMPRODUCT(($C$140=Producción_Lecheria[Movimiento])*($G148=Producción_Lecheria[Categoría Hacienda])*(N$1=Producción_Lecheria[Mes Financiero])*(N$2=Producción_Lecheria[Año Financiero])*(Producción_Lecheria[Financiero $Corrientes]))</f>
        <v>0</v>
      </c>
      <c r="O148" s="118">
        <f>SUMPRODUCT(($C$140=Producción_Lecheria[Movimiento])*($G148=Producción_Lecheria[Categoría Hacienda])*(O$1=Producción_Lecheria[Mes Financiero])*(O$2=Producción_Lecheria[Año Financiero])*(Producción_Lecheria[Financiero $Corrientes]))</f>
        <v>0</v>
      </c>
      <c r="P148" s="117">
        <f>SUMPRODUCT(($C$140=Producción_Lecheria[Movimiento])*($G148=Producción_Lecheria[Categoría Hacienda])*(P$1=Producción_Lecheria[Mes Financiero])*(P$2=Producción_Lecheria[Año Financiero])*(Producción_Lecheria[Financiero $Corrientes]))</f>
        <v>0</v>
      </c>
      <c r="Q148" s="118">
        <f>SUMPRODUCT(($C$140=Producción_Lecheria[Movimiento])*($G148=Producción_Lecheria[Categoría Hacienda])*(Q$1=Producción_Lecheria[Mes Financiero])*(Q$2=Producción_Lecheria[Año Financiero])*(Producción_Lecheria[Financiero $Corrientes]))</f>
        <v>0</v>
      </c>
      <c r="R148" s="117">
        <f>SUMPRODUCT(($C$140=Producción_Lecheria[Movimiento])*($G148=Producción_Lecheria[Categoría Hacienda])*(R$1=Producción_Lecheria[Mes Financiero])*(R$2=Producción_Lecheria[Año Financiero])*(Producción_Lecheria[Financiero $Corrientes]))</f>
        <v>0</v>
      </c>
      <c r="S148" s="118">
        <f>SUMPRODUCT(($C$140=Producción_Lecheria[Movimiento])*($G148=Producción_Lecheria[Categoría Hacienda])*(S$1=Producción_Lecheria[Mes Financiero])*(S$2=Producción_Lecheria[Año Financiero])*(Producción_Lecheria[Financiero $Corrientes]))</f>
        <v>0</v>
      </c>
      <c r="T148" s="117">
        <f>SUMPRODUCT(($C$140=Producción_Lecheria[Movimiento])*($G148=Producción_Lecheria[Categoría Hacienda])*(T$1=Producción_Lecheria[Mes Financiero])*(T$2=Producción_Lecheria[Año Financiero])*(Producción_Lecheria[Financiero $Corrientes]))</f>
        <v>0</v>
      </c>
      <c r="U148" s="118">
        <f>SUMPRODUCT(($C$140=Producción_Lecheria[Movimiento])*($G148=Producción_Lecheria[Categoría Hacienda])*(U$1=Producción_Lecheria[Mes Financiero])*(U$2=Producción_Lecheria[Año Financiero])*(Producción_Lecheria[Financiero $Corrientes]))</f>
        <v>0</v>
      </c>
      <c r="V148" s="117">
        <f>SUMPRODUCT(($C$140=Producción_Lecheria[Movimiento])*($G148=Producción_Lecheria[Categoría Hacienda])*(V$1=Producción_Lecheria[Mes Financiero])*(V$2=Producción_Lecheria[Año Financiero])*(Producción_Lecheria[Financiero $Corrientes]))</f>
        <v>0</v>
      </c>
      <c r="W148" s="118">
        <f>SUMPRODUCT(($C$140=Producción_Lecheria[Movimiento])*($G148=Producción_Lecheria[Categoría Hacienda])*(W$1=Producción_Lecheria[Mes Financiero])*(W$2=Producción_Lecheria[Año Financiero])*(Producción_Lecheria[Financiero $Corrientes]))</f>
        <v>0</v>
      </c>
      <c r="X148" s="117">
        <f>SUMPRODUCT(($C$140=Producción_Lecheria[Movimiento])*($G148=Producción_Lecheria[Categoría Hacienda])*(X$1=Producción_Lecheria[Mes Financiero])*(X$2=Producción_Lecheria[Año Financiero])*(Producción_Lecheria[Financiero $Corrientes]))</f>
        <v>0</v>
      </c>
      <c r="Y148" s="118">
        <f>SUMPRODUCT(($C$140=Producción_Lecheria[Movimiento])*($G148=Producción_Lecheria[Categoría Hacienda])*(Y$1=Producción_Lecheria[Mes Financiero])*(Y$2=Producción_Lecheria[Año Financiero])*(Producción_Lecheria[Financiero $Corrientes]))</f>
        <v>0</v>
      </c>
      <c r="Z148" s="148">
        <f t="shared" si="22"/>
        <v>0</v>
      </c>
    </row>
    <row r="149" spans="2:30" hidden="1" outlineLevel="2" x14ac:dyDescent="0.25">
      <c r="F149" s="220">
        <f>MATCH(G149,Produccion_Lecheria[Categoría],0)</f>
        <v>8</v>
      </c>
      <c r="G149" s="122" t="str">
        <f>Configuración!BM12</f>
        <v>Ternero</v>
      </c>
      <c r="H149" s="117">
        <f>SUMPRODUCT(($C$140=Producción_Lecheria[Movimiento])*($G149=Producción_Lecheria[Categoría Hacienda])*(H$1=Producción_Lecheria[Mes Financiero])*(H$2=Producción_Lecheria[Año Financiero])*(Producción_Lecheria[Financiero $Corrientes]))</f>
        <v>0</v>
      </c>
      <c r="I149" s="118">
        <f>SUMPRODUCT(($C$140=Producción_Lecheria[Movimiento])*($G149=Producción_Lecheria[Categoría Hacienda])*(I$1=Producción_Lecheria[Mes Financiero])*(I$2=Producción_Lecheria[Año Financiero])*(Producción_Lecheria[Financiero $Corrientes]))</f>
        <v>0</v>
      </c>
      <c r="J149" s="117">
        <f>SUMPRODUCT(($C$140=Producción_Lecheria[Movimiento])*($G149=Producción_Lecheria[Categoría Hacienda])*(J$1=Producción_Lecheria[Mes Financiero])*(J$2=Producción_Lecheria[Año Financiero])*(Producción_Lecheria[Financiero $Corrientes]))</f>
        <v>0</v>
      </c>
      <c r="K149" s="118">
        <f>SUMPRODUCT(($C$140=Producción_Lecheria[Movimiento])*($G149=Producción_Lecheria[Categoría Hacienda])*(K$1=Producción_Lecheria[Mes Financiero])*(K$2=Producción_Lecheria[Año Financiero])*(Producción_Lecheria[Financiero $Corrientes]))</f>
        <v>0</v>
      </c>
      <c r="L149" s="117">
        <f>SUMPRODUCT(($C$140=Producción_Lecheria[Movimiento])*($G149=Producción_Lecheria[Categoría Hacienda])*(L$1=Producción_Lecheria[Mes Financiero])*(L$2=Producción_Lecheria[Año Financiero])*(Producción_Lecheria[Financiero $Corrientes]))</f>
        <v>0</v>
      </c>
      <c r="M149" s="118">
        <f>SUMPRODUCT(($C$140=Producción_Lecheria[Movimiento])*($G149=Producción_Lecheria[Categoría Hacienda])*(M$1=Producción_Lecheria[Mes Financiero])*(M$2=Producción_Lecheria[Año Financiero])*(Producción_Lecheria[Financiero $Corrientes]))</f>
        <v>0</v>
      </c>
      <c r="N149" s="117">
        <f>SUMPRODUCT(($C$140=Producción_Lecheria[Movimiento])*($G149=Producción_Lecheria[Categoría Hacienda])*(N$1=Producción_Lecheria[Mes Financiero])*(N$2=Producción_Lecheria[Año Financiero])*(Producción_Lecheria[Financiero $Corrientes]))</f>
        <v>0</v>
      </c>
      <c r="O149" s="118">
        <f>SUMPRODUCT(($C$140=Producción_Lecheria[Movimiento])*($G149=Producción_Lecheria[Categoría Hacienda])*(O$1=Producción_Lecheria[Mes Financiero])*(O$2=Producción_Lecheria[Año Financiero])*(Producción_Lecheria[Financiero $Corrientes]))</f>
        <v>0</v>
      </c>
      <c r="P149" s="117">
        <f>SUMPRODUCT(($C$140=Producción_Lecheria[Movimiento])*($G149=Producción_Lecheria[Categoría Hacienda])*(P$1=Producción_Lecheria[Mes Financiero])*(P$2=Producción_Lecheria[Año Financiero])*(Producción_Lecheria[Financiero $Corrientes]))</f>
        <v>0</v>
      </c>
      <c r="Q149" s="118">
        <f>SUMPRODUCT(($C$140=Producción_Lecheria[Movimiento])*($G149=Producción_Lecheria[Categoría Hacienda])*(Q$1=Producción_Lecheria[Mes Financiero])*(Q$2=Producción_Lecheria[Año Financiero])*(Producción_Lecheria[Financiero $Corrientes]))</f>
        <v>0</v>
      </c>
      <c r="R149" s="117">
        <f>SUMPRODUCT(($C$140=Producción_Lecheria[Movimiento])*($G149=Producción_Lecheria[Categoría Hacienda])*(R$1=Producción_Lecheria[Mes Financiero])*(R$2=Producción_Lecheria[Año Financiero])*(Producción_Lecheria[Financiero $Corrientes]))</f>
        <v>0</v>
      </c>
      <c r="S149" s="118">
        <f>SUMPRODUCT(($C$140=Producción_Lecheria[Movimiento])*($G149=Producción_Lecheria[Categoría Hacienda])*(S$1=Producción_Lecheria[Mes Financiero])*(S$2=Producción_Lecheria[Año Financiero])*(Producción_Lecheria[Financiero $Corrientes]))</f>
        <v>0</v>
      </c>
      <c r="T149" s="117">
        <f>SUMPRODUCT(($C$140=Producción_Lecheria[Movimiento])*($G149=Producción_Lecheria[Categoría Hacienda])*(T$1=Producción_Lecheria[Mes Financiero])*(T$2=Producción_Lecheria[Año Financiero])*(Producción_Lecheria[Financiero $Corrientes]))</f>
        <v>0</v>
      </c>
      <c r="U149" s="118">
        <f>SUMPRODUCT(($C$140=Producción_Lecheria[Movimiento])*($G149=Producción_Lecheria[Categoría Hacienda])*(U$1=Producción_Lecheria[Mes Financiero])*(U$2=Producción_Lecheria[Año Financiero])*(Producción_Lecheria[Financiero $Corrientes]))</f>
        <v>0</v>
      </c>
      <c r="V149" s="117">
        <f>SUMPRODUCT(($C$140=Producción_Lecheria[Movimiento])*($G149=Producción_Lecheria[Categoría Hacienda])*(V$1=Producción_Lecheria[Mes Financiero])*(V$2=Producción_Lecheria[Año Financiero])*(Producción_Lecheria[Financiero $Corrientes]))</f>
        <v>0</v>
      </c>
      <c r="W149" s="118">
        <f>SUMPRODUCT(($C$140=Producción_Lecheria[Movimiento])*($G149=Producción_Lecheria[Categoría Hacienda])*(W$1=Producción_Lecheria[Mes Financiero])*(W$2=Producción_Lecheria[Año Financiero])*(Producción_Lecheria[Financiero $Corrientes]))</f>
        <v>0</v>
      </c>
      <c r="X149" s="117">
        <f>SUMPRODUCT(($C$140=Producción_Lecheria[Movimiento])*($G149=Producción_Lecheria[Categoría Hacienda])*(X$1=Producción_Lecheria[Mes Financiero])*(X$2=Producción_Lecheria[Año Financiero])*(Producción_Lecheria[Financiero $Corrientes]))</f>
        <v>0</v>
      </c>
      <c r="Y149" s="118">
        <f>SUMPRODUCT(($C$140=Producción_Lecheria[Movimiento])*($G149=Producción_Lecheria[Categoría Hacienda])*(Y$1=Producción_Lecheria[Mes Financiero])*(Y$2=Producción_Lecheria[Año Financiero])*(Producción_Lecheria[Financiero $Corrientes]))</f>
        <v>0</v>
      </c>
      <c r="Z149" s="148">
        <f t="shared" si="22"/>
        <v>0</v>
      </c>
    </row>
    <row r="150" spans="2:30" hidden="1" outlineLevel="2" x14ac:dyDescent="0.25">
      <c r="F150" s="220">
        <f>MATCH(G150,Produccion_Lecheria[Categoría],0)</f>
        <v>9</v>
      </c>
      <c r="G150" s="122" t="str">
        <f>Configuración!BM13</f>
        <v>Vaca descarte</v>
      </c>
      <c r="H150" s="117">
        <f>SUMPRODUCT(($C$140=Producción_Lecheria[Movimiento])*($G150=Producción_Lecheria[Categoría Hacienda])*(H$1=Producción_Lecheria[Mes Financiero])*(H$2=Producción_Lecheria[Año Financiero])*(Producción_Lecheria[Financiero $Corrientes]))</f>
        <v>0</v>
      </c>
      <c r="I150" s="118">
        <f>SUMPRODUCT(($C$140=Producción_Lecheria[Movimiento])*($G150=Producción_Lecheria[Categoría Hacienda])*(I$1=Producción_Lecheria[Mes Financiero])*(I$2=Producción_Lecheria[Año Financiero])*(Producción_Lecheria[Financiero $Corrientes]))</f>
        <v>0</v>
      </c>
      <c r="J150" s="117">
        <f>SUMPRODUCT(($C$140=Producción_Lecheria[Movimiento])*($G150=Producción_Lecheria[Categoría Hacienda])*(J$1=Producción_Lecheria[Mes Financiero])*(J$2=Producción_Lecheria[Año Financiero])*(Producción_Lecheria[Financiero $Corrientes]))</f>
        <v>0</v>
      </c>
      <c r="K150" s="118">
        <f>SUMPRODUCT(($C$140=Producción_Lecheria[Movimiento])*($G150=Producción_Lecheria[Categoría Hacienda])*(K$1=Producción_Lecheria[Mes Financiero])*(K$2=Producción_Lecheria[Año Financiero])*(Producción_Lecheria[Financiero $Corrientes]))</f>
        <v>0</v>
      </c>
      <c r="L150" s="117">
        <f>SUMPRODUCT(($C$140=Producción_Lecheria[Movimiento])*($G150=Producción_Lecheria[Categoría Hacienda])*(L$1=Producción_Lecheria[Mes Financiero])*(L$2=Producción_Lecheria[Año Financiero])*(Producción_Lecheria[Financiero $Corrientes]))</f>
        <v>0</v>
      </c>
      <c r="M150" s="118">
        <f>SUMPRODUCT(($C$140=Producción_Lecheria[Movimiento])*($G150=Producción_Lecheria[Categoría Hacienda])*(M$1=Producción_Lecheria[Mes Financiero])*(M$2=Producción_Lecheria[Año Financiero])*(Producción_Lecheria[Financiero $Corrientes]))</f>
        <v>0</v>
      </c>
      <c r="N150" s="117">
        <f>SUMPRODUCT(($C$140=Producción_Lecheria[Movimiento])*($G150=Producción_Lecheria[Categoría Hacienda])*(N$1=Producción_Lecheria[Mes Financiero])*(N$2=Producción_Lecheria[Año Financiero])*(Producción_Lecheria[Financiero $Corrientes]))</f>
        <v>0</v>
      </c>
      <c r="O150" s="118">
        <f>SUMPRODUCT(($C$140=Producción_Lecheria[Movimiento])*($G150=Producción_Lecheria[Categoría Hacienda])*(O$1=Producción_Lecheria[Mes Financiero])*(O$2=Producción_Lecheria[Año Financiero])*(Producción_Lecheria[Financiero $Corrientes]))</f>
        <v>0</v>
      </c>
      <c r="P150" s="117">
        <f>SUMPRODUCT(($C$140=Producción_Lecheria[Movimiento])*($G150=Producción_Lecheria[Categoría Hacienda])*(P$1=Producción_Lecheria[Mes Financiero])*(P$2=Producción_Lecheria[Año Financiero])*(Producción_Lecheria[Financiero $Corrientes]))</f>
        <v>0</v>
      </c>
      <c r="Q150" s="118">
        <f>SUMPRODUCT(($C$140=Producción_Lecheria[Movimiento])*($G150=Producción_Lecheria[Categoría Hacienda])*(Q$1=Producción_Lecheria[Mes Financiero])*(Q$2=Producción_Lecheria[Año Financiero])*(Producción_Lecheria[Financiero $Corrientes]))</f>
        <v>0</v>
      </c>
      <c r="R150" s="117">
        <f>SUMPRODUCT(($C$140=Producción_Lecheria[Movimiento])*($G150=Producción_Lecheria[Categoría Hacienda])*(R$1=Producción_Lecheria[Mes Financiero])*(R$2=Producción_Lecheria[Año Financiero])*(Producción_Lecheria[Financiero $Corrientes]))</f>
        <v>0</v>
      </c>
      <c r="S150" s="118">
        <f>SUMPRODUCT(($C$140=Producción_Lecheria[Movimiento])*($G150=Producción_Lecheria[Categoría Hacienda])*(S$1=Producción_Lecheria[Mes Financiero])*(S$2=Producción_Lecheria[Año Financiero])*(Producción_Lecheria[Financiero $Corrientes]))</f>
        <v>0</v>
      </c>
      <c r="T150" s="117">
        <f>SUMPRODUCT(($C$140=Producción_Lecheria[Movimiento])*($G150=Producción_Lecheria[Categoría Hacienda])*(T$1=Producción_Lecheria[Mes Financiero])*(T$2=Producción_Lecheria[Año Financiero])*(Producción_Lecheria[Financiero $Corrientes]))</f>
        <v>0</v>
      </c>
      <c r="U150" s="118">
        <f>SUMPRODUCT(($C$140=Producción_Lecheria[Movimiento])*($G150=Producción_Lecheria[Categoría Hacienda])*(U$1=Producción_Lecheria[Mes Financiero])*(U$2=Producción_Lecheria[Año Financiero])*(Producción_Lecheria[Financiero $Corrientes]))</f>
        <v>0</v>
      </c>
      <c r="V150" s="117">
        <f>SUMPRODUCT(($C$140=Producción_Lecheria[Movimiento])*($G150=Producción_Lecheria[Categoría Hacienda])*(V$1=Producción_Lecheria[Mes Financiero])*(V$2=Producción_Lecheria[Año Financiero])*(Producción_Lecheria[Financiero $Corrientes]))</f>
        <v>0</v>
      </c>
      <c r="W150" s="118">
        <f>SUMPRODUCT(($C$140=Producción_Lecheria[Movimiento])*($G150=Producción_Lecheria[Categoría Hacienda])*(W$1=Producción_Lecheria[Mes Financiero])*(W$2=Producción_Lecheria[Año Financiero])*(Producción_Lecheria[Financiero $Corrientes]))</f>
        <v>0</v>
      </c>
      <c r="X150" s="117">
        <f>SUMPRODUCT(($C$140=Producción_Lecheria[Movimiento])*($G150=Producción_Lecheria[Categoría Hacienda])*(X$1=Producción_Lecheria[Mes Financiero])*(X$2=Producción_Lecheria[Año Financiero])*(Producción_Lecheria[Financiero $Corrientes]))</f>
        <v>0</v>
      </c>
      <c r="Y150" s="118">
        <f>SUMPRODUCT(($C$140=Producción_Lecheria[Movimiento])*($G150=Producción_Lecheria[Categoría Hacienda])*(Y$1=Producción_Lecheria[Mes Financiero])*(Y$2=Producción_Lecheria[Año Financiero])*(Producción_Lecheria[Financiero $Corrientes]))</f>
        <v>0</v>
      </c>
      <c r="Z150" s="148">
        <f t="shared" si="22"/>
        <v>0</v>
      </c>
    </row>
    <row r="151" spans="2:30" hidden="1" outlineLevel="2" x14ac:dyDescent="0.25">
      <c r="F151" s="220">
        <f>MATCH(G151,Produccion_Lecheria[Categoría],0)</f>
        <v>10</v>
      </c>
      <c r="G151" s="122" t="str">
        <f>Configuración!BM14</f>
        <v>Toro Descarte</v>
      </c>
      <c r="H151" s="117">
        <f>SUMPRODUCT(($C$140=Producción_Lecheria[Movimiento])*($G151=Producción_Lecheria[Categoría Hacienda])*(H$1=Producción_Lecheria[Mes Financiero])*(H$2=Producción_Lecheria[Año Financiero])*(Producción_Lecheria[Financiero $Corrientes]))</f>
        <v>0</v>
      </c>
      <c r="I151" s="118">
        <f>SUMPRODUCT(($C$140=Producción_Lecheria[Movimiento])*($G151=Producción_Lecheria[Categoría Hacienda])*(I$1=Producción_Lecheria[Mes Financiero])*(I$2=Producción_Lecheria[Año Financiero])*(Producción_Lecheria[Financiero $Corrientes]))</f>
        <v>0</v>
      </c>
      <c r="J151" s="117">
        <f>SUMPRODUCT(($C$140=Producción_Lecheria[Movimiento])*($G151=Producción_Lecheria[Categoría Hacienda])*(J$1=Producción_Lecheria[Mes Financiero])*(J$2=Producción_Lecheria[Año Financiero])*(Producción_Lecheria[Financiero $Corrientes]))</f>
        <v>0</v>
      </c>
      <c r="K151" s="118">
        <f>SUMPRODUCT(($C$140=Producción_Lecheria[Movimiento])*($G151=Producción_Lecheria[Categoría Hacienda])*(K$1=Producción_Lecheria[Mes Financiero])*(K$2=Producción_Lecheria[Año Financiero])*(Producción_Lecheria[Financiero $Corrientes]))</f>
        <v>0</v>
      </c>
      <c r="L151" s="117">
        <f>SUMPRODUCT(($C$140=Producción_Lecheria[Movimiento])*($G151=Producción_Lecheria[Categoría Hacienda])*(L$1=Producción_Lecheria[Mes Financiero])*(L$2=Producción_Lecheria[Año Financiero])*(Producción_Lecheria[Financiero $Corrientes]))</f>
        <v>0</v>
      </c>
      <c r="M151" s="118">
        <f>SUMPRODUCT(($C$140=Producción_Lecheria[Movimiento])*($G151=Producción_Lecheria[Categoría Hacienda])*(M$1=Producción_Lecheria[Mes Financiero])*(M$2=Producción_Lecheria[Año Financiero])*(Producción_Lecheria[Financiero $Corrientes]))</f>
        <v>0</v>
      </c>
      <c r="N151" s="117">
        <f>SUMPRODUCT(($C$140=Producción_Lecheria[Movimiento])*($G151=Producción_Lecheria[Categoría Hacienda])*(N$1=Producción_Lecheria[Mes Financiero])*(N$2=Producción_Lecheria[Año Financiero])*(Producción_Lecheria[Financiero $Corrientes]))</f>
        <v>0</v>
      </c>
      <c r="O151" s="118">
        <f>SUMPRODUCT(($C$140=Producción_Lecheria[Movimiento])*($G151=Producción_Lecheria[Categoría Hacienda])*(O$1=Producción_Lecheria[Mes Financiero])*(O$2=Producción_Lecheria[Año Financiero])*(Producción_Lecheria[Financiero $Corrientes]))</f>
        <v>0</v>
      </c>
      <c r="P151" s="117">
        <f>SUMPRODUCT(($C$140=Producción_Lecheria[Movimiento])*($G151=Producción_Lecheria[Categoría Hacienda])*(P$1=Producción_Lecheria[Mes Financiero])*(P$2=Producción_Lecheria[Año Financiero])*(Producción_Lecheria[Financiero $Corrientes]))</f>
        <v>0</v>
      </c>
      <c r="Q151" s="118">
        <f>SUMPRODUCT(($C$140=Producción_Lecheria[Movimiento])*($G151=Producción_Lecheria[Categoría Hacienda])*(Q$1=Producción_Lecheria[Mes Financiero])*(Q$2=Producción_Lecheria[Año Financiero])*(Producción_Lecheria[Financiero $Corrientes]))</f>
        <v>0</v>
      </c>
      <c r="R151" s="117">
        <f>SUMPRODUCT(($C$140=Producción_Lecheria[Movimiento])*($G151=Producción_Lecheria[Categoría Hacienda])*(R$1=Producción_Lecheria[Mes Financiero])*(R$2=Producción_Lecheria[Año Financiero])*(Producción_Lecheria[Financiero $Corrientes]))</f>
        <v>0</v>
      </c>
      <c r="S151" s="118">
        <f>SUMPRODUCT(($C$140=Producción_Lecheria[Movimiento])*($G151=Producción_Lecheria[Categoría Hacienda])*(S$1=Producción_Lecheria[Mes Financiero])*(S$2=Producción_Lecheria[Año Financiero])*(Producción_Lecheria[Financiero $Corrientes]))</f>
        <v>0</v>
      </c>
      <c r="T151" s="117">
        <f>SUMPRODUCT(($C$140=Producción_Lecheria[Movimiento])*($G151=Producción_Lecheria[Categoría Hacienda])*(T$1=Producción_Lecheria[Mes Financiero])*(T$2=Producción_Lecheria[Año Financiero])*(Producción_Lecheria[Financiero $Corrientes]))</f>
        <v>0</v>
      </c>
      <c r="U151" s="118">
        <f>SUMPRODUCT(($C$140=Producción_Lecheria[Movimiento])*($G151=Producción_Lecheria[Categoría Hacienda])*(U$1=Producción_Lecheria[Mes Financiero])*(U$2=Producción_Lecheria[Año Financiero])*(Producción_Lecheria[Financiero $Corrientes]))</f>
        <v>0</v>
      </c>
      <c r="V151" s="117">
        <f>SUMPRODUCT(($C$140=Producción_Lecheria[Movimiento])*($G151=Producción_Lecheria[Categoría Hacienda])*(V$1=Producción_Lecheria[Mes Financiero])*(V$2=Producción_Lecheria[Año Financiero])*(Producción_Lecheria[Financiero $Corrientes]))</f>
        <v>0</v>
      </c>
      <c r="W151" s="118">
        <f>SUMPRODUCT(($C$140=Producción_Lecheria[Movimiento])*($G151=Producción_Lecheria[Categoría Hacienda])*(W$1=Producción_Lecheria[Mes Financiero])*(W$2=Producción_Lecheria[Año Financiero])*(Producción_Lecheria[Financiero $Corrientes]))</f>
        <v>0</v>
      </c>
      <c r="X151" s="117">
        <f>SUMPRODUCT(($C$140=Producción_Lecheria[Movimiento])*($G151=Producción_Lecheria[Categoría Hacienda])*(X$1=Producción_Lecheria[Mes Financiero])*(X$2=Producción_Lecheria[Año Financiero])*(Producción_Lecheria[Financiero $Corrientes]))</f>
        <v>0</v>
      </c>
      <c r="Y151" s="118">
        <f>SUMPRODUCT(($C$140=Producción_Lecheria[Movimiento])*($G151=Producción_Lecheria[Categoría Hacienda])*(Y$1=Producción_Lecheria[Mes Financiero])*(Y$2=Producción_Lecheria[Año Financiero])*(Producción_Lecheria[Financiero $Corrientes]))</f>
        <v>0</v>
      </c>
      <c r="Z151" s="148">
        <f t="shared" si="22"/>
        <v>0</v>
      </c>
    </row>
    <row r="152" spans="2:30" hidden="1" outlineLevel="2" x14ac:dyDescent="0.25">
      <c r="F152" s="220" t="e">
        <f>MATCH(G152,Produccion_Lecheria[Categoría],0)</f>
        <v>#N/A</v>
      </c>
      <c r="G152" s="122">
        <f>Configuración!BM15</f>
        <v>0</v>
      </c>
      <c r="H152" s="117">
        <f>SUMPRODUCT(($C$140=Producción_Lecheria[Movimiento])*($G152=Producción_Lecheria[Categoría Hacienda])*(H$1=Producción_Lecheria[Mes Financiero])*(H$2=Producción_Lecheria[Año Financiero])*(Producción_Lecheria[Financiero $Corrientes]))</f>
        <v>0</v>
      </c>
      <c r="I152" s="118">
        <f>SUMPRODUCT(($C$140=Producción_Lecheria[Movimiento])*($G152=Producción_Lecheria[Categoría Hacienda])*(I$1=Producción_Lecheria[Mes Financiero])*(I$2=Producción_Lecheria[Año Financiero])*(Producción_Lecheria[Financiero $Corrientes]))</f>
        <v>0</v>
      </c>
      <c r="J152" s="117">
        <f>SUMPRODUCT(($C$140=Producción_Lecheria[Movimiento])*($G152=Producción_Lecheria[Categoría Hacienda])*(J$1=Producción_Lecheria[Mes Financiero])*(J$2=Producción_Lecheria[Año Financiero])*(Producción_Lecheria[Financiero $Corrientes]))</f>
        <v>0</v>
      </c>
      <c r="K152" s="118">
        <f>SUMPRODUCT(($C$140=Producción_Lecheria[Movimiento])*($G152=Producción_Lecheria[Categoría Hacienda])*(K$1=Producción_Lecheria[Mes Financiero])*(K$2=Producción_Lecheria[Año Financiero])*(Producción_Lecheria[Financiero $Corrientes]))</f>
        <v>0</v>
      </c>
      <c r="L152" s="117">
        <f>SUMPRODUCT(($C$140=Producción_Lecheria[Movimiento])*($G152=Producción_Lecheria[Categoría Hacienda])*(L$1=Producción_Lecheria[Mes Financiero])*(L$2=Producción_Lecheria[Año Financiero])*(Producción_Lecheria[Financiero $Corrientes]))</f>
        <v>0</v>
      </c>
      <c r="M152" s="118">
        <f>SUMPRODUCT(($C$140=Producción_Lecheria[Movimiento])*($G152=Producción_Lecheria[Categoría Hacienda])*(M$1=Producción_Lecheria[Mes Financiero])*(M$2=Producción_Lecheria[Año Financiero])*(Producción_Lecheria[Financiero $Corrientes]))</f>
        <v>0</v>
      </c>
      <c r="N152" s="117">
        <f>SUMPRODUCT(($C$140=Producción_Lecheria[Movimiento])*($G152=Producción_Lecheria[Categoría Hacienda])*(N$1=Producción_Lecheria[Mes Financiero])*(N$2=Producción_Lecheria[Año Financiero])*(Producción_Lecheria[Financiero $Corrientes]))</f>
        <v>0</v>
      </c>
      <c r="O152" s="118">
        <f>SUMPRODUCT(($C$140=Producción_Lecheria[Movimiento])*($G152=Producción_Lecheria[Categoría Hacienda])*(O$1=Producción_Lecheria[Mes Financiero])*(O$2=Producción_Lecheria[Año Financiero])*(Producción_Lecheria[Financiero $Corrientes]))</f>
        <v>0</v>
      </c>
      <c r="P152" s="117">
        <f>SUMPRODUCT(($C$140=Producción_Lecheria[Movimiento])*($G152=Producción_Lecheria[Categoría Hacienda])*(P$1=Producción_Lecheria[Mes Financiero])*(P$2=Producción_Lecheria[Año Financiero])*(Producción_Lecheria[Financiero $Corrientes]))</f>
        <v>0</v>
      </c>
      <c r="Q152" s="118">
        <f>SUMPRODUCT(($C$140=Producción_Lecheria[Movimiento])*($G152=Producción_Lecheria[Categoría Hacienda])*(Q$1=Producción_Lecheria[Mes Financiero])*(Q$2=Producción_Lecheria[Año Financiero])*(Producción_Lecheria[Financiero $Corrientes]))</f>
        <v>0</v>
      </c>
      <c r="R152" s="117">
        <f>SUMPRODUCT(($C$140=Producción_Lecheria[Movimiento])*($G152=Producción_Lecheria[Categoría Hacienda])*(R$1=Producción_Lecheria[Mes Financiero])*(R$2=Producción_Lecheria[Año Financiero])*(Producción_Lecheria[Financiero $Corrientes]))</f>
        <v>0</v>
      </c>
      <c r="S152" s="118">
        <f>SUMPRODUCT(($C$140=Producción_Lecheria[Movimiento])*($G152=Producción_Lecheria[Categoría Hacienda])*(S$1=Producción_Lecheria[Mes Financiero])*(S$2=Producción_Lecheria[Año Financiero])*(Producción_Lecheria[Financiero $Corrientes]))</f>
        <v>0</v>
      </c>
      <c r="T152" s="117">
        <f>SUMPRODUCT(($C$140=Producción_Lecheria[Movimiento])*($G152=Producción_Lecheria[Categoría Hacienda])*(T$1=Producción_Lecheria[Mes Financiero])*(T$2=Producción_Lecheria[Año Financiero])*(Producción_Lecheria[Financiero $Corrientes]))</f>
        <v>0</v>
      </c>
      <c r="U152" s="118">
        <f>SUMPRODUCT(($C$140=Producción_Lecheria[Movimiento])*($G152=Producción_Lecheria[Categoría Hacienda])*(U$1=Producción_Lecheria[Mes Financiero])*(U$2=Producción_Lecheria[Año Financiero])*(Producción_Lecheria[Financiero $Corrientes]))</f>
        <v>0</v>
      </c>
      <c r="V152" s="117">
        <f>SUMPRODUCT(($C$140=Producción_Lecheria[Movimiento])*($G152=Producción_Lecheria[Categoría Hacienda])*(V$1=Producción_Lecheria[Mes Financiero])*(V$2=Producción_Lecheria[Año Financiero])*(Producción_Lecheria[Financiero $Corrientes]))</f>
        <v>0</v>
      </c>
      <c r="W152" s="118">
        <f>SUMPRODUCT(($C$140=Producción_Lecheria[Movimiento])*($G152=Producción_Lecheria[Categoría Hacienda])*(W$1=Producción_Lecheria[Mes Financiero])*(W$2=Producción_Lecheria[Año Financiero])*(Producción_Lecheria[Financiero $Corrientes]))</f>
        <v>0</v>
      </c>
      <c r="X152" s="117">
        <f>SUMPRODUCT(($C$140=Producción_Lecheria[Movimiento])*($G152=Producción_Lecheria[Categoría Hacienda])*(X$1=Producción_Lecheria[Mes Financiero])*(X$2=Producción_Lecheria[Año Financiero])*(Producción_Lecheria[Financiero $Corrientes]))</f>
        <v>0</v>
      </c>
      <c r="Y152" s="118">
        <f>SUMPRODUCT(($C$140=Producción_Lecheria[Movimiento])*($G152=Producción_Lecheria[Categoría Hacienda])*(Y$1=Producción_Lecheria[Mes Financiero])*(Y$2=Producción_Lecheria[Año Financiero])*(Producción_Lecheria[Financiero $Corrientes]))</f>
        <v>0</v>
      </c>
      <c r="Z152" s="148">
        <f t="shared" si="22"/>
        <v>0</v>
      </c>
    </row>
    <row r="153" spans="2:30" hidden="1" outlineLevel="2" x14ac:dyDescent="0.25">
      <c r="B153" s="166" t="s">
        <v>101</v>
      </c>
      <c r="F153" s="228" t="e">
        <f>MATCH(G153,Produccion_Lecheria[Categoría],0)</f>
        <v>#N/A</v>
      </c>
      <c r="G153" s="127">
        <f>Configuración!BM16</f>
        <v>0</v>
      </c>
      <c r="H153" s="128">
        <f>SUMPRODUCT(($C$140=Producción_Lecheria[Movimiento])*($G153=Producción_Lecheria[Categoría Hacienda])*(H$1=Producción_Lecheria[Mes Financiero])*(H$2=Producción_Lecheria[Año Financiero])*(Producción_Lecheria[Financiero $Corrientes]))</f>
        <v>0</v>
      </c>
      <c r="I153" s="129">
        <f>SUMPRODUCT(($C$140=Producción_Lecheria[Movimiento])*($G153=Producción_Lecheria[Categoría Hacienda])*(I$1=Producción_Lecheria[Mes Financiero])*(I$2=Producción_Lecheria[Año Financiero])*(Producción_Lecheria[Financiero $Corrientes]))</f>
        <v>0</v>
      </c>
      <c r="J153" s="128">
        <f>SUMPRODUCT(($C$140=Producción_Lecheria[Movimiento])*($G153=Producción_Lecheria[Categoría Hacienda])*(J$1=Producción_Lecheria[Mes Financiero])*(J$2=Producción_Lecheria[Año Financiero])*(Producción_Lecheria[Financiero $Corrientes]))</f>
        <v>0</v>
      </c>
      <c r="K153" s="129">
        <f>SUMPRODUCT(($C$140=Producción_Lecheria[Movimiento])*($G153=Producción_Lecheria[Categoría Hacienda])*(K$1=Producción_Lecheria[Mes Financiero])*(K$2=Producción_Lecheria[Año Financiero])*(Producción_Lecheria[Financiero $Corrientes]))</f>
        <v>0</v>
      </c>
      <c r="L153" s="128">
        <f>SUMPRODUCT(($C$140=Producción_Lecheria[Movimiento])*($G153=Producción_Lecheria[Categoría Hacienda])*(L$1=Producción_Lecheria[Mes Financiero])*(L$2=Producción_Lecheria[Año Financiero])*(Producción_Lecheria[Financiero $Corrientes]))</f>
        <v>0</v>
      </c>
      <c r="M153" s="129">
        <f>SUMPRODUCT(($C$140=Producción_Lecheria[Movimiento])*($G153=Producción_Lecheria[Categoría Hacienda])*(M$1=Producción_Lecheria[Mes Financiero])*(M$2=Producción_Lecheria[Año Financiero])*(Producción_Lecheria[Financiero $Corrientes]))</f>
        <v>0</v>
      </c>
      <c r="N153" s="128">
        <f>SUMPRODUCT(($C$140=Producción_Lecheria[Movimiento])*($G153=Producción_Lecheria[Categoría Hacienda])*(N$1=Producción_Lecheria[Mes Financiero])*(N$2=Producción_Lecheria[Año Financiero])*(Producción_Lecheria[Financiero $Corrientes]))</f>
        <v>0</v>
      </c>
      <c r="O153" s="129">
        <f>SUMPRODUCT(($C$140=Producción_Lecheria[Movimiento])*($G153=Producción_Lecheria[Categoría Hacienda])*(O$1=Producción_Lecheria[Mes Financiero])*(O$2=Producción_Lecheria[Año Financiero])*(Producción_Lecheria[Financiero $Corrientes]))</f>
        <v>0</v>
      </c>
      <c r="P153" s="128">
        <f>SUMPRODUCT(($C$140=Producción_Lecheria[Movimiento])*($G153=Producción_Lecheria[Categoría Hacienda])*(P$1=Producción_Lecheria[Mes Financiero])*(P$2=Producción_Lecheria[Año Financiero])*(Producción_Lecheria[Financiero $Corrientes]))</f>
        <v>0</v>
      </c>
      <c r="Q153" s="129">
        <f>SUMPRODUCT(($C$140=Producción_Lecheria[Movimiento])*($G153=Producción_Lecheria[Categoría Hacienda])*(Q$1=Producción_Lecheria[Mes Financiero])*(Q$2=Producción_Lecheria[Año Financiero])*(Producción_Lecheria[Financiero $Corrientes]))</f>
        <v>0</v>
      </c>
      <c r="R153" s="128">
        <f>SUMPRODUCT(($C$140=Producción_Lecheria[Movimiento])*($G153=Producción_Lecheria[Categoría Hacienda])*(R$1=Producción_Lecheria[Mes Financiero])*(R$2=Producción_Lecheria[Año Financiero])*(Producción_Lecheria[Financiero $Corrientes]))</f>
        <v>0</v>
      </c>
      <c r="S153" s="129">
        <f>SUMPRODUCT(($C$140=Producción_Lecheria[Movimiento])*($G153=Producción_Lecheria[Categoría Hacienda])*(S$1=Producción_Lecheria[Mes Financiero])*(S$2=Producción_Lecheria[Año Financiero])*(Producción_Lecheria[Financiero $Corrientes]))</f>
        <v>0</v>
      </c>
      <c r="T153" s="128">
        <f>SUMPRODUCT(($C$140=Producción_Lecheria[Movimiento])*($G153=Producción_Lecheria[Categoría Hacienda])*(T$1=Producción_Lecheria[Mes Financiero])*(T$2=Producción_Lecheria[Año Financiero])*(Producción_Lecheria[Financiero $Corrientes]))</f>
        <v>0</v>
      </c>
      <c r="U153" s="129">
        <f>SUMPRODUCT(($C$140=Producción_Lecheria[Movimiento])*($G153=Producción_Lecheria[Categoría Hacienda])*(U$1=Producción_Lecheria[Mes Financiero])*(U$2=Producción_Lecheria[Año Financiero])*(Producción_Lecheria[Financiero $Corrientes]))</f>
        <v>0</v>
      </c>
      <c r="V153" s="128">
        <f>SUMPRODUCT(($C$140=Producción_Lecheria[Movimiento])*($G153=Producción_Lecheria[Categoría Hacienda])*(V$1=Producción_Lecheria[Mes Financiero])*(V$2=Producción_Lecheria[Año Financiero])*(Producción_Lecheria[Financiero $Corrientes]))</f>
        <v>0</v>
      </c>
      <c r="W153" s="129">
        <f>SUMPRODUCT(($C$140=Producción_Lecheria[Movimiento])*($G153=Producción_Lecheria[Categoría Hacienda])*(W$1=Producción_Lecheria[Mes Financiero])*(W$2=Producción_Lecheria[Año Financiero])*(Producción_Lecheria[Financiero $Corrientes]))</f>
        <v>0</v>
      </c>
      <c r="X153" s="128">
        <f>SUMPRODUCT(($C$140=Producción_Lecheria[Movimiento])*($G153=Producción_Lecheria[Categoría Hacienda])*(X$1=Producción_Lecheria[Mes Financiero])*(X$2=Producción_Lecheria[Año Financiero])*(Producción_Lecheria[Financiero $Corrientes]))</f>
        <v>0</v>
      </c>
      <c r="Y153" s="129">
        <f>SUMPRODUCT(($C$140=Producción_Lecheria[Movimiento])*($G153=Producción_Lecheria[Categoría Hacienda])*(Y$1=Producción_Lecheria[Mes Financiero])*(Y$2=Producción_Lecheria[Año Financiero])*(Producción_Lecheria[Financiero $Corrientes]))</f>
        <v>0</v>
      </c>
      <c r="Z153" s="149">
        <f t="shared" si="22"/>
        <v>0</v>
      </c>
    </row>
    <row r="154" spans="2:30" hidden="1" outlineLevel="1" collapsed="1" x14ac:dyDescent="0.25">
      <c r="E154" s="223">
        <f>IFERROR(MATCH(F154,Produccion_Lecheria_Cuentas[Cuenta Contable],0),0)</f>
        <v>14</v>
      </c>
      <c r="F154" s="116" t="s">
        <v>107</v>
      </c>
      <c r="H154" s="103">
        <f>SUMPRODUCT(($C$140=Producción_Lecheria[Movimiento])*($F154=Producción_Lecheria[Cuenta Contable])*(H$1=Producción_Lecheria[Mes Financiero])*(H$2=Producción_Lecheria[Año Financiero])*(Producción_Lecheria[Financiero $Corrientes]))</f>
        <v>0</v>
      </c>
      <c r="I154" s="104">
        <f>SUMPRODUCT(($C$140=Producción_Lecheria[Movimiento])*($F154=Producción_Lecheria[Cuenta Contable])*(I$1=Producción_Lecheria[Mes Financiero])*(I$2=Producción_Lecheria[Año Financiero])*(Producción_Lecheria[Financiero $Corrientes]))</f>
        <v>0</v>
      </c>
      <c r="J154" s="103">
        <f>SUMPRODUCT(($C$140=Producción_Lecheria[Movimiento])*($F154=Producción_Lecheria[Cuenta Contable])*(J$1=Producción_Lecheria[Mes Financiero])*(J$2=Producción_Lecheria[Año Financiero])*(Producción_Lecheria[Financiero $Corrientes]))</f>
        <v>0</v>
      </c>
      <c r="K154" s="104">
        <f>SUMPRODUCT(($C$140=Producción_Lecheria[Movimiento])*($F154=Producción_Lecheria[Cuenta Contable])*(K$1=Producción_Lecheria[Mes Financiero])*(K$2=Producción_Lecheria[Año Financiero])*(Producción_Lecheria[Financiero $Corrientes]))</f>
        <v>0</v>
      </c>
      <c r="L154" s="103">
        <f>SUMPRODUCT(($C$140=Producción_Lecheria[Movimiento])*($F154=Producción_Lecheria[Cuenta Contable])*(L$1=Producción_Lecheria[Mes Financiero])*(L$2=Producción_Lecheria[Año Financiero])*(Producción_Lecheria[Financiero $Corrientes]))</f>
        <v>0</v>
      </c>
      <c r="M154" s="104">
        <f>SUMPRODUCT(($C$140=Producción_Lecheria[Movimiento])*($F154=Producción_Lecheria[Cuenta Contable])*(M$1=Producción_Lecheria[Mes Financiero])*(M$2=Producción_Lecheria[Año Financiero])*(Producción_Lecheria[Financiero $Corrientes]))</f>
        <v>0</v>
      </c>
      <c r="N154" s="103">
        <f>SUMPRODUCT(($C$140=Producción_Lecheria[Movimiento])*($F154=Producción_Lecheria[Cuenta Contable])*(N$1=Producción_Lecheria[Mes Financiero])*(N$2=Producción_Lecheria[Año Financiero])*(Producción_Lecheria[Financiero $Corrientes]))</f>
        <v>0</v>
      </c>
      <c r="O154" s="104">
        <f>SUMPRODUCT(($C$140=Producción_Lecheria[Movimiento])*($F154=Producción_Lecheria[Cuenta Contable])*(O$1=Producción_Lecheria[Mes Financiero])*(O$2=Producción_Lecheria[Año Financiero])*(Producción_Lecheria[Financiero $Corrientes]))</f>
        <v>0</v>
      </c>
      <c r="P154" s="103">
        <f>SUMPRODUCT(($C$140=Producción_Lecheria[Movimiento])*($F154=Producción_Lecheria[Cuenta Contable])*(P$1=Producción_Lecheria[Mes Financiero])*(P$2=Producción_Lecheria[Año Financiero])*(Producción_Lecheria[Financiero $Corrientes]))</f>
        <v>0</v>
      </c>
      <c r="Q154" s="104">
        <f>SUMPRODUCT(($C$140=Producción_Lecheria[Movimiento])*($F154=Producción_Lecheria[Cuenta Contable])*(Q$1=Producción_Lecheria[Mes Financiero])*(Q$2=Producción_Lecheria[Año Financiero])*(Producción_Lecheria[Financiero $Corrientes]))</f>
        <v>0</v>
      </c>
      <c r="R154" s="103">
        <f>SUMPRODUCT(($C$140=Producción_Lecheria[Movimiento])*($F154=Producción_Lecheria[Cuenta Contable])*(R$1=Producción_Lecheria[Mes Financiero])*(R$2=Producción_Lecheria[Año Financiero])*(Producción_Lecheria[Financiero $Corrientes]))</f>
        <v>0</v>
      </c>
      <c r="S154" s="104">
        <f>SUMPRODUCT(($C$140=Producción_Lecheria[Movimiento])*($F154=Producción_Lecheria[Cuenta Contable])*(S$1=Producción_Lecheria[Mes Financiero])*(S$2=Producción_Lecheria[Año Financiero])*(Producción_Lecheria[Financiero $Corrientes]))</f>
        <v>0</v>
      </c>
      <c r="T154" s="103">
        <f>SUMPRODUCT(($C$140=Producción_Lecheria[Movimiento])*($F154=Producción_Lecheria[Cuenta Contable])*(T$1=Producción_Lecheria[Mes Financiero])*(T$2=Producción_Lecheria[Año Financiero])*(Producción_Lecheria[Financiero $Corrientes]))</f>
        <v>0</v>
      </c>
      <c r="U154" s="104">
        <f>SUMPRODUCT(($C$140=Producción_Lecheria[Movimiento])*($F154=Producción_Lecheria[Cuenta Contable])*(U$1=Producción_Lecheria[Mes Financiero])*(U$2=Producción_Lecheria[Año Financiero])*(Producción_Lecheria[Financiero $Corrientes]))</f>
        <v>0</v>
      </c>
      <c r="V154" s="103">
        <f>SUMPRODUCT(($C$140=Producción_Lecheria[Movimiento])*($F154=Producción_Lecheria[Cuenta Contable])*(V$1=Producción_Lecheria[Mes Financiero])*(V$2=Producción_Lecheria[Año Financiero])*(Producción_Lecheria[Financiero $Corrientes]))</f>
        <v>0</v>
      </c>
      <c r="W154" s="104">
        <f>SUMPRODUCT(($C$140=Producción_Lecheria[Movimiento])*($F154=Producción_Lecheria[Cuenta Contable])*(W$1=Producción_Lecheria[Mes Financiero])*(W$2=Producción_Lecheria[Año Financiero])*(Producción_Lecheria[Financiero $Corrientes]))</f>
        <v>0</v>
      </c>
      <c r="X154" s="103">
        <f>SUMPRODUCT(($C$140=Producción_Lecheria[Movimiento])*($F154=Producción_Lecheria[Cuenta Contable])*(X$1=Producción_Lecheria[Mes Financiero])*(X$2=Producción_Lecheria[Año Financiero])*(Producción_Lecheria[Financiero $Corrientes]))</f>
        <v>0</v>
      </c>
      <c r="Y154" s="104">
        <f>SUMPRODUCT(($C$140=Producción_Lecheria[Movimiento])*($F154=Producción_Lecheria[Cuenta Contable])*(Y$1=Producción_Lecheria[Mes Financiero])*(Y$2=Producción_Lecheria[Año Financiero])*(Producción_Lecheria[Financiero $Corrientes]))</f>
        <v>0</v>
      </c>
      <c r="Z154" s="144">
        <f t="shared" si="22"/>
        <v>0</v>
      </c>
      <c r="AC154" s="174">
        <f>SUMPRODUCT((F154=Produccion_Lecheria_Cuentas[Cuenta Contable])*(Produccion_Lecheria_Cuentas[IVA]))</f>
        <v>0</v>
      </c>
      <c r="AD154" s="174">
        <f>SUMPRODUCT((G154=Produccion_Lecheria_Cuentas[Cuenta Contable])*(Produccion_Lecheria_Cuentas[IVA]))</f>
        <v>0</v>
      </c>
    </row>
    <row r="155" spans="2:30" hidden="1" outlineLevel="1" x14ac:dyDescent="0.25">
      <c r="E155" s="223">
        <f>IFERROR(MATCH(F155,Produccion_Lecheria_Cuentas[Cuenta Contable],0),0)</f>
        <v>15</v>
      </c>
      <c r="F155" s="116" t="s">
        <v>108</v>
      </c>
      <c r="H155" s="103">
        <f>SUMPRODUCT(($C$140=Producción_Lecheria[Movimiento])*($F155=Producción_Lecheria[Cuenta Contable])*(H$1=Producción_Lecheria[Mes Financiero])*(H$2=Producción_Lecheria[Año Financiero])*(Producción_Lecheria[Financiero $Corrientes]))</f>
        <v>0</v>
      </c>
      <c r="I155" s="104">
        <f>SUMPRODUCT(($C$140=Producción_Lecheria[Movimiento])*($F155=Producción_Lecheria[Cuenta Contable])*(I$1=Producción_Lecheria[Mes Financiero])*(I$2=Producción_Lecheria[Año Financiero])*(Producción_Lecheria[Financiero $Corrientes]))</f>
        <v>0</v>
      </c>
      <c r="J155" s="103">
        <f>SUMPRODUCT(($C$140=Producción_Lecheria[Movimiento])*($F155=Producción_Lecheria[Cuenta Contable])*(J$1=Producción_Lecheria[Mes Financiero])*(J$2=Producción_Lecheria[Año Financiero])*(Producción_Lecheria[Financiero $Corrientes]))</f>
        <v>0</v>
      </c>
      <c r="K155" s="104">
        <f>SUMPRODUCT(($C$140=Producción_Lecheria[Movimiento])*($F155=Producción_Lecheria[Cuenta Contable])*(K$1=Producción_Lecheria[Mes Financiero])*(K$2=Producción_Lecheria[Año Financiero])*(Producción_Lecheria[Financiero $Corrientes]))</f>
        <v>0</v>
      </c>
      <c r="L155" s="103">
        <f>SUMPRODUCT(($C$140=Producción_Lecheria[Movimiento])*($F155=Producción_Lecheria[Cuenta Contable])*(L$1=Producción_Lecheria[Mes Financiero])*(L$2=Producción_Lecheria[Año Financiero])*(Producción_Lecheria[Financiero $Corrientes]))</f>
        <v>0</v>
      </c>
      <c r="M155" s="104">
        <f>SUMPRODUCT(($C$140=Producción_Lecheria[Movimiento])*($F155=Producción_Lecheria[Cuenta Contable])*(M$1=Producción_Lecheria[Mes Financiero])*(M$2=Producción_Lecheria[Año Financiero])*(Producción_Lecheria[Financiero $Corrientes]))</f>
        <v>0</v>
      </c>
      <c r="N155" s="103">
        <f>SUMPRODUCT(($C$140=Producción_Lecheria[Movimiento])*($F155=Producción_Lecheria[Cuenta Contable])*(N$1=Producción_Lecheria[Mes Financiero])*(N$2=Producción_Lecheria[Año Financiero])*(Producción_Lecheria[Financiero $Corrientes]))</f>
        <v>0</v>
      </c>
      <c r="O155" s="104">
        <f>SUMPRODUCT(($C$140=Producción_Lecheria[Movimiento])*($F155=Producción_Lecheria[Cuenta Contable])*(O$1=Producción_Lecheria[Mes Financiero])*(O$2=Producción_Lecheria[Año Financiero])*(Producción_Lecheria[Financiero $Corrientes]))</f>
        <v>0</v>
      </c>
      <c r="P155" s="103">
        <f>SUMPRODUCT(($C$140=Producción_Lecheria[Movimiento])*($F155=Producción_Lecheria[Cuenta Contable])*(P$1=Producción_Lecheria[Mes Financiero])*(P$2=Producción_Lecheria[Año Financiero])*(Producción_Lecheria[Financiero $Corrientes]))</f>
        <v>0</v>
      </c>
      <c r="Q155" s="104">
        <f>SUMPRODUCT(($C$140=Producción_Lecheria[Movimiento])*($F155=Producción_Lecheria[Cuenta Contable])*(Q$1=Producción_Lecheria[Mes Financiero])*(Q$2=Producción_Lecheria[Año Financiero])*(Producción_Lecheria[Financiero $Corrientes]))</f>
        <v>0</v>
      </c>
      <c r="R155" s="103">
        <f>SUMPRODUCT(($C$140=Producción_Lecheria[Movimiento])*($F155=Producción_Lecheria[Cuenta Contable])*(R$1=Producción_Lecheria[Mes Financiero])*(R$2=Producción_Lecheria[Año Financiero])*(Producción_Lecheria[Financiero $Corrientes]))</f>
        <v>0</v>
      </c>
      <c r="S155" s="104">
        <f>SUMPRODUCT(($C$140=Producción_Lecheria[Movimiento])*($F155=Producción_Lecheria[Cuenta Contable])*(S$1=Producción_Lecheria[Mes Financiero])*(S$2=Producción_Lecheria[Año Financiero])*(Producción_Lecheria[Financiero $Corrientes]))</f>
        <v>0</v>
      </c>
      <c r="T155" s="103">
        <f>SUMPRODUCT(($C$140=Producción_Lecheria[Movimiento])*($F155=Producción_Lecheria[Cuenta Contable])*(T$1=Producción_Lecheria[Mes Financiero])*(T$2=Producción_Lecheria[Año Financiero])*(Producción_Lecheria[Financiero $Corrientes]))</f>
        <v>0</v>
      </c>
      <c r="U155" s="104">
        <f>SUMPRODUCT(($C$140=Producción_Lecheria[Movimiento])*($F155=Producción_Lecheria[Cuenta Contable])*(U$1=Producción_Lecheria[Mes Financiero])*(U$2=Producción_Lecheria[Año Financiero])*(Producción_Lecheria[Financiero $Corrientes]))</f>
        <v>0</v>
      </c>
      <c r="V155" s="103">
        <f>SUMPRODUCT(($C$140=Producción_Lecheria[Movimiento])*($F155=Producción_Lecheria[Cuenta Contable])*(V$1=Producción_Lecheria[Mes Financiero])*(V$2=Producción_Lecheria[Año Financiero])*(Producción_Lecheria[Financiero $Corrientes]))</f>
        <v>0</v>
      </c>
      <c r="W155" s="104">
        <f>SUMPRODUCT(($C$140=Producción_Lecheria[Movimiento])*($F155=Producción_Lecheria[Cuenta Contable])*(W$1=Producción_Lecheria[Mes Financiero])*(W$2=Producción_Lecheria[Año Financiero])*(Producción_Lecheria[Financiero $Corrientes]))</f>
        <v>0</v>
      </c>
      <c r="X155" s="103">
        <f>SUMPRODUCT(($C$140=Producción_Lecheria[Movimiento])*($F155=Producción_Lecheria[Cuenta Contable])*(X$1=Producción_Lecheria[Mes Financiero])*(X$2=Producción_Lecheria[Año Financiero])*(Producción_Lecheria[Financiero $Corrientes]))</f>
        <v>0</v>
      </c>
      <c r="Y155" s="104">
        <f>SUMPRODUCT(($C$140=Producción_Lecheria[Movimiento])*($F155=Producción_Lecheria[Cuenta Contable])*(Y$1=Producción_Lecheria[Mes Financiero])*(Y$2=Producción_Lecheria[Año Financiero])*(Producción_Lecheria[Financiero $Corrientes]))</f>
        <v>0</v>
      </c>
      <c r="Z155" s="144">
        <f t="shared" si="22"/>
        <v>0</v>
      </c>
      <c r="AC155" s="174">
        <f>SUMPRODUCT((F155=Produccion_Lecheria_Cuentas[Cuenta Contable])*(Produccion_Lecheria_Cuentas[IVA]))</f>
        <v>0</v>
      </c>
      <c r="AD155" s="174">
        <f>SUMPRODUCT((G155=Produccion_Lecheria_Cuentas[Cuenta Contable])*(Produccion_Lecheria_Cuentas[IVA]))</f>
        <v>0</v>
      </c>
    </row>
    <row r="156" spans="2:30" hidden="1" outlineLevel="1" x14ac:dyDescent="0.25">
      <c r="E156" s="223">
        <f>IFERROR(MATCH(F156,Produccion_Lecheria_Cuentas[Cuenta Contable],0),0)</f>
        <v>16</v>
      </c>
      <c r="F156" s="116" t="s">
        <v>120</v>
      </c>
      <c r="H156" s="103">
        <f>SUMPRODUCT(($C$140=Producción_Lecheria[Movimiento])*($F156=Producción_Lecheria[Cuenta Contable])*(H$1=Producción_Lecheria[Mes Financiero])*(H$2=Producción_Lecheria[Año Financiero])*(Producción_Lecheria[Financiero $Corrientes]))</f>
        <v>0</v>
      </c>
      <c r="I156" s="104">
        <f>SUMPRODUCT(($C$140=Producción_Lecheria[Movimiento])*($F156=Producción_Lecheria[Cuenta Contable])*(I$1=Producción_Lecheria[Mes Financiero])*(I$2=Producción_Lecheria[Año Financiero])*(Producción_Lecheria[Financiero $Corrientes]))</f>
        <v>0</v>
      </c>
      <c r="J156" s="103">
        <f>SUMPRODUCT(($C$140=Producción_Lecheria[Movimiento])*($F156=Producción_Lecheria[Cuenta Contable])*(J$1=Producción_Lecheria[Mes Financiero])*(J$2=Producción_Lecheria[Año Financiero])*(Producción_Lecheria[Financiero $Corrientes]))</f>
        <v>0</v>
      </c>
      <c r="K156" s="104">
        <f>SUMPRODUCT(($C$140=Producción_Lecheria[Movimiento])*($F156=Producción_Lecheria[Cuenta Contable])*(K$1=Producción_Lecheria[Mes Financiero])*(K$2=Producción_Lecheria[Año Financiero])*(Producción_Lecheria[Financiero $Corrientes]))</f>
        <v>0</v>
      </c>
      <c r="L156" s="103">
        <f>SUMPRODUCT(($C$140=Producción_Lecheria[Movimiento])*($F156=Producción_Lecheria[Cuenta Contable])*(L$1=Producción_Lecheria[Mes Financiero])*(L$2=Producción_Lecheria[Año Financiero])*(Producción_Lecheria[Financiero $Corrientes]))</f>
        <v>0</v>
      </c>
      <c r="M156" s="104">
        <f>SUMPRODUCT(($C$140=Producción_Lecheria[Movimiento])*($F156=Producción_Lecheria[Cuenta Contable])*(M$1=Producción_Lecheria[Mes Financiero])*(M$2=Producción_Lecheria[Año Financiero])*(Producción_Lecheria[Financiero $Corrientes]))</f>
        <v>0</v>
      </c>
      <c r="N156" s="103">
        <f>SUMPRODUCT(($C$140=Producción_Lecheria[Movimiento])*($F156=Producción_Lecheria[Cuenta Contable])*(N$1=Producción_Lecheria[Mes Financiero])*(N$2=Producción_Lecheria[Año Financiero])*(Producción_Lecheria[Financiero $Corrientes]))</f>
        <v>0</v>
      </c>
      <c r="O156" s="104">
        <f>SUMPRODUCT(($C$140=Producción_Lecheria[Movimiento])*($F156=Producción_Lecheria[Cuenta Contable])*(O$1=Producción_Lecheria[Mes Financiero])*(O$2=Producción_Lecheria[Año Financiero])*(Producción_Lecheria[Financiero $Corrientes]))</f>
        <v>0</v>
      </c>
      <c r="P156" s="103">
        <f>SUMPRODUCT(($C$140=Producción_Lecheria[Movimiento])*($F156=Producción_Lecheria[Cuenta Contable])*(P$1=Producción_Lecheria[Mes Financiero])*(P$2=Producción_Lecheria[Año Financiero])*(Producción_Lecheria[Financiero $Corrientes]))</f>
        <v>0</v>
      </c>
      <c r="Q156" s="104">
        <f>SUMPRODUCT(($C$140=Producción_Lecheria[Movimiento])*($F156=Producción_Lecheria[Cuenta Contable])*(Q$1=Producción_Lecheria[Mes Financiero])*(Q$2=Producción_Lecheria[Año Financiero])*(Producción_Lecheria[Financiero $Corrientes]))</f>
        <v>0</v>
      </c>
      <c r="R156" s="103">
        <f>SUMPRODUCT(($C$140=Producción_Lecheria[Movimiento])*($F156=Producción_Lecheria[Cuenta Contable])*(R$1=Producción_Lecheria[Mes Financiero])*(R$2=Producción_Lecheria[Año Financiero])*(Producción_Lecheria[Financiero $Corrientes]))</f>
        <v>0</v>
      </c>
      <c r="S156" s="104">
        <f>SUMPRODUCT(($C$140=Producción_Lecheria[Movimiento])*($F156=Producción_Lecheria[Cuenta Contable])*(S$1=Producción_Lecheria[Mes Financiero])*(S$2=Producción_Lecheria[Año Financiero])*(Producción_Lecheria[Financiero $Corrientes]))</f>
        <v>0</v>
      </c>
      <c r="T156" s="103">
        <f>SUMPRODUCT(($C$140=Producción_Lecheria[Movimiento])*($F156=Producción_Lecheria[Cuenta Contable])*(T$1=Producción_Lecheria[Mes Financiero])*(T$2=Producción_Lecheria[Año Financiero])*(Producción_Lecheria[Financiero $Corrientes]))</f>
        <v>0</v>
      </c>
      <c r="U156" s="104">
        <f>SUMPRODUCT(($C$140=Producción_Lecheria[Movimiento])*($F156=Producción_Lecheria[Cuenta Contable])*(U$1=Producción_Lecheria[Mes Financiero])*(U$2=Producción_Lecheria[Año Financiero])*(Producción_Lecheria[Financiero $Corrientes]))</f>
        <v>0</v>
      </c>
      <c r="V156" s="103">
        <f>SUMPRODUCT(($C$140=Producción_Lecheria[Movimiento])*($F156=Producción_Lecheria[Cuenta Contable])*(V$1=Producción_Lecheria[Mes Financiero])*(V$2=Producción_Lecheria[Año Financiero])*(Producción_Lecheria[Financiero $Corrientes]))</f>
        <v>0</v>
      </c>
      <c r="W156" s="104">
        <f>SUMPRODUCT(($C$140=Producción_Lecheria[Movimiento])*($F156=Producción_Lecheria[Cuenta Contable])*(W$1=Producción_Lecheria[Mes Financiero])*(W$2=Producción_Lecheria[Año Financiero])*(Producción_Lecheria[Financiero $Corrientes]))</f>
        <v>0</v>
      </c>
      <c r="X156" s="103">
        <f>SUMPRODUCT(($C$140=Producción_Lecheria[Movimiento])*($F156=Producción_Lecheria[Cuenta Contable])*(X$1=Producción_Lecheria[Mes Financiero])*(X$2=Producción_Lecheria[Año Financiero])*(Producción_Lecheria[Financiero $Corrientes]))</f>
        <v>0</v>
      </c>
      <c r="Y156" s="104">
        <f>SUMPRODUCT(($C$140=Producción_Lecheria[Movimiento])*($F156=Producción_Lecheria[Cuenta Contable])*(Y$1=Producción_Lecheria[Mes Financiero])*(Y$2=Producción_Lecheria[Año Financiero])*(Producción_Lecheria[Financiero $Corrientes]))</f>
        <v>0</v>
      </c>
      <c r="Z156" s="144">
        <f t="shared" si="22"/>
        <v>0</v>
      </c>
      <c r="AC156" s="174">
        <f>SUMPRODUCT((F156=Produccion_Lecheria_Cuentas[Cuenta Contable])*(Produccion_Lecheria_Cuentas[IVA]))</f>
        <v>0</v>
      </c>
      <c r="AD156" s="174">
        <f>SUMPRODUCT((G156=Produccion_Lecheria_Cuentas[Cuenta Contable])*(Produccion_Lecheria_Cuentas[IVA]))</f>
        <v>0</v>
      </c>
    </row>
    <row r="157" spans="2:30" hidden="1" outlineLevel="1" x14ac:dyDescent="0.25">
      <c r="E157" s="223">
        <f>IFERROR(MATCH(F157,Produccion_Lecheria_Cuentas[Cuenta Contable],0),0)</f>
        <v>17</v>
      </c>
      <c r="F157" s="116" t="s">
        <v>121</v>
      </c>
      <c r="H157" s="103">
        <f>SUMPRODUCT(($C$140=Producción_Lecheria[Movimiento])*($F157=Producción_Lecheria[Cuenta Contable])*(H$1=Producción_Lecheria[Mes Financiero])*(H$2=Producción_Lecheria[Año Financiero])*(Producción_Lecheria[Financiero $Corrientes]))</f>
        <v>0</v>
      </c>
      <c r="I157" s="104">
        <f>SUMPRODUCT(($C$140=Producción_Lecheria[Movimiento])*($F157=Producción_Lecheria[Cuenta Contable])*(I$1=Producción_Lecheria[Mes Financiero])*(I$2=Producción_Lecheria[Año Financiero])*(Producción_Lecheria[Financiero $Corrientes]))</f>
        <v>0</v>
      </c>
      <c r="J157" s="103">
        <f>SUMPRODUCT(($C$140=Producción_Lecheria[Movimiento])*($F157=Producción_Lecheria[Cuenta Contable])*(J$1=Producción_Lecheria[Mes Financiero])*(J$2=Producción_Lecheria[Año Financiero])*(Producción_Lecheria[Financiero $Corrientes]))</f>
        <v>0</v>
      </c>
      <c r="K157" s="104">
        <f>SUMPRODUCT(($C$140=Producción_Lecheria[Movimiento])*($F157=Producción_Lecheria[Cuenta Contable])*(K$1=Producción_Lecheria[Mes Financiero])*(K$2=Producción_Lecheria[Año Financiero])*(Producción_Lecheria[Financiero $Corrientes]))</f>
        <v>0</v>
      </c>
      <c r="L157" s="103">
        <f>SUMPRODUCT(($C$140=Producción_Lecheria[Movimiento])*($F157=Producción_Lecheria[Cuenta Contable])*(L$1=Producción_Lecheria[Mes Financiero])*(L$2=Producción_Lecheria[Año Financiero])*(Producción_Lecheria[Financiero $Corrientes]))</f>
        <v>0</v>
      </c>
      <c r="M157" s="104">
        <f>SUMPRODUCT(($C$140=Producción_Lecheria[Movimiento])*($F157=Producción_Lecheria[Cuenta Contable])*(M$1=Producción_Lecheria[Mes Financiero])*(M$2=Producción_Lecheria[Año Financiero])*(Producción_Lecheria[Financiero $Corrientes]))</f>
        <v>0</v>
      </c>
      <c r="N157" s="103">
        <f>SUMPRODUCT(($C$140=Producción_Lecheria[Movimiento])*($F157=Producción_Lecheria[Cuenta Contable])*(N$1=Producción_Lecheria[Mes Financiero])*(N$2=Producción_Lecheria[Año Financiero])*(Producción_Lecheria[Financiero $Corrientes]))</f>
        <v>0</v>
      </c>
      <c r="O157" s="104">
        <f>SUMPRODUCT(($C$140=Producción_Lecheria[Movimiento])*($F157=Producción_Lecheria[Cuenta Contable])*(O$1=Producción_Lecheria[Mes Financiero])*(O$2=Producción_Lecheria[Año Financiero])*(Producción_Lecheria[Financiero $Corrientes]))</f>
        <v>0</v>
      </c>
      <c r="P157" s="103">
        <f>SUMPRODUCT(($C$140=Producción_Lecheria[Movimiento])*($F157=Producción_Lecheria[Cuenta Contable])*(P$1=Producción_Lecheria[Mes Financiero])*(P$2=Producción_Lecheria[Año Financiero])*(Producción_Lecheria[Financiero $Corrientes]))</f>
        <v>0</v>
      </c>
      <c r="Q157" s="104">
        <f>SUMPRODUCT(($C$140=Producción_Lecheria[Movimiento])*($F157=Producción_Lecheria[Cuenta Contable])*(Q$1=Producción_Lecheria[Mes Financiero])*(Q$2=Producción_Lecheria[Año Financiero])*(Producción_Lecheria[Financiero $Corrientes]))</f>
        <v>0</v>
      </c>
      <c r="R157" s="103">
        <f>SUMPRODUCT(($C$140=Producción_Lecheria[Movimiento])*($F157=Producción_Lecheria[Cuenta Contable])*(R$1=Producción_Lecheria[Mes Financiero])*(R$2=Producción_Lecheria[Año Financiero])*(Producción_Lecheria[Financiero $Corrientes]))</f>
        <v>0</v>
      </c>
      <c r="S157" s="104">
        <f>SUMPRODUCT(($C$140=Producción_Lecheria[Movimiento])*($F157=Producción_Lecheria[Cuenta Contable])*(S$1=Producción_Lecheria[Mes Financiero])*(S$2=Producción_Lecheria[Año Financiero])*(Producción_Lecheria[Financiero $Corrientes]))</f>
        <v>0</v>
      </c>
      <c r="T157" s="103">
        <f>SUMPRODUCT(($C$140=Producción_Lecheria[Movimiento])*($F157=Producción_Lecheria[Cuenta Contable])*(T$1=Producción_Lecheria[Mes Financiero])*(T$2=Producción_Lecheria[Año Financiero])*(Producción_Lecheria[Financiero $Corrientes]))</f>
        <v>0</v>
      </c>
      <c r="U157" s="104">
        <f>SUMPRODUCT(($C$140=Producción_Lecheria[Movimiento])*($F157=Producción_Lecheria[Cuenta Contable])*(U$1=Producción_Lecheria[Mes Financiero])*(U$2=Producción_Lecheria[Año Financiero])*(Producción_Lecheria[Financiero $Corrientes]))</f>
        <v>0</v>
      </c>
      <c r="V157" s="103">
        <f>SUMPRODUCT(($C$140=Producción_Lecheria[Movimiento])*($F157=Producción_Lecheria[Cuenta Contable])*(V$1=Producción_Lecheria[Mes Financiero])*(V$2=Producción_Lecheria[Año Financiero])*(Producción_Lecheria[Financiero $Corrientes]))</f>
        <v>0</v>
      </c>
      <c r="W157" s="104">
        <f>SUMPRODUCT(($C$140=Producción_Lecheria[Movimiento])*($F157=Producción_Lecheria[Cuenta Contable])*(W$1=Producción_Lecheria[Mes Financiero])*(W$2=Producción_Lecheria[Año Financiero])*(Producción_Lecheria[Financiero $Corrientes]))</f>
        <v>0</v>
      </c>
      <c r="X157" s="103">
        <f>SUMPRODUCT(($C$140=Producción_Lecheria[Movimiento])*($F157=Producción_Lecheria[Cuenta Contable])*(X$1=Producción_Lecheria[Mes Financiero])*(X$2=Producción_Lecheria[Año Financiero])*(Producción_Lecheria[Financiero $Corrientes]))</f>
        <v>0</v>
      </c>
      <c r="Y157" s="104">
        <f>SUMPRODUCT(($C$140=Producción_Lecheria[Movimiento])*($F157=Producción_Lecheria[Cuenta Contable])*(Y$1=Producción_Lecheria[Mes Financiero])*(Y$2=Producción_Lecheria[Año Financiero])*(Producción_Lecheria[Financiero $Corrientes]))</f>
        <v>0</v>
      </c>
      <c r="Z157" s="144">
        <f t="shared" si="22"/>
        <v>0</v>
      </c>
      <c r="AC157" s="174">
        <f>SUMPRODUCT((F157=Produccion_Lecheria_Cuentas[Cuenta Contable])*(Produccion_Lecheria_Cuentas[IVA]))</f>
        <v>0.21</v>
      </c>
      <c r="AD157" s="174">
        <f>SUMPRODUCT((G157=Produccion_Lecheria_Cuentas[Cuenta Contable])*(Produccion_Lecheria_Cuentas[IVA]))</f>
        <v>0</v>
      </c>
    </row>
    <row r="158" spans="2:30" hidden="1" outlineLevel="1" x14ac:dyDescent="0.25">
      <c r="E158" s="223">
        <f>IFERROR(MATCH(F158,Produccion_Lecheria_Cuentas[Cuenta Contable],0),0)</f>
        <v>18</v>
      </c>
      <c r="F158" s="116" t="s">
        <v>122</v>
      </c>
      <c r="H158" s="103">
        <f>SUMPRODUCT(($C$140=Producción_Lecheria[Movimiento])*($F158=Producción_Lecheria[Cuenta Contable])*(H$1=Producción_Lecheria[Mes Financiero])*(H$2=Producción_Lecheria[Año Financiero])*(Producción_Lecheria[Financiero $Corrientes]))</f>
        <v>0</v>
      </c>
      <c r="I158" s="104">
        <f>SUMPRODUCT(($C$140=Producción_Lecheria[Movimiento])*($F158=Producción_Lecheria[Cuenta Contable])*(I$1=Producción_Lecheria[Mes Financiero])*(I$2=Producción_Lecheria[Año Financiero])*(Producción_Lecheria[Financiero $Corrientes]))</f>
        <v>0</v>
      </c>
      <c r="J158" s="103">
        <f>SUMPRODUCT(($C$140=Producción_Lecheria[Movimiento])*($F158=Producción_Lecheria[Cuenta Contable])*(J$1=Producción_Lecheria[Mes Financiero])*(J$2=Producción_Lecheria[Año Financiero])*(Producción_Lecheria[Financiero $Corrientes]))</f>
        <v>0</v>
      </c>
      <c r="K158" s="104">
        <f>SUMPRODUCT(($C$140=Producción_Lecheria[Movimiento])*($F158=Producción_Lecheria[Cuenta Contable])*(K$1=Producción_Lecheria[Mes Financiero])*(K$2=Producción_Lecheria[Año Financiero])*(Producción_Lecheria[Financiero $Corrientes]))</f>
        <v>0</v>
      </c>
      <c r="L158" s="103">
        <f>SUMPRODUCT(($C$140=Producción_Lecheria[Movimiento])*($F158=Producción_Lecheria[Cuenta Contable])*(L$1=Producción_Lecheria[Mes Financiero])*(L$2=Producción_Lecheria[Año Financiero])*(Producción_Lecheria[Financiero $Corrientes]))</f>
        <v>0</v>
      </c>
      <c r="M158" s="104">
        <f>SUMPRODUCT(($C$140=Producción_Lecheria[Movimiento])*($F158=Producción_Lecheria[Cuenta Contable])*(M$1=Producción_Lecheria[Mes Financiero])*(M$2=Producción_Lecheria[Año Financiero])*(Producción_Lecheria[Financiero $Corrientes]))</f>
        <v>0</v>
      </c>
      <c r="N158" s="103">
        <f>SUMPRODUCT(($C$140=Producción_Lecheria[Movimiento])*($F158=Producción_Lecheria[Cuenta Contable])*(N$1=Producción_Lecheria[Mes Financiero])*(N$2=Producción_Lecheria[Año Financiero])*(Producción_Lecheria[Financiero $Corrientes]))</f>
        <v>0</v>
      </c>
      <c r="O158" s="104">
        <f>SUMPRODUCT(($C$140=Producción_Lecheria[Movimiento])*($F158=Producción_Lecheria[Cuenta Contable])*(O$1=Producción_Lecheria[Mes Financiero])*(O$2=Producción_Lecheria[Año Financiero])*(Producción_Lecheria[Financiero $Corrientes]))</f>
        <v>0</v>
      </c>
      <c r="P158" s="103">
        <f>SUMPRODUCT(($C$140=Producción_Lecheria[Movimiento])*($F158=Producción_Lecheria[Cuenta Contable])*(P$1=Producción_Lecheria[Mes Financiero])*(P$2=Producción_Lecheria[Año Financiero])*(Producción_Lecheria[Financiero $Corrientes]))</f>
        <v>0</v>
      </c>
      <c r="Q158" s="104">
        <f>SUMPRODUCT(($C$140=Producción_Lecheria[Movimiento])*($F158=Producción_Lecheria[Cuenta Contable])*(Q$1=Producción_Lecheria[Mes Financiero])*(Q$2=Producción_Lecheria[Año Financiero])*(Producción_Lecheria[Financiero $Corrientes]))</f>
        <v>0</v>
      </c>
      <c r="R158" s="103">
        <f>SUMPRODUCT(($C$140=Producción_Lecheria[Movimiento])*($F158=Producción_Lecheria[Cuenta Contable])*(R$1=Producción_Lecheria[Mes Financiero])*(R$2=Producción_Lecheria[Año Financiero])*(Producción_Lecheria[Financiero $Corrientes]))</f>
        <v>0</v>
      </c>
      <c r="S158" s="104">
        <f>SUMPRODUCT(($C$140=Producción_Lecheria[Movimiento])*($F158=Producción_Lecheria[Cuenta Contable])*(S$1=Producción_Lecheria[Mes Financiero])*(S$2=Producción_Lecheria[Año Financiero])*(Producción_Lecheria[Financiero $Corrientes]))</f>
        <v>0</v>
      </c>
      <c r="T158" s="103">
        <f>SUMPRODUCT(($C$140=Producción_Lecheria[Movimiento])*($F158=Producción_Lecheria[Cuenta Contable])*(T$1=Producción_Lecheria[Mes Financiero])*(T$2=Producción_Lecheria[Año Financiero])*(Producción_Lecheria[Financiero $Corrientes]))</f>
        <v>0</v>
      </c>
      <c r="U158" s="104">
        <f>SUMPRODUCT(($C$140=Producción_Lecheria[Movimiento])*($F158=Producción_Lecheria[Cuenta Contable])*(U$1=Producción_Lecheria[Mes Financiero])*(U$2=Producción_Lecheria[Año Financiero])*(Producción_Lecheria[Financiero $Corrientes]))</f>
        <v>0</v>
      </c>
      <c r="V158" s="103">
        <f>SUMPRODUCT(($C$140=Producción_Lecheria[Movimiento])*($F158=Producción_Lecheria[Cuenta Contable])*(V$1=Producción_Lecheria[Mes Financiero])*(V$2=Producción_Lecheria[Año Financiero])*(Producción_Lecheria[Financiero $Corrientes]))</f>
        <v>0</v>
      </c>
      <c r="W158" s="104">
        <f>SUMPRODUCT(($C$140=Producción_Lecheria[Movimiento])*($F158=Producción_Lecheria[Cuenta Contable])*(W$1=Producción_Lecheria[Mes Financiero])*(W$2=Producción_Lecheria[Año Financiero])*(Producción_Lecheria[Financiero $Corrientes]))</f>
        <v>0</v>
      </c>
      <c r="X158" s="103">
        <f>SUMPRODUCT(($C$140=Producción_Lecheria[Movimiento])*($F158=Producción_Lecheria[Cuenta Contable])*(X$1=Producción_Lecheria[Mes Financiero])*(X$2=Producción_Lecheria[Año Financiero])*(Producción_Lecheria[Financiero $Corrientes]))</f>
        <v>0</v>
      </c>
      <c r="Y158" s="104">
        <f>SUMPRODUCT(($C$140=Producción_Lecheria[Movimiento])*($F158=Producción_Lecheria[Cuenta Contable])*(Y$1=Producción_Lecheria[Mes Financiero])*(Y$2=Producción_Lecheria[Año Financiero])*(Producción_Lecheria[Financiero $Corrientes]))</f>
        <v>0</v>
      </c>
      <c r="Z158" s="144">
        <f t="shared" si="22"/>
        <v>0</v>
      </c>
      <c r="AC158" s="174">
        <f>SUMPRODUCT((F158=Produccion_Lecheria_Cuentas[Cuenta Contable])*(Produccion_Lecheria_Cuentas[IVA]))</f>
        <v>0.21</v>
      </c>
      <c r="AD158" s="174">
        <f>SUMPRODUCT((G158=Produccion_Lecheria_Cuentas[Cuenta Contable])*(Produccion_Lecheria_Cuentas[IVA]))</f>
        <v>0</v>
      </c>
    </row>
    <row r="159" spans="2:30" hidden="1" outlineLevel="1" x14ac:dyDescent="0.25">
      <c r="E159" s="223">
        <f>IFERROR(MATCH(F159,Produccion_Lecheria_Cuentas[Cuenta Contable],0),0)</f>
        <v>19</v>
      </c>
      <c r="F159" s="116" t="s">
        <v>123</v>
      </c>
      <c r="H159" s="103">
        <f>SUMPRODUCT(($C$140=Producción_Lecheria[Movimiento])*($F159=Producción_Lecheria[Cuenta Contable])*(H$1=Producción_Lecheria[Mes Financiero])*(H$2=Producción_Lecheria[Año Financiero])*(Producción_Lecheria[Financiero $Corrientes]))</f>
        <v>0</v>
      </c>
      <c r="I159" s="104">
        <f>SUMPRODUCT(($C$140=Producción_Lecheria[Movimiento])*($F159=Producción_Lecheria[Cuenta Contable])*(I$1=Producción_Lecheria[Mes Financiero])*(I$2=Producción_Lecheria[Año Financiero])*(Producción_Lecheria[Financiero $Corrientes]))</f>
        <v>0</v>
      </c>
      <c r="J159" s="103">
        <f>SUMPRODUCT(($C$140=Producción_Lecheria[Movimiento])*($F159=Producción_Lecheria[Cuenta Contable])*(J$1=Producción_Lecheria[Mes Financiero])*(J$2=Producción_Lecheria[Año Financiero])*(Producción_Lecheria[Financiero $Corrientes]))</f>
        <v>0</v>
      </c>
      <c r="K159" s="104">
        <f>SUMPRODUCT(($C$140=Producción_Lecheria[Movimiento])*($F159=Producción_Lecheria[Cuenta Contable])*(K$1=Producción_Lecheria[Mes Financiero])*(K$2=Producción_Lecheria[Año Financiero])*(Producción_Lecheria[Financiero $Corrientes]))</f>
        <v>0</v>
      </c>
      <c r="L159" s="103">
        <f>SUMPRODUCT(($C$140=Producción_Lecheria[Movimiento])*($F159=Producción_Lecheria[Cuenta Contable])*(L$1=Producción_Lecheria[Mes Financiero])*(L$2=Producción_Lecheria[Año Financiero])*(Producción_Lecheria[Financiero $Corrientes]))</f>
        <v>0</v>
      </c>
      <c r="M159" s="104">
        <f>SUMPRODUCT(($C$140=Producción_Lecheria[Movimiento])*($F159=Producción_Lecheria[Cuenta Contable])*(M$1=Producción_Lecheria[Mes Financiero])*(M$2=Producción_Lecheria[Año Financiero])*(Producción_Lecheria[Financiero $Corrientes]))</f>
        <v>0</v>
      </c>
      <c r="N159" s="103">
        <f>SUMPRODUCT(($C$140=Producción_Lecheria[Movimiento])*($F159=Producción_Lecheria[Cuenta Contable])*(N$1=Producción_Lecheria[Mes Financiero])*(N$2=Producción_Lecheria[Año Financiero])*(Producción_Lecheria[Financiero $Corrientes]))</f>
        <v>0</v>
      </c>
      <c r="O159" s="104">
        <f>SUMPRODUCT(($C$140=Producción_Lecheria[Movimiento])*($F159=Producción_Lecheria[Cuenta Contable])*(O$1=Producción_Lecheria[Mes Financiero])*(O$2=Producción_Lecheria[Año Financiero])*(Producción_Lecheria[Financiero $Corrientes]))</f>
        <v>0</v>
      </c>
      <c r="P159" s="103">
        <f>SUMPRODUCT(($C$140=Producción_Lecheria[Movimiento])*($F159=Producción_Lecheria[Cuenta Contable])*(P$1=Producción_Lecheria[Mes Financiero])*(P$2=Producción_Lecheria[Año Financiero])*(Producción_Lecheria[Financiero $Corrientes]))</f>
        <v>0</v>
      </c>
      <c r="Q159" s="104">
        <f>SUMPRODUCT(($C$140=Producción_Lecheria[Movimiento])*($F159=Producción_Lecheria[Cuenta Contable])*(Q$1=Producción_Lecheria[Mes Financiero])*(Q$2=Producción_Lecheria[Año Financiero])*(Producción_Lecheria[Financiero $Corrientes]))</f>
        <v>0</v>
      </c>
      <c r="R159" s="103">
        <f>SUMPRODUCT(($C$140=Producción_Lecheria[Movimiento])*($F159=Producción_Lecheria[Cuenta Contable])*(R$1=Producción_Lecheria[Mes Financiero])*(R$2=Producción_Lecheria[Año Financiero])*(Producción_Lecheria[Financiero $Corrientes]))</f>
        <v>0</v>
      </c>
      <c r="S159" s="104">
        <f>SUMPRODUCT(($C$140=Producción_Lecheria[Movimiento])*($F159=Producción_Lecheria[Cuenta Contable])*(S$1=Producción_Lecheria[Mes Financiero])*(S$2=Producción_Lecheria[Año Financiero])*(Producción_Lecheria[Financiero $Corrientes]))</f>
        <v>0</v>
      </c>
      <c r="T159" s="103">
        <f>SUMPRODUCT(($C$140=Producción_Lecheria[Movimiento])*($F159=Producción_Lecheria[Cuenta Contable])*(T$1=Producción_Lecheria[Mes Financiero])*(T$2=Producción_Lecheria[Año Financiero])*(Producción_Lecheria[Financiero $Corrientes]))</f>
        <v>0</v>
      </c>
      <c r="U159" s="104">
        <f>SUMPRODUCT(($C$140=Producción_Lecheria[Movimiento])*($F159=Producción_Lecheria[Cuenta Contable])*(U$1=Producción_Lecheria[Mes Financiero])*(U$2=Producción_Lecheria[Año Financiero])*(Producción_Lecheria[Financiero $Corrientes]))</f>
        <v>0</v>
      </c>
      <c r="V159" s="103">
        <f>SUMPRODUCT(($C$140=Producción_Lecheria[Movimiento])*($F159=Producción_Lecheria[Cuenta Contable])*(V$1=Producción_Lecheria[Mes Financiero])*(V$2=Producción_Lecheria[Año Financiero])*(Producción_Lecheria[Financiero $Corrientes]))</f>
        <v>0</v>
      </c>
      <c r="W159" s="104">
        <f>SUMPRODUCT(($C$140=Producción_Lecheria[Movimiento])*($F159=Producción_Lecheria[Cuenta Contable])*(W$1=Producción_Lecheria[Mes Financiero])*(W$2=Producción_Lecheria[Año Financiero])*(Producción_Lecheria[Financiero $Corrientes]))</f>
        <v>0</v>
      </c>
      <c r="X159" s="103">
        <f>SUMPRODUCT(($C$140=Producción_Lecheria[Movimiento])*($F159=Producción_Lecheria[Cuenta Contable])*(X$1=Producción_Lecheria[Mes Financiero])*(X$2=Producción_Lecheria[Año Financiero])*(Producción_Lecheria[Financiero $Corrientes]))</f>
        <v>0</v>
      </c>
      <c r="Y159" s="104">
        <f>SUMPRODUCT(($C$140=Producción_Lecheria[Movimiento])*($F159=Producción_Lecheria[Cuenta Contable])*(Y$1=Producción_Lecheria[Mes Financiero])*(Y$2=Producción_Lecheria[Año Financiero])*(Producción_Lecheria[Financiero $Corrientes]))</f>
        <v>0</v>
      </c>
      <c r="Z159" s="144">
        <f t="shared" si="22"/>
        <v>0</v>
      </c>
      <c r="AC159" s="174">
        <f>SUMPRODUCT((F159=Produccion_Lecheria_Cuentas[Cuenta Contable])*(Produccion_Lecheria_Cuentas[IVA]))</f>
        <v>0.21</v>
      </c>
      <c r="AD159" s="174">
        <f>SUMPRODUCT((G159=Produccion_Lecheria_Cuentas[Cuenta Contable])*(Produccion_Lecheria_Cuentas[IVA]))</f>
        <v>0</v>
      </c>
    </row>
    <row r="160" spans="2:30" hidden="1" outlineLevel="1" x14ac:dyDescent="0.25">
      <c r="E160" s="223">
        <f>IFERROR(MATCH(F160,Produccion_Lecheria_Cuentas[Cuenta Contable],0),0)</f>
        <v>20</v>
      </c>
      <c r="F160" s="116" t="s">
        <v>124</v>
      </c>
      <c r="H160" s="103">
        <f>SUMPRODUCT(($C$140=Producción_Lecheria[Movimiento])*($F160=Producción_Lecheria[Cuenta Contable])*(H$1=Producción_Lecheria[Mes Financiero])*(H$2=Producción_Lecheria[Año Financiero])*(Producción_Lecheria[Financiero $Corrientes]))</f>
        <v>0</v>
      </c>
      <c r="I160" s="104">
        <f>SUMPRODUCT(($C$140=Producción_Lecheria[Movimiento])*($F160=Producción_Lecheria[Cuenta Contable])*(I$1=Producción_Lecheria[Mes Financiero])*(I$2=Producción_Lecheria[Año Financiero])*(Producción_Lecheria[Financiero $Corrientes]))</f>
        <v>0</v>
      </c>
      <c r="J160" s="103">
        <f>SUMPRODUCT(($C$140=Producción_Lecheria[Movimiento])*($F160=Producción_Lecheria[Cuenta Contable])*(J$1=Producción_Lecheria[Mes Financiero])*(J$2=Producción_Lecheria[Año Financiero])*(Producción_Lecheria[Financiero $Corrientes]))</f>
        <v>0</v>
      </c>
      <c r="K160" s="104">
        <f>SUMPRODUCT(($C$140=Producción_Lecheria[Movimiento])*($F160=Producción_Lecheria[Cuenta Contable])*(K$1=Producción_Lecheria[Mes Financiero])*(K$2=Producción_Lecheria[Año Financiero])*(Producción_Lecheria[Financiero $Corrientes]))</f>
        <v>0</v>
      </c>
      <c r="L160" s="103">
        <f>SUMPRODUCT(($C$140=Producción_Lecheria[Movimiento])*($F160=Producción_Lecheria[Cuenta Contable])*(L$1=Producción_Lecheria[Mes Financiero])*(L$2=Producción_Lecheria[Año Financiero])*(Producción_Lecheria[Financiero $Corrientes]))</f>
        <v>0</v>
      </c>
      <c r="M160" s="104">
        <f>SUMPRODUCT(($C$140=Producción_Lecheria[Movimiento])*($F160=Producción_Lecheria[Cuenta Contable])*(M$1=Producción_Lecheria[Mes Financiero])*(M$2=Producción_Lecheria[Año Financiero])*(Producción_Lecheria[Financiero $Corrientes]))</f>
        <v>0</v>
      </c>
      <c r="N160" s="103">
        <f>SUMPRODUCT(($C$140=Producción_Lecheria[Movimiento])*($F160=Producción_Lecheria[Cuenta Contable])*(N$1=Producción_Lecheria[Mes Financiero])*(N$2=Producción_Lecheria[Año Financiero])*(Producción_Lecheria[Financiero $Corrientes]))</f>
        <v>0</v>
      </c>
      <c r="O160" s="104">
        <f>SUMPRODUCT(($C$140=Producción_Lecheria[Movimiento])*($F160=Producción_Lecheria[Cuenta Contable])*(O$1=Producción_Lecheria[Mes Financiero])*(O$2=Producción_Lecheria[Año Financiero])*(Producción_Lecheria[Financiero $Corrientes]))</f>
        <v>0</v>
      </c>
      <c r="P160" s="103">
        <f>SUMPRODUCT(($C$140=Producción_Lecheria[Movimiento])*($F160=Producción_Lecheria[Cuenta Contable])*(P$1=Producción_Lecheria[Mes Financiero])*(P$2=Producción_Lecheria[Año Financiero])*(Producción_Lecheria[Financiero $Corrientes]))</f>
        <v>0</v>
      </c>
      <c r="Q160" s="104">
        <f>SUMPRODUCT(($C$140=Producción_Lecheria[Movimiento])*($F160=Producción_Lecheria[Cuenta Contable])*(Q$1=Producción_Lecheria[Mes Financiero])*(Q$2=Producción_Lecheria[Año Financiero])*(Producción_Lecheria[Financiero $Corrientes]))</f>
        <v>0</v>
      </c>
      <c r="R160" s="103">
        <f>SUMPRODUCT(($C$140=Producción_Lecheria[Movimiento])*($F160=Producción_Lecheria[Cuenta Contable])*(R$1=Producción_Lecheria[Mes Financiero])*(R$2=Producción_Lecheria[Año Financiero])*(Producción_Lecheria[Financiero $Corrientes]))</f>
        <v>0</v>
      </c>
      <c r="S160" s="104">
        <f>SUMPRODUCT(($C$140=Producción_Lecheria[Movimiento])*($F160=Producción_Lecheria[Cuenta Contable])*(S$1=Producción_Lecheria[Mes Financiero])*(S$2=Producción_Lecheria[Año Financiero])*(Producción_Lecheria[Financiero $Corrientes]))</f>
        <v>0</v>
      </c>
      <c r="T160" s="103">
        <f>SUMPRODUCT(($C$140=Producción_Lecheria[Movimiento])*($F160=Producción_Lecheria[Cuenta Contable])*(T$1=Producción_Lecheria[Mes Financiero])*(T$2=Producción_Lecheria[Año Financiero])*(Producción_Lecheria[Financiero $Corrientes]))</f>
        <v>0</v>
      </c>
      <c r="U160" s="104">
        <f>SUMPRODUCT(($C$140=Producción_Lecheria[Movimiento])*($F160=Producción_Lecheria[Cuenta Contable])*(U$1=Producción_Lecheria[Mes Financiero])*(U$2=Producción_Lecheria[Año Financiero])*(Producción_Lecheria[Financiero $Corrientes]))</f>
        <v>0</v>
      </c>
      <c r="V160" s="103">
        <f>SUMPRODUCT(($C$140=Producción_Lecheria[Movimiento])*($F160=Producción_Lecheria[Cuenta Contable])*(V$1=Producción_Lecheria[Mes Financiero])*(V$2=Producción_Lecheria[Año Financiero])*(Producción_Lecheria[Financiero $Corrientes]))</f>
        <v>0</v>
      </c>
      <c r="W160" s="104">
        <f>SUMPRODUCT(($C$140=Producción_Lecheria[Movimiento])*($F160=Producción_Lecheria[Cuenta Contable])*(W$1=Producción_Lecheria[Mes Financiero])*(W$2=Producción_Lecheria[Año Financiero])*(Producción_Lecheria[Financiero $Corrientes]))</f>
        <v>0</v>
      </c>
      <c r="X160" s="103">
        <f>SUMPRODUCT(($C$140=Producción_Lecheria[Movimiento])*($F160=Producción_Lecheria[Cuenta Contable])*(X$1=Producción_Lecheria[Mes Financiero])*(X$2=Producción_Lecheria[Año Financiero])*(Producción_Lecheria[Financiero $Corrientes]))</f>
        <v>0</v>
      </c>
      <c r="Y160" s="104">
        <f>SUMPRODUCT(($C$140=Producción_Lecheria[Movimiento])*($F160=Producción_Lecheria[Cuenta Contable])*(Y$1=Producción_Lecheria[Mes Financiero])*(Y$2=Producción_Lecheria[Año Financiero])*(Producción_Lecheria[Financiero $Corrientes]))</f>
        <v>0</v>
      </c>
      <c r="Z160" s="144">
        <f t="shared" si="22"/>
        <v>0</v>
      </c>
      <c r="AC160" s="174">
        <f>SUMPRODUCT((F160=Produccion_Lecheria_Cuentas[Cuenta Contable])*(Produccion_Lecheria_Cuentas[IVA]))</f>
        <v>0.21</v>
      </c>
      <c r="AD160" s="174">
        <f>SUMPRODUCT((G160=Produccion_Lecheria_Cuentas[Cuenta Contable])*(Produccion_Lecheria_Cuentas[IVA]))</f>
        <v>0</v>
      </c>
    </row>
    <row r="161" spans="2:30" hidden="1" outlineLevel="1" x14ac:dyDescent="0.25">
      <c r="E161" s="223">
        <f>IFERROR(MATCH(F161,Produccion_Lecheria_Cuentas[Cuenta Contable],0),0)</f>
        <v>23</v>
      </c>
      <c r="F161" s="116" t="s">
        <v>53</v>
      </c>
      <c r="H161" s="103">
        <f>SUMPRODUCT(($C$140=Producción_Lecheria[Movimiento])*($F161=Producción_Lecheria[Cuenta Contable])*(H$1=Producción_Lecheria[Mes Financiero])*(H$2=Producción_Lecheria[Año Financiero])*(Producción_Lecheria[Financiero $Corrientes]))</f>
        <v>0</v>
      </c>
      <c r="I161" s="104">
        <f>SUMPRODUCT(($C$140=Producción_Lecheria[Movimiento])*($F161=Producción_Lecheria[Cuenta Contable])*(I$1=Producción_Lecheria[Mes Financiero])*(I$2=Producción_Lecheria[Año Financiero])*(Producción_Lecheria[Financiero $Corrientes]))</f>
        <v>0</v>
      </c>
      <c r="J161" s="103">
        <f>SUMPRODUCT(($C$140=Producción_Lecheria[Movimiento])*($F161=Producción_Lecheria[Cuenta Contable])*(J$1=Producción_Lecheria[Mes Financiero])*(J$2=Producción_Lecheria[Año Financiero])*(Producción_Lecheria[Financiero $Corrientes]))</f>
        <v>0</v>
      </c>
      <c r="K161" s="104">
        <f>SUMPRODUCT(($C$140=Producción_Lecheria[Movimiento])*($F161=Producción_Lecheria[Cuenta Contable])*(K$1=Producción_Lecheria[Mes Financiero])*(K$2=Producción_Lecheria[Año Financiero])*(Producción_Lecheria[Financiero $Corrientes]))</f>
        <v>0</v>
      </c>
      <c r="L161" s="103">
        <f>SUMPRODUCT(($C$140=Producción_Lecheria[Movimiento])*($F161=Producción_Lecheria[Cuenta Contable])*(L$1=Producción_Lecheria[Mes Financiero])*(L$2=Producción_Lecheria[Año Financiero])*(Producción_Lecheria[Financiero $Corrientes]))</f>
        <v>0</v>
      </c>
      <c r="M161" s="104">
        <f>SUMPRODUCT(($C$140=Producción_Lecheria[Movimiento])*($F161=Producción_Lecheria[Cuenta Contable])*(M$1=Producción_Lecheria[Mes Financiero])*(M$2=Producción_Lecheria[Año Financiero])*(Producción_Lecheria[Financiero $Corrientes]))</f>
        <v>0</v>
      </c>
      <c r="N161" s="103">
        <f>SUMPRODUCT(($C$140=Producción_Lecheria[Movimiento])*($F161=Producción_Lecheria[Cuenta Contable])*(N$1=Producción_Lecheria[Mes Financiero])*(N$2=Producción_Lecheria[Año Financiero])*(Producción_Lecheria[Financiero $Corrientes]))</f>
        <v>0</v>
      </c>
      <c r="O161" s="104">
        <f>SUMPRODUCT(($C$140=Producción_Lecheria[Movimiento])*($F161=Producción_Lecheria[Cuenta Contable])*(O$1=Producción_Lecheria[Mes Financiero])*(O$2=Producción_Lecheria[Año Financiero])*(Producción_Lecheria[Financiero $Corrientes]))</f>
        <v>0</v>
      </c>
      <c r="P161" s="103">
        <f>SUMPRODUCT(($C$140=Producción_Lecheria[Movimiento])*($F161=Producción_Lecheria[Cuenta Contable])*(P$1=Producción_Lecheria[Mes Financiero])*(P$2=Producción_Lecheria[Año Financiero])*(Producción_Lecheria[Financiero $Corrientes]))</f>
        <v>0</v>
      </c>
      <c r="Q161" s="104">
        <f>SUMPRODUCT(($C$140=Producción_Lecheria[Movimiento])*($F161=Producción_Lecheria[Cuenta Contable])*(Q$1=Producción_Lecheria[Mes Financiero])*(Q$2=Producción_Lecheria[Año Financiero])*(Producción_Lecheria[Financiero $Corrientes]))</f>
        <v>0</v>
      </c>
      <c r="R161" s="103">
        <f>SUMPRODUCT(($C$140=Producción_Lecheria[Movimiento])*($F161=Producción_Lecheria[Cuenta Contable])*(R$1=Producción_Lecheria[Mes Financiero])*(R$2=Producción_Lecheria[Año Financiero])*(Producción_Lecheria[Financiero $Corrientes]))</f>
        <v>0</v>
      </c>
      <c r="S161" s="104">
        <f>SUMPRODUCT(($C$140=Producción_Lecheria[Movimiento])*($F161=Producción_Lecheria[Cuenta Contable])*(S$1=Producción_Lecheria[Mes Financiero])*(S$2=Producción_Lecheria[Año Financiero])*(Producción_Lecheria[Financiero $Corrientes]))</f>
        <v>0</v>
      </c>
      <c r="T161" s="103">
        <f>SUMPRODUCT(($C$140=Producción_Lecheria[Movimiento])*($F161=Producción_Lecheria[Cuenta Contable])*(T$1=Producción_Lecheria[Mes Financiero])*(T$2=Producción_Lecheria[Año Financiero])*(Producción_Lecheria[Financiero $Corrientes]))</f>
        <v>0</v>
      </c>
      <c r="U161" s="104">
        <f>SUMPRODUCT(($C$140=Producción_Lecheria[Movimiento])*($F161=Producción_Lecheria[Cuenta Contable])*(U$1=Producción_Lecheria[Mes Financiero])*(U$2=Producción_Lecheria[Año Financiero])*(Producción_Lecheria[Financiero $Corrientes]))</f>
        <v>0</v>
      </c>
      <c r="V161" s="103">
        <f>SUMPRODUCT(($C$140=Producción_Lecheria[Movimiento])*($F161=Producción_Lecheria[Cuenta Contable])*(V$1=Producción_Lecheria[Mes Financiero])*(V$2=Producción_Lecheria[Año Financiero])*(Producción_Lecheria[Financiero $Corrientes]))</f>
        <v>0</v>
      </c>
      <c r="W161" s="104">
        <f>SUMPRODUCT(($C$140=Producción_Lecheria[Movimiento])*($F161=Producción_Lecheria[Cuenta Contable])*(W$1=Producción_Lecheria[Mes Financiero])*(W$2=Producción_Lecheria[Año Financiero])*(Producción_Lecheria[Financiero $Corrientes]))</f>
        <v>0</v>
      </c>
      <c r="X161" s="103">
        <f>SUMPRODUCT(($C$140=Producción_Lecheria[Movimiento])*($F161=Producción_Lecheria[Cuenta Contable])*(X$1=Producción_Lecheria[Mes Financiero])*(X$2=Producción_Lecheria[Año Financiero])*(Producción_Lecheria[Financiero $Corrientes]))</f>
        <v>0</v>
      </c>
      <c r="Y161" s="104">
        <f>SUMPRODUCT(($C$140=Producción_Lecheria[Movimiento])*($F161=Producción_Lecheria[Cuenta Contable])*(Y$1=Producción_Lecheria[Mes Financiero])*(Y$2=Producción_Lecheria[Año Financiero])*(Producción_Lecheria[Financiero $Corrientes]))</f>
        <v>0</v>
      </c>
      <c r="Z161" s="144">
        <f t="shared" si="22"/>
        <v>0</v>
      </c>
      <c r="AC161" s="174">
        <f>SUMPRODUCT((F161=Produccion_Lecheria_Cuentas[Cuenta Contable])*(Produccion_Lecheria_Cuentas[IVA]))</f>
        <v>0.21</v>
      </c>
      <c r="AD161" s="174">
        <f>SUMPRODUCT((G161=Produccion_Lecheria_Cuentas[Cuenta Contable])*(Produccion_Lecheria_Cuentas[IVA]))</f>
        <v>0</v>
      </c>
    </row>
    <row r="162" spans="2:30" hidden="1" outlineLevel="1" x14ac:dyDescent="0.25">
      <c r="E162" s="223">
        <f>IFERROR(MATCH(F162,Produccion_Lecheria_Cuentas[Cuenta Contable],0),0)</f>
        <v>24</v>
      </c>
      <c r="F162" s="116" t="s">
        <v>56</v>
      </c>
      <c r="H162" s="103">
        <f>SUMPRODUCT(($C$140=Producción_Lecheria[Movimiento])*($F162=Producción_Lecheria[Cuenta Contable])*(H$1=Producción_Lecheria[Mes Financiero])*(H$2=Producción_Lecheria[Año Financiero])*(Producción_Lecheria[Financiero $Corrientes]))</f>
        <v>0</v>
      </c>
      <c r="I162" s="104">
        <f>SUMPRODUCT(($C$140=Producción_Lecheria[Movimiento])*($F162=Producción_Lecheria[Cuenta Contable])*(I$1=Producción_Lecheria[Mes Financiero])*(I$2=Producción_Lecheria[Año Financiero])*(Producción_Lecheria[Financiero $Corrientes]))</f>
        <v>0</v>
      </c>
      <c r="J162" s="103">
        <f>SUMPRODUCT(($C$140=Producción_Lecheria[Movimiento])*($F162=Producción_Lecheria[Cuenta Contable])*(J$1=Producción_Lecheria[Mes Financiero])*(J$2=Producción_Lecheria[Año Financiero])*(Producción_Lecheria[Financiero $Corrientes]))</f>
        <v>0</v>
      </c>
      <c r="K162" s="104">
        <f>SUMPRODUCT(($C$140=Producción_Lecheria[Movimiento])*($F162=Producción_Lecheria[Cuenta Contable])*(K$1=Producción_Lecheria[Mes Financiero])*(K$2=Producción_Lecheria[Año Financiero])*(Producción_Lecheria[Financiero $Corrientes]))</f>
        <v>0</v>
      </c>
      <c r="L162" s="103">
        <f>SUMPRODUCT(($C$140=Producción_Lecheria[Movimiento])*($F162=Producción_Lecheria[Cuenta Contable])*(L$1=Producción_Lecheria[Mes Financiero])*(L$2=Producción_Lecheria[Año Financiero])*(Producción_Lecheria[Financiero $Corrientes]))</f>
        <v>0</v>
      </c>
      <c r="M162" s="104">
        <f>SUMPRODUCT(($C$140=Producción_Lecheria[Movimiento])*($F162=Producción_Lecheria[Cuenta Contable])*(M$1=Producción_Lecheria[Mes Financiero])*(M$2=Producción_Lecheria[Año Financiero])*(Producción_Lecheria[Financiero $Corrientes]))</f>
        <v>0</v>
      </c>
      <c r="N162" s="103">
        <f>SUMPRODUCT(($C$140=Producción_Lecheria[Movimiento])*($F162=Producción_Lecheria[Cuenta Contable])*(N$1=Producción_Lecheria[Mes Financiero])*(N$2=Producción_Lecheria[Año Financiero])*(Producción_Lecheria[Financiero $Corrientes]))</f>
        <v>0</v>
      </c>
      <c r="O162" s="104">
        <f>SUMPRODUCT(($C$140=Producción_Lecheria[Movimiento])*($F162=Producción_Lecheria[Cuenta Contable])*(O$1=Producción_Lecheria[Mes Financiero])*(O$2=Producción_Lecheria[Año Financiero])*(Producción_Lecheria[Financiero $Corrientes]))</f>
        <v>0</v>
      </c>
      <c r="P162" s="103">
        <f>SUMPRODUCT(($C$140=Producción_Lecheria[Movimiento])*($F162=Producción_Lecheria[Cuenta Contable])*(P$1=Producción_Lecheria[Mes Financiero])*(P$2=Producción_Lecheria[Año Financiero])*(Producción_Lecheria[Financiero $Corrientes]))</f>
        <v>0</v>
      </c>
      <c r="Q162" s="104">
        <f>SUMPRODUCT(($C$140=Producción_Lecheria[Movimiento])*($F162=Producción_Lecheria[Cuenta Contable])*(Q$1=Producción_Lecheria[Mes Financiero])*(Q$2=Producción_Lecheria[Año Financiero])*(Producción_Lecheria[Financiero $Corrientes]))</f>
        <v>0</v>
      </c>
      <c r="R162" s="103">
        <f>SUMPRODUCT(($C$140=Producción_Lecheria[Movimiento])*($F162=Producción_Lecheria[Cuenta Contable])*(R$1=Producción_Lecheria[Mes Financiero])*(R$2=Producción_Lecheria[Año Financiero])*(Producción_Lecheria[Financiero $Corrientes]))</f>
        <v>0</v>
      </c>
      <c r="S162" s="104">
        <f>SUMPRODUCT(($C$140=Producción_Lecheria[Movimiento])*($F162=Producción_Lecheria[Cuenta Contable])*(S$1=Producción_Lecheria[Mes Financiero])*(S$2=Producción_Lecheria[Año Financiero])*(Producción_Lecheria[Financiero $Corrientes]))</f>
        <v>0</v>
      </c>
      <c r="T162" s="103">
        <f>SUMPRODUCT(($C$140=Producción_Lecheria[Movimiento])*($F162=Producción_Lecheria[Cuenta Contable])*(T$1=Producción_Lecheria[Mes Financiero])*(T$2=Producción_Lecheria[Año Financiero])*(Producción_Lecheria[Financiero $Corrientes]))</f>
        <v>0</v>
      </c>
      <c r="U162" s="104">
        <f>SUMPRODUCT(($C$140=Producción_Lecheria[Movimiento])*($F162=Producción_Lecheria[Cuenta Contable])*(U$1=Producción_Lecheria[Mes Financiero])*(U$2=Producción_Lecheria[Año Financiero])*(Producción_Lecheria[Financiero $Corrientes]))</f>
        <v>0</v>
      </c>
      <c r="V162" s="103">
        <f>SUMPRODUCT(($C$140=Producción_Lecheria[Movimiento])*($F162=Producción_Lecheria[Cuenta Contable])*(V$1=Producción_Lecheria[Mes Financiero])*(V$2=Producción_Lecheria[Año Financiero])*(Producción_Lecheria[Financiero $Corrientes]))</f>
        <v>0</v>
      </c>
      <c r="W162" s="104">
        <f>SUMPRODUCT(($C$140=Producción_Lecheria[Movimiento])*($F162=Producción_Lecheria[Cuenta Contable])*(W$1=Producción_Lecheria[Mes Financiero])*(W$2=Producción_Lecheria[Año Financiero])*(Producción_Lecheria[Financiero $Corrientes]))</f>
        <v>0</v>
      </c>
      <c r="X162" s="103">
        <f>SUMPRODUCT(($C$140=Producción_Lecheria[Movimiento])*($F162=Producción_Lecheria[Cuenta Contable])*(X$1=Producción_Lecheria[Mes Financiero])*(X$2=Producción_Lecheria[Año Financiero])*(Producción_Lecheria[Financiero $Corrientes]))</f>
        <v>0</v>
      </c>
      <c r="Y162" s="104">
        <f>SUMPRODUCT(($C$140=Producción_Lecheria[Movimiento])*($F162=Producción_Lecheria[Cuenta Contable])*(Y$1=Producción_Lecheria[Mes Financiero])*(Y$2=Producción_Lecheria[Año Financiero])*(Producción_Lecheria[Financiero $Corrientes]))</f>
        <v>0</v>
      </c>
      <c r="Z162" s="144">
        <f t="shared" ref="Z162:Z163" si="24">SUM(H162:Y162)</f>
        <v>0</v>
      </c>
      <c r="AC162" s="174"/>
      <c r="AD162" s="174"/>
    </row>
    <row r="163" spans="2:30" hidden="1" outlineLevel="1" x14ac:dyDescent="0.25">
      <c r="B163" s="166" t="s">
        <v>101</v>
      </c>
      <c r="E163" s="223">
        <f>IFERROR(MATCH(F163,Produccion_Lecheria_Cuentas[Cuenta Contable],0),0)</f>
        <v>0</v>
      </c>
      <c r="F163" s="116"/>
      <c r="H163" s="103">
        <f>SUMPRODUCT(($C$140=Producción_Lecheria[Movimiento])*($F163=Producción_Lecheria[Cuenta Contable])*(H$1=Producción_Lecheria[Mes Financiero])*(H$2=Producción_Lecheria[Año Financiero])*(Producción_Lecheria[Financiero $Corrientes]))</f>
        <v>0</v>
      </c>
      <c r="I163" s="104">
        <f>SUMPRODUCT(($C$140=Producción_Lecheria[Movimiento])*($F163=Producción_Lecheria[Cuenta Contable])*(I$1=Producción_Lecheria[Mes Financiero])*(I$2=Producción_Lecheria[Año Financiero])*(Producción_Lecheria[Financiero $Corrientes]))</f>
        <v>0</v>
      </c>
      <c r="J163" s="103">
        <f>SUMPRODUCT(($C$140=Producción_Lecheria[Movimiento])*($F163=Producción_Lecheria[Cuenta Contable])*(J$1=Producción_Lecheria[Mes Financiero])*(J$2=Producción_Lecheria[Año Financiero])*(Producción_Lecheria[Financiero $Corrientes]))</f>
        <v>0</v>
      </c>
      <c r="K163" s="104">
        <f>SUMPRODUCT(($C$140=Producción_Lecheria[Movimiento])*($F163=Producción_Lecheria[Cuenta Contable])*(K$1=Producción_Lecheria[Mes Financiero])*(K$2=Producción_Lecheria[Año Financiero])*(Producción_Lecheria[Financiero $Corrientes]))</f>
        <v>0</v>
      </c>
      <c r="L163" s="103">
        <f>SUMPRODUCT(($C$140=Producción_Lecheria[Movimiento])*($F163=Producción_Lecheria[Cuenta Contable])*(L$1=Producción_Lecheria[Mes Financiero])*(L$2=Producción_Lecheria[Año Financiero])*(Producción_Lecheria[Financiero $Corrientes]))</f>
        <v>0</v>
      </c>
      <c r="M163" s="104">
        <f>SUMPRODUCT(($C$140=Producción_Lecheria[Movimiento])*($F163=Producción_Lecheria[Cuenta Contable])*(M$1=Producción_Lecheria[Mes Financiero])*(M$2=Producción_Lecheria[Año Financiero])*(Producción_Lecheria[Financiero $Corrientes]))</f>
        <v>0</v>
      </c>
      <c r="N163" s="103">
        <f>SUMPRODUCT(($C$140=Producción_Lecheria[Movimiento])*($F163=Producción_Lecheria[Cuenta Contable])*(N$1=Producción_Lecheria[Mes Financiero])*(N$2=Producción_Lecheria[Año Financiero])*(Producción_Lecheria[Financiero $Corrientes]))</f>
        <v>0</v>
      </c>
      <c r="O163" s="104">
        <f>SUMPRODUCT(($C$140=Producción_Lecheria[Movimiento])*($F163=Producción_Lecheria[Cuenta Contable])*(O$1=Producción_Lecheria[Mes Financiero])*(O$2=Producción_Lecheria[Año Financiero])*(Producción_Lecheria[Financiero $Corrientes]))</f>
        <v>0</v>
      </c>
      <c r="P163" s="103">
        <f>SUMPRODUCT(($C$140=Producción_Lecheria[Movimiento])*($F163=Producción_Lecheria[Cuenta Contable])*(P$1=Producción_Lecheria[Mes Financiero])*(P$2=Producción_Lecheria[Año Financiero])*(Producción_Lecheria[Financiero $Corrientes]))</f>
        <v>0</v>
      </c>
      <c r="Q163" s="104">
        <f>SUMPRODUCT(($C$140=Producción_Lecheria[Movimiento])*($F163=Producción_Lecheria[Cuenta Contable])*(Q$1=Producción_Lecheria[Mes Financiero])*(Q$2=Producción_Lecheria[Año Financiero])*(Producción_Lecheria[Financiero $Corrientes]))</f>
        <v>0</v>
      </c>
      <c r="R163" s="103">
        <f>SUMPRODUCT(($C$140=Producción_Lecheria[Movimiento])*($F163=Producción_Lecheria[Cuenta Contable])*(R$1=Producción_Lecheria[Mes Financiero])*(R$2=Producción_Lecheria[Año Financiero])*(Producción_Lecheria[Financiero $Corrientes]))</f>
        <v>0</v>
      </c>
      <c r="S163" s="104">
        <f>SUMPRODUCT(($C$140=Producción_Lecheria[Movimiento])*($F163=Producción_Lecheria[Cuenta Contable])*(S$1=Producción_Lecheria[Mes Financiero])*(S$2=Producción_Lecheria[Año Financiero])*(Producción_Lecheria[Financiero $Corrientes]))</f>
        <v>0</v>
      </c>
      <c r="T163" s="103">
        <f>SUMPRODUCT(($C$140=Producción_Lecheria[Movimiento])*($F163=Producción_Lecheria[Cuenta Contable])*(T$1=Producción_Lecheria[Mes Financiero])*(T$2=Producción_Lecheria[Año Financiero])*(Producción_Lecheria[Financiero $Corrientes]))</f>
        <v>0</v>
      </c>
      <c r="U163" s="104">
        <f>SUMPRODUCT(($C$140=Producción_Lecheria[Movimiento])*($F163=Producción_Lecheria[Cuenta Contable])*(U$1=Producción_Lecheria[Mes Financiero])*(U$2=Producción_Lecheria[Año Financiero])*(Producción_Lecheria[Financiero $Corrientes]))</f>
        <v>0</v>
      </c>
      <c r="V163" s="103">
        <f>SUMPRODUCT(($C$140=Producción_Lecheria[Movimiento])*($F163=Producción_Lecheria[Cuenta Contable])*(V$1=Producción_Lecheria[Mes Financiero])*(V$2=Producción_Lecheria[Año Financiero])*(Producción_Lecheria[Financiero $Corrientes]))</f>
        <v>0</v>
      </c>
      <c r="W163" s="104">
        <f>SUMPRODUCT(($C$140=Producción_Lecheria[Movimiento])*($F163=Producción_Lecheria[Cuenta Contable])*(W$1=Producción_Lecheria[Mes Financiero])*(W$2=Producción_Lecheria[Año Financiero])*(Producción_Lecheria[Financiero $Corrientes]))</f>
        <v>0</v>
      </c>
      <c r="X163" s="103">
        <f>SUMPRODUCT(($C$140=Producción_Lecheria[Movimiento])*($F163=Producción_Lecheria[Cuenta Contable])*(X$1=Producción_Lecheria[Mes Financiero])*(X$2=Producción_Lecheria[Año Financiero])*(Producción_Lecheria[Financiero $Corrientes]))</f>
        <v>0</v>
      </c>
      <c r="Y163" s="104">
        <f>SUMPRODUCT(($C$140=Producción_Lecheria[Movimiento])*($F163=Producción_Lecheria[Cuenta Contable])*(Y$1=Producción_Lecheria[Mes Financiero])*(Y$2=Producción_Lecheria[Año Financiero])*(Producción_Lecheria[Financiero $Corrientes]))</f>
        <v>0</v>
      </c>
      <c r="Z163" s="144">
        <f t="shared" si="24"/>
        <v>0</v>
      </c>
      <c r="AC163" s="174"/>
      <c r="AD163" s="174"/>
    </row>
    <row r="164" spans="2:30" hidden="1" outlineLevel="1" x14ac:dyDescent="0.25">
      <c r="E164" s="224"/>
      <c r="F164" s="219" t="s">
        <v>238</v>
      </c>
      <c r="G164" s="94"/>
      <c r="H164" s="105">
        <f>SUMPRODUCT(($C$140=Producción_Lecheria[Movimiento])*(H$1=Producción_Lecheria[Mes Financiero])*(H$2=Producción_Lecheria[Año Financiero])*(Producción_Lecheria[Financiero $Corrientes]))-SUM(H154:H163,H141)</f>
        <v>0</v>
      </c>
      <c r="I164" s="106">
        <f>SUMPRODUCT(($C$140=Producción_Lecheria[Movimiento])*(I$1=Producción_Lecheria[Mes Financiero])*(I$2=Producción_Lecheria[Año Financiero])*(Producción_Lecheria[Financiero $Corrientes]))-SUM(I154:I163,I141)</f>
        <v>0</v>
      </c>
      <c r="J164" s="105">
        <f>SUMPRODUCT(($C$140=Producción_Lecheria[Movimiento])*(J$1=Producción_Lecheria[Mes Financiero])*(J$2=Producción_Lecheria[Año Financiero])*(Producción_Lecheria[Financiero $Corrientes]))-SUM(J154:J163,J141)</f>
        <v>0</v>
      </c>
      <c r="K164" s="106">
        <f>SUMPRODUCT(($C$140=Producción_Lecheria[Movimiento])*(K$1=Producción_Lecheria[Mes Financiero])*(K$2=Producción_Lecheria[Año Financiero])*(Producción_Lecheria[Financiero $Corrientes]))-SUM(K154:K163,K141)</f>
        <v>0</v>
      </c>
      <c r="L164" s="105">
        <f>SUMPRODUCT(($C$140=Producción_Lecheria[Movimiento])*(L$1=Producción_Lecheria[Mes Financiero])*(L$2=Producción_Lecheria[Año Financiero])*(Producción_Lecheria[Financiero $Corrientes]))-SUM(L154:L163,L141)</f>
        <v>0</v>
      </c>
      <c r="M164" s="106">
        <f>SUMPRODUCT(($C$140=Producción_Lecheria[Movimiento])*(M$1=Producción_Lecheria[Mes Financiero])*(M$2=Producción_Lecheria[Año Financiero])*(Producción_Lecheria[Financiero $Corrientes]))-SUM(M154:M163,M141)</f>
        <v>0</v>
      </c>
      <c r="N164" s="105">
        <f>SUMPRODUCT(($C$140=Producción_Lecheria[Movimiento])*(N$1=Producción_Lecheria[Mes Financiero])*(N$2=Producción_Lecheria[Año Financiero])*(Producción_Lecheria[Financiero $Corrientes]))-SUM(N154:N163,N141)</f>
        <v>0</v>
      </c>
      <c r="O164" s="106">
        <f>SUMPRODUCT(($C$140=Producción_Lecheria[Movimiento])*(O$1=Producción_Lecheria[Mes Financiero])*(O$2=Producción_Lecheria[Año Financiero])*(Producción_Lecheria[Financiero $Corrientes]))-SUM(O154:O163,O141)</f>
        <v>0</v>
      </c>
      <c r="P164" s="105">
        <f>SUMPRODUCT(($C$140=Producción_Lecheria[Movimiento])*(P$1=Producción_Lecheria[Mes Financiero])*(P$2=Producción_Lecheria[Año Financiero])*(Producción_Lecheria[Financiero $Corrientes]))-SUM(P154:P163,P141)</f>
        <v>0</v>
      </c>
      <c r="Q164" s="106">
        <f>SUMPRODUCT(($C$140=Producción_Lecheria[Movimiento])*(Q$1=Producción_Lecheria[Mes Financiero])*(Q$2=Producción_Lecheria[Año Financiero])*(Producción_Lecheria[Financiero $Corrientes]))-SUM(Q154:Q163,Q141)</f>
        <v>0</v>
      </c>
      <c r="R164" s="105">
        <f>SUMPRODUCT(($C$140=Producción_Lecheria[Movimiento])*(R$1=Producción_Lecheria[Mes Financiero])*(R$2=Producción_Lecheria[Año Financiero])*(Producción_Lecheria[Financiero $Corrientes]))-SUM(R154:R163,R141)</f>
        <v>0</v>
      </c>
      <c r="S164" s="106">
        <f>SUMPRODUCT(($C$140=Producción_Lecheria[Movimiento])*(S$1=Producción_Lecheria[Mes Financiero])*(S$2=Producción_Lecheria[Año Financiero])*(Producción_Lecheria[Financiero $Corrientes]))-SUM(S154:S163,S141)</f>
        <v>0</v>
      </c>
      <c r="T164" s="105">
        <f>SUMPRODUCT(($C$140=Producción_Lecheria[Movimiento])*(T$1=Producción_Lecheria[Mes Financiero])*(T$2=Producción_Lecheria[Año Financiero])*(Producción_Lecheria[Financiero $Corrientes]))-SUM(T154:T163,T141)</f>
        <v>0</v>
      </c>
      <c r="U164" s="106">
        <f>SUMPRODUCT(($C$140=Producción_Lecheria[Movimiento])*(U$1=Producción_Lecheria[Mes Financiero])*(U$2=Producción_Lecheria[Año Financiero])*(Producción_Lecheria[Financiero $Corrientes]))-SUM(U154:U163,U141)</f>
        <v>0</v>
      </c>
      <c r="V164" s="105">
        <f>SUMPRODUCT(($C$140=Producción_Lecheria[Movimiento])*(V$1=Producción_Lecheria[Mes Financiero])*(V$2=Producción_Lecheria[Año Financiero])*(Producción_Lecheria[Financiero $Corrientes]))-SUM(V154:V163,V141)</f>
        <v>0</v>
      </c>
      <c r="W164" s="106">
        <f>SUMPRODUCT(($C$140=Producción_Lecheria[Movimiento])*(W$1=Producción_Lecheria[Mes Financiero])*(W$2=Producción_Lecheria[Año Financiero])*(Producción_Lecheria[Financiero $Corrientes]))-SUM(W154:W163,W141)</f>
        <v>0</v>
      </c>
      <c r="X164" s="105">
        <f>SUMPRODUCT(($C$140=Producción_Lecheria[Movimiento])*(X$1=Producción_Lecheria[Mes Financiero])*(X$2=Producción_Lecheria[Año Financiero])*(Producción_Lecheria[Financiero $Corrientes]))-SUM(X154:X163,X141)</f>
        <v>0</v>
      </c>
      <c r="Y164" s="106">
        <f>SUMPRODUCT(($C$140=Producción_Lecheria[Movimiento])*(Y$1=Producción_Lecheria[Mes Financiero])*(Y$2=Producción_Lecheria[Año Financiero])*(Producción_Lecheria[Financiero $Corrientes]))-SUM(Y154:Y163,Y141)</f>
        <v>0</v>
      </c>
      <c r="Z164" s="163">
        <f t="shared" si="22"/>
        <v>0</v>
      </c>
      <c r="AC164" s="174">
        <f>SUMPRODUCT((F164=Produccion_Lecheria_Cuentas[Cuenta Contable])*(Produccion_Lecheria_Cuentas[IVA]))</f>
        <v>0</v>
      </c>
      <c r="AD164" s="174">
        <f>SUMPRODUCT((G164=Produccion_Lecheria_Cuentas[Cuenta Contable])*(Produccion_Lecheria_Cuentas[IVA]))</f>
        <v>0</v>
      </c>
    </row>
    <row r="165" spans="2:30" collapsed="1" x14ac:dyDescent="0.25">
      <c r="C165" s="210" t="s">
        <v>38</v>
      </c>
      <c r="D165" s="381" t="s">
        <v>199</v>
      </c>
      <c r="F165" s="135" t="s">
        <v>232</v>
      </c>
      <c r="H165" s="99">
        <f>SUMPRODUCT(($C$165=Otras_Actividades_Base[Movimiento])*(H$1=Otras_Actividades_Base[Mes Financiero])*(H$2=Otras_Actividades_Base[Año Financiero])*(Otras_Actividades_Base[Financiero $Corrientes]))</f>
        <v>0</v>
      </c>
      <c r="I165" s="100">
        <f>SUMPRODUCT(($C$165=Otras_Actividades_Base[Movimiento])*(I$1=Otras_Actividades_Base[Mes Financiero])*(I$2=Otras_Actividades_Base[Año Financiero])*(Otras_Actividades_Base[Financiero $Corrientes]))</f>
        <v>0</v>
      </c>
      <c r="J165" s="99">
        <f>SUMPRODUCT(($C$165=Otras_Actividades_Base[Movimiento])*(J$1=Otras_Actividades_Base[Mes Financiero])*(J$2=Otras_Actividades_Base[Año Financiero])*(Otras_Actividades_Base[Financiero $Corrientes]))</f>
        <v>0</v>
      </c>
      <c r="K165" s="100">
        <f>SUMPRODUCT(($C$165=Otras_Actividades_Base[Movimiento])*(K$1=Otras_Actividades_Base[Mes Financiero])*(K$2=Otras_Actividades_Base[Año Financiero])*(Otras_Actividades_Base[Financiero $Corrientes]))</f>
        <v>0</v>
      </c>
      <c r="L165" s="99">
        <f>SUMPRODUCT(($C$165=Otras_Actividades_Base[Movimiento])*(L$1=Otras_Actividades_Base[Mes Financiero])*(L$2=Otras_Actividades_Base[Año Financiero])*(Otras_Actividades_Base[Financiero $Corrientes]))</f>
        <v>0</v>
      </c>
      <c r="M165" s="100">
        <f>SUMPRODUCT(($C$165=Otras_Actividades_Base[Movimiento])*(M$1=Otras_Actividades_Base[Mes Financiero])*(M$2=Otras_Actividades_Base[Año Financiero])*(Otras_Actividades_Base[Financiero $Corrientes]))</f>
        <v>0</v>
      </c>
      <c r="N165" s="99">
        <f>SUMPRODUCT(($C$165=Otras_Actividades_Base[Movimiento])*(N$1=Otras_Actividades_Base[Mes Financiero])*(N$2=Otras_Actividades_Base[Año Financiero])*(Otras_Actividades_Base[Financiero $Corrientes]))</f>
        <v>0</v>
      </c>
      <c r="O165" s="100">
        <f>SUMPRODUCT(($C$165=Otras_Actividades_Base[Movimiento])*(O$1=Otras_Actividades_Base[Mes Financiero])*(O$2=Otras_Actividades_Base[Año Financiero])*(Otras_Actividades_Base[Financiero $Corrientes]))</f>
        <v>0</v>
      </c>
      <c r="P165" s="99">
        <f>SUMPRODUCT(($C$165=Otras_Actividades_Base[Movimiento])*(P$1=Otras_Actividades_Base[Mes Financiero])*(P$2=Otras_Actividades_Base[Año Financiero])*(Otras_Actividades_Base[Financiero $Corrientes]))</f>
        <v>0</v>
      </c>
      <c r="Q165" s="100">
        <f>SUMPRODUCT(($C$165=Otras_Actividades_Base[Movimiento])*(Q$1=Otras_Actividades_Base[Mes Financiero])*(Q$2=Otras_Actividades_Base[Año Financiero])*(Otras_Actividades_Base[Financiero $Corrientes]))</f>
        <v>0</v>
      </c>
      <c r="R165" s="99">
        <f>SUMPRODUCT(($C$165=Otras_Actividades_Base[Movimiento])*(R$1=Otras_Actividades_Base[Mes Financiero])*(R$2=Otras_Actividades_Base[Año Financiero])*(Otras_Actividades_Base[Financiero $Corrientes]))</f>
        <v>0</v>
      </c>
      <c r="S165" s="100">
        <f>SUMPRODUCT(($C$165=Otras_Actividades_Base[Movimiento])*(S$1=Otras_Actividades_Base[Mes Financiero])*(S$2=Otras_Actividades_Base[Año Financiero])*(Otras_Actividades_Base[Financiero $Corrientes]))</f>
        <v>0</v>
      </c>
      <c r="T165" s="99">
        <f>SUMPRODUCT(($C$165=Otras_Actividades_Base[Movimiento])*(T$1=Otras_Actividades_Base[Mes Financiero])*(T$2=Otras_Actividades_Base[Año Financiero])*(Otras_Actividades_Base[Financiero $Corrientes]))</f>
        <v>0</v>
      </c>
      <c r="U165" s="100">
        <f>SUMPRODUCT(($C$165=Otras_Actividades_Base[Movimiento])*(U$1=Otras_Actividades_Base[Mes Financiero])*(U$2=Otras_Actividades_Base[Año Financiero])*(Otras_Actividades_Base[Financiero $Corrientes]))</f>
        <v>0</v>
      </c>
      <c r="V165" s="99">
        <f>SUMPRODUCT(($C$165=Otras_Actividades_Base[Movimiento])*(V$1=Otras_Actividades_Base[Mes Financiero])*(V$2=Otras_Actividades_Base[Año Financiero])*(Otras_Actividades_Base[Financiero $Corrientes]))</f>
        <v>0</v>
      </c>
      <c r="W165" s="100">
        <f>SUMPRODUCT(($C$165=Otras_Actividades_Base[Movimiento])*(W$1=Otras_Actividades_Base[Mes Financiero])*(W$2=Otras_Actividades_Base[Año Financiero])*(Otras_Actividades_Base[Financiero $Corrientes]))</f>
        <v>0</v>
      </c>
      <c r="X165" s="99">
        <f>SUMPRODUCT(($C$165=Otras_Actividades_Base[Movimiento])*(X$1=Otras_Actividades_Base[Mes Financiero])*(X$2=Otras_Actividades_Base[Año Financiero])*(Otras_Actividades_Base[Financiero $Corrientes]))</f>
        <v>0</v>
      </c>
      <c r="Y165" s="100">
        <f>SUMPRODUCT(($C$165=Otras_Actividades_Base[Movimiento])*(Y$1=Otras_Actividades_Base[Mes Financiero])*(Y$2=Otras_Actividades_Base[Año Financiero])*(Otras_Actividades_Base[Financiero $Corrientes]))</f>
        <v>0</v>
      </c>
      <c r="Z165" s="139">
        <f>SUM(H165:Y165)</f>
        <v>0</v>
      </c>
    </row>
    <row r="166" spans="2:30" hidden="1" outlineLevel="2" x14ac:dyDescent="0.25">
      <c r="E166" s="135"/>
      <c r="F166" s="215">
        <f>IFERROR(MATCH(G166,Tabla8111626[Unidades de Negocio],0),0)</f>
        <v>1</v>
      </c>
      <c r="G166" s="217" t="str">
        <f>Configuración!BW5</f>
        <v>Maquinaria</v>
      </c>
      <c r="H166" s="117">
        <f>SUMPRODUCT(($C$165=Otras_Actividades_Base[Movimiento])*($G166=Otras_Actividades_Base[Unidad de Negocio])*(H$1=Otras_Actividades_Base[Mes Financiero])*(H$2=Otras_Actividades_Base[Año Financiero])*(Otras_Actividades_Base[Financiero $Corrientes]))</f>
        <v>0</v>
      </c>
      <c r="I166" s="118">
        <f>SUMPRODUCT(($C$165=Otras_Actividades_Base[Movimiento])*($G166=Otras_Actividades_Base[Unidad de Negocio])*(I$1=Otras_Actividades_Base[Mes Financiero])*(I$2=Otras_Actividades_Base[Año Financiero])*(Otras_Actividades_Base[Financiero $Corrientes]))</f>
        <v>0</v>
      </c>
      <c r="J166" s="117">
        <f>SUMPRODUCT(($C$165=Otras_Actividades_Base[Movimiento])*($G166=Otras_Actividades_Base[Unidad de Negocio])*(J$1=Otras_Actividades_Base[Mes Financiero])*(J$2=Otras_Actividades_Base[Año Financiero])*(Otras_Actividades_Base[Financiero $Corrientes]))</f>
        <v>0</v>
      </c>
      <c r="K166" s="118">
        <f>SUMPRODUCT(($C$165=Otras_Actividades_Base[Movimiento])*($G166=Otras_Actividades_Base[Unidad de Negocio])*(K$1=Otras_Actividades_Base[Mes Financiero])*(K$2=Otras_Actividades_Base[Año Financiero])*(Otras_Actividades_Base[Financiero $Corrientes]))</f>
        <v>0</v>
      </c>
      <c r="L166" s="117">
        <f>SUMPRODUCT(($C$165=Otras_Actividades_Base[Movimiento])*($G166=Otras_Actividades_Base[Unidad de Negocio])*(L$1=Otras_Actividades_Base[Mes Financiero])*(L$2=Otras_Actividades_Base[Año Financiero])*(Otras_Actividades_Base[Financiero $Corrientes]))</f>
        <v>0</v>
      </c>
      <c r="M166" s="118">
        <f>SUMPRODUCT(($C$165=Otras_Actividades_Base[Movimiento])*($G166=Otras_Actividades_Base[Unidad de Negocio])*(M$1=Otras_Actividades_Base[Mes Financiero])*(M$2=Otras_Actividades_Base[Año Financiero])*(Otras_Actividades_Base[Financiero $Corrientes]))</f>
        <v>0</v>
      </c>
      <c r="N166" s="117">
        <f>SUMPRODUCT(($C$165=Otras_Actividades_Base[Movimiento])*($G166=Otras_Actividades_Base[Unidad de Negocio])*(N$1=Otras_Actividades_Base[Mes Financiero])*(N$2=Otras_Actividades_Base[Año Financiero])*(Otras_Actividades_Base[Financiero $Corrientes]))</f>
        <v>0</v>
      </c>
      <c r="O166" s="118">
        <f>SUMPRODUCT(($C$165=Otras_Actividades_Base[Movimiento])*($G166=Otras_Actividades_Base[Unidad de Negocio])*(O$1=Otras_Actividades_Base[Mes Financiero])*(O$2=Otras_Actividades_Base[Año Financiero])*(Otras_Actividades_Base[Financiero $Corrientes]))</f>
        <v>0</v>
      </c>
      <c r="P166" s="117">
        <f>SUMPRODUCT(($C$165=Otras_Actividades_Base[Movimiento])*($G166=Otras_Actividades_Base[Unidad de Negocio])*(P$1=Otras_Actividades_Base[Mes Financiero])*(P$2=Otras_Actividades_Base[Año Financiero])*(Otras_Actividades_Base[Financiero $Corrientes]))</f>
        <v>0</v>
      </c>
      <c r="Q166" s="118">
        <f>SUMPRODUCT(($C$165=Otras_Actividades_Base[Movimiento])*($G166=Otras_Actividades_Base[Unidad de Negocio])*(Q$1=Otras_Actividades_Base[Mes Financiero])*(Q$2=Otras_Actividades_Base[Año Financiero])*(Otras_Actividades_Base[Financiero $Corrientes]))</f>
        <v>0</v>
      </c>
      <c r="R166" s="117">
        <f>SUMPRODUCT(($C$165=Otras_Actividades_Base[Movimiento])*($G166=Otras_Actividades_Base[Unidad de Negocio])*(R$1=Otras_Actividades_Base[Mes Financiero])*(R$2=Otras_Actividades_Base[Año Financiero])*(Otras_Actividades_Base[Financiero $Corrientes]))</f>
        <v>0</v>
      </c>
      <c r="S166" s="118">
        <f>SUMPRODUCT(($C$165=Otras_Actividades_Base[Movimiento])*($G166=Otras_Actividades_Base[Unidad de Negocio])*(S$1=Otras_Actividades_Base[Mes Financiero])*(S$2=Otras_Actividades_Base[Año Financiero])*(Otras_Actividades_Base[Financiero $Corrientes]))</f>
        <v>0</v>
      </c>
      <c r="T166" s="117">
        <f>SUMPRODUCT(($C$165=Otras_Actividades_Base[Movimiento])*($G166=Otras_Actividades_Base[Unidad de Negocio])*(T$1=Otras_Actividades_Base[Mes Financiero])*(T$2=Otras_Actividades_Base[Año Financiero])*(Otras_Actividades_Base[Financiero $Corrientes]))</f>
        <v>0</v>
      </c>
      <c r="U166" s="118">
        <f>SUMPRODUCT(($C$165=Otras_Actividades_Base[Movimiento])*($G166=Otras_Actividades_Base[Unidad de Negocio])*(U$1=Otras_Actividades_Base[Mes Financiero])*(U$2=Otras_Actividades_Base[Año Financiero])*(Otras_Actividades_Base[Financiero $Corrientes]))</f>
        <v>0</v>
      </c>
      <c r="V166" s="117">
        <f>SUMPRODUCT(($C$165=Otras_Actividades_Base[Movimiento])*($G166=Otras_Actividades_Base[Unidad de Negocio])*(V$1=Otras_Actividades_Base[Mes Financiero])*(V$2=Otras_Actividades_Base[Año Financiero])*(Otras_Actividades_Base[Financiero $Corrientes]))</f>
        <v>0</v>
      </c>
      <c r="W166" s="118">
        <f>SUMPRODUCT(($C$165=Otras_Actividades_Base[Movimiento])*($G166=Otras_Actividades_Base[Unidad de Negocio])*(W$1=Otras_Actividades_Base[Mes Financiero])*(W$2=Otras_Actividades_Base[Año Financiero])*(Otras_Actividades_Base[Financiero $Corrientes]))</f>
        <v>0</v>
      </c>
      <c r="X166" s="117">
        <f>SUMPRODUCT(($C$165=Otras_Actividades_Base[Movimiento])*($G166=Otras_Actividades_Base[Unidad de Negocio])*(X$1=Otras_Actividades_Base[Mes Financiero])*(X$2=Otras_Actividades_Base[Año Financiero])*(Otras_Actividades_Base[Financiero $Corrientes]))</f>
        <v>0</v>
      </c>
      <c r="Y166" s="118">
        <f>SUMPRODUCT(($C$165=Otras_Actividades_Base[Movimiento])*($G166=Otras_Actividades_Base[Unidad de Negocio])*(Y$1=Otras_Actividades_Base[Mes Financiero])*(Y$2=Otras_Actividades_Base[Año Financiero])*(Otras_Actividades_Base[Financiero $Corrientes]))</f>
        <v>0</v>
      </c>
      <c r="Z166" s="140">
        <f t="shared" ref="Z166:Z184" si="25">SUM(H166:Y166)</f>
        <v>0</v>
      </c>
    </row>
    <row r="167" spans="2:30" hidden="1" outlineLevel="2" x14ac:dyDescent="0.25">
      <c r="E167" s="135"/>
      <c r="F167" s="215">
        <f>IFERROR(MATCH(G167,Tabla8111626[Unidades de Negocio],0),0)</f>
        <v>2</v>
      </c>
      <c r="G167" s="217" t="str">
        <f>Configuración!BW6</f>
        <v>Cosecha</v>
      </c>
      <c r="H167" s="117">
        <f>SUMPRODUCT(($C$165=Otras_Actividades_Base[Movimiento])*($G167=Otras_Actividades_Base[Unidad de Negocio])*(H$1=Otras_Actividades_Base[Mes Financiero])*(H$2=Otras_Actividades_Base[Año Financiero])*(Otras_Actividades_Base[Financiero $Corrientes]))</f>
        <v>0</v>
      </c>
      <c r="I167" s="118">
        <f>SUMPRODUCT(($C$165=Otras_Actividades_Base[Movimiento])*($G167=Otras_Actividades_Base[Unidad de Negocio])*(I$1=Otras_Actividades_Base[Mes Financiero])*(I$2=Otras_Actividades_Base[Año Financiero])*(Otras_Actividades_Base[Financiero $Corrientes]))</f>
        <v>0</v>
      </c>
      <c r="J167" s="117">
        <f>SUMPRODUCT(($C$165=Otras_Actividades_Base[Movimiento])*($G167=Otras_Actividades_Base[Unidad de Negocio])*(J$1=Otras_Actividades_Base[Mes Financiero])*(J$2=Otras_Actividades_Base[Año Financiero])*(Otras_Actividades_Base[Financiero $Corrientes]))</f>
        <v>0</v>
      </c>
      <c r="K167" s="118">
        <f>SUMPRODUCT(($C$165=Otras_Actividades_Base[Movimiento])*($G167=Otras_Actividades_Base[Unidad de Negocio])*(K$1=Otras_Actividades_Base[Mes Financiero])*(K$2=Otras_Actividades_Base[Año Financiero])*(Otras_Actividades_Base[Financiero $Corrientes]))</f>
        <v>0</v>
      </c>
      <c r="L167" s="117">
        <f>SUMPRODUCT(($C$165=Otras_Actividades_Base[Movimiento])*($G167=Otras_Actividades_Base[Unidad de Negocio])*(L$1=Otras_Actividades_Base[Mes Financiero])*(L$2=Otras_Actividades_Base[Año Financiero])*(Otras_Actividades_Base[Financiero $Corrientes]))</f>
        <v>0</v>
      </c>
      <c r="M167" s="118">
        <f>SUMPRODUCT(($C$165=Otras_Actividades_Base[Movimiento])*($G167=Otras_Actividades_Base[Unidad de Negocio])*(M$1=Otras_Actividades_Base[Mes Financiero])*(M$2=Otras_Actividades_Base[Año Financiero])*(Otras_Actividades_Base[Financiero $Corrientes]))</f>
        <v>0</v>
      </c>
      <c r="N167" s="117">
        <f>SUMPRODUCT(($C$165=Otras_Actividades_Base[Movimiento])*($G167=Otras_Actividades_Base[Unidad de Negocio])*(N$1=Otras_Actividades_Base[Mes Financiero])*(N$2=Otras_Actividades_Base[Año Financiero])*(Otras_Actividades_Base[Financiero $Corrientes]))</f>
        <v>0</v>
      </c>
      <c r="O167" s="118">
        <f>SUMPRODUCT(($C$165=Otras_Actividades_Base[Movimiento])*($G167=Otras_Actividades_Base[Unidad de Negocio])*(O$1=Otras_Actividades_Base[Mes Financiero])*(O$2=Otras_Actividades_Base[Año Financiero])*(Otras_Actividades_Base[Financiero $Corrientes]))</f>
        <v>0</v>
      </c>
      <c r="P167" s="117">
        <f>SUMPRODUCT(($C$165=Otras_Actividades_Base[Movimiento])*($G167=Otras_Actividades_Base[Unidad de Negocio])*(P$1=Otras_Actividades_Base[Mes Financiero])*(P$2=Otras_Actividades_Base[Año Financiero])*(Otras_Actividades_Base[Financiero $Corrientes]))</f>
        <v>0</v>
      </c>
      <c r="Q167" s="118">
        <f>SUMPRODUCT(($C$165=Otras_Actividades_Base[Movimiento])*($G167=Otras_Actividades_Base[Unidad de Negocio])*(Q$1=Otras_Actividades_Base[Mes Financiero])*(Q$2=Otras_Actividades_Base[Año Financiero])*(Otras_Actividades_Base[Financiero $Corrientes]))</f>
        <v>0</v>
      </c>
      <c r="R167" s="117">
        <f>SUMPRODUCT(($C$165=Otras_Actividades_Base[Movimiento])*($G167=Otras_Actividades_Base[Unidad de Negocio])*(R$1=Otras_Actividades_Base[Mes Financiero])*(R$2=Otras_Actividades_Base[Año Financiero])*(Otras_Actividades_Base[Financiero $Corrientes]))</f>
        <v>0</v>
      </c>
      <c r="S167" s="118">
        <f>SUMPRODUCT(($C$165=Otras_Actividades_Base[Movimiento])*($G167=Otras_Actividades_Base[Unidad de Negocio])*(S$1=Otras_Actividades_Base[Mes Financiero])*(S$2=Otras_Actividades_Base[Año Financiero])*(Otras_Actividades_Base[Financiero $Corrientes]))</f>
        <v>0</v>
      </c>
      <c r="T167" s="117">
        <f>SUMPRODUCT(($C$165=Otras_Actividades_Base[Movimiento])*($G167=Otras_Actividades_Base[Unidad de Negocio])*(T$1=Otras_Actividades_Base[Mes Financiero])*(T$2=Otras_Actividades_Base[Año Financiero])*(Otras_Actividades_Base[Financiero $Corrientes]))</f>
        <v>0</v>
      </c>
      <c r="U167" s="118">
        <f>SUMPRODUCT(($C$165=Otras_Actividades_Base[Movimiento])*($G167=Otras_Actividades_Base[Unidad de Negocio])*(U$1=Otras_Actividades_Base[Mes Financiero])*(U$2=Otras_Actividades_Base[Año Financiero])*(Otras_Actividades_Base[Financiero $Corrientes]))</f>
        <v>0</v>
      </c>
      <c r="V167" s="117">
        <f>SUMPRODUCT(($C$165=Otras_Actividades_Base[Movimiento])*($G167=Otras_Actividades_Base[Unidad de Negocio])*(V$1=Otras_Actividades_Base[Mes Financiero])*(V$2=Otras_Actividades_Base[Año Financiero])*(Otras_Actividades_Base[Financiero $Corrientes]))</f>
        <v>0</v>
      </c>
      <c r="W167" s="118">
        <f>SUMPRODUCT(($C$165=Otras_Actividades_Base[Movimiento])*($G167=Otras_Actividades_Base[Unidad de Negocio])*(W$1=Otras_Actividades_Base[Mes Financiero])*(W$2=Otras_Actividades_Base[Año Financiero])*(Otras_Actividades_Base[Financiero $Corrientes]))</f>
        <v>0</v>
      </c>
      <c r="X167" s="117">
        <f>SUMPRODUCT(($C$165=Otras_Actividades_Base[Movimiento])*($G167=Otras_Actividades_Base[Unidad de Negocio])*(X$1=Otras_Actividades_Base[Mes Financiero])*(X$2=Otras_Actividades_Base[Año Financiero])*(Otras_Actividades_Base[Financiero $Corrientes]))</f>
        <v>0</v>
      </c>
      <c r="Y167" s="118">
        <f>SUMPRODUCT(($C$165=Otras_Actividades_Base[Movimiento])*($G167=Otras_Actividades_Base[Unidad de Negocio])*(Y$1=Otras_Actividades_Base[Mes Financiero])*(Y$2=Otras_Actividades_Base[Año Financiero])*(Otras_Actividades_Base[Financiero $Corrientes]))</f>
        <v>0</v>
      </c>
      <c r="Z167" s="140">
        <f t="shared" si="25"/>
        <v>0</v>
      </c>
    </row>
    <row r="168" spans="2:30" hidden="1" outlineLevel="2" x14ac:dyDescent="0.25">
      <c r="E168" s="135"/>
      <c r="F168" s="215">
        <f>IFERROR(MATCH(G168,Tabla8111626[Unidades de Negocio],0),0)</f>
        <v>3</v>
      </c>
      <c r="G168" s="217" t="str">
        <f>Configuración!BW7</f>
        <v>Inmobiliario</v>
      </c>
      <c r="H168" s="117">
        <f>SUMPRODUCT(($C$165=Otras_Actividades_Base[Movimiento])*($G168=Otras_Actividades_Base[Unidad de Negocio])*(H$1=Otras_Actividades_Base[Mes Financiero])*(H$2=Otras_Actividades_Base[Año Financiero])*(Otras_Actividades_Base[Financiero $Corrientes]))</f>
        <v>0</v>
      </c>
      <c r="I168" s="118">
        <f>SUMPRODUCT(($C$165=Otras_Actividades_Base[Movimiento])*($G168=Otras_Actividades_Base[Unidad de Negocio])*(I$1=Otras_Actividades_Base[Mes Financiero])*(I$2=Otras_Actividades_Base[Año Financiero])*(Otras_Actividades_Base[Financiero $Corrientes]))</f>
        <v>0</v>
      </c>
      <c r="J168" s="117">
        <f>SUMPRODUCT(($C$165=Otras_Actividades_Base[Movimiento])*($G168=Otras_Actividades_Base[Unidad de Negocio])*(J$1=Otras_Actividades_Base[Mes Financiero])*(J$2=Otras_Actividades_Base[Año Financiero])*(Otras_Actividades_Base[Financiero $Corrientes]))</f>
        <v>0</v>
      </c>
      <c r="K168" s="118">
        <f>SUMPRODUCT(($C$165=Otras_Actividades_Base[Movimiento])*($G168=Otras_Actividades_Base[Unidad de Negocio])*(K$1=Otras_Actividades_Base[Mes Financiero])*(K$2=Otras_Actividades_Base[Año Financiero])*(Otras_Actividades_Base[Financiero $Corrientes]))</f>
        <v>0</v>
      </c>
      <c r="L168" s="117">
        <f>SUMPRODUCT(($C$165=Otras_Actividades_Base[Movimiento])*($G168=Otras_Actividades_Base[Unidad de Negocio])*(L$1=Otras_Actividades_Base[Mes Financiero])*(L$2=Otras_Actividades_Base[Año Financiero])*(Otras_Actividades_Base[Financiero $Corrientes]))</f>
        <v>0</v>
      </c>
      <c r="M168" s="118">
        <f>SUMPRODUCT(($C$165=Otras_Actividades_Base[Movimiento])*($G168=Otras_Actividades_Base[Unidad de Negocio])*(M$1=Otras_Actividades_Base[Mes Financiero])*(M$2=Otras_Actividades_Base[Año Financiero])*(Otras_Actividades_Base[Financiero $Corrientes]))</f>
        <v>0</v>
      </c>
      <c r="N168" s="117">
        <f>SUMPRODUCT(($C$165=Otras_Actividades_Base[Movimiento])*($G168=Otras_Actividades_Base[Unidad de Negocio])*(N$1=Otras_Actividades_Base[Mes Financiero])*(N$2=Otras_Actividades_Base[Año Financiero])*(Otras_Actividades_Base[Financiero $Corrientes]))</f>
        <v>0</v>
      </c>
      <c r="O168" s="118">
        <f>SUMPRODUCT(($C$165=Otras_Actividades_Base[Movimiento])*($G168=Otras_Actividades_Base[Unidad de Negocio])*(O$1=Otras_Actividades_Base[Mes Financiero])*(O$2=Otras_Actividades_Base[Año Financiero])*(Otras_Actividades_Base[Financiero $Corrientes]))</f>
        <v>0</v>
      </c>
      <c r="P168" s="117">
        <f>SUMPRODUCT(($C$165=Otras_Actividades_Base[Movimiento])*($G168=Otras_Actividades_Base[Unidad de Negocio])*(P$1=Otras_Actividades_Base[Mes Financiero])*(P$2=Otras_Actividades_Base[Año Financiero])*(Otras_Actividades_Base[Financiero $Corrientes]))</f>
        <v>0</v>
      </c>
      <c r="Q168" s="118">
        <f>SUMPRODUCT(($C$165=Otras_Actividades_Base[Movimiento])*($G168=Otras_Actividades_Base[Unidad de Negocio])*(Q$1=Otras_Actividades_Base[Mes Financiero])*(Q$2=Otras_Actividades_Base[Año Financiero])*(Otras_Actividades_Base[Financiero $Corrientes]))</f>
        <v>0</v>
      </c>
      <c r="R168" s="117">
        <f>SUMPRODUCT(($C$165=Otras_Actividades_Base[Movimiento])*($G168=Otras_Actividades_Base[Unidad de Negocio])*(R$1=Otras_Actividades_Base[Mes Financiero])*(R$2=Otras_Actividades_Base[Año Financiero])*(Otras_Actividades_Base[Financiero $Corrientes]))</f>
        <v>0</v>
      </c>
      <c r="S168" s="118">
        <f>SUMPRODUCT(($C$165=Otras_Actividades_Base[Movimiento])*($G168=Otras_Actividades_Base[Unidad de Negocio])*(S$1=Otras_Actividades_Base[Mes Financiero])*(S$2=Otras_Actividades_Base[Año Financiero])*(Otras_Actividades_Base[Financiero $Corrientes]))</f>
        <v>0</v>
      </c>
      <c r="T168" s="117">
        <f>SUMPRODUCT(($C$165=Otras_Actividades_Base[Movimiento])*($G168=Otras_Actividades_Base[Unidad de Negocio])*(T$1=Otras_Actividades_Base[Mes Financiero])*(T$2=Otras_Actividades_Base[Año Financiero])*(Otras_Actividades_Base[Financiero $Corrientes]))</f>
        <v>0</v>
      </c>
      <c r="U168" s="118">
        <f>SUMPRODUCT(($C$165=Otras_Actividades_Base[Movimiento])*($G168=Otras_Actividades_Base[Unidad de Negocio])*(U$1=Otras_Actividades_Base[Mes Financiero])*(U$2=Otras_Actividades_Base[Año Financiero])*(Otras_Actividades_Base[Financiero $Corrientes]))</f>
        <v>0</v>
      </c>
      <c r="V168" s="117">
        <f>SUMPRODUCT(($C$165=Otras_Actividades_Base[Movimiento])*($G168=Otras_Actividades_Base[Unidad de Negocio])*(V$1=Otras_Actividades_Base[Mes Financiero])*(V$2=Otras_Actividades_Base[Año Financiero])*(Otras_Actividades_Base[Financiero $Corrientes]))</f>
        <v>0</v>
      </c>
      <c r="W168" s="118">
        <f>SUMPRODUCT(($C$165=Otras_Actividades_Base[Movimiento])*($G168=Otras_Actividades_Base[Unidad de Negocio])*(W$1=Otras_Actividades_Base[Mes Financiero])*(W$2=Otras_Actividades_Base[Año Financiero])*(Otras_Actividades_Base[Financiero $Corrientes]))</f>
        <v>0</v>
      </c>
      <c r="X168" s="117">
        <f>SUMPRODUCT(($C$165=Otras_Actividades_Base[Movimiento])*($G168=Otras_Actividades_Base[Unidad de Negocio])*(X$1=Otras_Actividades_Base[Mes Financiero])*(X$2=Otras_Actividades_Base[Año Financiero])*(Otras_Actividades_Base[Financiero $Corrientes]))</f>
        <v>0</v>
      </c>
      <c r="Y168" s="118">
        <f>SUMPRODUCT(($C$165=Otras_Actividades_Base[Movimiento])*($G168=Otras_Actividades_Base[Unidad de Negocio])*(Y$1=Otras_Actividades_Base[Mes Financiero])*(Y$2=Otras_Actividades_Base[Año Financiero])*(Otras_Actividades_Base[Financiero $Corrientes]))</f>
        <v>0</v>
      </c>
      <c r="Z168" s="140">
        <f t="shared" si="25"/>
        <v>0</v>
      </c>
    </row>
    <row r="169" spans="2:30" hidden="1" outlineLevel="2" x14ac:dyDescent="0.25">
      <c r="E169" s="135"/>
      <c r="F169" s="215">
        <f>IFERROR(MATCH(G169,Tabla8111626[Unidades de Negocio],0),0)</f>
        <v>4</v>
      </c>
      <c r="G169" s="217" t="str">
        <f>Configuración!BW8</f>
        <v>Fletes</v>
      </c>
      <c r="H169" s="117">
        <f>SUMPRODUCT(($C$165=Otras_Actividades_Base[Movimiento])*($G169=Otras_Actividades_Base[Unidad de Negocio])*(H$1=Otras_Actividades_Base[Mes Financiero])*(H$2=Otras_Actividades_Base[Año Financiero])*(Otras_Actividades_Base[Financiero $Corrientes]))</f>
        <v>0</v>
      </c>
      <c r="I169" s="118">
        <f>SUMPRODUCT(($C$165=Otras_Actividades_Base[Movimiento])*($G169=Otras_Actividades_Base[Unidad de Negocio])*(I$1=Otras_Actividades_Base[Mes Financiero])*(I$2=Otras_Actividades_Base[Año Financiero])*(Otras_Actividades_Base[Financiero $Corrientes]))</f>
        <v>0</v>
      </c>
      <c r="J169" s="117">
        <f>SUMPRODUCT(($C$165=Otras_Actividades_Base[Movimiento])*($G169=Otras_Actividades_Base[Unidad de Negocio])*(J$1=Otras_Actividades_Base[Mes Financiero])*(J$2=Otras_Actividades_Base[Año Financiero])*(Otras_Actividades_Base[Financiero $Corrientes]))</f>
        <v>0</v>
      </c>
      <c r="K169" s="118">
        <f>SUMPRODUCT(($C$165=Otras_Actividades_Base[Movimiento])*($G169=Otras_Actividades_Base[Unidad de Negocio])*(K$1=Otras_Actividades_Base[Mes Financiero])*(K$2=Otras_Actividades_Base[Año Financiero])*(Otras_Actividades_Base[Financiero $Corrientes]))</f>
        <v>0</v>
      </c>
      <c r="L169" s="117">
        <f>SUMPRODUCT(($C$165=Otras_Actividades_Base[Movimiento])*($G169=Otras_Actividades_Base[Unidad de Negocio])*(L$1=Otras_Actividades_Base[Mes Financiero])*(L$2=Otras_Actividades_Base[Año Financiero])*(Otras_Actividades_Base[Financiero $Corrientes]))</f>
        <v>0</v>
      </c>
      <c r="M169" s="118">
        <f>SUMPRODUCT(($C$165=Otras_Actividades_Base[Movimiento])*($G169=Otras_Actividades_Base[Unidad de Negocio])*(M$1=Otras_Actividades_Base[Mes Financiero])*(M$2=Otras_Actividades_Base[Año Financiero])*(Otras_Actividades_Base[Financiero $Corrientes]))</f>
        <v>0</v>
      </c>
      <c r="N169" s="117">
        <f>SUMPRODUCT(($C$165=Otras_Actividades_Base[Movimiento])*($G169=Otras_Actividades_Base[Unidad de Negocio])*(N$1=Otras_Actividades_Base[Mes Financiero])*(N$2=Otras_Actividades_Base[Año Financiero])*(Otras_Actividades_Base[Financiero $Corrientes]))</f>
        <v>0</v>
      </c>
      <c r="O169" s="118">
        <f>SUMPRODUCT(($C$165=Otras_Actividades_Base[Movimiento])*($G169=Otras_Actividades_Base[Unidad de Negocio])*(O$1=Otras_Actividades_Base[Mes Financiero])*(O$2=Otras_Actividades_Base[Año Financiero])*(Otras_Actividades_Base[Financiero $Corrientes]))</f>
        <v>0</v>
      </c>
      <c r="P169" s="117">
        <f>SUMPRODUCT(($C$165=Otras_Actividades_Base[Movimiento])*($G169=Otras_Actividades_Base[Unidad de Negocio])*(P$1=Otras_Actividades_Base[Mes Financiero])*(P$2=Otras_Actividades_Base[Año Financiero])*(Otras_Actividades_Base[Financiero $Corrientes]))</f>
        <v>0</v>
      </c>
      <c r="Q169" s="118">
        <f>SUMPRODUCT(($C$165=Otras_Actividades_Base[Movimiento])*($G169=Otras_Actividades_Base[Unidad de Negocio])*(Q$1=Otras_Actividades_Base[Mes Financiero])*(Q$2=Otras_Actividades_Base[Año Financiero])*(Otras_Actividades_Base[Financiero $Corrientes]))</f>
        <v>0</v>
      </c>
      <c r="R169" s="117">
        <f>SUMPRODUCT(($C$165=Otras_Actividades_Base[Movimiento])*($G169=Otras_Actividades_Base[Unidad de Negocio])*(R$1=Otras_Actividades_Base[Mes Financiero])*(R$2=Otras_Actividades_Base[Año Financiero])*(Otras_Actividades_Base[Financiero $Corrientes]))</f>
        <v>0</v>
      </c>
      <c r="S169" s="118">
        <f>SUMPRODUCT(($C$165=Otras_Actividades_Base[Movimiento])*($G169=Otras_Actividades_Base[Unidad de Negocio])*(S$1=Otras_Actividades_Base[Mes Financiero])*(S$2=Otras_Actividades_Base[Año Financiero])*(Otras_Actividades_Base[Financiero $Corrientes]))</f>
        <v>0</v>
      </c>
      <c r="T169" s="117">
        <f>SUMPRODUCT(($C$165=Otras_Actividades_Base[Movimiento])*($G169=Otras_Actividades_Base[Unidad de Negocio])*(T$1=Otras_Actividades_Base[Mes Financiero])*(T$2=Otras_Actividades_Base[Año Financiero])*(Otras_Actividades_Base[Financiero $Corrientes]))</f>
        <v>0</v>
      </c>
      <c r="U169" s="118">
        <f>SUMPRODUCT(($C$165=Otras_Actividades_Base[Movimiento])*($G169=Otras_Actividades_Base[Unidad de Negocio])*(U$1=Otras_Actividades_Base[Mes Financiero])*(U$2=Otras_Actividades_Base[Año Financiero])*(Otras_Actividades_Base[Financiero $Corrientes]))</f>
        <v>0</v>
      </c>
      <c r="V169" s="117">
        <f>SUMPRODUCT(($C$165=Otras_Actividades_Base[Movimiento])*($G169=Otras_Actividades_Base[Unidad de Negocio])*(V$1=Otras_Actividades_Base[Mes Financiero])*(V$2=Otras_Actividades_Base[Año Financiero])*(Otras_Actividades_Base[Financiero $Corrientes]))</f>
        <v>0</v>
      </c>
      <c r="W169" s="118">
        <f>SUMPRODUCT(($C$165=Otras_Actividades_Base[Movimiento])*($G169=Otras_Actividades_Base[Unidad de Negocio])*(W$1=Otras_Actividades_Base[Mes Financiero])*(W$2=Otras_Actividades_Base[Año Financiero])*(Otras_Actividades_Base[Financiero $Corrientes]))</f>
        <v>0</v>
      </c>
      <c r="X169" s="117">
        <f>SUMPRODUCT(($C$165=Otras_Actividades_Base[Movimiento])*($G169=Otras_Actividades_Base[Unidad de Negocio])*(X$1=Otras_Actividades_Base[Mes Financiero])*(X$2=Otras_Actividades_Base[Año Financiero])*(Otras_Actividades_Base[Financiero $Corrientes]))</f>
        <v>0</v>
      </c>
      <c r="Y169" s="118">
        <f>SUMPRODUCT(($C$165=Otras_Actividades_Base[Movimiento])*($G169=Otras_Actividades_Base[Unidad de Negocio])*(Y$1=Otras_Actividades_Base[Mes Financiero])*(Y$2=Otras_Actividades_Base[Año Financiero])*(Otras_Actividades_Base[Financiero $Corrientes]))</f>
        <v>0</v>
      </c>
      <c r="Z169" s="140">
        <f t="shared" si="25"/>
        <v>0</v>
      </c>
    </row>
    <row r="170" spans="2:30" hidden="1" outlineLevel="2" x14ac:dyDescent="0.25">
      <c r="E170" s="135"/>
      <c r="F170" s="215">
        <f>IFERROR(MATCH(G170,Tabla8111626[Unidades de Negocio],0),0)</f>
        <v>5</v>
      </c>
      <c r="G170" s="217" t="str">
        <f>Configuración!BW9</f>
        <v>Financieras</v>
      </c>
      <c r="H170" s="117">
        <f>SUMPRODUCT(($C$165=Otras_Actividades_Base[Movimiento])*($G170=Otras_Actividades_Base[Unidad de Negocio])*(H$1=Otras_Actividades_Base[Mes Financiero])*(H$2=Otras_Actividades_Base[Año Financiero])*(Otras_Actividades_Base[Financiero $Corrientes]))</f>
        <v>0</v>
      </c>
      <c r="I170" s="118">
        <f>SUMPRODUCT(($C$165=Otras_Actividades_Base[Movimiento])*($G170=Otras_Actividades_Base[Unidad de Negocio])*(I$1=Otras_Actividades_Base[Mes Financiero])*(I$2=Otras_Actividades_Base[Año Financiero])*(Otras_Actividades_Base[Financiero $Corrientes]))</f>
        <v>0</v>
      </c>
      <c r="J170" s="117">
        <f>SUMPRODUCT(($C$165=Otras_Actividades_Base[Movimiento])*($G170=Otras_Actividades_Base[Unidad de Negocio])*(J$1=Otras_Actividades_Base[Mes Financiero])*(J$2=Otras_Actividades_Base[Año Financiero])*(Otras_Actividades_Base[Financiero $Corrientes]))</f>
        <v>0</v>
      </c>
      <c r="K170" s="118">
        <f>SUMPRODUCT(($C$165=Otras_Actividades_Base[Movimiento])*($G170=Otras_Actividades_Base[Unidad de Negocio])*(K$1=Otras_Actividades_Base[Mes Financiero])*(K$2=Otras_Actividades_Base[Año Financiero])*(Otras_Actividades_Base[Financiero $Corrientes]))</f>
        <v>0</v>
      </c>
      <c r="L170" s="117">
        <f>SUMPRODUCT(($C$165=Otras_Actividades_Base[Movimiento])*($G170=Otras_Actividades_Base[Unidad de Negocio])*(L$1=Otras_Actividades_Base[Mes Financiero])*(L$2=Otras_Actividades_Base[Año Financiero])*(Otras_Actividades_Base[Financiero $Corrientes]))</f>
        <v>0</v>
      </c>
      <c r="M170" s="118">
        <f>SUMPRODUCT(($C$165=Otras_Actividades_Base[Movimiento])*($G170=Otras_Actividades_Base[Unidad de Negocio])*(M$1=Otras_Actividades_Base[Mes Financiero])*(M$2=Otras_Actividades_Base[Año Financiero])*(Otras_Actividades_Base[Financiero $Corrientes]))</f>
        <v>0</v>
      </c>
      <c r="N170" s="117">
        <f>SUMPRODUCT(($C$165=Otras_Actividades_Base[Movimiento])*($G170=Otras_Actividades_Base[Unidad de Negocio])*(N$1=Otras_Actividades_Base[Mes Financiero])*(N$2=Otras_Actividades_Base[Año Financiero])*(Otras_Actividades_Base[Financiero $Corrientes]))</f>
        <v>0</v>
      </c>
      <c r="O170" s="118">
        <f>SUMPRODUCT(($C$165=Otras_Actividades_Base[Movimiento])*($G170=Otras_Actividades_Base[Unidad de Negocio])*(O$1=Otras_Actividades_Base[Mes Financiero])*(O$2=Otras_Actividades_Base[Año Financiero])*(Otras_Actividades_Base[Financiero $Corrientes]))</f>
        <v>0</v>
      </c>
      <c r="P170" s="117">
        <f>SUMPRODUCT(($C$165=Otras_Actividades_Base[Movimiento])*($G170=Otras_Actividades_Base[Unidad de Negocio])*(P$1=Otras_Actividades_Base[Mes Financiero])*(P$2=Otras_Actividades_Base[Año Financiero])*(Otras_Actividades_Base[Financiero $Corrientes]))</f>
        <v>0</v>
      </c>
      <c r="Q170" s="118">
        <f>SUMPRODUCT(($C$165=Otras_Actividades_Base[Movimiento])*($G170=Otras_Actividades_Base[Unidad de Negocio])*(Q$1=Otras_Actividades_Base[Mes Financiero])*(Q$2=Otras_Actividades_Base[Año Financiero])*(Otras_Actividades_Base[Financiero $Corrientes]))</f>
        <v>0</v>
      </c>
      <c r="R170" s="117">
        <f>SUMPRODUCT(($C$165=Otras_Actividades_Base[Movimiento])*($G170=Otras_Actividades_Base[Unidad de Negocio])*(R$1=Otras_Actividades_Base[Mes Financiero])*(R$2=Otras_Actividades_Base[Año Financiero])*(Otras_Actividades_Base[Financiero $Corrientes]))</f>
        <v>0</v>
      </c>
      <c r="S170" s="118">
        <f>SUMPRODUCT(($C$165=Otras_Actividades_Base[Movimiento])*($G170=Otras_Actividades_Base[Unidad de Negocio])*(S$1=Otras_Actividades_Base[Mes Financiero])*(S$2=Otras_Actividades_Base[Año Financiero])*(Otras_Actividades_Base[Financiero $Corrientes]))</f>
        <v>0</v>
      </c>
      <c r="T170" s="117">
        <f>SUMPRODUCT(($C$165=Otras_Actividades_Base[Movimiento])*($G170=Otras_Actividades_Base[Unidad de Negocio])*(T$1=Otras_Actividades_Base[Mes Financiero])*(T$2=Otras_Actividades_Base[Año Financiero])*(Otras_Actividades_Base[Financiero $Corrientes]))</f>
        <v>0</v>
      </c>
      <c r="U170" s="118">
        <f>SUMPRODUCT(($C$165=Otras_Actividades_Base[Movimiento])*($G170=Otras_Actividades_Base[Unidad de Negocio])*(U$1=Otras_Actividades_Base[Mes Financiero])*(U$2=Otras_Actividades_Base[Año Financiero])*(Otras_Actividades_Base[Financiero $Corrientes]))</f>
        <v>0</v>
      </c>
      <c r="V170" s="117">
        <f>SUMPRODUCT(($C$165=Otras_Actividades_Base[Movimiento])*($G170=Otras_Actividades_Base[Unidad de Negocio])*(V$1=Otras_Actividades_Base[Mes Financiero])*(V$2=Otras_Actividades_Base[Año Financiero])*(Otras_Actividades_Base[Financiero $Corrientes]))</f>
        <v>0</v>
      </c>
      <c r="W170" s="118">
        <f>SUMPRODUCT(($C$165=Otras_Actividades_Base[Movimiento])*($G170=Otras_Actividades_Base[Unidad de Negocio])*(W$1=Otras_Actividades_Base[Mes Financiero])*(W$2=Otras_Actividades_Base[Año Financiero])*(Otras_Actividades_Base[Financiero $Corrientes]))</f>
        <v>0</v>
      </c>
      <c r="X170" s="117">
        <f>SUMPRODUCT(($C$165=Otras_Actividades_Base[Movimiento])*($G170=Otras_Actividades_Base[Unidad de Negocio])*(X$1=Otras_Actividades_Base[Mes Financiero])*(X$2=Otras_Actividades_Base[Año Financiero])*(Otras_Actividades_Base[Financiero $Corrientes]))</f>
        <v>0</v>
      </c>
      <c r="Y170" s="118">
        <f>SUMPRODUCT(($C$165=Otras_Actividades_Base[Movimiento])*($G170=Otras_Actividades_Base[Unidad de Negocio])*(Y$1=Otras_Actividades_Base[Mes Financiero])*(Y$2=Otras_Actividades_Base[Año Financiero])*(Otras_Actividades_Base[Financiero $Corrientes]))</f>
        <v>0</v>
      </c>
      <c r="Z170" s="140">
        <f t="shared" si="25"/>
        <v>0</v>
      </c>
    </row>
    <row r="171" spans="2:30" hidden="1" outlineLevel="2" x14ac:dyDescent="0.25">
      <c r="E171" s="135"/>
      <c r="F171" s="216">
        <f>IFERROR(MATCH(G171,Tabla8111626[Unidades de Negocio],0),0)</f>
        <v>0</v>
      </c>
      <c r="G171" s="218">
        <f>Configuración!BW10</f>
        <v>0</v>
      </c>
      <c r="H171" s="128">
        <f>SUMPRODUCT(($C$165=Otras_Actividades_Base[Movimiento])*($G171=Otras_Actividades_Base[Unidad de Negocio])*(H$1=Otras_Actividades_Base[Mes Financiero])*(H$2=Otras_Actividades_Base[Año Financiero])*(Otras_Actividades_Base[Financiero $Corrientes]))</f>
        <v>0</v>
      </c>
      <c r="I171" s="129">
        <f>SUMPRODUCT(($C$165=Otras_Actividades_Base[Movimiento])*($G171=Otras_Actividades_Base[Unidad de Negocio])*(I$1=Otras_Actividades_Base[Mes Financiero])*(I$2=Otras_Actividades_Base[Año Financiero])*(Otras_Actividades_Base[Financiero $Corrientes]))</f>
        <v>0</v>
      </c>
      <c r="J171" s="128">
        <f>SUMPRODUCT(($C$165=Otras_Actividades_Base[Movimiento])*($G171=Otras_Actividades_Base[Unidad de Negocio])*(J$1=Otras_Actividades_Base[Mes Financiero])*(J$2=Otras_Actividades_Base[Año Financiero])*(Otras_Actividades_Base[Financiero $Corrientes]))</f>
        <v>0</v>
      </c>
      <c r="K171" s="129">
        <f>SUMPRODUCT(($C$165=Otras_Actividades_Base[Movimiento])*($G171=Otras_Actividades_Base[Unidad de Negocio])*(K$1=Otras_Actividades_Base[Mes Financiero])*(K$2=Otras_Actividades_Base[Año Financiero])*(Otras_Actividades_Base[Financiero $Corrientes]))</f>
        <v>0</v>
      </c>
      <c r="L171" s="128">
        <f>SUMPRODUCT(($C$165=Otras_Actividades_Base[Movimiento])*($G171=Otras_Actividades_Base[Unidad de Negocio])*(L$1=Otras_Actividades_Base[Mes Financiero])*(L$2=Otras_Actividades_Base[Año Financiero])*(Otras_Actividades_Base[Financiero $Corrientes]))</f>
        <v>0</v>
      </c>
      <c r="M171" s="129">
        <f>SUMPRODUCT(($C$165=Otras_Actividades_Base[Movimiento])*($G171=Otras_Actividades_Base[Unidad de Negocio])*(M$1=Otras_Actividades_Base[Mes Financiero])*(M$2=Otras_Actividades_Base[Año Financiero])*(Otras_Actividades_Base[Financiero $Corrientes]))</f>
        <v>0</v>
      </c>
      <c r="N171" s="128">
        <f>SUMPRODUCT(($C$165=Otras_Actividades_Base[Movimiento])*($G171=Otras_Actividades_Base[Unidad de Negocio])*(N$1=Otras_Actividades_Base[Mes Financiero])*(N$2=Otras_Actividades_Base[Año Financiero])*(Otras_Actividades_Base[Financiero $Corrientes]))</f>
        <v>0</v>
      </c>
      <c r="O171" s="129">
        <f>SUMPRODUCT(($C$165=Otras_Actividades_Base[Movimiento])*($G171=Otras_Actividades_Base[Unidad de Negocio])*(O$1=Otras_Actividades_Base[Mes Financiero])*(O$2=Otras_Actividades_Base[Año Financiero])*(Otras_Actividades_Base[Financiero $Corrientes]))</f>
        <v>0</v>
      </c>
      <c r="P171" s="128">
        <f>SUMPRODUCT(($C$165=Otras_Actividades_Base[Movimiento])*($G171=Otras_Actividades_Base[Unidad de Negocio])*(P$1=Otras_Actividades_Base[Mes Financiero])*(P$2=Otras_Actividades_Base[Año Financiero])*(Otras_Actividades_Base[Financiero $Corrientes]))</f>
        <v>0</v>
      </c>
      <c r="Q171" s="129">
        <f>SUMPRODUCT(($C$165=Otras_Actividades_Base[Movimiento])*($G171=Otras_Actividades_Base[Unidad de Negocio])*(Q$1=Otras_Actividades_Base[Mes Financiero])*(Q$2=Otras_Actividades_Base[Año Financiero])*(Otras_Actividades_Base[Financiero $Corrientes]))</f>
        <v>0</v>
      </c>
      <c r="R171" s="128">
        <f>SUMPRODUCT(($C$165=Otras_Actividades_Base[Movimiento])*($G171=Otras_Actividades_Base[Unidad de Negocio])*(R$1=Otras_Actividades_Base[Mes Financiero])*(R$2=Otras_Actividades_Base[Año Financiero])*(Otras_Actividades_Base[Financiero $Corrientes]))</f>
        <v>0</v>
      </c>
      <c r="S171" s="129">
        <f>SUMPRODUCT(($C$165=Otras_Actividades_Base[Movimiento])*($G171=Otras_Actividades_Base[Unidad de Negocio])*(S$1=Otras_Actividades_Base[Mes Financiero])*(S$2=Otras_Actividades_Base[Año Financiero])*(Otras_Actividades_Base[Financiero $Corrientes]))</f>
        <v>0</v>
      </c>
      <c r="T171" s="128">
        <f>SUMPRODUCT(($C$165=Otras_Actividades_Base[Movimiento])*($G171=Otras_Actividades_Base[Unidad de Negocio])*(T$1=Otras_Actividades_Base[Mes Financiero])*(T$2=Otras_Actividades_Base[Año Financiero])*(Otras_Actividades_Base[Financiero $Corrientes]))</f>
        <v>0</v>
      </c>
      <c r="U171" s="129">
        <f>SUMPRODUCT(($C$165=Otras_Actividades_Base[Movimiento])*($G171=Otras_Actividades_Base[Unidad de Negocio])*(U$1=Otras_Actividades_Base[Mes Financiero])*(U$2=Otras_Actividades_Base[Año Financiero])*(Otras_Actividades_Base[Financiero $Corrientes]))</f>
        <v>0</v>
      </c>
      <c r="V171" s="128">
        <f>SUMPRODUCT(($C$165=Otras_Actividades_Base[Movimiento])*($G171=Otras_Actividades_Base[Unidad de Negocio])*(V$1=Otras_Actividades_Base[Mes Financiero])*(V$2=Otras_Actividades_Base[Año Financiero])*(Otras_Actividades_Base[Financiero $Corrientes]))</f>
        <v>0</v>
      </c>
      <c r="W171" s="129">
        <f>SUMPRODUCT(($C$165=Otras_Actividades_Base[Movimiento])*($G171=Otras_Actividades_Base[Unidad de Negocio])*(W$1=Otras_Actividades_Base[Mes Financiero])*(W$2=Otras_Actividades_Base[Año Financiero])*(Otras_Actividades_Base[Financiero $Corrientes]))</f>
        <v>0</v>
      </c>
      <c r="X171" s="128">
        <f>SUMPRODUCT(($C$165=Otras_Actividades_Base[Movimiento])*($G171=Otras_Actividades_Base[Unidad de Negocio])*(X$1=Otras_Actividades_Base[Mes Financiero])*(X$2=Otras_Actividades_Base[Año Financiero])*(Otras_Actividades_Base[Financiero $Corrientes]))</f>
        <v>0</v>
      </c>
      <c r="Y171" s="129">
        <f>SUMPRODUCT(($C$165=Otras_Actividades_Base[Movimiento])*($G171=Otras_Actividades_Base[Unidad de Negocio])*(Y$1=Otras_Actividades_Base[Mes Financiero])*(Y$2=Otras_Actividades_Base[Año Financiero])*(Otras_Actividades_Base[Financiero $Corrientes]))</f>
        <v>0</v>
      </c>
      <c r="Z171" s="141">
        <f t="shared" si="25"/>
        <v>0</v>
      </c>
    </row>
    <row r="172" spans="2:30" hidden="1" outlineLevel="1" collapsed="1" x14ac:dyDescent="0.25">
      <c r="E172" s="221">
        <f>IFERROR(MATCH(F172,Otras_Actividades_Cuentas[Cuenta Contable],0),0)</f>
        <v>4</v>
      </c>
      <c r="F172" s="116" t="str">
        <f>Configuración!BY8</f>
        <v>Personal</v>
      </c>
      <c r="H172" s="103">
        <f>SUMPRODUCT(($C$165=Otras_Actividades_Base[Movimiento])*($F172=Otras_Actividades_Base[Cuenta Contable])*(H$1=Otras_Actividades_Base[Mes Financiero])*(H$2=Otras_Actividades_Base[Año Financiero])*(Otras_Actividades_Base[Financiero $Corrientes]))</f>
        <v>0</v>
      </c>
      <c r="I172" s="104">
        <f>SUMPRODUCT(($C$165=Otras_Actividades_Base[Movimiento])*($F172=Otras_Actividades_Base[Cuenta Contable])*(I$1=Otras_Actividades_Base[Mes Financiero])*(I$2=Otras_Actividades_Base[Año Financiero])*(Otras_Actividades_Base[Financiero $Corrientes]))</f>
        <v>0</v>
      </c>
      <c r="J172" s="103">
        <f>SUMPRODUCT(($C$165=Otras_Actividades_Base[Movimiento])*($F172=Otras_Actividades_Base[Cuenta Contable])*(J$1=Otras_Actividades_Base[Mes Financiero])*(J$2=Otras_Actividades_Base[Año Financiero])*(Otras_Actividades_Base[Financiero $Corrientes]))</f>
        <v>0</v>
      </c>
      <c r="K172" s="104">
        <f>SUMPRODUCT(($C$165=Otras_Actividades_Base[Movimiento])*($F172=Otras_Actividades_Base[Cuenta Contable])*(K$1=Otras_Actividades_Base[Mes Financiero])*(K$2=Otras_Actividades_Base[Año Financiero])*(Otras_Actividades_Base[Financiero $Corrientes]))</f>
        <v>0</v>
      </c>
      <c r="L172" s="103">
        <f>SUMPRODUCT(($C$165=Otras_Actividades_Base[Movimiento])*($F172=Otras_Actividades_Base[Cuenta Contable])*(L$1=Otras_Actividades_Base[Mes Financiero])*(L$2=Otras_Actividades_Base[Año Financiero])*(Otras_Actividades_Base[Financiero $Corrientes]))</f>
        <v>0</v>
      </c>
      <c r="M172" s="104">
        <f>SUMPRODUCT(($C$165=Otras_Actividades_Base[Movimiento])*($F172=Otras_Actividades_Base[Cuenta Contable])*(M$1=Otras_Actividades_Base[Mes Financiero])*(M$2=Otras_Actividades_Base[Año Financiero])*(Otras_Actividades_Base[Financiero $Corrientes]))</f>
        <v>0</v>
      </c>
      <c r="N172" s="103">
        <f>SUMPRODUCT(($C$165=Otras_Actividades_Base[Movimiento])*($F172=Otras_Actividades_Base[Cuenta Contable])*(N$1=Otras_Actividades_Base[Mes Financiero])*(N$2=Otras_Actividades_Base[Año Financiero])*(Otras_Actividades_Base[Financiero $Corrientes]))</f>
        <v>0</v>
      </c>
      <c r="O172" s="104">
        <f>SUMPRODUCT(($C$165=Otras_Actividades_Base[Movimiento])*($F172=Otras_Actividades_Base[Cuenta Contable])*(O$1=Otras_Actividades_Base[Mes Financiero])*(O$2=Otras_Actividades_Base[Año Financiero])*(Otras_Actividades_Base[Financiero $Corrientes]))</f>
        <v>0</v>
      </c>
      <c r="P172" s="103">
        <f>SUMPRODUCT(($C$165=Otras_Actividades_Base[Movimiento])*($F172=Otras_Actividades_Base[Cuenta Contable])*(P$1=Otras_Actividades_Base[Mes Financiero])*(P$2=Otras_Actividades_Base[Año Financiero])*(Otras_Actividades_Base[Financiero $Corrientes]))</f>
        <v>0</v>
      </c>
      <c r="Q172" s="104">
        <f>SUMPRODUCT(($C$165=Otras_Actividades_Base[Movimiento])*($F172=Otras_Actividades_Base[Cuenta Contable])*(Q$1=Otras_Actividades_Base[Mes Financiero])*(Q$2=Otras_Actividades_Base[Año Financiero])*(Otras_Actividades_Base[Financiero $Corrientes]))</f>
        <v>0</v>
      </c>
      <c r="R172" s="103">
        <f>SUMPRODUCT(($C$165=Otras_Actividades_Base[Movimiento])*($F172=Otras_Actividades_Base[Cuenta Contable])*(R$1=Otras_Actividades_Base[Mes Financiero])*(R$2=Otras_Actividades_Base[Año Financiero])*(Otras_Actividades_Base[Financiero $Corrientes]))</f>
        <v>0</v>
      </c>
      <c r="S172" s="104">
        <f>SUMPRODUCT(($C$165=Otras_Actividades_Base[Movimiento])*($F172=Otras_Actividades_Base[Cuenta Contable])*(S$1=Otras_Actividades_Base[Mes Financiero])*(S$2=Otras_Actividades_Base[Año Financiero])*(Otras_Actividades_Base[Financiero $Corrientes]))</f>
        <v>0</v>
      </c>
      <c r="T172" s="103">
        <f>SUMPRODUCT(($C$165=Otras_Actividades_Base[Movimiento])*($F172=Otras_Actividades_Base[Cuenta Contable])*(T$1=Otras_Actividades_Base[Mes Financiero])*(T$2=Otras_Actividades_Base[Año Financiero])*(Otras_Actividades_Base[Financiero $Corrientes]))</f>
        <v>0</v>
      </c>
      <c r="U172" s="104">
        <f>SUMPRODUCT(($C$165=Otras_Actividades_Base[Movimiento])*($F172=Otras_Actividades_Base[Cuenta Contable])*(U$1=Otras_Actividades_Base[Mes Financiero])*(U$2=Otras_Actividades_Base[Año Financiero])*(Otras_Actividades_Base[Financiero $Corrientes]))</f>
        <v>0</v>
      </c>
      <c r="V172" s="103">
        <f>SUMPRODUCT(($C$165=Otras_Actividades_Base[Movimiento])*($F172=Otras_Actividades_Base[Cuenta Contable])*(V$1=Otras_Actividades_Base[Mes Financiero])*(V$2=Otras_Actividades_Base[Año Financiero])*(Otras_Actividades_Base[Financiero $Corrientes]))</f>
        <v>0</v>
      </c>
      <c r="W172" s="104">
        <f>SUMPRODUCT(($C$165=Otras_Actividades_Base[Movimiento])*($F172=Otras_Actividades_Base[Cuenta Contable])*(W$1=Otras_Actividades_Base[Mes Financiero])*(W$2=Otras_Actividades_Base[Año Financiero])*(Otras_Actividades_Base[Financiero $Corrientes]))</f>
        <v>0</v>
      </c>
      <c r="X172" s="103">
        <f>SUMPRODUCT(($C$165=Otras_Actividades_Base[Movimiento])*($F172=Otras_Actividades_Base[Cuenta Contable])*(X$1=Otras_Actividades_Base[Mes Financiero])*(X$2=Otras_Actividades_Base[Año Financiero])*(Otras_Actividades_Base[Financiero $Corrientes]))</f>
        <v>0</v>
      </c>
      <c r="Y172" s="104">
        <f>SUMPRODUCT(($C$165=Otras_Actividades_Base[Movimiento])*($F172=Otras_Actividades_Base[Cuenta Contable])*(Y$1=Otras_Actividades_Base[Mes Financiero])*(Y$2=Otras_Actividades_Base[Año Financiero])*(Otras_Actividades_Base[Financiero $Corrientes]))</f>
        <v>0</v>
      </c>
      <c r="Z172" s="144">
        <f t="shared" si="25"/>
        <v>0</v>
      </c>
      <c r="AC172" s="174">
        <f>SUMPRODUCT((F172=Costos_Indirectos_Cuentas[Cuenta Contable])*(Costos_Indirectos_Cuentas[IVA]))</f>
        <v>0</v>
      </c>
      <c r="AD172" s="174">
        <f>SUMPRODUCT((G172=Costos_Indirectos_Cuentas[Cuenta Contable])*(Costos_Indirectos_Cuentas[IVA]))</f>
        <v>0</v>
      </c>
    </row>
    <row r="173" spans="2:30" hidden="1" outlineLevel="1" x14ac:dyDescent="0.25">
      <c r="E173" s="221">
        <f>IFERROR(MATCH(F173,Otras_Actividades_Cuentas[Cuenta Contable],0),0)</f>
        <v>5</v>
      </c>
      <c r="F173" s="116" t="str">
        <f>Configuración!BY9</f>
        <v>Cargas Sociales</v>
      </c>
      <c r="H173" s="103">
        <f>SUMPRODUCT(($C$165=Otras_Actividades_Base[Movimiento])*($F173=Otras_Actividades_Base[Cuenta Contable])*(H$1=Otras_Actividades_Base[Mes Financiero])*(H$2=Otras_Actividades_Base[Año Financiero])*(Otras_Actividades_Base[Financiero $Corrientes]))</f>
        <v>0</v>
      </c>
      <c r="I173" s="104">
        <f>SUMPRODUCT(($C$165=Otras_Actividades_Base[Movimiento])*($F173=Otras_Actividades_Base[Cuenta Contable])*(I$1=Otras_Actividades_Base[Mes Financiero])*(I$2=Otras_Actividades_Base[Año Financiero])*(Otras_Actividades_Base[Financiero $Corrientes]))</f>
        <v>0</v>
      </c>
      <c r="J173" s="103">
        <f>SUMPRODUCT(($C$165=Otras_Actividades_Base[Movimiento])*($F173=Otras_Actividades_Base[Cuenta Contable])*(J$1=Otras_Actividades_Base[Mes Financiero])*(J$2=Otras_Actividades_Base[Año Financiero])*(Otras_Actividades_Base[Financiero $Corrientes]))</f>
        <v>0</v>
      </c>
      <c r="K173" s="104">
        <f>SUMPRODUCT(($C$165=Otras_Actividades_Base[Movimiento])*($F173=Otras_Actividades_Base[Cuenta Contable])*(K$1=Otras_Actividades_Base[Mes Financiero])*(K$2=Otras_Actividades_Base[Año Financiero])*(Otras_Actividades_Base[Financiero $Corrientes]))</f>
        <v>0</v>
      </c>
      <c r="L173" s="103">
        <f>SUMPRODUCT(($C$165=Otras_Actividades_Base[Movimiento])*($F173=Otras_Actividades_Base[Cuenta Contable])*(L$1=Otras_Actividades_Base[Mes Financiero])*(L$2=Otras_Actividades_Base[Año Financiero])*(Otras_Actividades_Base[Financiero $Corrientes]))</f>
        <v>0</v>
      </c>
      <c r="M173" s="104">
        <f>SUMPRODUCT(($C$165=Otras_Actividades_Base[Movimiento])*($F173=Otras_Actividades_Base[Cuenta Contable])*(M$1=Otras_Actividades_Base[Mes Financiero])*(M$2=Otras_Actividades_Base[Año Financiero])*(Otras_Actividades_Base[Financiero $Corrientes]))</f>
        <v>0</v>
      </c>
      <c r="N173" s="103">
        <f>SUMPRODUCT(($C$165=Otras_Actividades_Base[Movimiento])*($F173=Otras_Actividades_Base[Cuenta Contable])*(N$1=Otras_Actividades_Base[Mes Financiero])*(N$2=Otras_Actividades_Base[Año Financiero])*(Otras_Actividades_Base[Financiero $Corrientes]))</f>
        <v>0</v>
      </c>
      <c r="O173" s="104">
        <f>SUMPRODUCT(($C$165=Otras_Actividades_Base[Movimiento])*($F173=Otras_Actividades_Base[Cuenta Contable])*(O$1=Otras_Actividades_Base[Mes Financiero])*(O$2=Otras_Actividades_Base[Año Financiero])*(Otras_Actividades_Base[Financiero $Corrientes]))</f>
        <v>0</v>
      </c>
      <c r="P173" s="103">
        <f>SUMPRODUCT(($C$165=Otras_Actividades_Base[Movimiento])*($F173=Otras_Actividades_Base[Cuenta Contable])*(P$1=Otras_Actividades_Base[Mes Financiero])*(P$2=Otras_Actividades_Base[Año Financiero])*(Otras_Actividades_Base[Financiero $Corrientes]))</f>
        <v>0</v>
      </c>
      <c r="Q173" s="104">
        <f>SUMPRODUCT(($C$165=Otras_Actividades_Base[Movimiento])*($F173=Otras_Actividades_Base[Cuenta Contable])*(Q$1=Otras_Actividades_Base[Mes Financiero])*(Q$2=Otras_Actividades_Base[Año Financiero])*(Otras_Actividades_Base[Financiero $Corrientes]))</f>
        <v>0</v>
      </c>
      <c r="R173" s="103">
        <f>SUMPRODUCT(($C$165=Otras_Actividades_Base[Movimiento])*($F173=Otras_Actividades_Base[Cuenta Contable])*(R$1=Otras_Actividades_Base[Mes Financiero])*(R$2=Otras_Actividades_Base[Año Financiero])*(Otras_Actividades_Base[Financiero $Corrientes]))</f>
        <v>0</v>
      </c>
      <c r="S173" s="104">
        <f>SUMPRODUCT(($C$165=Otras_Actividades_Base[Movimiento])*($F173=Otras_Actividades_Base[Cuenta Contable])*(S$1=Otras_Actividades_Base[Mes Financiero])*(S$2=Otras_Actividades_Base[Año Financiero])*(Otras_Actividades_Base[Financiero $Corrientes]))</f>
        <v>0</v>
      </c>
      <c r="T173" s="103">
        <f>SUMPRODUCT(($C$165=Otras_Actividades_Base[Movimiento])*($F173=Otras_Actividades_Base[Cuenta Contable])*(T$1=Otras_Actividades_Base[Mes Financiero])*(T$2=Otras_Actividades_Base[Año Financiero])*(Otras_Actividades_Base[Financiero $Corrientes]))</f>
        <v>0</v>
      </c>
      <c r="U173" s="104">
        <f>SUMPRODUCT(($C$165=Otras_Actividades_Base[Movimiento])*($F173=Otras_Actividades_Base[Cuenta Contable])*(U$1=Otras_Actividades_Base[Mes Financiero])*(U$2=Otras_Actividades_Base[Año Financiero])*(Otras_Actividades_Base[Financiero $Corrientes]))</f>
        <v>0</v>
      </c>
      <c r="V173" s="103">
        <f>SUMPRODUCT(($C$165=Otras_Actividades_Base[Movimiento])*($F173=Otras_Actividades_Base[Cuenta Contable])*(V$1=Otras_Actividades_Base[Mes Financiero])*(V$2=Otras_Actividades_Base[Año Financiero])*(Otras_Actividades_Base[Financiero $Corrientes]))</f>
        <v>0</v>
      </c>
      <c r="W173" s="104">
        <f>SUMPRODUCT(($C$165=Otras_Actividades_Base[Movimiento])*($F173=Otras_Actividades_Base[Cuenta Contable])*(W$1=Otras_Actividades_Base[Mes Financiero])*(W$2=Otras_Actividades_Base[Año Financiero])*(Otras_Actividades_Base[Financiero $Corrientes]))</f>
        <v>0</v>
      </c>
      <c r="X173" s="103">
        <f>SUMPRODUCT(($C$165=Otras_Actividades_Base[Movimiento])*($F173=Otras_Actividades_Base[Cuenta Contable])*(X$1=Otras_Actividades_Base[Mes Financiero])*(X$2=Otras_Actividades_Base[Año Financiero])*(Otras_Actividades_Base[Financiero $Corrientes]))</f>
        <v>0</v>
      </c>
      <c r="Y173" s="104">
        <f>SUMPRODUCT(($C$165=Otras_Actividades_Base[Movimiento])*($F173=Otras_Actividades_Base[Cuenta Contable])*(Y$1=Otras_Actividades_Base[Mes Financiero])*(Y$2=Otras_Actividades_Base[Año Financiero])*(Otras_Actividades_Base[Financiero $Corrientes]))</f>
        <v>0</v>
      </c>
      <c r="Z173" s="144">
        <f t="shared" si="25"/>
        <v>0</v>
      </c>
      <c r="AC173" s="174">
        <f>SUMPRODUCT((F173=Costos_Indirectos_Cuentas[Cuenta Contable])*(Costos_Indirectos_Cuentas[IVA]))</f>
        <v>0</v>
      </c>
      <c r="AD173" s="174">
        <f>SUMPRODUCT((G173=Costos_Indirectos_Cuentas[Cuenta Contable])*(Costos_Indirectos_Cuentas[IVA]))</f>
        <v>0</v>
      </c>
    </row>
    <row r="174" spans="2:30" hidden="1" outlineLevel="1" x14ac:dyDescent="0.25">
      <c r="E174" s="221">
        <f>IFERROR(MATCH(F174,Otras_Actividades_Cuentas[Cuenta Contable],0),0)</f>
        <v>6</v>
      </c>
      <c r="F174" s="116" t="str">
        <f>Configuración!BY10</f>
        <v>Honorarios</v>
      </c>
      <c r="H174" s="103">
        <f>SUMPRODUCT(($C$165=Otras_Actividades_Base[Movimiento])*($F174=Otras_Actividades_Base[Cuenta Contable])*(H$1=Otras_Actividades_Base[Mes Financiero])*(H$2=Otras_Actividades_Base[Año Financiero])*(Otras_Actividades_Base[Financiero $Corrientes]))</f>
        <v>0</v>
      </c>
      <c r="I174" s="104">
        <f>SUMPRODUCT(($C$165=Otras_Actividades_Base[Movimiento])*($F174=Otras_Actividades_Base[Cuenta Contable])*(I$1=Otras_Actividades_Base[Mes Financiero])*(I$2=Otras_Actividades_Base[Año Financiero])*(Otras_Actividades_Base[Financiero $Corrientes]))</f>
        <v>0</v>
      </c>
      <c r="J174" s="103">
        <f>SUMPRODUCT(($C$165=Otras_Actividades_Base[Movimiento])*($F174=Otras_Actividades_Base[Cuenta Contable])*(J$1=Otras_Actividades_Base[Mes Financiero])*(J$2=Otras_Actividades_Base[Año Financiero])*(Otras_Actividades_Base[Financiero $Corrientes]))</f>
        <v>0</v>
      </c>
      <c r="K174" s="104">
        <f>SUMPRODUCT(($C$165=Otras_Actividades_Base[Movimiento])*($F174=Otras_Actividades_Base[Cuenta Contable])*(K$1=Otras_Actividades_Base[Mes Financiero])*(K$2=Otras_Actividades_Base[Año Financiero])*(Otras_Actividades_Base[Financiero $Corrientes]))</f>
        <v>0</v>
      </c>
      <c r="L174" s="103">
        <f>SUMPRODUCT(($C$165=Otras_Actividades_Base[Movimiento])*($F174=Otras_Actividades_Base[Cuenta Contable])*(L$1=Otras_Actividades_Base[Mes Financiero])*(L$2=Otras_Actividades_Base[Año Financiero])*(Otras_Actividades_Base[Financiero $Corrientes]))</f>
        <v>0</v>
      </c>
      <c r="M174" s="104">
        <f>SUMPRODUCT(($C$165=Otras_Actividades_Base[Movimiento])*($F174=Otras_Actividades_Base[Cuenta Contable])*(M$1=Otras_Actividades_Base[Mes Financiero])*(M$2=Otras_Actividades_Base[Año Financiero])*(Otras_Actividades_Base[Financiero $Corrientes]))</f>
        <v>0</v>
      </c>
      <c r="N174" s="103">
        <f>SUMPRODUCT(($C$165=Otras_Actividades_Base[Movimiento])*($F174=Otras_Actividades_Base[Cuenta Contable])*(N$1=Otras_Actividades_Base[Mes Financiero])*(N$2=Otras_Actividades_Base[Año Financiero])*(Otras_Actividades_Base[Financiero $Corrientes]))</f>
        <v>0</v>
      </c>
      <c r="O174" s="104">
        <f>SUMPRODUCT(($C$165=Otras_Actividades_Base[Movimiento])*($F174=Otras_Actividades_Base[Cuenta Contable])*(O$1=Otras_Actividades_Base[Mes Financiero])*(O$2=Otras_Actividades_Base[Año Financiero])*(Otras_Actividades_Base[Financiero $Corrientes]))</f>
        <v>0</v>
      </c>
      <c r="P174" s="103">
        <f>SUMPRODUCT(($C$165=Otras_Actividades_Base[Movimiento])*($F174=Otras_Actividades_Base[Cuenta Contable])*(P$1=Otras_Actividades_Base[Mes Financiero])*(P$2=Otras_Actividades_Base[Año Financiero])*(Otras_Actividades_Base[Financiero $Corrientes]))</f>
        <v>0</v>
      </c>
      <c r="Q174" s="104">
        <f>SUMPRODUCT(($C$165=Otras_Actividades_Base[Movimiento])*($F174=Otras_Actividades_Base[Cuenta Contable])*(Q$1=Otras_Actividades_Base[Mes Financiero])*(Q$2=Otras_Actividades_Base[Año Financiero])*(Otras_Actividades_Base[Financiero $Corrientes]))</f>
        <v>0</v>
      </c>
      <c r="R174" s="103">
        <f>SUMPRODUCT(($C$165=Otras_Actividades_Base[Movimiento])*($F174=Otras_Actividades_Base[Cuenta Contable])*(R$1=Otras_Actividades_Base[Mes Financiero])*(R$2=Otras_Actividades_Base[Año Financiero])*(Otras_Actividades_Base[Financiero $Corrientes]))</f>
        <v>0</v>
      </c>
      <c r="S174" s="104">
        <f>SUMPRODUCT(($C$165=Otras_Actividades_Base[Movimiento])*($F174=Otras_Actividades_Base[Cuenta Contable])*(S$1=Otras_Actividades_Base[Mes Financiero])*(S$2=Otras_Actividades_Base[Año Financiero])*(Otras_Actividades_Base[Financiero $Corrientes]))</f>
        <v>0</v>
      </c>
      <c r="T174" s="103">
        <f>SUMPRODUCT(($C$165=Otras_Actividades_Base[Movimiento])*($F174=Otras_Actividades_Base[Cuenta Contable])*(T$1=Otras_Actividades_Base[Mes Financiero])*(T$2=Otras_Actividades_Base[Año Financiero])*(Otras_Actividades_Base[Financiero $Corrientes]))</f>
        <v>0</v>
      </c>
      <c r="U174" s="104">
        <f>SUMPRODUCT(($C$165=Otras_Actividades_Base[Movimiento])*($F174=Otras_Actividades_Base[Cuenta Contable])*(U$1=Otras_Actividades_Base[Mes Financiero])*(U$2=Otras_Actividades_Base[Año Financiero])*(Otras_Actividades_Base[Financiero $Corrientes]))</f>
        <v>0</v>
      </c>
      <c r="V174" s="103">
        <f>SUMPRODUCT(($C$165=Otras_Actividades_Base[Movimiento])*($F174=Otras_Actividades_Base[Cuenta Contable])*(V$1=Otras_Actividades_Base[Mes Financiero])*(V$2=Otras_Actividades_Base[Año Financiero])*(Otras_Actividades_Base[Financiero $Corrientes]))</f>
        <v>0</v>
      </c>
      <c r="W174" s="104">
        <f>SUMPRODUCT(($C$165=Otras_Actividades_Base[Movimiento])*($F174=Otras_Actividades_Base[Cuenta Contable])*(W$1=Otras_Actividades_Base[Mes Financiero])*(W$2=Otras_Actividades_Base[Año Financiero])*(Otras_Actividades_Base[Financiero $Corrientes]))</f>
        <v>0</v>
      </c>
      <c r="X174" s="103">
        <f>SUMPRODUCT(($C$165=Otras_Actividades_Base[Movimiento])*($F174=Otras_Actividades_Base[Cuenta Contable])*(X$1=Otras_Actividades_Base[Mes Financiero])*(X$2=Otras_Actividades_Base[Año Financiero])*(Otras_Actividades_Base[Financiero $Corrientes]))</f>
        <v>0</v>
      </c>
      <c r="Y174" s="104">
        <f>SUMPRODUCT(($C$165=Otras_Actividades_Base[Movimiento])*($F174=Otras_Actividades_Base[Cuenta Contable])*(Y$1=Otras_Actividades_Base[Mes Financiero])*(Y$2=Otras_Actividades_Base[Año Financiero])*(Otras_Actividades_Base[Financiero $Corrientes]))</f>
        <v>0</v>
      </c>
      <c r="Z174" s="144">
        <f t="shared" si="25"/>
        <v>0</v>
      </c>
      <c r="AC174" s="174">
        <f>SUMPRODUCT((F174=Costos_Indirectos_Cuentas[Cuenta Contable])*(Costos_Indirectos_Cuentas[IVA]))</f>
        <v>0.21</v>
      </c>
      <c r="AD174" s="174">
        <f>SUMPRODUCT((G174=Costos_Indirectos_Cuentas[Cuenta Contable])*(Costos_Indirectos_Cuentas[IVA]))</f>
        <v>0</v>
      </c>
    </row>
    <row r="175" spans="2:30" hidden="1" outlineLevel="1" x14ac:dyDescent="0.25">
      <c r="E175" s="221">
        <f>IFERROR(MATCH(F175,Otras_Actividades_Cuentas[Cuenta Contable],0),0)</f>
        <v>7</v>
      </c>
      <c r="F175" s="116" t="str">
        <f>Configuración!BY11</f>
        <v>Movilidad - Viáticos</v>
      </c>
      <c r="H175" s="103">
        <f>SUMPRODUCT(($C$165=Otras_Actividades_Base[Movimiento])*($F175=Otras_Actividades_Base[Cuenta Contable])*(H$1=Otras_Actividades_Base[Mes Financiero])*(H$2=Otras_Actividades_Base[Año Financiero])*(Otras_Actividades_Base[Financiero $Corrientes]))</f>
        <v>0</v>
      </c>
      <c r="I175" s="104">
        <f>SUMPRODUCT(($C$165=Otras_Actividades_Base[Movimiento])*($F175=Otras_Actividades_Base[Cuenta Contable])*(I$1=Otras_Actividades_Base[Mes Financiero])*(I$2=Otras_Actividades_Base[Año Financiero])*(Otras_Actividades_Base[Financiero $Corrientes]))</f>
        <v>0</v>
      </c>
      <c r="J175" s="103">
        <f>SUMPRODUCT(($C$165=Otras_Actividades_Base[Movimiento])*($F175=Otras_Actividades_Base[Cuenta Contable])*(J$1=Otras_Actividades_Base[Mes Financiero])*(J$2=Otras_Actividades_Base[Año Financiero])*(Otras_Actividades_Base[Financiero $Corrientes]))</f>
        <v>0</v>
      </c>
      <c r="K175" s="104">
        <f>SUMPRODUCT(($C$165=Otras_Actividades_Base[Movimiento])*($F175=Otras_Actividades_Base[Cuenta Contable])*(K$1=Otras_Actividades_Base[Mes Financiero])*(K$2=Otras_Actividades_Base[Año Financiero])*(Otras_Actividades_Base[Financiero $Corrientes]))</f>
        <v>0</v>
      </c>
      <c r="L175" s="103">
        <f>SUMPRODUCT(($C$165=Otras_Actividades_Base[Movimiento])*($F175=Otras_Actividades_Base[Cuenta Contable])*(L$1=Otras_Actividades_Base[Mes Financiero])*(L$2=Otras_Actividades_Base[Año Financiero])*(Otras_Actividades_Base[Financiero $Corrientes]))</f>
        <v>0</v>
      </c>
      <c r="M175" s="104">
        <f>SUMPRODUCT(($C$165=Otras_Actividades_Base[Movimiento])*($F175=Otras_Actividades_Base[Cuenta Contable])*(M$1=Otras_Actividades_Base[Mes Financiero])*(M$2=Otras_Actividades_Base[Año Financiero])*(Otras_Actividades_Base[Financiero $Corrientes]))</f>
        <v>0</v>
      </c>
      <c r="N175" s="103">
        <f>SUMPRODUCT(($C$165=Otras_Actividades_Base[Movimiento])*($F175=Otras_Actividades_Base[Cuenta Contable])*(N$1=Otras_Actividades_Base[Mes Financiero])*(N$2=Otras_Actividades_Base[Año Financiero])*(Otras_Actividades_Base[Financiero $Corrientes]))</f>
        <v>0</v>
      </c>
      <c r="O175" s="104">
        <f>SUMPRODUCT(($C$165=Otras_Actividades_Base[Movimiento])*($F175=Otras_Actividades_Base[Cuenta Contable])*(O$1=Otras_Actividades_Base[Mes Financiero])*(O$2=Otras_Actividades_Base[Año Financiero])*(Otras_Actividades_Base[Financiero $Corrientes]))</f>
        <v>0</v>
      </c>
      <c r="P175" s="103">
        <f>SUMPRODUCT(($C$165=Otras_Actividades_Base[Movimiento])*($F175=Otras_Actividades_Base[Cuenta Contable])*(P$1=Otras_Actividades_Base[Mes Financiero])*(P$2=Otras_Actividades_Base[Año Financiero])*(Otras_Actividades_Base[Financiero $Corrientes]))</f>
        <v>0</v>
      </c>
      <c r="Q175" s="104">
        <f>SUMPRODUCT(($C$165=Otras_Actividades_Base[Movimiento])*($F175=Otras_Actividades_Base[Cuenta Contable])*(Q$1=Otras_Actividades_Base[Mes Financiero])*(Q$2=Otras_Actividades_Base[Año Financiero])*(Otras_Actividades_Base[Financiero $Corrientes]))</f>
        <v>0</v>
      </c>
      <c r="R175" s="103">
        <f>SUMPRODUCT(($C$165=Otras_Actividades_Base[Movimiento])*($F175=Otras_Actividades_Base[Cuenta Contable])*(R$1=Otras_Actividades_Base[Mes Financiero])*(R$2=Otras_Actividades_Base[Año Financiero])*(Otras_Actividades_Base[Financiero $Corrientes]))</f>
        <v>0</v>
      </c>
      <c r="S175" s="104">
        <f>SUMPRODUCT(($C$165=Otras_Actividades_Base[Movimiento])*($F175=Otras_Actividades_Base[Cuenta Contable])*(S$1=Otras_Actividades_Base[Mes Financiero])*(S$2=Otras_Actividades_Base[Año Financiero])*(Otras_Actividades_Base[Financiero $Corrientes]))</f>
        <v>0</v>
      </c>
      <c r="T175" s="103">
        <f>SUMPRODUCT(($C$165=Otras_Actividades_Base[Movimiento])*($F175=Otras_Actividades_Base[Cuenta Contable])*(T$1=Otras_Actividades_Base[Mes Financiero])*(T$2=Otras_Actividades_Base[Año Financiero])*(Otras_Actividades_Base[Financiero $Corrientes]))</f>
        <v>0</v>
      </c>
      <c r="U175" s="104">
        <f>SUMPRODUCT(($C$165=Otras_Actividades_Base[Movimiento])*($F175=Otras_Actividades_Base[Cuenta Contable])*(U$1=Otras_Actividades_Base[Mes Financiero])*(U$2=Otras_Actividades_Base[Año Financiero])*(Otras_Actividades_Base[Financiero $Corrientes]))</f>
        <v>0</v>
      </c>
      <c r="V175" s="103">
        <f>SUMPRODUCT(($C$165=Otras_Actividades_Base[Movimiento])*($F175=Otras_Actividades_Base[Cuenta Contable])*(V$1=Otras_Actividades_Base[Mes Financiero])*(V$2=Otras_Actividades_Base[Año Financiero])*(Otras_Actividades_Base[Financiero $Corrientes]))</f>
        <v>0</v>
      </c>
      <c r="W175" s="104">
        <f>SUMPRODUCT(($C$165=Otras_Actividades_Base[Movimiento])*($F175=Otras_Actividades_Base[Cuenta Contable])*(W$1=Otras_Actividades_Base[Mes Financiero])*(W$2=Otras_Actividades_Base[Año Financiero])*(Otras_Actividades_Base[Financiero $Corrientes]))</f>
        <v>0</v>
      </c>
      <c r="X175" s="103">
        <f>SUMPRODUCT(($C$165=Otras_Actividades_Base[Movimiento])*($F175=Otras_Actividades_Base[Cuenta Contable])*(X$1=Otras_Actividades_Base[Mes Financiero])*(X$2=Otras_Actividades_Base[Año Financiero])*(Otras_Actividades_Base[Financiero $Corrientes]))</f>
        <v>0</v>
      </c>
      <c r="Y175" s="104">
        <f>SUMPRODUCT(($C$165=Otras_Actividades_Base[Movimiento])*($F175=Otras_Actividades_Base[Cuenta Contable])*(Y$1=Otras_Actividades_Base[Mes Financiero])*(Y$2=Otras_Actividades_Base[Año Financiero])*(Otras_Actividades_Base[Financiero $Corrientes]))</f>
        <v>0</v>
      </c>
      <c r="Z175" s="144">
        <f t="shared" si="25"/>
        <v>0</v>
      </c>
      <c r="AC175" s="174">
        <f>SUMPRODUCT((F175=Costos_Indirectos_Cuentas[Cuenta Contable])*(Costos_Indirectos_Cuentas[IVA]))</f>
        <v>0.21</v>
      </c>
      <c r="AD175" s="174">
        <f>SUMPRODUCT((G175=Costos_Indirectos_Cuentas[Cuenta Contable])*(Costos_Indirectos_Cuentas[IVA]))</f>
        <v>0</v>
      </c>
    </row>
    <row r="176" spans="2:30" hidden="1" outlineLevel="1" x14ac:dyDescent="0.25">
      <c r="E176" s="221">
        <f>IFERROR(MATCH(F176,Otras_Actividades_Cuentas[Cuenta Contable],0),0)</f>
        <v>8</v>
      </c>
      <c r="F176" s="116" t="str">
        <f>Configuración!BY12</f>
        <v>Repuestos y Reparaciones</v>
      </c>
      <c r="H176" s="103">
        <f>SUMPRODUCT(($C$165=Otras_Actividades_Base[Movimiento])*($F176=Otras_Actividades_Base[Cuenta Contable])*(H$1=Otras_Actividades_Base[Mes Financiero])*(H$2=Otras_Actividades_Base[Año Financiero])*(Otras_Actividades_Base[Financiero $Corrientes]))</f>
        <v>0</v>
      </c>
      <c r="I176" s="104">
        <f>SUMPRODUCT(($C$165=Otras_Actividades_Base[Movimiento])*($F176=Otras_Actividades_Base[Cuenta Contable])*(I$1=Otras_Actividades_Base[Mes Financiero])*(I$2=Otras_Actividades_Base[Año Financiero])*(Otras_Actividades_Base[Financiero $Corrientes]))</f>
        <v>0</v>
      </c>
      <c r="J176" s="103">
        <f>SUMPRODUCT(($C$165=Otras_Actividades_Base[Movimiento])*($F176=Otras_Actividades_Base[Cuenta Contable])*(J$1=Otras_Actividades_Base[Mes Financiero])*(J$2=Otras_Actividades_Base[Año Financiero])*(Otras_Actividades_Base[Financiero $Corrientes]))</f>
        <v>0</v>
      </c>
      <c r="K176" s="104">
        <f>SUMPRODUCT(($C$165=Otras_Actividades_Base[Movimiento])*($F176=Otras_Actividades_Base[Cuenta Contable])*(K$1=Otras_Actividades_Base[Mes Financiero])*(K$2=Otras_Actividades_Base[Año Financiero])*(Otras_Actividades_Base[Financiero $Corrientes]))</f>
        <v>0</v>
      </c>
      <c r="L176" s="103">
        <f>SUMPRODUCT(($C$165=Otras_Actividades_Base[Movimiento])*($F176=Otras_Actividades_Base[Cuenta Contable])*(L$1=Otras_Actividades_Base[Mes Financiero])*(L$2=Otras_Actividades_Base[Año Financiero])*(Otras_Actividades_Base[Financiero $Corrientes]))</f>
        <v>0</v>
      </c>
      <c r="M176" s="104">
        <f>SUMPRODUCT(($C$165=Otras_Actividades_Base[Movimiento])*($F176=Otras_Actividades_Base[Cuenta Contable])*(M$1=Otras_Actividades_Base[Mes Financiero])*(M$2=Otras_Actividades_Base[Año Financiero])*(Otras_Actividades_Base[Financiero $Corrientes]))</f>
        <v>0</v>
      </c>
      <c r="N176" s="103">
        <f>SUMPRODUCT(($C$165=Otras_Actividades_Base[Movimiento])*($F176=Otras_Actividades_Base[Cuenta Contable])*(N$1=Otras_Actividades_Base[Mes Financiero])*(N$2=Otras_Actividades_Base[Año Financiero])*(Otras_Actividades_Base[Financiero $Corrientes]))</f>
        <v>0</v>
      </c>
      <c r="O176" s="104">
        <f>SUMPRODUCT(($C$165=Otras_Actividades_Base[Movimiento])*($F176=Otras_Actividades_Base[Cuenta Contable])*(O$1=Otras_Actividades_Base[Mes Financiero])*(O$2=Otras_Actividades_Base[Año Financiero])*(Otras_Actividades_Base[Financiero $Corrientes]))</f>
        <v>0</v>
      </c>
      <c r="P176" s="103">
        <f>SUMPRODUCT(($C$165=Otras_Actividades_Base[Movimiento])*($F176=Otras_Actividades_Base[Cuenta Contable])*(P$1=Otras_Actividades_Base[Mes Financiero])*(P$2=Otras_Actividades_Base[Año Financiero])*(Otras_Actividades_Base[Financiero $Corrientes]))</f>
        <v>0</v>
      </c>
      <c r="Q176" s="104">
        <f>SUMPRODUCT(($C$165=Otras_Actividades_Base[Movimiento])*($F176=Otras_Actividades_Base[Cuenta Contable])*(Q$1=Otras_Actividades_Base[Mes Financiero])*(Q$2=Otras_Actividades_Base[Año Financiero])*(Otras_Actividades_Base[Financiero $Corrientes]))</f>
        <v>0</v>
      </c>
      <c r="R176" s="103">
        <f>SUMPRODUCT(($C$165=Otras_Actividades_Base[Movimiento])*($F176=Otras_Actividades_Base[Cuenta Contable])*(R$1=Otras_Actividades_Base[Mes Financiero])*(R$2=Otras_Actividades_Base[Año Financiero])*(Otras_Actividades_Base[Financiero $Corrientes]))</f>
        <v>0</v>
      </c>
      <c r="S176" s="104">
        <f>SUMPRODUCT(($C$165=Otras_Actividades_Base[Movimiento])*($F176=Otras_Actividades_Base[Cuenta Contable])*(S$1=Otras_Actividades_Base[Mes Financiero])*(S$2=Otras_Actividades_Base[Año Financiero])*(Otras_Actividades_Base[Financiero $Corrientes]))</f>
        <v>0</v>
      </c>
      <c r="T176" s="103">
        <f>SUMPRODUCT(($C$165=Otras_Actividades_Base[Movimiento])*($F176=Otras_Actividades_Base[Cuenta Contable])*(T$1=Otras_Actividades_Base[Mes Financiero])*(T$2=Otras_Actividades_Base[Año Financiero])*(Otras_Actividades_Base[Financiero $Corrientes]))</f>
        <v>0</v>
      </c>
      <c r="U176" s="104">
        <f>SUMPRODUCT(($C$165=Otras_Actividades_Base[Movimiento])*($F176=Otras_Actividades_Base[Cuenta Contable])*(U$1=Otras_Actividades_Base[Mes Financiero])*(U$2=Otras_Actividades_Base[Año Financiero])*(Otras_Actividades_Base[Financiero $Corrientes]))</f>
        <v>0</v>
      </c>
      <c r="V176" s="103">
        <f>SUMPRODUCT(($C$165=Otras_Actividades_Base[Movimiento])*($F176=Otras_Actividades_Base[Cuenta Contable])*(V$1=Otras_Actividades_Base[Mes Financiero])*(V$2=Otras_Actividades_Base[Año Financiero])*(Otras_Actividades_Base[Financiero $Corrientes]))</f>
        <v>0</v>
      </c>
      <c r="W176" s="104">
        <f>SUMPRODUCT(($C$165=Otras_Actividades_Base[Movimiento])*($F176=Otras_Actividades_Base[Cuenta Contable])*(W$1=Otras_Actividades_Base[Mes Financiero])*(W$2=Otras_Actividades_Base[Año Financiero])*(Otras_Actividades_Base[Financiero $Corrientes]))</f>
        <v>0</v>
      </c>
      <c r="X176" s="103">
        <f>SUMPRODUCT(($C$165=Otras_Actividades_Base[Movimiento])*($F176=Otras_Actividades_Base[Cuenta Contable])*(X$1=Otras_Actividades_Base[Mes Financiero])*(X$2=Otras_Actividades_Base[Año Financiero])*(Otras_Actividades_Base[Financiero $Corrientes]))</f>
        <v>0</v>
      </c>
      <c r="Y176" s="104">
        <f>SUMPRODUCT(($C$165=Otras_Actividades_Base[Movimiento])*($F176=Otras_Actividades_Base[Cuenta Contable])*(Y$1=Otras_Actividades_Base[Mes Financiero])*(Y$2=Otras_Actividades_Base[Año Financiero])*(Otras_Actividades_Base[Financiero $Corrientes]))</f>
        <v>0</v>
      </c>
      <c r="Z176" s="144">
        <f t="shared" si="25"/>
        <v>0</v>
      </c>
      <c r="AC176" s="174">
        <f>SUMPRODUCT((F176=Costos_Indirectos_Cuentas[Cuenta Contable])*(Costos_Indirectos_Cuentas[IVA]))</f>
        <v>0.21</v>
      </c>
      <c r="AD176" s="174">
        <f>SUMPRODUCT((G176=Costos_Indirectos_Cuentas[Cuenta Contable])*(Costos_Indirectos_Cuentas[IVA]))</f>
        <v>0</v>
      </c>
    </row>
    <row r="177" spans="2:30" hidden="1" outlineLevel="1" x14ac:dyDescent="0.25">
      <c r="E177" s="221">
        <f>IFERROR(MATCH(F177,Otras_Actividades_Cuentas[Cuenta Contable],0),0)</f>
        <v>9</v>
      </c>
      <c r="F177" s="116" t="str">
        <f>Configuración!BY13</f>
        <v>Combustibles y Lubricantes</v>
      </c>
      <c r="H177" s="103">
        <f>SUMPRODUCT(($C$165=Otras_Actividades_Base[Movimiento])*($F177=Otras_Actividades_Base[Cuenta Contable])*(H$1=Otras_Actividades_Base[Mes Financiero])*(H$2=Otras_Actividades_Base[Año Financiero])*(Otras_Actividades_Base[Financiero $Corrientes]))</f>
        <v>0</v>
      </c>
      <c r="I177" s="104">
        <f>SUMPRODUCT(($C$165=Otras_Actividades_Base[Movimiento])*($F177=Otras_Actividades_Base[Cuenta Contable])*(I$1=Otras_Actividades_Base[Mes Financiero])*(I$2=Otras_Actividades_Base[Año Financiero])*(Otras_Actividades_Base[Financiero $Corrientes]))</f>
        <v>0</v>
      </c>
      <c r="J177" s="103">
        <f>SUMPRODUCT(($C$165=Otras_Actividades_Base[Movimiento])*($F177=Otras_Actividades_Base[Cuenta Contable])*(J$1=Otras_Actividades_Base[Mes Financiero])*(J$2=Otras_Actividades_Base[Año Financiero])*(Otras_Actividades_Base[Financiero $Corrientes]))</f>
        <v>0</v>
      </c>
      <c r="K177" s="104">
        <f>SUMPRODUCT(($C$165=Otras_Actividades_Base[Movimiento])*($F177=Otras_Actividades_Base[Cuenta Contable])*(K$1=Otras_Actividades_Base[Mes Financiero])*(K$2=Otras_Actividades_Base[Año Financiero])*(Otras_Actividades_Base[Financiero $Corrientes]))</f>
        <v>0</v>
      </c>
      <c r="L177" s="103">
        <f>SUMPRODUCT(($C$165=Otras_Actividades_Base[Movimiento])*($F177=Otras_Actividades_Base[Cuenta Contable])*(L$1=Otras_Actividades_Base[Mes Financiero])*(L$2=Otras_Actividades_Base[Año Financiero])*(Otras_Actividades_Base[Financiero $Corrientes]))</f>
        <v>0</v>
      </c>
      <c r="M177" s="104">
        <f>SUMPRODUCT(($C$165=Otras_Actividades_Base[Movimiento])*($F177=Otras_Actividades_Base[Cuenta Contable])*(M$1=Otras_Actividades_Base[Mes Financiero])*(M$2=Otras_Actividades_Base[Año Financiero])*(Otras_Actividades_Base[Financiero $Corrientes]))</f>
        <v>0</v>
      </c>
      <c r="N177" s="103">
        <f>SUMPRODUCT(($C$165=Otras_Actividades_Base[Movimiento])*($F177=Otras_Actividades_Base[Cuenta Contable])*(N$1=Otras_Actividades_Base[Mes Financiero])*(N$2=Otras_Actividades_Base[Año Financiero])*(Otras_Actividades_Base[Financiero $Corrientes]))</f>
        <v>0</v>
      </c>
      <c r="O177" s="104">
        <f>SUMPRODUCT(($C$165=Otras_Actividades_Base[Movimiento])*($F177=Otras_Actividades_Base[Cuenta Contable])*(O$1=Otras_Actividades_Base[Mes Financiero])*(O$2=Otras_Actividades_Base[Año Financiero])*(Otras_Actividades_Base[Financiero $Corrientes]))</f>
        <v>0</v>
      </c>
      <c r="P177" s="103">
        <f>SUMPRODUCT(($C$165=Otras_Actividades_Base[Movimiento])*($F177=Otras_Actividades_Base[Cuenta Contable])*(P$1=Otras_Actividades_Base[Mes Financiero])*(P$2=Otras_Actividades_Base[Año Financiero])*(Otras_Actividades_Base[Financiero $Corrientes]))</f>
        <v>0</v>
      </c>
      <c r="Q177" s="104">
        <f>SUMPRODUCT(($C$165=Otras_Actividades_Base[Movimiento])*($F177=Otras_Actividades_Base[Cuenta Contable])*(Q$1=Otras_Actividades_Base[Mes Financiero])*(Q$2=Otras_Actividades_Base[Año Financiero])*(Otras_Actividades_Base[Financiero $Corrientes]))</f>
        <v>0</v>
      </c>
      <c r="R177" s="103">
        <f>SUMPRODUCT(($C$165=Otras_Actividades_Base[Movimiento])*($F177=Otras_Actividades_Base[Cuenta Contable])*(R$1=Otras_Actividades_Base[Mes Financiero])*(R$2=Otras_Actividades_Base[Año Financiero])*(Otras_Actividades_Base[Financiero $Corrientes]))</f>
        <v>0</v>
      </c>
      <c r="S177" s="104">
        <f>SUMPRODUCT(($C$165=Otras_Actividades_Base[Movimiento])*($F177=Otras_Actividades_Base[Cuenta Contable])*(S$1=Otras_Actividades_Base[Mes Financiero])*(S$2=Otras_Actividades_Base[Año Financiero])*(Otras_Actividades_Base[Financiero $Corrientes]))</f>
        <v>0</v>
      </c>
      <c r="T177" s="103">
        <f>SUMPRODUCT(($C$165=Otras_Actividades_Base[Movimiento])*($F177=Otras_Actividades_Base[Cuenta Contable])*(T$1=Otras_Actividades_Base[Mes Financiero])*(T$2=Otras_Actividades_Base[Año Financiero])*(Otras_Actividades_Base[Financiero $Corrientes]))</f>
        <v>0</v>
      </c>
      <c r="U177" s="104">
        <f>SUMPRODUCT(($C$165=Otras_Actividades_Base[Movimiento])*($F177=Otras_Actividades_Base[Cuenta Contable])*(U$1=Otras_Actividades_Base[Mes Financiero])*(U$2=Otras_Actividades_Base[Año Financiero])*(Otras_Actividades_Base[Financiero $Corrientes]))</f>
        <v>0</v>
      </c>
      <c r="V177" s="103">
        <f>SUMPRODUCT(($C$165=Otras_Actividades_Base[Movimiento])*($F177=Otras_Actividades_Base[Cuenta Contable])*(V$1=Otras_Actividades_Base[Mes Financiero])*(V$2=Otras_Actividades_Base[Año Financiero])*(Otras_Actividades_Base[Financiero $Corrientes]))</f>
        <v>0</v>
      </c>
      <c r="W177" s="104">
        <f>SUMPRODUCT(($C$165=Otras_Actividades_Base[Movimiento])*($F177=Otras_Actividades_Base[Cuenta Contable])*(W$1=Otras_Actividades_Base[Mes Financiero])*(W$2=Otras_Actividades_Base[Año Financiero])*(Otras_Actividades_Base[Financiero $Corrientes]))</f>
        <v>0</v>
      </c>
      <c r="X177" s="103">
        <f>SUMPRODUCT(($C$165=Otras_Actividades_Base[Movimiento])*($F177=Otras_Actividades_Base[Cuenta Contable])*(X$1=Otras_Actividades_Base[Mes Financiero])*(X$2=Otras_Actividades_Base[Año Financiero])*(Otras_Actividades_Base[Financiero $Corrientes]))</f>
        <v>0</v>
      </c>
      <c r="Y177" s="104">
        <f>SUMPRODUCT(($C$165=Otras_Actividades_Base[Movimiento])*($F177=Otras_Actividades_Base[Cuenta Contable])*(Y$1=Otras_Actividades_Base[Mes Financiero])*(Y$2=Otras_Actividades_Base[Año Financiero])*(Otras_Actividades_Base[Financiero $Corrientes]))</f>
        <v>0</v>
      </c>
      <c r="Z177" s="144">
        <f t="shared" si="25"/>
        <v>0</v>
      </c>
      <c r="AC177" s="174">
        <f>SUMPRODUCT((F177=Costos_Indirectos_Cuentas[Cuenta Contable])*(Costos_Indirectos_Cuentas[IVA]))</f>
        <v>0</v>
      </c>
      <c r="AD177" s="174">
        <f>SUMPRODUCT((G177=Costos_Indirectos_Cuentas[Cuenta Contable])*(Costos_Indirectos_Cuentas[IVA]))</f>
        <v>0</v>
      </c>
    </row>
    <row r="178" spans="2:30" hidden="1" outlineLevel="1" x14ac:dyDescent="0.25">
      <c r="E178" s="221">
        <f>IFERROR(MATCH(F178,Otras_Actividades_Cuentas[Cuenta Contable],0),0)</f>
        <v>10</v>
      </c>
      <c r="F178" s="116" t="str">
        <f>Configuración!BY14</f>
        <v>Gastos de Oficina</v>
      </c>
      <c r="H178" s="103">
        <f>SUMPRODUCT(($C$165=Otras_Actividades_Base[Movimiento])*($F178=Otras_Actividades_Base[Cuenta Contable])*(H$1=Otras_Actividades_Base[Mes Financiero])*(H$2=Otras_Actividades_Base[Año Financiero])*(Otras_Actividades_Base[Financiero $Corrientes]))</f>
        <v>0</v>
      </c>
      <c r="I178" s="104">
        <f>SUMPRODUCT(($C$165=Otras_Actividades_Base[Movimiento])*($F178=Otras_Actividades_Base[Cuenta Contable])*(I$1=Otras_Actividades_Base[Mes Financiero])*(I$2=Otras_Actividades_Base[Año Financiero])*(Otras_Actividades_Base[Financiero $Corrientes]))</f>
        <v>0</v>
      </c>
      <c r="J178" s="103">
        <f>SUMPRODUCT(($C$165=Otras_Actividades_Base[Movimiento])*($F178=Otras_Actividades_Base[Cuenta Contable])*(J$1=Otras_Actividades_Base[Mes Financiero])*(J$2=Otras_Actividades_Base[Año Financiero])*(Otras_Actividades_Base[Financiero $Corrientes]))</f>
        <v>0</v>
      </c>
      <c r="K178" s="104">
        <f>SUMPRODUCT(($C$165=Otras_Actividades_Base[Movimiento])*($F178=Otras_Actividades_Base[Cuenta Contable])*(K$1=Otras_Actividades_Base[Mes Financiero])*(K$2=Otras_Actividades_Base[Año Financiero])*(Otras_Actividades_Base[Financiero $Corrientes]))</f>
        <v>0</v>
      </c>
      <c r="L178" s="103">
        <f>SUMPRODUCT(($C$165=Otras_Actividades_Base[Movimiento])*($F178=Otras_Actividades_Base[Cuenta Contable])*(L$1=Otras_Actividades_Base[Mes Financiero])*(L$2=Otras_Actividades_Base[Año Financiero])*(Otras_Actividades_Base[Financiero $Corrientes]))</f>
        <v>0</v>
      </c>
      <c r="M178" s="104">
        <f>SUMPRODUCT(($C$165=Otras_Actividades_Base[Movimiento])*($F178=Otras_Actividades_Base[Cuenta Contable])*(M$1=Otras_Actividades_Base[Mes Financiero])*(M$2=Otras_Actividades_Base[Año Financiero])*(Otras_Actividades_Base[Financiero $Corrientes]))</f>
        <v>0</v>
      </c>
      <c r="N178" s="103">
        <f>SUMPRODUCT(($C$165=Otras_Actividades_Base[Movimiento])*($F178=Otras_Actividades_Base[Cuenta Contable])*(N$1=Otras_Actividades_Base[Mes Financiero])*(N$2=Otras_Actividades_Base[Año Financiero])*(Otras_Actividades_Base[Financiero $Corrientes]))</f>
        <v>0</v>
      </c>
      <c r="O178" s="104">
        <f>SUMPRODUCT(($C$165=Otras_Actividades_Base[Movimiento])*($F178=Otras_Actividades_Base[Cuenta Contable])*(O$1=Otras_Actividades_Base[Mes Financiero])*(O$2=Otras_Actividades_Base[Año Financiero])*(Otras_Actividades_Base[Financiero $Corrientes]))</f>
        <v>0</v>
      </c>
      <c r="P178" s="103">
        <f>SUMPRODUCT(($C$165=Otras_Actividades_Base[Movimiento])*($F178=Otras_Actividades_Base[Cuenta Contable])*(P$1=Otras_Actividades_Base[Mes Financiero])*(P$2=Otras_Actividades_Base[Año Financiero])*(Otras_Actividades_Base[Financiero $Corrientes]))</f>
        <v>0</v>
      </c>
      <c r="Q178" s="104">
        <f>SUMPRODUCT(($C$165=Otras_Actividades_Base[Movimiento])*($F178=Otras_Actividades_Base[Cuenta Contable])*(Q$1=Otras_Actividades_Base[Mes Financiero])*(Q$2=Otras_Actividades_Base[Año Financiero])*(Otras_Actividades_Base[Financiero $Corrientes]))</f>
        <v>0</v>
      </c>
      <c r="R178" s="103">
        <f>SUMPRODUCT(($C$165=Otras_Actividades_Base[Movimiento])*($F178=Otras_Actividades_Base[Cuenta Contable])*(R$1=Otras_Actividades_Base[Mes Financiero])*(R$2=Otras_Actividades_Base[Año Financiero])*(Otras_Actividades_Base[Financiero $Corrientes]))</f>
        <v>0</v>
      </c>
      <c r="S178" s="104">
        <f>SUMPRODUCT(($C$165=Otras_Actividades_Base[Movimiento])*($F178=Otras_Actividades_Base[Cuenta Contable])*(S$1=Otras_Actividades_Base[Mes Financiero])*(S$2=Otras_Actividades_Base[Año Financiero])*(Otras_Actividades_Base[Financiero $Corrientes]))</f>
        <v>0</v>
      </c>
      <c r="T178" s="103">
        <f>SUMPRODUCT(($C$165=Otras_Actividades_Base[Movimiento])*($F178=Otras_Actividades_Base[Cuenta Contable])*(T$1=Otras_Actividades_Base[Mes Financiero])*(T$2=Otras_Actividades_Base[Año Financiero])*(Otras_Actividades_Base[Financiero $Corrientes]))</f>
        <v>0</v>
      </c>
      <c r="U178" s="104">
        <f>SUMPRODUCT(($C$165=Otras_Actividades_Base[Movimiento])*($F178=Otras_Actividades_Base[Cuenta Contable])*(U$1=Otras_Actividades_Base[Mes Financiero])*(U$2=Otras_Actividades_Base[Año Financiero])*(Otras_Actividades_Base[Financiero $Corrientes]))</f>
        <v>0</v>
      </c>
      <c r="V178" s="103">
        <f>SUMPRODUCT(($C$165=Otras_Actividades_Base[Movimiento])*($F178=Otras_Actividades_Base[Cuenta Contable])*(V$1=Otras_Actividades_Base[Mes Financiero])*(V$2=Otras_Actividades_Base[Año Financiero])*(Otras_Actividades_Base[Financiero $Corrientes]))</f>
        <v>0</v>
      </c>
      <c r="W178" s="104">
        <f>SUMPRODUCT(($C$165=Otras_Actividades_Base[Movimiento])*($F178=Otras_Actividades_Base[Cuenta Contable])*(W$1=Otras_Actividades_Base[Mes Financiero])*(W$2=Otras_Actividades_Base[Año Financiero])*(Otras_Actividades_Base[Financiero $Corrientes]))</f>
        <v>0</v>
      </c>
      <c r="X178" s="103">
        <f>SUMPRODUCT(($C$165=Otras_Actividades_Base[Movimiento])*($F178=Otras_Actividades_Base[Cuenta Contable])*(X$1=Otras_Actividades_Base[Mes Financiero])*(X$2=Otras_Actividades_Base[Año Financiero])*(Otras_Actividades_Base[Financiero $Corrientes]))</f>
        <v>0</v>
      </c>
      <c r="Y178" s="104">
        <f>SUMPRODUCT(($C$165=Otras_Actividades_Base[Movimiento])*($F178=Otras_Actividades_Base[Cuenta Contable])*(Y$1=Otras_Actividades_Base[Mes Financiero])*(Y$2=Otras_Actividades_Base[Año Financiero])*(Otras_Actividades_Base[Financiero $Corrientes]))</f>
        <v>0</v>
      </c>
      <c r="Z178" s="144">
        <f t="shared" si="25"/>
        <v>0</v>
      </c>
      <c r="AC178" s="174">
        <f>SUMPRODUCT((F178=Costos_Indirectos_Cuentas[Cuenta Contable])*(Costos_Indirectos_Cuentas[IVA]))</f>
        <v>0.21</v>
      </c>
      <c r="AD178" s="174">
        <f>SUMPRODUCT((G178=Costos_Indirectos_Cuentas[Cuenta Contable])*(Costos_Indirectos_Cuentas[IVA]))</f>
        <v>0</v>
      </c>
    </row>
    <row r="179" spans="2:30" hidden="1" outlineLevel="1" x14ac:dyDescent="0.25">
      <c r="E179" s="221">
        <f>IFERROR(MATCH(F179,Otras_Actividades_Cuentas[Cuenta Contable],0),0)</f>
        <v>11</v>
      </c>
      <c r="F179" s="116" t="str">
        <f>Configuración!BY15</f>
        <v>Conservación de Mejoras</v>
      </c>
      <c r="H179" s="103">
        <f>SUMPRODUCT(($C$165=Otras_Actividades_Base[Movimiento])*($F179=Otras_Actividades_Base[Cuenta Contable])*(H$1=Otras_Actividades_Base[Mes Financiero])*(H$2=Otras_Actividades_Base[Año Financiero])*(Otras_Actividades_Base[Financiero $Corrientes]))</f>
        <v>0</v>
      </c>
      <c r="I179" s="104">
        <f>SUMPRODUCT(($C$165=Otras_Actividades_Base[Movimiento])*($F179=Otras_Actividades_Base[Cuenta Contable])*(I$1=Otras_Actividades_Base[Mes Financiero])*(I$2=Otras_Actividades_Base[Año Financiero])*(Otras_Actividades_Base[Financiero $Corrientes]))</f>
        <v>0</v>
      </c>
      <c r="J179" s="103">
        <f>SUMPRODUCT(($C$165=Otras_Actividades_Base[Movimiento])*($F179=Otras_Actividades_Base[Cuenta Contable])*(J$1=Otras_Actividades_Base[Mes Financiero])*(J$2=Otras_Actividades_Base[Año Financiero])*(Otras_Actividades_Base[Financiero $Corrientes]))</f>
        <v>0</v>
      </c>
      <c r="K179" s="104">
        <f>SUMPRODUCT(($C$165=Otras_Actividades_Base[Movimiento])*($F179=Otras_Actividades_Base[Cuenta Contable])*(K$1=Otras_Actividades_Base[Mes Financiero])*(K$2=Otras_Actividades_Base[Año Financiero])*(Otras_Actividades_Base[Financiero $Corrientes]))</f>
        <v>0</v>
      </c>
      <c r="L179" s="103">
        <f>SUMPRODUCT(($C$165=Otras_Actividades_Base[Movimiento])*($F179=Otras_Actividades_Base[Cuenta Contable])*(L$1=Otras_Actividades_Base[Mes Financiero])*(L$2=Otras_Actividades_Base[Año Financiero])*(Otras_Actividades_Base[Financiero $Corrientes]))</f>
        <v>0</v>
      </c>
      <c r="M179" s="104">
        <f>SUMPRODUCT(($C$165=Otras_Actividades_Base[Movimiento])*($F179=Otras_Actividades_Base[Cuenta Contable])*(M$1=Otras_Actividades_Base[Mes Financiero])*(M$2=Otras_Actividades_Base[Año Financiero])*(Otras_Actividades_Base[Financiero $Corrientes]))</f>
        <v>0</v>
      </c>
      <c r="N179" s="103">
        <f>SUMPRODUCT(($C$165=Otras_Actividades_Base[Movimiento])*($F179=Otras_Actividades_Base[Cuenta Contable])*(N$1=Otras_Actividades_Base[Mes Financiero])*(N$2=Otras_Actividades_Base[Año Financiero])*(Otras_Actividades_Base[Financiero $Corrientes]))</f>
        <v>0</v>
      </c>
      <c r="O179" s="104">
        <f>SUMPRODUCT(($C$165=Otras_Actividades_Base[Movimiento])*($F179=Otras_Actividades_Base[Cuenta Contable])*(O$1=Otras_Actividades_Base[Mes Financiero])*(O$2=Otras_Actividades_Base[Año Financiero])*(Otras_Actividades_Base[Financiero $Corrientes]))</f>
        <v>0</v>
      </c>
      <c r="P179" s="103">
        <f>SUMPRODUCT(($C$165=Otras_Actividades_Base[Movimiento])*($F179=Otras_Actividades_Base[Cuenta Contable])*(P$1=Otras_Actividades_Base[Mes Financiero])*(P$2=Otras_Actividades_Base[Año Financiero])*(Otras_Actividades_Base[Financiero $Corrientes]))</f>
        <v>0</v>
      </c>
      <c r="Q179" s="104">
        <f>SUMPRODUCT(($C$165=Otras_Actividades_Base[Movimiento])*($F179=Otras_Actividades_Base[Cuenta Contable])*(Q$1=Otras_Actividades_Base[Mes Financiero])*(Q$2=Otras_Actividades_Base[Año Financiero])*(Otras_Actividades_Base[Financiero $Corrientes]))</f>
        <v>0</v>
      </c>
      <c r="R179" s="103">
        <f>SUMPRODUCT(($C$165=Otras_Actividades_Base[Movimiento])*($F179=Otras_Actividades_Base[Cuenta Contable])*(R$1=Otras_Actividades_Base[Mes Financiero])*(R$2=Otras_Actividades_Base[Año Financiero])*(Otras_Actividades_Base[Financiero $Corrientes]))</f>
        <v>0</v>
      </c>
      <c r="S179" s="104">
        <f>SUMPRODUCT(($C$165=Otras_Actividades_Base[Movimiento])*($F179=Otras_Actividades_Base[Cuenta Contable])*(S$1=Otras_Actividades_Base[Mes Financiero])*(S$2=Otras_Actividades_Base[Año Financiero])*(Otras_Actividades_Base[Financiero $Corrientes]))</f>
        <v>0</v>
      </c>
      <c r="T179" s="103">
        <f>SUMPRODUCT(($C$165=Otras_Actividades_Base[Movimiento])*($F179=Otras_Actividades_Base[Cuenta Contable])*(T$1=Otras_Actividades_Base[Mes Financiero])*(T$2=Otras_Actividades_Base[Año Financiero])*(Otras_Actividades_Base[Financiero $Corrientes]))</f>
        <v>0</v>
      </c>
      <c r="U179" s="104">
        <f>SUMPRODUCT(($C$165=Otras_Actividades_Base[Movimiento])*($F179=Otras_Actividades_Base[Cuenta Contable])*(U$1=Otras_Actividades_Base[Mes Financiero])*(U$2=Otras_Actividades_Base[Año Financiero])*(Otras_Actividades_Base[Financiero $Corrientes]))</f>
        <v>0</v>
      </c>
      <c r="V179" s="103">
        <f>SUMPRODUCT(($C$165=Otras_Actividades_Base[Movimiento])*($F179=Otras_Actividades_Base[Cuenta Contable])*(V$1=Otras_Actividades_Base[Mes Financiero])*(V$2=Otras_Actividades_Base[Año Financiero])*(Otras_Actividades_Base[Financiero $Corrientes]))</f>
        <v>0</v>
      </c>
      <c r="W179" s="104">
        <f>SUMPRODUCT(($C$165=Otras_Actividades_Base[Movimiento])*($F179=Otras_Actividades_Base[Cuenta Contable])*(W$1=Otras_Actividades_Base[Mes Financiero])*(W$2=Otras_Actividades_Base[Año Financiero])*(Otras_Actividades_Base[Financiero $Corrientes]))</f>
        <v>0</v>
      </c>
      <c r="X179" s="103">
        <f>SUMPRODUCT(($C$165=Otras_Actividades_Base[Movimiento])*($F179=Otras_Actividades_Base[Cuenta Contable])*(X$1=Otras_Actividades_Base[Mes Financiero])*(X$2=Otras_Actividades_Base[Año Financiero])*(Otras_Actividades_Base[Financiero $Corrientes]))</f>
        <v>0</v>
      </c>
      <c r="Y179" s="104">
        <f>SUMPRODUCT(($C$165=Otras_Actividades_Base[Movimiento])*($F179=Otras_Actividades_Base[Cuenta Contable])*(Y$1=Otras_Actividades_Base[Mes Financiero])*(Y$2=Otras_Actividades_Base[Año Financiero])*(Otras_Actividades_Base[Financiero $Corrientes]))</f>
        <v>0</v>
      </c>
      <c r="Z179" s="144">
        <f t="shared" si="25"/>
        <v>0</v>
      </c>
      <c r="AC179" s="174">
        <f>SUMPRODUCT((F179=Costos_Indirectos_Cuentas[Cuenta Contable])*(Costos_Indirectos_Cuentas[IVA]))</f>
        <v>0.21</v>
      </c>
      <c r="AD179" s="174">
        <f>SUMPRODUCT((G179=Costos_Indirectos_Cuentas[Cuenta Contable])*(Costos_Indirectos_Cuentas[IVA]))</f>
        <v>0</v>
      </c>
    </row>
    <row r="180" spans="2:30" hidden="1" outlineLevel="1" x14ac:dyDescent="0.25">
      <c r="E180" s="221">
        <f>IFERROR(MATCH(F180,Otras_Actividades_Cuentas[Cuenta Contable],0),0)</f>
        <v>12</v>
      </c>
      <c r="F180" s="116" t="str">
        <f>Configuración!BY16</f>
        <v>Impuestos Nacionales</v>
      </c>
      <c r="H180" s="103">
        <f>SUMPRODUCT(($C$165=Otras_Actividades_Base[Movimiento])*($F180=Otras_Actividades_Base[Cuenta Contable])*(H$1=Otras_Actividades_Base[Mes Financiero])*(H$2=Otras_Actividades_Base[Año Financiero])*(Otras_Actividades_Base[Financiero $Corrientes]))</f>
        <v>0</v>
      </c>
      <c r="I180" s="104">
        <f>SUMPRODUCT(($C$165=Otras_Actividades_Base[Movimiento])*($F180=Otras_Actividades_Base[Cuenta Contable])*(I$1=Otras_Actividades_Base[Mes Financiero])*(I$2=Otras_Actividades_Base[Año Financiero])*(Otras_Actividades_Base[Financiero $Corrientes]))</f>
        <v>0</v>
      </c>
      <c r="J180" s="103">
        <f>SUMPRODUCT(($C$165=Otras_Actividades_Base[Movimiento])*($F180=Otras_Actividades_Base[Cuenta Contable])*(J$1=Otras_Actividades_Base[Mes Financiero])*(J$2=Otras_Actividades_Base[Año Financiero])*(Otras_Actividades_Base[Financiero $Corrientes]))</f>
        <v>0</v>
      </c>
      <c r="K180" s="104">
        <f>SUMPRODUCT(($C$165=Otras_Actividades_Base[Movimiento])*($F180=Otras_Actividades_Base[Cuenta Contable])*(K$1=Otras_Actividades_Base[Mes Financiero])*(K$2=Otras_Actividades_Base[Año Financiero])*(Otras_Actividades_Base[Financiero $Corrientes]))</f>
        <v>0</v>
      </c>
      <c r="L180" s="103">
        <f>SUMPRODUCT(($C$165=Otras_Actividades_Base[Movimiento])*($F180=Otras_Actividades_Base[Cuenta Contable])*(L$1=Otras_Actividades_Base[Mes Financiero])*(L$2=Otras_Actividades_Base[Año Financiero])*(Otras_Actividades_Base[Financiero $Corrientes]))</f>
        <v>0</v>
      </c>
      <c r="M180" s="104">
        <f>SUMPRODUCT(($C$165=Otras_Actividades_Base[Movimiento])*($F180=Otras_Actividades_Base[Cuenta Contable])*(M$1=Otras_Actividades_Base[Mes Financiero])*(M$2=Otras_Actividades_Base[Año Financiero])*(Otras_Actividades_Base[Financiero $Corrientes]))</f>
        <v>0</v>
      </c>
      <c r="N180" s="103">
        <f>SUMPRODUCT(($C$165=Otras_Actividades_Base[Movimiento])*($F180=Otras_Actividades_Base[Cuenta Contable])*(N$1=Otras_Actividades_Base[Mes Financiero])*(N$2=Otras_Actividades_Base[Año Financiero])*(Otras_Actividades_Base[Financiero $Corrientes]))</f>
        <v>0</v>
      </c>
      <c r="O180" s="104">
        <f>SUMPRODUCT(($C$165=Otras_Actividades_Base[Movimiento])*($F180=Otras_Actividades_Base[Cuenta Contable])*(O$1=Otras_Actividades_Base[Mes Financiero])*(O$2=Otras_Actividades_Base[Año Financiero])*(Otras_Actividades_Base[Financiero $Corrientes]))</f>
        <v>0</v>
      </c>
      <c r="P180" s="103">
        <f>SUMPRODUCT(($C$165=Otras_Actividades_Base[Movimiento])*($F180=Otras_Actividades_Base[Cuenta Contable])*(P$1=Otras_Actividades_Base[Mes Financiero])*(P$2=Otras_Actividades_Base[Año Financiero])*(Otras_Actividades_Base[Financiero $Corrientes]))</f>
        <v>0</v>
      </c>
      <c r="Q180" s="104">
        <f>SUMPRODUCT(($C$165=Otras_Actividades_Base[Movimiento])*($F180=Otras_Actividades_Base[Cuenta Contable])*(Q$1=Otras_Actividades_Base[Mes Financiero])*(Q$2=Otras_Actividades_Base[Año Financiero])*(Otras_Actividades_Base[Financiero $Corrientes]))</f>
        <v>0</v>
      </c>
      <c r="R180" s="103">
        <f>SUMPRODUCT(($C$165=Otras_Actividades_Base[Movimiento])*($F180=Otras_Actividades_Base[Cuenta Contable])*(R$1=Otras_Actividades_Base[Mes Financiero])*(R$2=Otras_Actividades_Base[Año Financiero])*(Otras_Actividades_Base[Financiero $Corrientes]))</f>
        <v>0</v>
      </c>
      <c r="S180" s="104">
        <f>SUMPRODUCT(($C$165=Otras_Actividades_Base[Movimiento])*($F180=Otras_Actividades_Base[Cuenta Contable])*(S$1=Otras_Actividades_Base[Mes Financiero])*(S$2=Otras_Actividades_Base[Año Financiero])*(Otras_Actividades_Base[Financiero $Corrientes]))</f>
        <v>0</v>
      </c>
      <c r="T180" s="103">
        <f>SUMPRODUCT(($C$165=Otras_Actividades_Base[Movimiento])*($F180=Otras_Actividades_Base[Cuenta Contable])*(T$1=Otras_Actividades_Base[Mes Financiero])*(T$2=Otras_Actividades_Base[Año Financiero])*(Otras_Actividades_Base[Financiero $Corrientes]))</f>
        <v>0</v>
      </c>
      <c r="U180" s="104">
        <f>SUMPRODUCT(($C$165=Otras_Actividades_Base[Movimiento])*($F180=Otras_Actividades_Base[Cuenta Contable])*(U$1=Otras_Actividades_Base[Mes Financiero])*(U$2=Otras_Actividades_Base[Año Financiero])*(Otras_Actividades_Base[Financiero $Corrientes]))</f>
        <v>0</v>
      </c>
      <c r="V180" s="103">
        <f>SUMPRODUCT(($C$165=Otras_Actividades_Base[Movimiento])*($F180=Otras_Actividades_Base[Cuenta Contable])*(V$1=Otras_Actividades_Base[Mes Financiero])*(V$2=Otras_Actividades_Base[Año Financiero])*(Otras_Actividades_Base[Financiero $Corrientes]))</f>
        <v>0</v>
      </c>
      <c r="W180" s="104">
        <f>SUMPRODUCT(($C$165=Otras_Actividades_Base[Movimiento])*($F180=Otras_Actividades_Base[Cuenta Contable])*(W$1=Otras_Actividades_Base[Mes Financiero])*(W$2=Otras_Actividades_Base[Año Financiero])*(Otras_Actividades_Base[Financiero $Corrientes]))</f>
        <v>0</v>
      </c>
      <c r="X180" s="103">
        <f>SUMPRODUCT(($C$165=Otras_Actividades_Base[Movimiento])*($F180=Otras_Actividades_Base[Cuenta Contable])*(X$1=Otras_Actividades_Base[Mes Financiero])*(X$2=Otras_Actividades_Base[Año Financiero])*(Otras_Actividades_Base[Financiero $Corrientes]))</f>
        <v>0</v>
      </c>
      <c r="Y180" s="104">
        <f>SUMPRODUCT(($C$165=Otras_Actividades_Base[Movimiento])*($F180=Otras_Actividades_Base[Cuenta Contable])*(Y$1=Otras_Actividades_Base[Mes Financiero])*(Y$2=Otras_Actividades_Base[Año Financiero])*(Otras_Actividades_Base[Financiero $Corrientes]))</f>
        <v>0</v>
      </c>
      <c r="Z180" s="144">
        <f t="shared" si="25"/>
        <v>0</v>
      </c>
      <c r="AC180" s="174">
        <f>SUMPRODUCT((F180=Costos_Indirectos_Cuentas[Cuenta Contable])*(Costos_Indirectos_Cuentas[IVA]))</f>
        <v>0</v>
      </c>
      <c r="AD180" s="174">
        <f>SUMPRODUCT((G180=Costos_Indirectos_Cuentas[Cuenta Contable])*(Costos_Indirectos_Cuentas[IVA]))</f>
        <v>0</v>
      </c>
    </row>
    <row r="181" spans="2:30" hidden="1" outlineLevel="1" x14ac:dyDescent="0.25">
      <c r="E181" s="221">
        <f>IFERROR(MATCH(F181,Otras_Actividades_Cuentas[Cuenta Contable],0),0)</f>
        <v>13</v>
      </c>
      <c r="F181" s="116" t="str">
        <f>Configuración!BY17</f>
        <v>Impuestos Provinciales</v>
      </c>
      <c r="H181" s="103">
        <f>SUMPRODUCT(($C$165=Otras_Actividades_Base[Movimiento])*($F181=Otras_Actividades_Base[Cuenta Contable])*(H$1=Otras_Actividades_Base[Mes Financiero])*(H$2=Otras_Actividades_Base[Año Financiero])*(Otras_Actividades_Base[Financiero $Corrientes]))</f>
        <v>0</v>
      </c>
      <c r="I181" s="104">
        <f>SUMPRODUCT(($C$165=Otras_Actividades_Base[Movimiento])*($F181=Otras_Actividades_Base[Cuenta Contable])*(I$1=Otras_Actividades_Base[Mes Financiero])*(I$2=Otras_Actividades_Base[Año Financiero])*(Otras_Actividades_Base[Financiero $Corrientes]))</f>
        <v>0</v>
      </c>
      <c r="J181" s="103">
        <f>SUMPRODUCT(($C$165=Otras_Actividades_Base[Movimiento])*($F181=Otras_Actividades_Base[Cuenta Contable])*(J$1=Otras_Actividades_Base[Mes Financiero])*(J$2=Otras_Actividades_Base[Año Financiero])*(Otras_Actividades_Base[Financiero $Corrientes]))</f>
        <v>0</v>
      </c>
      <c r="K181" s="104">
        <f>SUMPRODUCT(($C$165=Otras_Actividades_Base[Movimiento])*($F181=Otras_Actividades_Base[Cuenta Contable])*(K$1=Otras_Actividades_Base[Mes Financiero])*(K$2=Otras_Actividades_Base[Año Financiero])*(Otras_Actividades_Base[Financiero $Corrientes]))</f>
        <v>0</v>
      </c>
      <c r="L181" s="103">
        <f>SUMPRODUCT(($C$165=Otras_Actividades_Base[Movimiento])*($F181=Otras_Actividades_Base[Cuenta Contable])*(L$1=Otras_Actividades_Base[Mes Financiero])*(L$2=Otras_Actividades_Base[Año Financiero])*(Otras_Actividades_Base[Financiero $Corrientes]))</f>
        <v>0</v>
      </c>
      <c r="M181" s="104">
        <f>SUMPRODUCT(($C$165=Otras_Actividades_Base[Movimiento])*($F181=Otras_Actividades_Base[Cuenta Contable])*(M$1=Otras_Actividades_Base[Mes Financiero])*(M$2=Otras_Actividades_Base[Año Financiero])*(Otras_Actividades_Base[Financiero $Corrientes]))</f>
        <v>0</v>
      </c>
      <c r="N181" s="103">
        <f>SUMPRODUCT(($C$165=Otras_Actividades_Base[Movimiento])*($F181=Otras_Actividades_Base[Cuenta Contable])*(N$1=Otras_Actividades_Base[Mes Financiero])*(N$2=Otras_Actividades_Base[Año Financiero])*(Otras_Actividades_Base[Financiero $Corrientes]))</f>
        <v>0</v>
      </c>
      <c r="O181" s="104">
        <f>SUMPRODUCT(($C$165=Otras_Actividades_Base[Movimiento])*($F181=Otras_Actividades_Base[Cuenta Contable])*(O$1=Otras_Actividades_Base[Mes Financiero])*(O$2=Otras_Actividades_Base[Año Financiero])*(Otras_Actividades_Base[Financiero $Corrientes]))</f>
        <v>0</v>
      </c>
      <c r="P181" s="103">
        <f>SUMPRODUCT(($C$165=Otras_Actividades_Base[Movimiento])*($F181=Otras_Actividades_Base[Cuenta Contable])*(P$1=Otras_Actividades_Base[Mes Financiero])*(P$2=Otras_Actividades_Base[Año Financiero])*(Otras_Actividades_Base[Financiero $Corrientes]))</f>
        <v>0</v>
      </c>
      <c r="Q181" s="104">
        <f>SUMPRODUCT(($C$165=Otras_Actividades_Base[Movimiento])*($F181=Otras_Actividades_Base[Cuenta Contable])*(Q$1=Otras_Actividades_Base[Mes Financiero])*(Q$2=Otras_Actividades_Base[Año Financiero])*(Otras_Actividades_Base[Financiero $Corrientes]))</f>
        <v>0</v>
      </c>
      <c r="R181" s="103">
        <f>SUMPRODUCT(($C$165=Otras_Actividades_Base[Movimiento])*($F181=Otras_Actividades_Base[Cuenta Contable])*(R$1=Otras_Actividades_Base[Mes Financiero])*(R$2=Otras_Actividades_Base[Año Financiero])*(Otras_Actividades_Base[Financiero $Corrientes]))</f>
        <v>0</v>
      </c>
      <c r="S181" s="104">
        <f>SUMPRODUCT(($C$165=Otras_Actividades_Base[Movimiento])*($F181=Otras_Actividades_Base[Cuenta Contable])*(S$1=Otras_Actividades_Base[Mes Financiero])*(S$2=Otras_Actividades_Base[Año Financiero])*(Otras_Actividades_Base[Financiero $Corrientes]))</f>
        <v>0</v>
      </c>
      <c r="T181" s="103">
        <f>SUMPRODUCT(($C$165=Otras_Actividades_Base[Movimiento])*($F181=Otras_Actividades_Base[Cuenta Contable])*(T$1=Otras_Actividades_Base[Mes Financiero])*(T$2=Otras_Actividades_Base[Año Financiero])*(Otras_Actividades_Base[Financiero $Corrientes]))</f>
        <v>0</v>
      </c>
      <c r="U181" s="104">
        <f>SUMPRODUCT(($C$165=Otras_Actividades_Base[Movimiento])*($F181=Otras_Actividades_Base[Cuenta Contable])*(U$1=Otras_Actividades_Base[Mes Financiero])*(U$2=Otras_Actividades_Base[Año Financiero])*(Otras_Actividades_Base[Financiero $Corrientes]))</f>
        <v>0</v>
      </c>
      <c r="V181" s="103">
        <f>SUMPRODUCT(($C$165=Otras_Actividades_Base[Movimiento])*($F181=Otras_Actividades_Base[Cuenta Contable])*(V$1=Otras_Actividades_Base[Mes Financiero])*(V$2=Otras_Actividades_Base[Año Financiero])*(Otras_Actividades_Base[Financiero $Corrientes]))</f>
        <v>0</v>
      </c>
      <c r="W181" s="104">
        <f>SUMPRODUCT(($C$165=Otras_Actividades_Base[Movimiento])*($F181=Otras_Actividades_Base[Cuenta Contable])*(W$1=Otras_Actividades_Base[Mes Financiero])*(W$2=Otras_Actividades_Base[Año Financiero])*(Otras_Actividades_Base[Financiero $Corrientes]))</f>
        <v>0</v>
      </c>
      <c r="X181" s="103">
        <f>SUMPRODUCT(($C$165=Otras_Actividades_Base[Movimiento])*($F181=Otras_Actividades_Base[Cuenta Contable])*(X$1=Otras_Actividades_Base[Mes Financiero])*(X$2=Otras_Actividades_Base[Año Financiero])*(Otras_Actividades_Base[Financiero $Corrientes]))</f>
        <v>0</v>
      </c>
      <c r="Y181" s="104">
        <f>SUMPRODUCT(($C$165=Otras_Actividades_Base[Movimiento])*($F181=Otras_Actividades_Base[Cuenta Contable])*(Y$1=Otras_Actividades_Base[Mes Financiero])*(Y$2=Otras_Actividades_Base[Año Financiero])*(Otras_Actividades_Base[Financiero $Corrientes]))</f>
        <v>0</v>
      </c>
      <c r="Z181" s="144">
        <f t="shared" si="25"/>
        <v>0</v>
      </c>
      <c r="AC181" s="174">
        <f>SUMPRODUCT((F181=Costos_Indirectos_Cuentas[Cuenta Contable])*(Costos_Indirectos_Cuentas[IVA]))</f>
        <v>0</v>
      </c>
      <c r="AD181" s="174">
        <f>SUMPRODUCT((G181=Costos_Indirectos_Cuentas[Cuenta Contable])*(Costos_Indirectos_Cuentas[IVA]))</f>
        <v>0</v>
      </c>
    </row>
    <row r="182" spans="2:30" hidden="1" outlineLevel="1" x14ac:dyDescent="0.25">
      <c r="E182" s="221">
        <f>IFERROR(MATCH(F182,Otras_Actividades_Cuentas[Cuenta Contable],0),0)</f>
        <v>14</v>
      </c>
      <c r="F182" s="116" t="str">
        <f>Configuración!BY18</f>
        <v>Tasas y Servicios Municipales</v>
      </c>
      <c r="H182" s="103">
        <f>SUMPRODUCT(($C$165=Otras_Actividades_Base[Movimiento])*($F182=Otras_Actividades_Base[Cuenta Contable])*(H$1=Otras_Actividades_Base[Mes Financiero])*(H$2=Otras_Actividades_Base[Año Financiero])*(Otras_Actividades_Base[Financiero $Corrientes]))</f>
        <v>0</v>
      </c>
      <c r="I182" s="104">
        <f>SUMPRODUCT(($C$165=Otras_Actividades_Base[Movimiento])*($F182=Otras_Actividades_Base[Cuenta Contable])*(I$1=Otras_Actividades_Base[Mes Financiero])*(I$2=Otras_Actividades_Base[Año Financiero])*(Otras_Actividades_Base[Financiero $Corrientes]))</f>
        <v>0</v>
      </c>
      <c r="J182" s="103">
        <f>SUMPRODUCT(($C$165=Otras_Actividades_Base[Movimiento])*($F182=Otras_Actividades_Base[Cuenta Contable])*(J$1=Otras_Actividades_Base[Mes Financiero])*(J$2=Otras_Actividades_Base[Año Financiero])*(Otras_Actividades_Base[Financiero $Corrientes]))</f>
        <v>0</v>
      </c>
      <c r="K182" s="104">
        <f>SUMPRODUCT(($C$165=Otras_Actividades_Base[Movimiento])*($F182=Otras_Actividades_Base[Cuenta Contable])*(K$1=Otras_Actividades_Base[Mes Financiero])*(K$2=Otras_Actividades_Base[Año Financiero])*(Otras_Actividades_Base[Financiero $Corrientes]))</f>
        <v>0</v>
      </c>
      <c r="L182" s="103">
        <f>SUMPRODUCT(($C$165=Otras_Actividades_Base[Movimiento])*($F182=Otras_Actividades_Base[Cuenta Contable])*(L$1=Otras_Actividades_Base[Mes Financiero])*(L$2=Otras_Actividades_Base[Año Financiero])*(Otras_Actividades_Base[Financiero $Corrientes]))</f>
        <v>0</v>
      </c>
      <c r="M182" s="104">
        <f>SUMPRODUCT(($C$165=Otras_Actividades_Base[Movimiento])*($F182=Otras_Actividades_Base[Cuenta Contable])*(M$1=Otras_Actividades_Base[Mes Financiero])*(M$2=Otras_Actividades_Base[Año Financiero])*(Otras_Actividades_Base[Financiero $Corrientes]))</f>
        <v>0</v>
      </c>
      <c r="N182" s="103">
        <f>SUMPRODUCT(($C$165=Otras_Actividades_Base[Movimiento])*($F182=Otras_Actividades_Base[Cuenta Contable])*(N$1=Otras_Actividades_Base[Mes Financiero])*(N$2=Otras_Actividades_Base[Año Financiero])*(Otras_Actividades_Base[Financiero $Corrientes]))</f>
        <v>0</v>
      </c>
      <c r="O182" s="104">
        <f>SUMPRODUCT(($C$165=Otras_Actividades_Base[Movimiento])*($F182=Otras_Actividades_Base[Cuenta Contable])*(O$1=Otras_Actividades_Base[Mes Financiero])*(O$2=Otras_Actividades_Base[Año Financiero])*(Otras_Actividades_Base[Financiero $Corrientes]))</f>
        <v>0</v>
      </c>
      <c r="P182" s="103">
        <f>SUMPRODUCT(($C$165=Otras_Actividades_Base[Movimiento])*($F182=Otras_Actividades_Base[Cuenta Contable])*(P$1=Otras_Actividades_Base[Mes Financiero])*(P$2=Otras_Actividades_Base[Año Financiero])*(Otras_Actividades_Base[Financiero $Corrientes]))</f>
        <v>0</v>
      </c>
      <c r="Q182" s="104">
        <f>SUMPRODUCT(($C$165=Otras_Actividades_Base[Movimiento])*($F182=Otras_Actividades_Base[Cuenta Contable])*(Q$1=Otras_Actividades_Base[Mes Financiero])*(Q$2=Otras_Actividades_Base[Año Financiero])*(Otras_Actividades_Base[Financiero $Corrientes]))</f>
        <v>0</v>
      </c>
      <c r="R182" s="103">
        <f>SUMPRODUCT(($C$165=Otras_Actividades_Base[Movimiento])*($F182=Otras_Actividades_Base[Cuenta Contable])*(R$1=Otras_Actividades_Base[Mes Financiero])*(R$2=Otras_Actividades_Base[Año Financiero])*(Otras_Actividades_Base[Financiero $Corrientes]))</f>
        <v>0</v>
      </c>
      <c r="S182" s="104">
        <f>SUMPRODUCT(($C$165=Otras_Actividades_Base[Movimiento])*($F182=Otras_Actividades_Base[Cuenta Contable])*(S$1=Otras_Actividades_Base[Mes Financiero])*(S$2=Otras_Actividades_Base[Año Financiero])*(Otras_Actividades_Base[Financiero $Corrientes]))</f>
        <v>0</v>
      </c>
      <c r="T182" s="103">
        <f>SUMPRODUCT(($C$165=Otras_Actividades_Base[Movimiento])*($F182=Otras_Actividades_Base[Cuenta Contable])*(T$1=Otras_Actividades_Base[Mes Financiero])*(T$2=Otras_Actividades_Base[Año Financiero])*(Otras_Actividades_Base[Financiero $Corrientes]))</f>
        <v>0</v>
      </c>
      <c r="U182" s="104">
        <f>SUMPRODUCT(($C$165=Otras_Actividades_Base[Movimiento])*($F182=Otras_Actividades_Base[Cuenta Contable])*(U$1=Otras_Actividades_Base[Mes Financiero])*(U$2=Otras_Actividades_Base[Año Financiero])*(Otras_Actividades_Base[Financiero $Corrientes]))</f>
        <v>0</v>
      </c>
      <c r="V182" s="103">
        <f>SUMPRODUCT(($C$165=Otras_Actividades_Base[Movimiento])*($F182=Otras_Actividades_Base[Cuenta Contable])*(V$1=Otras_Actividades_Base[Mes Financiero])*(V$2=Otras_Actividades_Base[Año Financiero])*(Otras_Actividades_Base[Financiero $Corrientes]))</f>
        <v>0</v>
      </c>
      <c r="W182" s="104">
        <f>SUMPRODUCT(($C$165=Otras_Actividades_Base[Movimiento])*($F182=Otras_Actividades_Base[Cuenta Contable])*(W$1=Otras_Actividades_Base[Mes Financiero])*(W$2=Otras_Actividades_Base[Año Financiero])*(Otras_Actividades_Base[Financiero $Corrientes]))</f>
        <v>0</v>
      </c>
      <c r="X182" s="103">
        <f>SUMPRODUCT(($C$165=Otras_Actividades_Base[Movimiento])*($F182=Otras_Actividades_Base[Cuenta Contable])*(X$1=Otras_Actividades_Base[Mes Financiero])*(X$2=Otras_Actividades_Base[Año Financiero])*(Otras_Actividades_Base[Financiero $Corrientes]))</f>
        <v>0</v>
      </c>
      <c r="Y182" s="104">
        <f>SUMPRODUCT(($C$165=Otras_Actividades_Base[Movimiento])*($F182=Otras_Actividades_Base[Cuenta Contable])*(Y$1=Otras_Actividades_Base[Mes Financiero])*(Y$2=Otras_Actividades_Base[Año Financiero])*(Otras_Actividades_Base[Financiero $Corrientes]))</f>
        <v>0</v>
      </c>
      <c r="Z182" s="144">
        <f t="shared" si="25"/>
        <v>0</v>
      </c>
      <c r="AC182" s="174">
        <f>SUMPRODUCT((F182=Costos_Indirectos_Cuentas[Cuenta Contable])*(Costos_Indirectos_Cuentas[IVA]))</f>
        <v>0</v>
      </c>
      <c r="AD182" s="174">
        <f>SUMPRODUCT((G182=Costos_Indirectos_Cuentas[Cuenta Contable])*(Costos_Indirectos_Cuentas[IVA]))</f>
        <v>0</v>
      </c>
    </row>
    <row r="183" spans="2:30" hidden="1" outlineLevel="1" x14ac:dyDescent="0.25">
      <c r="B183" s="166" t="s">
        <v>101</v>
      </c>
      <c r="E183" s="221">
        <f>IFERROR(MATCH(F183,Otras_Actividades_Cuentas[Cuenta Contable],0),0)</f>
        <v>0</v>
      </c>
      <c r="F183" s="116"/>
      <c r="H183" s="103">
        <f>SUMPRODUCT(($C$165=Otras_Actividades_Base[Movimiento])*($F183=Otras_Actividades_Base[Cuenta Contable])*(H$1=Otras_Actividades_Base[Mes Financiero])*(H$2=Otras_Actividades_Base[Año Financiero])*(Otras_Actividades_Base[Financiero $Corrientes]))</f>
        <v>0</v>
      </c>
      <c r="I183" s="104">
        <f>SUMPRODUCT(($C$165=Otras_Actividades_Base[Movimiento])*($F183=Otras_Actividades_Base[Cuenta Contable])*(I$1=Otras_Actividades_Base[Mes Financiero])*(I$2=Otras_Actividades_Base[Año Financiero])*(Otras_Actividades_Base[Financiero $Corrientes]))</f>
        <v>0</v>
      </c>
      <c r="J183" s="103">
        <f>SUMPRODUCT(($C$165=Otras_Actividades_Base[Movimiento])*($F183=Otras_Actividades_Base[Cuenta Contable])*(J$1=Otras_Actividades_Base[Mes Financiero])*(J$2=Otras_Actividades_Base[Año Financiero])*(Otras_Actividades_Base[Financiero $Corrientes]))</f>
        <v>0</v>
      </c>
      <c r="K183" s="104">
        <f>SUMPRODUCT(($C$165=Otras_Actividades_Base[Movimiento])*($F183=Otras_Actividades_Base[Cuenta Contable])*(K$1=Otras_Actividades_Base[Mes Financiero])*(K$2=Otras_Actividades_Base[Año Financiero])*(Otras_Actividades_Base[Financiero $Corrientes]))</f>
        <v>0</v>
      </c>
      <c r="L183" s="103">
        <f>SUMPRODUCT(($C$165=Otras_Actividades_Base[Movimiento])*($F183=Otras_Actividades_Base[Cuenta Contable])*(L$1=Otras_Actividades_Base[Mes Financiero])*(L$2=Otras_Actividades_Base[Año Financiero])*(Otras_Actividades_Base[Financiero $Corrientes]))</f>
        <v>0</v>
      </c>
      <c r="M183" s="104">
        <f>SUMPRODUCT(($C$165=Otras_Actividades_Base[Movimiento])*($F183=Otras_Actividades_Base[Cuenta Contable])*(M$1=Otras_Actividades_Base[Mes Financiero])*(M$2=Otras_Actividades_Base[Año Financiero])*(Otras_Actividades_Base[Financiero $Corrientes]))</f>
        <v>0</v>
      </c>
      <c r="N183" s="103">
        <f>SUMPRODUCT(($C$165=Otras_Actividades_Base[Movimiento])*($F183=Otras_Actividades_Base[Cuenta Contable])*(N$1=Otras_Actividades_Base[Mes Financiero])*(N$2=Otras_Actividades_Base[Año Financiero])*(Otras_Actividades_Base[Financiero $Corrientes]))</f>
        <v>0</v>
      </c>
      <c r="O183" s="104">
        <f>SUMPRODUCT(($C$165=Otras_Actividades_Base[Movimiento])*($F183=Otras_Actividades_Base[Cuenta Contable])*(O$1=Otras_Actividades_Base[Mes Financiero])*(O$2=Otras_Actividades_Base[Año Financiero])*(Otras_Actividades_Base[Financiero $Corrientes]))</f>
        <v>0</v>
      </c>
      <c r="P183" s="103">
        <f>SUMPRODUCT(($C$165=Otras_Actividades_Base[Movimiento])*($F183=Otras_Actividades_Base[Cuenta Contable])*(P$1=Otras_Actividades_Base[Mes Financiero])*(P$2=Otras_Actividades_Base[Año Financiero])*(Otras_Actividades_Base[Financiero $Corrientes]))</f>
        <v>0</v>
      </c>
      <c r="Q183" s="104">
        <f>SUMPRODUCT(($C$165=Otras_Actividades_Base[Movimiento])*($F183=Otras_Actividades_Base[Cuenta Contable])*(Q$1=Otras_Actividades_Base[Mes Financiero])*(Q$2=Otras_Actividades_Base[Año Financiero])*(Otras_Actividades_Base[Financiero $Corrientes]))</f>
        <v>0</v>
      </c>
      <c r="R183" s="103">
        <f>SUMPRODUCT(($C$165=Otras_Actividades_Base[Movimiento])*($F183=Otras_Actividades_Base[Cuenta Contable])*(R$1=Otras_Actividades_Base[Mes Financiero])*(R$2=Otras_Actividades_Base[Año Financiero])*(Otras_Actividades_Base[Financiero $Corrientes]))</f>
        <v>0</v>
      </c>
      <c r="S183" s="104">
        <f>SUMPRODUCT(($C$165=Otras_Actividades_Base[Movimiento])*($F183=Otras_Actividades_Base[Cuenta Contable])*(S$1=Otras_Actividades_Base[Mes Financiero])*(S$2=Otras_Actividades_Base[Año Financiero])*(Otras_Actividades_Base[Financiero $Corrientes]))</f>
        <v>0</v>
      </c>
      <c r="T183" s="103">
        <f>SUMPRODUCT(($C$165=Otras_Actividades_Base[Movimiento])*($F183=Otras_Actividades_Base[Cuenta Contable])*(T$1=Otras_Actividades_Base[Mes Financiero])*(T$2=Otras_Actividades_Base[Año Financiero])*(Otras_Actividades_Base[Financiero $Corrientes]))</f>
        <v>0</v>
      </c>
      <c r="U183" s="104">
        <f>SUMPRODUCT(($C$165=Otras_Actividades_Base[Movimiento])*($F183=Otras_Actividades_Base[Cuenta Contable])*(U$1=Otras_Actividades_Base[Mes Financiero])*(U$2=Otras_Actividades_Base[Año Financiero])*(Otras_Actividades_Base[Financiero $Corrientes]))</f>
        <v>0</v>
      </c>
      <c r="V183" s="103">
        <f>SUMPRODUCT(($C$165=Otras_Actividades_Base[Movimiento])*($F183=Otras_Actividades_Base[Cuenta Contable])*(V$1=Otras_Actividades_Base[Mes Financiero])*(V$2=Otras_Actividades_Base[Año Financiero])*(Otras_Actividades_Base[Financiero $Corrientes]))</f>
        <v>0</v>
      </c>
      <c r="W183" s="104">
        <f>SUMPRODUCT(($C$165=Otras_Actividades_Base[Movimiento])*($F183=Otras_Actividades_Base[Cuenta Contable])*(W$1=Otras_Actividades_Base[Mes Financiero])*(W$2=Otras_Actividades_Base[Año Financiero])*(Otras_Actividades_Base[Financiero $Corrientes]))</f>
        <v>0</v>
      </c>
      <c r="X183" s="103">
        <f>SUMPRODUCT(($C$165=Otras_Actividades_Base[Movimiento])*($F183=Otras_Actividades_Base[Cuenta Contable])*(X$1=Otras_Actividades_Base[Mes Financiero])*(X$2=Otras_Actividades_Base[Año Financiero])*(Otras_Actividades_Base[Financiero $Corrientes]))</f>
        <v>0</v>
      </c>
      <c r="Y183" s="104">
        <f>SUMPRODUCT(($C$165=Otras_Actividades_Base[Movimiento])*($F183=Otras_Actividades_Base[Cuenta Contable])*(Y$1=Otras_Actividades_Base[Mes Financiero])*(Y$2=Otras_Actividades_Base[Año Financiero])*(Otras_Actividades_Base[Financiero $Corrientes]))</f>
        <v>0</v>
      </c>
      <c r="Z183" s="144">
        <f t="shared" si="25"/>
        <v>0</v>
      </c>
      <c r="AC183" s="174">
        <f>SUMPRODUCT((F183=Costos_Indirectos_Cuentas[Cuenta Contable])*(Costos_Indirectos_Cuentas[IVA]))</f>
        <v>0</v>
      </c>
      <c r="AD183" s="174">
        <f>SUMPRODUCT((G183=Costos_Indirectos_Cuentas[Cuenta Contable])*(Costos_Indirectos_Cuentas[IVA]))</f>
        <v>0</v>
      </c>
    </row>
    <row r="184" spans="2:30" hidden="1" outlineLevel="1" x14ac:dyDescent="0.25">
      <c r="E184" s="222"/>
      <c r="F184" s="134" t="s">
        <v>239</v>
      </c>
      <c r="G184" s="94"/>
      <c r="H184" s="105">
        <f>SUMPRODUCT(($C$165=Otras_Actividades_Base[Movimiento])*(H$1=Otras_Actividades_Base[Mes Financiero])*(H$2=Otras_Actividades_Base[Año Financiero])*(Otras_Actividades_Base[Financiero $Corrientes]))-SUM(H172:H183)</f>
        <v>0</v>
      </c>
      <c r="I184" s="106">
        <f>SUMPRODUCT(($C$165=Otras_Actividades_Base[Movimiento])*(I$1=Otras_Actividades_Base[Mes Financiero])*(I$2=Otras_Actividades_Base[Año Financiero])*(Otras_Actividades_Base[Financiero $Corrientes]))-SUM(I172:I183)</f>
        <v>0</v>
      </c>
      <c r="J184" s="105">
        <f>SUMPRODUCT(($C$165=Otras_Actividades_Base[Movimiento])*(J$1=Otras_Actividades_Base[Mes Financiero])*(J$2=Otras_Actividades_Base[Año Financiero])*(Otras_Actividades_Base[Financiero $Corrientes]))-SUM(J172:J183)</f>
        <v>0</v>
      </c>
      <c r="K184" s="106">
        <f>SUMPRODUCT(($C$165=Otras_Actividades_Base[Movimiento])*(K$1=Otras_Actividades_Base[Mes Financiero])*(K$2=Otras_Actividades_Base[Año Financiero])*(Otras_Actividades_Base[Financiero $Corrientes]))-SUM(K172:K183)</f>
        <v>0</v>
      </c>
      <c r="L184" s="105">
        <f>SUMPRODUCT(($C$165=Otras_Actividades_Base[Movimiento])*(L$1=Otras_Actividades_Base[Mes Financiero])*(L$2=Otras_Actividades_Base[Año Financiero])*(Otras_Actividades_Base[Financiero $Corrientes]))-SUM(L172:L183)</f>
        <v>0</v>
      </c>
      <c r="M184" s="106">
        <f>SUMPRODUCT(($C$165=Otras_Actividades_Base[Movimiento])*(M$1=Otras_Actividades_Base[Mes Financiero])*(M$2=Otras_Actividades_Base[Año Financiero])*(Otras_Actividades_Base[Financiero $Corrientes]))-SUM(M172:M183)</f>
        <v>0</v>
      </c>
      <c r="N184" s="105">
        <f>SUMPRODUCT(($C$165=Otras_Actividades_Base[Movimiento])*(N$1=Otras_Actividades_Base[Mes Financiero])*(N$2=Otras_Actividades_Base[Año Financiero])*(Otras_Actividades_Base[Financiero $Corrientes]))-SUM(N172:N183)</f>
        <v>0</v>
      </c>
      <c r="O184" s="106">
        <f>SUMPRODUCT(($C$165=Otras_Actividades_Base[Movimiento])*(O$1=Otras_Actividades_Base[Mes Financiero])*(O$2=Otras_Actividades_Base[Año Financiero])*(Otras_Actividades_Base[Financiero $Corrientes]))-SUM(O172:O183)</f>
        <v>0</v>
      </c>
      <c r="P184" s="105">
        <f>SUMPRODUCT(($C$165=Otras_Actividades_Base[Movimiento])*(P$1=Otras_Actividades_Base[Mes Financiero])*(P$2=Otras_Actividades_Base[Año Financiero])*(Otras_Actividades_Base[Financiero $Corrientes]))-SUM(P172:P183)</f>
        <v>0</v>
      </c>
      <c r="Q184" s="106">
        <f>SUMPRODUCT(($C$165=Otras_Actividades_Base[Movimiento])*(Q$1=Otras_Actividades_Base[Mes Financiero])*(Q$2=Otras_Actividades_Base[Año Financiero])*(Otras_Actividades_Base[Financiero $Corrientes]))-SUM(Q172:Q183)</f>
        <v>0</v>
      </c>
      <c r="R184" s="105">
        <f>SUMPRODUCT(($C$165=Otras_Actividades_Base[Movimiento])*(R$1=Otras_Actividades_Base[Mes Financiero])*(R$2=Otras_Actividades_Base[Año Financiero])*(Otras_Actividades_Base[Financiero $Corrientes]))-SUM(R172:R183)</f>
        <v>0</v>
      </c>
      <c r="S184" s="106">
        <f>SUMPRODUCT(($C$165=Otras_Actividades_Base[Movimiento])*(S$1=Otras_Actividades_Base[Mes Financiero])*(S$2=Otras_Actividades_Base[Año Financiero])*(Otras_Actividades_Base[Financiero $Corrientes]))-SUM(S172:S183)</f>
        <v>0</v>
      </c>
      <c r="T184" s="105">
        <f>SUMPRODUCT(($C$165=Otras_Actividades_Base[Movimiento])*(T$1=Otras_Actividades_Base[Mes Financiero])*(T$2=Otras_Actividades_Base[Año Financiero])*(Otras_Actividades_Base[Financiero $Corrientes]))-SUM(T172:T183)</f>
        <v>0</v>
      </c>
      <c r="U184" s="106">
        <f>SUMPRODUCT(($C$165=Otras_Actividades_Base[Movimiento])*(U$1=Otras_Actividades_Base[Mes Financiero])*(U$2=Otras_Actividades_Base[Año Financiero])*(Otras_Actividades_Base[Financiero $Corrientes]))-SUM(U172:U183)</f>
        <v>0</v>
      </c>
      <c r="V184" s="105">
        <f>SUMPRODUCT(($C$165=Otras_Actividades_Base[Movimiento])*(V$1=Otras_Actividades_Base[Mes Financiero])*(V$2=Otras_Actividades_Base[Año Financiero])*(Otras_Actividades_Base[Financiero $Corrientes]))-SUM(V172:V183)</f>
        <v>0</v>
      </c>
      <c r="W184" s="106">
        <f>SUMPRODUCT(($C$165=Otras_Actividades_Base[Movimiento])*(W$1=Otras_Actividades_Base[Mes Financiero])*(W$2=Otras_Actividades_Base[Año Financiero])*(Otras_Actividades_Base[Financiero $Corrientes]))-SUM(W172:W183)</f>
        <v>0</v>
      </c>
      <c r="X184" s="105">
        <f>SUMPRODUCT(($C$165=Otras_Actividades_Base[Movimiento])*(X$1=Otras_Actividades_Base[Mes Financiero])*(X$2=Otras_Actividades_Base[Año Financiero])*(Otras_Actividades_Base[Financiero $Corrientes]))-SUM(X172:X183)</f>
        <v>0</v>
      </c>
      <c r="Y184" s="106">
        <f>SUMPRODUCT(($C$165=Otras_Actividades_Base[Movimiento])*(Y$1=Otras_Actividades_Base[Mes Financiero])*(Y$2=Otras_Actividades_Base[Año Financiero])*(Otras_Actividades_Base[Financiero $Corrientes]))-SUM(Y172:Y183)</f>
        <v>0</v>
      </c>
      <c r="Z184" s="163">
        <f t="shared" si="25"/>
        <v>0</v>
      </c>
      <c r="AC184" s="174">
        <f>SUMPRODUCT((F184=Costos_Indirectos_Cuentas[Cuenta Contable])*(Costos_Indirectos_Cuentas[IVA]))</f>
        <v>0</v>
      </c>
      <c r="AD184" s="174">
        <f>SUMPRODUCT((G184=Costos_Indirectos_Cuentas[Cuenta Contable])*(Costos_Indirectos_Cuentas[IVA]))</f>
        <v>0</v>
      </c>
    </row>
    <row r="185" spans="2:30" collapsed="1" x14ac:dyDescent="0.25">
      <c r="C185" s="210" t="s">
        <v>38</v>
      </c>
      <c r="D185" s="381" t="s">
        <v>105</v>
      </c>
      <c r="F185" s="135" t="s">
        <v>187</v>
      </c>
      <c r="H185" s="99">
        <f>SUMPRODUCT(($C$185=Indirectos[Movimiento])*(H$1=Indirectos[Mes Financiero])*(H$2=Indirectos[Año Financiero])*(Indirectos[Financiero $Corrientes]))</f>
        <v>0</v>
      </c>
      <c r="I185" s="100">
        <f>SUMPRODUCT(($C$185=Indirectos[Movimiento])*(I$1=Indirectos[Mes Financiero])*(I$2=Indirectos[Año Financiero])*(Indirectos[Financiero $Corrientes]))</f>
        <v>0</v>
      </c>
      <c r="J185" s="99">
        <f>SUMPRODUCT(($C$185=Indirectos[Movimiento])*(J$1=Indirectos[Mes Financiero])*(J$2=Indirectos[Año Financiero])*(Indirectos[Financiero $Corrientes]))</f>
        <v>0</v>
      </c>
      <c r="K185" s="100">
        <f>SUMPRODUCT(($C$185=Indirectos[Movimiento])*(K$1=Indirectos[Mes Financiero])*(K$2=Indirectos[Año Financiero])*(Indirectos[Financiero $Corrientes]))</f>
        <v>0</v>
      </c>
      <c r="L185" s="99">
        <f>SUMPRODUCT(($C$185=Indirectos[Movimiento])*(L$1=Indirectos[Mes Financiero])*(L$2=Indirectos[Año Financiero])*(Indirectos[Financiero $Corrientes]))</f>
        <v>0</v>
      </c>
      <c r="M185" s="100">
        <f>SUMPRODUCT(($C$185=Indirectos[Movimiento])*(M$1=Indirectos[Mes Financiero])*(M$2=Indirectos[Año Financiero])*(Indirectos[Financiero $Corrientes]))</f>
        <v>0</v>
      </c>
      <c r="N185" s="99">
        <f>SUMPRODUCT(($C$185=Indirectos[Movimiento])*(N$1=Indirectos[Mes Financiero])*(N$2=Indirectos[Año Financiero])*(Indirectos[Financiero $Corrientes]))</f>
        <v>0</v>
      </c>
      <c r="O185" s="100">
        <f>SUMPRODUCT(($C$185=Indirectos[Movimiento])*(O$1=Indirectos[Mes Financiero])*(O$2=Indirectos[Año Financiero])*(Indirectos[Financiero $Corrientes]))</f>
        <v>0</v>
      </c>
      <c r="P185" s="99">
        <f>SUMPRODUCT(($C$185=Indirectos[Movimiento])*(P$1=Indirectos[Mes Financiero])*(P$2=Indirectos[Año Financiero])*(Indirectos[Financiero $Corrientes]))</f>
        <v>0</v>
      </c>
      <c r="Q185" s="100">
        <f>SUMPRODUCT(($C$185=Indirectos[Movimiento])*(Q$1=Indirectos[Mes Financiero])*(Q$2=Indirectos[Año Financiero])*(Indirectos[Financiero $Corrientes]))</f>
        <v>0</v>
      </c>
      <c r="R185" s="99">
        <f>SUMPRODUCT(($C$185=Indirectos[Movimiento])*(R$1=Indirectos[Mes Financiero])*(R$2=Indirectos[Año Financiero])*(Indirectos[Financiero $Corrientes]))</f>
        <v>0</v>
      </c>
      <c r="S185" s="100">
        <f>SUMPRODUCT(($C$185=Indirectos[Movimiento])*(S$1=Indirectos[Mes Financiero])*(S$2=Indirectos[Año Financiero])*(Indirectos[Financiero $Corrientes]))</f>
        <v>0</v>
      </c>
      <c r="T185" s="99">
        <f>SUMPRODUCT(($C$185=Indirectos[Movimiento])*(T$1=Indirectos[Mes Financiero])*(T$2=Indirectos[Año Financiero])*(Indirectos[Financiero $Corrientes]))</f>
        <v>0</v>
      </c>
      <c r="U185" s="100">
        <f>SUMPRODUCT(($C$185=Indirectos[Movimiento])*(U$1=Indirectos[Mes Financiero])*(U$2=Indirectos[Año Financiero])*(Indirectos[Financiero $Corrientes]))</f>
        <v>0</v>
      </c>
      <c r="V185" s="99">
        <f>SUMPRODUCT(($C$185=Indirectos[Movimiento])*(V$1=Indirectos[Mes Financiero])*(V$2=Indirectos[Año Financiero])*(Indirectos[Financiero $Corrientes]))</f>
        <v>0</v>
      </c>
      <c r="W185" s="100">
        <f>SUMPRODUCT(($C$185=Indirectos[Movimiento])*(W$1=Indirectos[Mes Financiero])*(W$2=Indirectos[Año Financiero])*(Indirectos[Financiero $Corrientes]))</f>
        <v>0</v>
      </c>
      <c r="X185" s="99">
        <f>SUMPRODUCT(($C$185=Indirectos[Movimiento])*(X$1=Indirectos[Mes Financiero])*(X$2=Indirectos[Año Financiero])*(Indirectos[Financiero $Corrientes]))</f>
        <v>0</v>
      </c>
      <c r="Y185" s="100">
        <f>SUMPRODUCT(($C$185=Indirectos[Movimiento])*(Y$1=Indirectos[Mes Financiero])*(Y$2=Indirectos[Año Financiero])*(Indirectos[Financiero $Corrientes]))</f>
        <v>0</v>
      </c>
      <c r="Z185" s="139">
        <f>SUM(H185:Y185)</f>
        <v>0</v>
      </c>
    </row>
    <row r="186" spans="2:30" hidden="1" outlineLevel="2" x14ac:dyDescent="0.25">
      <c r="E186" s="135"/>
      <c r="F186" s="215">
        <f>IFERROR(MATCH(G186,Tabla81116[Unidades de Negocio],0),0)</f>
        <v>1</v>
      </c>
      <c r="G186" s="217" t="str">
        <f>Configuración!CC5</f>
        <v>Estructura</v>
      </c>
      <c r="H186" s="117">
        <f>SUMPRODUCT(($C$185=Indirectos[Movimiento])*($G186=Indirectos[Unidad de Negocio])*(H$1=Indirectos[Mes Financiero])*(H$2=Indirectos[Año Financiero])*(Indirectos[Financiero $Corrientes]))</f>
        <v>0</v>
      </c>
      <c r="I186" s="118">
        <f>SUMPRODUCT(($C$185=Indirectos[Movimiento])*($G186=Indirectos[Unidad de Negocio])*(I$1=Indirectos[Mes Financiero])*(I$2=Indirectos[Año Financiero])*(Indirectos[Financiero $Corrientes]))</f>
        <v>0</v>
      </c>
      <c r="J186" s="117">
        <f>SUMPRODUCT(($C$185=Indirectos[Movimiento])*($G186=Indirectos[Unidad de Negocio])*(J$1=Indirectos[Mes Financiero])*(J$2=Indirectos[Año Financiero])*(Indirectos[Financiero $Corrientes]))</f>
        <v>0</v>
      </c>
      <c r="K186" s="118">
        <f>SUMPRODUCT(($C$185=Indirectos[Movimiento])*($G186=Indirectos[Unidad de Negocio])*(K$1=Indirectos[Mes Financiero])*(K$2=Indirectos[Año Financiero])*(Indirectos[Financiero $Corrientes]))</f>
        <v>0</v>
      </c>
      <c r="L186" s="117">
        <f>SUMPRODUCT(($C$185=Indirectos[Movimiento])*($G186=Indirectos[Unidad de Negocio])*(L$1=Indirectos[Mes Financiero])*(L$2=Indirectos[Año Financiero])*(Indirectos[Financiero $Corrientes]))</f>
        <v>0</v>
      </c>
      <c r="M186" s="118">
        <f>SUMPRODUCT(($C$185=Indirectos[Movimiento])*($G186=Indirectos[Unidad de Negocio])*(M$1=Indirectos[Mes Financiero])*(M$2=Indirectos[Año Financiero])*(Indirectos[Financiero $Corrientes]))</f>
        <v>0</v>
      </c>
      <c r="N186" s="117">
        <f>SUMPRODUCT(($C$185=Indirectos[Movimiento])*($G186=Indirectos[Unidad de Negocio])*(N$1=Indirectos[Mes Financiero])*(N$2=Indirectos[Año Financiero])*(Indirectos[Financiero $Corrientes]))</f>
        <v>0</v>
      </c>
      <c r="O186" s="118">
        <f>SUMPRODUCT(($C$185=Indirectos[Movimiento])*($G186=Indirectos[Unidad de Negocio])*(O$1=Indirectos[Mes Financiero])*(O$2=Indirectos[Año Financiero])*(Indirectos[Financiero $Corrientes]))</f>
        <v>0</v>
      </c>
      <c r="P186" s="117">
        <f>SUMPRODUCT(($C$185=Indirectos[Movimiento])*($G186=Indirectos[Unidad de Negocio])*(P$1=Indirectos[Mes Financiero])*(P$2=Indirectos[Año Financiero])*(Indirectos[Financiero $Corrientes]))</f>
        <v>0</v>
      </c>
      <c r="Q186" s="118">
        <f>SUMPRODUCT(($C$185=Indirectos[Movimiento])*($G186=Indirectos[Unidad de Negocio])*(Q$1=Indirectos[Mes Financiero])*(Q$2=Indirectos[Año Financiero])*(Indirectos[Financiero $Corrientes]))</f>
        <v>0</v>
      </c>
      <c r="R186" s="117">
        <f>SUMPRODUCT(($C$185=Indirectos[Movimiento])*($G186=Indirectos[Unidad de Negocio])*(R$1=Indirectos[Mes Financiero])*(R$2=Indirectos[Año Financiero])*(Indirectos[Financiero $Corrientes]))</f>
        <v>0</v>
      </c>
      <c r="S186" s="118">
        <f>SUMPRODUCT(($C$185=Indirectos[Movimiento])*($G186=Indirectos[Unidad de Negocio])*(S$1=Indirectos[Mes Financiero])*(S$2=Indirectos[Año Financiero])*(Indirectos[Financiero $Corrientes]))</f>
        <v>0</v>
      </c>
      <c r="T186" s="117">
        <f>SUMPRODUCT(($C$185=Indirectos[Movimiento])*($G186=Indirectos[Unidad de Negocio])*(T$1=Indirectos[Mes Financiero])*(T$2=Indirectos[Año Financiero])*(Indirectos[Financiero $Corrientes]))</f>
        <v>0</v>
      </c>
      <c r="U186" s="118">
        <f>SUMPRODUCT(($C$185=Indirectos[Movimiento])*($G186=Indirectos[Unidad de Negocio])*(U$1=Indirectos[Mes Financiero])*(U$2=Indirectos[Año Financiero])*(Indirectos[Financiero $Corrientes]))</f>
        <v>0</v>
      </c>
      <c r="V186" s="117">
        <f>SUMPRODUCT(($C$185=Indirectos[Movimiento])*($G186=Indirectos[Unidad de Negocio])*(V$1=Indirectos[Mes Financiero])*(V$2=Indirectos[Año Financiero])*(Indirectos[Financiero $Corrientes]))</f>
        <v>0</v>
      </c>
      <c r="W186" s="118">
        <f>SUMPRODUCT(($C$185=Indirectos[Movimiento])*($G186=Indirectos[Unidad de Negocio])*(W$1=Indirectos[Mes Financiero])*(W$2=Indirectos[Año Financiero])*(Indirectos[Financiero $Corrientes]))</f>
        <v>0</v>
      </c>
      <c r="X186" s="117">
        <f>SUMPRODUCT(($C$185=Indirectos[Movimiento])*($G186=Indirectos[Unidad de Negocio])*(X$1=Indirectos[Mes Financiero])*(X$2=Indirectos[Año Financiero])*(Indirectos[Financiero $Corrientes]))</f>
        <v>0</v>
      </c>
      <c r="Y186" s="118">
        <f>SUMPRODUCT(($C$185=Indirectos[Movimiento])*($G186=Indirectos[Unidad de Negocio])*(Y$1=Indirectos[Mes Financiero])*(Y$2=Indirectos[Año Financiero])*(Indirectos[Financiero $Corrientes]))</f>
        <v>0</v>
      </c>
      <c r="Z186" s="140">
        <f t="shared" si="22"/>
        <v>0</v>
      </c>
    </row>
    <row r="187" spans="2:30" hidden="1" outlineLevel="2" x14ac:dyDescent="0.25">
      <c r="E187" s="135"/>
      <c r="F187" s="215">
        <f>IFERROR(MATCH(G187,Tabla81116[Unidades de Negocio],0),0)</f>
        <v>2</v>
      </c>
      <c r="G187" s="217" t="str">
        <f>Configuración!CC6</f>
        <v>Administración</v>
      </c>
      <c r="H187" s="117">
        <f>SUMPRODUCT(($C$185=Indirectos[Movimiento])*($G187=Indirectos[Unidad de Negocio])*(H$1=Indirectos[Mes Financiero])*(H$2=Indirectos[Año Financiero])*(Indirectos[Financiero $Corrientes]))</f>
        <v>0</v>
      </c>
      <c r="I187" s="118">
        <f>SUMPRODUCT(($C$185=Indirectos[Movimiento])*($G187=Indirectos[Unidad de Negocio])*(I$1=Indirectos[Mes Financiero])*(I$2=Indirectos[Año Financiero])*(Indirectos[Financiero $Corrientes]))</f>
        <v>0</v>
      </c>
      <c r="J187" s="117">
        <f>SUMPRODUCT(($C$185=Indirectos[Movimiento])*($G187=Indirectos[Unidad de Negocio])*(J$1=Indirectos[Mes Financiero])*(J$2=Indirectos[Año Financiero])*(Indirectos[Financiero $Corrientes]))</f>
        <v>0</v>
      </c>
      <c r="K187" s="118">
        <f>SUMPRODUCT(($C$185=Indirectos[Movimiento])*($G187=Indirectos[Unidad de Negocio])*(K$1=Indirectos[Mes Financiero])*(K$2=Indirectos[Año Financiero])*(Indirectos[Financiero $Corrientes]))</f>
        <v>0</v>
      </c>
      <c r="L187" s="117">
        <f>SUMPRODUCT(($C$185=Indirectos[Movimiento])*($G187=Indirectos[Unidad de Negocio])*(L$1=Indirectos[Mes Financiero])*(L$2=Indirectos[Año Financiero])*(Indirectos[Financiero $Corrientes]))</f>
        <v>0</v>
      </c>
      <c r="M187" s="118">
        <f>SUMPRODUCT(($C$185=Indirectos[Movimiento])*($G187=Indirectos[Unidad de Negocio])*(M$1=Indirectos[Mes Financiero])*(M$2=Indirectos[Año Financiero])*(Indirectos[Financiero $Corrientes]))</f>
        <v>0</v>
      </c>
      <c r="N187" s="117">
        <f>SUMPRODUCT(($C$185=Indirectos[Movimiento])*($G187=Indirectos[Unidad de Negocio])*(N$1=Indirectos[Mes Financiero])*(N$2=Indirectos[Año Financiero])*(Indirectos[Financiero $Corrientes]))</f>
        <v>0</v>
      </c>
      <c r="O187" s="118">
        <f>SUMPRODUCT(($C$185=Indirectos[Movimiento])*($G187=Indirectos[Unidad de Negocio])*(O$1=Indirectos[Mes Financiero])*(O$2=Indirectos[Año Financiero])*(Indirectos[Financiero $Corrientes]))</f>
        <v>0</v>
      </c>
      <c r="P187" s="117">
        <f>SUMPRODUCT(($C$185=Indirectos[Movimiento])*($G187=Indirectos[Unidad de Negocio])*(P$1=Indirectos[Mes Financiero])*(P$2=Indirectos[Año Financiero])*(Indirectos[Financiero $Corrientes]))</f>
        <v>0</v>
      </c>
      <c r="Q187" s="118">
        <f>SUMPRODUCT(($C$185=Indirectos[Movimiento])*($G187=Indirectos[Unidad de Negocio])*(Q$1=Indirectos[Mes Financiero])*(Q$2=Indirectos[Año Financiero])*(Indirectos[Financiero $Corrientes]))</f>
        <v>0</v>
      </c>
      <c r="R187" s="117">
        <f>SUMPRODUCT(($C$185=Indirectos[Movimiento])*($G187=Indirectos[Unidad de Negocio])*(R$1=Indirectos[Mes Financiero])*(R$2=Indirectos[Año Financiero])*(Indirectos[Financiero $Corrientes]))</f>
        <v>0</v>
      </c>
      <c r="S187" s="118">
        <f>SUMPRODUCT(($C$185=Indirectos[Movimiento])*($G187=Indirectos[Unidad de Negocio])*(S$1=Indirectos[Mes Financiero])*(S$2=Indirectos[Año Financiero])*(Indirectos[Financiero $Corrientes]))</f>
        <v>0</v>
      </c>
      <c r="T187" s="117">
        <f>SUMPRODUCT(($C$185=Indirectos[Movimiento])*($G187=Indirectos[Unidad de Negocio])*(T$1=Indirectos[Mes Financiero])*(T$2=Indirectos[Año Financiero])*(Indirectos[Financiero $Corrientes]))</f>
        <v>0</v>
      </c>
      <c r="U187" s="118">
        <f>SUMPRODUCT(($C$185=Indirectos[Movimiento])*($G187=Indirectos[Unidad de Negocio])*(U$1=Indirectos[Mes Financiero])*(U$2=Indirectos[Año Financiero])*(Indirectos[Financiero $Corrientes]))</f>
        <v>0</v>
      </c>
      <c r="V187" s="117">
        <f>SUMPRODUCT(($C$185=Indirectos[Movimiento])*($G187=Indirectos[Unidad de Negocio])*(V$1=Indirectos[Mes Financiero])*(V$2=Indirectos[Año Financiero])*(Indirectos[Financiero $Corrientes]))</f>
        <v>0</v>
      </c>
      <c r="W187" s="118">
        <f>SUMPRODUCT(($C$185=Indirectos[Movimiento])*($G187=Indirectos[Unidad de Negocio])*(W$1=Indirectos[Mes Financiero])*(W$2=Indirectos[Año Financiero])*(Indirectos[Financiero $Corrientes]))</f>
        <v>0</v>
      </c>
      <c r="X187" s="117">
        <f>SUMPRODUCT(($C$185=Indirectos[Movimiento])*($G187=Indirectos[Unidad de Negocio])*(X$1=Indirectos[Mes Financiero])*(X$2=Indirectos[Año Financiero])*(Indirectos[Financiero $Corrientes]))</f>
        <v>0</v>
      </c>
      <c r="Y187" s="118">
        <f>SUMPRODUCT(($C$185=Indirectos[Movimiento])*($G187=Indirectos[Unidad de Negocio])*(Y$1=Indirectos[Mes Financiero])*(Y$2=Indirectos[Año Financiero])*(Indirectos[Financiero $Corrientes]))</f>
        <v>0</v>
      </c>
      <c r="Z187" s="140">
        <f t="shared" si="22"/>
        <v>0</v>
      </c>
    </row>
    <row r="188" spans="2:30" hidden="1" outlineLevel="2" x14ac:dyDescent="0.25">
      <c r="E188" s="135"/>
      <c r="F188" s="215">
        <f>IFERROR(MATCH(G188,Tabla81116[Unidades de Negocio],0),0)</f>
        <v>3</v>
      </c>
      <c r="G188" s="217" t="str">
        <f>Configuración!CC7</f>
        <v>Impuestos</v>
      </c>
      <c r="H188" s="117">
        <f>SUMPRODUCT(($C$185=Indirectos[Movimiento])*($G188=Indirectos[Unidad de Negocio])*(H$1=Indirectos[Mes Financiero])*(H$2=Indirectos[Año Financiero])*(Indirectos[Financiero $Corrientes]))</f>
        <v>0</v>
      </c>
      <c r="I188" s="118">
        <f>SUMPRODUCT(($C$185=Indirectos[Movimiento])*($G188=Indirectos[Unidad de Negocio])*(I$1=Indirectos[Mes Financiero])*(I$2=Indirectos[Año Financiero])*(Indirectos[Financiero $Corrientes]))</f>
        <v>0</v>
      </c>
      <c r="J188" s="117">
        <f>SUMPRODUCT(($C$185=Indirectos[Movimiento])*($G188=Indirectos[Unidad de Negocio])*(J$1=Indirectos[Mes Financiero])*(J$2=Indirectos[Año Financiero])*(Indirectos[Financiero $Corrientes]))</f>
        <v>0</v>
      </c>
      <c r="K188" s="118">
        <f>SUMPRODUCT(($C$185=Indirectos[Movimiento])*($G188=Indirectos[Unidad de Negocio])*(K$1=Indirectos[Mes Financiero])*(K$2=Indirectos[Año Financiero])*(Indirectos[Financiero $Corrientes]))</f>
        <v>0</v>
      </c>
      <c r="L188" s="117">
        <f>SUMPRODUCT(($C$185=Indirectos[Movimiento])*($G188=Indirectos[Unidad de Negocio])*(L$1=Indirectos[Mes Financiero])*(L$2=Indirectos[Año Financiero])*(Indirectos[Financiero $Corrientes]))</f>
        <v>0</v>
      </c>
      <c r="M188" s="118">
        <f>SUMPRODUCT(($C$185=Indirectos[Movimiento])*($G188=Indirectos[Unidad de Negocio])*(M$1=Indirectos[Mes Financiero])*(M$2=Indirectos[Año Financiero])*(Indirectos[Financiero $Corrientes]))</f>
        <v>0</v>
      </c>
      <c r="N188" s="117">
        <f>SUMPRODUCT(($C$185=Indirectos[Movimiento])*($G188=Indirectos[Unidad de Negocio])*(N$1=Indirectos[Mes Financiero])*(N$2=Indirectos[Año Financiero])*(Indirectos[Financiero $Corrientes]))</f>
        <v>0</v>
      </c>
      <c r="O188" s="118">
        <f>SUMPRODUCT(($C$185=Indirectos[Movimiento])*($G188=Indirectos[Unidad de Negocio])*(O$1=Indirectos[Mes Financiero])*(O$2=Indirectos[Año Financiero])*(Indirectos[Financiero $Corrientes]))</f>
        <v>0</v>
      </c>
      <c r="P188" s="117">
        <f>SUMPRODUCT(($C$185=Indirectos[Movimiento])*($G188=Indirectos[Unidad de Negocio])*(P$1=Indirectos[Mes Financiero])*(P$2=Indirectos[Año Financiero])*(Indirectos[Financiero $Corrientes]))</f>
        <v>0</v>
      </c>
      <c r="Q188" s="118">
        <f>SUMPRODUCT(($C$185=Indirectos[Movimiento])*($G188=Indirectos[Unidad de Negocio])*(Q$1=Indirectos[Mes Financiero])*(Q$2=Indirectos[Año Financiero])*(Indirectos[Financiero $Corrientes]))</f>
        <v>0</v>
      </c>
      <c r="R188" s="117">
        <f>SUMPRODUCT(($C$185=Indirectos[Movimiento])*($G188=Indirectos[Unidad de Negocio])*(R$1=Indirectos[Mes Financiero])*(R$2=Indirectos[Año Financiero])*(Indirectos[Financiero $Corrientes]))</f>
        <v>0</v>
      </c>
      <c r="S188" s="118">
        <f>SUMPRODUCT(($C$185=Indirectos[Movimiento])*($G188=Indirectos[Unidad de Negocio])*(S$1=Indirectos[Mes Financiero])*(S$2=Indirectos[Año Financiero])*(Indirectos[Financiero $Corrientes]))</f>
        <v>0</v>
      </c>
      <c r="T188" s="117">
        <f>SUMPRODUCT(($C$185=Indirectos[Movimiento])*($G188=Indirectos[Unidad de Negocio])*(T$1=Indirectos[Mes Financiero])*(T$2=Indirectos[Año Financiero])*(Indirectos[Financiero $Corrientes]))</f>
        <v>0</v>
      </c>
      <c r="U188" s="118">
        <f>SUMPRODUCT(($C$185=Indirectos[Movimiento])*($G188=Indirectos[Unidad de Negocio])*(U$1=Indirectos[Mes Financiero])*(U$2=Indirectos[Año Financiero])*(Indirectos[Financiero $Corrientes]))</f>
        <v>0</v>
      </c>
      <c r="V188" s="117">
        <f>SUMPRODUCT(($C$185=Indirectos[Movimiento])*($G188=Indirectos[Unidad de Negocio])*(V$1=Indirectos[Mes Financiero])*(V$2=Indirectos[Año Financiero])*(Indirectos[Financiero $Corrientes]))</f>
        <v>0</v>
      </c>
      <c r="W188" s="118">
        <f>SUMPRODUCT(($C$185=Indirectos[Movimiento])*($G188=Indirectos[Unidad de Negocio])*(W$1=Indirectos[Mes Financiero])*(W$2=Indirectos[Año Financiero])*(Indirectos[Financiero $Corrientes]))</f>
        <v>0</v>
      </c>
      <c r="X188" s="117">
        <f>SUMPRODUCT(($C$185=Indirectos[Movimiento])*($G188=Indirectos[Unidad de Negocio])*(X$1=Indirectos[Mes Financiero])*(X$2=Indirectos[Año Financiero])*(Indirectos[Financiero $Corrientes]))</f>
        <v>0</v>
      </c>
      <c r="Y188" s="118">
        <f>SUMPRODUCT(($C$185=Indirectos[Movimiento])*($G188=Indirectos[Unidad de Negocio])*(Y$1=Indirectos[Mes Financiero])*(Y$2=Indirectos[Año Financiero])*(Indirectos[Financiero $Corrientes]))</f>
        <v>0</v>
      </c>
      <c r="Z188" s="140">
        <f t="shared" si="22"/>
        <v>0</v>
      </c>
    </row>
    <row r="189" spans="2:30" hidden="1" outlineLevel="2" x14ac:dyDescent="0.25">
      <c r="E189" s="135"/>
      <c r="F189" s="215">
        <f>IFERROR(MATCH(G189,Tabla81116[Unidades de Negocio],0),0)</f>
        <v>5</v>
      </c>
      <c r="G189" s="217" t="str">
        <f>Configuración!CC9</f>
        <v>Inversiones</v>
      </c>
      <c r="H189" s="117">
        <f>SUMPRODUCT(($C$185=Indirectos[Movimiento])*($G189=Indirectos[Unidad de Negocio])*(H$1=Indirectos[Mes Financiero])*(H$2=Indirectos[Año Financiero])*(Indirectos[Financiero $Corrientes]))</f>
        <v>0</v>
      </c>
      <c r="I189" s="118">
        <f>SUMPRODUCT(($C$185=Indirectos[Movimiento])*($G189=Indirectos[Unidad de Negocio])*(I$1=Indirectos[Mes Financiero])*(I$2=Indirectos[Año Financiero])*(Indirectos[Financiero $Corrientes]))</f>
        <v>0</v>
      </c>
      <c r="J189" s="117">
        <f>SUMPRODUCT(($C$185=Indirectos[Movimiento])*($G189=Indirectos[Unidad de Negocio])*(J$1=Indirectos[Mes Financiero])*(J$2=Indirectos[Año Financiero])*(Indirectos[Financiero $Corrientes]))</f>
        <v>0</v>
      </c>
      <c r="K189" s="118">
        <f>SUMPRODUCT(($C$185=Indirectos[Movimiento])*($G189=Indirectos[Unidad de Negocio])*(K$1=Indirectos[Mes Financiero])*(K$2=Indirectos[Año Financiero])*(Indirectos[Financiero $Corrientes]))</f>
        <v>0</v>
      </c>
      <c r="L189" s="117">
        <f>SUMPRODUCT(($C$185=Indirectos[Movimiento])*($G189=Indirectos[Unidad de Negocio])*(L$1=Indirectos[Mes Financiero])*(L$2=Indirectos[Año Financiero])*(Indirectos[Financiero $Corrientes]))</f>
        <v>0</v>
      </c>
      <c r="M189" s="118">
        <f>SUMPRODUCT(($C$185=Indirectos[Movimiento])*($G189=Indirectos[Unidad de Negocio])*(M$1=Indirectos[Mes Financiero])*(M$2=Indirectos[Año Financiero])*(Indirectos[Financiero $Corrientes]))</f>
        <v>0</v>
      </c>
      <c r="N189" s="117">
        <f>SUMPRODUCT(($C$185=Indirectos[Movimiento])*($G189=Indirectos[Unidad de Negocio])*(N$1=Indirectos[Mes Financiero])*(N$2=Indirectos[Año Financiero])*(Indirectos[Financiero $Corrientes]))</f>
        <v>0</v>
      </c>
      <c r="O189" s="118">
        <f>SUMPRODUCT(($C$185=Indirectos[Movimiento])*($G189=Indirectos[Unidad de Negocio])*(O$1=Indirectos[Mes Financiero])*(O$2=Indirectos[Año Financiero])*(Indirectos[Financiero $Corrientes]))</f>
        <v>0</v>
      </c>
      <c r="P189" s="117">
        <f>SUMPRODUCT(($C$185=Indirectos[Movimiento])*($G189=Indirectos[Unidad de Negocio])*(P$1=Indirectos[Mes Financiero])*(P$2=Indirectos[Año Financiero])*(Indirectos[Financiero $Corrientes]))</f>
        <v>0</v>
      </c>
      <c r="Q189" s="118">
        <f>SUMPRODUCT(($C$185=Indirectos[Movimiento])*($G189=Indirectos[Unidad de Negocio])*(Q$1=Indirectos[Mes Financiero])*(Q$2=Indirectos[Año Financiero])*(Indirectos[Financiero $Corrientes]))</f>
        <v>0</v>
      </c>
      <c r="R189" s="117">
        <f>SUMPRODUCT(($C$185=Indirectos[Movimiento])*($G189=Indirectos[Unidad de Negocio])*(R$1=Indirectos[Mes Financiero])*(R$2=Indirectos[Año Financiero])*(Indirectos[Financiero $Corrientes]))</f>
        <v>0</v>
      </c>
      <c r="S189" s="118">
        <f>SUMPRODUCT(($C$185=Indirectos[Movimiento])*($G189=Indirectos[Unidad de Negocio])*(S$1=Indirectos[Mes Financiero])*(S$2=Indirectos[Año Financiero])*(Indirectos[Financiero $Corrientes]))</f>
        <v>0</v>
      </c>
      <c r="T189" s="117">
        <f>SUMPRODUCT(($C$185=Indirectos[Movimiento])*($G189=Indirectos[Unidad de Negocio])*(T$1=Indirectos[Mes Financiero])*(T$2=Indirectos[Año Financiero])*(Indirectos[Financiero $Corrientes]))</f>
        <v>0</v>
      </c>
      <c r="U189" s="118">
        <f>SUMPRODUCT(($C$185=Indirectos[Movimiento])*($G189=Indirectos[Unidad de Negocio])*(U$1=Indirectos[Mes Financiero])*(U$2=Indirectos[Año Financiero])*(Indirectos[Financiero $Corrientes]))</f>
        <v>0</v>
      </c>
      <c r="V189" s="117">
        <f>SUMPRODUCT(($C$185=Indirectos[Movimiento])*($G189=Indirectos[Unidad de Negocio])*(V$1=Indirectos[Mes Financiero])*(V$2=Indirectos[Año Financiero])*(Indirectos[Financiero $Corrientes]))</f>
        <v>0</v>
      </c>
      <c r="W189" s="118">
        <f>SUMPRODUCT(($C$185=Indirectos[Movimiento])*($G189=Indirectos[Unidad de Negocio])*(W$1=Indirectos[Mes Financiero])*(W$2=Indirectos[Año Financiero])*(Indirectos[Financiero $Corrientes]))</f>
        <v>0</v>
      </c>
      <c r="X189" s="117">
        <f>SUMPRODUCT(($C$185=Indirectos[Movimiento])*($G189=Indirectos[Unidad de Negocio])*(X$1=Indirectos[Mes Financiero])*(X$2=Indirectos[Año Financiero])*(Indirectos[Financiero $Corrientes]))</f>
        <v>0</v>
      </c>
      <c r="Y189" s="118">
        <f>SUMPRODUCT(($C$185=Indirectos[Movimiento])*($G189=Indirectos[Unidad de Negocio])*(Y$1=Indirectos[Mes Financiero])*(Y$2=Indirectos[Año Financiero])*(Indirectos[Financiero $Corrientes]))</f>
        <v>0</v>
      </c>
      <c r="Z189" s="140">
        <f t="shared" si="22"/>
        <v>0</v>
      </c>
    </row>
    <row r="190" spans="2:30" hidden="1" outlineLevel="2" x14ac:dyDescent="0.25">
      <c r="E190" s="135"/>
      <c r="F190" s="216">
        <f>IFERROR(MATCH(G190,Tabla81116[Unidades de Negocio],0),0)</f>
        <v>0</v>
      </c>
      <c r="G190" s="218">
        <f>Configuración!CC10</f>
        <v>0</v>
      </c>
      <c r="H190" s="128">
        <f>SUMPRODUCT(($C$185=Indirectos[Movimiento])*($G190=Indirectos[Unidad de Negocio])*(H$1=Indirectos[Mes Financiero])*(H$2=Indirectos[Año Financiero])*(Indirectos[Financiero $Corrientes]))</f>
        <v>0</v>
      </c>
      <c r="I190" s="129">
        <f>SUMPRODUCT(($C$185=Indirectos[Movimiento])*($G190=Indirectos[Unidad de Negocio])*(I$1=Indirectos[Mes Financiero])*(I$2=Indirectos[Año Financiero])*(Indirectos[Financiero $Corrientes]))</f>
        <v>0</v>
      </c>
      <c r="J190" s="128">
        <f>SUMPRODUCT(($C$185=Indirectos[Movimiento])*($G190=Indirectos[Unidad de Negocio])*(J$1=Indirectos[Mes Financiero])*(J$2=Indirectos[Año Financiero])*(Indirectos[Financiero $Corrientes]))</f>
        <v>0</v>
      </c>
      <c r="K190" s="129">
        <f>SUMPRODUCT(($C$185=Indirectos[Movimiento])*($G190=Indirectos[Unidad de Negocio])*(K$1=Indirectos[Mes Financiero])*(K$2=Indirectos[Año Financiero])*(Indirectos[Financiero $Corrientes]))</f>
        <v>0</v>
      </c>
      <c r="L190" s="128">
        <f>SUMPRODUCT(($C$185=Indirectos[Movimiento])*($G190=Indirectos[Unidad de Negocio])*(L$1=Indirectos[Mes Financiero])*(L$2=Indirectos[Año Financiero])*(Indirectos[Financiero $Corrientes]))</f>
        <v>0</v>
      </c>
      <c r="M190" s="129">
        <f>SUMPRODUCT(($C$185=Indirectos[Movimiento])*($G190=Indirectos[Unidad de Negocio])*(M$1=Indirectos[Mes Financiero])*(M$2=Indirectos[Año Financiero])*(Indirectos[Financiero $Corrientes]))</f>
        <v>0</v>
      </c>
      <c r="N190" s="128">
        <f>SUMPRODUCT(($C$185=Indirectos[Movimiento])*($G190=Indirectos[Unidad de Negocio])*(N$1=Indirectos[Mes Financiero])*(N$2=Indirectos[Año Financiero])*(Indirectos[Financiero $Corrientes]))</f>
        <v>0</v>
      </c>
      <c r="O190" s="129">
        <f>SUMPRODUCT(($C$185=Indirectos[Movimiento])*($G190=Indirectos[Unidad de Negocio])*(O$1=Indirectos[Mes Financiero])*(O$2=Indirectos[Año Financiero])*(Indirectos[Financiero $Corrientes]))</f>
        <v>0</v>
      </c>
      <c r="P190" s="128">
        <f>SUMPRODUCT(($C$185=Indirectos[Movimiento])*($G190=Indirectos[Unidad de Negocio])*(P$1=Indirectos[Mes Financiero])*(P$2=Indirectos[Año Financiero])*(Indirectos[Financiero $Corrientes]))</f>
        <v>0</v>
      </c>
      <c r="Q190" s="129">
        <f>SUMPRODUCT(($C$185=Indirectos[Movimiento])*($G190=Indirectos[Unidad de Negocio])*(Q$1=Indirectos[Mes Financiero])*(Q$2=Indirectos[Año Financiero])*(Indirectos[Financiero $Corrientes]))</f>
        <v>0</v>
      </c>
      <c r="R190" s="128">
        <f>SUMPRODUCT(($C$185=Indirectos[Movimiento])*($G190=Indirectos[Unidad de Negocio])*(R$1=Indirectos[Mes Financiero])*(R$2=Indirectos[Año Financiero])*(Indirectos[Financiero $Corrientes]))</f>
        <v>0</v>
      </c>
      <c r="S190" s="129">
        <f>SUMPRODUCT(($C$185=Indirectos[Movimiento])*($G190=Indirectos[Unidad de Negocio])*(S$1=Indirectos[Mes Financiero])*(S$2=Indirectos[Año Financiero])*(Indirectos[Financiero $Corrientes]))</f>
        <v>0</v>
      </c>
      <c r="T190" s="128">
        <f>SUMPRODUCT(($C$185=Indirectos[Movimiento])*($G190=Indirectos[Unidad de Negocio])*(T$1=Indirectos[Mes Financiero])*(T$2=Indirectos[Año Financiero])*(Indirectos[Financiero $Corrientes]))</f>
        <v>0</v>
      </c>
      <c r="U190" s="129">
        <f>SUMPRODUCT(($C$185=Indirectos[Movimiento])*($G190=Indirectos[Unidad de Negocio])*(U$1=Indirectos[Mes Financiero])*(U$2=Indirectos[Año Financiero])*(Indirectos[Financiero $Corrientes]))</f>
        <v>0</v>
      </c>
      <c r="V190" s="128">
        <f>SUMPRODUCT(($C$185=Indirectos[Movimiento])*($G190=Indirectos[Unidad de Negocio])*(V$1=Indirectos[Mes Financiero])*(V$2=Indirectos[Año Financiero])*(Indirectos[Financiero $Corrientes]))</f>
        <v>0</v>
      </c>
      <c r="W190" s="129">
        <f>SUMPRODUCT(($C$185=Indirectos[Movimiento])*($G190=Indirectos[Unidad de Negocio])*(W$1=Indirectos[Mes Financiero])*(W$2=Indirectos[Año Financiero])*(Indirectos[Financiero $Corrientes]))</f>
        <v>0</v>
      </c>
      <c r="X190" s="128">
        <f>SUMPRODUCT(($C$185=Indirectos[Movimiento])*($G190=Indirectos[Unidad de Negocio])*(X$1=Indirectos[Mes Financiero])*(X$2=Indirectos[Año Financiero])*(Indirectos[Financiero $Corrientes]))</f>
        <v>0</v>
      </c>
      <c r="Y190" s="129">
        <f>SUMPRODUCT(($C$185=Indirectos[Movimiento])*($G190=Indirectos[Unidad de Negocio])*(Y$1=Indirectos[Mes Financiero])*(Y$2=Indirectos[Año Financiero])*(Indirectos[Financiero $Corrientes]))</f>
        <v>0</v>
      </c>
      <c r="Z190" s="141">
        <f t="shared" si="22"/>
        <v>0</v>
      </c>
    </row>
    <row r="191" spans="2:30" hidden="1" outlineLevel="1" collapsed="1" x14ac:dyDescent="0.25">
      <c r="E191" s="221">
        <f>IFERROR(MATCH(F191,Costos_Indirectos_Cuentas[Cuenta Contable],0),0)</f>
        <v>1</v>
      </c>
      <c r="F191" s="116" t="str">
        <f>Configuración!CE5</f>
        <v>Personal</v>
      </c>
      <c r="H191" s="103">
        <f>SUMPRODUCT(($C$185=Indirectos[Movimiento])*($F191=Indirectos[Cuenta Contable])*(H$1=Indirectos[Mes Financiero])*(H$2=Indirectos[Año Financiero])*(Indirectos[Financiero $Corrientes]))</f>
        <v>0</v>
      </c>
      <c r="I191" s="104">
        <f>SUMPRODUCT(($C$185=Indirectos[Movimiento])*($F191=Indirectos[Cuenta Contable])*(I$1=Indirectos[Mes Financiero])*(I$2=Indirectos[Año Financiero])*(Indirectos[Financiero $Corrientes]))</f>
        <v>0</v>
      </c>
      <c r="J191" s="103">
        <f>SUMPRODUCT(($C$185=Indirectos[Movimiento])*($F191=Indirectos[Cuenta Contable])*(J$1=Indirectos[Mes Financiero])*(J$2=Indirectos[Año Financiero])*(Indirectos[Financiero $Corrientes]))</f>
        <v>0</v>
      </c>
      <c r="K191" s="104">
        <f>SUMPRODUCT(($C$185=Indirectos[Movimiento])*($F191=Indirectos[Cuenta Contable])*(K$1=Indirectos[Mes Financiero])*(K$2=Indirectos[Año Financiero])*(Indirectos[Financiero $Corrientes]))</f>
        <v>0</v>
      </c>
      <c r="L191" s="103">
        <f>SUMPRODUCT(($C$185=Indirectos[Movimiento])*($F191=Indirectos[Cuenta Contable])*(L$1=Indirectos[Mes Financiero])*(L$2=Indirectos[Año Financiero])*(Indirectos[Financiero $Corrientes]))</f>
        <v>0</v>
      </c>
      <c r="M191" s="104">
        <f>SUMPRODUCT(($C$185=Indirectos[Movimiento])*($F191=Indirectos[Cuenta Contable])*(M$1=Indirectos[Mes Financiero])*(M$2=Indirectos[Año Financiero])*(Indirectos[Financiero $Corrientes]))</f>
        <v>0</v>
      </c>
      <c r="N191" s="103">
        <f>SUMPRODUCT(($C$185=Indirectos[Movimiento])*($F191=Indirectos[Cuenta Contable])*(N$1=Indirectos[Mes Financiero])*(N$2=Indirectos[Año Financiero])*(Indirectos[Financiero $Corrientes]))</f>
        <v>0</v>
      </c>
      <c r="O191" s="104">
        <f>SUMPRODUCT(($C$185=Indirectos[Movimiento])*($F191=Indirectos[Cuenta Contable])*(O$1=Indirectos[Mes Financiero])*(O$2=Indirectos[Año Financiero])*(Indirectos[Financiero $Corrientes]))</f>
        <v>0</v>
      </c>
      <c r="P191" s="103">
        <f>SUMPRODUCT(($C$185=Indirectos[Movimiento])*($F191=Indirectos[Cuenta Contable])*(P$1=Indirectos[Mes Financiero])*(P$2=Indirectos[Año Financiero])*(Indirectos[Financiero $Corrientes]))</f>
        <v>0</v>
      </c>
      <c r="Q191" s="104">
        <f>SUMPRODUCT(($C$185=Indirectos[Movimiento])*($F191=Indirectos[Cuenta Contable])*(Q$1=Indirectos[Mes Financiero])*(Q$2=Indirectos[Año Financiero])*(Indirectos[Financiero $Corrientes]))</f>
        <v>0</v>
      </c>
      <c r="R191" s="103">
        <f>SUMPRODUCT(($C$185=Indirectos[Movimiento])*($F191=Indirectos[Cuenta Contable])*(R$1=Indirectos[Mes Financiero])*(R$2=Indirectos[Año Financiero])*(Indirectos[Financiero $Corrientes]))</f>
        <v>0</v>
      </c>
      <c r="S191" s="104">
        <f>SUMPRODUCT(($C$185=Indirectos[Movimiento])*($F191=Indirectos[Cuenta Contable])*(S$1=Indirectos[Mes Financiero])*(S$2=Indirectos[Año Financiero])*(Indirectos[Financiero $Corrientes]))</f>
        <v>0</v>
      </c>
      <c r="T191" s="103">
        <f>SUMPRODUCT(($C$185=Indirectos[Movimiento])*($F191=Indirectos[Cuenta Contable])*(T$1=Indirectos[Mes Financiero])*(T$2=Indirectos[Año Financiero])*(Indirectos[Financiero $Corrientes]))</f>
        <v>0</v>
      </c>
      <c r="U191" s="104">
        <f>SUMPRODUCT(($C$185=Indirectos[Movimiento])*($F191=Indirectos[Cuenta Contable])*(U$1=Indirectos[Mes Financiero])*(U$2=Indirectos[Año Financiero])*(Indirectos[Financiero $Corrientes]))</f>
        <v>0</v>
      </c>
      <c r="V191" s="103">
        <f>SUMPRODUCT(($C$185=Indirectos[Movimiento])*($F191=Indirectos[Cuenta Contable])*(V$1=Indirectos[Mes Financiero])*(V$2=Indirectos[Año Financiero])*(Indirectos[Financiero $Corrientes]))</f>
        <v>0</v>
      </c>
      <c r="W191" s="104">
        <f>SUMPRODUCT(($C$185=Indirectos[Movimiento])*($F191=Indirectos[Cuenta Contable])*(W$1=Indirectos[Mes Financiero])*(W$2=Indirectos[Año Financiero])*(Indirectos[Financiero $Corrientes]))</f>
        <v>0</v>
      </c>
      <c r="X191" s="103">
        <f>SUMPRODUCT(($C$185=Indirectos[Movimiento])*($F191=Indirectos[Cuenta Contable])*(X$1=Indirectos[Mes Financiero])*(X$2=Indirectos[Año Financiero])*(Indirectos[Financiero $Corrientes]))</f>
        <v>0</v>
      </c>
      <c r="Y191" s="104">
        <f>SUMPRODUCT(($C$185=Indirectos[Movimiento])*($F191=Indirectos[Cuenta Contable])*(Y$1=Indirectos[Mes Financiero])*(Y$2=Indirectos[Año Financiero])*(Indirectos[Financiero $Corrientes]))</f>
        <v>0</v>
      </c>
      <c r="Z191" s="144">
        <f t="shared" si="22"/>
        <v>0</v>
      </c>
      <c r="AC191" s="174">
        <f>SUMPRODUCT((F191=Costos_Indirectos_Cuentas[Cuenta Contable])*(Costos_Indirectos_Cuentas[IVA]))</f>
        <v>0</v>
      </c>
    </row>
    <row r="192" spans="2:30" hidden="1" outlineLevel="1" x14ac:dyDescent="0.25">
      <c r="E192" s="221">
        <f>IFERROR(MATCH(F192,Costos_Indirectos_Cuentas[Cuenta Contable],0),0)</f>
        <v>2</v>
      </c>
      <c r="F192" s="116" t="str">
        <f>Configuración!CE6</f>
        <v>Cargas Sociales</v>
      </c>
      <c r="H192" s="103">
        <f>SUMPRODUCT(($C$185=Indirectos[Movimiento])*($F192=Indirectos[Cuenta Contable])*(H$1=Indirectos[Mes Financiero])*(H$2=Indirectos[Año Financiero])*(Indirectos[Financiero $Corrientes]))</f>
        <v>0</v>
      </c>
      <c r="I192" s="104">
        <f>SUMPRODUCT(($C$185=Indirectos[Movimiento])*($F192=Indirectos[Cuenta Contable])*(I$1=Indirectos[Mes Financiero])*(I$2=Indirectos[Año Financiero])*(Indirectos[Financiero $Corrientes]))</f>
        <v>0</v>
      </c>
      <c r="J192" s="103">
        <f>SUMPRODUCT(($C$185=Indirectos[Movimiento])*($F192=Indirectos[Cuenta Contable])*(J$1=Indirectos[Mes Financiero])*(J$2=Indirectos[Año Financiero])*(Indirectos[Financiero $Corrientes]))</f>
        <v>0</v>
      </c>
      <c r="K192" s="104">
        <f>SUMPRODUCT(($C$185=Indirectos[Movimiento])*($F192=Indirectos[Cuenta Contable])*(K$1=Indirectos[Mes Financiero])*(K$2=Indirectos[Año Financiero])*(Indirectos[Financiero $Corrientes]))</f>
        <v>0</v>
      </c>
      <c r="L192" s="103">
        <f>SUMPRODUCT(($C$185=Indirectos[Movimiento])*($F192=Indirectos[Cuenta Contable])*(L$1=Indirectos[Mes Financiero])*(L$2=Indirectos[Año Financiero])*(Indirectos[Financiero $Corrientes]))</f>
        <v>0</v>
      </c>
      <c r="M192" s="104">
        <f>SUMPRODUCT(($C$185=Indirectos[Movimiento])*($F192=Indirectos[Cuenta Contable])*(M$1=Indirectos[Mes Financiero])*(M$2=Indirectos[Año Financiero])*(Indirectos[Financiero $Corrientes]))</f>
        <v>0</v>
      </c>
      <c r="N192" s="103">
        <f>SUMPRODUCT(($C$185=Indirectos[Movimiento])*($F192=Indirectos[Cuenta Contable])*(N$1=Indirectos[Mes Financiero])*(N$2=Indirectos[Año Financiero])*(Indirectos[Financiero $Corrientes]))</f>
        <v>0</v>
      </c>
      <c r="O192" s="104">
        <f>SUMPRODUCT(($C$185=Indirectos[Movimiento])*($F192=Indirectos[Cuenta Contable])*(O$1=Indirectos[Mes Financiero])*(O$2=Indirectos[Año Financiero])*(Indirectos[Financiero $Corrientes]))</f>
        <v>0</v>
      </c>
      <c r="P192" s="103">
        <f>SUMPRODUCT(($C$185=Indirectos[Movimiento])*($F192=Indirectos[Cuenta Contable])*(P$1=Indirectos[Mes Financiero])*(P$2=Indirectos[Año Financiero])*(Indirectos[Financiero $Corrientes]))</f>
        <v>0</v>
      </c>
      <c r="Q192" s="104">
        <f>SUMPRODUCT(($C$185=Indirectos[Movimiento])*($F192=Indirectos[Cuenta Contable])*(Q$1=Indirectos[Mes Financiero])*(Q$2=Indirectos[Año Financiero])*(Indirectos[Financiero $Corrientes]))</f>
        <v>0</v>
      </c>
      <c r="R192" s="103">
        <f>SUMPRODUCT(($C$185=Indirectos[Movimiento])*($F192=Indirectos[Cuenta Contable])*(R$1=Indirectos[Mes Financiero])*(R$2=Indirectos[Año Financiero])*(Indirectos[Financiero $Corrientes]))</f>
        <v>0</v>
      </c>
      <c r="S192" s="104">
        <f>SUMPRODUCT(($C$185=Indirectos[Movimiento])*($F192=Indirectos[Cuenta Contable])*(S$1=Indirectos[Mes Financiero])*(S$2=Indirectos[Año Financiero])*(Indirectos[Financiero $Corrientes]))</f>
        <v>0</v>
      </c>
      <c r="T192" s="103">
        <f>SUMPRODUCT(($C$185=Indirectos[Movimiento])*($F192=Indirectos[Cuenta Contable])*(T$1=Indirectos[Mes Financiero])*(T$2=Indirectos[Año Financiero])*(Indirectos[Financiero $Corrientes]))</f>
        <v>0</v>
      </c>
      <c r="U192" s="104">
        <f>SUMPRODUCT(($C$185=Indirectos[Movimiento])*($F192=Indirectos[Cuenta Contable])*(U$1=Indirectos[Mes Financiero])*(U$2=Indirectos[Año Financiero])*(Indirectos[Financiero $Corrientes]))</f>
        <v>0</v>
      </c>
      <c r="V192" s="103">
        <f>SUMPRODUCT(($C$185=Indirectos[Movimiento])*($F192=Indirectos[Cuenta Contable])*(V$1=Indirectos[Mes Financiero])*(V$2=Indirectos[Año Financiero])*(Indirectos[Financiero $Corrientes]))</f>
        <v>0</v>
      </c>
      <c r="W192" s="104">
        <f>SUMPRODUCT(($C$185=Indirectos[Movimiento])*($F192=Indirectos[Cuenta Contable])*(W$1=Indirectos[Mes Financiero])*(W$2=Indirectos[Año Financiero])*(Indirectos[Financiero $Corrientes]))</f>
        <v>0</v>
      </c>
      <c r="X192" s="103">
        <f>SUMPRODUCT(($C$185=Indirectos[Movimiento])*($F192=Indirectos[Cuenta Contable])*(X$1=Indirectos[Mes Financiero])*(X$2=Indirectos[Año Financiero])*(Indirectos[Financiero $Corrientes]))</f>
        <v>0</v>
      </c>
      <c r="Y192" s="104">
        <f>SUMPRODUCT(($C$185=Indirectos[Movimiento])*($F192=Indirectos[Cuenta Contable])*(Y$1=Indirectos[Mes Financiero])*(Y$2=Indirectos[Año Financiero])*(Indirectos[Financiero $Corrientes]))</f>
        <v>0</v>
      </c>
      <c r="Z192" s="144">
        <f t="shared" si="22"/>
        <v>0</v>
      </c>
      <c r="AC192" s="174">
        <f>SUMPRODUCT((F192=Costos_Indirectos_Cuentas[Cuenta Contable])*(Costos_Indirectos_Cuentas[IVA]))</f>
        <v>0</v>
      </c>
    </row>
    <row r="193" spans="5:29" hidden="1" outlineLevel="1" x14ac:dyDescent="0.25">
      <c r="E193" s="221">
        <f>IFERROR(MATCH(F193,Costos_Indirectos_Cuentas[Cuenta Contable],0),0)</f>
        <v>3</v>
      </c>
      <c r="F193" s="116" t="str">
        <f>Configuración!CE7</f>
        <v>Honorarios</v>
      </c>
      <c r="H193" s="103">
        <f>SUMPRODUCT(($C$185=Indirectos[Movimiento])*($F193=Indirectos[Cuenta Contable])*(H$1=Indirectos[Mes Financiero])*(H$2=Indirectos[Año Financiero])*(Indirectos[Financiero $Corrientes]))</f>
        <v>0</v>
      </c>
      <c r="I193" s="104">
        <f>SUMPRODUCT(($C$185=Indirectos[Movimiento])*($F193=Indirectos[Cuenta Contable])*(I$1=Indirectos[Mes Financiero])*(I$2=Indirectos[Año Financiero])*(Indirectos[Financiero $Corrientes]))</f>
        <v>0</v>
      </c>
      <c r="J193" s="103">
        <f>SUMPRODUCT(($C$185=Indirectos[Movimiento])*($F193=Indirectos[Cuenta Contable])*(J$1=Indirectos[Mes Financiero])*(J$2=Indirectos[Año Financiero])*(Indirectos[Financiero $Corrientes]))</f>
        <v>0</v>
      </c>
      <c r="K193" s="104">
        <f>SUMPRODUCT(($C$185=Indirectos[Movimiento])*($F193=Indirectos[Cuenta Contable])*(K$1=Indirectos[Mes Financiero])*(K$2=Indirectos[Año Financiero])*(Indirectos[Financiero $Corrientes]))</f>
        <v>0</v>
      </c>
      <c r="L193" s="103">
        <f>SUMPRODUCT(($C$185=Indirectos[Movimiento])*($F193=Indirectos[Cuenta Contable])*(L$1=Indirectos[Mes Financiero])*(L$2=Indirectos[Año Financiero])*(Indirectos[Financiero $Corrientes]))</f>
        <v>0</v>
      </c>
      <c r="M193" s="104">
        <f>SUMPRODUCT(($C$185=Indirectos[Movimiento])*($F193=Indirectos[Cuenta Contable])*(M$1=Indirectos[Mes Financiero])*(M$2=Indirectos[Año Financiero])*(Indirectos[Financiero $Corrientes]))</f>
        <v>0</v>
      </c>
      <c r="N193" s="103">
        <f>SUMPRODUCT(($C$185=Indirectos[Movimiento])*($F193=Indirectos[Cuenta Contable])*(N$1=Indirectos[Mes Financiero])*(N$2=Indirectos[Año Financiero])*(Indirectos[Financiero $Corrientes]))</f>
        <v>0</v>
      </c>
      <c r="O193" s="104">
        <f>SUMPRODUCT(($C$185=Indirectos[Movimiento])*($F193=Indirectos[Cuenta Contable])*(O$1=Indirectos[Mes Financiero])*(O$2=Indirectos[Año Financiero])*(Indirectos[Financiero $Corrientes]))</f>
        <v>0</v>
      </c>
      <c r="P193" s="103">
        <f>SUMPRODUCT(($C$185=Indirectos[Movimiento])*($F193=Indirectos[Cuenta Contable])*(P$1=Indirectos[Mes Financiero])*(P$2=Indirectos[Año Financiero])*(Indirectos[Financiero $Corrientes]))</f>
        <v>0</v>
      </c>
      <c r="Q193" s="104">
        <f>SUMPRODUCT(($C$185=Indirectos[Movimiento])*($F193=Indirectos[Cuenta Contable])*(Q$1=Indirectos[Mes Financiero])*(Q$2=Indirectos[Año Financiero])*(Indirectos[Financiero $Corrientes]))</f>
        <v>0</v>
      </c>
      <c r="R193" s="103">
        <f>SUMPRODUCT(($C$185=Indirectos[Movimiento])*($F193=Indirectos[Cuenta Contable])*(R$1=Indirectos[Mes Financiero])*(R$2=Indirectos[Año Financiero])*(Indirectos[Financiero $Corrientes]))</f>
        <v>0</v>
      </c>
      <c r="S193" s="104">
        <f>SUMPRODUCT(($C$185=Indirectos[Movimiento])*($F193=Indirectos[Cuenta Contable])*(S$1=Indirectos[Mes Financiero])*(S$2=Indirectos[Año Financiero])*(Indirectos[Financiero $Corrientes]))</f>
        <v>0</v>
      </c>
      <c r="T193" s="103">
        <f>SUMPRODUCT(($C$185=Indirectos[Movimiento])*($F193=Indirectos[Cuenta Contable])*(T$1=Indirectos[Mes Financiero])*(T$2=Indirectos[Año Financiero])*(Indirectos[Financiero $Corrientes]))</f>
        <v>0</v>
      </c>
      <c r="U193" s="104">
        <f>SUMPRODUCT(($C$185=Indirectos[Movimiento])*($F193=Indirectos[Cuenta Contable])*(U$1=Indirectos[Mes Financiero])*(U$2=Indirectos[Año Financiero])*(Indirectos[Financiero $Corrientes]))</f>
        <v>0</v>
      </c>
      <c r="V193" s="103">
        <f>SUMPRODUCT(($C$185=Indirectos[Movimiento])*($F193=Indirectos[Cuenta Contable])*(V$1=Indirectos[Mes Financiero])*(V$2=Indirectos[Año Financiero])*(Indirectos[Financiero $Corrientes]))</f>
        <v>0</v>
      </c>
      <c r="W193" s="104">
        <f>SUMPRODUCT(($C$185=Indirectos[Movimiento])*($F193=Indirectos[Cuenta Contable])*(W$1=Indirectos[Mes Financiero])*(W$2=Indirectos[Año Financiero])*(Indirectos[Financiero $Corrientes]))</f>
        <v>0</v>
      </c>
      <c r="X193" s="103">
        <f>SUMPRODUCT(($C$185=Indirectos[Movimiento])*($F193=Indirectos[Cuenta Contable])*(X$1=Indirectos[Mes Financiero])*(X$2=Indirectos[Año Financiero])*(Indirectos[Financiero $Corrientes]))</f>
        <v>0</v>
      </c>
      <c r="Y193" s="104">
        <f>SUMPRODUCT(($C$185=Indirectos[Movimiento])*($F193=Indirectos[Cuenta Contable])*(Y$1=Indirectos[Mes Financiero])*(Y$2=Indirectos[Año Financiero])*(Indirectos[Financiero $Corrientes]))</f>
        <v>0</v>
      </c>
      <c r="Z193" s="144">
        <f t="shared" si="22"/>
        <v>0</v>
      </c>
      <c r="AC193" s="174">
        <f>SUMPRODUCT((F193=Costos_Indirectos_Cuentas[Cuenta Contable])*(Costos_Indirectos_Cuentas[IVA]))</f>
        <v>0.21</v>
      </c>
    </row>
    <row r="194" spans="5:29" hidden="1" outlineLevel="1" x14ac:dyDescent="0.25">
      <c r="E194" s="221">
        <f>IFERROR(MATCH(F194,Costos_Indirectos_Cuentas[Cuenta Contable],0),0)</f>
        <v>4</v>
      </c>
      <c r="F194" s="116" t="str">
        <f>Configuración!CE8</f>
        <v>Movilidad - Viáticos</v>
      </c>
      <c r="H194" s="103">
        <f>SUMPRODUCT(($C$185=Indirectos[Movimiento])*($F194=Indirectos[Cuenta Contable])*(H$1=Indirectos[Mes Financiero])*(H$2=Indirectos[Año Financiero])*(Indirectos[Financiero $Corrientes]))</f>
        <v>0</v>
      </c>
      <c r="I194" s="104">
        <f>SUMPRODUCT(($C$185=Indirectos[Movimiento])*($F194=Indirectos[Cuenta Contable])*(I$1=Indirectos[Mes Financiero])*(I$2=Indirectos[Año Financiero])*(Indirectos[Financiero $Corrientes]))</f>
        <v>0</v>
      </c>
      <c r="J194" s="103">
        <f>SUMPRODUCT(($C$185=Indirectos[Movimiento])*($F194=Indirectos[Cuenta Contable])*(J$1=Indirectos[Mes Financiero])*(J$2=Indirectos[Año Financiero])*(Indirectos[Financiero $Corrientes]))</f>
        <v>0</v>
      </c>
      <c r="K194" s="104">
        <f>SUMPRODUCT(($C$185=Indirectos[Movimiento])*($F194=Indirectos[Cuenta Contable])*(K$1=Indirectos[Mes Financiero])*(K$2=Indirectos[Año Financiero])*(Indirectos[Financiero $Corrientes]))</f>
        <v>0</v>
      </c>
      <c r="L194" s="103">
        <f>SUMPRODUCT(($C$185=Indirectos[Movimiento])*($F194=Indirectos[Cuenta Contable])*(L$1=Indirectos[Mes Financiero])*(L$2=Indirectos[Año Financiero])*(Indirectos[Financiero $Corrientes]))</f>
        <v>0</v>
      </c>
      <c r="M194" s="104">
        <f>SUMPRODUCT(($C$185=Indirectos[Movimiento])*($F194=Indirectos[Cuenta Contable])*(M$1=Indirectos[Mes Financiero])*(M$2=Indirectos[Año Financiero])*(Indirectos[Financiero $Corrientes]))</f>
        <v>0</v>
      </c>
      <c r="N194" s="103">
        <f>SUMPRODUCT(($C$185=Indirectos[Movimiento])*($F194=Indirectos[Cuenta Contable])*(N$1=Indirectos[Mes Financiero])*(N$2=Indirectos[Año Financiero])*(Indirectos[Financiero $Corrientes]))</f>
        <v>0</v>
      </c>
      <c r="O194" s="104">
        <f>SUMPRODUCT(($C$185=Indirectos[Movimiento])*($F194=Indirectos[Cuenta Contable])*(O$1=Indirectos[Mes Financiero])*(O$2=Indirectos[Año Financiero])*(Indirectos[Financiero $Corrientes]))</f>
        <v>0</v>
      </c>
      <c r="P194" s="103">
        <f>SUMPRODUCT(($C$185=Indirectos[Movimiento])*($F194=Indirectos[Cuenta Contable])*(P$1=Indirectos[Mes Financiero])*(P$2=Indirectos[Año Financiero])*(Indirectos[Financiero $Corrientes]))</f>
        <v>0</v>
      </c>
      <c r="Q194" s="104">
        <f>SUMPRODUCT(($C$185=Indirectos[Movimiento])*($F194=Indirectos[Cuenta Contable])*(Q$1=Indirectos[Mes Financiero])*(Q$2=Indirectos[Año Financiero])*(Indirectos[Financiero $Corrientes]))</f>
        <v>0</v>
      </c>
      <c r="R194" s="103">
        <f>SUMPRODUCT(($C$185=Indirectos[Movimiento])*($F194=Indirectos[Cuenta Contable])*(R$1=Indirectos[Mes Financiero])*(R$2=Indirectos[Año Financiero])*(Indirectos[Financiero $Corrientes]))</f>
        <v>0</v>
      </c>
      <c r="S194" s="104">
        <f>SUMPRODUCT(($C$185=Indirectos[Movimiento])*($F194=Indirectos[Cuenta Contable])*(S$1=Indirectos[Mes Financiero])*(S$2=Indirectos[Año Financiero])*(Indirectos[Financiero $Corrientes]))</f>
        <v>0</v>
      </c>
      <c r="T194" s="103">
        <f>SUMPRODUCT(($C$185=Indirectos[Movimiento])*($F194=Indirectos[Cuenta Contable])*(T$1=Indirectos[Mes Financiero])*(T$2=Indirectos[Año Financiero])*(Indirectos[Financiero $Corrientes]))</f>
        <v>0</v>
      </c>
      <c r="U194" s="104">
        <f>SUMPRODUCT(($C$185=Indirectos[Movimiento])*($F194=Indirectos[Cuenta Contable])*(U$1=Indirectos[Mes Financiero])*(U$2=Indirectos[Año Financiero])*(Indirectos[Financiero $Corrientes]))</f>
        <v>0</v>
      </c>
      <c r="V194" s="103">
        <f>SUMPRODUCT(($C$185=Indirectos[Movimiento])*($F194=Indirectos[Cuenta Contable])*(V$1=Indirectos[Mes Financiero])*(V$2=Indirectos[Año Financiero])*(Indirectos[Financiero $Corrientes]))</f>
        <v>0</v>
      </c>
      <c r="W194" s="104">
        <f>SUMPRODUCT(($C$185=Indirectos[Movimiento])*($F194=Indirectos[Cuenta Contable])*(W$1=Indirectos[Mes Financiero])*(W$2=Indirectos[Año Financiero])*(Indirectos[Financiero $Corrientes]))</f>
        <v>0</v>
      </c>
      <c r="X194" s="103">
        <f>SUMPRODUCT(($C$185=Indirectos[Movimiento])*($F194=Indirectos[Cuenta Contable])*(X$1=Indirectos[Mes Financiero])*(X$2=Indirectos[Año Financiero])*(Indirectos[Financiero $Corrientes]))</f>
        <v>0</v>
      </c>
      <c r="Y194" s="104">
        <f>SUMPRODUCT(($C$185=Indirectos[Movimiento])*($F194=Indirectos[Cuenta Contable])*(Y$1=Indirectos[Mes Financiero])*(Y$2=Indirectos[Año Financiero])*(Indirectos[Financiero $Corrientes]))</f>
        <v>0</v>
      </c>
      <c r="Z194" s="144">
        <f t="shared" si="22"/>
        <v>0</v>
      </c>
      <c r="AC194" s="174">
        <f>SUMPRODUCT((F194=Costos_Indirectos_Cuentas[Cuenta Contable])*(Costos_Indirectos_Cuentas[IVA]))</f>
        <v>0.21</v>
      </c>
    </row>
    <row r="195" spans="5:29" hidden="1" outlineLevel="1" x14ac:dyDescent="0.25">
      <c r="E195" s="221">
        <f>IFERROR(MATCH(F195,Costos_Indirectos_Cuentas[Cuenta Contable],0),0)</f>
        <v>5</v>
      </c>
      <c r="F195" s="116" t="str">
        <f>Configuración!CE9</f>
        <v>Repuestos y Reparaciones</v>
      </c>
      <c r="H195" s="103">
        <f>SUMPRODUCT(($C$185=Indirectos[Movimiento])*($F195=Indirectos[Cuenta Contable])*(H$1=Indirectos[Mes Financiero])*(H$2=Indirectos[Año Financiero])*(Indirectos[Financiero $Corrientes]))</f>
        <v>0</v>
      </c>
      <c r="I195" s="104">
        <f>SUMPRODUCT(($C$185=Indirectos[Movimiento])*($F195=Indirectos[Cuenta Contable])*(I$1=Indirectos[Mes Financiero])*(I$2=Indirectos[Año Financiero])*(Indirectos[Financiero $Corrientes]))</f>
        <v>0</v>
      </c>
      <c r="J195" s="103">
        <f>SUMPRODUCT(($C$185=Indirectos[Movimiento])*($F195=Indirectos[Cuenta Contable])*(J$1=Indirectos[Mes Financiero])*(J$2=Indirectos[Año Financiero])*(Indirectos[Financiero $Corrientes]))</f>
        <v>0</v>
      </c>
      <c r="K195" s="104">
        <f>SUMPRODUCT(($C$185=Indirectos[Movimiento])*($F195=Indirectos[Cuenta Contable])*(K$1=Indirectos[Mes Financiero])*(K$2=Indirectos[Año Financiero])*(Indirectos[Financiero $Corrientes]))</f>
        <v>0</v>
      </c>
      <c r="L195" s="103">
        <f>SUMPRODUCT(($C$185=Indirectos[Movimiento])*($F195=Indirectos[Cuenta Contable])*(L$1=Indirectos[Mes Financiero])*(L$2=Indirectos[Año Financiero])*(Indirectos[Financiero $Corrientes]))</f>
        <v>0</v>
      </c>
      <c r="M195" s="104">
        <f>SUMPRODUCT(($C$185=Indirectos[Movimiento])*($F195=Indirectos[Cuenta Contable])*(M$1=Indirectos[Mes Financiero])*(M$2=Indirectos[Año Financiero])*(Indirectos[Financiero $Corrientes]))</f>
        <v>0</v>
      </c>
      <c r="N195" s="103">
        <f>SUMPRODUCT(($C$185=Indirectos[Movimiento])*($F195=Indirectos[Cuenta Contable])*(N$1=Indirectos[Mes Financiero])*(N$2=Indirectos[Año Financiero])*(Indirectos[Financiero $Corrientes]))</f>
        <v>0</v>
      </c>
      <c r="O195" s="104">
        <f>SUMPRODUCT(($C$185=Indirectos[Movimiento])*($F195=Indirectos[Cuenta Contable])*(O$1=Indirectos[Mes Financiero])*(O$2=Indirectos[Año Financiero])*(Indirectos[Financiero $Corrientes]))</f>
        <v>0</v>
      </c>
      <c r="P195" s="103">
        <f>SUMPRODUCT(($C$185=Indirectos[Movimiento])*($F195=Indirectos[Cuenta Contable])*(P$1=Indirectos[Mes Financiero])*(P$2=Indirectos[Año Financiero])*(Indirectos[Financiero $Corrientes]))</f>
        <v>0</v>
      </c>
      <c r="Q195" s="104">
        <f>SUMPRODUCT(($C$185=Indirectos[Movimiento])*($F195=Indirectos[Cuenta Contable])*(Q$1=Indirectos[Mes Financiero])*(Q$2=Indirectos[Año Financiero])*(Indirectos[Financiero $Corrientes]))</f>
        <v>0</v>
      </c>
      <c r="R195" s="103">
        <f>SUMPRODUCT(($C$185=Indirectos[Movimiento])*($F195=Indirectos[Cuenta Contable])*(R$1=Indirectos[Mes Financiero])*(R$2=Indirectos[Año Financiero])*(Indirectos[Financiero $Corrientes]))</f>
        <v>0</v>
      </c>
      <c r="S195" s="104">
        <f>SUMPRODUCT(($C$185=Indirectos[Movimiento])*($F195=Indirectos[Cuenta Contable])*(S$1=Indirectos[Mes Financiero])*(S$2=Indirectos[Año Financiero])*(Indirectos[Financiero $Corrientes]))</f>
        <v>0</v>
      </c>
      <c r="T195" s="103">
        <f>SUMPRODUCT(($C$185=Indirectos[Movimiento])*($F195=Indirectos[Cuenta Contable])*(T$1=Indirectos[Mes Financiero])*(T$2=Indirectos[Año Financiero])*(Indirectos[Financiero $Corrientes]))</f>
        <v>0</v>
      </c>
      <c r="U195" s="104">
        <f>SUMPRODUCT(($C$185=Indirectos[Movimiento])*($F195=Indirectos[Cuenta Contable])*(U$1=Indirectos[Mes Financiero])*(U$2=Indirectos[Año Financiero])*(Indirectos[Financiero $Corrientes]))</f>
        <v>0</v>
      </c>
      <c r="V195" s="103">
        <f>SUMPRODUCT(($C$185=Indirectos[Movimiento])*($F195=Indirectos[Cuenta Contable])*(V$1=Indirectos[Mes Financiero])*(V$2=Indirectos[Año Financiero])*(Indirectos[Financiero $Corrientes]))</f>
        <v>0</v>
      </c>
      <c r="W195" s="104">
        <f>SUMPRODUCT(($C$185=Indirectos[Movimiento])*($F195=Indirectos[Cuenta Contable])*(W$1=Indirectos[Mes Financiero])*(W$2=Indirectos[Año Financiero])*(Indirectos[Financiero $Corrientes]))</f>
        <v>0</v>
      </c>
      <c r="X195" s="103">
        <f>SUMPRODUCT(($C$185=Indirectos[Movimiento])*($F195=Indirectos[Cuenta Contable])*(X$1=Indirectos[Mes Financiero])*(X$2=Indirectos[Año Financiero])*(Indirectos[Financiero $Corrientes]))</f>
        <v>0</v>
      </c>
      <c r="Y195" s="104">
        <f>SUMPRODUCT(($C$185=Indirectos[Movimiento])*($F195=Indirectos[Cuenta Contable])*(Y$1=Indirectos[Mes Financiero])*(Y$2=Indirectos[Año Financiero])*(Indirectos[Financiero $Corrientes]))</f>
        <v>0</v>
      </c>
      <c r="Z195" s="144">
        <f t="shared" si="22"/>
        <v>0</v>
      </c>
      <c r="AC195" s="174">
        <f>SUMPRODUCT((F195=Costos_Indirectos_Cuentas[Cuenta Contable])*(Costos_Indirectos_Cuentas[IVA]))</f>
        <v>0.21</v>
      </c>
    </row>
    <row r="196" spans="5:29" hidden="1" outlineLevel="1" x14ac:dyDescent="0.25">
      <c r="E196" s="221">
        <f>IFERROR(MATCH(F196,Costos_Indirectos_Cuentas[Cuenta Contable],0),0)</f>
        <v>6</v>
      </c>
      <c r="F196" s="116" t="str">
        <f>Configuración!CE10</f>
        <v>Conservación de Mejoras</v>
      </c>
      <c r="H196" s="103">
        <f>SUMPRODUCT(($C$185=Indirectos[Movimiento])*($F196=Indirectos[Cuenta Contable])*(H$1=Indirectos[Mes Financiero])*(H$2=Indirectos[Año Financiero])*(Indirectos[Financiero $Corrientes]))</f>
        <v>0</v>
      </c>
      <c r="I196" s="104">
        <f>SUMPRODUCT(($C$185=Indirectos[Movimiento])*($F196=Indirectos[Cuenta Contable])*(I$1=Indirectos[Mes Financiero])*(I$2=Indirectos[Año Financiero])*(Indirectos[Financiero $Corrientes]))</f>
        <v>0</v>
      </c>
      <c r="J196" s="103">
        <f>SUMPRODUCT(($C$185=Indirectos[Movimiento])*($F196=Indirectos[Cuenta Contable])*(J$1=Indirectos[Mes Financiero])*(J$2=Indirectos[Año Financiero])*(Indirectos[Financiero $Corrientes]))</f>
        <v>0</v>
      </c>
      <c r="K196" s="104">
        <f>SUMPRODUCT(($C$185=Indirectos[Movimiento])*($F196=Indirectos[Cuenta Contable])*(K$1=Indirectos[Mes Financiero])*(K$2=Indirectos[Año Financiero])*(Indirectos[Financiero $Corrientes]))</f>
        <v>0</v>
      </c>
      <c r="L196" s="103">
        <f>SUMPRODUCT(($C$185=Indirectos[Movimiento])*($F196=Indirectos[Cuenta Contable])*(L$1=Indirectos[Mes Financiero])*(L$2=Indirectos[Año Financiero])*(Indirectos[Financiero $Corrientes]))</f>
        <v>0</v>
      </c>
      <c r="M196" s="104">
        <f>SUMPRODUCT(($C$185=Indirectos[Movimiento])*($F196=Indirectos[Cuenta Contable])*(M$1=Indirectos[Mes Financiero])*(M$2=Indirectos[Año Financiero])*(Indirectos[Financiero $Corrientes]))</f>
        <v>0</v>
      </c>
      <c r="N196" s="103">
        <f>SUMPRODUCT(($C$185=Indirectos[Movimiento])*($F196=Indirectos[Cuenta Contable])*(N$1=Indirectos[Mes Financiero])*(N$2=Indirectos[Año Financiero])*(Indirectos[Financiero $Corrientes]))</f>
        <v>0</v>
      </c>
      <c r="O196" s="104">
        <f>SUMPRODUCT(($C$185=Indirectos[Movimiento])*($F196=Indirectos[Cuenta Contable])*(O$1=Indirectos[Mes Financiero])*(O$2=Indirectos[Año Financiero])*(Indirectos[Financiero $Corrientes]))</f>
        <v>0</v>
      </c>
      <c r="P196" s="103">
        <f>SUMPRODUCT(($C$185=Indirectos[Movimiento])*($F196=Indirectos[Cuenta Contable])*(P$1=Indirectos[Mes Financiero])*(P$2=Indirectos[Año Financiero])*(Indirectos[Financiero $Corrientes]))</f>
        <v>0</v>
      </c>
      <c r="Q196" s="104">
        <f>SUMPRODUCT(($C$185=Indirectos[Movimiento])*($F196=Indirectos[Cuenta Contable])*(Q$1=Indirectos[Mes Financiero])*(Q$2=Indirectos[Año Financiero])*(Indirectos[Financiero $Corrientes]))</f>
        <v>0</v>
      </c>
      <c r="R196" s="103">
        <f>SUMPRODUCT(($C$185=Indirectos[Movimiento])*($F196=Indirectos[Cuenta Contable])*(R$1=Indirectos[Mes Financiero])*(R$2=Indirectos[Año Financiero])*(Indirectos[Financiero $Corrientes]))</f>
        <v>0</v>
      </c>
      <c r="S196" s="104">
        <f>SUMPRODUCT(($C$185=Indirectos[Movimiento])*($F196=Indirectos[Cuenta Contable])*(S$1=Indirectos[Mes Financiero])*(S$2=Indirectos[Año Financiero])*(Indirectos[Financiero $Corrientes]))</f>
        <v>0</v>
      </c>
      <c r="T196" s="103">
        <f>SUMPRODUCT(($C$185=Indirectos[Movimiento])*($F196=Indirectos[Cuenta Contable])*(T$1=Indirectos[Mes Financiero])*(T$2=Indirectos[Año Financiero])*(Indirectos[Financiero $Corrientes]))</f>
        <v>0</v>
      </c>
      <c r="U196" s="104">
        <f>SUMPRODUCT(($C$185=Indirectos[Movimiento])*($F196=Indirectos[Cuenta Contable])*(U$1=Indirectos[Mes Financiero])*(U$2=Indirectos[Año Financiero])*(Indirectos[Financiero $Corrientes]))</f>
        <v>0</v>
      </c>
      <c r="V196" s="103">
        <f>SUMPRODUCT(($C$185=Indirectos[Movimiento])*($F196=Indirectos[Cuenta Contable])*(V$1=Indirectos[Mes Financiero])*(V$2=Indirectos[Año Financiero])*(Indirectos[Financiero $Corrientes]))</f>
        <v>0</v>
      </c>
      <c r="W196" s="104">
        <f>SUMPRODUCT(($C$185=Indirectos[Movimiento])*($F196=Indirectos[Cuenta Contable])*(W$1=Indirectos[Mes Financiero])*(W$2=Indirectos[Año Financiero])*(Indirectos[Financiero $Corrientes]))</f>
        <v>0</v>
      </c>
      <c r="X196" s="103">
        <f>SUMPRODUCT(($C$185=Indirectos[Movimiento])*($F196=Indirectos[Cuenta Contable])*(X$1=Indirectos[Mes Financiero])*(X$2=Indirectos[Año Financiero])*(Indirectos[Financiero $Corrientes]))</f>
        <v>0</v>
      </c>
      <c r="Y196" s="104">
        <f>SUMPRODUCT(($C$185=Indirectos[Movimiento])*($F196=Indirectos[Cuenta Contable])*(Y$1=Indirectos[Mes Financiero])*(Y$2=Indirectos[Año Financiero])*(Indirectos[Financiero $Corrientes]))</f>
        <v>0</v>
      </c>
      <c r="Z196" s="144">
        <f t="shared" si="22"/>
        <v>0</v>
      </c>
      <c r="AC196" s="174">
        <f>SUMPRODUCT((F196=Costos_Indirectos_Cuentas[Cuenta Contable])*(Costos_Indirectos_Cuentas[IVA]))</f>
        <v>0.21</v>
      </c>
    </row>
    <row r="197" spans="5:29" hidden="1" outlineLevel="1" x14ac:dyDescent="0.25">
      <c r="E197" s="221">
        <f>IFERROR(MATCH(F197,Costos_Indirectos_Cuentas[Cuenta Contable],0),0)</f>
        <v>7</v>
      </c>
      <c r="F197" s="116" t="str">
        <f>Configuración!CE11</f>
        <v>Arrendamiento</v>
      </c>
      <c r="H197" s="103">
        <f>SUMPRODUCT(($C$185=Indirectos[Movimiento])*($F197=Indirectos[Cuenta Contable])*(H$1=Indirectos[Mes Financiero])*(H$2=Indirectos[Año Financiero])*(Indirectos[Financiero $Corrientes]))</f>
        <v>0</v>
      </c>
      <c r="I197" s="104">
        <f>SUMPRODUCT(($C$185=Indirectos[Movimiento])*($F197=Indirectos[Cuenta Contable])*(I$1=Indirectos[Mes Financiero])*(I$2=Indirectos[Año Financiero])*(Indirectos[Financiero $Corrientes]))</f>
        <v>0</v>
      </c>
      <c r="J197" s="103">
        <f>SUMPRODUCT(($C$185=Indirectos[Movimiento])*($F197=Indirectos[Cuenta Contable])*(J$1=Indirectos[Mes Financiero])*(J$2=Indirectos[Año Financiero])*(Indirectos[Financiero $Corrientes]))</f>
        <v>0</v>
      </c>
      <c r="K197" s="104">
        <f>SUMPRODUCT(($C$185=Indirectos[Movimiento])*($F197=Indirectos[Cuenta Contable])*(K$1=Indirectos[Mes Financiero])*(K$2=Indirectos[Año Financiero])*(Indirectos[Financiero $Corrientes]))</f>
        <v>0</v>
      </c>
      <c r="L197" s="103">
        <f>SUMPRODUCT(($C$185=Indirectos[Movimiento])*($F197=Indirectos[Cuenta Contable])*(L$1=Indirectos[Mes Financiero])*(L$2=Indirectos[Año Financiero])*(Indirectos[Financiero $Corrientes]))</f>
        <v>0</v>
      </c>
      <c r="M197" s="104">
        <f>SUMPRODUCT(($C$185=Indirectos[Movimiento])*($F197=Indirectos[Cuenta Contable])*(M$1=Indirectos[Mes Financiero])*(M$2=Indirectos[Año Financiero])*(Indirectos[Financiero $Corrientes]))</f>
        <v>0</v>
      </c>
      <c r="N197" s="103">
        <f>SUMPRODUCT(($C$185=Indirectos[Movimiento])*($F197=Indirectos[Cuenta Contable])*(N$1=Indirectos[Mes Financiero])*(N$2=Indirectos[Año Financiero])*(Indirectos[Financiero $Corrientes]))</f>
        <v>0</v>
      </c>
      <c r="O197" s="104">
        <f>SUMPRODUCT(($C$185=Indirectos[Movimiento])*($F197=Indirectos[Cuenta Contable])*(O$1=Indirectos[Mes Financiero])*(O$2=Indirectos[Año Financiero])*(Indirectos[Financiero $Corrientes]))</f>
        <v>0</v>
      </c>
      <c r="P197" s="103">
        <f>SUMPRODUCT(($C$185=Indirectos[Movimiento])*($F197=Indirectos[Cuenta Contable])*(P$1=Indirectos[Mes Financiero])*(P$2=Indirectos[Año Financiero])*(Indirectos[Financiero $Corrientes]))</f>
        <v>0</v>
      </c>
      <c r="Q197" s="104">
        <f>SUMPRODUCT(($C$185=Indirectos[Movimiento])*($F197=Indirectos[Cuenta Contable])*(Q$1=Indirectos[Mes Financiero])*(Q$2=Indirectos[Año Financiero])*(Indirectos[Financiero $Corrientes]))</f>
        <v>0</v>
      </c>
      <c r="R197" s="103">
        <f>SUMPRODUCT(($C$185=Indirectos[Movimiento])*($F197=Indirectos[Cuenta Contable])*(R$1=Indirectos[Mes Financiero])*(R$2=Indirectos[Año Financiero])*(Indirectos[Financiero $Corrientes]))</f>
        <v>0</v>
      </c>
      <c r="S197" s="104">
        <f>SUMPRODUCT(($C$185=Indirectos[Movimiento])*($F197=Indirectos[Cuenta Contable])*(S$1=Indirectos[Mes Financiero])*(S$2=Indirectos[Año Financiero])*(Indirectos[Financiero $Corrientes]))</f>
        <v>0</v>
      </c>
      <c r="T197" s="103">
        <f>SUMPRODUCT(($C$185=Indirectos[Movimiento])*($F197=Indirectos[Cuenta Contable])*(T$1=Indirectos[Mes Financiero])*(T$2=Indirectos[Año Financiero])*(Indirectos[Financiero $Corrientes]))</f>
        <v>0</v>
      </c>
      <c r="U197" s="104">
        <f>SUMPRODUCT(($C$185=Indirectos[Movimiento])*($F197=Indirectos[Cuenta Contable])*(U$1=Indirectos[Mes Financiero])*(U$2=Indirectos[Año Financiero])*(Indirectos[Financiero $Corrientes]))</f>
        <v>0</v>
      </c>
      <c r="V197" s="103">
        <f>SUMPRODUCT(($C$185=Indirectos[Movimiento])*($F197=Indirectos[Cuenta Contable])*(V$1=Indirectos[Mes Financiero])*(V$2=Indirectos[Año Financiero])*(Indirectos[Financiero $Corrientes]))</f>
        <v>0</v>
      </c>
      <c r="W197" s="104">
        <f>SUMPRODUCT(($C$185=Indirectos[Movimiento])*($F197=Indirectos[Cuenta Contable])*(W$1=Indirectos[Mes Financiero])*(W$2=Indirectos[Año Financiero])*(Indirectos[Financiero $Corrientes]))</f>
        <v>0</v>
      </c>
      <c r="X197" s="103">
        <f>SUMPRODUCT(($C$185=Indirectos[Movimiento])*($F197=Indirectos[Cuenta Contable])*(X$1=Indirectos[Mes Financiero])*(X$2=Indirectos[Año Financiero])*(Indirectos[Financiero $Corrientes]))</f>
        <v>0</v>
      </c>
      <c r="Y197" s="104">
        <f>SUMPRODUCT(($C$185=Indirectos[Movimiento])*($F197=Indirectos[Cuenta Contable])*(Y$1=Indirectos[Mes Financiero])*(Y$2=Indirectos[Año Financiero])*(Indirectos[Financiero $Corrientes]))</f>
        <v>0</v>
      </c>
      <c r="Z197" s="144">
        <f t="shared" si="22"/>
        <v>0</v>
      </c>
      <c r="AC197" s="174">
        <f>SUMPRODUCT((F197=Costos_Indirectos_Cuentas[Cuenta Contable])*(Costos_Indirectos_Cuentas[IVA]))</f>
        <v>0</v>
      </c>
    </row>
    <row r="198" spans="5:29" hidden="1" outlineLevel="1" x14ac:dyDescent="0.25">
      <c r="E198" s="221">
        <f>IFERROR(MATCH(F198,Costos_Indirectos_Cuentas[Cuenta Contable],0),0)</f>
        <v>8</v>
      </c>
      <c r="F198" s="116" t="str">
        <f>Configuración!CE12</f>
        <v>Gastos de Oficina</v>
      </c>
      <c r="H198" s="103">
        <f>SUMPRODUCT(($C$185=Indirectos[Movimiento])*($F198=Indirectos[Cuenta Contable])*(H$1=Indirectos[Mes Financiero])*(H$2=Indirectos[Año Financiero])*(Indirectos[Financiero $Corrientes]))</f>
        <v>0</v>
      </c>
      <c r="I198" s="104">
        <f>SUMPRODUCT(($C$185=Indirectos[Movimiento])*($F198=Indirectos[Cuenta Contable])*(I$1=Indirectos[Mes Financiero])*(I$2=Indirectos[Año Financiero])*(Indirectos[Financiero $Corrientes]))</f>
        <v>0</v>
      </c>
      <c r="J198" s="103">
        <f>SUMPRODUCT(($C$185=Indirectos[Movimiento])*($F198=Indirectos[Cuenta Contable])*(J$1=Indirectos[Mes Financiero])*(J$2=Indirectos[Año Financiero])*(Indirectos[Financiero $Corrientes]))</f>
        <v>0</v>
      </c>
      <c r="K198" s="104">
        <f>SUMPRODUCT(($C$185=Indirectos[Movimiento])*($F198=Indirectos[Cuenta Contable])*(K$1=Indirectos[Mes Financiero])*(K$2=Indirectos[Año Financiero])*(Indirectos[Financiero $Corrientes]))</f>
        <v>0</v>
      </c>
      <c r="L198" s="103">
        <f>SUMPRODUCT(($C$185=Indirectos[Movimiento])*($F198=Indirectos[Cuenta Contable])*(L$1=Indirectos[Mes Financiero])*(L$2=Indirectos[Año Financiero])*(Indirectos[Financiero $Corrientes]))</f>
        <v>0</v>
      </c>
      <c r="M198" s="104">
        <f>SUMPRODUCT(($C$185=Indirectos[Movimiento])*($F198=Indirectos[Cuenta Contable])*(M$1=Indirectos[Mes Financiero])*(M$2=Indirectos[Año Financiero])*(Indirectos[Financiero $Corrientes]))</f>
        <v>0</v>
      </c>
      <c r="N198" s="103">
        <f>SUMPRODUCT(($C$185=Indirectos[Movimiento])*($F198=Indirectos[Cuenta Contable])*(N$1=Indirectos[Mes Financiero])*(N$2=Indirectos[Año Financiero])*(Indirectos[Financiero $Corrientes]))</f>
        <v>0</v>
      </c>
      <c r="O198" s="104">
        <f>SUMPRODUCT(($C$185=Indirectos[Movimiento])*($F198=Indirectos[Cuenta Contable])*(O$1=Indirectos[Mes Financiero])*(O$2=Indirectos[Año Financiero])*(Indirectos[Financiero $Corrientes]))</f>
        <v>0</v>
      </c>
      <c r="P198" s="103">
        <f>SUMPRODUCT(($C$185=Indirectos[Movimiento])*($F198=Indirectos[Cuenta Contable])*(P$1=Indirectos[Mes Financiero])*(P$2=Indirectos[Año Financiero])*(Indirectos[Financiero $Corrientes]))</f>
        <v>0</v>
      </c>
      <c r="Q198" s="104">
        <f>SUMPRODUCT(($C$185=Indirectos[Movimiento])*($F198=Indirectos[Cuenta Contable])*(Q$1=Indirectos[Mes Financiero])*(Q$2=Indirectos[Año Financiero])*(Indirectos[Financiero $Corrientes]))</f>
        <v>0</v>
      </c>
      <c r="R198" s="103">
        <f>SUMPRODUCT(($C$185=Indirectos[Movimiento])*($F198=Indirectos[Cuenta Contable])*(R$1=Indirectos[Mes Financiero])*(R$2=Indirectos[Año Financiero])*(Indirectos[Financiero $Corrientes]))</f>
        <v>0</v>
      </c>
      <c r="S198" s="104">
        <f>SUMPRODUCT(($C$185=Indirectos[Movimiento])*($F198=Indirectos[Cuenta Contable])*(S$1=Indirectos[Mes Financiero])*(S$2=Indirectos[Año Financiero])*(Indirectos[Financiero $Corrientes]))</f>
        <v>0</v>
      </c>
      <c r="T198" s="103">
        <f>SUMPRODUCT(($C$185=Indirectos[Movimiento])*($F198=Indirectos[Cuenta Contable])*(T$1=Indirectos[Mes Financiero])*(T$2=Indirectos[Año Financiero])*(Indirectos[Financiero $Corrientes]))</f>
        <v>0</v>
      </c>
      <c r="U198" s="104">
        <f>SUMPRODUCT(($C$185=Indirectos[Movimiento])*($F198=Indirectos[Cuenta Contable])*(U$1=Indirectos[Mes Financiero])*(U$2=Indirectos[Año Financiero])*(Indirectos[Financiero $Corrientes]))</f>
        <v>0</v>
      </c>
      <c r="V198" s="103">
        <f>SUMPRODUCT(($C$185=Indirectos[Movimiento])*($F198=Indirectos[Cuenta Contable])*(V$1=Indirectos[Mes Financiero])*(V$2=Indirectos[Año Financiero])*(Indirectos[Financiero $Corrientes]))</f>
        <v>0</v>
      </c>
      <c r="W198" s="104">
        <f>SUMPRODUCT(($C$185=Indirectos[Movimiento])*($F198=Indirectos[Cuenta Contable])*(W$1=Indirectos[Mes Financiero])*(W$2=Indirectos[Año Financiero])*(Indirectos[Financiero $Corrientes]))</f>
        <v>0</v>
      </c>
      <c r="X198" s="103">
        <f>SUMPRODUCT(($C$185=Indirectos[Movimiento])*($F198=Indirectos[Cuenta Contable])*(X$1=Indirectos[Mes Financiero])*(X$2=Indirectos[Año Financiero])*(Indirectos[Financiero $Corrientes]))</f>
        <v>0</v>
      </c>
      <c r="Y198" s="104">
        <f>SUMPRODUCT(($C$185=Indirectos[Movimiento])*($F198=Indirectos[Cuenta Contable])*(Y$1=Indirectos[Mes Financiero])*(Y$2=Indirectos[Año Financiero])*(Indirectos[Financiero $Corrientes]))</f>
        <v>0</v>
      </c>
      <c r="Z198" s="144">
        <f t="shared" si="22"/>
        <v>0</v>
      </c>
      <c r="AC198" s="174">
        <f>SUMPRODUCT((F198=Costos_Indirectos_Cuentas[Cuenta Contable])*(Costos_Indirectos_Cuentas[IVA]))</f>
        <v>0.21</v>
      </c>
    </row>
    <row r="199" spans="5:29" hidden="1" outlineLevel="1" x14ac:dyDescent="0.25">
      <c r="E199" s="221">
        <f>IFERROR(MATCH(F199,Costos_Indirectos_Cuentas[Cuenta Contable],0),0)</f>
        <v>9</v>
      </c>
      <c r="F199" s="116" t="str">
        <f>Configuración!CE13</f>
        <v>Gastos Bancarios</v>
      </c>
      <c r="H199" s="103">
        <f>SUMPRODUCT(($C$185=Indirectos[Movimiento])*($F199=Indirectos[Cuenta Contable])*(H$1=Indirectos[Mes Financiero])*(H$2=Indirectos[Año Financiero])*(Indirectos[Financiero $Corrientes]))</f>
        <v>0</v>
      </c>
      <c r="I199" s="104">
        <f>SUMPRODUCT(($C$185=Indirectos[Movimiento])*($F199=Indirectos[Cuenta Contable])*(I$1=Indirectos[Mes Financiero])*(I$2=Indirectos[Año Financiero])*(Indirectos[Financiero $Corrientes]))</f>
        <v>0</v>
      </c>
      <c r="J199" s="103">
        <f>SUMPRODUCT(($C$185=Indirectos[Movimiento])*($F199=Indirectos[Cuenta Contable])*(J$1=Indirectos[Mes Financiero])*(J$2=Indirectos[Año Financiero])*(Indirectos[Financiero $Corrientes]))</f>
        <v>0</v>
      </c>
      <c r="K199" s="104">
        <f>SUMPRODUCT(($C$185=Indirectos[Movimiento])*($F199=Indirectos[Cuenta Contable])*(K$1=Indirectos[Mes Financiero])*(K$2=Indirectos[Año Financiero])*(Indirectos[Financiero $Corrientes]))</f>
        <v>0</v>
      </c>
      <c r="L199" s="103">
        <f>SUMPRODUCT(($C$185=Indirectos[Movimiento])*($F199=Indirectos[Cuenta Contable])*(L$1=Indirectos[Mes Financiero])*(L$2=Indirectos[Año Financiero])*(Indirectos[Financiero $Corrientes]))</f>
        <v>0</v>
      </c>
      <c r="M199" s="104">
        <f>SUMPRODUCT(($C$185=Indirectos[Movimiento])*($F199=Indirectos[Cuenta Contable])*(M$1=Indirectos[Mes Financiero])*(M$2=Indirectos[Año Financiero])*(Indirectos[Financiero $Corrientes]))</f>
        <v>0</v>
      </c>
      <c r="N199" s="103">
        <f>SUMPRODUCT(($C$185=Indirectos[Movimiento])*($F199=Indirectos[Cuenta Contable])*(N$1=Indirectos[Mes Financiero])*(N$2=Indirectos[Año Financiero])*(Indirectos[Financiero $Corrientes]))</f>
        <v>0</v>
      </c>
      <c r="O199" s="104">
        <f>SUMPRODUCT(($C$185=Indirectos[Movimiento])*($F199=Indirectos[Cuenta Contable])*(O$1=Indirectos[Mes Financiero])*(O$2=Indirectos[Año Financiero])*(Indirectos[Financiero $Corrientes]))</f>
        <v>0</v>
      </c>
      <c r="P199" s="103">
        <f>SUMPRODUCT(($C$185=Indirectos[Movimiento])*($F199=Indirectos[Cuenta Contable])*(P$1=Indirectos[Mes Financiero])*(P$2=Indirectos[Año Financiero])*(Indirectos[Financiero $Corrientes]))</f>
        <v>0</v>
      </c>
      <c r="Q199" s="104">
        <f>SUMPRODUCT(($C$185=Indirectos[Movimiento])*($F199=Indirectos[Cuenta Contable])*(Q$1=Indirectos[Mes Financiero])*(Q$2=Indirectos[Año Financiero])*(Indirectos[Financiero $Corrientes]))</f>
        <v>0</v>
      </c>
      <c r="R199" s="103">
        <f>SUMPRODUCT(($C$185=Indirectos[Movimiento])*($F199=Indirectos[Cuenta Contable])*(R$1=Indirectos[Mes Financiero])*(R$2=Indirectos[Año Financiero])*(Indirectos[Financiero $Corrientes]))</f>
        <v>0</v>
      </c>
      <c r="S199" s="104">
        <f>SUMPRODUCT(($C$185=Indirectos[Movimiento])*($F199=Indirectos[Cuenta Contable])*(S$1=Indirectos[Mes Financiero])*(S$2=Indirectos[Año Financiero])*(Indirectos[Financiero $Corrientes]))</f>
        <v>0</v>
      </c>
      <c r="T199" s="103">
        <f>SUMPRODUCT(($C$185=Indirectos[Movimiento])*($F199=Indirectos[Cuenta Contable])*(T$1=Indirectos[Mes Financiero])*(T$2=Indirectos[Año Financiero])*(Indirectos[Financiero $Corrientes]))</f>
        <v>0</v>
      </c>
      <c r="U199" s="104">
        <f>SUMPRODUCT(($C$185=Indirectos[Movimiento])*($F199=Indirectos[Cuenta Contable])*(U$1=Indirectos[Mes Financiero])*(U$2=Indirectos[Año Financiero])*(Indirectos[Financiero $Corrientes]))</f>
        <v>0</v>
      </c>
      <c r="V199" s="103">
        <f>SUMPRODUCT(($C$185=Indirectos[Movimiento])*($F199=Indirectos[Cuenta Contable])*(V$1=Indirectos[Mes Financiero])*(V$2=Indirectos[Año Financiero])*(Indirectos[Financiero $Corrientes]))</f>
        <v>0</v>
      </c>
      <c r="W199" s="104">
        <f>SUMPRODUCT(($C$185=Indirectos[Movimiento])*($F199=Indirectos[Cuenta Contable])*(W$1=Indirectos[Mes Financiero])*(W$2=Indirectos[Año Financiero])*(Indirectos[Financiero $Corrientes]))</f>
        <v>0</v>
      </c>
      <c r="X199" s="103">
        <f>SUMPRODUCT(($C$185=Indirectos[Movimiento])*($F199=Indirectos[Cuenta Contable])*(X$1=Indirectos[Mes Financiero])*(X$2=Indirectos[Año Financiero])*(Indirectos[Financiero $Corrientes]))</f>
        <v>0</v>
      </c>
      <c r="Y199" s="104">
        <f>SUMPRODUCT(($C$185=Indirectos[Movimiento])*($F199=Indirectos[Cuenta Contable])*(Y$1=Indirectos[Mes Financiero])*(Y$2=Indirectos[Año Financiero])*(Indirectos[Financiero $Corrientes]))</f>
        <v>0</v>
      </c>
      <c r="Z199" s="144">
        <f t="shared" si="22"/>
        <v>0</v>
      </c>
      <c r="AC199" s="174">
        <f>SUMPRODUCT((F199=Costos_Indirectos_Cuentas[Cuenta Contable])*(Costos_Indirectos_Cuentas[IVA]))</f>
        <v>0.21</v>
      </c>
    </row>
    <row r="200" spans="5:29" hidden="1" outlineLevel="1" x14ac:dyDescent="0.25">
      <c r="E200" s="221">
        <f>IFERROR(MATCH(F200,Costos_Indirectos_Cuentas[Cuenta Contable],0),0)</f>
        <v>10</v>
      </c>
      <c r="F200" s="116" t="str">
        <f>Configuración!CE14</f>
        <v>Amortización</v>
      </c>
      <c r="H200" s="103">
        <f>SUMPRODUCT(($C$185=Indirectos[Movimiento])*($F200=Indirectos[Cuenta Contable])*(H$1=Indirectos[Mes Financiero])*(H$2=Indirectos[Año Financiero])*(Indirectos[Financiero $Corrientes]))</f>
        <v>0</v>
      </c>
      <c r="I200" s="104">
        <f>SUMPRODUCT(($C$185=Indirectos[Movimiento])*($F200=Indirectos[Cuenta Contable])*(I$1=Indirectos[Mes Financiero])*(I$2=Indirectos[Año Financiero])*(Indirectos[Financiero $Corrientes]))</f>
        <v>0</v>
      </c>
      <c r="J200" s="103">
        <f>SUMPRODUCT(($C$185=Indirectos[Movimiento])*($F200=Indirectos[Cuenta Contable])*(J$1=Indirectos[Mes Financiero])*(J$2=Indirectos[Año Financiero])*(Indirectos[Financiero $Corrientes]))</f>
        <v>0</v>
      </c>
      <c r="K200" s="104">
        <f>SUMPRODUCT(($C$185=Indirectos[Movimiento])*($F200=Indirectos[Cuenta Contable])*(K$1=Indirectos[Mes Financiero])*(K$2=Indirectos[Año Financiero])*(Indirectos[Financiero $Corrientes]))</f>
        <v>0</v>
      </c>
      <c r="L200" s="103">
        <f>SUMPRODUCT(($C$185=Indirectos[Movimiento])*($F200=Indirectos[Cuenta Contable])*(L$1=Indirectos[Mes Financiero])*(L$2=Indirectos[Año Financiero])*(Indirectos[Financiero $Corrientes]))</f>
        <v>0</v>
      </c>
      <c r="M200" s="104">
        <f>SUMPRODUCT(($C$185=Indirectos[Movimiento])*($F200=Indirectos[Cuenta Contable])*(M$1=Indirectos[Mes Financiero])*(M$2=Indirectos[Año Financiero])*(Indirectos[Financiero $Corrientes]))</f>
        <v>0</v>
      </c>
      <c r="N200" s="103">
        <f>SUMPRODUCT(($C$185=Indirectos[Movimiento])*($F200=Indirectos[Cuenta Contable])*(N$1=Indirectos[Mes Financiero])*(N$2=Indirectos[Año Financiero])*(Indirectos[Financiero $Corrientes]))</f>
        <v>0</v>
      </c>
      <c r="O200" s="104">
        <f>SUMPRODUCT(($C$185=Indirectos[Movimiento])*($F200=Indirectos[Cuenta Contable])*(O$1=Indirectos[Mes Financiero])*(O$2=Indirectos[Año Financiero])*(Indirectos[Financiero $Corrientes]))</f>
        <v>0</v>
      </c>
      <c r="P200" s="103">
        <f>SUMPRODUCT(($C$185=Indirectos[Movimiento])*($F200=Indirectos[Cuenta Contable])*(P$1=Indirectos[Mes Financiero])*(P$2=Indirectos[Año Financiero])*(Indirectos[Financiero $Corrientes]))</f>
        <v>0</v>
      </c>
      <c r="Q200" s="104">
        <f>SUMPRODUCT(($C$185=Indirectos[Movimiento])*($F200=Indirectos[Cuenta Contable])*(Q$1=Indirectos[Mes Financiero])*(Q$2=Indirectos[Año Financiero])*(Indirectos[Financiero $Corrientes]))</f>
        <v>0</v>
      </c>
      <c r="R200" s="103">
        <f>SUMPRODUCT(($C$185=Indirectos[Movimiento])*($F200=Indirectos[Cuenta Contable])*(R$1=Indirectos[Mes Financiero])*(R$2=Indirectos[Año Financiero])*(Indirectos[Financiero $Corrientes]))</f>
        <v>0</v>
      </c>
      <c r="S200" s="104">
        <f>SUMPRODUCT(($C$185=Indirectos[Movimiento])*($F200=Indirectos[Cuenta Contable])*(S$1=Indirectos[Mes Financiero])*(S$2=Indirectos[Año Financiero])*(Indirectos[Financiero $Corrientes]))</f>
        <v>0</v>
      </c>
      <c r="T200" s="103">
        <f>SUMPRODUCT(($C$185=Indirectos[Movimiento])*($F200=Indirectos[Cuenta Contable])*(T$1=Indirectos[Mes Financiero])*(T$2=Indirectos[Año Financiero])*(Indirectos[Financiero $Corrientes]))</f>
        <v>0</v>
      </c>
      <c r="U200" s="104">
        <f>SUMPRODUCT(($C$185=Indirectos[Movimiento])*($F200=Indirectos[Cuenta Contable])*(U$1=Indirectos[Mes Financiero])*(U$2=Indirectos[Año Financiero])*(Indirectos[Financiero $Corrientes]))</f>
        <v>0</v>
      </c>
      <c r="V200" s="103">
        <f>SUMPRODUCT(($C$185=Indirectos[Movimiento])*($F200=Indirectos[Cuenta Contable])*(V$1=Indirectos[Mes Financiero])*(V$2=Indirectos[Año Financiero])*(Indirectos[Financiero $Corrientes]))</f>
        <v>0</v>
      </c>
      <c r="W200" s="104">
        <f>SUMPRODUCT(($C$185=Indirectos[Movimiento])*($F200=Indirectos[Cuenta Contable])*(W$1=Indirectos[Mes Financiero])*(W$2=Indirectos[Año Financiero])*(Indirectos[Financiero $Corrientes]))</f>
        <v>0</v>
      </c>
      <c r="X200" s="103">
        <f>SUMPRODUCT(($C$185=Indirectos[Movimiento])*($F200=Indirectos[Cuenta Contable])*(X$1=Indirectos[Mes Financiero])*(X$2=Indirectos[Año Financiero])*(Indirectos[Financiero $Corrientes]))</f>
        <v>0</v>
      </c>
      <c r="Y200" s="104">
        <f>SUMPRODUCT(($C$185=Indirectos[Movimiento])*($F200=Indirectos[Cuenta Contable])*(Y$1=Indirectos[Mes Financiero])*(Y$2=Indirectos[Año Financiero])*(Indirectos[Financiero $Corrientes]))</f>
        <v>0</v>
      </c>
      <c r="Z200" s="144">
        <f t="shared" si="22"/>
        <v>0</v>
      </c>
      <c r="AC200" s="174">
        <f>SUMPRODUCT((F200=Costos_Indirectos_Cuentas[Cuenta Contable])*(Costos_Indirectos_Cuentas[IVA]))</f>
        <v>0</v>
      </c>
    </row>
    <row r="201" spans="5:29" hidden="1" outlineLevel="1" x14ac:dyDescent="0.25">
      <c r="E201" s="221">
        <f>IFERROR(MATCH(F201,Costos_Indirectos_Cuentas[Cuenta Contable],0),0)</f>
        <v>0</v>
      </c>
      <c r="F201" s="116">
        <f>Configuración!CE15</f>
        <v>0</v>
      </c>
      <c r="H201" s="103">
        <f>SUMPRODUCT(($C$185=Indirectos[Movimiento])*($F201=Indirectos[Cuenta Contable])*(H$1=Indirectos[Mes Financiero])*(H$2=Indirectos[Año Financiero])*(Indirectos[Financiero $Corrientes]))</f>
        <v>0</v>
      </c>
      <c r="I201" s="104">
        <f>SUMPRODUCT(($C$185=Indirectos[Movimiento])*($F201=Indirectos[Cuenta Contable])*(I$1=Indirectos[Mes Financiero])*(I$2=Indirectos[Año Financiero])*(Indirectos[Financiero $Corrientes]))</f>
        <v>0</v>
      </c>
      <c r="J201" s="103">
        <f>SUMPRODUCT(($C$185=Indirectos[Movimiento])*($F201=Indirectos[Cuenta Contable])*(J$1=Indirectos[Mes Financiero])*(J$2=Indirectos[Año Financiero])*(Indirectos[Financiero $Corrientes]))</f>
        <v>0</v>
      </c>
      <c r="K201" s="104">
        <f>SUMPRODUCT(($C$185=Indirectos[Movimiento])*($F201=Indirectos[Cuenta Contable])*(K$1=Indirectos[Mes Financiero])*(K$2=Indirectos[Año Financiero])*(Indirectos[Financiero $Corrientes]))</f>
        <v>0</v>
      </c>
      <c r="L201" s="103">
        <f>SUMPRODUCT(($C$185=Indirectos[Movimiento])*($F201=Indirectos[Cuenta Contable])*(L$1=Indirectos[Mes Financiero])*(L$2=Indirectos[Año Financiero])*(Indirectos[Financiero $Corrientes]))</f>
        <v>0</v>
      </c>
      <c r="M201" s="104">
        <f>SUMPRODUCT(($C$185=Indirectos[Movimiento])*($F201=Indirectos[Cuenta Contable])*(M$1=Indirectos[Mes Financiero])*(M$2=Indirectos[Año Financiero])*(Indirectos[Financiero $Corrientes]))</f>
        <v>0</v>
      </c>
      <c r="N201" s="103">
        <f>SUMPRODUCT(($C$185=Indirectos[Movimiento])*($F201=Indirectos[Cuenta Contable])*(N$1=Indirectos[Mes Financiero])*(N$2=Indirectos[Año Financiero])*(Indirectos[Financiero $Corrientes]))</f>
        <v>0</v>
      </c>
      <c r="O201" s="104">
        <f>SUMPRODUCT(($C$185=Indirectos[Movimiento])*($F201=Indirectos[Cuenta Contable])*(O$1=Indirectos[Mes Financiero])*(O$2=Indirectos[Año Financiero])*(Indirectos[Financiero $Corrientes]))</f>
        <v>0</v>
      </c>
      <c r="P201" s="103">
        <f>SUMPRODUCT(($C$185=Indirectos[Movimiento])*($F201=Indirectos[Cuenta Contable])*(P$1=Indirectos[Mes Financiero])*(P$2=Indirectos[Año Financiero])*(Indirectos[Financiero $Corrientes]))</f>
        <v>0</v>
      </c>
      <c r="Q201" s="104">
        <f>SUMPRODUCT(($C$185=Indirectos[Movimiento])*($F201=Indirectos[Cuenta Contable])*(Q$1=Indirectos[Mes Financiero])*(Q$2=Indirectos[Año Financiero])*(Indirectos[Financiero $Corrientes]))</f>
        <v>0</v>
      </c>
      <c r="R201" s="103">
        <f>SUMPRODUCT(($C$185=Indirectos[Movimiento])*($F201=Indirectos[Cuenta Contable])*(R$1=Indirectos[Mes Financiero])*(R$2=Indirectos[Año Financiero])*(Indirectos[Financiero $Corrientes]))</f>
        <v>0</v>
      </c>
      <c r="S201" s="104">
        <f>SUMPRODUCT(($C$185=Indirectos[Movimiento])*($F201=Indirectos[Cuenta Contable])*(S$1=Indirectos[Mes Financiero])*(S$2=Indirectos[Año Financiero])*(Indirectos[Financiero $Corrientes]))</f>
        <v>0</v>
      </c>
      <c r="T201" s="103">
        <f>SUMPRODUCT(($C$185=Indirectos[Movimiento])*($F201=Indirectos[Cuenta Contable])*(T$1=Indirectos[Mes Financiero])*(T$2=Indirectos[Año Financiero])*(Indirectos[Financiero $Corrientes]))</f>
        <v>0</v>
      </c>
      <c r="U201" s="104">
        <f>SUMPRODUCT(($C$185=Indirectos[Movimiento])*($F201=Indirectos[Cuenta Contable])*(U$1=Indirectos[Mes Financiero])*(U$2=Indirectos[Año Financiero])*(Indirectos[Financiero $Corrientes]))</f>
        <v>0</v>
      </c>
      <c r="V201" s="103">
        <f>SUMPRODUCT(($C$185=Indirectos[Movimiento])*($F201=Indirectos[Cuenta Contable])*(V$1=Indirectos[Mes Financiero])*(V$2=Indirectos[Año Financiero])*(Indirectos[Financiero $Corrientes]))</f>
        <v>0</v>
      </c>
      <c r="W201" s="104">
        <f>SUMPRODUCT(($C$185=Indirectos[Movimiento])*($F201=Indirectos[Cuenta Contable])*(W$1=Indirectos[Mes Financiero])*(W$2=Indirectos[Año Financiero])*(Indirectos[Financiero $Corrientes]))</f>
        <v>0</v>
      </c>
      <c r="X201" s="103">
        <f>SUMPRODUCT(($C$185=Indirectos[Movimiento])*($F201=Indirectos[Cuenta Contable])*(X$1=Indirectos[Mes Financiero])*(X$2=Indirectos[Año Financiero])*(Indirectos[Financiero $Corrientes]))</f>
        <v>0</v>
      </c>
      <c r="Y201" s="104">
        <f>SUMPRODUCT(($C$185=Indirectos[Movimiento])*($F201=Indirectos[Cuenta Contable])*(Y$1=Indirectos[Mes Financiero])*(Y$2=Indirectos[Año Financiero])*(Indirectos[Financiero $Corrientes]))</f>
        <v>0</v>
      </c>
      <c r="Z201" s="144">
        <f t="shared" si="22"/>
        <v>0</v>
      </c>
      <c r="AC201" s="174">
        <f>SUMPRODUCT((F201=Costos_Indirectos_Cuentas[Cuenta Contable])*(Costos_Indirectos_Cuentas[IVA]))</f>
        <v>0</v>
      </c>
    </row>
    <row r="202" spans="5:29" hidden="1" outlineLevel="1" x14ac:dyDescent="0.25">
      <c r="E202" s="221">
        <f>IFERROR(MATCH(F202,Costos_Indirectos_Cuentas[Cuenta Contable],0),0)</f>
        <v>0</v>
      </c>
      <c r="F202" s="116">
        <f>Configuración!CE16</f>
        <v>0</v>
      </c>
      <c r="H202" s="103">
        <f>SUMPRODUCT(($C$185=Indirectos[Movimiento])*($F202=Indirectos[Cuenta Contable])*(H$1=Indirectos[Mes Financiero])*(H$2=Indirectos[Año Financiero])*(Indirectos[Financiero $Corrientes]))</f>
        <v>0</v>
      </c>
      <c r="I202" s="104">
        <f>SUMPRODUCT(($C$185=Indirectos[Movimiento])*($F202=Indirectos[Cuenta Contable])*(I$1=Indirectos[Mes Financiero])*(I$2=Indirectos[Año Financiero])*(Indirectos[Financiero $Corrientes]))</f>
        <v>0</v>
      </c>
      <c r="J202" s="103">
        <f>SUMPRODUCT(($C$185=Indirectos[Movimiento])*($F202=Indirectos[Cuenta Contable])*(J$1=Indirectos[Mes Financiero])*(J$2=Indirectos[Año Financiero])*(Indirectos[Financiero $Corrientes]))</f>
        <v>0</v>
      </c>
      <c r="K202" s="104">
        <f>SUMPRODUCT(($C$185=Indirectos[Movimiento])*($F202=Indirectos[Cuenta Contable])*(K$1=Indirectos[Mes Financiero])*(K$2=Indirectos[Año Financiero])*(Indirectos[Financiero $Corrientes]))</f>
        <v>0</v>
      </c>
      <c r="L202" s="103">
        <f>SUMPRODUCT(($C$185=Indirectos[Movimiento])*($F202=Indirectos[Cuenta Contable])*(L$1=Indirectos[Mes Financiero])*(L$2=Indirectos[Año Financiero])*(Indirectos[Financiero $Corrientes]))</f>
        <v>0</v>
      </c>
      <c r="M202" s="104">
        <f>SUMPRODUCT(($C$185=Indirectos[Movimiento])*($F202=Indirectos[Cuenta Contable])*(M$1=Indirectos[Mes Financiero])*(M$2=Indirectos[Año Financiero])*(Indirectos[Financiero $Corrientes]))</f>
        <v>0</v>
      </c>
      <c r="N202" s="103">
        <f>SUMPRODUCT(($C$185=Indirectos[Movimiento])*($F202=Indirectos[Cuenta Contable])*(N$1=Indirectos[Mes Financiero])*(N$2=Indirectos[Año Financiero])*(Indirectos[Financiero $Corrientes]))</f>
        <v>0</v>
      </c>
      <c r="O202" s="104">
        <f>SUMPRODUCT(($C$185=Indirectos[Movimiento])*($F202=Indirectos[Cuenta Contable])*(O$1=Indirectos[Mes Financiero])*(O$2=Indirectos[Año Financiero])*(Indirectos[Financiero $Corrientes]))</f>
        <v>0</v>
      </c>
      <c r="P202" s="103">
        <f>SUMPRODUCT(($C$185=Indirectos[Movimiento])*($F202=Indirectos[Cuenta Contable])*(P$1=Indirectos[Mes Financiero])*(P$2=Indirectos[Año Financiero])*(Indirectos[Financiero $Corrientes]))</f>
        <v>0</v>
      </c>
      <c r="Q202" s="104">
        <f>SUMPRODUCT(($C$185=Indirectos[Movimiento])*($F202=Indirectos[Cuenta Contable])*(Q$1=Indirectos[Mes Financiero])*(Q$2=Indirectos[Año Financiero])*(Indirectos[Financiero $Corrientes]))</f>
        <v>0</v>
      </c>
      <c r="R202" s="103">
        <f>SUMPRODUCT(($C$185=Indirectos[Movimiento])*($F202=Indirectos[Cuenta Contable])*(R$1=Indirectos[Mes Financiero])*(R$2=Indirectos[Año Financiero])*(Indirectos[Financiero $Corrientes]))</f>
        <v>0</v>
      </c>
      <c r="S202" s="104">
        <f>SUMPRODUCT(($C$185=Indirectos[Movimiento])*($F202=Indirectos[Cuenta Contable])*(S$1=Indirectos[Mes Financiero])*(S$2=Indirectos[Año Financiero])*(Indirectos[Financiero $Corrientes]))</f>
        <v>0</v>
      </c>
      <c r="T202" s="103">
        <f>SUMPRODUCT(($C$185=Indirectos[Movimiento])*($F202=Indirectos[Cuenta Contable])*(T$1=Indirectos[Mes Financiero])*(T$2=Indirectos[Año Financiero])*(Indirectos[Financiero $Corrientes]))</f>
        <v>0</v>
      </c>
      <c r="U202" s="104">
        <f>SUMPRODUCT(($C$185=Indirectos[Movimiento])*($F202=Indirectos[Cuenta Contable])*(U$1=Indirectos[Mes Financiero])*(U$2=Indirectos[Año Financiero])*(Indirectos[Financiero $Corrientes]))</f>
        <v>0</v>
      </c>
      <c r="V202" s="103">
        <f>SUMPRODUCT(($C$185=Indirectos[Movimiento])*($F202=Indirectos[Cuenta Contable])*(V$1=Indirectos[Mes Financiero])*(V$2=Indirectos[Año Financiero])*(Indirectos[Financiero $Corrientes]))</f>
        <v>0</v>
      </c>
      <c r="W202" s="104">
        <f>SUMPRODUCT(($C$185=Indirectos[Movimiento])*($F202=Indirectos[Cuenta Contable])*(W$1=Indirectos[Mes Financiero])*(W$2=Indirectos[Año Financiero])*(Indirectos[Financiero $Corrientes]))</f>
        <v>0</v>
      </c>
      <c r="X202" s="103">
        <f>SUMPRODUCT(($C$185=Indirectos[Movimiento])*($F202=Indirectos[Cuenta Contable])*(X$1=Indirectos[Mes Financiero])*(X$2=Indirectos[Año Financiero])*(Indirectos[Financiero $Corrientes]))</f>
        <v>0</v>
      </c>
      <c r="Y202" s="104">
        <f>SUMPRODUCT(($C$185=Indirectos[Movimiento])*($F202=Indirectos[Cuenta Contable])*(Y$1=Indirectos[Mes Financiero])*(Y$2=Indirectos[Año Financiero])*(Indirectos[Financiero $Corrientes]))</f>
        <v>0</v>
      </c>
      <c r="Z202" s="144">
        <f t="shared" ref="Z202" si="26">SUM(H202:Y202)</f>
        <v>0</v>
      </c>
      <c r="AC202" s="174">
        <f>SUMPRODUCT((F202=Costos_Indirectos_Cuentas[Cuenta Contable])*(Costos_Indirectos_Cuentas[IVA]))</f>
        <v>0</v>
      </c>
    </row>
    <row r="203" spans="5:29" hidden="1" outlineLevel="1" x14ac:dyDescent="0.25">
      <c r="E203" s="221">
        <f>IFERROR(MATCH(F203,Costos_Indirectos_Cuentas[Cuenta Contable],0),0)</f>
        <v>13</v>
      </c>
      <c r="F203" s="116" t="str">
        <f>Configuración!CE17</f>
        <v>Impuestos Provinciales</v>
      </c>
      <c r="H203" s="103">
        <f>SUMPRODUCT(($C$185=Indirectos[Movimiento])*($F203=Indirectos[Cuenta Contable])*(H$1=Indirectos[Mes Financiero])*(H$2=Indirectos[Año Financiero])*(Indirectos[Financiero $Corrientes]))</f>
        <v>0</v>
      </c>
      <c r="I203" s="104">
        <f>SUMPRODUCT(($C$185=Indirectos[Movimiento])*($F203=Indirectos[Cuenta Contable])*(I$1=Indirectos[Mes Financiero])*(I$2=Indirectos[Año Financiero])*(Indirectos[Financiero $Corrientes]))</f>
        <v>0</v>
      </c>
      <c r="J203" s="103">
        <f>SUMPRODUCT(($C$185=Indirectos[Movimiento])*($F203=Indirectos[Cuenta Contable])*(J$1=Indirectos[Mes Financiero])*(J$2=Indirectos[Año Financiero])*(Indirectos[Financiero $Corrientes]))</f>
        <v>0</v>
      </c>
      <c r="K203" s="104">
        <f>SUMPRODUCT(($C$185=Indirectos[Movimiento])*($F203=Indirectos[Cuenta Contable])*(K$1=Indirectos[Mes Financiero])*(K$2=Indirectos[Año Financiero])*(Indirectos[Financiero $Corrientes]))</f>
        <v>0</v>
      </c>
      <c r="L203" s="103">
        <f>SUMPRODUCT(($C$185=Indirectos[Movimiento])*($F203=Indirectos[Cuenta Contable])*(L$1=Indirectos[Mes Financiero])*(L$2=Indirectos[Año Financiero])*(Indirectos[Financiero $Corrientes]))</f>
        <v>0</v>
      </c>
      <c r="M203" s="104">
        <f>SUMPRODUCT(($C$185=Indirectos[Movimiento])*($F203=Indirectos[Cuenta Contable])*(M$1=Indirectos[Mes Financiero])*(M$2=Indirectos[Año Financiero])*(Indirectos[Financiero $Corrientes]))</f>
        <v>0</v>
      </c>
      <c r="N203" s="103">
        <f>SUMPRODUCT(($C$185=Indirectos[Movimiento])*($F203=Indirectos[Cuenta Contable])*(N$1=Indirectos[Mes Financiero])*(N$2=Indirectos[Año Financiero])*(Indirectos[Financiero $Corrientes]))</f>
        <v>0</v>
      </c>
      <c r="O203" s="104">
        <f>SUMPRODUCT(($C$185=Indirectos[Movimiento])*($F203=Indirectos[Cuenta Contable])*(O$1=Indirectos[Mes Financiero])*(O$2=Indirectos[Año Financiero])*(Indirectos[Financiero $Corrientes]))</f>
        <v>0</v>
      </c>
      <c r="P203" s="103">
        <f>SUMPRODUCT(($C$185=Indirectos[Movimiento])*($F203=Indirectos[Cuenta Contable])*(P$1=Indirectos[Mes Financiero])*(P$2=Indirectos[Año Financiero])*(Indirectos[Financiero $Corrientes]))</f>
        <v>0</v>
      </c>
      <c r="Q203" s="104">
        <f>SUMPRODUCT(($C$185=Indirectos[Movimiento])*($F203=Indirectos[Cuenta Contable])*(Q$1=Indirectos[Mes Financiero])*(Q$2=Indirectos[Año Financiero])*(Indirectos[Financiero $Corrientes]))</f>
        <v>0</v>
      </c>
      <c r="R203" s="103">
        <f>SUMPRODUCT(($C$185=Indirectos[Movimiento])*($F203=Indirectos[Cuenta Contable])*(R$1=Indirectos[Mes Financiero])*(R$2=Indirectos[Año Financiero])*(Indirectos[Financiero $Corrientes]))</f>
        <v>0</v>
      </c>
      <c r="S203" s="104">
        <f>SUMPRODUCT(($C$185=Indirectos[Movimiento])*($F203=Indirectos[Cuenta Contable])*(S$1=Indirectos[Mes Financiero])*(S$2=Indirectos[Año Financiero])*(Indirectos[Financiero $Corrientes]))</f>
        <v>0</v>
      </c>
      <c r="T203" s="103">
        <f>SUMPRODUCT(($C$185=Indirectos[Movimiento])*($F203=Indirectos[Cuenta Contable])*(T$1=Indirectos[Mes Financiero])*(T$2=Indirectos[Año Financiero])*(Indirectos[Financiero $Corrientes]))</f>
        <v>0</v>
      </c>
      <c r="U203" s="104">
        <f>SUMPRODUCT(($C$185=Indirectos[Movimiento])*($F203=Indirectos[Cuenta Contable])*(U$1=Indirectos[Mes Financiero])*(U$2=Indirectos[Año Financiero])*(Indirectos[Financiero $Corrientes]))</f>
        <v>0</v>
      </c>
      <c r="V203" s="103">
        <f>SUMPRODUCT(($C$185=Indirectos[Movimiento])*($F203=Indirectos[Cuenta Contable])*(V$1=Indirectos[Mes Financiero])*(V$2=Indirectos[Año Financiero])*(Indirectos[Financiero $Corrientes]))</f>
        <v>0</v>
      </c>
      <c r="W203" s="104">
        <f>SUMPRODUCT(($C$185=Indirectos[Movimiento])*($F203=Indirectos[Cuenta Contable])*(W$1=Indirectos[Mes Financiero])*(W$2=Indirectos[Año Financiero])*(Indirectos[Financiero $Corrientes]))</f>
        <v>0</v>
      </c>
      <c r="X203" s="103">
        <f>SUMPRODUCT(($C$185=Indirectos[Movimiento])*($F203=Indirectos[Cuenta Contable])*(X$1=Indirectos[Mes Financiero])*(X$2=Indirectos[Año Financiero])*(Indirectos[Financiero $Corrientes]))</f>
        <v>0</v>
      </c>
      <c r="Y203" s="104">
        <f>SUMPRODUCT(($C$185=Indirectos[Movimiento])*($F203=Indirectos[Cuenta Contable])*(Y$1=Indirectos[Mes Financiero])*(Y$2=Indirectos[Año Financiero])*(Indirectos[Financiero $Corrientes]))</f>
        <v>0</v>
      </c>
      <c r="Z203" s="144">
        <f t="shared" ref="Z203:Z220" si="27">SUM(H203:Y203)</f>
        <v>0</v>
      </c>
      <c r="AC203" s="174">
        <f>SUMPRODUCT((F203=Costos_Indirectos_Cuentas[Cuenta Contable])*(Costos_Indirectos_Cuentas[IVA]))</f>
        <v>0</v>
      </c>
    </row>
    <row r="204" spans="5:29" hidden="1" outlineLevel="1" x14ac:dyDescent="0.25">
      <c r="E204" s="221">
        <f>IFERROR(MATCH(F204,Costos_Indirectos_Cuentas[Cuenta Contable],0),0)</f>
        <v>14</v>
      </c>
      <c r="F204" s="116" t="str">
        <f>Configuración!CE18</f>
        <v>Tasas y Servicios Municipales</v>
      </c>
      <c r="H204" s="103">
        <f>SUMPRODUCT(($C$185=Indirectos[Movimiento])*($F204=Indirectos[Cuenta Contable])*(H$1=Indirectos[Mes Financiero])*(H$2=Indirectos[Año Financiero])*(Indirectos[Financiero $Corrientes]))</f>
        <v>0</v>
      </c>
      <c r="I204" s="104">
        <f>SUMPRODUCT(($C$185=Indirectos[Movimiento])*($F204=Indirectos[Cuenta Contable])*(I$1=Indirectos[Mes Financiero])*(I$2=Indirectos[Año Financiero])*(Indirectos[Financiero $Corrientes]))</f>
        <v>0</v>
      </c>
      <c r="J204" s="103">
        <f>SUMPRODUCT(($C$185=Indirectos[Movimiento])*($F204=Indirectos[Cuenta Contable])*(J$1=Indirectos[Mes Financiero])*(J$2=Indirectos[Año Financiero])*(Indirectos[Financiero $Corrientes]))</f>
        <v>0</v>
      </c>
      <c r="K204" s="104">
        <f>SUMPRODUCT(($C$185=Indirectos[Movimiento])*($F204=Indirectos[Cuenta Contable])*(K$1=Indirectos[Mes Financiero])*(K$2=Indirectos[Año Financiero])*(Indirectos[Financiero $Corrientes]))</f>
        <v>0</v>
      </c>
      <c r="L204" s="103">
        <f>SUMPRODUCT(($C$185=Indirectos[Movimiento])*($F204=Indirectos[Cuenta Contable])*(L$1=Indirectos[Mes Financiero])*(L$2=Indirectos[Año Financiero])*(Indirectos[Financiero $Corrientes]))</f>
        <v>0</v>
      </c>
      <c r="M204" s="104">
        <f>SUMPRODUCT(($C$185=Indirectos[Movimiento])*($F204=Indirectos[Cuenta Contable])*(M$1=Indirectos[Mes Financiero])*(M$2=Indirectos[Año Financiero])*(Indirectos[Financiero $Corrientes]))</f>
        <v>0</v>
      </c>
      <c r="N204" s="103">
        <f>SUMPRODUCT(($C$185=Indirectos[Movimiento])*($F204=Indirectos[Cuenta Contable])*(N$1=Indirectos[Mes Financiero])*(N$2=Indirectos[Año Financiero])*(Indirectos[Financiero $Corrientes]))</f>
        <v>0</v>
      </c>
      <c r="O204" s="104">
        <f>SUMPRODUCT(($C$185=Indirectos[Movimiento])*($F204=Indirectos[Cuenta Contable])*(O$1=Indirectos[Mes Financiero])*(O$2=Indirectos[Año Financiero])*(Indirectos[Financiero $Corrientes]))</f>
        <v>0</v>
      </c>
      <c r="P204" s="103">
        <f>SUMPRODUCT(($C$185=Indirectos[Movimiento])*($F204=Indirectos[Cuenta Contable])*(P$1=Indirectos[Mes Financiero])*(P$2=Indirectos[Año Financiero])*(Indirectos[Financiero $Corrientes]))</f>
        <v>0</v>
      </c>
      <c r="Q204" s="104">
        <f>SUMPRODUCT(($C$185=Indirectos[Movimiento])*($F204=Indirectos[Cuenta Contable])*(Q$1=Indirectos[Mes Financiero])*(Q$2=Indirectos[Año Financiero])*(Indirectos[Financiero $Corrientes]))</f>
        <v>0</v>
      </c>
      <c r="R204" s="103">
        <f>SUMPRODUCT(($C$185=Indirectos[Movimiento])*($F204=Indirectos[Cuenta Contable])*(R$1=Indirectos[Mes Financiero])*(R$2=Indirectos[Año Financiero])*(Indirectos[Financiero $Corrientes]))</f>
        <v>0</v>
      </c>
      <c r="S204" s="104">
        <f>SUMPRODUCT(($C$185=Indirectos[Movimiento])*($F204=Indirectos[Cuenta Contable])*(S$1=Indirectos[Mes Financiero])*(S$2=Indirectos[Año Financiero])*(Indirectos[Financiero $Corrientes]))</f>
        <v>0</v>
      </c>
      <c r="T204" s="103">
        <f>SUMPRODUCT(($C$185=Indirectos[Movimiento])*($F204=Indirectos[Cuenta Contable])*(T$1=Indirectos[Mes Financiero])*(T$2=Indirectos[Año Financiero])*(Indirectos[Financiero $Corrientes]))</f>
        <v>0</v>
      </c>
      <c r="U204" s="104">
        <f>SUMPRODUCT(($C$185=Indirectos[Movimiento])*($F204=Indirectos[Cuenta Contable])*(U$1=Indirectos[Mes Financiero])*(U$2=Indirectos[Año Financiero])*(Indirectos[Financiero $Corrientes]))</f>
        <v>0</v>
      </c>
      <c r="V204" s="103">
        <f>SUMPRODUCT(($C$185=Indirectos[Movimiento])*($F204=Indirectos[Cuenta Contable])*(V$1=Indirectos[Mes Financiero])*(V$2=Indirectos[Año Financiero])*(Indirectos[Financiero $Corrientes]))</f>
        <v>0</v>
      </c>
      <c r="W204" s="104">
        <f>SUMPRODUCT(($C$185=Indirectos[Movimiento])*($F204=Indirectos[Cuenta Contable])*(W$1=Indirectos[Mes Financiero])*(W$2=Indirectos[Año Financiero])*(Indirectos[Financiero $Corrientes]))</f>
        <v>0</v>
      </c>
      <c r="X204" s="103">
        <f>SUMPRODUCT(($C$185=Indirectos[Movimiento])*($F204=Indirectos[Cuenta Contable])*(X$1=Indirectos[Mes Financiero])*(X$2=Indirectos[Año Financiero])*(Indirectos[Financiero $Corrientes]))</f>
        <v>0</v>
      </c>
      <c r="Y204" s="104">
        <f>SUMPRODUCT(($C$185=Indirectos[Movimiento])*($F204=Indirectos[Cuenta Contable])*(Y$1=Indirectos[Mes Financiero])*(Y$2=Indirectos[Año Financiero])*(Indirectos[Financiero $Corrientes]))</f>
        <v>0</v>
      </c>
      <c r="Z204" s="144">
        <f t="shared" si="27"/>
        <v>0</v>
      </c>
      <c r="AC204" s="174"/>
    </row>
    <row r="205" spans="5:29" hidden="1" outlineLevel="1" x14ac:dyDescent="0.25">
      <c r="E205" s="221">
        <f>IFERROR(MATCH(F205,Costos_Indirectos_Cuentas[Cuenta Contable],0),0)</f>
        <v>15</v>
      </c>
      <c r="F205" s="116" t="str">
        <f>Configuración!CE19</f>
        <v>Impuesto Determinado IIGG</v>
      </c>
      <c r="H205" s="103">
        <f>SUMPRODUCT(($C$185=Indirectos[Movimiento])*($F205=Indirectos[Cuenta Contable])*(H$1=Indirectos[Mes Financiero])*(H$2=Indirectos[Año Financiero])*(Indirectos[Financiero $Corrientes]))</f>
        <v>0</v>
      </c>
      <c r="I205" s="104">
        <f>SUMPRODUCT(($C$185=Indirectos[Movimiento])*($F205=Indirectos[Cuenta Contable])*(I$1=Indirectos[Mes Financiero])*(I$2=Indirectos[Año Financiero])*(Indirectos[Financiero $Corrientes]))</f>
        <v>0</v>
      </c>
      <c r="J205" s="103">
        <f>SUMPRODUCT(($C$185=Indirectos[Movimiento])*($F205=Indirectos[Cuenta Contable])*(J$1=Indirectos[Mes Financiero])*(J$2=Indirectos[Año Financiero])*(Indirectos[Financiero $Corrientes]))</f>
        <v>0</v>
      </c>
      <c r="K205" s="104">
        <f>SUMPRODUCT(($C$185=Indirectos[Movimiento])*($F205=Indirectos[Cuenta Contable])*(K$1=Indirectos[Mes Financiero])*(K$2=Indirectos[Año Financiero])*(Indirectos[Financiero $Corrientes]))</f>
        <v>0</v>
      </c>
      <c r="L205" s="103">
        <f>SUMPRODUCT(($C$185=Indirectos[Movimiento])*($F205=Indirectos[Cuenta Contable])*(L$1=Indirectos[Mes Financiero])*(L$2=Indirectos[Año Financiero])*(Indirectos[Financiero $Corrientes]))</f>
        <v>0</v>
      </c>
      <c r="M205" s="104">
        <f>SUMPRODUCT(($C$185=Indirectos[Movimiento])*($F205=Indirectos[Cuenta Contable])*(M$1=Indirectos[Mes Financiero])*(M$2=Indirectos[Año Financiero])*(Indirectos[Financiero $Corrientes]))</f>
        <v>0</v>
      </c>
      <c r="N205" s="103">
        <f>SUMPRODUCT(($C$185=Indirectos[Movimiento])*($F205=Indirectos[Cuenta Contable])*(N$1=Indirectos[Mes Financiero])*(N$2=Indirectos[Año Financiero])*(Indirectos[Financiero $Corrientes]))</f>
        <v>0</v>
      </c>
      <c r="O205" s="104">
        <f>SUMPRODUCT(($C$185=Indirectos[Movimiento])*($F205=Indirectos[Cuenta Contable])*(O$1=Indirectos[Mes Financiero])*(O$2=Indirectos[Año Financiero])*(Indirectos[Financiero $Corrientes]))</f>
        <v>0</v>
      </c>
      <c r="P205" s="103">
        <f>SUMPRODUCT(($C$185=Indirectos[Movimiento])*($F205=Indirectos[Cuenta Contable])*(P$1=Indirectos[Mes Financiero])*(P$2=Indirectos[Año Financiero])*(Indirectos[Financiero $Corrientes]))</f>
        <v>0</v>
      </c>
      <c r="Q205" s="104">
        <f>SUMPRODUCT(($C$185=Indirectos[Movimiento])*($F205=Indirectos[Cuenta Contable])*(Q$1=Indirectos[Mes Financiero])*(Q$2=Indirectos[Año Financiero])*(Indirectos[Financiero $Corrientes]))</f>
        <v>0</v>
      </c>
      <c r="R205" s="103">
        <f>SUMPRODUCT(($C$185=Indirectos[Movimiento])*($F205=Indirectos[Cuenta Contable])*(R$1=Indirectos[Mes Financiero])*(R$2=Indirectos[Año Financiero])*(Indirectos[Financiero $Corrientes]))</f>
        <v>0</v>
      </c>
      <c r="S205" s="104">
        <f>SUMPRODUCT(($C$185=Indirectos[Movimiento])*($F205=Indirectos[Cuenta Contable])*(S$1=Indirectos[Mes Financiero])*(S$2=Indirectos[Año Financiero])*(Indirectos[Financiero $Corrientes]))</f>
        <v>0</v>
      </c>
      <c r="T205" s="103">
        <f>SUMPRODUCT(($C$185=Indirectos[Movimiento])*($F205=Indirectos[Cuenta Contable])*(T$1=Indirectos[Mes Financiero])*(T$2=Indirectos[Año Financiero])*(Indirectos[Financiero $Corrientes]))</f>
        <v>0</v>
      </c>
      <c r="U205" s="104">
        <f>SUMPRODUCT(($C$185=Indirectos[Movimiento])*($F205=Indirectos[Cuenta Contable])*(U$1=Indirectos[Mes Financiero])*(U$2=Indirectos[Año Financiero])*(Indirectos[Financiero $Corrientes]))</f>
        <v>0</v>
      </c>
      <c r="V205" s="103">
        <f>SUMPRODUCT(($C$185=Indirectos[Movimiento])*($F205=Indirectos[Cuenta Contable])*(V$1=Indirectos[Mes Financiero])*(V$2=Indirectos[Año Financiero])*(Indirectos[Financiero $Corrientes]))</f>
        <v>0</v>
      </c>
      <c r="W205" s="104">
        <f>SUMPRODUCT(($C$185=Indirectos[Movimiento])*($F205=Indirectos[Cuenta Contable])*(W$1=Indirectos[Mes Financiero])*(W$2=Indirectos[Año Financiero])*(Indirectos[Financiero $Corrientes]))</f>
        <v>0</v>
      </c>
      <c r="X205" s="103">
        <f>SUMPRODUCT(($C$185=Indirectos[Movimiento])*($F205=Indirectos[Cuenta Contable])*(X$1=Indirectos[Mes Financiero])*(X$2=Indirectos[Año Financiero])*(Indirectos[Financiero $Corrientes]))</f>
        <v>0</v>
      </c>
      <c r="Y205" s="104">
        <f>SUMPRODUCT(($C$185=Indirectos[Movimiento])*($F205=Indirectos[Cuenta Contable])*(Y$1=Indirectos[Mes Financiero])*(Y$2=Indirectos[Año Financiero])*(Indirectos[Financiero $Corrientes]))</f>
        <v>0</v>
      </c>
      <c r="Z205" s="144">
        <f t="shared" si="27"/>
        <v>0</v>
      </c>
      <c r="AC205" s="174"/>
    </row>
    <row r="206" spans="5:29" hidden="1" outlineLevel="1" x14ac:dyDescent="0.25">
      <c r="E206" s="221">
        <f>IFERROR(MATCH(F206,Costos_Indirectos_Cuentas[Cuenta Contable],0),0)</f>
        <v>16</v>
      </c>
      <c r="F206" s="116" t="str">
        <f>Configuración!CE20</f>
        <v>Anticipo IIGG</v>
      </c>
      <c r="H206" s="103">
        <f>SUMPRODUCT(($C$185=Indirectos[Movimiento])*($F206=Indirectos[Cuenta Contable])*(H$1=Indirectos[Mes Financiero])*(H$2=Indirectos[Año Financiero])*(Indirectos[Financiero $Corrientes]))</f>
        <v>0</v>
      </c>
      <c r="I206" s="104">
        <f>SUMPRODUCT(($C$185=Indirectos[Movimiento])*($F206=Indirectos[Cuenta Contable])*(I$1=Indirectos[Mes Financiero])*(I$2=Indirectos[Año Financiero])*(Indirectos[Financiero $Corrientes]))</f>
        <v>0</v>
      </c>
      <c r="J206" s="103">
        <f>SUMPRODUCT(($C$185=Indirectos[Movimiento])*($F206=Indirectos[Cuenta Contable])*(J$1=Indirectos[Mes Financiero])*(J$2=Indirectos[Año Financiero])*(Indirectos[Financiero $Corrientes]))</f>
        <v>0</v>
      </c>
      <c r="K206" s="104">
        <f>SUMPRODUCT(($C$185=Indirectos[Movimiento])*($F206=Indirectos[Cuenta Contable])*(K$1=Indirectos[Mes Financiero])*(K$2=Indirectos[Año Financiero])*(Indirectos[Financiero $Corrientes]))</f>
        <v>0</v>
      </c>
      <c r="L206" s="103">
        <f>SUMPRODUCT(($C$185=Indirectos[Movimiento])*($F206=Indirectos[Cuenta Contable])*(L$1=Indirectos[Mes Financiero])*(L$2=Indirectos[Año Financiero])*(Indirectos[Financiero $Corrientes]))</f>
        <v>0</v>
      </c>
      <c r="M206" s="104">
        <f>SUMPRODUCT(($C$185=Indirectos[Movimiento])*($F206=Indirectos[Cuenta Contable])*(M$1=Indirectos[Mes Financiero])*(M$2=Indirectos[Año Financiero])*(Indirectos[Financiero $Corrientes]))</f>
        <v>0</v>
      </c>
      <c r="N206" s="103">
        <f>SUMPRODUCT(($C$185=Indirectos[Movimiento])*($F206=Indirectos[Cuenta Contable])*(N$1=Indirectos[Mes Financiero])*(N$2=Indirectos[Año Financiero])*(Indirectos[Financiero $Corrientes]))</f>
        <v>0</v>
      </c>
      <c r="O206" s="104">
        <f>SUMPRODUCT(($C$185=Indirectos[Movimiento])*($F206=Indirectos[Cuenta Contable])*(O$1=Indirectos[Mes Financiero])*(O$2=Indirectos[Año Financiero])*(Indirectos[Financiero $Corrientes]))</f>
        <v>0</v>
      </c>
      <c r="P206" s="103">
        <f>SUMPRODUCT(($C$185=Indirectos[Movimiento])*($F206=Indirectos[Cuenta Contable])*(P$1=Indirectos[Mes Financiero])*(P$2=Indirectos[Año Financiero])*(Indirectos[Financiero $Corrientes]))</f>
        <v>0</v>
      </c>
      <c r="Q206" s="104">
        <f>SUMPRODUCT(($C$185=Indirectos[Movimiento])*($F206=Indirectos[Cuenta Contable])*(Q$1=Indirectos[Mes Financiero])*(Q$2=Indirectos[Año Financiero])*(Indirectos[Financiero $Corrientes]))</f>
        <v>0</v>
      </c>
      <c r="R206" s="103">
        <f>SUMPRODUCT(($C$185=Indirectos[Movimiento])*($F206=Indirectos[Cuenta Contable])*(R$1=Indirectos[Mes Financiero])*(R$2=Indirectos[Año Financiero])*(Indirectos[Financiero $Corrientes]))</f>
        <v>0</v>
      </c>
      <c r="S206" s="104">
        <f>SUMPRODUCT(($C$185=Indirectos[Movimiento])*($F206=Indirectos[Cuenta Contable])*(S$1=Indirectos[Mes Financiero])*(S$2=Indirectos[Año Financiero])*(Indirectos[Financiero $Corrientes]))</f>
        <v>0</v>
      </c>
      <c r="T206" s="103">
        <f>SUMPRODUCT(($C$185=Indirectos[Movimiento])*($F206=Indirectos[Cuenta Contable])*(T$1=Indirectos[Mes Financiero])*(T$2=Indirectos[Año Financiero])*(Indirectos[Financiero $Corrientes]))</f>
        <v>0</v>
      </c>
      <c r="U206" s="104">
        <f>SUMPRODUCT(($C$185=Indirectos[Movimiento])*($F206=Indirectos[Cuenta Contable])*(U$1=Indirectos[Mes Financiero])*(U$2=Indirectos[Año Financiero])*(Indirectos[Financiero $Corrientes]))</f>
        <v>0</v>
      </c>
      <c r="V206" s="103">
        <f>SUMPRODUCT(($C$185=Indirectos[Movimiento])*($F206=Indirectos[Cuenta Contable])*(V$1=Indirectos[Mes Financiero])*(V$2=Indirectos[Año Financiero])*(Indirectos[Financiero $Corrientes]))</f>
        <v>0</v>
      </c>
      <c r="W206" s="104">
        <f>SUMPRODUCT(($C$185=Indirectos[Movimiento])*($F206=Indirectos[Cuenta Contable])*(W$1=Indirectos[Mes Financiero])*(W$2=Indirectos[Año Financiero])*(Indirectos[Financiero $Corrientes]))</f>
        <v>0</v>
      </c>
      <c r="X206" s="103">
        <f>SUMPRODUCT(($C$185=Indirectos[Movimiento])*($F206=Indirectos[Cuenta Contable])*(X$1=Indirectos[Mes Financiero])*(X$2=Indirectos[Año Financiero])*(Indirectos[Financiero $Corrientes]))</f>
        <v>0</v>
      </c>
      <c r="Y206" s="104">
        <f>SUMPRODUCT(($C$185=Indirectos[Movimiento])*($F206=Indirectos[Cuenta Contable])*(Y$1=Indirectos[Mes Financiero])*(Y$2=Indirectos[Año Financiero])*(Indirectos[Financiero $Corrientes]))</f>
        <v>0</v>
      </c>
      <c r="Z206" s="144">
        <f t="shared" si="27"/>
        <v>0</v>
      </c>
      <c r="AC206" s="174"/>
    </row>
    <row r="207" spans="5:29" hidden="1" outlineLevel="1" x14ac:dyDescent="0.25">
      <c r="E207" s="221">
        <f>IFERROR(MATCH(F207,Costos_Indirectos_Cuentas[Cuenta Contable],0),0)</f>
        <v>17</v>
      </c>
      <c r="F207" s="116" t="str">
        <f>Configuración!CE21</f>
        <v>Pago IIGG</v>
      </c>
      <c r="H207" s="103">
        <f>SUMPRODUCT(($C$185=Indirectos[Movimiento])*($F207=Indirectos[Cuenta Contable])*(H$1=Indirectos[Mes Financiero])*(H$2=Indirectos[Año Financiero])*(Indirectos[Financiero $Corrientes]))</f>
        <v>0</v>
      </c>
      <c r="I207" s="104">
        <f>SUMPRODUCT(($C$185=Indirectos[Movimiento])*($F207=Indirectos[Cuenta Contable])*(I$1=Indirectos[Mes Financiero])*(I$2=Indirectos[Año Financiero])*(Indirectos[Financiero $Corrientes]))</f>
        <v>0</v>
      </c>
      <c r="J207" s="103">
        <f>SUMPRODUCT(($C$185=Indirectos[Movimiento])*($F207=Indirectos[Cuenta Contable])*(J$1=Indirectos[Mes Financiero])*(J$2=Indirectos[Año Financiero])*(Indirectos[Financiero $Corrientes]))</f>
        <v>0</v>
      </c>
      <c r="K207" s="104">
        <f>SUMPRODUCT(($C$185=Indirectos[Movimiento])*($F207=Indirectos[Cuenta Contable])*(K$1=Indirectos[Mes Financiero])*(K$2=Indirectos[Año Financiero])*(Indirectos[Financiero $Corrientes]))</f>
        <v>0</v>
      </c>
      <c r="L207" s="103">
        <f>SUMPRODUCT(($C$185=Indirectos[Movimiento])*($F207=Indirectos[Cuenta Contable])*(L$1=Indirectos[Mes Financiero])*(L$2=Indirectos[Año Financiero])*(Indirectos[Financiero $Corrientes]))</f>
        <v>0</v>
      </c>
      <c r="M207" s="104">
        <f>SUMPRODUCT(($C$185=Indirectos[Movimiento])*($F207=Indirectos[Cuenta Contable])*(M$1=Indirectos[Mes Financiero])*(M$2=Indirectos[Año Financiero])*(Indirectos[Financiero $Corrientes]))</f>
        <v>0</v>
      </c>
      <c r="N207" s="103">
        <f>SUMPRODUCT(($C$185=Indirectos[Movimiento])*($F207=Indirectos[Cuenta Contable])*(N$1=Indirectos[Mes Financiero])*(N$2=Indirectos[Año Financiero])*(Indirectos[Financiero $Corrientes]))</f>
        <v>0</v>
      </c>
      <c r="O207" s="104">
        <f>SUMPRODUCT(($C$185=Indirectos[Movimiento])*($F207=Indirectos[Cuenta Contable])*(O$1=Indirectos[Mes Financiero])*(O$2=Indirectos[Año Financiero])*(Indirectos[Financiero $Corrientes]))</f>
        <v>0</v>
      </c>
      <c r="P207" s="103">
        <f>SUMPRODUCT(($C$185=Indirectos[Movimiento])*($F207=Indirectos[Cuenta Contable])*(P$1=Indirectos[Mes Financiero])*(P$2=Indirectos[Año Financiero])*(Indirectos[Financiero $Corrientes]))</f>
        <v>0</v>
      </c>
      <c r="Q207" s="104">
        <f>SUMPRODUCT(($C$185=Indirectos[Movimiento])*($F207=Indirectos[Cuenta Contable])*(Q$1=Indirectos[Mes Financiero])*(Q$2=Indirectos[Año Financiero])*(Indirectos[Financiero $Corrientes]))</f>
        <v>0</v>
      </c>
      <c r="R207" s="103">
        <f>SUMPRODUCT(($C$185=Indirectos[Movimiento])*($F207=Indirectos[Cuenta Contable])*(R$1=Indirectos[Mes Financiero])*(R$2=Indirectos[Año Financiero])*(Indirectos[Financiero $Corrientes]))</f>
        <v>0</v>
      </c>
      <c r="S207" s="104">
        <f>SUMPRODUCT(($C$185=Indirectos[Movimiento])*($F207=Indirectos[Cuenta Contable])*(S$1=Indirectos[Mes Financiero])*(S$2=Indirectos[Año Financiero])*(Indirectos[Financiero $Corrientes]))</f>
        <v>0</v>
      </c>
      <c r="T207" s="103">
        <f>SUMPRODUCT(($C$185=Indirectos[Movimiento])*($F207=Indirectos[Cuenta Contable])*(T$1=Indirectos[Mes Financiero])*(T$2=Indirectos[Año Financiero])*(Indirectos[Financiero $Corrientes]))</f>
        <v>0</v>
      </c>
      <c r="U207" s="104">
        <f>SUMPRODUCT(($C$185=Indirectos[Movimiento])*($F207=Indirectos[Cuenta Contable])*(U$1=Indirectos[Mes Financiero])*(U$2=Indirectos[Año Financiero])*(Indirectos[Financiero $Corrientes]))</f>
        <v>0</v>
      </c>
      <c r="V207" s="103">
        <f>SUMPRODUCT(($C$185=Indirectos[Movimiento])*($F207=Indirectos[Cuenta Contable])*(V$1=Indirectos[Mes Financiero])*(V$2=Indirectos[Año Financiero])*(Indirectos[Financiero $Corrientes]))</f>
        <v>0</v>
      </c>
      <c r="W207" s="104">
        <f>SUMPRODUCT(($C$185=Indirectos[Movimiento])*($F207=Indirectos[Cuenta Contable])*(W$1=Indirectos[Mes Financiero])*(W$2=Indirectos[Año Financiero])*(Indirectos[Financiero $Corrientes]))</f>
        <v>0</v>
      </c>
      <c r="X207" s="103">
        <f>SUMPRODUCT(($C$185=Indirectos[Movimiento])*($F207=Indirectos[Cuenta Contable])*(X$1=Indirectos[Mes Financiero])*(X$2=Indirectos[Año Financiero])*(Indirectos[Financiero $Corrientes]))</f>
        <v>0</v>
      </c>
      <c r="Y207" s="104">
        <f>SUMPRODUCT(($C$185=Indirectos[Movimiento])*($F207=Indirectos[Cuenta Contable])*(Y$1=Indirectos[Mes Financiero])*(Y$2=Indirectos[Año Financiero])*(Indirectos[Financiero $Corrientes]))</f>
        <v>0</v>
      </c>
      <c r="Z207" s="144">
        <f t="shared" si="27"/>
        <v>0</v>
      </c>
      <c r="AC207" s="174"/>
    </row>
    <row r="208" spans="5:29" hidden="1" outlineLevel="1" x14ac:dyDescent="0.25">
      <c r="E208" s="221">
        <f>IFERROR(MATCH(F208,Costos_Indirectos_Cuentas[Cuenta Contable],0),0)</f>
        <v>0</v>
      </c>
      <c r="F208" s="116">
        <f>Configuración!CE22</f>
        <v>0</v>
      </c>
      <c r="H208" s="103">
        <f>SUMPRODUCT(($C$185=Indirectos[Movimiento])*($F208=Indirectos[Cuenta Contable])*(H$1=Indirectos[Mes Financiero])*(H$2=Indirectos[Año Financiero])*(Indirectos[Financiero $Corrientes]))</f>
        <v>0</v>
      </c>
      <c r="I208" s="104">
        <f>SUMPRODUCT(($C$185=Indirectos[Movimiento])*($F208=Indirectos[Cuenta Contable])*(I$1=Indirectos[Mes Financiero])*(I$2=Indirectos[Año Financiero])*(Indirectos[Financiero $Corrientes]))</f>
        <v>0</v>
      </c>
      <c r="J208" s="103">
        <f>SUMPRODUCT(($C$185=Indirectos[Movimiento])*($F208=Indirectos[Cuenta Contable])*(J$1=Indirectos[Mes Financiero])*(J$2=Indirectos[Año Financiero])*(Indirectos[Financiero $Corrientes]))</f>
        <v>0</v>
      </c>
      <c r="K208" s="104">
        <f>SUMPRODUCT(($C$185=Indirectos[Movimiento])*($F208=Indirectos[Cuenta Contable])*(K$1=Indirectos[Mes Financiero])*(K$2=Indirectos[Año Financiero])*(Indirectos[Financiero $Corrientes]))</f>
        <v>0</v>
      </c>
      <c r="L208" s="103">
        <f>SUMPRODUCT(($C$185=Indirectos[Movimiento])*($F208=Indirectos[Cuenta Contable])*(L$1=Indirectos[Mes Financiero])*(L$2=Indirectos[Año Financiero])*(Indirectos[Financiero $Corrientes]))</f>
        <v>0</v>
      </c>
      <c r="M208" s="104">
        <f>SUMPRODUCT(($C$185=Indirectos[Movimiento])*($F208=Indirectos[Cuenta Contable])*(M$1=Indirectos[Mes Financiero])*(M$2=Indirectos[Año Financiero])*(Indirectos[Financiero $Corrientes]))</f>
        <v>0</v>
      </c>
      <c r="N208" s="103">
        <f>SUMPRODUCT(($C$185=Indirectos[Movimiento])*($F208=Indirectos[Cuenta Contable])*(N$1=Indirectos[Mes Financiero])*(N$2=Indirectos[Año Financiero])*(Indirectos[Financiero $Corrientes]))</f>
        <v>0</v>
      </c>
      <c r="O208" s="104">
        <f>SUMPRODUCT(($C$185=Indirectos[Movimiento])*($F208=Indirectos[Cuenta Contable])*(O$1=Indirectos[Mes Financiero])*(O$2=Indirectos[Año Financiero])*(Indirectos[Financiero $Corrientes]))</f>
        <v>0</v>
      </c>
      <c r="P208" s="103">
        <f>SUMPRODUCT(($C$185=Indirectos[Movimiento])*($F208=Indirectos[Cuenta Contable])*(P$1=Indirectos[Mes Financiero])*(P$2=Indirectos[Año Financiero])*(Indirectos[Financiero $Corrientes]))</f>
        <v>0</v>
      </c>
      <c r="Q208" s="104">
        <f>SUMPRODUCT(($C$185=Indirectos[Movimiento])*($F208=Indirectos[Cuenta Contable])*(Q$1=Indirectos[Mes Financiero])*(Q$2=Indirectos[Año Financiero])*(Indirectos[Financiero $Corrientes]))</f>
        <v>0</v>
      </c>
      <c r="R208" s="103">
        <f>SUMPRODUCT(($C$185=Indirectos[Movimiento])*($F208=Indirectos[Cuenta Contable])*(R$1=Indirectos[Mes Financiero])*(R$2=Indirectos[Año Financiero])*(Indirectos[Financiero $Corrientes]))</f>
        <v>0</v>
      </c>
      <c r="S208" s="104">
        <f>SUMPRODUCT(($C$185=Indirectos[Movimiento])*($F208=Indirectos[Cuenta Contable])*(S$1=Indirectos[Mes Financiero])*(S$2=Indirectos[Año Financiero])*(Indirectos[Financiero $Corrientes]))</f>
        <v>0</v>
      </c>
      <c r="T208" s="103">
        <f>SUMPRODUCT(($C$185=Indirectos[Movimiento])*($F208=Indirectos[Cuenta Contable])*(T$1=Indirectos[Mes Financiero])*(T$2=Indirectos[Año Financiero])*(Indirectos[Financiero $Corrientes]))</f>
        <v>0</v>
      </c>
      <c r="U208" s="104">
        <f>SUMPRODUCT(($C$185=Indirectos[Movimiento])*($F208=Indirectos[Cuenta Contable])*(U$1=Indirectos[Mes Financiero])*(U$2=Indirectos[Año Financiero])*(Indirectos[Financiero $Corrientes]))</f>
        <v>0</v>
      </c>
      <c r="V208" s="103">
        <f>SUMPRODUCT(($C$185=Indirectos[Movimiento])*($F208=Indirectos[Cuenta Contable])*(V$1=Indirectos[Mes Financiero])*(V$2=Indirectos[Año Financiero])*(Indirectos[Financiero $Corrientes]))</f>
        <v>0</v>
      </c>
      <c r="W208" s="104">
        <f>SUMPRODUCT(($C$185=Indirectos[Movimiento])*($F208=Indirectos[Cuenta Contable])*(W$1=Indirectos[Mes Financiero])*(W$2=Indirectos[Año Financiero])*(Indirectos[Financiero $Corrientes]))</f>
        <v>0</v>
      </c>
      <c r="X208" s="103">
        <f>SUMPRODUCT(($C$185=Indirectos[Movimiento])*($F208=Indirectos[Cuenta Contable])*(X$1=Indirectos[Mes Financiero])*(X$2=Indirectos[Año Financiero])*(Indirectos[Financiero $Corrientes]))</f>
        <v>0</v>
      </c>
      <c r="Y208" s="104">
        <f>SUMPRODUCT(($C$185=Indirectos[Movimiento])*($F208=Indirectos[Cuenta Contable])*(Y$1=Indirectos[Mes Financiero])*(Y$2=Indirectos[Año Financiero])*(Indirectos[Financiero $Corrientes]))</f>
        <v>0</v>
      </c>
      <c r="Z208" s="144">
        <f t="shared" si="27"/>
        <v>0</v>
      </c>
      <c r="AC208" s="174"/>
    </row>
    <row r="209" spans="2:29" hidden="1" outlineLevel="1" x14ac:dyDescent="0.25">
      <c r="E209" s="221">
        <f>IFERROR(MATCH(F209,Costos_Indirectos_Cuentas[Cuenta Contable],0),0)</f>
        <v>0</v>
      </c>
      <c r="F209" s="116">
        <f>Configuración!CE23</f>
        <v>0</v>
      </c>
      <c r="H209" s="103">
        <f>SUMPRODUCT(($C$185=Indirectos[Movimiento])*($F209=Indirectos[Cuenta Contable])*(H$1=Indirectos[Mes Financiero])*(H$2=Indirectos[Año Financiero])*(Indirectos[Financiero $Corrientes]))</f>
        <v>0</v>
      </c>
      <c r="I209" s="104">
        <f>SUMPRODUCT(($C$185=Indirectos[Movimiento])*($F209=Indirectos[Cuenta Contable])*(I$1=Indirectos[Mes Financiero])*(I$2=Indirectos[Año Financiero])*(Indirectos[Financiero $Corrientes]))</f>
        <v>0</v>
      </c>
      <c r="J209" s="103">
        <f>SUMPRODUCT(($C$185=Indirectos[Movimiento])*($F209=Indirectos[Cuenta Contable])*(J$1=Indirectos[Mes Financiero])*(J$2=Indirectos[Año Financiero])*(Indirectos[Financiero $Corrientes]))</f>
        <v>0</v>
      </c>
      <c r="K209" s="104">
        <f>SUMPRODUCT(($C$185=Indirectos[Movimiento])*($F209=Indirectos[Cuenta Contable])*(K$1=Indirectos[Mes Financiero])*(K$2=Indirectos[Año Financiero])*(Indirectos[Financiero $Corrientes]))</f>
        <v>0</v>
      </c>
      <c r="L209" s="103">
        <f>SUMPRODUCT(($C$185=Indirectos[Movimiento])*($F209=Indirectos[Cuenta Contable])*(L$1=Indirectos[Mes Financiero])*(L$2=Indirectos[Año Financiero])*(Indirectos[Financiero $Corrientes]))</f>
        <v>0</v>
      </c>
      <c r="M209" s="104">
        <f>SUMPRODUCT(($C$185=Indirectos[Movimiento])*($F209=Indirectos[Cuenta Contable])*(M$1=Indirectos[Mes Financiero])*(M$2=Indirectos[Año Financiero])*(Indirectos[Financiero $Corrientes]))</f>
        <v>0</v>
      </c>
      <c r="N209" s="103">
        <f>SUMPRODUCT(($C$185=Indirectos[Movimiento])*($F209=Indirectos[Cuenta Contable])*(N$1=Indirectos[Mes Financiero])*(N$2=Indirectos[Año Financiero])*(Indirectos[Financiero $Corrientes]))</f>
        <v>0</v>
      </c>
      <c r="O209" s="104">
        <f>SUMPRODUCT(($C$185=Indirectos[Movimiento])*($F209=Indirectos[Cuenta Contable])*(O$1=Indirectos[Mes Financiero])*(O$2=Indirectos[Año Financiero])*(Indirectos[Financiero $Corrientes]))</f>
        <v>0</v>
      </c>
      <c r="P209" s="103">
        <f>SUMPRODUCT(($C$185=Indirectos[Movimiento])*($F209=Indirectos[Cuenta Contable])*(P$1=Indirectos[Mes Financiero])*(P$2=Indirectos[Año Financiero])*(Indirectos[Financiero $Corrientes]))</f>
        <v>0</v>
      </c>
      <c r="Q209" s="104">
        <f>SUMPRODUCT(($C$185=Indirectos[Movimiento])*($F209=Indirectos[Cuenta Contable])*(Q$1=Indirectos[Mes Financiero])*(Q$2=Indirectos[Año Financiero])*(Indirectos[Financiero $Corrientes]))</f>
        <v>0</v>
      </c>
      <c r="R209" s="103">
        <f>SUMPRODUCT(($C$185=Indirectos[Movimiento])*($F209=Indirectos[Cuenta Contable])*(R$1=Indirectos[Mes Financiero])*(R$2=Indirectos[Año Financiero])*(Indirectos[Financiero $Corrientes]))</f>
        <v>0</v>
      </c>
      <c r="S209" s="104">
        <f>SUMPRODUCT(($C$185=Indirectos[Movimiento])*($F209=Indirectos[Cuenta Contable])*(S$1=Indirectos[Mes Financiero])*(S$2=Indirectos[Año Financiero])*(Indirectos[Financiero $Corrientes]))</f>
        <v>0</v>
      </c>
      <c r="T209" s="103">
        <f>SUMPRODUCT(($C$185=Indirectos[Movimiento])*($F209=Indirectos[Cuenta Contable])*(T$1=Indirectos[Mes Financiero])*(T$2=Indirectos[Año Financiero])*(Indirectos[Financiero $Corrientes]))</f>
        <v>0</v>
      </c>
      <c r="U209" s="104">
        <f>SUMPRODUCT(($C$185=Indirectos[Movimiento])*($F209=Indirectos[Cuenta Contable])*(U$1=Indirectos[Mes Financiero])*(U$2=Indirectos[Año Financiero])*(Indirectos[Financiero $Corrientes]))</f>
        <v>0</v>
      </c>
      <c r="V209" s="103">
        <f>SUMPRODUCT(($C$185=Indirectos[Movimiento])*($F209=Indirectos[Cuenta Contable])*(V$1=Indirectos[Mes Financiero])*(V$2=Indirectos[Año Financiero])*(Indirectos[Financiero $Corrientes]))</f>
        <v>0</v>
      </c>
      <c r="W209" s="104">
        <f>SUMPRODUCT(($C$185=Indirectos[Movimiento])*($F209=Indirectos[Cuenta Contable])*(W$1=Indirectos[Mes Financiero])*(W$2=Indirectos[Año Financiero])*(Indirectos[Financiero $Corrientes]))</f>
        <v>0</v>
      </c>
      <c r="X209" s="103">
        <f>SUMPRODUCT(($C$185=Indirectos[Movimiento])*($F209=Indirectos[Cuenta Contable])*(X$1=Indirectos[Mes Financiero])*(X$2=Indirectos[Año Financiero])*(Indirectos[Financiero $Corrientes]))</f>
        <v>0</v>
      </c>
      <c r="Y209" s="104">
        <f>SUMPRODUCT(($C$185=Indirectos[Movimiento])*($F209=Indirectos[Cuenta Contable])*(Y$1=Indirectos[Mes Financiero])*(Y$2=Indirectos[Año Financiero])*(Indirectos[Financiero $Corrientes]))</f>
        <v>0</v>
      </c>
      <c r="Z209" s="144">
        <f t="shared" si="27"/>
        <v>0</v>
      </c>
      <c r="AC209" s="174"/>
    </row>
    <row r="210" spans="2:29" hidden="1" outlineLevel="1" x14ac:dyDescent="0.25">
      <c r="E210" s="221">
        <f>IFERROR(MATCH(F210,Costos_Indirectos_Cuentas[Cuenta Contable],0),0)</f>
        <v>20</v>
      </c>
      <c r="F210" s="116" t="str">
        <f>Configuración!CE24</f>
        <v>Compra Bienes de Uso</v>
      </c>
      <c r="H210" s="103">
        <f>SUMPRODUCT(($C$185=Indirectos[Movimiento])*($F210=Indirectos[Cuenta Contable])*(H$1=Indirectos[Mes Financiero])*(H$2=Indirectos[Año Financiero])*(Indirectos[Financiero $Corrientes]))</f>
        <v>0</v>
      </c>
      <c r="I210" s="104">
        <f>SUMPRODUCT(($C$185=Indirectos[Movimiento])*($F210=Indirectos[Cuenta Contable])*(I$1=Indirectos[Mes Financiero])*(I$2=Indirectos[Año Financiero])*(Indirectos[Financiero $Corrientes]))</f>
        <v>0</v>
      </c>
      <c r="J210" s="103">
        <f>SUMPRODUCT(($C$185=Indirectos[Movimiento])*($F210=Indirectos[Cuenta Contable])*(J$1=Indirectos[Mes Financiero])*(J$2=Indirectos[Año Financiero])*(Indirectos[Financiero $Corrientes]))</f>
        <v>0</v>
      </c>
      <c r="K210" s="104">
        <f>SUMPRODUCT(($C$185=Indirectos[Movimiento])*($F210=Indirectos[Cuenta Contable])*(K$1=Indirectos[Mes Financiero])*(K$2=Indirectos[Año Financiero])*(Indirectos[Financiero $Corrientes]))</f>
        <v>0</v>
      </c>
      <c r="L210" s="103">
        <f>SUMPRODUCT(($C$185=Indirectos[Movimiento])*($F210=Indirectos[Cuenta Contable])*(L$1=Indirectos[Mes Financiero])*(L$2=Indirectos[Año Financiero])*(Indirectos[Financiero $Corrientes]))</f>
        <v>0</v>
      </c>
      <c r="M210" s="104">
        <f>SUMPRODUCT(($C$185=Indirectos[Movimiento])*($F210=Indirectos[Cuenta Contable])*(M$1=Indirectos[Mes Financiero])*(M$2=Indirectos[Año Financiero])*(Indirectos[Financiero $Corrientes]))</f>
        <v>0</v>
      </c>
      <c r="N210" s="103">
        <f>SUMPRODUCT(($C$185=Indirectos[Movimiento])*($F210=Indirectos[Cuenta Contable])*(N$1=Indirectos[Mes Financiero])*(N$2=Indirectos[Año Financiero])*(Indirectos[Financiero $Corrientes]))</f>
        <v>0</v>
      </c>
      <c r="O210" s="104">
        <f>SUMPRODUCT(($C$185=Indirectos[Movimiento])*($F210=Indirectos[Cuenta Contable])*(O$1=Indirectos[Mes Financiero])*(O$2=Indirectos[Año Financiero])*(Indirectos[Financiero $Corrientes]))</f>
        <v>0</v>
      </c>
      <c r="P210" s="103">
        <f>SUMPRODUCT(($C$185=Indirectos[Movimiento])*($F210=Indirectos[Cuenta Contable])*(P$1=Indirectos[Mes Financiero])*(P$2=Indirectos[Año Financiero])*(Indirectos[Financiero $Corrientes]))</f>
        <v>0</v>
      </c>
      <c r="Q210" s="104">
        <f>SUMPRODUCT(($C$185=Indirectos[Movimiento])*($F210=Indirectos[Cuenta Contable])*(Q$1=Indirectos[Mes Financiero])*(Q$2=Indirectos[Año Financiero])*(Indirectos[Financiero $Corrientes]))</f>
        <v>0</v>
      </c>
      <c r="R210" s="103">
        <f>SUMPRODUCT(($C$185=Indirectos[Movimiento])*($F210=Indirectos[Cuenta Contable])*(R$1=Indirectos[Mes Financiero])*(R$2=Indirectos[Año Financiero])*(Indirectos[Financiero $Corrientes]))</f>
        <v>0</v>
      </c>
      <c r="S210" s="104">
        <f>SUMPRODUCT(($C$185=Indirectos[Movimiento])*($F210=Indirectos[Cuenta Contable])*(S$1=Indirectos[Mes Financiero])*(S$2=Indirectos[Año Financiero])*(Indirectos[Financiero $Corrientes]))</f>
        <v>0</v>
      </c>
      <c r="T210" s="103">
        <f>SUMPRODUCT(($C$185=Indirectos[Movimiento])*($F210=Indirectos[Cuenta Contable])*(T$1=Indirectos[Mes Financiero])*(T$2=Indirectos[Año Financiero])*(Indirectos[Financiero $Corrientes]))</f>
        <v>0</v>
      </c>
      <c r="U210" s="104">
        <f>SUMPRODUCT(($C$185=Indirectos[Movimiento])*($F210=Indirectos[Cuenta Contable])*(U$1=Indirectos[Mes Financiero])*(U$2=Indirectos[Año Financiero])*(Indirectos[Financiero $Corrientes]))</f>
        <v>0</v>
      </c>
      <c r="V210" s="103">
        <f>SUMPRODUCT(($C$185=Indirectos[Movimiento])*($F210=Indirectos[Cuenta Contable])*(V$1=Indirectos[Mes Financiero])*(V$2=Indirectos[Año Financiero])*(Indirectos[Financiero $Corrientes]))</f>
        <v>0</v>
      </c>
      <c r="W210" s="104">
        <f>SUMPRODUCT(($C$185=Indirectos[Movimiento])*($F210=Indirectos[Cuenta Contable])*(W$1=Indirectos[Mes Financiero])*(W$2=Indirectos[Año Financiero])*(Indirectos[Financiero $Corrientes]))</f>
        <v>0</v>
      </c>
      <c r="X210" s="103">
        <f>SUMPRODUCT(($C$185=Indirectos[Movimiento])*($F210=Indirectos[Cuenta Contable])*(X$1=Indirectos[Mes Financiero])*(X$2=Indirectos[Año Financiero])*(Indirectos[Financiero $Corrientes]))</f>
        <v>0</v>
      </c>
      <c r="Y210" s="104">
        <f>SUMPRODUCT(($C$185=Indirectos[Movimiento])*($F210=Indirectos[Cuenta Contable])*(Y$1=Indirectos[Mes Financiero])*(Y$2=Indirectos[Año Financiero])*(Indirectos[Financiero $Corrientes]))</f>
        <v>0</v>
      </c>
      <c r="Z210" s="144">
        <f t="shared" si="27"/>
        <v>0</v>
      </c>
      <c r="AC210" s="174"/>
    </row>
    <row r="211" spans="2:29" hidden="1" outlineLevel="1" x14ac:dyDescent="0.25">
      <c r="E211" s="221">
        <f>IFERROR(MATCH(F211,Costos_Indirectos_Cuentas[Cuenta Contable],0),0)</f>
        <v>21</v>
      </c>
      <c r="F211" s="116" t="str">
        <f>Configuración!CE25</f>
        <v>Venta Bienes de Uso</v>
      </c>
      <c r="H211" s="103">
        <f>SUMPRODUCT(($C$185=Indirectos[Movimiento])*($F211=Indirectos[Cuenta Contable])*(H$1=Indirectos[Mes Financiero])*(H$2=Indirectos[Año Financiero])*(Indirectos[Financiero $Corrientes]))</f>
        <v>0</v>
      </c>
      <c r="I211" s="104">
        <f>SUMPRODUCT(($C$185=Indirectos[Movimiento])*($F211=Indirectos[Cuenta Contable])*(I$1=Indirectos[Mes Financiero])*(I$2=Indirectos[Año Financiero])*(Indirectos[Financiero $Corrientes]))</f>
        <v>0</v>
      </c>
      <c r="J211" s="103">
        <f>SUMPRODUCT(($C$185=Indirectos[Movimiento])*($F211=Indirectos[Cuenta Contable])*(J$1=Indirectos[Mes Financiero])*(J$2=Indirectos[Año Financiero])*(Indirectos[Financiero $Corrientes]))</f>
        <v>0</v>
      </c>
      <c r="K211" s="104">
        <f>SUMPRODUCT(($C$185=Indirectos[Movimiento])*($F211=Indirectos[Cuenta Contable])*(K$1=Indirectos[Mes Financiero])*(K$2=Indirectos[Año Financiero])*(Indirectos[Financiero $Corrientes]))</f>
        <v>0</v>
      </c>
      <c r="L211" s="103">
        <f>SUMPRODUCT(($C$185=Indirectos[Movimiento])*($F211=Indirectos[Cuenta Contable])*(L$1=Indirectos[Mes Financiero])*(L$2=Indirectos[Año Financiero])*(Indirectos[Financiero $Corrientes]))</f>
        <v>0</v>
      </c>
      <c r="M211" s="104">
        <f>SUMPRODUCT(($C$185=Indirectos[Movimiento])*($F211=Indirectos[Cuenta Contable])*(M$1=Indirectos[Mes Financiero])*(M$2=Indirectos[Año Financiero])*(Indirectos[Financiero $Corrientes]))</f>
        <v>0</v>
      </c>
      <c r="N211" s="103">
        <f>SUMPRODUCT(($C$185=Indirectos[Movimiento])*($F211=Indirectos[Cuenta Contable])*(N$1=Indirectos[Mes Financiero])*(N$2=Indirectos[Año Financiero])*(Indirectos[Financiero $Corrientes]))</f>
        <v>0</v>
      </c>
      <c r="O211" s="104">
        <f>SUMPRODUCT(($C$185=Indirectos[Movimiento])*($F211=Indirectos[Cuenta Contable])*(O$1=Indirectos[Mes Financiero])*(O$2=Indirectos[Año Financiero])*(Indirectos[Financiero $Corrientes]))</f>
        <v>0</v>
      </c>
      <c r="P211" s="103">
        <f>SUMPRODUCT(($C$185=Indirectos[Movimiento])*($F211=Indirectos[Cuenta Contable])*(P$1=Indirectos[Mes Financiero])*(P$2=Indirectos[Año Financiero])*(Indirectos[Financiero $Corrientes]))</f>
        <v>0</v>
      </c>
      <c r="Q211" s="104">
        <f>SUMPRODUCT(($C$185=Indirectos[Movimiento])*($F211=Indirectos[Cuenta Contable])*(Q$1=Indirectos[Mes Financiero])*(Q$2=Indirectos[Año Financiero])*(Indirectos[Financiero $Corrientes]))</f>
        <v>0</v>
      </c>
      <c r="R211" s="103">
        <f>SUMPRODUCT(($C$185=Indirectos[Movimiento])*($F211=Indirectos[Cuenta Contable])*(R$1=Indirectos[Mes Financiero])*(R$2=Indirectos[Año Financiero])*(Indirectos[Financiero $Corrientes]))</f>
        <v>0</v>
      </c>
      <c r="S211" s="104">
        <f>SUMPRODUCT(($C$185=Indirectos[Movimiento])*($F211=Indirectos[Cuenta Contable])*(S$1=Indirectos[Mes Financiero])*(S$2=Indirectos[Año Financiero])*(Indirectos[Financiero $Corrientes]))</f>
        <v>0</v>
      </c>
      <c r="T211" s="103">
        <f>SUMPRODUCT(($C$185=Indirectos[Movimiento])*($F211=Indirectos[Cuenta Contable])*(T$1=Indirectos[Mes Financiero])*(T$2=Indirectos[Año Financiero])*(Indirectos[Financiero $Corrientes]))</f>
        <v>0</v>
      </c>
      <c r="U211" s="104">
        <f>SUMPRODUCT(($C$185=Indirectos[Movimiento])*($F211=Indirectos[Cuenta Contable])*(U$1=Indirectos[Mes Financiero])*(U$2=Indirectos[Año Financiero])*(Indirectos[Financiero $Corrientes]))</f>
        <v>0</v>
      </c>
      <c r="V211" s="103">
        <f>SUMPRODUCT(($C$185=Indirectos[Movimiento])*($F211=Indirectos[Cuenta Contable])*(V$1=Indirectos[Mes Financiero])*(V$2=Indirectos[Año Financiero])*(Indirectos[Financiero $Corrientes]))</f>
        <v>0</v>
      </c>
      <c r="W211" s="104">
        <f>SUMPRODUCT(($C$185=Indirectos[Movimiento])*($F211=Indirectos[Cuenta Contable])*(W$1=Indirectos[Mes Financiero])*(W$2=Indirectos[Año Financiero])*(Indirectos[Financiero $Corrientes]))</f>
        <v>0</v>
      </c>
      <c r="X211" s="103">
        <f>SUMPRODUCT(($C$185=Indirectos[Movimiento])*($F211=Indirectos[Cuenta Contable])*(X$1=Indirectos[Mes Financiero])*(X$2=Indirectos[Año Financiero])*(Indirectos[Financiero $Corrientes]))</f>
        <v>0</v>
      </c>
      <c r="Y211" s="104">
        <f>SUMPRODUCT(($C$185=Indirectos[Movimiento])*($F211=Indirectos[Cuenta Contable])*(Y$1=Indirectos[Mes Financiero])*(Y$2=Indirectos[Año Financiero])*(Indirectos[Financiero $Corrientes]))</f>
        <v>0</v>
      </c>
      <c r="Z211" s="144">
        <f t="shared" si="27"/>
        <v>0</v>
      </c>
      <c r="AC211" s="174"/>
    </row>
    <row r="212" spans="2:29" hidden="1" outlineLevel="1" x14ac:dyDescent="0.25">
      <c r="E212" s="221">
        <f>IFERROR(MATCH(F212,Costos_Indirectos_Cuentas[Cuenta Contable],0),0)</f>
        <v>0</v>
      </c>
      <c r="F212" s="116">
        <f>Configuración!CE26</f>
        <v>0</v>
      </c>
      <c r="H212" s="103">
        <f>SUMPRODUCT(($C$185=Indirectos[Movimiento])*($F212=Indirectos[Cuenta Contable])*(H$1=Indirectos[Mes Financiero])*(H$2=Indirectos[Año Financiero])*(Indirectos[Financiero $Corrientes]))</f>
        <v>0</v>
      </c>
      <c r="I212" s="104">
        <f>SUMPRODUCT(($C$185=Indirectos[Movimiento])*($F212=Indirectos[Cuenta Contable])*(I$1=Indirectos[Mes Financiero])*(I$2=Indirectos[Año Financiero])*(Indirectos[Financiero $Corrientes]))</f>
        <v>0</v>
      </c>
      <c r="J212" s="103">
        <f>SUMPRODUCT(($C$185=Indirectos[Movimiento])*($F212=Indirectos[Cuenta Contable])*(J$1=Indirectos[Mes Financiero])*(J$2=Indirectos[Año Financiero])*(Indirectos[Financiero $Corrientes]))</f>
        <v>0</v>
      </c>
      <c r="K212" s="104">
        <f>SUMPRODUCT(($C$185=Indirectos[Movimiento])*($F212=Indirectos[Cuenta Contable])*(K$1=Indirectos[Mes Financiero])*(K$2=Indirectos[Año Financiero])*(Indirectos[Financiero $Corrientes]))</f>
        <v>0</v>
      </c>
      <c r="L212" s="103">
        <f>SUMPRODUCT(($C$185=Indirectos[Movimiento])*($F212=Indirectos[Cuenta Contable])*(L$1=Indirectos[Mes Financiero])*(L$2=Indirectos[Año Financiero])*(Indirectos[Financiero $Corrientes]))</f>
        <v>0</v>
      </c>
      <c r="M212" s="104">
        <f>SUMPRODUCT(($C$185=Indirectos[Movimiento])*($F212=Indirectos[Cuenta Contable])*(M$1=Indirectos[Mes Financiero])*(M$2=Indirectos[Año Financiero])*(Indirectos[Financiero $Corrientes]))</f>
        <v>0</v>
      </c>
      <c r="N212" s="103">
        <f>SUMPRODUCT(($C$185=Indirectos[Movimiento])*($F212=Indirectos[Cuenta Contable])*(N$1=Indirectos[Mes Financiero])*(N$2=Indirectos[Año Financiero])*(Indirectos[Financiero $Corrientes]))</f>
        <v>0</v>
      </c>
      <c r="O212" s="104">
        <f>SUMPRODUCT(($C$185=Indirectos[Movimiento])*($F212=Indirectos[Cuenta Contable])*(O$1=Indirectos[Mes Financiero])*(O$2=Indirectos[Año Financiero])*(Indirectos[Financiero $Corrientes]))</f>
        <v>0</v>
      </c>
      <c r="P212" s="103">
        <f>SUMPRODUCT(($C$185=Indirectos[Movimiento])*($F212=Indirectos[Cuenta Contable])*(P$1=Indirectos[Mes Financiero])*(P$2=Indirectos[Año Financiero])*(Indirectos[Financiero $Corrientes]))</f>
        <v>0</v>
      </c>
      <c r="Q212" s="104">
        <f>SUMPRODUCT(($C$185=Indirectos[Movimiento])*($F212=Indirectos[Cuenta Contable])*(Q$1=Indirectos[Mes Financiero])*(Q$2=Indirectos[Año Financiero])*(Indirectos[Financiero $Corrientes]))</f>
        <v>0</v>
      </c>
      <c r="R212" s="103">
        <f>SUMPRODUCT(($C$185=Indirectos[Movimiento])*($F212=Indirectos[Cuenta Contable])*(R$1=Indirectos[Mes Financiero])*(R$2=Indirectos[Año Financiero])*(Indirectos[Financiero $Corrientes]))</f>
        <v>0</v>
      </c>
      <c r="S212" s="104">
        <f>SUMPRODUCT(($C$185=Indirectos[Movimiento])*($F212=Indirectos[Cuenta Contable])*(S$1=Indirectos[Mes Financiero])*(S$2=Indirectos[Año Financiero])*(Indirectos[Financiero $Corrientes]))</f>
        <v>0</v>
      </c>
      <c r="T212" s="103">
        <f>SUMPRODUCT(($C$185=Indirectos[Movimiento])*($F212=Indirectos[Cuenta Contable])*(T$1=Indirectos[Mes Financiero])*(T$2=Indirectos[Año Financiero])*(Indirectos[Financiero $Corrientes]))</f>
        <v>0</v>
      </c>
      <c r="U212" s="104">
        <f>SUMPRODUCT(($C$185=Indirectos[Movimiento])*($F212=Indirectos[Cuenta Contable])*(U$1=Indirectos[Mes Financiero])*(U$2=Indirectos[Año Financiero])*(Indirectos[Financiero $Corrientes]))</f>
        <v>0</v>
      </c>
      <c r="V212" s="103">
        <f>SUMPRODUCT(($C$185=Indirectos[Movimiento])*($F212=Indirectos[Cuenta Contable])*(V$1=Indirectos[Mes Financiero])*(V$2=Indirectos[Año Financiero])*(Indirectos[Financiero $Corrientes]))</f>
        <v>0</v>
      </c>
      <c r="W212" s="104">
        <f>SUMPRODUCT(($C$185=Indirectos[Movimiento])*($F212=Indirectos[Cuenta Contable])*(W$1=Indirectos[Mes Financiero])*(W$2=Indirectos[Año Financiero])*(Indirectos[Financiero $Corrientes]))</f>
        <v>0</v>
      </c>
      <c r="X212" s="103">
        <f>SUMPRODUCT(($C$185=Indirectos[Movimiento])*($F212=Indirectos[Cuenta Contable])*(X$1=Indirectos[Mes Financiero])*(X$2=Indirectos[Año Financiero])*(Indirectos[Financiero $Corrientes]))</f>
        <v>0</v>
      </c>
      <c r="Y212" s="104">
        <f>SUMPRODUCT(($C$185=Indirectos[Movimiento])*($F212=Indirectos[Cuenta Contable])*(Y$1=Indirectos[Mes Financiero])*(Y$2=Indirectos[Año Financiero])*(Indirectos[Financiero $Corrientes]))</f>
        <v>0</v>
      </c>
      <c r="Z212" s="144">
        <f t="shared" si="27"/>
        <v>0</v>
      </c>
      <c r="AC212" s="174"/>
    </row>
    <row r="213" spans="2:29" hidden="1" outlineLevel="1" x14ac:dyDescent="0.25">
      <c r="E213" s="221">
        <f>IFERROR(MATCH(F213,Costos_Indirectos_Cuentas[Cuenta Contable],0),0)</f>
        <v>0</v>
      </c>
      <c r="F213" s="116">
        <f>Configuración!CE27</f>
        <v>0</v>
      </c>
      <c r="H213" s="103">
        <f>SUMPRODUCT(($C$185=Indirectos[Movimiento])*($F213=Indirectos[Cuenta Contable])*(H$1=Indirectos[Mes Financiero])*(H$2=Indirectos[Año Financiero])*(Indirectos[Financiero $Corrientes]))</f>
        <v>0</v>
      </c>
      <c r="I213" s="104">
        <f>SUMPRODUCT(($C$185=Indirectos[Movimiento])*($F213=Indirectos[Cuenta Contable])*(I$1=Indirectos[Mes Financiero])*(I$2=Indirectos[Año Financiero])*(Indirectos[Financiero $Corrientes]))</f>
        <v>0</v>
      </c>
      <c r="J213" s="103">
        <f>SUMPRODUCT(($C$185=Indirectos[Movimiento])*($F213=Indirectos[Cuenta Contable])*(J$1=Indirectos[Mes Financiero])*(J$2=Indirectos[Año Financiero])*(Indirectos[Financiero $Corrientes]))</f>
        <v>0</v>
      </c>
      <c r="K213" s="104">
        <f>SUMPRODUCT(($C$185=Indirectos[Movimiento])*($F213=Indirectos[Cuenta Contable])*(K$1=Indirectos[Mes Financiero])*(K$2=Indirectos[Año Financiero])*(Indirectos[Financiero $Corrientes]))</f>
        <v>0</v>
      </c>
      <c r="L213" s="103">
        <f>SUMPRODUCT(($C$185=Indirectos[Movimiento])*($F213=Indirectos[Cuenta Contable])*(L$1=Indirectos[Mes Financiero])*(L$2=Indirectos[Año Financiero])*(Indirectos[Financiero $Corrientes]))</f>
        <v>0</v>
      </c>
      <c r="M213" s="104">
        <f>SUMPRODUCT(($C$185=Indirectos[Movimiento])*($F213=Indirectos[Cuenta Contable])*(M$1=Indirectos[Mes Financiero])*(M$2=Indirectos[Año Financiero])*(Indirectos[Financiero $Corrientes]))</f>
        <v>0</v>
      </c>
      <c r="N213" s="103">
        <f>SUMPRODUCT(($C$185=Indirectos[Movimiento])*($F213=Indirectos[Cuenta Contable])*(N$1=Indirectos[Mes Financiero])*(N$2=Indirectos[Año Financiero])*(Indirectos[Financiero $Corrientes]))</f>
        <v>0</v>
      </c>
      <c r="O213" s="104">
        <f>SUMPRODUCT(($C$185=Indirectos[Movimiento])*($F213=Indirectos[Cuenta Contable])*(O$1=Indirectos[Mes Financiero])*(O$2=Indirectos[Año Financiero])*(Indirectos[Financiero $Corrientes]))</f>
        <v>0</v>
      </c>
      <c r="P213" s="103">
        <f>SUMPRODUCT(($C$185=Indirectos[Movimiento])*($F213=Indirectos[Cuenta Contable])*(P$1=Indirectos[Mes Financiero])*(P$2=Indirectos[Año Financiero])*(Indirectos[Financiero $Corrientes]))</f>
        <v>0</v>
      </c>
      <c r="Q213" s="104">
        <f>SUMPRODUCT(($C$185=Indirectos[Movimiento])*($F213=Indirectos[Cuenta Contable])*(Q$1=Indirectos[Mes Financiero])*(Q$2=Indirectos[Año Financiero])*(Indirectos[Financiero $Corrientes]))</f>
        <v>0</v>
      </c>
      <c r="R213" s="103">
        <f>SUMPRODUCT(($C$185=Indirectos[Movimiento])*($F213=Indirectos[Cuenta Contable])*(R$1=Indirectos[Mes Financiero])*(R$2=Indirectos[Año Financiero])*(Indirectos[Financiero $Corrientes]))</f>
        <v>0</v>
      </c>
      <c r="S213" s="104">
        <f>SUMPRODUCT(($C$185=Indirectos[Movimiento])*($F213=Indirectos[Cuenta Contable])*(S$1=Indirectos[Mes Financiero])*(S$2=Indirectos[Año Financiero])*(Indirectos[Financiero $Corrientes]))</f>
        <v>0</v>
      </c>
      <c r="T213" s="103">
        <f>SUMPRODUCT(($C$185=Indirectos[Movimiento])*($F213=Indirectos[Cuenta Contable])*(T$1=Indirectos[Mes Financiero])*(T$2=Indirectos[Año Financiero])*(Indirectos[Financiero $Corrientes]))</f>
        <v>0</v>
      </c>
      <c r="U213" s="104">
        <f>SUMPRODUCT(($C$185=Indirectos[Movimiento])*($F213=Indirectos[Cuenta Contable])*(U$1=Indirectos[Mes Financiero])*(U$2=Indirectos[Año Financiero])*(Indirectos[Financiero $Corrientes]))</f>
        <v>0</v>
      </c>
      <c r="V213" s="103">
        <f>SUMPRODUCT(($C$185=Indirectos[Movimiento])*($F213=Indirectos[Cuenta Contable])*(V$1=Indirectos[Mes Financiero])*(V$2=Indirectos[Año Financiero])*(Indirectos[Financiero $Corrientes]))</f>
        <v>0</v>
      </c>
      <c r="W213" s="104">
        <f>SUMPRODUCT(($C$185=Indirectos[Movimiento])*($F213=Indirectos[Cuenta Contable])*(W$1=Indirectos[Mes Financiero])*(W$2=Indirectos[Año Financiero])*(Indirectos[Financiero $Corrientes]))</f>
        <v>0</v>
      </c>
      <c r="X213" s="103">
        <f>SUMPRODUCT(($C$185=Indirectos[Movimiento])*($F213=Indirectos[Cuenta Contable])*(X$1=Indirectos[Mes Financiero])*(X$2=Indirectos[Año Financiero])*(Indirectos[Financiero $Corrientes]))</f>
        <v>0</v>
      </c>
      <c r="Y213" s="104">
        <f>SUMPRODUCT(($C$185=Indirectos[Movimiento])*($F213=Indirectos[Cuenta Contable])*(Y$1=Indirectos[Mes Financiero])*(Y$2=Indirectos[Año Financiero])*(Indirectos[Financiero $Corrientes]))</f>
        <v>0</v>
      </c>
      <c r="Z213" s="144">
        <f t="shared" si="27"/>
        <v>0</v>
      </c>
      <c r="AC213" s="174"/>
    </row>
    <row r="214" spans="2:29" hidden="1" outlineLevel="1" x14ac:dyDescent="0.25">
      <c r="E214" s="221">
        <f>IFERROR(MATCH(F214,Costos_Indirectos_Cuentas[Cuenta Contable],0),0)</f>
        <v>24</v>
      </c>
      <c r="F214" s="116" t="str">
        <f>Configuración!CE28</f>
        <v>Aporte Accionistas</v>
      </c>
      <c r="H214" s="103">
        <f>SUMPRODUCT(($C$185=Indirectos[Movimiento])*($F214=Indirectos[Cuenta Contable])*(H$1=Indirectos[Mes Financiero])*(H$2=Indirectos[Año Financiero])*(Indirectos[Financiero $Corrientes]))</f>
        <v>0</v>
      </c>
      <c r="I214" s="104">
        <f>SUMPRODUCT(($C$185=Indirectos[Movimiento])*($F214=Indirectos[Cuenta Contable])*(I$1=Indirectos[Mes Financiero])*(I$2=Indirectos[Año Financiero])*(Indirectos[Financiero $Corrientes]))</f>
        <v>0</v>
      </c>
      <c r="J214" s="103">
        <f>SUMPRODUCT(($C$185=Indirectos[Movimiento])*($F214=Indirectos[Cuenta Contable])*(J$1=Indirectos[Mes Financiero])*(J$2=Indirectos[Año Financiero])*(Indirectos[Financiero $Corrientes]))</f>
        <v>0</v>
      </c>
      <c r="K214" s="104">
        <f>SUMPRODUCT(($C$185=Indirectos[Movimiento])*($F214=Indirectos[Cuenta Contable])*(K$1=Indirectos[Mes Financiero])*(K$2=Indirectos[Año Financiero])*(Indirectos[Financiero $Corrientes]))</f>
        <v>0</v>
      </c>
      <c r="L214" s="103">
        <f>SUMPRODUCT(($C$185=Indirectos[Movimiento])*($F214=Indirectos[Cuenta Contable])*(L$1=Indirectos[Mes Financiero])*(L$2=Indirectos[Año Financiero])*(Indirectos[Financiero $Corrientes]))</f>
        <v>0</v>
      </c>
      <c r="M214" s="104">
        <f>SUMPRODUCT(($C$185=Indirectos[Movimiento])*($F214=Indirectos[Cuenta Contable])*(M$1=Indirectos[Mes Financiero])*(M$2=Indirectos[Año Financiero])*(Indirectos[Financiero $Corrientes]))</f>
        <v>0</v>
      </c>
      <c r="N214" s="103">
        <f>SUMPRODUCT(($C$185=Indirectos[Movimiento])*($F214=Indirectos[Cuenta Contable])*(N$1=Indirectos[Mes Financiero])*(N$2=Indirectos[Año Financiero])*(Indirectos[Financiero $Corrientes]))</f>
        <v>0</v>
      </c>
      <c r="O214" s="104">
        <f>SUMPRODUCT(($C$185=Indirectos[Movimiento])*($F214=Indirectos[Cuenta Contable])*(O$1=Indirectos[Mes Financiero])*(O$2=Indirectos[Año Financiero])*(Indirectos[Financiero $Corrientes]))</f>
        <v>0</v>
      </c>
      <c r="P214" s="103">
        <f>SUMPRODUCT(($C$185=Indirectos[Movimiento])*($F214=Indirectos[Cuenta Contable])*(P$1=Indirectos[Mes Financiero])*(P$2=Indirectos[Año Financiero])*(Indirectos[Financiero $Corrientes]))</f>
        <v>0</v>
      </c>
      <c r="Q214" s="104">
        <f>SUMPRODUCT(($C$185=Indirectos[Movimiento])*($F214=Indirectos[Cuenta Contable])*(Q$1=Indirectos[Mes Financiero])*(Q$2=Indirectos[Año Financiero])*(Indirectos[Financiero $Corrientes]))</f>
        <v>0</v>
      </c>
      <c r="R214" s="103">
        <f>SUMPRODUCT(($C$185=Indirectos[Movimiento])*($F214=Indirectos[Cuenta Contable])*(R$1=Indirectos[Mes Financiero])*(R$2=Indirectos[Año Financiero])*(Indirectos[Financiero $Corrientes]))</f>
        <v>0</v>
      </c>
      <c r="S214" s="104">
        <f>SUMPRODUCT(($C$185=Indirectos[Movimiento])*($F214=Indirectos[Cuenta Contable])*(S$1=Indirectos[Mes Financiero])*(S$2=Indirectos[Año Financiero])*(Indirectos[Financiero $Corrientes]))</f>
        <v>0</v>
      </c>
      <c r="T214" s="103">
        <f>SUMPRODUCT(($C$185=Indirectos[Movimiento])*($F214=Indirectos[Cuenta Contable])*(T$1=Indirectos[Mes Financiero])*(T$2=Indirectos[Año Financiero])*(Indirectos[Financiero $Corrientes]))</f>
        <v>0</v>
      </c>
      <c r="U214" s="104">
        <f>SUMPRODUCT(($C$185=Indirectos[Movimiento])*($F214=Indirectos[Cuenta Contable])*(U$1=Indirectos[Mes Financiero])*(U$2=Indirectos[Año Financiero])*(Indirectos[Financiero $Corrientes]))</f>
        <v>0</v>
      </c>
      <c r="V214" s="103">
        <f>SUMPRODUCT(($C$185=Indirectos[Movimiento])*($F214=Indirectos[Cuenta Contable])*(V$1=Indirectos[Mes Financiero])*(V$2=Indirectos[Año Financiero])*(Indirectos[Financiero $Corrientes]))</f>
        <v>0</v>
      </c>
      <c r="W214" s="104">
        <f>SUMPRODUCT(($C$185=Indirectos[Movimiento])*($F214=Indirectos[Cuenta Contable])*(W$1=Indirectos[Mes Financiero])*(W$2=Indirectos[Año Financiero])*(Indirectos[Financiero $Corrientes]))</f>
        <v>0</v>
      </c>
      <c r="X214" s="103">
        <f>SUMPRODUCT(($C$185=Indirectos[Movimiento])*($F214=Indirectos[Cuenta Contable])*(X$1=Indirectos[Mes Financiero])*(X$2=Indirectos[Año Financiero])*(Indirectos[Financiero $Corrientes]))</f>
        <v>0</v>
      </c>
      <c r="Y214" s="104">
        <f>SUMPRODUCT(($C$185=Indirectos[Movimiento])*($F214=Indirectos[Cuenta Contable])*(Y$1=Indirectos[Mes Financiero])*(Y$2=Indirectos[Año Financiero])*(Indirectos[Financiero $Corrientes]))</f>
        <v>0</v>
      </c>
      <c r="Z214" s="144">
        <f t="shared" si="27"/>
        <v>0</v>
      </c>
      <c r="AC214" s="174"/>
    </row>
    <row r="215" spans="2:29" hidden="1" outlineLevel="1" x14ac:dyDescent="0.25">
      <c r="B215" s="166" t="s">
        <v>101</v>
      </c>
      <c r="E215" s="221">
        <f>IFERROR(MATCH(F215,Costos_Indirectos_Cuentas[Cuenta Contable],0),0)</f>
        <v>25</v>
      </c>
      <c r="F215" s="116" t="str">
        <f>Configuración!CE29</f>
        <v>Dividendos</v>
      </c>
      <c r="H215" s="103">
        <f>SUMPRODUCT(($C$185=Indirectos[Movimiento])*($F215=Indirectos[Cuenta Contable])*(H$1=Indirectos[Mes Financiero])*(H$2=Indirectos[Año Financiero])*(Indirectos[Financiero $Corrientes]))</f>
        <v>0</v>
      </c>
      <c r="I215" s="104">
        <f>SUMPRODUCT(($C$185=Indirectos[Movimiento])*($F215=Indirectos[Cuenta Contable])*(I$1=Indirectos[Mes Financiero])*(I$2=Indirectos[Año Financiero])*(Indirectos[Financiero $Corrientes]))</f>
        <v>0</v>
      </c>
      <c r="J215" s="103">
        <f>SUMPRODUCT(($C$185=Indirectos[Movimiento])*($F215=Indirectos[Cuenta Contable])*(J$1=Indirectos[Mes Financiero])*(J$2=Indirectos[Año Financiero])*(Indirectos[Financiero $Corrientes]))</f>
        <v>0</v>
      </c>
      <c r="K215" s="104">
        <f>SUMPRODUCT(($C$185=Indirectos[Movimiento])*($F215=Indirectos[Cuenta Contable])*(K$1=Indirectos[Mes Financiero])*(K$2=Indirectos[Año Financiero])*(Indirectos[Financiero $Corrientes]))</f>
        <v>0</v>
      </c>
      <c r="L215" s="103">
        <f>SUMPRODUCT(($C$185=Indirectos[Movimiento])*($F215=Indirectos[Cuenta Contable])*(L$1=Indirectos[Mes Financiero])*(L$2=Indirectos[Año Financiero])*(Indirectos[Financiero $Corrientes]))</f>
        <v>0</v>
      </c>
      <c r="M215" s="104">
        <f>SUMPRODUCT(($C$185=Indirectos[Movimiento])*($F215=Indirectos[Cuenta Contable])*(M$1=Indirectos[Mes Financiero])*(M$2=Indirectos[Año Financiero])*(Indirectos[Financiero $Corrientes]))</f>
        <v>0</v>
      </c>
      <c r="N215" s="103">
        <f>SUMPRODUCT(($C$185=Indirectos[Movimiento])*($F215=Indirectos[Cuenta Contable])*(N$1=Indirectos[Mes Financiero])*(N$2=Indirectos[Año Financiero])*(Indirectos[Financiero $Corrientes]))</f>
        <v>0</v>
      </c>
      <c r="O215" s="104">
        <f>SUMPRODUCT(($C$185=Indirectos[Movimiento])*($F215=Indirectos[Cuenta Contable])*(O$1=Indirectos[Mes Financiero])*(O$2=Indirectos[Año Financiero])*(Indirectos[Financiero $Corrientes]))</f>
        <v>0</v>
      </c>
      <c r="P215" s="103">
        <f>SUMPRODUCT(($C$185=Indirectos[Movimiento])*($F215=Indirectos[Cuenta Contable])*(P$1=Indirectos[Mes Financiero])*(P$2=Indirectos[Año Financiero])*(Indirectos[Financiero $Corrientes]))</f>
        <v>0</v>
      </c>
      <c r="Q215" s="104">
        <f>SUMPRODUCT(($C$185=Indirectos[Movimiento])*($F215=Indirectos[Cuenta Contable])*(Q$1=Indirectos[Mes Financiero])*(Q$2=Indirectos[Año Financiero])*(Indirectos[Financiero $Corrientes]))</f>
        <v>0</v>
      </c>
      <c r="R215" s="103">
        <f>SUMPRODUCT(($C$185=Indirectos[Movimiento])*($F215=Indirectos[Cuenta Contable])*(R$1=Indirectos[Mes Financiero])*(R$2=Indirectos[Año Financiero])*(Indirectos[Financiero $Corrientes]))</f>
        <v>0</v>
      </c>
      <c r="S215" s="104">
        <f>SUMPRODUCT(($C$185=Indirectos[Movimiento])*($F215=Indirectos[Cuenta Contable])*(S$1=Indirectos[Mes Financiero])*(S$2=Indirectos[Año Financiero])*(Indirectos[Financiero $Corrientes]))</f>
        <v>0</v>
      </c>
      <c r="T215" s="103">
        <f>SUMPRODUCT(($C$185=Indirectos[Movimiento])*($F215=Indirectos[Cuenta Contable])*(T$1=Indirectos[Mes Financiero])*(T$2=Indirectos[Año Financiero])*(Indirectos[Financiero $Corrientes]))</f>
        <v>0</v>
      </c>
      <c r="U215" s="104">
        <f>SUMPRODUCT(($C$185=Indirectos[Movimiento])*($F215=Indirectos[Cuenta Contable])*(U$1=Indirectos[Mes Financiero])*(U$2=Indirectos[Año Financiero])*(Indirectos[Financiero $Corrientes]))</f>
        <v>0</v>
      </c>
      <c r="V215" s="103">
        <f>SUMPRODUCT(($C$185=Indirectos[Movimiento])*($F215=Indirectos[Cuenta Contable])*(V$1=Indirectos[Mes Financiero])*(V$2=Indirectos[Año Financiero])*(Indirectos[Financiero $Corrientes]))</f>
        <v>0</v>
      </c>
      <c r="W215" s="104">
        <f>SUMPRODUCT(($C$185=Indirectos[Movimiento])*($F215=Indirectos[Cuenta Contable])*(W$1=Indirectos[Mes Financiero])*(W$2=Indirectos[Año Financiero])*(Indirectos[Financiero $Corrientes]))</f>
        <v>0</v>
      </c>
      <c r="X215" s="103">
        <f>SUMPRODUCT(($C$185=Indirectos[Movimiento])*($F215=Indirectos[Cuenta Contable])*(X$1=Indirectos[Mes Financiero])*(X$2=Indirectos[Año Financiero])*(Indirectos[Financiero $Corrientes]))</f>
        <v>0</v>
      </c>
      <c r="Y215" s="104">
        <f>SUMPRODUCT(($C$185=Indirectos[Movimiento])*($F215=Indirectos[Cuenta Contable])*(Y$1=Indirectos[Mes Financiero])*(Y$2=Indirectos[Año Financiero])*(Indirectos[Financiero $Corrientes]))</f>
        <v>0</v>
      </c>
      <c r="Z215" s="144">
        <f t="shared" si="27"/>
        <v>0</v>
      </c>
      <c r="AC215" s="174">
        <f>SUMPRODUCT((F215=Costos_Indirectos_Cuentas[Cuenta Contable])*(Costos_Indirectos_Cuentas[IVA]))</f>
        <v>0</v>
      </c>
    </row>
    <row r="216" spans="2:29" hidden="1" outlineLevel="1" x14ac:dyDescent="0.25">
      <c r="E216" s="222">
        <f>IFERROR(MATCH(F216,Costos_Indirectos_Cuentas[Cuenta Contable],0),0)</f>
        <v>0</v>
      </c>
      <c r="F216" s="134" t="s">
        <v>240</v>
      </c>
      <c r="G216" s="94"/>
      <c r="H216" s="105">
        <f>SUMPRODUCT(($C$185=Indirectos[Movimiento])*(H$1=Indirectos[Mes Financiero])*(H$2=Indirectos[Año Financiero])*(Indirectos[Financiero $Corrientes]))-SUM(H191:H215)</f>
        <v>0</v>
      </c>
      <c r="I216" s="106">
        <f>SUMPRODUCT(($C$185=Indirectos[Movimiento])*(I$1=Indirectos[Mes Financiero])*(I$2=Indirectos[Año Financiero])*(Indirectos[Financiero $Corrientes]))-SUM(I191:I215)</f>
        <v>0</v>
      </c>
      <c r="J216" s="105">
        <f>SUMPRODUCT(($C$185=Indirectos[Movimiento])*(J$1=Indirectos[Mes Financiero])*(J$2=Indirectos[Año Financiero])*(Indirectos[Financiero $Corrientes]))-SUM(J191:J215)</f>
        <v>0</v>
      </c>
      <c r="K216" s="106">
        <f>SUMPRODUCT(($C$185=Indirectos[Movimiento])*(K$1=Indirectos[Mes Financiero])*(K$2=Indirectos[Año Financiero])*(Indirectos[Financiero $Corrientes]))-SUM(K191:K215)</f>
        <v>0</v>
      </c>
      <c r="L216" s="105">
        <f>SUMPRODUCT(($C$185=Indirectos[Movimiento])*(L$1=Indirectos[Mes Financiero])*(L$2=Indirectos[Año Financiero])*(Indirectos[Financiero $Corrientes]))-SUM(L191:L215)</f>
        <v>0</v>
      </c>
      <c r="M216" s="106">
        <f>SUMPRODUCT(($C$185=Indirectos[Movimiento])*(M$1=Indirectos[Mes Financiero])*(M$2=Indirectos[Año Financiero])*(Indirectos[Financiero $Corrientes]))-SUM(M191:M215)</f>
        <v>0</v>
      </c>
      <c r="N216" s="105">
        <f>SUMPRODUCT(($C$185=Indirectos[Movimiento])*(N$1=Indirectos[Mes Financiero])*(N$2=Indirectos[Año Financiero])*(Indirectos[Financiero $Corrientes]))-SUM(N191:N215)</f>
        <v>0</v>
      </c>
      <c r="O216" s="106">
        <f>SUMPRODUCT(($C$185=Indirectos[Movimiento])*(O$1=Indirectos[Mes Financiero])*(O$2=Indirectos[Año Financiero])*(Indirectos[Financiero $Corrientes]))-SUM(O191:O215)</f>
        <v>0</v>
      </c>
      <c r="P216" s="105">
        <f>SUMPRODUCT(($C$185=Indirectos[Movimiento])*(P$1=Indirectos[Mes Financiero])*(P$2=Indirectos[Año Financiero])*(Indirectos[Financiero $Corrientes]))-SUM(P191:P215)</f>
        <v>0</v>
      </c>
      <c r="Q216" s="106">
        <f>SUMPRODUCT(($C$185=Indirectos[Movimiento])*(Q$1=Indirectos[Mes Financiero])*(Q$2=Indirectos[Año Financiero])*(Indirectos[Financiero $Corrientes]))-SUM(Q191:Q215)</f>
        <v>0</v>
      </c>
      <c r="R216" s="105">
        <f>SUMPRODUCT(($C$185=Indirectos[Movimiento])*(R$1=Indirectos[Mes Financiero])*(R$2=Indirectos[Año Financiero])*(Indirectos[Financiero $Corrientes]))-SUM(R191:R215)</f>
        <v>0</v>
      </c>
      <c r="S216" s="106">
        <f>SUMPRODUCT(($C$185=Indirectos[Movimiento])*(S$1=Indirectos[Mes Financiero])*(S$2=Indirectos[Año Financiero])*(Indirectos[Financiero $Corrientes]))-SUM(S191:S215)</f>
        <v>0</v>
      </c>
      <c r="T216" s="105">
        <f>SUMPRODUCT(($C$185=Indirectos[Movimiento])*(T$1=Indirectos[Mes Financiero])*(T$2=Indirectos[Año Financiero])*(Indirectos[Financiero $Corrientes]))-SUM(T191:T215)</f>
        <v>0</v>
      </c>
      <c r="U216" s="106">
        <f>SUMPRODUCT(($C$185=Indirectos[Movimiento])*(U$1=Indirectos[Mes Financiero])*(U$2=Indirectos[Año Financiero])*(Indirectos[Financiero $Corrientes]))-SUM(U191:U215)</f>
        <v>0</v>
      </c>
      <c r="V216" s="105">
        <f>SUMPRODUCT(($C$185=Indirectos[Movimiento])*(V$1=Indirectos[Mes Financiero])*(V$2=Indirectos[Año Financiero])*(Indirectos[Financiero $Corrientes]))-SUM(V191:V215)</f>
        <v>0</v>
      </c>
      <c r="W216" s="106">
        <f>SUMPRODUCT(($C$185=Indirectos[Movimiento])*(W$1=Indirectos[Mes Financiero])*(W$2=Indirectos[Año Financiero])*(Indirectos[Financiero $Corrientes]))-SUM(W191:W215)</f>
        <v>0</v>
      </c>
      <c r="X216" s="105">
        <f>SUMPRODUCT(($C$185=Indirectos[Movimiento])*(X$1=Indirectos[Mes Financiero])*(X$2=Indirectos[Año Financiero])*(Indirectos[Financiero $Corrientes]))-SUM(X191:X215)</f>
        <v>0</v>
      </c>
      <c r="Y216" s="106">
        <f>SUMPRODUCT(($C$185=Indirectos[Movimiento])*(Y$1=Indirectos[Mes Financiero])*(Y$2=Indirectos[Año Financiero])*(Indirectos[Financiero $Corrientes]))-SUM(Y191:Y215)</f>
        <v>0</v>
      </c>
      <c r="Z216" s="163">
        <f t="shared" si="27"/>
        <v>0</v>
      </c>
      <c r="AC216" s="174">
        <f>SUMPRODUCT((F216=Costos_Indirectos_Cuentas[Cuenta Contable])*(Costos_Indirectos_Cuentas[IVA]))</f>
        <v>0</v>
      </c>
    </row>
    <row r="217" spans="2:29" collapsed="1" x14ac:dyDescent="0.25">
      <c r="C217" s="210" t="s">
        <v>38</v>
      </c>
      <c r="D217" s="101" t="s">
        <v>189</v>
      </c>
      <c r="E217" s="135"/>
      <c r="F217" t="s">
        <v>191</v>
      </c>
      <c r="H217" s="103"/>
      <c r="I217" s="104"/>
      <c r="J217" s="103"/>
      <c r="K217" s="104"/>
      <c r="L217" s="103"/>
      <c r="M217" s="104"/>
      <c r="N217" s="103"/>
      <c r="O217" s="104"/>
      <c r="P217" s="103"/>
      <c r="Q217" s="104"/>
      <c r="R217" s="103"/>
      <c r="S217" s="104"/>
      <c r="T217" s="103"/>
      <c r="U217" s="104"/>
      <c r="V217" s="103"/>
      <c r="W217" s="104"/>
      <c r="X217" s="103"/>
      <c r="Y217" s="104"/>
      <c r="Z217" s="144">
        <f t="shared" si="27"/>
        <v>0</v>
      </c>
      <c r="AC217" s="174">
        <v>0</v>
      </c>
    </row>
    <row r="218" spans="2:29" x14ac:dyDescent="0.25">
      <c r="E218" s="135"/>
      <c r="F218" t="s">
        <v>192</v>
      </c>
      <c r="H218" s="103"/>
      <c r="I218" s="104"/>
      <c r="J218" s="103"/>
      <c r="K218" s="104"/>
      <c r="L218" s="103"/>
      <c r="M218" s="104"/>
      <c r="N218" s="103"/>
      <c r="O218" s="104"/>
      <c r="P218" s="103"/>
      <c r="Q218" s="104"/>
      <c r="R218" s="103"/>
      <c r="S218" s="104"/>
      <c r="T218" s="103"/>
      <c r="U218" s="104"/>
      <c r="V218" s="103"/>
      <c r="W218" s="104"/>
      <c r="X218" s="103"/>
      <c r="Y218" s="104"/>
      <c r="Z218" s="144">
        <f t="shared" si="27"/>
        <v>0</v>
      </c>
      <c r="AC218" s="174">
        <v>0.105</v>
      </c>
    </row>
    <row r="219" spans="2:29" x14ac:dyDescent="0.25">
      <c r="E219" s="135"/>
      <c r="F219" t="s">
        <v>193</v>
      </c>
      <c r="H219" s="103"/>
      <c r="I219" s="104"/>
      <c r="J219" s="103"/>
      <c r="K219" s="104"/>
      <c r="L219" s="103"/>
      <c r="M219" s="104"/>
      <c r="N219" s="103"/>
      <c r="O219" s="104"/>
      <c r="P219" s="103"/>
      <c r="Q219" s="104"/>
      <c r="R219" s="103"/>
      <c r="S219" s="104"/>
      <c r="T219" s="103"/>
      <c r="U219" s="104"/>
      <c r="V219" s="103"/>
      <c r="W219" s="104"/>
      <c r="X219" s="103"/>
      <c r="Y219" s="104"/>
      <c r="Z219" s="144">
        <f t="shared" si="27"/>
        <v>0</v>
      </c>
      <c r="AC219" s="174">
        <v>0.21</v>
      </c>
    </row>
    <row r="220" spans="2:29" x14ac:dyDescent="0.25">
      <c r="E220" s="135"/>
      <c r="F220" t="s">
        <v>194</v>
      </c>
      <c r="H220" s="103"/>
      <c r="I220" s="104"/>
      <c r="J220" s="103"/>
      <c r="K220" s="104"/>
      <c r="L220" s="103"/>
      <c r="M220" s="104"/>
      <c r="N220" s="103"/>
      <c r="O220" s="104"/>
      <c r="P220" s="103"/>
      <c r="Q220" s="104"/>
      <c r="R220" s="103"/>
      <c r="S220" s="104"/>
      <c r="T220" s="103"/>
      <c r="U220" s="104"/>
      <c r="V220" s="103"/>
      <c r="W220" s="104"/>
      <c r="X220" s="103"/>
      <c r="Y220" s="104"/>
      <c r="Z220" s="144">
        <f t="shared" si="27"/>
        <v>0</v>
      </c>
      <c r="AC220" s="174">
        <v>0.27</v>
      </c>
    </row>
    <row r="221" spans="2:29" x14ac:dyDescent="0.25">
      <c r="C221" s="210" t="s">
        <v>38</v>
      </c>
      <c r="D221" s="151" t="s">
        <v>188</v>
      </c>
      <c r="E221" s="152"/>
      <c r="F221" s="153" t="s">
        <v>178</v>
      </c>
      <c r="G221" s="154"/>
      <c r="H221" s="155">
        <f>SUM(H67,H88,H115,H140,H165,H185,H217,H218,H219,H220)</f>
        <v>0</v>
      </c>
      <c r="I221" s="155">
        <f t="shared" ref="I221:Z221" si="28">SUM(I67,I88,I115,I140,I165,I185,I217,I218,I219,I220)</f>
        <v>0</v>
      </c>
      <c r="J221" s="155">
        <f t="shared" si="28"/>
        <v>0</v>
      </c>
      <c r="K221" s="155">
        <f t="shared" si="28"/>
        <v>0</v>
      </c>
      <c r="L221" s="155">
        <f t="shared" si="28"/>
        <v>0</v>
      </c>
      <c r="M221" s="155">
        <f t="shared" si="28"/>
        <v>0</v>
      </c>
      <c r="N221" s="155">
        <f t="shared" si="28"/>
        <v>0</v>
      </c>
      <c r="O221" s="155">
        <f t="shared" si="28"/>
        <v>0</v>
      </c>
      <c r="P221" s="155">
        <f t="shared" si="28"/>
        <v>0</v>
      </c>
      <c r="Q221" s="155">
        <f t="shared" si="28"/>
        <v>0</v>
      </c>
      <c r="R221" s="155">
        <f t="shared" si="28"/>
        <v>0</v>
      </c>
      <c r="S221" s="155">
        <f t="shared" si="28"/>
        <v>0</v>
      </c>
      <c r="T221" s="155">
        <f t="shared" si="28"/>
        <v>0</v>
      </c>
      <c r="U221" s="155">
        <f t="shared" si="28"/>
        <v>0</v>
      </c>
      <c r="V221" s="155">
        <f t="shared" si="28"/>
        <v>0</v>
      </c>
      <c r="W221" s="155">
        <f t="shared" si="28"/>
        <v>0</v>
      </c>
      <c r="X221" s="155">
        <f t="shared" si="28"/>
        <v>0</v>
      </c>
      <c r="Y221" s="155">
        <f t="shared" si="28"/>
        <v>0</v>
      </c>
      <c r="Z221" s="156">
        <f t="shared" si="28"/>
        <v>0</v>
      </c>
    </row>
    <row r="222" spans="2:29" x14ac:dyDescent="0.25">
      <c r="D222" s="108" t="s">
        <v>190</v>
      </c>
      <c r="E222" s="164"/>
      <c r="F222" s="63">
        <v>0.105</v>
      </c>
      <c r="H222" s="103">
        <f t="shared" ref="H222:W224" si="29">SUMPRODUCT((H$67:H$221)*($AC$67:$AC$221=$F222))*$F222</f>
        <v>0</v>
      </c>
      <c r="I222" s="104">
        <f t="shared" si="29"/>
        <v>0</v>
      </c>
      <c r="J222" s="103">
        <f t="shared" si="29"/>
        <v>0</v>
      </c>
      <c r="K222" s="104">
        <f t="shared" si="29"/>
        <v>0</v>
      </c>
      <c r="L222" s="103">
        <f t="shared" si="29"/>
        <v>0</v>
      </c>
      <c r="M222" s="104">
        <f t="shared" si="29"/>
        <v>0</v>
      </c>
      <c r="N222" s="103">
        <f t="shared" si="29"/>
        <v>0</v>
      </c>
      <c r="O222" s="104">
        <f t="shared" si="29"/>
        <v>0</v>
      </c>
      <c r="P222" s="103">
        <f t="shared" si="29"/>
        <v>0</v>
      </c>
      <c r="Q222" s="104">
        <f t="shared" si="29"/>
        <v>0</v>
      </c>
      <c r="R222" s="103">
        <f t="shared" si="29"/>
        <v>0</v>
      </c>
      <c r="S222" s="104">
        <f t="shared" si="29"/>
        <v>0</v>
      </c>
      <c r="T222" s="103">
        <f t="shared" si="29"/>
        <v>0</v>
      </c>
      <c r="U222" s="104">
        <f t="shared" si="29"/>
        <v>0</v>
      </c>
      <c r="V222" s="103">
        <f t="shared" si="29"/>
        <v>0</v>
      </c>
      <c r="W222" s="104">
        <f t="shared" si="29"/>
        <v>0</v>
      </c>
      <c r="X222" s="103">
        <f t="shared" ref="R222:Y224" si="30">SUMPRODUCT((X$67:X$221)*($AC$67:$AC$221=$F222))*$F222</f>
        <v>0</v>
      </c>
      <c r="Y222" s="104">
        <f t="shared" si="30"/>
        <v>0</v>
      </c>
      <c r="Z222" s="167">
        <f>SUM(H222:Y222)</f>
        <v>0</v>
      </c>
    </row>
    <row r="223" spans="2:29" x14ac:dyDescent="0.25">
      <c r="D223" s="108" t="s">
        <v>190</v>
      </c>
      <c r="F223" s="63">
        <v>0.21</v>
      </c>
      <c r="H223" s="103">
        <f t="shared" si="29"/>
        <v>0</v>
      </c>
      <c r="I223" s="104">
        <f t="shared" si="29"/>
        <v>0</v>
      </c>
      <c r="J223" s="103">
        <f t="shared" si="29"/>
        <v>0</v>
      </c>
      <c r="K223" s="104">
        <f t="shared" si="29"/>
        <v>0</v>
      </c>
      <c r="L223" s="103">
        <f t="shared" si="29"/>
        <v>0</v>
      </c>
      <c r="M223" s="104">
        <f t="shared" si="29"/>
        <v>0</v>
      </c>
      <c r="N223" s="103">
        <f t="shared" si="29"/>
        <v>0</v>
      </c>
      <c r="O223" s="104">
        <f t="shared" si="29"/>
        <v>0</v>
      </c>
      <c r="P223" s="103">
        <f t="shared" si="29"/>
        <v>0</v>
      </c>
      <c r="Q223" s="104">
        <f t="shared" si="29"/>
        <v>0</v>
      </c>
      <c r="R223" s="103">
        <f t="shared" si="30"/>
        <v>0</v>
      </c>
      <c r="S223" s="104">
        <f t="shared" si="30"/>
        <v>0</v>
      </c>
      <c r="T223" s="103">
        <f t="shared" si="30"/>
        <v>0</v>
      </c>
      <c r="U223" s="104">
        <f t="shared" si="30"/>
        <v>0</v>
      </c>
      <c r="V223" s="103">
        <f t="shared" si="30"/>
        <v>0</v>
      </c>
      <c r="W223" s="104">
        <f t="shared" si="30"/>
        <v>0</v>
      </c>
      <c r="X223" s="103">
        <f t="shared" si="30"/>
        <v>0</v>
      </c>
      <c r="Y223" s="104">
        <f t="shared" si="30"/>
        <v>0</v>
      </c>
      <c r="Z223" s="167">
        <f t="shared" ref="Z223:Z227" si="31">SUM(H223:Y223)</f>
        <v>0</v>
      </c>
    </row>
    <row r="224" spans="2:29" x14ac:dyDescent="0.25">
      <c r="D224" s="108" t="s">
        <v>190</v>
      </c>
      <c r="F224" s="63">
        <v>0.27</v>
      </c>
      <c r="H224" s="103">
        <f t="shared" si="29"/>
        <v>0</v>
      </c>
      <c r="I224" s="104">
        <f t="shared" si="29"/>
        <v>0</v>
      </c>
      <c r="J224" s="103">
        <f t="shared" si="29"/>
        <v>0</v>
      </c>
      <c r="K224" s="104">
        <f t="shared" si="29"/>
        <v>0</v>
      </c>
      <c r="L224" s="103">
        <f t="shared" si="29"/>
        <v>0</v>
      </c>
      <c r="M224" s="104">
        <f t="shared" si="29"/>
        <v>0</v>
      </c>
      <c r="N224" s="103">
        <f t="shared" si="29"/>
        <v>0</v>
      </c>
      <c r="O224" s="104">
        <f t="shared" si="29"/>
        <v>0</v>
      </c>
      <c r="P224" s="103">
        <f t="shared" si="29"/>
        <v>0</v>
      </c>
      <c r="Q224" s="104">
        <f t="shared" si="29"/>
        <v>0</v>
      </c>
      <c r="R224" s="103">
        <f t="shared" si="30"/>
        <v>0</v>
      </c>
      <c r="S224" s="104">
        <f t="shared" si="30"/>
        <v>0</v>
      </c>
      <c r="T224" s="103">
        <f t="shared" si="30"/>
        <v>0</v>
      </c>
      <c r="U224" s="104">
        <f t="shared" si="30"/>
        <v>0</v>
      </c>
      <c r="V224" s="103">
        <f t="shared" si="30"/>
        <v>0</v>
      </c>
      <c r="W224" s="104">
        <f t="shared" si="30"/>
        <v>0</v>
      </c>
      <c r="X224" s="103">
        <f t="shared" si="30"/>
        <v>0</v>
      </c>
      <c r="Y224" s="104">
        <f t="shared" si="30"/>
        <v>0</v>
      </c>
      <c r="Z224" s="167">
        <f t="shared" si="31"/>
        <v>0</v>
      </c>
    </row>
    <row r="225" spans="3:26" x14ac:dyDescent="0.25">
      <c r="C225" s="210" t="s">
        <v>38</v>
      </c>
      <c r="D225" s="157" t="s">
        <v>188</v>
      </c>
      <c r="E225" s="158"/>
      <c r="F225" s="159" t="s">
        <v>181</v>
      </c>
      <c r="G225" s="160"/>
      <c r="H225" s="285">
        <f>SUM(H221:H224)</f>
        <v>0</v>
      </c>
      <c r="I225" s="285">
        <f t="shared" ref="I225:Y225" si="32">SUM(I221:I224)</f>
        <v>0</v>
      </c>
      <c r="J225" s="285">
        <f t="shared" si="32"/>
        <v>0</v>
      </c>
      <c r="K225" s="285">
        <f t="shared" si="32"/>
        <v>0</v>
      </c>
      <c r="L225" s="285">
        <f t="shared" si="32"/>
        <v>0</v>
      </c>
      <c r="M225" s="285">
        <f t="shared" si="32"/>
        <v>0</v>
      </c>
      <c r="N225" s="285">
        <f t="shared" si="32"/>
        <v>0</v>
      </c>
      <c r="O225" s="285">
        <f t="shared" si="32"/>
        <v>0</v>
      </c>
      <c r="P225" s="285">
        <f t="shared" si="32"/>
        <v>0</v>
      </c>
      <c r="Q225" s="285">
        <f t="shared" si="32"/>
        <v>0</v>
      </c>
      <c r="R225" s="285">
        <f t="shared" si="32"/>
        <v>0</v>
      </c>
      <c r="S225" s="285">
        <f t="shared" si="32"/>
        <v>0</v>
      </c>
      <c r="T225" s="285">
        <f t="shared" si="32"/>
        <v>0</v>
      </c>
      <c r="U225" s="285">
        <f t="shared" si="32"/>
        <v>0</v>
      </c>
      <c r="V225" s="285">
        <f t="shared" si="32"/>
        <v>0</v>
      </c>
      <c r="W225" s="285">
        <f t="shared" si="32"/>
        <v>0</v>
      </c>
      <c r="X225" s="285">
        <f t="shared" si="32"/>
        <v>0</v>
      </c>
      <c r="Y225" s="285">
        <f t="shared" si="32"/>
        <v>0</v>
      </c>
      <c r="Z225" s="162">
        <f t="shared" si="31"/>
        <v>0</v>
      </c>
    </row>
    <row r="227" spans="3:26" x14ac:dyDescent="0.25">
      <c r="D227" s="101" t="s">
        <v>106</v>
      </c>
      <c r="F227" s="101" t="s">
        <v>294</v>
      </c>
      <c r="H227" s="284">
        <f>-MAX(0,SUM($H$55:H60)+SUM($H$222:H224))</f>
        <v>0</v>
      </c>
      <c r="I227" s="10">
        <f>-MAX(0,(SUM($H$55:I60)+SUM($H$222:I224))+SUM($H$227:H227))</f>
        <v>0</v>
      </c>
      <c r="J227" s="284">
        <f>-MAX(0,(SUM($H$55:J60)+SUM($H$222:J224))+SUM($H$227:I227))</f>
        <v>0</v>
      </c>
      <c r="K227" s="10">
        <f>-MAX(0,(SUM($H$55:K60)+SUM($H$222:K224))+SUM($H$227:J227))</f>
        <v>0</v>
      </c>
      <c r="L227" s="284">
        <f>-MAX(0,(SUM($H$55:L60)+SUM($H$222:L224))+SUM($H$227:K227))</f>
        <v>0</v>
      </c>
      <c r="M227" s="10">
        <f>-MAX(0,(SUM($H$55:M60)+SUM($H$222:M224))+SUM($H$227:L227))</f>
        <v>0</v>
      </c>
      <c r="N227" s="284">
        <f>-MAX(0,(SUM($H$55:N60)+SUM($H$222:N224))+SUM($H$227:M227))</f>
        <v>0</v>
      </c>
      <c r="O227" s="10">
        <f>-MAX(0,(SUM($H$55:O60)+SUM($H$222:O224))+SUM($H$227:N227))</f>
        <v>0</v>
      </c>
      <c r="P227" s="284">
        <f>-MAX(0,(SUM($H$55:P60)+SUM($H$222:P224))+SUM($H$227:O227))</f>
        <v>0</v>
      </c>
      <c r="Q227" s="10">
        <f>-MAX(0,(SUM($H$55:Q60)+SUM($H$222:Q224))+SUM($H$227:P227))</f>
        <v>0</v>
      </c>
      <c r="R227" s="284">
        <f>-MAX(0,(SUM($H$55:R60)+SUM($H$222:R224))+SUM($H$227:Q227))</f>
        <v>0</v>
      </c>
      <c r="S227" s="10">
        <f>-MAX(0,(SUM($H$55:S60)+SUM($H$222:S224))+SUM($H$227:R227))</f>
        <v>0</v>
      </c>
      <c r="T227" s="284">
        <f>-MAX(0,(SUM($H$55:T60)+SUM($H$222:T224))+SUM($H$227:S227))</f>
        <v>0</v>
      </c>
      <c r="U227" s="10">
        <f>-MAX(0,(SUM($H$55:U60)+SUM($H$222:U224))+SUM($H$227:T227))</f>
        <v>0</v>
      </c>
      <c r="V227" s="284">
        <f>-MAX(0,(SUM($H$55:V60)+SUM($H$222:V224))+SUM($H$227:U227))</f>
        <v>0</v>
      </c>
      <c r="W227" s="10">
        <f>-MAX(0,(SUM($H$55:W60)+SUM($H$222:W224))+SUM($H$227:V227))</f>
        <v>0</v>
      </c>
      <c r="X227" s="284">
        <f>-MAX(0,(SUM($H$55:X60)+SUM($H$222:X224))+SUM($H$227:W227))</f>
        <v>0</v>
      </c>
      <c r="Y227" s="10">
        <f>-MAX(0,(SUM($H$55:Y60)+SUM($H$222:Y224))+SUM($H$227:X227))</f>
        <v>0</v>
      </c>
      <c r="Z227" s="144">
        <f t="shared" si="31"/>
        <v>0</v>
      </c>
    </row>
    <row r="229" spans="3:26" x14ac:dyDescent="0.25">
      <c r="D229" s="157" t="s">
        <v>295</v>
      </c>
      <c r="E229" s="158"/>
      <c r="F229" s="159"/>
      <c r="G229" s="160"/>
      <c r="H229" s="161">
        <f>H65+H225+H227</f>
        <v>0</v>
      </c>
      <c r="I229" s="161">
        <f t="shared" ref="I229:Z229" si="33">I65+I225+I227</f>
        <v>0</v>
      </c>
      <c r="J229" s="161">
        <f t="shared" si="33"/>
        <v>0</v>
      </c>
      <c r="K229" s="161">
        <f t="shared" si="33"/>
        <v>0</v>
      </c>
      <c r="L229" s="161">
        <f t="shared" si="33"/>
        <v>0</v>
      </c>
      <c r="M229" s="161">
        <f t="shared" si="33"/>
        <v>0</v>
      </c>
      <c r="N229" s="161">
        <f t="shared" si="33"/>
        <v>0</v>
      </c>
      <c r="O229" s="161">
        <f t="shared" si="33"/>
        <v>0</v>
      </c>
      <c r="P229" s="161">
        <f t="shared" si="33"/>
        <v>0</v>
      </c>
      <c r="Q229" s="161">
        <f t="shared" si="33"/>
        <v>0</v>
      </c>
      <c r="R229" s="161">
        <f t="shared" si="33"/>
        <v>0</v>
      </c>
      <c r="S229" s="161">
        <f t="shared" si="33"/>
        <v>0</v>
      </c>
      <c r="T229" s="161">
        <f t="shared" si="33"/>
        <v>0</v>
      </c>
      <c r="U229" s="161">
        <f t="shared" si="33"/>
        <v>0</v>
      </c>
      <c r="V229" s="161">
        <f t="shared" si="33"/>
        <v>0</v>
      </c>
      <c r="W229" s="161">
        <f t="shared" si="33"/>
        <v>0</v>
      </c>
      <c r="X229" s="161">
        <f t="shared" si="33"/>
        <v>0</v>
      </c>
      <c r="Y229" s="161">
        <f t="shared" si="33"/>
        <v>0</v>
      </c>
      <c r="Z229" s="162">
        <f t="shared" si="33"/>
        <v>0</v>
      </c>
    </row>
    <row r="230" spans="3:26" x14ac:dyDescent="0.25">
      <c r="D230" s="157" t="s">
        <v>296</v>
      </c>
      <c r="E230" s="158"/>
      <c r="F230" s="159"/>
      <c r="G230" s="160"/>
      <c r="H230" s="161">
        <f>H229</f>
        <v>0</v>
      </c>
      <c r="I230" s="161">
        <f>H230+I229</f>
        <v>0</v>
      </c>
      <c r="J230" s="161">
        <f t="shared" ref="J230:Y230" si="34">I230+J229</f>
        <v>0</v>
      </c>
      <c r="K230" s="161">
        <f t="shared" si="34"/>
        <v>0</v>
      </c>
      <c r="L230" s="161">
        <f t="shared" si="34"/>
        <v>0</v>
      </c>
      <c r="M230" s="161">
        <f t="shared" si="34"/>
        <v>0</v>
      </c>
      <c r="N230" s="161">
        <f t="shared" si="34"/>
        <v>0</v>
      </c>
      <c r="O230" s="161">
        <f t="shared" si="34"/>
        <v>0</v>
      </c>
      <c r="P230" s="161">
        <f t="shared" si="34"/>
        <v>0</v>
      </c>
      <c r="Q230" s="161">
        <f t="shared" si="34"/>
        <v>0</v>
      </c>
      <c r="R230" s="161">
        <f t="shared" si="34"/>
        <v>0</v>
      </c>
      <c r="S230" s="161">
        <f t="shared" si="34"/>
        <v>0</v>
      </c>
      <c r="T230" s="161">
        <f t="shared" si="34"/>
        <v>0</v>
      </c>
      <c r="U230" s="161">
        <f t="shared" si="34"/>
        <v>0</v>
      </c>
      <c r="V230" s="161">
        <f t="shared" si="34"/>
        <v>0</v>
      </c>
      <c r="W230" s="161">
        <f t="shared" si="34"/>
        <v>0</v>
      </c>
      <c r="X230" s="161">
        <f t="shared" si="34"/>
        <v>0</v>
      </c>
      <c r="Y230" s="161">
        <f t="shared" si="34"/>
        <v>0</v>
      </c>
      <c r="Z230" s="162"/>
    </row>
    <row r="232" spans="3:26" x14ac:dyDescent="0.25">
      <c r="C232" s="210" t="s">
        <v>37</v>
      </c>
      <c r="D232" s="381" t="s">
        <v>282</v>
      </c>
      <c r="E232" s="221">
        <f>IFERROR(MATCH(F232,Cuentas_FIDI[Cuenta Contable],0),0)</f>
        <v>1</v>
      </c>
      <c r="F232" s="383" t="str">
        <f>Configuración!CJ5</f>
        <v>Bancos - Saldo Inicial</v>
      </c>
      <c r="H232" s="284">
        <f>SUMPRODUCT(($C232=Finanzas[Movimiento])*($F232=Finanzas[Cuenta Contable])*(H$1=Finanzas[Mes Financiero])*(H$2=Finanzas[Año Financiero])*(Finanzas[Financiero $Corrientes]))</f>
        <v>0</v>
      </c>
      <c r="I232" s="10">
        <f>SUMPRODUCT(($C232=Finanzas[Movimiento])*($F232=Finanzas[Cuenta Contable])*(I$1=Finanzas[Mes Financiero])*(I$2=Finanzas[Año Financiero])*(Finanzas[Financiero $Corrientes]))</f>
        <v>0</v>
      </c>
      <c r="J232" s="284">
        <f>SUMPRODUCT(($C232=Finanzas[Movimiento])*($F232=Finanzas[Cuenta Contable])*(J$1=Finanzas[Mes Financiero])*(J$2=Finanzas[Año Financiero])*(Finanzas[Financiero $Corrientes]))</f>
        <v>0</v>
      </c>
      <c r="K232" s="10">
        <f>SUMPRODUCT(($C232=Finanzas[Movimiento])*($F232=Finanzas[Cuenta Contable])*(K$1=Finanzas[Mes Financiero])*(K$2=Finanzas[Año Financiero])*(Finanzas[Financiero $Corrientes]))</f>
        <v>790000</v>
      </c>
      <c r="L232" s="284">
        <f>SUMPRODUCT(($C232=Finanzas[Movimiento])*($F232=Finanzas[Cuenta Contable])*(L$1=Finanzas[Mes Financiero])*(L$2=Finanzas[Año Financiero])*(Finanzas[Financiero $Corrientes]))</f>
        <v>0</v>
      </c>
      <c r="M232" s="10">
        <f>SUMPRODUCT(($C232=Finanzas[Movimiento])*($F232=Finanzas[Cuenta Contable])*(M$1=Finanzas[Mes Financiero])*(M$2=Finanzas[Año Financiero])*(Finanzas[Financiero $Corrientes]))</f>
        <v>0</v>
      </c>
      <c r="N232" s="284">
        <f>SUMPRODUCT(($C232=Finanzas[Movimiento])*($F232=Finanzas[Cuenta Contable])*(N$1=Finanzas[Mes Financiero])*(N$2=Finanzas[Año Financiero])*(Finanzas[Financiero $Corrientes]))</f>
        <v>0</v>
      </c>
      <c r="O232" s="10">
        <f>SUMPRODUCT(($C232=Finanzas[Movimiento])*($F232=Finanzas[Cuenta Contable])*(O$1=Finanzas[Mes Financiero])*(O$2=Finanzas[Año Financiero])*(Finanzas[Financiero $Corrientes]))</f>
        <v>0</v>
      </c>
      <c r="P232" s="284">
        <f>SUMPRODUCT(($C232=Finanzas[Movimiento])*($F232=Finanzas[Cuenta Contable])*(P$1=Finanzas[Mes Financiero])*(P$2=Finanzas[Año Financiero])*(Finanzas[Financiero $Corrientes]))</f>
        <v>0</v>
      </c>
      <c r="Q232" s="10">
        <f>SUMPRODUCT(($C232=Finanzas[Movimiento])*($F232=Finanzas[Cuenta Contable])*(Q$1=Finanzas[Mes Financiero])*(Q$2=Finanzas[Año Financiero])*(Finanzas[Financiero $Corrientes]))</f>
        <v>0</v>
      </c>
      <c r="R232" s="284">
        <f>SUMPRODUCT(($C232=Finanzas[Movimiento])*($F232=Finanzas[Cuenta Contable])*(R$1=Finanzas[Mes Financiero])*(R$2=Finanzas[Año Financiero])*(Finanzas[Financiero $Corrientes]))</f>
        <v>0</v>
      </c>
      <c r="S232" s="10">
        <f>SUMPRODUCT(($C232=Finanzas[Movimiento])*($F232=Finanzas[Cuenta Contable])*(S$1=Finanzas[Mes Financiero])*(S$2=Finanzas[Año Financiero])*(Finanzas[Financiero $Corrientes]))</f>
        <v>0</v>
      </c>
      <c r="T232" s="284">
        <f>SUMPRODUCT(($C232=Finanzas[Movimiento])*($F232=Finanzas[Cuenta Contable])*(T$1=Finanzas[Mes Financiero])*(T$2=Finanzas[Año Financiero])*(Finanzas[Financiero $Corrientes]))</f>
        <v>0</v>
      </c>
      <c r="U232" s="10">
        <f>SUMPRODUCT(($C232=Finanzas[Movimiento])*($F232=Finanzas[Cuenta Contable])*(U$1=Finanzas[Mes Financiero])*(U$2=Finanzas[Año Financiero])*(Finanzas[Financiero $Corrientes]))</f>
        <v>0</v>
      </c>
      <c r="V232" s="284">
        <f>SUMPRODUCT(($C232=Finanzas[Movimiento])*($F232=Finanzas[Cuenta Contable])*(V$1=Finanzas[Mes Financiero])*(V$2=Finanzas[Año Financiero])*(Finanzas[Financiero $Corrientes]))</f>
        <v>0</v>
      </c>
      <c r="W232" s="10">
        <f>SUMPRODUCT(($C232=Finanzas[Movimiento])*($F232=Finanzas[Cuenta Contable])*(W$1=Finanzas[Mes Financiero])*(W$2=Finanzas[Año Financiero])*(Finanzas[Financiero $Corrientes]))</f>
        <v>0</v>
      </c>
      <c r="X232" s="284">
        <f>SUMPRODUCT(($C232=Finanzas[Movimiento])*($F232=Finanzas[Cuenta Contable])*(X$1=Finanzas[Mes Financiero])*(X$2=Finanzas[Año Financiero])*(Finanzas[Financiero $Corrientes]))</f>
        <v>0</v>
      </c>
      <c r="Y232" s="10">
        <f>SUMPRODUCT(($C232=Finanzas[Movimiento])*($F232=Finanzas[Cuenta Contable])*(Y$1=Finanzas[Mes Financiero])*(Y$2=Finanzas[Año Financiero])*(Finanzas[Financiero $Corrientes]))</f>
        <v>0</v>
      </c>
      <c r="Z232" s="144">
        <f t="shared" ref="Z232:Z249" si="35">SUM(H232:Y232)</f>
        <v>790000</v>
      </c>
    </row>
    <row r="233" spans="3:26" x14ac:dyDescent="0.25">
      <c r="C233" s="210" t="s">
        <v>37</v>
      </c>
      <c r="E233" s="221">
        <f>IFERROR(MATCH(F233,Cuentas_FIDI[Cuenta Contable],0),0)</f>
        <v>2</v>
      </c>
      <c r="F233" s="383" t="str">
        <f>Configuración!CJ6</f>
        <v>Caja - Saldo Inicial</v>
      </c>
      <c r="H233" s="284">
        <f>SUMPRODUCT(($C233=Finanzas[Movimiento])*($F233=Finanzas[Cuenta Contable])*(H$1=Finanzas[Mes Financiero])*(H$2=Finanzas[Año Financiero])*(Finanzas[Financiero $Corrientes]))</f>
        <v>0</v>
      </c>
      <c r="I233" s="10">
        <f>SUMPRODUCT(($C233=Finanzas[Movimiento])*($F233=Finanzas[Cuenta Contable])*(I$1=Finanzas[Mes Financiero])*(I$2=Finanzas[Año Financiero])*(Finanzas[Financiero $Corrientes]))</f>
        <v>0</v>
      </c>
      <c r="J233" s="284">
        <f>SUMPRODUCT(($C233=Finanzas[Movimiento])*($F233=Finanzas[Cuenta Contable])*(J$1=Finanzas[Mes Financiero])*(J$2=Finanzas[Año Financiero])*(Finanzas[Financiero $Corrientes]))</f>
        <v>0</v>
      </c>
      <c r="K233" s="10">
        <f>SUMPRODUCT(($C233=Finanzas[Movimiento])*($F233=Finanzas[Cuenta Contable])*(K$1=Finanzas[Mes Financiero])*(K$2=Finanzas[Año Financiero])*(Finanzas[Financiero $Corrientes]))</f>
        <v>0</v>
      </c>
      <c r="L233" s="284">
        <f>SUMPRODUCT(($C233=Finanzas[Movimiento])*($F233=Finanzas[Cuenta Contable])*(L$1=Finanzas[Mes Financiero])*(L$2=Finanzas[Año Financiero])*(Finanzas[Financiero $Corrientes]))</f>
        <v>0</v>
      </c>
      <c r="M233" s="10">
        <f>SUMPRODUCT(($C233=Finanzas[Movimiento])*($F233=Finanzas[Cuenta Contable])*(M$1=Finanzas[Mes Financiero])*(M$2=Finanzas[Año Financiero])*(Finanzas[Financiero $Corrientes]))</f>
        <v>0</v>
      </c>
      <c r="N233" s="284">
        <f>SUMPRODUCT(($C233=Finanzas[Movimiento])*($F233=Finanzas[Cuenta Contable])*(N$1=Finanzas[Mes Financiero])*(N$2=Finanzas[Año Financiero])*(Finanzas[Financiero $Corrientes]))</f>
        <v>0</v>
      </c>
      <c r="O233" s="10">
        <f>SUMPRODUCT(($C233=Finanzas[Movimiento])*($F233=Finanzas[Cuenta Contable])*(O$1=Finanzas[Mes Financiero])*(O$2=Finanzas[Año Financiero])*(Finanzas[Financiero $Corrientes]))</f>
        <v>0</v>
      </c>
      <c r="P233" s="284">
        <f>SUMPRODUCT(($C233=Finanzas[Movimiento])*($F233=Finanzas[Cuenta Contable])*(P$1=Finanzas[Mes Financiero])*(P$2=Finanzas[Año Financiero])*(Finanzas[Financiero $Corrientes]))</f>
        <v>0</v>
      </c>
      <c r="Q233" s="10">
        <f>SUMPRODUCT(($C233=Finanzas[Movimiento])*($F233=Finanzas[Cuenta Contable])*(Q$1=Finanzas[Mes Financiero])*(Q$2=Finanzas[Año Financiero])*(Finanzas[Financiero $Corrientes]))</f>
        <v>0</v>
      </c>
      <c r="R233" s="284">
        <f>SUMPRODUCT(($C233=Finanzas[Movimiento])*($F233=Finanzas[Cuenta Contable])*(R$1=Finanzas[Mes Financiero])*(R$2=Finanzas[Año Financiero])*(Finanzas[Financiero $Corrientes]))</f>
        <v>0</v>
      </c>
      <c r="S233" s="10">
        <f>SUMPRODUCT(($C233=Finanzas[Movimiento])*($F233=Finanzas[Cuenta Contable])*(S$1=Finanzas[Mes Financiero])*(S$2=Finanzas[Año Financiero])*(Finanzas[Financiero $Corrientes]))</f>
        <v>0</v>
      </c>
      <c r="T233" s="284">
        <f>SUMPRODUCT(($C233=Finanzas[Movimiento])*($F233=Finanzas[Cuenta Contable])*(T$1=Finanzas[Mes Financiero])*(T$2=Finanzas[Año Financiero])*(Finanzas[Financiero $Corrientes]))</f>
        <v>0</v>
      </c>
      <c r="U233" s="10">
        <f>SUMPRODUCT(($C233=Finanzas[Movimiento])*($F233=Finanzas[Cuenta Contable])*(U$1=Finanzas[Mes Financiero])*(U$2=Finanzas[Año Financiero])*(Finanzas[Financiero $Corrientes]))</f>
        <v>0</v>
      </c>
      <c r="V233" s="284">
        <f>SUMPRODUCT(($C233=Finanzas[Movimiento])*($F233=Finanzas[Cuenta Contable])*(V$1=Finanzas[Mes Financiero])*(V$2=Finanzas[Año Financiero])*(Finanzas[Financiero $Corrientes]))</f>
        <v>0</v>
      </c>
      <c r="W233" s="10">
        <f>SUMPRODUCT(($C233=Finanzas[Movimiento])*($F233=Finanzas[Cuenta Contable])*(W$1=Finanzas[Mes Financiero])*(W$2=Finanzas[Año Financiero])*(Finanzas[Financiero $Corrientes]))</f>
        <v>0</v>
      </c>
      <c r="X233" s="284">
        <f>SUMPRODUCT(($C233=Finanzas[Movimiento])*($F233=Finanzas[Cuenta Contable])*(X$1=Finanzas[Mes Financiero])*(X$2=Finanzas[Año Financiero])*(Finanzas[Financiero $Corrientes]))</f>
        <v>0</v>
      </c>
      <c r="Y233" s="10">
        <f>SUMPRODUCT(($C233=Finanzas[Movimiento])*($F233=Finanzas[Cuenta Contable])*(Y$1=Finanzas[Mes Financiero])*(Y$2=Finanzas[Año Financiero])*(Finanzas[Financiero $Corrientes]))</f>
        <v>0</v>
      </c>
      <c r="Z233" s="144">
        <f t="shared" si="35"/>
        <v>0</v>
      </c>
    </row>
    <row r="234" spans="3:26" x14ac:dyDescent="0.25">
      <c r="C234" s="210" t="s">
        <v>37</v>
      </c>
      <c r="E234" s="221">
        <f>IFERROR(MATCH(F234,Cuentas_FIDI[Cuenta Contable],0),0)</f>
        <v>3</v>
      </c>
      <c r="F234" s="383" t="str">
        <f>Configuración!CJ7</f>
        <v>Cheques en Cartera</v>
      </c>
      <c r="H234" s="284">
        <f>SUMPRODUCT(($C234=Finanzas[Movimiento])*($F234=Finanzas[Cuenta Contable])*(H$1=Finanzas[Mes Financiero])*(H$2=Finanzas[Año Financiero])*(Finanzas[Financiero $Corrientes]))</f>
        <v>0</v>
      </c>
      <c r="I234" s="10">
        <f>SUMPRODUCT(($C234=Finanzas[Movimiento])*($F234=Finanzas[Cuenta Contable])*(I$1=Finanzas[Mes Financiero])*(I$2=Finanzas[Año Financiero])*(Finanzas[Financiero $Corrientes]))</f>
        <v>0</v>
      </c>
      <c r="J234" s="284">
        <f>SUMPRODUCT(($C234=Finanzas[Movimiento])*($F234=Finanzas[Cuenta Contable])*(J$1=Finanzas[Mes Financiero])*(J$2=Finanzas[Año Financiero])*(Finanzas[Financiero $Corrientes]))</f>
        <v>0</v>
      </c>
      <c r="K234" s="10">
        <f>SUMPRODUCT(($C234=Finanzas[Movimiento])*($F234=Finanzas[Cuenta Contable])*(K$1=Finanzas[Mes Financiero])*(K$2=Finanzas[Año Financiero])*(Finanzas[Financiero $Corrientes]))</f>
        <v>0</v>
      </c>
      <c r="L234" s="284">
        <f>SUMPRODUCT(($C234=Finanzas[Movimiento])*($F234=Finanzas[Cuenta Contable])*(L$1=Finanzas[Mes Financiero])*(L$2=Finanzas[Año Financiero])*(Finanzas[Financiero $Corrientes]))</f>
        <v>0</v>
      </c>
      <c r="M234" s="10">
        <f>SUMPRODUCT(($C234=Finanzas[Movimiento])*($F234=Finanzas[Cuenta Contable])*(M$1=Finanzas[Mes Financiero])*(M$2=Finanzas[Año Financiero])*(Finanzas[Financiero $Corrientes]))</f>
        <v>0</v>
      </c>
      <c r="N234" s="284">
        <f>SUMPRODUCT(($C234=Finanzas[Movimiento])*($F234=Finanzas[Cuenta Contable])*(N$1=Finanzas[Mes Financiero])*(N$2=Finanzas[Año Financiero])*(Finanzas[Financiero $Corrientes]))</f>
        <v>0</v>
      </c>
      <c r="O234" s="10">
        <f>SUMPRODUCT(($C234=Finanzas[Movimiento])*($F234=Finanzas[Cuenta Contable])*(O$1=Finanzas[Mes Financiero])*(O$2=Finanzas[Año Financiero])*(Finanzas[Financiero $Corrientes]))</f>
        <v>0</v>
      </c>
      <c r="P234" s="284">
        <f>SUMPRODUCT(($C234=Finanzas[Movimiento])*($F234=Finanzas[Cuenta Contable])*(P$1=Finanzas[Mes Financiero])*(P$2=Finanzas[Año Financiero])*(Finanzas[Financiero $Corrientes]))</f>
        <v>0</v>
      </c>
      <c r="Q234" s="10">
        <f>SUMPRODUCT(($C234=Finanzas[Movimiento])*($F234=Finanzas[Cuenta Contable])*(Q$1=Finanzas[Mes Financiero])*(Q$2=Finanzas[Año Financiero])*(Finanzas[Financiero $Corrientes]))</f>
        <v>0</v>
      </c>
      <c r="R234" s="284">
        <f>SUMPRODUCT(($C234=Finanzas[Movimiento])*($F234=Finanzas[Cuenta Contable])*(R$1=Finanzas[Mes Financiero])*(R$2=Finanzas[Año Financiero])*(Finanzas[Financiero $Corrientes]))</f>
        <v>0</v>
      </c>
      <c r="S234" s="10">
        <f>SUMPRODUCT(($C234=Finanzas[Movimiento])*($F234=Finanzas[Cuenta Contable])*(S$1=Finanzas[Mes Financiero])*(S$2=Finanzas[Año Financiero])*(Finanzas[Financiero $Corrientes]))</f>
        <v>0</v>
      </c>
      <c r="T234" s="284">
        <f>SUMPRODUCT(($C234=Finanzas[Movimiento])*($F234=Finanzas[Cuenta Contable])*(T$1=Finanzas[Mes Financiero])*(T$2=Finanzas[Año Financiero])*(Finanzas[Financiero $Corrientes]))</f>
        <v>0</v>
      </c>
      <c r="U234" s="10">
        <f>SUMPRODUCT(($C234=Finanzas[Movimiento])*($F234=Finanzas[Cuenta Contable])*(U$1=Finanzas[Mes Financiero])*(U$2=Finanzas[Año Financiero])*(Finanzas[Financiero $Corrientes]))</f>
        <v>0</v>
      </c>
      <c r="V234" s="284">
        <f>SUMPRODUCT(($C234=Finanzas[Movimiento])*($F234=Finanzas[Cuenta Contable])*(V$1=Finanzas[Mes Financiero])*(V$2=Finanzas[Año Financiero])*(Finanzas[Financiero $Corrientes]))</f>
        <v>0</v>
      </c>
      <c r="W234" s="10">
        <f>SUMPRODUCT(($C234=Finanzas[Movimiento])*($F234=Finanzas[Cuenta Contable])*(W$1=Finanzas[Mes Financiero])*(W$2=Finanzas[Año Financiero])*(Finanzas[Financiero $Corrientes]))</f>
        <v>0</v>
      </c>
      <c r="X234" s="284">
        <f>SUMPRODUCT(($C234=Finanzas[Movimiento])*($F234=Finanzas[Cuenta Contable])*(X$1=Finanzas[Mes Financiero])*(X$2=Finanzas[Año Financiero])*(Finanzas[Financiero $Corrientes]))</f>
        <v>0</v>
      </c>
      <c r="Y234" s="10">
        <f>SUMPRODUCT(($C234=Finanzas[Movimiento])*($F234=Finanzas[Cuenta Contable])*(Y$1=Finanzas[Mes Financiero])*(Y$2=Finanzas[Año Financiero])*(Finanzas[Financiero $Corrientes]))</f>
        <v>0</v>
      </c>
      <c r="Z234" s="144">
        <f t="shared" si="35"/>
        <v>0</v>
      </c>
    </row>
    <row r="235" spans="3:26" x14ac:dyDescent="0.25">
      <c r="C235" s="210" t="s">
        <v>37</v>
      </c>
      <c r="E235" s="221">
        <f>IFERROR(MATCH(F235,Cuentas_FIDI[Cuenta Contable],0),0)</f>
        <v>4</v>
      </c>
      <c r="F235" s="383" t="str">
        <f>Configuración!CJ8</f>
        <v>Ingreso Créditos</v>
      </c>
      <c r="H235" s="284">
        <f>SUMPRODUCT(($C235=Finanzas[Movimiento])*($F235=Finanzas[Cuenta Contable])*(H$1=Finanzas[Mes Financiero])*(H$2=Finanzas[Año Financiero])*(Finanzas[Financiero $Corrientes]))</f>
        <v>0</v>
      </c>
      <c r="I235" s="10">
        <f>SUMPRODUCT(($C235=Finanzas[Movimiento])*($F235=Finanzas[Cuenta Contable])*(I$1=Finanzas[Mes Financiero])*(I$2=Finanzas[Año Financiero])*(Finanzas[Financiero $Corrientes]))</f>
        <v>0</v>
      </c>
      <c r="J235" s="284">
        <f>SUMPRODUCT(($C235=Finanzas[Movimiento])*($F235=Finanzas[Cuenta Contable])*(J$1=Finanzas[Mes Financiero])*(J$2=Finanzas[Año Financiero])*(Finanzas[Financiero $Corrientes]))</f>
        <v>0</v>
      </c>
      <c r="K235" s="10">
        <f>SUMPRODUCT(($C235=Finanzas[Movimiento])*($F235=Finanzas[Cuenta Contable])*(K$1=Finanzas[Mes Financiero])*(K$2=Finanzas[Año Financiero])*(Finanzas[Financiero $Corrientes]))</f>
        <v>0</v>
      </c>
      <c r="L235" s="284">
        <f>SUMPRODUCT(($C235=Finanzas[Movimiento])*($F235=Finanzas[Cuenta Contable])*(L$1=Finanzas[Mes Financiero])*(L$2=Finanzas[Año Financiero])*(Finanzas[Financiero $Corrientes]))</f>
        <v>0</v>
      </c>
      <c r="M235" s="10">
        <f>SUMPRODUCT(($C235=Finanzas[Movimiento])*($F235=Finanzas[Cuenta Contable])*(M$1=Finanzas[Mes Financiero])*(M$2=Finanzas[Año Financiero])*(Finanzas[Financiero $Corrientes]))</f>
        <v>0</v>
      </c>
      <c r="N235" s="284">
        <f>SUMPRODUCT(($C235=Finanzas[Movimiento])*($F235=Finanzas[Cuenta Contable])*(N$1=Finanzas[Mes Financiero])*(N$2=Finanzas[Año Financiero])*(Finanzas[Financiero $Corrientes]))</f>
        <v>0</v>
      </c>
      <c r="O235" s="10">
        <f>SUMPRODUCT(($C235=Finanzas[Movimiento])*($F235=Finanzas[Cuenta Contable])*(O$1=Finanzas[Mes Financiero])*(O$2=Finanzas[Año Financiero])*(Finanzas[Financiero $Corrientes]))</f>
        <v>0</v>
      </c>
      <c r="P235" s="284">
        <f>SUMPRODUCT(($C235=Finanzas[Movimiento])*($F235=Finanzas[Cuenta Contable])*(P$1=Finanzas[Mes Financiero])*(P$2=Finanzas[Año Financiero])*(Finanzas[Financiero $Corrientes]))</f>
        <v>0</v>
      </c>
      <c r="Q235" s="10">
        <f>SUMPRODUCT(($C235=Finanzas[Movimiento])*($F235=Finanzas[Cuenta Contable])*(Q$1=Finanzas[Mes Financiero])*(Q$2=Finanzas[Año Financiero])*(Finanzas[Financiero $Corrientes]))</f>
        <v>0</v>
      </c>
      <c r="R235" s="284">
        <f>SUMPRODUCT(($C235=Finanzas[Movimiento])*($F235=Finanzas[Cuenta Contable])*(R$1=Finanzas[Mes Financiero])*(R$2=Finanzas[Año Financiero])*(Finanzas[Financiero $Corrientes]))</f>
        <v>0</v>
      </c>
      <c r="S235" s="10">
        <f>SUMPRODUCT(($C235=Finanzas[Movimiento])*($F235=Finanzas[Cuenta Contable])*(S$1=Finanzas[Mes Financiero])*(S$2=Finanzas[Año Financiero])*(Finanzas[Financiero $Corrientes]))</f>
        <v>0</v>
      </c>
      <c r="T235" s="284">
        <f>SUMPRODUCT(($C235=Finanzas[Movimiento])*($F235=Finanzas[Cuenta Contable])*(T$1=Finanzas[Mes Financiero])*(T$2=Finanzas[Año Financiero])*(Finanzas[Financiero $Corrientes]))</f>
        <v>0</v>
      </c>
      <c r="U235" s="10">
        <f>SUMPRODUCT(($C235=Finanzas[Movimiento])*($F235=Finanzas[Cuenta Contable])*(U$1=Finanzas[Mes Financiero])*(U$2=Finanzas[Año Financiero])*(Finanzas[Financiero $Corrientes]))</f>
        <v>0</v>
      </c>
      <c r="V235" s="284">
        <f>SUMPRODUCT(($C235=Finanzas[Movimiento])*($F235=Finanzas[Cuenta Contable])*(V$1=Finanzas[Mes Financiero])*(V$2=Finanzas[Año Financiero])*(Finanzas[Financiero $Corrientes]))</f>
        <v>0</v>
      </c>
      <c r="W235" s="10">
        <f>SUMPRODUCT(($C235=Finanzas[Movimiento])*($F235=Finanzas[Cuenta Contable])*(W$1=Finanzas[Mes Financiero])*(W$2=Finanzas[Año Financiero])*(Finanzas[Financiero $Corrientes]))</f>
        <v>0</v>
      </c>
      <c r="X235" s="284">
        <f>SUMPRODUCT(($C235=Finanzas[Movimiento])*($F235=Finanzas[Cuenta Contable])*(X$1=Finanzas[Mes Financiero])*(X$2=Finanzas[Año Financiero])*(Finanzas[Financiero $Corrientes]))</f>
        <v>0</v>
      </c>
      <c r="Y235" s="10">
        <f>SUMPRODUCT(($C235=Finanzas[Movimiento])*($F235=Finanzas[Cuenta Contable])*(Y$1=Finanzas[Mes Financiero])*(Y$2=Finanzas[Año Financiero])*(Finanzas[Financiero $Corrientes]))</f>
        <v>0</v>
      </c>
      <c r="Z235" s="144">
        <f t="shared" si="35"/>
        <v>0</v>
      </c>
    </row>
    <row r="236" spans="3:26" x14ac:dyDescent="0.25">
      <c r="C236" s="210" t="s">
        <v>37</v>
      </c>
      <c r="E236" s="221">
        <f>IFERROR(MATCH(F236,Cuentas_FIDI[Cuenta Contable],0),0)</f>
        <v>5</v>
      </c>
      <c r="F236" s="383" t="str">
        <f>Configuración!CJ9</f>
        <v>Ingreso Colocaciones Financieras</v>
      </c>
      <c r="H236" s="284">
        <f>SUMPRODUCT(($C236=Finanzas[Movimiento])*($F236=Finanzas[Cuenta Contable])*(H$1=Finanzas[Mes Financiero])*(H$2=Finanzas[Año Financiero])*(Finanzas[Financiero $Corrientes]))</f>
        <v>0</v>
      </c>
      <c r="I236" s="10">
        <f>SUMPRODUCT(($C236=Finanzas[Movimiento])*($F236=Finanzas[Cuenta Contable])*(I$1=Finanzas[Mes Financiero])*(I$2=Finanzas[Año Financiero])*(Finanzas[Financiero $Corrientes]))</f>
        <v>0</v>
      </c>
      <c r="J236" s="284">
        <f>SUMPRODUCT(($C236=Finanzas[Movimiento])*($F236=Finanzas[Cuenta Contable])*(J$1=Finanzas[Mes Financiero])*(J$2=Finanzas[Año Financiero])*(Finanzas[Financiero $Corrientes]))</f>
        <v>0</v>
      </c>
      <c r="K236" s="10">
        <f>SUMPRODUCT(($C236=Finanzas[Movimiento])*($F236=Finanzas[Cuenta Contable])*(K$1=Finanzas[Mes Financiero])*(K$2=Finanzas[Año Financiero])*(Finanzas[Financiero $Corrientes]))</f>
        <v>0</v>
      </c>
      <c r="L236" s="284">
        <f>SUMPRODUCT(($C236=Finanzas[Movimiento])*($F236=Finanzas[Cuenta Contable])*(L$1=Finanzas[Mes Financiero])*(L$2=Finanzas[Año Financiero])*(Finanzas[Financiero $Corrientes]))</f>
        <v>0</v>
      </c>
      <c r="M236" s="10">
        <f>SUMPRODUCT(($C236=Finanzas[Movimiento])*($F236=Finanzas[Cuenta Contable])*(M$1=Finanzas[Mes Financiero])*(M$2=Finanzas[Año Financiero])*(Finanzas[Financiero $Corrientes]))</f>
        <v>0</v>
      </c>
      <c r="N236" s="284">
        <f>SUMPRODUCT(($C236=Finanzas[Movimiento])*($F236=Finanzas[Cuenta Contable])*(N$1=Finanzas[Mes Financiero])*(N$2=Finanzas[Año Financiero])*(Finanzas[Financiero $Corrientes]))</f>
        <v>0</v>
      </c>
      <c r="O236" s="10">
        <f>SUMPRODUCT(($C236=Finanzas[Movimiento])*($F236=Finanzas[Cuenta Contable])*(O$1=Finanzas[Mes Financiero])*(O$2=Finanzas[Año Financiero])*(Finanzas[Financiero $Corrientes]))</f>
        <v>0</v>
      </c>
      <c r="P236" s="284">
        <f>SUMPRODUCT(($C236=Finanzas[Movimiento])*($F236=Finanzas[Cuenta Contable])*(P$1=Finanzas[Mes Financiero])*(P$2=Finanzas[Año Financiero])*(Finanzas[Financiero $Corrientes]))</f>
        <v>0</v>
      </c>
      <c r="Q236" s="10">
        <f>SUMPRODUCT(($C236=Finanzas[Movimiento])*($F236=Finanzas[Cuenta Contable])*(Q$1=Finanzas[Mes Financiero])*(Q$2=Finanzas[Año Financiero])*(Finanzas[Financiero $Corrientes]))</f>
        <v>0</v>
      </c>
      <c r="R236" s="284">
        <f>SUMPRODUCT(($C236=Finanzas[Movimiento])*($F236=Finanzas[Cuenta Contable])*(R$1=Finanzas[Mes Financiero])*(R$2=Finanzas[Año Financiero])*(Finanzas[Financiero $Corrientes]))</f>
        <v>0</v>
      </c>
      <c r="S236" s="10">
        <f>SUMPRODUCT(($C236=Finanzas[Movimiento])*($F236=Finanzas[Cuenta Contable])*(S$1=Finanzas[Mes Financiero])*(S$2=Finanzas[Año Financiero])*(Finanzas[Financiero $Corrientes]))</f>
        <v>0</v>
      </c>
      <c r="T236" s="284">
        <f>SUMPRODUCT(($C236=Finanzas[Movimiento])*($F236=Finanzas[Cuenta Contable])*(T$1=Finanzas[Mes Financiero])*(T$2=Finanzas[Año Financiero])*(Finanzas[Financiero $Corrientes]))</f>
        <v>0</v>
      </c>
      <c r="U236" s="10">
        <f>SUMPRODUCT(($C236=Finanzas[Movimiento])*($F236=Finanzas[Cuenta Contable])*(U$1=Finanzas[Mes Financiero])*(U$2=Finanzas[Año Financiero])*(Finanzas[Financiero $Corrientes]))</f>
        <v>0</v>
      </c>
      <c r="V236" s="284">
        <f>SUMPRODUCT(($C236=Finanzas[Movimiento])*($F236=Finanzas[Cuenta Contable])*(V$1=Finanzas[Mes Financiero])*(V$2=Finanzas[Año Financiero])*(Finanzas[Financiero $Corrientes]))</f>
        <v>0</v>
      </c>
      <c r="W236" s="10">
        <f>SUMPRODUCT(($C236=Finanzas[Movimiento])*($F236=Finanzas[Cuenta Contable])*(W$1=Finanzas[Mes Financiero])*(W$2=Finanzas[Año Financiero])*(Finanzas[Financiero $Corrientes]))</f>
        <v>0</v>
      </c>
      <c r="X236" s="284">
        <f>SUMPRODUCT(($C236=Finanzas[Movimiento])*($F236=Finanzas[Cuenta Contable])*(X$1=Finanzas[Mes Financiero])*(X$2=Finanzas[Año Financiero])*(Finanzas[Financiero $Corrientes]))</f>
        <v>0</v>
      </c>
      <c r="Y236" s="10">
        <f>SUMPRODUCT(($C236=Finanzas[Movimiento])*($F236=Finanzas[Cuenta Contable])*(Y$1=Finanzas[Mes Financiero])*(Y$2=Finanzas[Año Financiero])*(Finanzas[Financiero $Corrientes]))</f>
        <v>0</v>
      </c>
      <c r="Z236" s="144">
        <f t="shared" si="35"/>
        <v>0</v>
      </c>
    </row>
    <row r="237" spans="3:26" x14ac:dyDescent="0.25">
      <c r="C237" s="210" t="s">
        <v>37</v>
      </c>
      <c r="E237" s="221">
        <f>IFERROR(MATCH(F237,Cuentas_FIDI[Cuenta Contable],0),0)</f>
        <v>6</v>
      </c>
      <c r="F237" s="383" t="str">
        <f>Configuración!CJ10</f>
        <v>Intereses Cobrados</v>
      </c>
      <c r="H237" s="284">
        <f>SUMPRODUCT(($C237=Finanzas[Movimiento])*($F237=Finanzas[Cuenta Contable])*(H$1=Finanzas[Mes Financiero])*(H$2=Finanzas[Año Financiero])*(Finanzas[Financiero $Corrientes]))</f>
        <v>0</v>
      </c>
      <c r="I237" s="10">
        <f>SUMPRODUCT(($C237=Finanzas[Movimiento])*($F237=Finanzas[Cuenta Contable])*(I$1=Finanzas[Mes Financiero])*(I$2=Finanzas[Año Financiero])*(Finanzas[Financiero $Corrientes]))</f>
        <v>0</v>
      </c>
      <c r="J237" s="284">
        <f>SUMPRODUCT(($C237=Finanzas[Movimiento])*($F237=Finanzas[Cuenta Contable])*(J$1=Finanzas[Mes Financiero])*(J$2=Finanzas[Año Financiero])*(Finanzas[Financiero $Corrientes]))</f>
        <v>0</v>
      </c>
      <c r="K237" s="10">
        <f>SUMPRODUCT(($C237=Finanzas[Movimiento])*($F237=Finanzas[Cuenta Contable])*(K$1=Finanzas[Mes Financiero])*(K$2=Finanzas[Año Financiero])*(Finanzas[Financiero $Corrientes]))</f>
        <v>0</v>
      </c>
      <c r="L237" s="284">
        <f>SUMPRODUCT(($C237=Finanzas[Movimiento])*($F237=Finanzas[Cuenta Contable])*(L$1=Finanzas[Mes Financiero])*(L$2=Finanzas[Año Financiero])*(Finanzas[Financiero $Corrientes]))</f>
        <v>0</v>
      </c>
      <c r="M237" s="10">
        <f>SUMPRODUCT(($C237=Finanzas[Movimiento])*($F237=Finanzas[Cuenta Contable])*(M$1=Finanzas[Mes Financiero])*(M$2=Finanzas[Año Financiero])*(Finanzas[Financiero $Corrientes]))</f>
        <v>0</v>
      </c>
      <c r="N237" s="284">
        <f>SUMPRODUCT(($C237=Finanzas[Movimiento])*($F237=Finanzas[Cuenta Contable])*(N$1=Finanzas[Mes Financiero])*(N$2=Finanzas[Año Financiero])*(Finanzas[Financiero $Corrientes]))</f>
        <v>0</v>
      </c>
      <c r="O237" s="10">
        <f>SUMPRODUCT(($C237=Finanzas[Movimiento])*($F237=Finanzas[Cuenta Contable])*(O$1=Finanzas[Mes Financiero])*(O$2=Finanzas[Año Financiero])*(Finanzas[Financiero $Corrientes]))</f>
        <v>0</v>
      </c>
      <c r="P237" s="284">
        <f>SUMPRODUCT(($C237=Finanzas[Movimiento])*($F237=Finanzas[Cuenta Contable])*(P$1=Finanzas[Mes Financiero])*(P$2=Finanzas[Año Financiero])*(Finanzas[Financiero $Corrientes]))</f>
        <v>0</v>
      </c>
      <c r="Q237" s="10">
        <f>SUMPRODUCT(($C237=Finanzas[Movimiento])*($F237=Finanzas[Cuenta Contable])*(Q$1=Finanzas[Mes Financiero])*(Q$2=Finanzas[Año Financiero])*(Finanzas[Financiero $Corrientes]))</f>
        <v>0</v>
      </c>
      <c r="R237" s="284">
        <f>SUMPRODUCT(($C237=Finanzas[Movimiento])*($F237=Finanzas[Cuenta Contable])*(R$1=Finanzas[Mes Financiero])*(R$2=Finanzas[Año Financiero])*(Finanzas[Financiero $Corrientes]))</f>
        <v>0</v>
      </c>
      <c r="S237" s="10">
        <f>SUMPRODUCT(($C237=Finanzas[Movimiento])*($F237=Finanzas[Cuenta Contable])*(S$1=Finanzas[Mes Financiero])*(S$2=Finanzas[Año Financiero])*(Finanzas[Financiero $Corrientes]))</f>
        <v>0</v>
      </c>
      <c r="T237" s="284">
        <f>SUMPRODUCT(($C237=Finanzas[Movimiento])*($F237=Finanzas[Cuenta Contable])*(T$1=Finanzas[Mes Financiero])*(T$2=Finanzas[Año Financiero])*(Finanzas[Financiero $Corrientes]))</f>
        <v>0</v>
      </c>
      <c r="U237" s="10">
        <f>SUMPRODUCT(($C237=Finanzas[Movimiento])*($F237=Finanzas[Cuenta Contable])*(U$1=Finanzas[Mes Financiero])*(U$2=Finanzas[Año Financiero])*(Finanzas[Financiero $Corrientes]))</f>
        <v>0</v>
      </c>
      <c r="V237" s="284">
        <f>SUMPRODUCT(($C237=Finanzas[Movimiento])*($F237=Finanzas[Cuenta Contable])*(V$1=Finanzas[Mes Financiero])*(V$2=Finanzas[Año Financiero])*(Finanzas[Financiero $Corrientes]))</f>
        <v>0</v>
      </c>
      <c r="W237" s="10">
        <f>SUMPRODUCT(($C237=Finanzas[Movimiento])*($F237=Finanzas[Cuenta Contable])*(W$1=Finanzas[Mes Financiero])*(W$2=Finanzas[Año Financiero])*(Finanzas[Financiero $Corrientes]))</f>
        <v>0</v>
      </c>
      <c r="X237" s="284">
        <f>SUMPRODUCT(($C237=Finanzas[Movimiento])*($F237=Finanzas[Cuenta Contable])*(X$1=Finanzas[Mes Financiero])*(X$2=Finanzas[Año Financiero])*(Finanzas[Financiero $Corrientes]))</f>
        <v>0</v>
      </c>
      <c r="Y237" s="10">
        <f>SUMPRODUCT(($C237=Finanzas[Movimiento])*($F237=Finanzas[Cuenta Contable])*(Y$1=Finanzas[Mes Financiero])*(Y$2=Finanzas[Año Financiero])*(Finanzas[Financiero $Corrientes]))</f>
        <v>0</v>
      </c>
      <c r="Z237" s="144">
        <f t="shared" si="35"/>
        <v>0</v>
      </c>
    </row>
    <row r="238" spans="3:26" x14ac:dyDescent="0.25">
      <c r="C238" s="210" t="s">
        <v>38</v>
      </c>
      <c r="E238" s="221">
        <f>IFERROR(MATCH(F238,Cuentas_FIDI[Cuenta Contable],0),0)</f>
        <v>7</v>
      </c>
      <c r="F238" s="383" t="str">
        <f>Configuración!CJ11</f>
        <v>Cheques Emitidos</v>
      </c>
      <c r="H238" s="284">
        <f>SUMPRODUCT(($C238=Finanzas[Movimiento])*($F238=Finanzas[Cuenta Contable])*(H$1=Finanzas[Mes Financiero])*(H$2=Finanzas[Año Financiero])*(Finanzas[Financiero $Corrientes]))</f>
        <v>0</v>
      </c>
      <c r="I238" s="10">
        <f>SUMPRODUCT(($C238=Finanzas[Movimiento])*($F238=Finanzas[Cuenta Contable])*(I$1=Finanzas[Mes Financiero])*(I$2=Finanzas[Año Financiero])*(Finanzas[Financiero $Corrientes]))</f>
        <v>0</v>
      </c>
      <c r="J238" s="284">
        <f>SUMPRODUCT(($C238=Finanzas[Movimiento])*($F238=Finanzas[Cuenta Contable])*(J$1=Finanzas[Mes Financiero])*(J$2=Finanzas[Año Financiero])*(Finanzas[Financiero $Corrientes]))</f>
        <v>0</v>
      </c>
      <c r="K238" s="10">
        <f>SUMPRODUCT(($C238=Finanzas[Movimiento])*($F238=Finanzas[Cuenta Contable])*(K$1=Finanzas[Mes Financiero])*(K$2=Finanzas[Año Financiero])*(Finanzas[Financiero $Corrientes]))</f>
        <v>0</v>
      </c>
      <c r="L238" s="284">
        <f>SUMPRODUCT(($C238=Finanzas[Movimiento])*($F238=Finanzas[Cuenta Contable])*(L$1=Finanzas[Mes Financiero])*(L$2=Finanzas[Año Financiero])*(Finanzas[Financiero $Corrientes]))</f>
        <v>0</v>
      </c>
      <c r="M238" s="10">
        <f>SUMPRODUCT(($C238=Finanzas[Movimiento])*($F238=Finanzas[Cuenta Contable])*(M$1=Finanzas[Mes Financiero])*(M$2=Finanzas[Año Financiero])*(Finanzas[Financiero $Corrientes]))</f>
        <v>0</v>
      </c>
      <c r="N238" s="284">
        <f>SUMPRODUCT(($C238=Finanzas[Movimiento])*($F238=Finanzas[Cuenta Contable])*(N$1=Finanzas[Mes Financiero])*(N$2=Finanzas[Año Financiero])*(Finanzas[Financiero $Corrientes]))</f>
        <v>0</v>
      </c>
      <c r="O238" s="10">
        <f>SUMPRODUCT(($C238=Finanzas[Movimiento])*($F238=Finanzas[Cuenta Contable])*(O$1=Finanzas[Mes Financiero])*(O$2=Finanzas[Año Financiero])*(Finanzas[Financiero $Corrientes]))</f>
        <v>0</v>
      </c>
      <c r="P238" s="284">
        <f>SUMPRODUCT(($C238=Finanzas[Movimiento])*($F238=Finanzas[Cuenta Contable])*(P$1=Finanzas[Mes Financiero])*(P$2=Finanzas[Año Financiero])*(Finanzas[Financiero $Corrientes]))</f>
        <v>0</v>
      </c>
      <c r="Q238" s="10">
        <f>SUMPRODUCT(($C238=Finanzas[Movimiento])*($F238=Finanzas[Cuenta Contable])*(Q$1=Finanzas[Mes Financiero])*(Q$2=Finanzas[Año Financiero])*(Finanzas[Financiero $Corrientes]))</f>
        <v>0</v>
      </c>
      <c r="R238" s="284">
        <f>SUMPRODUCT(($C238=Finanzas[Movimiento])*($F238=Finanzas[Cuenta Contable])*(R$1=Finanzas[Mes Financiero])*(R$2=Finanzas[Año Financiero])*(Finanzas[Financiero $Corrientes]))</f>
        <v>0</v>
      </c>
      <c r="S238" s="10">
        <f>SUMPRODUCT(($C238=Finanzas[Movimiento])*($F238=Finanzas[Cuenta Contable])*(S$1=Finanzas[Mes Financiero])*(S$2=Finanzas[Año Financiero])*(Finanzas[Financiero $Corrientes]))</f>
        <v>0</v>
      </c>
      <c r="T238" s="284">
        <f>SUMPRODUCT(($C238=Finanzas[Movimiento])*($F238=Finanzas[Cuenta Contable])*(T$1=Finanzas[Mes Financiero])*(T$2=Finanzas[Año Financiero])*(Finanzas[Financiero $Corrientes]))</f>
        <v>0</v>
      </c>
      <c r="U238" s="10">
        <f>SUMPRODUCT(($C238=Finanzas[Movimiento])*($F238=Finanzas[Cuenta Contable])*(U$1=Finanzas[Mes Financiero])*(U$2=Finanzas[Año Financiero])*(Finanzas[Financiero $Corrientes]))</f>
        <v>0</v>
      </c>
      <c r="V238" s="284">
        <f>SUMPRODUCT(($C238=Finanzas[Movimiento])*($F238=Finanzas[Cuenta Contable])*(V$1=Finanzas[Mes Financiero])*(V$2=Finanzas[Año Financiero])*(Finanzas[Financiero $Corrientes]))</f>
        <v>0</v>
      </c>
      <c r="W238" s="10">
        <f>SUMPRODUCT(($C238=Finanzas[Movimiento])*($F238=Finanzas[Cuenta Contable])*(W$1=Finanzas[Mes Financiero])*(W$2=Finanzas[Año Financiero])*(Finanzas[Financiero $Corrientes]))</f>
        <v>0</v>
      </c>
      <c r="X238" s="284">
        <f>SUMPRODUCT(($C238=Finanzas[Movimiento])*($F238=Finanzas[Cuenta Contable])*(X$1=Finanzas[Mes Financiero])*(X$2=Finanzas[Año Financiero])*(Finanzas[Financiero $Corrientes]))</f>
        <v>0</v>
      </c>
      <c r="Y238" s="10">
        <f>SUMPRODUCT(($C238=Finanzas[Movimiento])*($F238=Finanzas[Cuenta Contable])*(Y$1=Finanzas[Mes Financiero])*(Y$2=Finanzas[Año Financiero])*(Finanzas[Financiero $Corrientes]))</f>
        <v>0</v>
      </c>
      <c r="Z238" s="144">
        <f t="shared" si="35"/>
        <v>0</v>
      </c>
    </row>
    <row r="239" spans="3:26" x14ac:dyDescent="0.25">
      <c r="C239" s="210" t="s">
        <v>38</v>
      </c>
      <c r="E239" s="221">
        <f>IFERROR(MATCH(F239,Cuentas_FIDI[Cuenta Contable],0),0)</f>
        <v>8</v>
      </c>
      <c r="F239" s="383" t="str">
        <f>Configuración!CJ12</f>
        <v>Amortización Capital - Créditos</v>
      </c>
      <c r="H239" s="284">
        <f>SUMPRODUCT(($C239=Finanzas[Movimiento])*($F239=Finanzas[Cuenta Contable])*(H$1=Finanzas[Mes Financiero])*(H$2=Finanzas[Año Financiero])*(Finanzas[Financiero $Corrientes]))</f>
        <v>0</v>
      </c>
      <c r="I239" s="10">
        <f>SUMPRODUCT(($C239=Finanzas[Movimiento])*($F239=Finanzas[Cuenta Contable])*(I$1=Finanzas[Mes Financiero])*(I$2=Finanzas[Año Financiero])*(Finanzas[Financiero $Corrientes]))</f>
        <v>0</v>
      </c>
      <c r="J239" s="284">
        <f>SUMPRODUCT(($C239=Finanzas[Movimiento])*($F239=Finanzas[Cuenta Contable])*(J$1=Finanzas[Mes Financiero])*(J$2=Finanzas[Año Financiero])*(Finanzas[Financiero $Corrientes]))</f>
        <v>0</v>
      </c>
      <c r="K239" s="10">
        <f>SUMPRODUCT(($C239=Finanzas[Movimiento])*($F239=Finanzas[Cuenta Contable])*(K$1=Finanzas[Mes Financiero])*(K$2=Finanzas[Año Financiero])*(Finanzas[Financiero $Corrientes]))</f>
        <v>0</v>
      </c>
      <c r="L239" s="284">
        <f>SUMPRODUCT(($C239=Finanzas[Movimiento])*($F239=Finanzas[Cuenta Contable])*(L$1=Finanzas[Mes Financiero])*(L$2=Finanzas[Año Financiero])*(Finanzas[Financiero $Corrientes]))</f>
        <v>0</v>
      </c>
      <c r="M239" s="10">
        <f>SUMPRODUCT(($C239=Finanzas[Movimiento])*($F239=Finanzas[Cuenta Contable])*(M$1=Finanzas[Mes Financiero])*(M$2=Finanzas[Año Financiero])*(Finanzas[Financiero $Corrientes]))</f>
        <v>0</v>
      </c>
      <c r="N239" s="284">
        <f>SUMPRODUCT(($C239=Finanzas[Movimiento])*($F239=Finanzas[Cuenta Contable])*(N$1=Finanzas[Mes Financiero])*(N$2=Finanzas[Año Financiero])*(Finanzas[Financiero $Corrientes]))</f>
        <v>0</v>
      </c>
      <c r="O239" s="10">
        <f>SUMPRODUCT(($C239=Finanzas[Movimiento])*($F239=Finanzas[Cuenta Contable])*(O$1=Finanzas[Mes Financiero])*(O$2=Finanzas[Año Financiero])*(Finanzas[Financiero $Corrientes]))</f>
        <v>0</v>
      </c>
      <c r="P239" s="284">
        <f>SUMPRODUCT(($C239=Finanzas[Movimiento])*($F239=Finanzas[Cuenta Contable])*(P$1=Finanzas[Mes Financiero])*(P$2=Finanzas[Año Financiero])*(Finanzas[Financiero $Corrientes]))</f>
        <v>0</v>
      </c>
      <c r="Q239" s="10">
        <f>SUMPRODUCT(($C239=Finanzas[Movimiento])*($F239=Finanzas[Cuenta Contable])*(Q$1=Finanzas[Mes Financiero])*(Q$2=Finanzas[Año Financiero])*(Finanzas[Financiero $Corrientes]))</f>
        <v>0</v>
      </c>
      <c r="R239" s="284">
        <f>SUMPRODUCT(($C239=Finanzas[Movimiento])*($F239=Finanzas[Cuenta Contable])*(R$1=Finanzas[Mes Financiero])*(R$2=Finanzas[Año Financiero])*(Finanzas[Financiero $Corrientes]))</f>
        <v>0</v>
      </c>
      <c r="S239" s="10">
        <f>SUMPRODUCT(($C239=Finanzas[Movimiento])*($F239=Finanzas[Cuenta Contable])*(S$1=Finanzas[Mes Financiero])*(S$2=Finanzas[Año Financiero])*(Finanzas[Financiero $Corrientes]))</f>
        <v>0</v>
      </c>
      <c r="T239" s="284">
        <f>SUMPRODUCT(($C239=Finanzas[Movimiento])*($F239=Finanzas[Cuenta Contable])*(T$1=Finanzas[Mes Financiero])*(T$2=Finanzas[Año Financiero])*(Finanzas[Financiero $Corrientes]))</f>
        <v>0</v>
      </c>
      <c r="U239" s="10">
        <f>SUMPRODUCT(($C239=Finanzas[Movimiento])*($F239=Finanzas[Cuenta Contable])*(U$1=Finanzas[Mes Financiero])*(U$2=Finanzas[Año Financiero])*(Finanzas[Financiero $Corrientes]))</f>
        <v>0</v>
      </c>
      <c r="V239" s="284">
        <f>SUMPRODUCT(($C239=Finanzas[Movimiento])*($F239=Finanzas[Cuenta Contable])*(V$1=Finanzas[Mes Financiero])*(V$2=Finanzas[Año Financiero])*(Finanzas[Financiero $Corrientes]))</f>
        <v>0</v>
      </c>
      <c r="W239" s="10">
        <f>SUMPRODUCT(($C239=Finanzas[Movimiento])*($F239=Finanzas[Cuenta Contable])*(W$1=Finanzas[Mes Financiero])*(W$2=Finanzas[Año Financiero])*(Finanzas[Financiero $Corrientes]))</f>
        <v>0</v>
      </c>
      <c r="X239" s="284">
        <f>SUMPRODUCT(($C239=Finanzas[Movimiento])*($F239=Finanzas[Cuenta Contable])*(X$1=Finanzas[Mes Financiero])*(X$2=Finanzas[Año Financiero])*(Finanzas[Financiero $Corrientes]))</f>
        <v>0</v>
      </c>
      <c r="Y239" s="10">
        <f>SUMPRODUCT(($C239=Finanzas[Movimiento])*($F239=Finanzas[Cuenta Contable])*(Y$1=Finanzas[Mes Financiero])*(Y$2=Finanzas[Año Financiero])*(Finanzas[Financiero $Corrientes]))</f>
        <v>0</v>
      </c>
      <c r="Z239" s="144">
        <f t="shared" si="35"/>
        <v>0</v>
      </c>
    </row>
    <row r="240" spans="3:26" x14ac:dyDescent="0.25">
      <c r="C240" s="210" t="s">
        <v>38</v>
      </c>
      <c r="E240" s="221">
        <f>IFERROR(MATCH(F240,Cuentas_FIDI[Cuenta Contable],0),0)</f>
        <v>9</v>
      </c>
      <c r="F240" s="383" t="str">
        <f>Configuración!CJ13</f>
        <v>Intereses Pagados - Créditos</v>
      </c>
      <c r="H240" s="284">
        <f>SUMPRODUCT(($C240=Finanzas[Movimiento])*($F240=Finanzas[Cuenta Contable])*(H$1=Finanzas[Mes Financiero])*(H$2=Finanzas[Año Financiero])*(Finanzas[Financiero $Corrientes]))</f>
        <v>0</v>
      </c>
      <c r="I240" s="10">
        <f>SUMPRODUCT(($C240=Finanzas[Movimiento])*($F240=Finanzas[Cuenta Contable])*(I$1=Finanzas[Mes Financiero])*(I$2=Finanzas[Año Financiero])*(Finanzas[Financiero $Corrientes]))</f>
        <v>0</v>
      </c>
      <c r="J240" s="284">
        <f>SUMPRODUCT(($C240=Finanzas[Movimiento])*($F240=Finanzas[Cuenta Contable])*(J$1=Finanzas[Mes Financiero])*(J$2=Finanzas[Año Financiero])*(Finanzas[Financiero $Corrientes]))</f>
        <v>0</v>
      </c>
      <c r="K240" s="10">
        <f>SUMPRODUCT(($C240=Finanzas[Movimiento])*($F240=Finanzas[Cuenta Contable])*(K$1=Finanzas[Mes Financiero])*(K$2=Finanzas[Año Financiero])*(Finanzas[Financiero $Corrientes]))</f>
        <v>0</v>
      </c>
      <c r="L240" s="284">
        <f>SUMPRODUCT(($C240=Finanzas[Movimiento])*($F240=Finanzas[Cuenta Contable])*(L$1=Finanzas[Mes Financiero])*(L$2=Finanzas[Año Financiero])*(Finanzas[Financiero $Corrientes]))</f>
        <v>0</v>
      </c>
      <c r="M240" s="10">
        <f>SUMPRODUCT(($C240=Finanzas[Movimiento])*($F240=Finanzas[Cuenta Contable])*(M$1=Finanzas[Mes Financiero])*(M$2=Finanzas[Año Financiero])*(Finanzas[Financiero $Corrientes]))</f>
        <v>0</v>
      </c>
      <c r="N240" s="284">
        <f>SUMPRODUCT(($C240=Finanzas[Movimiento])*($F240=Finanzas[Cuenta Contable])*(N$1=Finanzas[Mes Financiero])*(N$2=Finanzas[Año Financiero])*(Finanzas[Financiero $Corrientes]))</f>
        <v>0</v>
      </c>
      <c r="O240" s="10">
        <f>SUMPRODUCT(($C240=Finanzas[Movimiento])*($F240=Finanzas[Cuenta Contable])*(O$1=Finanzas[Mes Financiero])*(O$2=Finanzas[Año Financiero])*(Finanzas[Financiero $Corrientes]))</f>
        <v>0</v>
      </c>
      <c r="P240" s="284">
        <f>SUMPRODUCT(($C240=Finanzas[Movimiento])*($F240=Finanzas[Cuenta Contable])*(P$1=Finanzas[Mes Financiero])*(P$2=Finanzas[Año Financiero])*(Finanzas[Financiero $Corrientes]))</f>
        <v>0</v>
      </c>
      <c r="Q240" s="10">
        <f>SUMPRODUCT(($C240=Finanzas[Movimiento])*($F240=Finanzas[Cuenta Contable])*(Q$1=Finanzas[Mes Financiero])*(Q$2=Finanzas[Año Financiero])*(Finanzas[Financiero $Corrientes]))</f>
        <v>0</v>
      </c>
      <c r="R240" s="284">
        <f>SUMPRODUCT(($C240=Finanzas[Movimiento])*($F240=Finanzas[Cuenta Contable])*(R$1=Finanzas[Mes Financiero])*(R$2=Finanzas[Año Financiero])*(Finanzas[Financiero $Corrientes]))</f>
        <v>0</v>
      </c>
      <c r="S240" s="10">
        <f>SUMPRODUCT(($C240=Finanzas[Movimiento])*($F240=Finanzas[Cuenta Contable])*(S$1=Finanzas[Mes Financiero])*(S$2=Finanzas[Año Financiero])*(Finanzas[Financiero $Corrientes]))</f>
        <v>0</v>
      </c>
      <c r="T240" s="284">
        <f>SUMPRODUCT(($C240=Finanzas[Movimiento])*($F240=Finanzas[Cuenta Contable])*(T$1=Finanzas[Mes Financiero])*(T$2=Finanzas[Año Financiero])*(Finanzas[Financiero $Corrientes]))</f>
        <v>0</v>
      </c>
      <c r="U240" s="10">
        <f>SUMPRODUCT(($C240=Finanzas[Movimiento])*($F240=Finanzas[Cuenta Contable])*(U$1=Finanzas[Mes Financiero])*(U$2=Finanzas[Año Financiero])*(Finanzas[Financiero $Corrientes]))</f>
        <v>0</v>
      </c>
      <c r="V240" s="284">
        <f>SUMPRODUCT(($C240=Finanzas[Movimiento])*($F240=Finanzas[Cuenta Contable])*(V$1=Finanzas[Mes Financiero])*(V$2=Finanzas[Año Financiero])*(Finanzas[Financiero $Corrientes]))</f>
        <v>0</v>
      </c>
      <c r="W240" s="10">
        <f>SUMPRODUCT(($C240=Finanzas[Movimiento])*($F240=Finanzas[Cuenta Contable])*(W$1=Finanzas[Mes Financiero])*(W$2=Finanzas[Año Financiero])*(Finanzas[Financiero $Corrientes]))</f>
        <v>0</v>
      </c>
      <c r="X240" s="284">
        <f>SUMPRODUCT(($C240=Finanzas[Movimiento])*($F240=Finanzas[Cuenta Contable])*(X$1=Finanzas[Mes Financiero])*(X$2=Finanzas[Año Financiero])*(Finanzas[Financiero $Corrientes]))</f>
        <v>0</v>
      </c>
      <c r="Y240" s="10">
        <f>SUMPRODUCT(($C240=Finanzas[Movimiento])*($F240=Finanzas[Cuenta Contable])*(Y$1=Finanzas[Mes Financiero])*(Y$2=Finanzas[Año Financiero])*(Finanzas[Financiero $Corrientes]))</f>
        <v>0</v>
      </c>
      <c r="Z240" s="144">
        <f t="shared" si="35"/>
        <v>0</v>
      </c>
    </row>
    <row r="241" spans="2:26" x14ac:dyDescent="0.25">
      <c r="C241" s="210" t="s">
        <v>38</v>
      </c>
      <c r="E241" s="221">
        <f>IFERROR(MATCH(F241,Cuentas_FIDI[Cuenta Contable],0),0)</f>
        <v>10</v>
      </c>
      <c r="F241" s="383" t="str">
        <f>Configuración!CJ14</f>
        <v>Egreso Colocaciones Financieras</v>
      </c>
      <c r="H241" s="284">
        <f>SUMPRODUCT(($C241=Finanzas[Movimiento])*($F241=Finanzas[Cuenta Contable])*(H$1=Finanzas[Mes Financiero])*(H$2=Finanzas[Año Financiero])*(Finanzas[Financiero $Corrientes]))</f>
        <v>0</v>
      </c>
      <c r="I241" s="10">
        <f>SUMPRODUCT(($C241=Finanzas[Movimiento])*($F241=Finanzas[Cuenta Contable])*(I$1=Finanzas[Mes Financiero])*(I$2=Finanzas[Año Financiero])*(Finanzas[Financiero $Corrientes]))</f>
        <v>0</v>
      </c>
      <c r="J241" s="284">
        <f>SUMPRODUCT(($C241=Finanzas[Movimiento])*($F241=Finanzas[Cuenta Contable])*(J$1=Finanzas[Mes Financiero])*(J$2=Finanzas[Año Financiero])*(Finanzas[Financiero $Corrientes]))</f>
        <v>0</v>
      </c>
      <c r="K241" s="10">
        <f>SUMPRODUCT(($C241=Finanzas[Movimiento])*($F241=Finanzas[Cuenta Contable])*(K$1=Finanzas[Mes Financiero])*(K$2=Finanzas[Año Financiero])*(Finanzas[Financiero $Corrientes]))</f>
        <v>0</v>
      </c>
      <c r="L241" s="284">
        <f>SUMPRODUCT(($C241=Finanzas[Movimiento])*($F241=Finanzas[Cuenta Contable])*(L$1=Finanzas[Mes Financiero])*(L$2=Finanzas[Año Financiero])*(Finanzas[Financiero $Corrientes]))</f>
        <v>0</v>
      </c>
      <c r="M241" s="10">
        <f>SUMPRODUCT(($C241=Finanzas[Movimiento])*($F241=Finanzas[Cuenta Contable])*(M$1=Finanzas[Mes Financiero])*(M$2=Finanzas[Año Financiero])*(Finanzas[Financiero $Corrientes]))</f>
        <v>0</v>
      </c>
      <c r="N241" s="284">
        <f>SUMPRODUCT(($C241=Finanzas[Movimiento])*($F241=Finanzas[Cuenta Contable])*(N$1=Finanzas[Mes Financiero])*(N$2=Finanzas[Año Financiero])*(Finanzas[Financiero $Corrientes]))</f>
        <v>0</v>
      </c>
      <c r="O241" s="10">
        <f>SUMPRODUCT(($C241=Finanzas[Movimiento])*($F241=Finanzas[Cuenta Contable])*(O$1=Finanzas[Mes Financiero])*(O$2=Finanzas[Año Financiero])*(Finanzas[Financiero $Corrientes]))</f>
        <v>0</v>
      </c>
      <c r="P241" s="284">
        <f>SUMPRODUCT(($C241=Finanzas[Movimiento])*($F241=Finanzas[Cuenta Contable])*(P$1=Finanzas[Mes Financiero])*(P$2=Finanzas[Año Financiero])*(Finanzas[Financiero $Corrientes]))</f>
        <v>0</v>
      </c>
      <c r="Q241" s="10">
        <f>SUMPRODUCT(($C241=Finanzas[Movimiento])*($F241=Finanzas[Cuenta Contable])*(Q$1=Finanzas[Mes Financiero])*(Q$2=Finanzas[Año Financiero])*(Finanzas[Financiero $Corrientes]))</f>
        <v>0</v>
      </c>
      <c r="R241" s="284">
        <f>SUMPRODUCT(($C241=Finanzas[Movimiento])*($F241=Finanzas[Cuenta Contable])*(R$1=Finanzas[Mes Financiero])*(R$2=Finanzas[Año Financiero])*(Finanzas[Financiero $Corrientes]))</f>
        <v>0</v>
      </c>
      <c r="S241" s="10">
        <f>SUMPRODUCT(($C241=Finanzas[Movimiento])*($F241=Finanzas[Cuenta Contable])*(S$1=Finanzas[Mes Financiero])*(S$2=Finanzas[Año Financiero])*(Finanzas[Financiero $Corrientes]))</f>
        <v>0</v>
      </c>
      <c r="T241" s="284">
        <f>SUMPRODUCT(($C241=Finanzas[Movimiento])*($F241=Finanzas[Cuenta Contable])*(T$1=Finanzas[Mes Financiero])*(T$2=Finanzas[Año Financiero])*(Finanzas[Financiero $Corrientes]))</f>
        <v>0</v>
      </c>
      <c r="U241" s="10">
        <f>SUMPRODUCT(($C241=Finanzas[Movimiento])*($F241=Finanzas[Cuenta Contable])*(U$1=Finanzas[Mes Financiero])*(U$2=Finanzas[Año Financiero])*(Finanzas[Financiero $Corrientes]))</f>
        <v>0</v>
      </c>
      <c r="V241" s="284">
        <f>SUMPRODUCT(($C241=Finanzas[Movimiento])*($F241=Finanzas[Cuenta Contable])*(V$1=Finanzas[Mes Financiero])*(V$2=Finanzas[Año Financiero])*(Finanzas[Financiero $Corrientes]))</f>
        <v>0</v>
      </c>
      <c r="W241" s="10">
        <f>SUMPRODUCT(($C241=Finanzas[Movimiento])*($F241=Finanzas[Cuenta Contable])*(W$1=Finanzas[Mes Financiero])*(W$2=Finanzas[Año Financiero])*(Finanzas[Financiero $Corrientes]))</f>
        <v>0</v>
      </c>
      <c r="X241" s="284">
        <f>SUMPRODUCT(($C241=Finanzas[Movimiento])*($F241=Finanzas[Cuenta Contable])*(X$1=Finanzas[Mes Financiero])*(X$2=Finanzas[Año Financiero])*(Finanzas[Financiero $Corrientes]))</f>
        <v>0</v>
      </c>
      <c r="Y241" s="10">
        <f>SUMPRODUCT(($C241=Finanzas[Movimiento])*($F241=Finanzas[Cuenta Contable])*(Y$1=Finanzas[Mes Financiero])*(Y$2=Finanzas[Año Financiero])*(Finanzas[Financiero $Corrientes]))</f>
        <v>0</v>
      </c>
      <c r="Z241" s="144">
        <f t="shared" si="35"/>
        <v>0</v>
      </c>
    </row>
    <row r="242" spans="2:26" x14ac:dyDescent="0.25">
      <c r="E242" s="221">
        <f>IFERROR(MATCH(F242,Cuentas_FIDI[Cuenta Contable],0),0)</f>
        <v>0</v>
      </c>
      <c r="F242" s="385">
        <f>Configuración!CJ15</f>
        <v>0</v>
      </c>
      <c r="G242" s="243"/>
      <c r="H242" s="386">
        <f>SUMPRODUCT(($C242=Finanzas[Movimiento])*($F242=Finanzas[Cuenta Contable])*(H$1=Finanzas[Mes Financiero])*(H$2=Finanzas[Año Financiero])*(Finanzas[Financiero $Corrientes]))</f>
        <v>0</v>
      </c>
      <c r="I242" s="387">
        <f>SUMPRODUCT(($C242=Finanzas[Movimiento])*($F242=Finanzas[Cuenta Contable])*(I$1=Finanzas[Mes Financiero])*(I$2=Finanzas[Año Financiero])*(Finanzas[Financiero $Corrientes]))</f>
        <v>0</v>
      </c>
      <c r="J242" s="386">
        <f>SUMPRODUCT(($C242=Finanzas[Movimiento])*($F242=Finanzas[Cuenta Contable])*(J$1=Finanzas[Mes Financiero])*(J$2=Finanzas[Año Financiero])*(Finanzas[Financiero $Corrientes]))</f>
        <v>0</v>
      </c>
      <c r="K242" s="387">
        <f>SUMPRODUCT(($C242=Finanzas[Movimiento])*($F242=Finanzas[Cuenta Contable])*(K$1=Finanzas[Mes Financiero])*(K$2=Finanzas[Año Financiero])*(Finanzas[Financiero $Corrientes]))</f>
        <v>0</v>
      </c>
      <c r="L242" s="386">
        <f>SUMPRODUCT(($C242=Finanzas[Movimiento])*($F242=Finanzas[Cuenta Contable])*(L$1=Finanzas[Mes Financiero])*(L$2=Finanzas[Año Financiero])*(Finanzas[Financiero $Corrientes]))</f>
        <v>0</v>
      </c>
      <c r="M242" s="387">
        <f>SUMPRODUCT(($C242=Finanzas[Movimiento])*($F242=Finanzas[Cuenta Contable])*(M$1=Finanzas[Mes Financiero])*(M$2=Finanzas[Año Financiero])*(Finanzas[Financiero $Corrientes]))</f>
        <v>0</v>
      </c>
      <c r="N242" s="386">
        <f>SUMPRODUCT(($C242=Finanzas[Movimiento])*($F242=Finanzas[Cuenta Contable])*(N$1=Finanzas[Mes Financiero])*(N$2=Finanzas[Año Financiero])*(Finanzas[Financiero $Corrientes]))</f>
        <v>0</v>
      </c>
      <c r="O242" s="387">
        <f>SUMPRODUCT(($C242=Finanzas[Movimiento])*($F242=Finanzas[Cuenta Contable])*(O$1=Finanzas[Mes Financiero])*(O$2=Finanzas[Año Financiero])*(Finanzas[Financiero $Corrientes]))</f>
        <v>0</v>
      </c>
      <c r="P242" s="386">
        <f>SUMPRODUCT(($C242=Finanzas[Movimiento])*($F242=Finanzas[Cuenta Contable])*(P$1=Finanzas[Mes Financiero])*(P$2=Finanzas[Año Financiero])*(Finanzas[Financiero $Corrientes]))</f>
        <v>0</v>
      </c>
      <c r="Q242" s="387">
        <f>SUMPRODUCT(($C242=Finanzas[Movimiento])*($F242=Finanzas[Cuenta Contable])*(Q$1=Finanzas[Mes Financiero])*(Q$2=Finanzas[Año Financiero])*(Finanzas[Financiero $Corrientes]))</f>
        <v>0</v>
      </c>
      <c r="R242" s="386">
        <f>SUMPRODUCT(($C242=Finanzas[Movimiento])*($F242=Finanzas[Cuenta Contable])*(R$1=Finanzas[Mes Financiero])*(R$2=Finanzas[Año Financiero])*(Finanzas[Financiero $Corrientes]))</f>
        <v>0</v>
      </c>
      <c r="S242" s="387">
        <f>SUMPRODUCT(($C242=Finanzas[Movimiento])*($F242=Finanzas[Cuenta Contable])*(S$1=Finanzas[Mes Financiero])*(S$2=Finanzas[Año Financiero])*(Finanzas[Financiero $Corrientes]))</f>
        <v>0</v>
      </c>
      <c r="T242" s="386">
        <f>SUMPRODUCT(($C242=Finanzas[Movimiento])*($F242=Finanzas[Cuenta Contable])*(T$1=Finanzas[Mes Financiero])*(T$2=Finanzas[Año Financiero])*(Finanzas[Financiero $Corrientes]))</f>
        <v>0</v>
      </c>
      <c r="U242" s="387">
        <f>SUMPRODUCT(($C242=Finanzas[Movimiento])*($F242=Finanzas[Cuenta Contable])*(U$1=Finanzas[Mes Financiero])*(U$2=Finanzas[Año Financiero])*(Finanzas[Financiero $Corrientes]))</f>
        <v>0</v>
      </c>
      <c r="V242" s="386">
        <f>SUMPRODUCT(($C242=Finanzas[Movimiento])*($F242=Finanzas[Cuenta Contable])*(V$1=Finanzas[Mes Financiero])*(V$2=Finanzas[Año Financiero])*(Finanzas[Financiero $Corrientes]))</f>
        <v>0</v>
      </c>
      <c r="W242" s="387">
        <f>SUMPRODUCT(($C242=Finanzas[Movimiento])*($F242=Finanzas[Cuenta Contable])*(W$1=Finanzas[Mes Financiero])*(W$2=Finanzas[Año Financiero])*(Finanzas[Financiero $Corrientes]))</f>
        <v>0</v>
      </c>
      <c r="X242" s="386">
        <f>SUMPRODUCT(($C242=Finanzas[Movimiento])*($F242=Finanzas[Cuenta Contable])*(X$1=Finanzas[Mes Financiero])*(X$2=Finanzas[Año Financiero])*(Finanzas[Financiero $Corrientes]))</f>
        <v>0</v>
      </c>
      <c r="Y242" s="387">
        <f>SUMPRODUCT(($C242=Finanzas[Movimiento])*($F242=Finanzas[Cuenta Contable])*(Y$1=Finanzas[Mes Financiero])*(Y$2=Finanzas[Año Financiero])*(Finanzas[Financiero $Corrientes]))</f>
        <v>0</v>
      </c>
      <c r="Z242" s="388">
        <f t="shared" si="35"/>
        <v>0</v>
      </c>
    </row>
    <row r="243" spans="2:26" x14ac:dyDescent="0.25">
      <c r="B243" s="166" t="s">
        <v>101</v>
      </c>
      <c r="C243" s="210" t="s">
        <v>38</v>
      </c>
      <c r="E243" s="221"/>
      <c r="F243" t="s">
        <v>299</v>
      </c>
      <c r="H243" s="284">
        <f>SUMPRODUCT((H$1=Producción_Agricola[Mes Financiero])*('Financiero $'!H$2=Producción_Agricola[Año Financiero])*(Producción_Agricola[Intereses $Corrientes]))</f>
        <v>0</v>
      </c>
      <c r="I243" s="10">
        <f>SUMPRODUCT((I$1=Producción_Agricola[Mes Financiero])*('Financiero $'!I$2=Producción_Agricola[Año Financiero])*(Producción_Agricola[Intereses $Corrientes]))</f>
        <v>0</v>
      </c>
      <c r="J243" s="284">
        <f>SUMPRODUCT((J$1=Producción_Agricola[Mes Financiero])*('Financiero $'!J$2=Producción_Agricola[Año Financiero])*(Producción_Agricola[Intereses $Corrientes]))</f>
        <v>0</v>
      </c>
      <c r="K243" s="10">
        <f>SUMPRODUCT((K$1=Producción_Agricola[Mes Financiero])*('Financiero $'!K$2=Producción_Agricola[Año Financiero])*(Producción_Agricola[Intereses $Corrientes]))</f>
        <v>0</v>
      </c>
      <c r="L243" s="284">
        <f>SUMPRODUCT((L$1=Producción_Agricola[Mes Financiero])*('Financiero $'!L$2=Producción_Agricola[Año Financiero])*(Producción_Agricola[Intereses $Corrientes]))</f>
        <v>0</v>
      </c>
      <c r="M243" s="10">
        <f>SUMPRODUCT((M$1=Producción_Agricola[Mes Financiero])*('Financiero $'!M$2=Producción_Agricola[Año Financiero])*(Producción_Agricola[Intereses $Corrientes]))</f>
        <v>0</v>
      </c>
      <c r="N243" s="284">
        <f>SUMPRODUCT((N$1=Producción_Agricola[Mes Financiero])*('Financiero $'!N$2=Producción_Agricola[Año Financiero])*(Producción_Agricola[Intereses $Corrientes]))</f>
        <v>0</v>
      </c>
      <c r="O243" s="10">
        <f>SUMPRODUCT((O$1=Producción_Agricola[Mes Financiero])*('Financiero $'!O$2=Producción_Agricola[Año Financiero])*(Producción_Agricola[Intereses $Corrientes]))</f>
        <v>0</v>
      </c>
      <c r="P243" s="284">
        <f>SUMPRODUCT((P$1=Producción_Agricola[Mes Financiero])*('Financiero $'!P$2=Producción_Agricola[Año Financiero])*(Producción_Agricola[Intereses $Corrientes]))</f>
        <v>0</v>
      </c>
      <c r="Q243" s="10">
        <f>SUMPRODUCT((Q$1=Producción_Agricola[Mes Financiero])*('Financiero $'!Q$2=Producción_Agricola[Año Financiero])*(Producción_Agricola[Intereses $Corrientes]))</f>
        <v>0</v>
      </c>
      <c r="R243" s="284">
        <f>SUMPRODUCT((R$1=Producción_Agricola[Mes Financiero])*('Financiero $'!R$2=Producción_Agricola[Año Financiero])*(Producción_Agricola[Intereses $Corrientes]))</f>
        <v>0</v>
      </c>
      <c r="S243" s="10">
        <f>SUMPRODUCT((S$1=Producción_Agricola[Mes Financiero])*('Financiero $'!S$2=Producción_Agricola[Año Financiero])*(Producción_Agricola[Intereses $Corrientes]))</f>
        <v>0</v>
      </c>
      <c r="T243" s="284">
        <f>SUMPRODUCT((T$1=Producción_Agricola[Mes Financiero])*('Financiero $'!T$2=Producción_Agricola[Año Financiero])*(Producción_Agricola[Intereses $Corrientes]))</f>
        <v>0</v>
      </c>
      <c r="U243" s="10">
        <f>SUMPRODUCT((U$1=Producción_Agricola[Mes Financiero])*('Financiero $'!U$2=Producción_Agricola[Año Financiero])*(Producción_Agricola[Intereses $Corrientes]))</f>
        <v>0</v>
      </c>
      <c r="V243" s="284">
        <f>SUMPRODUCT((V$1=Producción_Agricola[Mes Financiero])*('Financiero $'!V$2=Producción_Agricola[Año Financiero])*(Producción_Agricola[Intereses $Corrientes]))</f>
        <v>0</v>
      </c>
      <c r="W243" s="10">
        <f>SUMPRODUCT((W$1=Producción_Agricola[Mes Financiero])*('Financiero $'!W$2=Producción_Agricola[Año Financiero])*(Producción_Agricola[Intereses $Corrientes]))</f>
        <v>0</v>
      </c>
      <c r="X243" s="284">
        <f>SUMPRODUCT((X$1=Producción_Agricola[Mes Financiero])*('Financiero $'!X$2=Producción_Agricola[Año Financiero])*(Producción_Agricola[Intereses $Corrientes]))</f>
        <v>0</v>
      </c>
      <c r="Y243" s="10">
        <f>SUMPRODUCT((Y$1=Producción_Agricola[Mes Financiero])*('Financiero $'!Y$2=Producción_Agricola[Año Financiero])*(Producción_Agricola[Intereses $Corrientes]))</f>
        <v>0</v>
      </c>
      <c r="Z243" s="144">
        <f t="shared" si="35"/>
        <v>0</v>
      </c>
    </row>
    <row r="244" spans="2:26" x14ac:dyDescent="0.25">
      <c r="B244" s="175"/>
      <c r="C244" s="210" t="s">
        <v>38</v>
      </c>
      <c r="E244" s="221"/>
      <c r="F244" t="s">
        <v>300</v>
      </c>
      <c r="H244" s="284"/>
      <c r="I244" s="10"/>
      <c r="J244" s="284"/>
      <c r="K244" s="10"/>
      <c r="L244" s="284"/>
      <c r="M244" s="10"/>
      <c r="N244" s="284"/>
      <c r="O244" s="10"/>
      <c r="P244" s="284"/>
      <c r="Q244" s="10"/>
      <c r="R244" s="284"/>
      <c r="S244" s="10"/>
      <c r="T244" s="284"/>
      <c r="U244" s="10"/>
      <c r="V244" s="284"/>
      <c r="W244" s="10"/>
      <c r="X244" s="284"/>
      <c r="Y244" s="10"/>
      <c r="Z244" s="144">
        <f t="shared" si="35"/>
        <v>0</v>
      </c>
    </row>
    <row r="245" spans="2:26" x14ac:dyDescent="0.25">
      <c r="B245" s="175"/>
      <c r="C245" s="210" t="s">
        <v>38</v>
      </c>
      <c r="E245" s="221"/>
      <c r="F245" t="s">
        <v>342</v>
      </c>
      <c r="H245" s="284">
        <f>SUMPRODUCT((H$1=Producción_Ganadera[Mes Financiero])*('Financiero $'!H$2=Producción_Ganadera[Año Financiero])*(Producción_Ganadera[Intereses $Corrientes]))</f>
        <v>0</v>
      </c>
      <c r="I245" s="10">
        <f>SUMPRODUCT((I$1=Producción_Ganadera[Mes Financiero])*('Financiero $'!I$2=Producción_Ganadera[Año Financiero])*(Producción_Ganadera[Intereses $Corrientes]))</f>
        <v>0</v>
      </c>
      <c r="J245" s="284">
        <f>SUMPRODUCT((J$1=Producción_Ganadera[Mes Financiero])*('Financiero $'!J$2=Producción_Ganadera[Año Financiero])*(Producción_Ganadera[Intereses $Corrientes]))</f>
        <v>0</v>
      </c>
      <c r="K245" s="10">
        <f>SUMPRODUCT((K$1=Producción_Ganadera[Mes Financiero])*('Financiero $'!K$2=Producción_Ganadera[Año Financiero])*(Producción_Ganadera[Intereses $Corrientes]))</f>
        <v>0</v>
      </c>
      <c r="L245" s="284">
        <f>SUMPRODUCT((L$1=Producción_Ganadera[Mes Financiero])*('Financiero $'!L$2=Producción_Ganadera[Año Financiero])*(Producción_Ganadera[Intereses $Corrientes]))</f>
        <v>0</v>
      </c>
      <c r="M245" s="10">
        <f>SUMPRODUCT((M$1=Producción_Ganadera[Mes Financiero])*('Financiero $'!M$2=Producción_Ganadera[Año Financiero])*(Producción_Ganadera[Intereses $Corrientes]))</f>
        <v>0</v>
      </c>
      <c r="N245" s="284">
        <f>SUMPRODUCT((N$1=Producción_Ganadera[Mes Financiero])*('Financiero $'!N$2=Producción_Ganadera[Año Financiero])*(Producción_Ganadera[Intereses $Corrientes]))</f>
        <v>0</v>
      </c>
      <c r="O245" s="10">
        <f>SUMPRODUCT((O$1=Producción_Ganadera[Mes Financiero])*('Financiero $'!O$2=Producción_Ganadera[Año Financiero])*(Producción_Ganadera[Intereses $Corrientes]))</f>
        <v>0</v>
      </c>
      <c r="P245" s="284">
        <f>SUMPRODUCT((P$1=Producción_Ganadera[Mes Financiero])*('Financiero $'!P$2=Producción_Ganadera[Año Financiero])*(Producción_Ganadera[Intereses $Corrientes]))</f>
        <v>0</v>
      </c>
      <c r="Q245" s="10">
        <f>SUMPRODUCT((Q$1=Producción_Ganadera[Mes Financiero])*('Financiero $'!Q$2=Producción_Ganadera[Año Financiero])*(Producción_Ganadera[Intereses $Corrientes]))</f>
        <v>0</v>
      </c>
      <c r="R245" s="284">
        <f>SUMPRODUCT((R$1=Producción_Ganadera[Mes Financiero])*('Financiero $'!R$2=Producción_Ganadera[Año Financiero])*(Producción_Ganadera[Intereses $Corrientes]))</f>
        <v>0</v>
      </c>
      <c r="S245" s="10">
        <f>SUMPRODUCT((S$1=Producción_Ganadera[Mes Financiero])*('Financiero $'!S$2=Producción_Ganadera[Año Financiero])*(Producción_Ganadera[Intereses $Corrientes]))</f>
        <v>0</v>
      </c>
      <c r="T245" s="284">
        <f>SUMPRODUCT((T$1=Producción_Ganadera[Mes Financiero])*('Financiero $'!T$2=Producción_Ganadera[Año Financiero])*(Producción_Ganadera[Intereses $Corrientes]))</f>
        <v>0</v>
      </c>
      <c r="U245" s="10">
        <f>SUMPRODUCT((U$1=Producción_Ganadera[Mes Financiero])*('Financiero $'!U$2=Producción_Ganadera[Año Financiero])*(Producción_Ganadera[Intereses $Corrientes]))</f>
        <v>0</v>
      </c>
      <c r="V245" s="284">
        <f>SUMPRODUCT((V$1=Producción_Ganadera[Mes Financiero])*('Financiero $'!V$2=Producción_Ganadera[Año Financiero])*(Producción_Ganadera[Intereses $Corrientes]))</f>
        <v>0</v>
      </c>
      <c r="W245" s="10">
        <f>SUMPRODUCT((W$1=Producción_Ganadera[Mes Financiero])*('Financiero $'!W$2=Producción_Ganadera[Año Financiero])*(Producción_Ganadera[Intereses $Corrientes]))</f>
        <v>0</v>
      </c>
      <c r="X245" s="284">
        <f>SUMPRODUCT((X$1=Producción_Ganadera[Mes Financiero])*('Financiero $'!X$2=Producción_Ganadera[Año Financiero])*(Producción_Ganadera[Intereses $Corrientes]))</f>
        <v>0</v>
      </c>
      <c r="Y245" s="10">
        <f>SUMPRODUCT((Y$1=Producción_Ganadera[Mes Financiero])*('Financiero $'!Y$2=Producción_Ganadera[Año Financiero])*(Producción_Ganadera[Intereses $Corrientes]))</f>
        <v>0</v>
      </c>
      <c r="Z245" s="144">
        <f t="shared" si="35"/>
        <v>0</v>
      </c>
    </row>
    <row r="246" spans="2:26" x14ac:dyDescent="0.25">
      <c r="B246" s="175"/>
      <c r="C246" s="210" t="s">
        <v>38</v>
      </c>
      <c r="E246" s="221"/>
      <c r="F246" t="s">
        <v>343</v>
      </c>
      <c r="H246" s="284">
        <f>SUMPRODUCT((H$1=Producción_Lecheria[Mes Financiero])*('Financiero $'!H$2=Producción_Lecheria[Año Financiero])*(Producción_Lecheria[Intereses $Corrientes]))</f>
        <v>0</v>
      </c>
      <c r="I246" s="10">
        <f>SUMPRODUCT((I$1=Producción_Lecheria[Mes Financiero])*('Financiero $'!I$2=Producción_Lecheria[Año Financiero])*(Producción_Lecheria[Intereses $Corrientes]))</f>
        <v>0</v>
      </c>
      <c r="J246" s="284">
        <f>SUMPRODUCT((J$1=Producción_Lecheria[Mes Financiero])*('Financiero $'!J$2=Producción_Lecheria[Año Financiero])*(Producción_Lecheria[Intereses $Corrientes]))</f>
        <v>0</v>
      </c>
      <c r="K246" s="10">
        <f>SUMPRODUCT((K$1=Producción_Lecheria[Mes Financiero])*('Financiero $'!K$2=Producción_Lecheria[Año Financiero])*(Producción_Lecheria[Intereses $Corrientes]))</f>
        <v>0</v>
      </c>
      <c r="L246" s="284">
        <f>SUMPRODUCT((L$1=Producción_Lecheria[Mes Financiero])*('Financiero $'!L$2=Producción_Lecheria[Año Financiero])*(Producción_Lecheria[Intereses $Corrientes]))</f>
        <v>0</v>
      </c>
      <c r="M246" s="10">
        <f>SUMPRODUCT((M$1=Producción_Lecheria[Mes Financiero])*('Financiero $'!M$2=Producción_Lecheria[Año Financiero])*(Producción_Lecheria[Intereses $Corrientes]))</f>
        <v>0</v>
      </c>
      <c r="N246" s="284">
        <f>SUMPRODUCT((N$1=Producción_Lecheria[Mes Financiero])*('Financiero $'!N$2=Producción_Lecheria[Año Financiero])*(Producción_Lecheria[Intereses $Corrientes]))</f>
        <v>0</v>
      </c>
      <c r="O246" s="10">
        <f>SUMPRODUCT((O$1=Producción_Lecheria[Mes Financiero])*('Financiero $'!O$2=Producción_Lecheria[Año Financiero])*(Producción_Lecheria[Intereses $Corrientes]))</f>
        <v>0</v>
      </c>
      <c r="P246" s="284">
        <f>SUMPRODUCT((P$1=Producción_Lecheria[Mes Financiero])*('Financiero $'!P$2=Producción_Lecheria[Año Financiero])*(Producción_Lecheria[Intereses $Corrientes]))</f>
        <v>0</v>
      </c>
      <c r="Q246" s="10">
        <f>SUMPRODUCT((Q$1=Producción_Lecheria[Mes Financiero])*('Financiero $'!Q$2=Producción_Lecheria[Año Financiero])*(Producción_Lecheria[Intereses $Corrientes]))</f>
        <v>0</v>
      </c>
      <c r="R246" s="284">
        <f>SUMPRODUCT((R$1=Producción_Lecheria[Mes Financiero])*('Financiero $'!R$2=Producción_Lecheria[Año Financiero])*(Producción_Lecheria[Intereses $Corrientes]))</f>
        <v>0</v>
      </c>
      <c r="S246" s="10">
        <f>SUMPRODUCT((S$1=Producción_Lecheria[Mes Financiero])*('Financiero $'!S$2=Producción_Lecheria[Año Financiero])*(Producción_Lecheria[Intereses $Corrientes]))</f>
        <v>0</v>
      </c>
      <c r="T246" s="284">
        <f>SUMPRODUCT((T$1=Producción_Lecheria[Mes Financiero])*('Financiero $'!T$2=Producción_Lecheria[Año Financiero])*(Producción_Lecheria[Intereses $Corrientes]))</f>
        <v>0</v>
      </c>
      <c r="U246" s="10">
        <f>SUMPRODUCT((U$1=Producción_Lecheria[Mes Financiero])*('Financiero $'!U$2=Producción_Lecheria[Año Financiero])*(Producción_Lecheria[Intereses $Corrientes]))</f>
        <v>0</v>
      </c>
      <c r="V246" s="284">
        <f>SUMPRODUCT((V$1=Producción_Lecheria[Mes Financiero])*('Financiero $'!V$2=Producción_Lecheria[Año Financiero])*(Producción_Lecheria[Intereses $Corrientes]))</f>
        <v>0</v>
      </c>
      <c r="W246" s="10">
        <f>SUMPRODUCT((W$1=Producción_Lecheria[Mes Financiero])*('Financiero $'!W$2=Producción_Lecheria[Año Financiero])*(Producción_Lecheria[Intereses $Corrientes]))</f>
        <v>0</v>
      </c>
      <c r="X246" s="284">
        <f>SUMPRODUCT((X$1=Producción_Lecheria[Mes Financiero])*('Financiero $'!X$2=Producción_Lecheria[Año Financiero])*(Producción_Lecheria[Intereses $Corrientes]))</f>
        <v>0</v>
      </c>
      <c r="Y246" s="10">
        <f>SUMPRODUCT((Y$1=Producción_Lecheria[Mes Financiero])*('Financiero $'!Y$2=Producción_Lecheria[Año Financiero])*(Producción_Lecheria[Intereses $Corrientes]))</f>
        <v>0</v>
      </c>
      <c r="Z246" s="144">
        <f t="shared" si="35"/>
        <v>0</v>
      </c>
    </row>
    <row r="247" spans="2:26" x14ac:dyDescent="0.25">
      <c r="C247" s="210" t="s">
        <v>38</v>
      </c>
      <c r="E247" s="221"/>
      <c r="F247" t="s">
        <v>301</v>
      </c>
      <c r="H247" s="284">
        <f>SUMPRODUCT((H$1=Otras_Actividades_Base[Mes Financiero])*('Financiero $'!H$2=Otras_Actividades_Base[Año Financiero])*(Otras_Actividades_Base[Intereses $Corrientes]))</f>
        <v>0</v>
      </c>
      <c r="I247" s="10">
        <f>SUMPRODUCT((I$1=Otras_Actividades_Base[Mes Financiero])*('Financiero $'!I$2=Otras_Actividades_Base[Año Financiero])*(Otras_Actividades_Base[Intereses $Corrientes]))</f>
        <v>0</v>
      </c>
      <c r="J247" s="284">
        <f>SUMPRODUCT((J$1=Otras_Actividades_Base[Mes Financiero])*('Financiero $'!J$2=Otras_Actividades_Base[Año Financiero])*(Otras_Actividades_Base[Intereses $Corrientes]))</f>
        <v>0</v>
      </c>
      <c r="K247" s="10">
        <f>SUMPRODUCT((K$1=Otras_Actividades_Base[Mes Financiero])*('Financiero $'!K$2=Otras_Actividades_Base[Año Financiero])*(Otras_Actividades_Base[Intereses $Corrientes]))</f>
        <v>0</v>
      </c>
      <c r="L247" s="284">
        <f>SUMPRODUCT((L$1=Otras_Actividades_Base[Mes Financiero])*('Financiero $'!L$2=Otras_Actividades_Base[Año Financiero])*(Otras_Actividades_Base[Intereses $Corrientes]))</f>
        <v>0</v>
      </c>
      <c r="M247" s="10">
        <f>SUMPRODUCT((M$1=Otras_Actividades_Base[Mes Financiero])*('Financiero $'!M$2=Otras_Actividades_Base[Año Financiero])*(Otras_Actividades_Base[Intereses $Corrientes]))</f>
        <v>0</v>
      </c>
      <c r="N247" s="284">
        <f>SUMPRODUCT((N$1=Otras_Actividades_Base[Mes Financiero])*('Financiero $'!N$2=Otras_Actividades_Base[Año Financiero])*(Otras_Actividades_Base[Intereses $Corrientes]))</f>
        <v>0</v>
      </c>
      <c r="O247" s="10">
        <f>SUMPRODUCT((O$1=Otras_Actividades_Base[Mes Financiero])*('Financiero $'!O$2=Otras_Actividades_Base[Año Financiero])*(Otras_Actividades_Base[Intereses $Corrientes]))</f>
        <v>0</v>
      </c>
      <c r="P247" s="284">
        <f>SUMPRODUCT((P$1=Otras_Actividades_Base[Mes Financiero])*('Financiero $'!P$2=Otras_Actividades_Base[Año Financiero])*(Otras_Actividades_Base[Intereses $Corrientes]))</f>
        <v>0</v>
      </c>
      <c r="Q247" s="10">
        <f>SUMPRODUCT((Q$1=Otras_Actividades_Base[Mes Financiero])*('Financiero $'!Q$2=Otras_Actividades_Base[Año Financiero])*(Otras_Actividades_Base[Intereses $Corrientes]))</f>
        <v>0</v>
      </c>
      <c r="R247" s="284">
        <f>SUMPRODUCT((R$1=Otras_Actividades_Base[Mes Financiero])*('Financiero $'!R$2=Otras_Actividades_Base[Año Financiero])*(Otras_Actividades_Base[Intereses $Corrientes]))</f>
        <v>0</v>
      </c>
      <c r="S247" s="10">
        <f>SUMPRODUCT((S$1=Otras_Actividades_Base[Mes Financiero])*('Financiero $'!S$2=Otras_Actividades_Base[Año Financiero])*(Otras_Actividades_Base[Intereses $Corrientes]))</f>
        <v>0</v>
      </c>
      <c r="T247" s="284">
        <f>SUMPRODUCT((T$1=Otras_Actividades_Base[Mes Financiero])*('Financiero $'!T$2=Otras_Actividades_Base[Año Financiero])*(Otras_Actividades_Base[Intereses $Corrientes]))</f>
        <v>0</v>
      </c>
      <c r="U247" s="10">
        <f>SUMPRODUCT((U$1=Otras_Actividades_Base[Mes Financiero])*('Financiero $'!U$2=Otras_Actividades_Base[Año Financiero])*(Otras_Actividades_Base[Intereses $Corrientes]))</f>
        <v>0</v>
      </c>
      <c r="V247" s="284">
        <f>SUMPRODUCT((V$1=Otras_Actividades_Base[Mes Financiero])*('Financiero $'!V$2=Otras_Actividades_Base[Año Financiero])*(Otras_Actividades_Base[Intereses $Corrientes]))</f>
        <v>0</v>
      </c>
      <c r="W247" s="10">
        <f>SUMPRODUCT((W$1=Otras_Actividades_Base[Mes Financiero])*('Financiero $'!W$2=Otras_Actividades_Base[Año Financiero])*(Otras_Actividades_Base[Intereses $Corrientes]))</f>
        <v>0</v>
      </c>
      <c r="X247" s="284">
        <f>SUMPRODUCT((X$1=Otras_Actividades_Base[Mes Financiero])*('Financiero $'!X$2=Otras_Actividades_Base[Año Financiero])*(Otras_Actividades_Base[Intereses $Corrientes]))</f>
        <v>0</v>
      </c>
      <c r="Y247" s="10">
        <f>SUMPRODUCT((Y$1=Otras_Actividades_Base[Mes Financiero])*('Financiero $'!Y$2=Otras_Actividades_Base[Año Financiero])*(Otras_Actividades_Base[Intereses $Corrientes]))</f>
        <v>0</v>
      </c>
      <c r="Z247" s="144">
        <f t="shared" si="35"/>
        <v>0</v>
      </c>
    </row>
    <row r="248" spans="2:26" x14ac:dyDescent="0.25">
      <c r="C248" s="210" t="s">
        <v>38</v>
      </c>
      <c r="E248" s="221"/>
      <c r="F248" t="s">
        <v>302</v>
      </c>
      <c r="H248" s="284">
        <f>SUMPRODUCT((H$1=Indirectos[Mes Financiero])*('Financiero $'!H$2=Indirectos[Año Financiero])*(Indirectos[Intereses $Corrientes]))</f>
        <v>0</v>
      </c>
      <c r="I248" s="10">
        <f>SUMPRODUCT((I$1=Indirectos[Mes Financiero])*('Financiero $'!I$2=Indirectos[Año Financiero])*(Indirectos[Intereses $Corrientes]))</f>
        <v>0</v>
      </c>
      <c r="J248" s="284">
        <f>SUMPRODUCT((J$1=Indirectos[Mes Financiero])*('Financiero $'!J$2=Indirectos[Año Financiero])*(Indirectos[Intereses $Corrientes]))</f>
        <v>0</v>
      </c>
      <c r="K248" s="10">
        <f>SUMPRODUCT((K$1=Indirectos[Mes Financiero])*('Financiero $'!K$2=Indirectos[Año Financiero])*(Indirectos[Intereses $Corrientes]))</f>
        <v>0</v>
      </c>
      <c r="L248" s="284">
        <f>SUMPRODUCT((L$1=Indirectos[Mes Financiero])*('Financiero $'!L$2=Indirectos[Año Financiero])*(Indirectos[Intereses $Corrientes]))</f>
        <v>0</v>
      </c>
      <c r="M248" s="10">
        <f>SUMPRODUCT((M$1=Indirectos[Mes Financiero])*('Financiero $'!M$2=Indirectos[Año Financiero])*(Indirectos[Intereses $Corrientes]))</f>
        <v>0</v>
      </c>
      <c r="N248" s="284">
        <f>SUMPRODUCT((N$1=Indirectos[Mes Financiero])*('Financiero $'!N$2=Indirectos[Año Financiero])*(Indirectos[Intereses $Corrientes]))</f>
        <v>0</v>
      </c>
      <c r="O248" s="10">
        <f>SUMPRODUCT((O$1=Indirectos[Mes Financiero])*('Financiero $'!O$2=Indirectos[Año Financiero])*(Indirectos[Intereses $Corrientes]))</f>
        <v>0</v>
      </c>
      <c r="P248" s="284">
        <f>SUMPRODUCT((P$1=Indirectos[Mes Financiero])*('Financiero $'!P$2=Indirectos[Año Financiero])*(Indirectos[Intereses $Corrientes]))</f>
        <v>0</v>
      </c>
      <c r="Q248" s="10">
        <f>SUMPRODUCT((Q$1=Indirectos[Mes Financiero])*('Financiero $'!Q$2=Indirectos[Año Financiero])*(Indirectos[Intereses $Corrientes]))</f>
        <v>0</v>
      </c>
      <c r="R248" s="284">
        <f>SUMPRODUCT((R$1=Indirectos[Mes Financiero])*('Financiero $'!R$2=Indirectos[Año Financiero])*(Indirectos[Intereses $Corrientes]))</f>
        <v>0</v>
      </c>
      <c r="S248" s="10">
        <f>SUMPRODUCT((S$1=Indirectos[Mes Financiero])*('Financiero $'!S$2=Indirectos[Año Financiero])*(Indirectos[Intereses $Corrientes]))</f>
        <v>0</v>
      </c>
      <c r="T248" s="284">
        <f>SUMPRODUCT((T$1=Indirectos[Mes Financiero])*('Financiero $'!T$2=Indirectos[Año Financiero])*(Indirectos[Intereses $Corrientes]))</f>
        <v>0</v>
      </c>
      <c r="U248" s="10">
        <f>SUMPRODUCT((U$1=Indirectos[Mes Financiero])*('Financiero $'!U$2=Indirectos[Año Financiero])*(Indirectos[Intereses $Corrientes]))</f>
        <v>0</v>
      </c>
      <c r="V248" s="284">
        <f>SUMPRODUCT((V$1=Indirectos[Mes Financiero])*('Financiero $'!V$2=Indirectos[Año Financiero])*(Indirectos[Intereses $Corrientes]))</f>
        <v>0</v>
      </c>
      <c r="W248" s="10">
        <f>SUMPRODUCT((W$1=Indirectos[Mes Financiero])*('Financiero $'!W$2=Indirectos[Año Financiero])*(Indirectos[Intereses $Corrientes]))</f>
        <v>0</v>
      </c>
      <c r="X248" s="284">
        <f>SUMPRODUCT((X$1=Indirectos[Mes Financiero])*('Financiero $'!X$2=Indirectos[Año Financiero])*(Indirectos[Intereses $Corrientes]))</f>
        <v>0</v>
      </c>
      <c r="Y248" s="10">
        <f>SUMPRODUCT((Y$1=Indirectos[Mes Financiero])*('Financiero $'!Y$2=Indirectos[Año Financiero])*(Indirectos[Intereses $Corrientes]))</f>
        <v>0</v>
      </c>
      <c r="Z248" s="144">
        <f t="shared" si="35"/>
        <v>0</v>
      </c>
    </row>
    <row r="249" spans="2:26" x14ac:dyDescent="0.25">
      <c r="C249" s="210" t="s">
        <v>38</v>
      </c>
      <c r="E249" s="221"/>
      <c r="F249" t="s">
        <v>303</v>
      </c>
      <c r="H249" s="284">
        <f>SUMPRODUCT((H$1=Finanzas[Mes Financiero])*(H$2=Finanzas[Año Financiero])*(Finanzas[Financiero $Corrientes]))-SUM(H232:H242)</f>
        <v>0</v>
      </c>
      <c r="I249" s="10">
        <f>SUMPRODUCT((I$1=Finanzas[Mes Financiero])*(I$2=Finanzas[Año Financiero])*(Finanzas[Financiero $Corrientes]))-SUM(I232:I242)</f>
        <v>0</v>
      </c>
      <c r="J249" s="284">
        <f>SUMPRODUCT((J$1=Finanzas[Mes Financiero])*(J$2=Finanzas[Año Financiero])*(Finanzas[Financiero $Corrientes]))-SUM(J232:J242)</f>
        <v>0</v>
      </c>
      <c r="K249" s="10">
        <f>SUMPRODUCT((K$1=Finanzas[Mes Financiero])*(K$2=Finanzas[Año Financiero])*(Finanzas[Financiero $Corrientes]))-SUM(K232:K242)</f>
        <v>0</v>
      </c>
      <c r="L249" s="284">
        <f>SUMPRODUCT((L$1=Finanzas[Mes Financiero])*(L$2=Finanzas[Año Financiero])*(Finanzas[Financiero $Corrientes]))-SUM(L232:L242)</f>
        <v>0</v>
      </c>
      <c r="M249" s="10">
        <f>SUMPRODUCT((M$1=Finanzas[Mes Financiero])*(M$2=Finanzas[Año Financiero])*(Finanzas[Financiero $Corrientes]))-SUM(M232:M242)</f>
        <v>0</v>
      </c>
      <c r="N249" s="284">
        <f>SUMPRODUCT((N$1=Finanzas[Mes Financiero])*(N$2=Finanzas[Año Financiero])*(Finanzas[Financiero $Corrientes]))-SUM(N232:N242)</f>
        <v>0</v>
      </c>
      <c r="O249" s="10">
        <f>SUMPRODUCT((O$1=Finanzas[Mes Financiero])*(O$2=Finanzas[Año Financiero])*(Finanzas[Financiero $Corrientes]))-SUM(O232:O242)</f>
        <v>0</v>
      </c>
      <c r="P249" s="284">
        <f>SUMPRODUCT((P$1=Finanzas[Mes Financiero])*(P$2=Finanzas[Año Financiero])*(Finanzas[Financiero $Corrientes]))-SUM(P232:P242)</f>
        <v>0</v>
      </c>
      <c r="Q249" s="10">
        <f>SUMPRODUCT((Q$1=Finanzas[Mes Financiero])*(Q$2=Finanzas[Año Financiero])*(Finanzas[Financiero $Corrientes]))-SUM(Q232:Q242)</f>
        <v>0</v>
      </c>
      <c r="R249" s="284">
        <f>SUMPRODUCT((R$1=Finanzas[Mes Financiero])*(R$2=Finanzas[Año Financiero])*(Finanzas[Financiero $Corrientes]))-SUM(R232:R242)</f>
        <v>0</v>
      </c>
      <c r="S249" s="10">
        <f>SUMPRODUCT((S$1=Finanzas[Mes Financiero])*(S$2=Finanzas[Año Financiero])*(Finanzas[Financiero $Corrientes]))-SUM(S232:S242)</f>
        <v>0</v>
      </c>
      <c r="T249" s="284">
        <f>SUMPRODUCT((T$1=Finanzas[Mes Financiero])*(T$2=Finanzas[Año Financiero])*(Finanzas[Financiero $Corrientes]))-SUM(T232:T242)</f>
        <v>0</v>
      </c>
      <c r="U249" s="10">
        <f>SUMPRODUCT((U$1=Finanzas[Mes Financiero])*(U$2=Finanzas[Año Financiero])*(Finanzas[Financiero $Corrientes]))-SUM(U232:U242)</f>
        <v>0</v>
      </c>
      <c r="V249" s="284">
        <f>SUMPRODUCT((V$1=Finanzas[Mes Financiero])*(V$2=Finanzas[Año Financiero])*(Finanzas[Financiero $Corrientes]))-SUM(V232:V242)</f>
        <v>0</v>
      </c>
      <c r="W249" s="10">
        <f>SUMPRODUCT((W$1=Finanzas[Mes Financiero])*(W$2=Finanzas[Año Financiero])*(Finanzas[Financiero $Corrientes]))-SUM(W232:W242)</f>
        <v>0</v>
      </c>
      <c r="X249" s="284">
        <f>SUMPRODUCT((X$1=Finanzas[Mes Financiero])*(X$2=Finanzas[Año Financiero])*(Finanzas[Financiero $Corrientes]))-SUM(X232:X242)</f>
        <v>0</v>
      </c>
      <c r="Y249" s="10">
        <f>SUMPRODUCT((Y$1=Finanzas[Mes Financiero])*(Y$2=Finanzas[Año Financiero])*(Finanzas[Financiero $Corrientes]))-SUM(Y232:Y242)</f>
        <v>0</v>
      </c>
      <c r="Z249" s="144">
        <f t="shared" si="35"/>
        <v>0</v>
      </c>
    </row>
    <row r="250" spans="2:26" x14ac:dyDescent="0.25">
      <c r="D250" s="157" t="s">
        <v>297</v>
      </c>
      <c r="E250" s="158"/>
      <c r="F250" s="159"/>
      <c r="G250" s="160"/>
      <c r="H250" s="161">
        <f t="shared" ref="H250:Z250" si="36">H229+SUM(H232:H249)</f>
        <v>0</v>
      </c>
      <c r="I250" s="161">
        <f t="shared" si="36"/>
        <v>0</v>
      </c>
      <c r="J250" s="161">
        <f t="shared" si="36"/>
        <v>0</v>
      </c>
      <c r="K250" s="161">
        <f t="shared" si="36"/>
        <v>790000</v>
      </c>
      <c r="L250" s="161">
        <f t="shared" si="36"/>
        <v>0</v>
      </c>
      <c r="M250" s="161">
        <f t="shared" si="36"/>
        <v>0</v>
      </c>
      <c r="N250" s="161">
        <f t="shared" si="36"/>
        <v>0</v>
      </c>
      <c r="O250" s="161">
        <f t="shared" si="36"/>
        <v>0</v>
      </c>
      <c r="P250" s="161">
        <f t="shared" si="36"/>
        <v>0</v>
      </c>
      <c r="Q250" s="161">
        <f t="shared" si="36"/>
        <v>0</v>
      </c>
      <c r="R250" s="161">
        <f t="shared" si="36"/>
        <v>0</v>
      </c>
      <c r="S250" s="161">
        <f t="shared" si="36"/>
        <v>0</v>
      </c>
      <c r="T250" s="161">
        <f t="shared" si="36"/>
        <v>0</v>
      </c>
      <c r="U250" s="161">
        <f t="shared" si="36"/>
        <v>0</v>
      </c>
      <c r="V250" s="161">
        <f t="shared" si="36"/>
        <v>0</v>
      </c>
      <c r="W250" s="161">
        <f t="shared" si="36"/>
        <v>0</v>
      </c>
      <c r="X250" s="161">
        <f t="shared" si="36"/>
        <v>0</v>
      </c>
      <c r="Y250" s="161">
        <f t="shared" si="36"/>
        <v>0</v>
      </c>
      <c r="Z250" s="161">
        <f t="shared" si="36"/>
        <v>790000</v>
      </c>
    </row>
    <row r="251" spans="2:26" x14ac:dyDescent="0.25">
      <c r="D251" s="157" t="s">
        <v>298</v>
      </c>
      <c r="E251" s="158"/>
      <c r="F251" s="159"/>
      <c r="G251" s="160"/>
      <c r="H251" s="161">
        <f>H250</f>
        <v>0</v>
      </c>
      <c r="I251" s="161">
        <f>H251+I250</f>
        <v>0</v>
      </c>
      <c r="J251" s="161">
        <f t="shared" ref="J251:Y251" si="37">I251+J250</f>
        <v>0</v>
      </c>
      <c r="K251" s="161">
        <f t="shared" si="37"/>
        <v>790000</v>
      </c>
      <c r="L251" s="161">
        <f t="shared" si="37"/>
        <v>790000</v>
      </c>
      <c r="M251" s="161">
        <f t="shared" si="37"/>
        <v>790000</v>
      </c>
      <c r="N251" s="161">
        <f t="shared" si="37"/>
        <v>790000</v>
      </c>
      <c r="O251" s="161">
        <f t="shared" si="37"/>
        <v>790000</v>
      </c>
      <c r="P251" s="161">
        <f t="shared" si="37"/>
        <v>790000</v>
      </c>
      <c r="Q251" s="161">
        <f t="shared" si="37"/>
        <v>790000</v>
      </c>
      <c r="R251" s="161">
        <f t="shared" si="37"/>
        <v>790000</v>
      </c>
      <c r="S251" s="161">
        <f t="shared" si="37"/>
        <v>790000</v>
      </c>
      <c r="T251" s="161">
        <f t="shared" si="37"/>
        <v>790000</v>
      </c>
      <c r="U251" s="161">
        <f t="shared" si="37"/>
        <v>790000</v>
      </c>
      <c r="V251" s="161">
        <f t="shared" si="37"/>
        <v>790000</v>
      </c>
      <c r="W251" s="161">
        <f t="shared" si="37"/>
        <v>790000</v>
      </c>
      <c r="X251" s="161">
        <f t="shared" si="37"/>
        <v>790000</v>
      </c>
      <c r="Y251" s="161">
        <f t="shared" si="37"/>
        <v>790000</v>
      </c>
      <c r="Z251" s="162"/>
    </row>
  </sheetData>
  <mergeCells count="1">
    <mergeCell ref="Z1:Z2"/>
  </mergeCells>
  <conditionalFormatting sqref="AB4">
    <cfRule type="cellIs" dxfId="1193" priority="30" operator="equal">
      <formula>FALSE</formula>
    </cfRule>
    <cfRule type="cellIs" dxfId="1192" priority="31" operator="equal">
      <formula>TRUE</formula>
    </cfRule>
  </conditionalFormatting>
  <conditionalFormatting sqref="AB16">
    <cfRule type="cellIs" dxfId="1191" priority="28" operator="equal">
      <formula>FALSE</formula>
    </cfRule>
    <cfRule type="cellIs" dxfId="1190" priority="29" operator="equal">
      <formula>TRUE</formula>
    </cfRule>
  </conditionalFormatting>
  <conditionalFormatting sqref="AB31">
    <cfRule type="cellIs" dxfId="1189" priority="26" operator="equal">
      <formula>FALSE</formula>
    </cfRule>
    <cfRule type="cellIs" dxfId="1188" priority="27" operator="equal">
      <formula>TRUE</formula>
    </cfRule>
  </conditionalFormatting>
  <conditionalFormatting sqref="AB116">
    <cfRule type="cellIs" dxfId="1187" priority="24" operator="equal">
      <formula>FALSE</formula>
    </cfRule>
    <cfRule type="cellIs" dxfId="1186" priority="25" operator="equal">
      <formula>TRUE</formula>
    </cfRule>
  </conditionalFormatting>
  <conditionalFormatting sqref="C1:C13 C192:C201 C16:C27 C30:C42 C102:C115 C142:C164 C117:C140 C222:C224 C226:C228 C50:C77 C185:C190 C79:C100 C216 C203:C214 C231 C252:C1048576">
    <cfRule type="cellIs" dxfId="1185" priority="23" operator="equal">
      <formula>"""Ingreso"""</formula>
    </cfRule>
  </conditionalFormatting>
  <conditionalFormatting sqref="C14:C15">
    <cfRule type="cellIs" dxfId="1184" priority="22" operator="equal">
      <formula>"""Ingreso"""</formula>
    </cfRule>
  </conditionalFormatting>
  <conditionalFormatting sqref="C28:C29">
    <cfRule type="cellIs" dxfId="1183" priority="21" operator="equal">
      <formula>"""Ingreso"""</formula>
    </cfRule>
  </conditionalFormatting>
  <conditionalFormatting sqref="C43:C44">
    <cfRule type="cellIs" dxfId="1182" priority="20" operator="equal">
      <formula>"""Ingreso"""</formula>
    </cfRule>
  </conditionalFormatting>
  <conditionalFormatting sqref="C221">
    <cfRule type="cellIs" dxfId="1181" priority="19" operator="equal">
      <formula>"""Ingreso"""</formula>
    </cfRule>
  </conditionalFormatting>
  <conditionalFormatting sqref="C225">
    <cfRule type="cellIs" dxfId="1180" priority="18" operator="equal">
      <formula>"""Ingreso"""</formula>
    </cfRule>
  </conditionalFormatting>
  <conditionalFormatting sqref="C217:C220">
    <cfRule type="cellIs" dxfId="1179" priority="17" operator="equal">
      <formula>"""Ingreso"""</formula>
    </cfRule>
  </conditionalFormatting>
  <conditionalFormatting sqref="C45:C48">
    <cfRule type="cellIs" dxfId="1178" priority="16" operator="equal">
      <formula>"""Ingreso"""</formula>
    </cfRule>
  </conditionalFormatting>
  <conditionalFormatting sqref="C49">
    <cfRule type="cellIs" dxfId="1177" priority="15" operator="equal">
      <formula>"""Ingreso"""</formula>
    </cfRule>
  </conditionalFormatting>
  <conditionalFormatting sqref="C173:C182 C184">
    <cfRule type="cellIs" dxfId="1176" priority="14" operator="equal">
      <formula>"""Ingreso"""</formula>
    </cfRule>
  </conditionalFormatting>
  <conditionalFormatting sqref="C165:C171">
    <cfRule type="cellIs" dxfId="1175" priority="13" operator="equal">
      <formula>"""Ingreso"""</formula>
    </cfRule>
  </conditionalFormatting>
  <conditionalFormatting sqref="C183">
    <cfRule type="cellIs" dxfId="1174" priority="12" operator="equal">
      <formula>"""Ingreso"""</formula>
    </cfRule>
  </conditionalFormatting>
  <conditionalFormatting sqref="C202">
    <cfRule type="cellIs" dxfId="1173" priority="11" operator="equal">
      <formula>"""Ingreso"""</formula>
    </cfRule>
  </conditionalFormatting>
  <conditionalFormatting sqref="C215">
    <cfRule type="cellIs" dxfId="1172" priority="10" operator="equal">
      <formula>"""Ingreso"""</formula>
    </cfRule>
  </conditionalFormatting>
  <conditionalFormatting sqref="C229">
    <cfRule type="cellIs" dxfId="1171" priority="9" operator="equal">
      <formula>"""Ingreso"""</formula>
    </cfRule>
  </conditionalFormatting>
  <conditionalFormatting sqref="C230">
    <cfRule type="cellIs" dxfId="1170" priority="8" operator="equal">
      <formula>"""Ingreso"""</formula>
    </cfRule>
  </conditionalFormatting>
  <conditionalFormatting sqref="C250">
    <cfRule type="cellIs" dxfId="1169" priority="7" operator="equal">
      <formula>"""Ingreso"""</formula>
    </cfRule>
  </conditionalFormatting>
  <conditionalFormatting sqref="C251">
    <cfRule type="cellIs" dxfId="1168" priority="6" operator="equal">
      <formula>"""Ingreso"""</formula>
    </cfRule>
  </conditionalFormatting>
  <conditionalFormatting sqref="C232">
    <cfRule type="cellIs" dxfId="1167" priority="5" operator="equal">
      <formula>"""Ingreso"""</formula>
    </cfRule>
  </conditionalFormatting>
  <conditionalFormatting sqref="C233">
    <cfRule type="cellIs" dxfId="1166" priority="4" operator="equal">
      <formula>"""Ingreso"""</formula>
    </cfRule>
  </conditionalFormatting>
  <conditionalFormatting sqref="C238:C242">
    <cfRule type="cellIs" dxfId="1165" priority="3" operator="equal">
      <formula>"""Ingreso"""</formula>
    </cfRule>
  </conditionalFormatting>
  <conditionalFormatting sqref="C243:C249">
    <cfRule type="cellIs" dxfId="1164" priority="2" operator="equal">
      <formula>"""Ingreso"""</formula>
    </cfRule>
  </conditionalFormatting>
  <conditionalFormatting sqref="C234:C237">
    <cfRule type="cellIs" dxfId="1163" priority="1" operator="equal">
      <formula>"""Ingreso"""</formula>
    </cfRule>
  </conditionalFormatting>
  <dataValidations disablePrompts="1" count="12">
    <dataValidation type="list" allowBlank="1" showInputMessage="1" showErrorMessage="1" sqref="F45:F48">
      <formula1>Otras_Cuentas</formula1>
    </dataValidation>
    <dataValidation type="list" allowBlank="1" showInputMessage="1" showErrorMessage="1" sqref="G186:G190">
      <formula1>Actividades_Indirectos</formula1>
    </dataValidation>
    <dataValidation type="list" allowBlank="1" showInputMessage="1" showErrorMessage="1" sqref="F191:F216">
      <formula1>Indirectos_Cuentas</formula1>
    </dataValidation>
    <dataValidation type="list" allowBlank="1" showInputMessage="1" showErrorMessage="1" sqref="F101:F113">
      <formula1>Cuentas_Agricolas</formula1>
    </dataValidation>
    <dataValidation type="list" allowBlank="1" showInputMessage="1" showErrorMessage="1" sqref="G221 G225 G32:G43">
      <formula1>Categorias_Hacienda_Lecheria</formula1>
    </dataValidation>
    <dataValidation type="list" allowBlank="1" showInputMessage="1" showErrorMessage="1" sqref="F30:F31 F141 F154:F163">
      <formula1>Cuentas_Lecheria</formula1>
    </dataValidation>
    <dataValidation type="list" allowBlank="1" showInputMessage="1" showErrorMessage="1" sqref="G154:G165 G117:G129 G141 G185 G17:G28">
      <formula1>Categoria_Hacienda</formula1>
    </dataValidation>
    <dataValidation type="list" allowBlank="1" showInputMessage="1" showErrorMessage="1" sqref="F16 F116 F129:F138">
      <formula1>Cuentas_Ganaderas</formula1>
    </dataValidation>
    <dataValidation type="list" allowBlank="1" showInputMessage="1" showErrorMessage="1" sqref="C102:C115 C117:C140 C1:C77 C173:C190 C142:C171 C79:C100 C192:C1048576">
      <formula1>Movimiento</formula1>
    </dataValidation>
    <dataValidation type="list" allowBlank="1" showInputMessage="1" showErrorMessage="1" sqref="F164 E217:E220 F78:F87 F114 E186:E190 E89:E100 F139 E166:E171">
      <formula1>Cuentas_Comerciales_Granos</formula1>
    </dataValidation>
    <dataValidation type="list" allowBlank="1" showInputMessage="1" showErrorMessage="1" sqref="G68:G77 G5:G14">
      <formula1>Producto_Agricola</formula1>
    </dataValidation>
    <dataValidation type="list" allowBlank="1" showInputMessage="1" showErrorMessage="1" sqref="H1">
      <formula1>"1,2,3,4,5,6,7,8,9,10,11,12"</formula1>
    </dataValidation>
  </dataValidations>
  <hyperlinks>
    <hyperlink ref="F4" location="COM_AGR_Ventas" display="Venta de Granos"/>
    <hyperlink ref="F16" location="GAN_Ventas" display="GAN_Ventas"/>
    <hyperlink ref="F116" location="GAN_Compra_Hacienda" display="Compra Hacienda"/>
    <hyperlink ref="F129" location="GAN_Personal" display="Personal"/>
    <hyperlink ref="F130" location="GAN_Personal" display="Cargas Sociales"/>
    <hyperlink ref="F131" location="GAN_Personal" display="Cargas Sociales"/>
    <hyperlink ref="F132" location="GAN_Sanidad" display="Sanidad Productos"/>
    <hyperlink ref="F133" location="GAN_Sanidad" display="Sanidad Productos"/>
    <hyperlink ref="F134" location="GAN_Alimentacion" display="Alimentación"/>
    <hyperlink ref="F135" location="GAN_Suplementacion" display="Suplementación"/>
    <hyperlink ref="F136" location="GAN_Gerenciamiento" display="Gerenciamiento"/>
    <hyperlink ref="F137" location="GAN_Arrendamientos" display="Arrendamiento"/>
    <hyperlink ref="F232" location="FIN_A" display="FIN_A"/>
    <hyperlink ref="F233:F238" location="FIN_A" display="FIN_A"/>
    <hyperlink ref="F233" location="FIN_B" display="FIN_B"/>
    <hyperlink ref="F234" location="FIN_C" display="FIN_C"/>
    <hyperlink ref="F238" location="FIN_D" display="FIN_D"/>
    <hyperlink ref="D232" location="Finanzas!A1" display="Finanzas"/>
    <hyperlink ref="D4" location="'Com. Agrícola'!A1" display="Com. Agrícola"/>
    <hyperlink ref="D16" location="Ganadería!A1" display="Ganadería"/>
    <hyperlink ref="D30" location="Lechería!A1" display="Lechería"/>
    <hyperlink ref="D45" location="'Otras Actividades'!A1" display="Otras Actividades"/>
    <hyperlink ref="D67" location="'Com. Agrícola'!A1" display="Com. Agrícola"/>
    <hyperlink ref="D88" location="'Prod. Agrícola'!A1" display="Prod. Agrícola"/>
    <hyperlink ref="D115" location="Ganadería!A1" display="Ganadería"/>
    <hyperlink ref="D140" location="Lechería!A1" display="Lechería"/>
    <hyperlink ref="D165" location="'Otras Actividades'!A1" display="Otras Actividades"/>
    <hyperlink ref="D185" location="Indirectos!A1" display="Indirectos"/>
  </hyperlink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Configuración!$AC$8</xm:f>
          </x14:formula1>
          <xm:sqref>F4</xm:sqref>
        </x14:dataValidation>
        <x14:dataValidation type="list" allowBlank="1" showInputMessage="1" showErrorMessage="1">
          <x14:formula1>
            <xm:f>Configuración!$BW$5:$BW$9</xm:f>
          </x14:formula1>
          <xm:sqref>G166 G167 G168 G169 G170 G171</xm:sqref>
        </x14:dataValidation>
        <x14:dataValidation type="list" allowBlank="1" showInputMessage="1" showErrorMessage="1">
          <x14:formula1>
            <xm:f>Configuración!$BY$5:$BY$25</xm:f>
          </x14:formula1>
          <xm:sqref>F173 F172 F174 F175 F176 F177 F178 F179 F180 F181 F182 F183 F184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E251"/>
  <sheetViews>
    <sheetView showGridLines="0" zoomScale="90" zoomScaleNormal="90" workbookViewId="0">
      <pane ySplit="2" topLeftCell="A3" activePane="bottomLeft" state="frozen"/>
      <selection pane="bottomLeft" activeCell="F196" sqref="F196"/>
    </sheetView>
  </sheetViews>
  <sheetFormatPr baseColWidth="10" defaultRowHeight="15" outlineLevelRow="2" x14ac:dyDescent="0.25"/>
  <cols>
    <col min="1" max="1" width="0.7109375" customWidth="1"/>
    <col min="2" max="2" width="2.7109375" style="124" customWidth="1"/>
    <col min="3" max="3" width="5" style="210" customWidth="1"/>
    <col min="4" max="4" width="15.5703125" style="101" customWidth="1"/>
    <col min="5" max="5" width="3.5703125" style="119" bestFit="1" customWidth="1"/>
    <col min="6" max="6" width="10.28515625" style="10" customWidth="1"/>
    <col min="7" max="7" width="22" customWidth="1"/>
    <col min="8" max="8" width="11.5703125" style="98" bestFit="1" customWidth="1"/>
    <col min="9" max="9" width="11.5703125" bestFit="1" customWidth="1"/>
    <col min="10" max="10" width="11.5703125" style="98" bestFit="1" customWidth="1"/>
    <col min="11" max="11" width="11.5703125" bestFit="1" customWidth="1"/>
    <col min="12" max="12" width="11.5703125" style="98" bestFit="1" customWidth="1"/>
    <col min="13" max="13" width="11.5703125" bestFit="1" customWidth="1"/>
    <col min="14" max="14" width="12.42578125" style="98" bestFit="1" customWidth="1"/>
    <col min="15" max="15" width="11.5703125" bestFit="1" customWidth="1"/>
    <col min="16" max="16" width="12.42578125" style="98" bestFit="1" customWidth="1"/>
    <col min="17" max="17" width="11.5703125" bestFit="1" customWidth="1"/>
    <col min="18" max="18" width="11.5703125" style="98" bestFit="1" customWidth="1"/>
    <col min="19" max="19" width="11.5703125" bestFit="1" customWidth="1"/>
    <col min="20" max="20" width="11.5703125" style="98" bestFit="1" customWidth="1"/>
    <col min="21" max="21" width="12.42578125" bestFit="1" customWidth="1"/>
    <col min="22" max="22" width="11.5703125" style="98" bestFit="1" customWidth="1"/>
    <col min="23" max="23" width="11.5703125" bestFit="1" customWidth="1"/>
    <col min="24" max="24" width="11.5703125" style="98" bestFit="1" customWidth="1"/>
    <col min="25" max="25" width="11.5703125" bestFit="1" customWidth="1"/>
    <col min="26" max="26" width="13.5703125" style="150" bestFit="1" customWidth="1"/>
    <col min="28" max="28" width="14.28515625" style="170" customWidth="1"/>
    <col min="29" max="30" width="11.42578125" style="168"/>
  </cols>
  <sheetData>
    <row r="1" spans="2:31" x14ac:dyDescent="0.25">
      <c r="B1" s="92" t="s">
        <v>174</v>
      </c>
      <c r="F1" s="413" t="s">
        <v>206</v>
      </c>
      <c r="H1" s="136">
        <v>4</v>
      </c>
      <c r="I1" s="79">
        <f>IF(H1=12,1,H1+1)</f>
        <v>5</v>
      </c>
      <c r="J1" s="96">
        <f t="shared" ref="J1:V1" si="0">IF(I1=12,1,I1+1)</f>
        <v>6</v>
      </c>
      <c r="K1" s="79">
        <f t="shared" si="0"/>
        <v>7</v>
      </c>
      <c r="L1" s="96">
        <f t="shared" si="0"/>
        <v>8</v>
      </c>
      <c r="M1" s="79">
        <f t="shared" si="0"/>
        <v>9</v>
      </c>
      <c r="N1" s="96">
        <f t="shared" si="0"/>
        <v>10</v>
      </c>
      <c r="O1" s="79">
        <f t="shared" si="0"/>
        <v>11</v>
      </c>
      <c r="P1" s="96">
        <f t="shared" si="0"/>
        <v>12</v>
      </c>
      <c r="Q1" s="79">
        <f t="shared" si="0"/>
        <v>1</v>
      </c>
      <c r="R1" s="96">
        <f t="shared" si="0"/>
        <v>2</v>
      </c>
      <c r="S1" s="79">
        <f t="shared" si="0"/>
        <v>3</v>
      </c>
      <c r="T1" s="96">
        <f t="shared" si="0"/>
        <v>4</v>
      </c>
      <c r="U1" s="79">
        <f t="shared" si="0"/>
        <v>5</v>
      </c>
      <c r="V1" s="96">
        <f t="shared" si="0"/>
        <v>6</v>
      </c>
      <c r="W1" s="79">
        <f>IF(V1=12,1,V1+1)</f>
        <v>7</v>
      </c>
      <c r="X1" s="96">
        <f>IF(W1=12,1,W1+1)</f>
        <v>8</v>
      </c>
      <c r="Y1" s="107">
        <f>IF(X1=12,1,X1+1)</f>
        <v>9</v>
      </c>
      <c r="Z1" s="1128" t="s">
        <v>52</v>
      </c>
      <c r="AB1" s="170" t="s">
        <v>118</v>
      </c>
      <c r="AC1" s="168" t="s">
        <v>106</v>
      </c>
      <c r="AD1" s="168" t="s">
        <v>40</v>
      </c>
      <c r="AE1" t="s">
        <v>40</v>
      </c>
    </row>
    <row r="2" spans="2:31" s="94" customFormat="1" x14ac:dyDescent="0.25">
      <c r="B2" s="125"/>
      <c r="C2" s="211"/>
      <c r="D2" s="102"/>
      <c r="E2" s="120"/>
      <c r="F2" s="276"/>
      <c r="H2" s="137">
        <v>2018</v>
      </c>
      <c r="I2" s="95">
        <f>IF(I1=1,H2+1,H2)</f>
        <v>2018</v>
      </c>
      <c r="J2" s="97">
        <f t="shared" ref="J2:V2" si="1">IF(J1=1,I2+1,I2)</f>
        <v>2018</v>
      </c>
      <c r="K2" s="95">
        <f t="shared" si="1"/>
        <v>2018</v>
      </c>
      <c r="L2" s="97">
        <f t="shared" si="1"/>
        <v>2018</v>
      </c>
      <c r="M2" s="95">
        <f t="shared" si="1"/>
        <v>2018</v>
      </c>
      <c r="N2" s="97">
        <f t="shared" si="1"/>
        <v>2018</v>
      </c>
      <c r="O2" s="95">
        <f t="shared" si="1"/>
        <v>2018</v>
      </c>
      <c r="P2" s="97">
        <f t="shared" si="1"/>
        <v>2018</v>
      </c>
      <c r="Q2" s="95">
        <f t="shared" si="1"/>
        <v>2019</v>
      </c>
      <c r="R2" s="97">
        <f t="shared" si="1"/>
        <v>2019</v>
      </c>
      <c r="S2" s="95">
        <f t="shared" si="1"/>
        <v>2019</v>
      </c>
      <c r="T2" s="97">
        <f t="shared" si="1"/>
        <v>2019</v>
      </c>
      <c r="U2" s="95">
        <f t="shared" si="1"/>
        <v>2019</v>
      </c>
      <c r="V2" s="97">
        <f t="shared" si="1"/>
        <v>2019</v>
      </c>
      <c r="W2" s="95">
        <f>IF(W1=1,V2+1,V2)</f>
        <v>2019</v>
      </c>
      <c r="X2" s="97">
        <f>IF(X1=1,W2+1,W2)</f>
        <v>2019</v>
      </c>
      <c r="Y2" s="95">
        <f>IF(Y1=1,X2+1,X2)</f>
        <v>2019</v>
      </c>
      <c r="Z2" s="1129"/>
      <c r="AB2" s="171"/>
      <c r="AC2" s="172"/>
      <c r="AD2" s="172"/>
    </row>
    <row r="3" spans="2:31" s="399" customFormat="1" ht="12" x14ac:dyDescent="0.2">
      <c r="C3" s="440"/>
      <c r="D3" s="400"/>
      <c r="E3" s="400"/>
      <c r="F3" s="414"/>
      <c r="H3" s="401">
        <f>DATE(H2,H1,1)</f>
        <v>43191</v>
      </c>
      <c r="I3" s="402">
        <f t="shared" ref="I3:Y3" si="2">DATE(I2,I1,1)</f>
        <v>43221</v>
      </c>
      <c r="J3" s="401">
        <f t="shared" si="2"/>
        <v>43252</v>
      </c>
      <c r="K3" s="402">
        <f t="shared" si="2"/>
        <v>43282</v>
      </c>
      <c r="L3" s="401">
        <f t="shared" si="2"/>
        <v>43313</v>
      </c>
      <c r="M3" s="402">
        <f t="shared" si="2"/>
        <v>43344</v>
      </c>
      <c r="N3" s="401">
        <f t="shared" si="2"/>
        <v>43374</v>
      </c>
      <c r="O3" s="402">
        <f t="shared" si="2"/>
        <v>43405</v>
      </c>
      <c r="P3" s="401">
        <f t="shared" si="2"/>
        <v>43435</v>
      </c>
      <c r="Q3" s="402">
        <f t="shared" si="2"/>
        <v>43466</v>
      </c>
      <c r="R3" s="401">
        <f t="shared" si="2"/>
        <v>43497</v>
      </c>
      <c r="S3" s="402">
        <f t="shared" si="2"/>
        <v>43525</v>
      </c>
      <c r="T3" s="401">
        <f t="shared" si="2"/>
        <v>43556</v>
      </c>
      <c r="U3" s="402">
        <f t="shared" si="2"/>
        <v>43586</v>
      </c>
      <c r="V3" s="401">
        <f t="shared" si="2"/>
        <v>43617</v>
      </c>
      <c r="W3" s="402">
        <f t="shared" si="2"/>
        <v>43647</v>
      </c>
      <c r="X3" s="401">
        <f t="shared" si="2"/>
        <v>43678</v>
      </c>
      <c r="Y3" s="402">
        <f t="shared" si="2"/>
        <v>43709</v>
      </c>
      <c r="Z3" s="403"/>
      <c r="AB3" s="404"/>
      <c r="AC3" s="405"/>
      <c r="AD3" s="405"/>
    </row>
    <row r="4" spans="2:31" x14ac:dyDescent="0.25">
      <c r="B4" s="165"/>
      <c r="C4" s="210" t="s">
        <v>37</v>
      </c>
      <c r="D4" s="381" t="s">
        <v>102</v>
      </c>
      <c r="E4" s="223">
        <f>MATCH(F4,Comercializacion_Granos_Cuentas[Cuenta Contable],0)</f>
        <v>4</v>
      </c>
      <c r="F4" s="415" t="s">
        <v>171</v>
      </c>
      <c r="G4" s="92"/>
      <c r="H4" s="99">
        <f>SUMPRODUCT(($C4=Comercial_Agricola[Movimiento])*(Comercial_Agricola[Financiero U$S Dólares])*($F4=Comercial_Agricola[Cuenta Contable])*(H$1=Comercial_Agricola[Mes Financiero])*(H$2=Comercial_Agricola[Año Financiero]))</f>
        <v>0</v>
      </c>
      <c r="I4" s="100">
        <f>SUMPRODUCT(($C4=Comercial_Agricola[Movimiento])*(Comercial_Agricola[Financiero U$S Dólares])*($F4=Comercial_Agricola[Cuenta Contable])*(I$1=Comercial_Agricola[Mes Financiero])*(I$2=Comercial_Agricola[Año Financiero]))</f>
        <v>0</v>
      </c>
      <c r="J4" s="99">
        <f>SUMPRODUCT(($C4=Comercial_Agricola[Movimiento])*(Comercial_Agricola[Financiero U$S Dólares])*($F4=Comercial_Agricola[Cuenta Contable])*(J$1=Comercial_Agricola[Mes Financiero])*(J$2=Comercial_Agricola[Año Financiero]))</f>
        <v>0</v>
      </c>
      <c r="K4" s="100">
        <f>SUMPRODUCT(($C4=Comercial_Agricola[Movimiento])*(Comercial_Agricola[Financiero U$S Dólares])*($F4=Comercial_Agricola[Cuenta Contable])*(K$1=Comercial_Agricola[Mes Financiero])*(K$2=Comercial_Agricola[Año Financiero]))</f>
        <v>0</v>
      </c>
      <c r="L4" s="99">
        <f>SUMPRODUCT(($C4=Comercial_Agricola[Movimiento])*(Comercial_Agricola[Financiero U$S Dólares])*($F4=Comercial_Agricola[Cuenta Contable])*(L$1=Comercial_Agricola[Mes Financiero])*(L$2=Comercial_Agricola[Año Financiero]))</f>
        <v>0</v>
      </c>
      <c r="M4" s="100">
        <f>SUMPRODUCT(($C4=Comercial_Agricola[Movimiento])*(Comercial_Agricola[Financiero U$S Dólares])*($F4=Comercial_Agricola[Cuenta Contable])*(M$1=Comercial_Agricola[Mes Financiero])*(M$2=Comercial_Agricola[Año Financiero]))</f>
        <v>0</v>
      </c>
      <c r="N4" s="99">
        <f>SUMPRODUCT(($C4=Comercial_Agricola[Movimiento])*(Comercial_Agricola[Financiero U$S Dólares])*($F4=Comercial_Agricola[Cuenta Contable])*(N$1=Comercial_Agricola[Mes Financiero])*(N$2=Comercial_Agricola[Año Financiero]))</f>
        <v>0</v>
      </c>
      <c r="O4" s="100">
        <f>SUMPRODUCT(($C4=Comercial_Agricola[Movimiento])*(Comercial_Agricola[Financiero U$S Dólares])*($F4=Comercial_Agricola[Cuenta Contable])*(O$1=Comercial_Agricola[Mes Financiero])*(O$2=Comercial_Agricola[Año Financiero]))</f>
        <v>0</v>
      </c>
      <c r="P4" s="99">
        <f>SUMPRODUCT(($C4=Comercial_Agricola[Movimiento])*(Comercial_Agricola[Financiero U$S Dólares])*($F4=Comercial_Agricola[Cuenta Contable])*(P$1=Comercial_Agricola[Mes Financiero])*(P$2=Comercial_Agricola[Año Financiero]))</f>
        <v>0</v>
      </c>
      <c r="Q4" s="100">
        <f>SUMPRODUCT(($C4=Comercial_Agricola[Movimiento])*(Comercial_Agricola[Financiero U$S Dólares])*($F4=Comercial_Agricola[Cuenta Contable])*(Q$1=Comercial_Agricola[Mes Financiero])*(Q$2=Comercial_Agricola[Año Financiero]))</f>
        <v>0</v>
      </c>
      <c r="R4" s="99">
        <f>SUMPRODUCT(($C4=Comercial_Agricola[Movimiento])*(Comercial_Agricola[Financiero U$S Dólares])*($F4=Comercial_Agricola[Cuenta Contable])*(R$1=Comercial_Agricola[Mes Financiero])*(R$2=Comercial_Agricola[Año Financiero]))</f>
        <v>0</v>
      </c>
      <c r="S4" s="100">
        <f>SUMPRODUCT(($C4=Comercial_Agricola[Movimiento])*(Comercial_Agricola[Financiero U$S Dólares])*($F4=Comercial_Agricola[Cuenta Contable])*(S$1=Comercial_Agricola[Mes Financiero])*(S$2=Comercial_Agricola[Año Financiero]))</f>
        <v>0</v>
      </c>
      <c r="T4" s="99">
        <f>SUMPRODUCT(($C4=Comercial_Agricola[Movimiento])*(Comercial_Agricola[Financiero U$S Dólares])*($F4=Comercial_Agricola[Cuenta Contable])*(T$1=Comercial_Agricola[Mes Financiero])*(T$2=Comercial_Agricola[Año Financiero]))</f>
        <v>0</v>
      </c>
      <c r="U4" s="100">
        <f>SUMPRODUCT(($C4=Comercial_Agricola[Movimiento])*(Comercial_Agricola[Financiero U$S Dólares])*($F4=Comercial_Agricola[Cuenta Contable])*(U$1=Comercial_Agricola[Mes Financiero])*(U$2=Comercial_Agricola[Año Financiero]))</f>
        <v>0</v>
      </c>
      <c r="V4" s="99">
        <f>SUMPRODUCT(($C4=Comercial_Agricola[Movimiento])*(Comercial_Agricola[Financiero U$S Dólares])*($F4=Comercial_Agricola[Cuenta Contable])*(V$1=Comercial_Agricola[Mes Financiero])*(V$2=Comercial_Agricola[Año Financiero]))</f>
        <v>0</v>
      </c>
      <c r="W4" s="100">
        <f>SUMPRODUCT(($C4=Comercial_Agricola[Movimiento])*(Comercial_Agricola[Financiero U$S Dólares])*($F4=Comercial_Agricola[Cuenta Contable])*(W$1=Comercial_Agricola[Mes Financiero])*(W$2=Comercial_Agricola[Año Financiero]))</f>
        <v>0</v>
      </c>
      <c r="X4" s="99">
        <f>SUMPRODUCT(($C4=Comercial_Agricola[Movimiento])*(Comercial_Agricola[Financiero U$S Dólares])*($F4=Comercial_Agricola[Cuenta Contable])*(X$1=Comercial_Agricola[Mes Financiero])*(X$2=Comercial_Agricola[Año Financiero]))</f>
        <v>0</v>
      </c>
      <c r="Y4" s="100">
        <f>SUMPRODUCT(($C4=Comercial_Agricola[Movimiento])*(Comercial_Agricola[Financiero U$S Dólares])*($F4=Comercial_Agricola[Cuenta Contable])*(Y$1=Comercial_Agricola[Mes Financiero])*(Y$2=Comercial_Agricola[Año Financiero]))</f>
        <v>0</v>
      </c>
      <c r="Z4" s="139">
        <f>SUM(H4:Y4)</f>
        <v>0</v>
      </c>
      <c r="AB4" s="170" t="b">
        <f>Z4=SUM(Z5:Z14)</f>
        <v>1</v>
      </c>
      <c r="AC4" s="281">
        <f>SUMPRODUCT((F4=Comercializacion_Granos_Cuentas[Cuenta Contable])*(Comercializacion_Granos_Cuentas[IVA Financiero]))</f>
        <v>2.5000000000000001E-2</v>
      </c>
      <c r="AD4" s="281">
        <v>0.01</v>
      </c>
    </row>
    <row r="5" spans="2:31" ht="15" hidden="1" customHeight="1" outlineLevel="1" x14ac:dyDescent="0.25">
      <c r="B5" s="165"/>
      <c r="F5" s="215">
        <f>IFERROR(MATCH('Financiero U$S'!G5,Tabla811[Producto],0),0)</f>
        <v>1</v>
      </c>
      <c r="G5" s="407" t="str">
        <f>Configuración!AN5</f>
        <v>Soja</v>
      </c>
      <c r="H5" s="117">
        <f>SUMPRODUCT(($C$4=Comercial_Agricola[Movimiento])*(Comercial_Agricola[Financiero U$S Dólares])*($G5=Comercial_Agricola[Producto])*(H$1=Comercial_Agricola[Mes Financiero])*(H$2=Comercial_Agricola[Año Financiero]))</f>
        <v>0</v>
      </c>
      <c r="I5" s="118">
        <f>SUMPRODUCT(($C$4=Comercial_Agricola[Movimiento])*(Comercial_Agricola[Financiero U$S Dólares])*($G5=Comercial_Agricola[Producto])*(I$1=Comercial_Agricola[Mes Financiero])*(I$2=Comercial_Agricola[Año Financiero]))</f>
        <v>0</v>
      </c>
      <c r="J5" s="117">
        <f>SUMPRODUCT(($C$4=Comercial_Agricola[Movimiento])*(Comercial_Agricola[Financiero U$S Dólares])*($G5=Comercial_Agricola[Producto])*(J$1=Comercial_Agricola[Mes Financiero])*(J$2=Comercial_Agricola[Año Financiero]))</f>
        <v>0</v>
      </c>
      <c r="K5" s="118">
        <f>SUMPRODUCT(($C$4=Comercial_Agricola[Movimiento])*(Comercial_Agricola[Financiero U$S Dólares])*($G5=Comercial_Agricola[Producto])*(K$1=Comercial_Agricola[Mes Financiero])*(K$2=Comercial_Agricola[Año Financiero]))</f>
        <v>0</v>
      </c>
      <c r="L5" s="117">
        <f>SUMPRODUCT(($C$4=Comercial_Agricola[Movimiento])*(Comercial_Agricola[Financiero U$S Dólares])*($G5=Comercial_Agricola[Producto])*(L$1=Comercial_Agricola[Mes Financiero])*(L$2=Comercial_Agricola[Año Financiero]))</f>
        <v>0</v>
      </c>
      <c r="M5" s="118">
        <f>SUMPRODUCT(($C$4=Comercial_Agricola[Movimiento])*(Comercial_Agricola[Financiero U$S Dólares])*($G5=Comercial_Agricola[Producto])*(M$1=Comercial_Agricola[Mes Financiero])*(M$2=Comercial_Agricola[Año Financiero]))</f>
        <v>0</v>
      </c>
      <c r="N5" s="117">
        <f>SUMPRODUCT(($C$4=Comercial_Agricola[Movimiento])*(Comercial_Agricola[Financiero U$S Dólares])*($G5=Comercial_Agricola[Producto])*(N$1=Comercial_Agricola[Mes Financiero])*(N$2=Comercial_Agricola[Año Financiero]))</f>
        <v>0</v>
      </c>
      <c r="O5" s="118">
        <f>SUMPRODUCT(($C$4=Comercial_Agricola[Movimiento])*(Comercial_Agricola[Financiero U$S Dólares])*($G5=Comercial_Agricola[Producto])*(O$1=Comercial_Agricola[Mes Financiero])*(O$2=Comercial_Agricola[Año Financiero]))</f>
        <v>0</v>
      </c>
      <c r="P5" s="117">
        <f>SUMPRODUCT(($C$4=Comercial_Agricola[Movimiento])*(Comercial_Agricola[Financiero U$S Dólares])*($G5=Comercial_Agricola[Producto])*(P$1=Comercial_Agricola[Mes Financiero])*(P$2=Comercial_Agricola[Año Financiero]))</f>
        <v>0</v>
      </c>
      <c r="Q5" s="118">
        <f>SUMPRODUCT(($C$4=Comercial_Agricola[Movimiento])*(Comercial_Agricola[Financiero U$S Dólares])*($G5=Comercial_Agricola[Producto])*(Q$1=Comercial_Agricola[Mes Financiero])*(Q$2=Comercial_Agricola[Año Financiero]))</f>
        <v>0</v>
      </c>
      <c r="R5" s="117">
        <f>SUMPRODUCT(($C$4=Comercial_Agricola[Movimiento])*(Comercial_Agricola[Financiero U$S Dólares])*($G5=Comercial_Agricola[Producto])*(R$1=Comercial_Agricola[Mes Financiero])*(R$2=Comercial_Agricola[Año Financiero]))</f>
        <v>0</v>
      </c>
      <c r="S5" s="118">
        <f>SUMPRODUCT(($C$4=Comercial_Agricola[Movimiento])*(Comercial_Agricola[Financiero U$S Dólares])*($G5=Comercial_Agricola[Producto])*(S$1=Comercial_Agricola[Mes Financiero])*(S$2=Comercial_Agricola[Año Financiero]))</f>
        <v>0</v>
      </c>
      <c r="T5" s="117">
        <f>SUMPRODUCT(($C$4=Comercial_Agricola[Movimiento])*(Comercial_Agricola[Financiero U$S Dólares])*($G5=Comercial_Agricola[Producto])*(T$1=Comercial_Agricola[Mes Financiero])*(T$2=Comercial_Agricola[Año Financiero]))</f>
        <v>0</v>
      </c>
      <c r="U5" s="118">
        <f>SUMPRODUCT(($C$4=Comercial_Agricola[Movimiento])*(Comercial_Agricola[Financiero U$S Dólares])*($G5=Comercial_Agricola[Producto])*(U$1=Comercial_Agricola[Mes Financiero])*(U$2=Comercial_Agricola[Año Financiero]))</f>
        <v>0</v>
      </c>
      <c r="V5" s="117">
        <f>SUMPRODUCT(($C$4=Comercial_Agricola[Movimiento])*(Comercial_Agricola[Financiero U$S Dólares])*($G5=Comercial_Agricola[Producto])*(V$1=Comercial_Agricola[Mes Financiero])*(V$2=Comercial_Agricola[Año Financiero]))</f>
        <v>0</v>
      </c>
      <c r="W5" s="118">
        <f>SUMPRODUCT(($C$4=Comercial_Agricola[Movimiento])*(Comercial_Agricola[Financiero U$S Dólares])*($G5=Comercial_Agricola[Producto])*(W$1=Comercial_Agricola[Mes Financiero])*(W$2=Comercial_Agricola[Año Financiero]))</f>
        <v>0</v>
      </c>
      <c r="X5" s="117">
        <f>SUMPRODUCT(($C$4=Comercial_Agricola[Movimiento])*(Comercial_Agricola[Financiero U$S Dólares])*($G5=Comercial_Agricola[Producto])*(X$1=Comercial_Agricola[Mes Financiero])*(X$2=Comercial_Agricola[Año Financiero]))</f>
        <v>0</v>
      </c>
      <c r="Y5" s="118">
        <f>SUMPRODUCT(($C$4=Comercial_Agricola[Movimiento])*(Comercial_Agricola[Financiero U$S Dólares])*($G5=Comercial_Agricola[Producto])*(Y$1=Comercial_Agricola[Mes Financiero])*(Y$2=Comercial_Agricola[Año Financiero]))</f>
        <v>0</v>
      </c>
      <c r="Z5" s="140">
        <f>SUM(H5:Y5)</f>
        <v>0</v>
      </c>
    </row>
    <row r="6" spans="2:31" hidden="1" outlineLevel="1" x14ac:dyDescent="0.25">
      <c r="B6" s="165"/>
      <c r="F6" s="215">
        <f>IFERROR(MATCH('Financiero U$S'!G6,Tabla811[Producto],0),0)</f>
        <v>2</v>
      </c>
      <c r="G6" s="407" t="str">
        <f>Configuración!AN6</f>
        <v>Maíz</v>
      </c>
      <c r="H6" s="117">
        <f>SUMPRODUCT(($C$4=Comercial_Agricola[Movimiento])*(Comercial_Agricola[Financiero U$S Dólares])*($G6=Comercial_Agricola[Producto])*(H$1=Comercial_Agricola[Mes Financiero])*(H$2=Comercial_Agricola[Año Financiero]))</f>
        <v>0</v>
      </c>
      <c r="I6" s="118">
        <f>SUMPRODUCT(($C$4=Comercial_Agricola[Movimiento])*(Comercial_Agricola[Financiero U$S Dólares])*($G6=Comercial_Agricola[Producto])*(I$1=Comercial_Agricola[Mes Financiero])*(I$2=Comercial_Agricola[Año Financiero]))</f>
        <v>0</v>
      </c>
      <c r="J6" s="117">
        <f>SUMPRODUCT(($C$4=Comercial_Agricola[Movimiento])*(Comercial_Agricola[Financiero U$S Dólares])*($G6=Comercial_Agricola[Producto])*(J$1=Comercial_Agricola[Mes Financiero])*(J$2=Comercial_Agricola[Año Financiero]))</f>
        <v>0</v>
      </c>
      <c r="K6" s="118">
        <f>SUMPRODUCT(($C$4=Comercial_Agricola[Movimiento])*(Comercial_Agricola[Financiero U$S Dólares])*($G6=Comercial_Agricola[Producto])*(K$1=Comercial_Agricola[Mes Financiero])*(K$2=Comercial_Agricola[Año Financiero]))</f>
        <v>0</v>
      </c>
      <c r="L6" s="117">
        <f>SUMPRODUCT(($C$4=Comercial_Agricola[Movimiento])*(Comercial_Agricola[Financiero U$S Dólares])*($G6=Comercial_Agricola[Producto])*(L$1=Comercial_Agricola[Mes Financiero])*(L$2=Comercial_Agricola[Año Financiero]))</f>
        <v>0</v>
      </c>
      <c r="M6" s="118">
        <f>SUMPRODUCT(($C$4=Comercial_Agricola[Movimiento])*(Comercial_Agricola[Financiero U$S Dólares])*($G6=Comercial_Agricola[Producto])*(M$1=Comercial_Agricola[Mes Financiero])*(M$2=Comercial_Agricola[Año Financiero]))</f>
        <v>0</v>
      </c>
      <c r="N6" s="117">
        <f>SUMPRODUCT(($C$4=Comercial_Agricola[Movimiento])*(Comercial_Agricola[Financiero U$S Dólares])*($G6=Comercial_Agricola[Producto])*(N$1=Comercial_Agricola[Mes Financiero])*(N$2=Comercial_Agricola[Año Financiero]))</f>
        <v>0</v>
      </c>
      <c r="O6" s="118">
        <f>SUMPRODUCT(($C$4=Comercial_Agricola[Movimiento])*(Comercial_Agricola[Financiero U$S Dólares])*($G6=Comercial_Agricola[Producto])*(O$1=Comercial_Agricola[Mes Financiero])*(O$2=Comercial_Agricola[Año Financiero]))</f>
        <v>0</v>
      </c>
      <c r="P6" s="117">
        <f>SUMPRODUCT(($C$4=Comercial_Agricola[Movimiento])*(Comercial_Agricola[Financiero U$S Dólares])*($G6=Comercial_Agricola[Producto])*(P$1=Comercial_Agricola[Mes Financiero])*(P$2=Comercial_Agricola[Año Financiero]))</f>
        <v>0</v>
      </c>
      <c r="Q6" s="118">
        <f>SUMPRODUCT(($C$4=Comercial_Agricola[Movimiento])*(Comercial_Agricola[Financiero U$S Dólares])*($G6=Comercial_Agricola[Producto])*(Q$1=Comercial_Agricola[Mes Financiero])*(Q$2=Comercial_Agricola[Año Financiero]))</f>
        <v>0</v>
      </c>
      <c r="R6" s="117">
        <f>SUMPRODUCT(($C$4=Comercial_Agricola[Movimiento])*(Comercial_Agricola[Financiero U$S Dólares])*($G6=Comercial_Agricola[Producto])*(R$1=Comercial_Agricola[Mes Financiero])*(R$2=Comercial_Agricola[Año Financiero]))</f>
        <v>0</v>
      </c>
      <c r="S6" s="118">
        <f>SUMPRODUCT(($C$4=Comercial_Agricola[Movimiento])*(Comercial_Agricola[Financiero U$S Dólares])*($G6=Comercial_Agricola[Producto])*(S$1=Comercial_Agricola[Mes Financiero])*(S$2=Comercial_Agricola[Año Financiero]))</f>
        <v>0</v>
      </c>
      <c r="T6" s="117">
        <f>SUMPRODUCT(($C$4=Comercial_Agricola[Movimiento])*(Comercial_Agricola[Financiero U$S Dólares])*($G6=Comercial_Agricola[Producto])*(T$1=Comercial_Agricola[Mes Financiero])*(T$2=Comercial_Agricola[Año Financiero]))</f>
        <v>0</v>
      </c>
      <c r="U6" s="118">
        <f>SUMPRODUCT(($C$4=Comercial_Agricola[Movimiento])*(Comercial_Agricola[Financiero U$S Dólares])*($G6=Comercial_Agricola[Producto])*(U$1=Comercial_Agricola[Mes Financiero])*(U$2=Comercial_Agricola[Año Financiero]))</f>
        <v>0</v>
      </c>
      <c r="V6" s="117">
        <f>SUMPRODUCT(($C$4=Comercial_Agricola[Movimiento])*(Comercial_Agricola[Financiero U$S Dólares])*($G6=Comercial_Agricola[Producto])*(V$1=Comercial_Agricola[Mes Financiero])*(V$2=Comercial_Agricola[Año Financiero]))</f>
        <v>0</v>
      </c>
      <c r="W6" s="118">
        <f>SUMPRODUCT(($C$4=Comercial_Agricola[Movimiento])*(Comercial_Agricola[Financiero U$S Dólares])*($G6=Comercial_Agricola[Producto])*(W$1=Comercial_Agricola[Mes Financiero])*(W$2=Comercial_Agricola[Año Financiero]))</f>
        <v>0</v>
      </c>
      <c r="X6" s="117">
        <f>SUMPRODUCT(($C$4=Comercial_Agricola[Movimiento])*(Comercial_Agricola[Financiero U$S Dólares])*($G6=Comercial_Agricola[Producto])*(X$1=Comercial_Agricola[Mes Financiero])*(X$2=Comercial_Agricola[Año Financiero]))</f>
        <v>0</v>
      </c>
      <c r="Y6" s="118">
        <f>SUMPRODUCT(($C$4=Comercial_Agricola[Movimiento])*(Comercial_Agricola[Financiero U$S Dólares])*($G6=Comercial_Agricola[Producto])*(Y$1=Comercial_Agricola[Mes Financiero])*(Y$2=Comercial_Agricola[Año Financiero]))</f>
        <v>0</v>
      </c>
      <c r="Z6" s="140">
        <f t="shared" ref="Z6:Z116" si="3">SUM(H6:Y6)</f>
        <v>0</v>
      </c>
    </row>
    <row r="7" spans="2:31" hidden="1" outlineLevel="1" x14ac:dyDescent="0.25">
      <c r="B7" s="165"/>
      <c r="F7" s="215">
        <f>IFERROR(MATCH('Financiero U$S'!G7,Tabla811[Producto],0),0)</f>
        <v>3</v>
      </c>
      <c r="G7" s="407" t="str">
        <f>Configuración!AN7</f>
        <v>Girasol</v>
      </c>
      <c r="H7" s="117">
        <f>SUMPRODUCT(($C$4=Comercial_Agricola[Movimiento])*(Comercial_Agricola[Financiero U$S Dólares])*($G7=Comercial_Agricola[Producto])*(H$1=Comercial_Agricola[Mes Financiero])*(H$2=Comercial_Agricola[Año Financiero]))</f>
        <v>0</v>
      </c>
      <c r="I7" s="118">
        <f>SUMPRODUCT(($C$4=Comercial_Agricola[Movimiento])*(Comercial_Agricola[Financiero U$S Dólares])*($G7=Comercial_Agricola[Producto])*(I$1=Comercial_Agricola[Mes Financiero])*(I$2=Comercial_Agricola[Año Financiero]))</f>
        <v>0</v>
      </c>
      <c r="J7" s="117">
        <f>SUMPRODUCT(($C$4=Comercial_Agricola[Movimiento])*(Comercial_Agricola[Financiero U$S Dólares])*($G7=Comercial_Agricola[Producto])*(J$1=Comercial_Agricola[Mes Financiero])*(J$2=Comercial_Agricola[Año Financiero]))</f>
        <v>0</v>
      </c>
      <c r="K7" s="118">
        <f>SUMPRODUCT(($C$4=Comercial_Agricola[Movimiento])*(Comercial_Agricola[Financiero U$S Dólares])*($G7=Comercial_Agricola[Producto])*(K$1=Comercial_Agricola[Mes Financiero])*(K$2=Comercial_Agricola[Año Financiero]))</f>
        <v>0</v>
      </c>
      <c r="L7" s="117">
        <f>SUMPRODUCT(($C$4=Comercial_Agricola[Movimiento])*(Comercial_Agricola[Financiero U$S Dólares])*($G7=Comercial_Agricola[Producto])*(L$1=Comercial_Agricola[Mes Financiero])*(L$2=Comercial_Agricola[Año Financiero]))</f>
        <v>0</v>
      </c>
      <c r="M7" s="118">
        <f>SUMPRODUCT(($C$4=Comercial_Agricola[Movimiento])*(Comercial_Agricola[Financiero U$S Dólares])*($G7=Comercial_Agricola[Producto])*(M$1=Comercial_Agricola[Mes Financiero])*(M$2=Comercial_Agricola[Año Financiero]))</f>
        <v>0</v>
      </c>
      <c r="N7" s="117">
        <f>SUMPRODUCT(($C$4=Comercial_Agricola[Movimiento])*(Comercial_Agricola[Financiero U$S Dólares])*($G7=Comercial_Agricola[Producto])*(N$1=Comercial_Agricola[Mes Financiero])*(N$2=Comercial_Agricola[Año Financiero]))</f>
        <v>0</v>
      </c>
      <c r="O7" s="118">
        <f>SUMPRODUCT(($C$4=Comercial_Agricola[Movimiento])*(Comercial_Agricola[Financiero U$S Dólares])*($G7=Comercial_Agricola[Producto])*(O$1=Comercial_Agricola[Mes Financiero])*(O$2=Comercial_Agricola[Año Financiero]))</f>
        <v>0</v>
      </c>
      <c r="P7" s="117">
        <f>SUMPRODUCT(($C$4=Comercial_Agricola[Movimiento])*(Comercial_Agricola[Financiero U$S Dólares])*($G7=Comercial_Agricola[Producto])*(P$1=Comercial_Agricola[Mes Financiero])*(P$2=Comercial_Agricola[Año Financiero]))</f>
        <v>0</v>
      </c>
      <c r="Q7" s="118">
        <f>SUMPRODUCT(($C$4=Comercial_Agricola[Movimiento])*(Comercial_Agricola[Financiero U$S Dólares])*($G7=Comercial_Agricola[Producto])*(Q$1=Comercial_Agricola[Mes Financiero])*(Q$2=Comercial_Agricola[Año Financiero]))</f>
        <v>0</v>
      </c>
      <c r="R7" s="117">
        <f>SUMPRODUCT(($C$4=Comercial_Agricola[Movimiento])*(Comercial_Agricola[Financiero U$S Dólares])*($G7=Comercial_Agricola[Producto])*(R$1=Comercial_Agricola[Mes Financiero])*(R$2=Comercial_Agricola[Año Financiero]))</f>
        <v>0</v>
      </c>
      <c r="S7" s="118">
        <f>SUMPRODUCT(($C$4=Comercial_Agricola[Movimiento])*(Comercial_Agricola[Financiero U$S Dólares])*($G7=Comercial_Agricola[Producto])*(S$1=Comercial_Agricola[Mes Financiero])*(S$2=Comercial_Agricola[Año Financiero]))</f>
        <v>0</v>
      </c>
      <c r="T7" s="117">
        <f>SUMPRODUCT(($C$4=Comercial_Agricola[Movimiento])*(Comercial_Agricola[Financiero U$S Dólares])*($G7=Comercial_Agricola[Producto])*(T$1=Comercial_Agricola[Mes Financiero])*(T$2=Comercial_Agricola[Año Financiero]))</f>
        <v>0</v>
      </c>
      <c r="U7" s="118">
        <f>SUMPRODUCT(($C$4=Comercial_Agricola[Movimiento])*(Comercial_Agricola[Financiero U$S Dólares])*($G7=Comercial_Agricola[Producto])*(U$1=Comercial_Agricola[Mes Financiero])*(U$2=Comercial_Agricola[Año Financiero]))</f>
        <v>0</v>
      </c>
      <c r="V7" s="117">
        <f>SUMPRODUCT(($C$4=Comercial_Agricola[Movimiento])*(Comercial_Agricola[Financiero U$S Dólares])*($G7=Comercial_Agricola[Producto])*(V$1=Comercial_Agricola[Mes Financiero])*(V$2=Comercial_Agricola[Año Financiero]))</f>
        <v>0</v>
      </c>
      <c r="W7" s="118">
        <f>SUMPRODUCT(($C$4=Comercial_Agricola[Movimiento])*(Comercial_Agricola[Financiero U$S Dólares])*($G7=Comercial_Agricola[Producto])*(W$1=Comercial_Agricola[Mes Financiero])*(W$2=Comercial_Agricola[Año Financiero]))</f>
        <v>0</v>
      </c>
      <c r="X7" s="117">
        <f>SUMPRODUCT(($C$4=Comercial_Agricola[Movimiento])*(Comercial_Agricola[Financiero U$S Dólares])*($G7=Comercial_Agricola[Producto])*(X$1=Comercial_Agricola[Mes Financiero])*(X$2=Comercial_Agricola[Año Financiero]))</f>
        <v>0</v>
      </c>
      <c r="Y7" s="118">
        <f>SUMPRODUCT(($C$4=Comercial_Agricola[Movimiento])*(Comercial_Agricola[Financiero U$S Dólares])*($G7=Comercial_Agricola[Producto])*(Y$1=Comercial_Agricola[Mes Financiero])*(Y$2=Comercial_Agricola[Año Financiero]))</f>
        <v>0</v>
      </c>
      <c r="Z7" s="140">
        <f t="shared" si="3"/>
        <v>0</v>
      </c>
    </row>
    <row r="8" spans="2:31" hidden="1" outlineLevel="1" x14ac:dyDescent="0.25">
      <c r="B8" s="165"/>
      <c r="F8" s="215">
        <f>IFERROR(MATCH('Financiero U$S'!G8,Tabla811[Producto],0),0)</f>
        <v>4</v>
      </c>
      <c r="G8" s="407" t="str">
        <f>Configuración!AN8</f>
        <v>Trigo</v>
      </c>
      <c r="H8" s="117">
        <f>SUMPRODUCT(($C$4=Comercial_Agricola[Movimiento])*(Comercial_Agricola[Financiero U$S Dólares])*($G8=Comercial_Agricola[Producto])*(H$1=Comercial_Agricola[Mes Financiero])*(H$2=Comercial_Agricola[Año Financiero]))</f>
        <v>0</v>
      </c>
      <c r="I8" s="118">
        <f>SUMPRODUCT(($C$4=Comercial_Agricola[Movimiento])*(Comercial_Agricola[Financiero U$S Dólares])*($G8=Comercial_Agricola[Producto])*(I$1=Comercial_Agricola[Mes Financiero])*(I$2=Comercial_Agricola[Año Financiero]))</f>
        <v>0</v>
      </c>
      <c r="J8" s="117">
        <f>SUMPRODUCT(($C$4=Comercial_Agricola[Movimiento])*(Comercial_Agricola[Financiero U$S Dólares])*($G8=Comercial_Agricola[Producto])*(J$1=Comercial_Agricola[Mes Financiero])*(J$2=Comercial_Agricola[Año Financiero]))</f>
        <v>0</v>
      </c>
      <c r="K8" s="118">
        <f>SUMPRODUCT(($C$4=Comercial_Agricola[Movimiento])*(Comercial_Agricola[Financiero U$S Dólares])*($G8=Comercial_Agricola[Producto])*(K$1=Comercial_Agricola[Mes Financiero])*(K$2=Comercial_Agricola[Año Financiero]))</f>
        <v>0</v>
      </c>
      <c r="L8" s="117">
        <f>SUMPRODUCT(($C$4=Comercial_Agricola[Movimiento])*(Comercial_Agricola[Financiero U$S Dólares])*($G8=Comercial_Agricola[Producto])*(L$1=Comercial_Agricola[Mes Financiero])*(L$2=Comercial_Agricola[Año Financiero]))</f>
        <v>0</v>
      </c>
      <c r="M8" s="118">
        <f>SUMPRODUCT(($C$4=Comercial_Agricola[Movimiento])*(Comercial_Agricola[Financiero U$S Dólares])*($G8=Comercial_Agricola[Producto])*(M$1=Comercial_Agricola[Mes Financiero])*(M$2=Comercial_Agricola[Año Financiero]))</f>
        <v>0</v>
      </c>
      <c r="N8" s="117">
        <f>SUMPRODUCT(($C$4=Comercial_Agricola[Movimiento])*(Comercial_Agricola[Financiero U$S Dólares])*($G8=Comercial_Agricola[Producto])*(N$1=Comercial_Agricola[Mes Financiero])*(N$2=Comercial_Agricola[Año Financiero]))</f>
        <v>0</v>
      </c>
      <c r="O8" s="118">
        <f>SUMPRODUCT(($C$4=Comercial_Agricola[Movimiento])*(Comercial_Agricola[Financiero U$S Dólares])*($G8=Comercial_Agricola[Producto])*(O$1=Comercial_Agricola[Mes Financiero])*(O$2=Comercial_Agricola[Año Financiero]))</f>
        <v>0</v>
      </c>
      <c r="P8" s="117">
        <f>SUMPRODUCT(($C$4=Comercial_Agricola[Movimiento])*(Comercial_Agricola[Financiero U$S Dólares])*($G8=Comercial_Agricola[Producto])*(P$1=Comercial_Agricola[Mes Financiero])*(P$2=Comercial_Agricola[Año Financiero]))</f>
        <v>0</v>
      </c>
      <c r="Q8" s="118">
        <f>SUMPRODUCT(($C$4=Comercial_Agricola[Movimiento])*(Comercial_Agricola[Financiero U$S Dólares])*($G8=Comercial_Agricola[Producto])*(Q$1=Comercial_Agricola[Mes Financiero])*(Q$2=Comercial_Agricola[Año Financiero]))</f>
        <v>0</v>
      </c>
      <c r="R8" s="117">
        <f>SUMPRODUCT(($C$4=Comercial_Agricola[Movimiento])*(Comercial_Agricola[Financiero U$S Dólares])*($G8=Comercial_Agricola[Producto])*(R$1=Comercial_Agricola[Mes Financiero])*(R$2=Comercial_Agricola[Año Financiero]))</f>
        <v>0</v>
      </c>
      <c r="S8" s="118">
        <f>SUMPRODUCT(($C$4=Comercial_Agricola[Movimiento])*(Comercial_Agricola[Financiero U$S Dólares])*($G8=Comercial_Agricola[Producto])*(S$1=Comercial_Agricola[Mes Financiero])*(S$2=Comercial_Agricola[Año Financiero]))</f>
        <v>0</v>
      </c>
      <c r="T8" s="117">
        <f>SUMPRODUCT(($C$4=Comercial_Agricola[Movimiento])*(Comercial_Agricola[Financiero U$S Dólares])*($G8=Comercial_Agricola[Producto])*(T$1=Comercial_Agricola[Mes Financiero])*(T$2=Comercial_Agricola[Año Financiero]))</f>
        <v>0</v>
      </c>
      <c r="U8" s="118">
        <f>SUMPRODUCT(($C$4=Comercial_Agricola[Movimiento])*(Comercial_Agricola[Financiero U$S Dólares])*($G8=Comercial_Agricola[Producto])*(U$1=Comercial_Agricola[Mes Financiero])*(U$2=Comercial_Agricola[Año Financiero]))</f>
        <v>0</v>
      </c>
      <c r="V8" s="117">
        <f>SUMPRODUCT(($C$4=Comercial_Agricola[Movimiento])*(Comercial_Agricola[Financiero U$S Dólares])*($G8=Comercial_Agricola[Producto])*(V$1=Comercial_Agricola[Mes Financiero])*(V$2=Comercial_Agricola[Año Financiero]))</f>
        <v>0</v>
      </c>
      <c r="W8" s="118">
        <f>SUMPRODUCT(($C$4=Comercial_Agricola[Movimiento])*(Comercial_Agricola[Financiero U$S Dólares])*($G8=Comercial_Agricola[Producto])*(W$1=Comercial_Agricola[Mes Financiero])*(W$2=Comercial_Agricola[Año Financiero]))</f>
        <v>0</v>
      </c>
      <c r="X8" s="117">
        <f>SUMPRODUCT(($C$4=Comercial_Agricola[Movimiento])*(Comercial_Agricola[Financiero U$S Dólares])*($G8=Comercial_Agricola[Producto])*(X$1=Comercial_Agricola[Mes Financiero])*(X$2=Comercial_Agricola[Año Financiero]))</f>
        <v>0</v>
      </c>
      <c r="Y8" s="118">
        <f>SUMPRODUCT(($C$4=Comercial_Agricola[Movimiento])*(Comercial_Agricola[Financiero U$S Dólares])*($G8=Comercial_Agricola[Producto])*(Y$1=Comercial_Agricola[Mes Financiero])*(Y$2=Comercial_Agricola[Año Financiero]))</f>
        <v>0</v>
      </c>
      <c r="Z8" s="140">
        <f t="shared" si="3"/>
        <v>0</v>
      </c>
    </row>
    <row r="9" spans="2:31" hidden="1" outlineLevel="1" x14ac:dyDescent="0.25">
      <c r="B9" s="165"/>
      <c r="F9" s="215">
        <f>IFERROR(MATCH('Financiero U$S'!G9,Tabla811[Producto],0),0)</f>
        <v>5</v>
      </c>
      <c r="G9" s="407" t="str">
        <f>Configuración!AN9</f>
        <v>Cebada</v>
      </c>
      <c r="H9" s="117">
        <f>SUMPRODUCT(($C$4=Comercial_Agricola[Movimiento])*(Comercial_Agricola[Financiero U$S Dólares])*($G9=Comercial_Agricola[Producto])*(H$1=Comercial_Agricola[Mes Financiero])*(H$2=Comercial_Agricola[Año Financiero]))</f>
        <v>0</v>
      </c>
      <c r="I9" s="118">
        <f>SUMPRODUCT(($C$4=Comercial_Agricola[Movimiento])*(Comercial_Agricola[Financiero U$S Dólares])*($G9=Comercial_Agricola[Producto])*(I$1=Comercial_Agricola[Mes Financiero])*(I$2=Comercial_Agricola[Año Financiero]))</f>
        <v>0</v>
      </c>
      <c r="J9" s="117">
        <f>SUMPRODUCT(($C$4=Comercial_Agricola[Movimiento])*(Comercial_Agricola[Financiero U$S Dólares])*($G9=Comercial_Agricola[Producto])*(J$1=Comercial_Agricola[Mes Financiero])*(J$2=Comercial_Agricola[Año Financiero]))</f>
        <v>0</v>
      </c>
      <c r="K9" s="118">
        <f>SUMPRODUCT(($C$4=Comercial_Agricola[Movimiento])*(Comercial_Agricola[Financiero U$S Dólares])*($G9=Comercial_Agricola[Producto])*(K$1=Comercial_Agricola[Mes Financiero])*(K$2=Comercial_Agricola[Año Financiero]))</f>
        <v>0</v>
      </c>
      <c r="L9" s="117">
        <f>SUMPRODUCT(($C$4=Comercial_Agricola[Movimiento])*(Comercial_Agricola[Financiero U$S Dólares])*($G9=Comercial_Agricola[Producto])*(L$1=Comercial_Agricola[Mes Financiero])*(L$2=Comercial_Agricola[Año Financiero]))</f>
        <v>0</v>
      </c>
      <c r="M9" s="118">
        <f>SUMPRODUCT(($C$4=Comercial_Agricola[Movimiento])*(Comercial_Agricola[Financiero U$S Dólares])*($G9=Comercial_Agricola[Producto])*(M$1=Comercial_Agricola[Mes Financiero])*(M$2=Comercial_Agricola[Año Financiero]))</f>
        <v>0</v>
      </c>
      <c r="N9" s="117">
        <f>SUMPRODUCT(($C$4=Comercial_Agricola[Movimiento])*(Comercial_Agricola[Financiero U$S Dólares])*($G9=Comercial_Agricola[Producto])*(N$1=Comercial_Agricola[Mes Financiero])*(N$2=Comercial_Agricola[Año Financiero]))</f>
        <v>0</v>
      </c>
      <c r="O9" s="118">
        <f>SUMPRODUCT(($C$4=Comercial_Agricola[Movimiento])*(Comercial_Agricola[Financiero U$S Dólares])*($G9=Comercial_Agricola[Producto])*(O$1=Comercial_Agricola[Mes Financiero])*(O$2=Comercial_Agricola[Año Financiero]))</f>
        <v>0</v>
      </c>
      <c r="P9" s="117">
        <f>SUMPRODUCT(($C$4=Comercial_Agricola[Movimiento])*(Comercial_Agricola[Financiero U$S Dólares])*($G9=Comercial_Agricola[Producto])*(P$1=Comercial_Agricola[Mes Financiero])*(P$2=Comercial_Agricola[Año Financiero]))</f>
        <v>0</v>
      </c>
      <c r="Q9" s="118">
        <f>SUMPRODUCT(($C$4=Comercial_Agricola[Movimiento])*(Comercial_Agricola[Financiero U$S Dólares])*($G9=Comercial_Agricola[Producto])*(Q$1=Comercial_Agricola[Mes Financiero])*(Q$2=Comercial_Agricola[Año Financiero]))</f>
        <v>0</v>
      </c>
      <c r="R9" s="117">
        <f>SUMPRODUCT(($C$4=Comercial_Agricola[Movimiento])*(Comercial_Agricola[Financiero U$S Dólares])*($G9=Comercial_Agricola[Producto])*(R$1=Comercial_Agricola[Mes Financiero])*(R$2=Comercial_Agricola[Año Financiero]))</f>
        <v>0</v>
      </c>
      <c r="S9" s="118">
        <f>SUMPRODUCT(($C$4=Comercial_Agricola[Movimiento])*(Comercial_Agricola[Financiero U$S Dólares])*($G9=Comercial_Agricola[Producto])*(S$1=Comercial_Agricola[Mes Financiero])*(S$2=Comercial_Agricola[Año Financiero]))</f>
        <v>0</v>
      </c>
      <c r="T9" s="117">
        <f>SUMPRODUCT(($C$4=Comercial_Agricola[Movimiento])*(Comercial_Agricola[Financiero U$S Dólares])*($G9=Comercial_Agricola[Producto])*(T$1=Comercial_Agricola[Mes Financiero])*(T$2=Comercial_Agricola[Año Financiero]))</f>
        <v>0</v>
      </c>
      <c r="U9" s="118">
        <f>SUMPRODUCT(($C$4=Comercial_Agricola[Movimiento])*(Comercial_Agricola[Financiero U$S Dólares])*($G9=Comercial_Agricola[Producto])*(U$1=Comercial_Agricola[Mes Financiero])*(U$2=Comercial_Agricola[Año Financiero]))</f>
        <v>0</v>
      </c>
      <c r="V9" s="117">
        <f>SUMPRODUCT(($C$4=Comercial_Agricola[Movimiento])*(Comercial_Agricola[Financiero U$S Dólares])*($G9=Comercial_Agricola[Producto])*(V$1=Comercial_Agricola[Mes Financiero])*(V$2=Comercial_Agricola[Año Financiero]))</f>
        <v>0</v>
      </c>
      <c r="W9" s="118">
        <f>SUMPRODUCT(($C$4=Comercial_Agricola[Movimiento])*(Comercial_Agricola[Financiero U$S Dólares])*($G9=Comercial_Agricola[Producto])*(W$1=Comercial_Agricola[Mes Financiero])*(W$2=Comercial_Agricola[Año Financiero]))</f>
        <v>0</v>
      </c>
      <c r="X9" s="117">
        <f>SUMPRODUCT(($C$4=Comercial_Agricola[Movimiento])*(Comercial_Agricola[Financiero U$S Dólares])*($G9=Comercial_Agricola[Producto])*(X$1=Comercial_Agricola[Mes Financiero])*(X$2=Comercial_Agricola[Año Financiero]))</f>
        <v>0</v>
      </c>
      <c r="Y9" s="118">
        <f>SUMPRODUCT(($C$4=Comercial_Agricola[Movimiento])*(Comercial_Agricola[Financiero U$S Dólares])*($G9=Comercial_Agricola[Producto])*(Y$1=Comercial_Agricola[Mes Financiero])*(Y$2=Comercial_Agricola[Año Financiero]))</f>
        <v>0</v>
      </c>
      <c r="Z9" s="140">
        <f t="shared" si="3"/>
        <v>0</v>
      </c>
    </row>
    <row r="10" spans="2:31" hidden="1" outlineLevel="1" x14ac:dyDescent="0.25">
      <c r="B10" s="165"/>
      <c r="F10" s="215">
        <f>IFERROR(MATCH('Financiero U$S'!G10,Tabla811[Producto],0),0)</f>
        <v>6</v>
      </c>
      <c r="G10" s="407" t="str">
        <f>Configuración!AN10</f>
        <v>Sorgo</v>
      </c>
      <c r="H10" s="117">
        <f>SUMPRODUCT(($C$4=Comercial_Agricola[Movimiento])*(Comercial_Agricola[Financiero U$S Dólares])*($G10=Comercial_Agricola[Producto])*(H$1=Comercial_Agricola[Mes Financiero])*(H$2=Comercial_Agricola[Año Financiero]))</f>
        <v>0</v>
      </c>
      <c r="I10" s="118">
        <f>SUMPRODUCT(($C$4=Comercial_Agricola[Movimiento])*(Comercial_Agricola[Financiero U$S Dólares])*($G10=Comercial_Agricola[Producto])*(I$1=Comercial_Agricola[Mes Financiero])*(I$2=Comercial_Agricola[Año Financiero]))</f>
        <v>0</v>
      </c>
      <c r="J10" s="117">
        <f>SUMPRODUCT(($C$4=Comercial_Agricola[Movimiento])*(Comercial_Agricola[Financiero U$S Dólares])*($G10=Comercial_Agricola[Producto])*(J$1=Comercial_Agricola[Mes Financiero])*(J$2=Comercial_Agricola[Año Financiero]))</f>
        <v>0</v>
      </c>
      <c r="K10" s="118">
        <f>SUMPRODUCT(($C$4=Comercial_Agricola[Movimiento])*(Comercial_Agricola[Financiero U$S Dólares])*($G10=Comercial_Agricola[Producto])*(K$1=Comercial_Agricola[Mes Financiero])*(K$2=Comercial_Agricola[Año Financiero]))</f>
        <v>0</v>
      </c>
      <c r="L10" s="117">
        <f>SUMPRODUCT(($C$4=Comercial_Agricola[Movimiento])*(Comercial_Agricola[Financiero U$S Dólares])*($G10=Comercial_Agricola[Producto])*(L$1=Comercial_Agricola[Mes Financiero])*(L$2=Comercial_Agricola[Año Financiero]))</f>
        <v>0</v>
      </c>
      <c r="M10" s="118">
        <f>SUMPRODUCT(($C$4=Comercial_Agricola[Movimiento])*(Comercial_Agricola[Financiero U$S Dólares])*($G10=Comercial_Agricola[Producto])*(M$1=Comercial_Agricola[Mes Financiero])*(M$2=Comercial_Agricola[Año Financiero]))</f>
        <v>0</v>
      </c>
      <c r="N10" s="117">
        <f>SUMPRODUCT(($C$4=Comercial_Agricola[Movimiento])*(Comercial_Agricola[Financiero U$S Dólares])*($G10=Comercial_Agricola[Producto])*(N$1=Comercial_Agricola[Mes Financiero])*(N$2=Comercial_Agricola[Año Financiero]))</f>
        <v>0</v>
      </c>
      <c r="O10" s="118">
        <f>SUMPRODUCT(($C$4=Comercial_Agricola[Movimiento])*(Comercial_Agricola[Financiero U$S Dólares])*($G10=Comercial_Agricola[Producto])*(O$1=Comercial_Agricola[Mes Financiero])*(O$2=Comercial_Agricola[Año Financiero]))</f>
        <v>0</v>
      </c>
      <c r="P10" s="117">
        <f>SUMPRODUCT(($C$4=Comercial_Agricola[Movimiento])*(Comercial_Agricola[Financiero U$S Dólares])*($G10=Comercial_Agricola[Producto])*(P$1=Comercial_Agricola[Mes Financiero])*(P$2=Comercial_Agricola[Año Financiero]))</f>
        <v>0</v>
      </c>
      <c r="Q10" s="118">
        <f>SUMPRODUCT(($C$4=Comercial_Agricola[Movimiento])*(Comercial_Agricola[Financiero U$S Dólares])*($G10=Comercial_Agricola[Producto])*(Q$1=Comercial_Agricola[Mes Financiero])*(Q$2=Comercial_Agricola[Año Financiero]))</f>
        <v>0</v>
      </c>
      <c r="R10" s="117">
        <f>SUMPRODUCT(($C$4=Comercial_Agricola[Movimiento])*(Comercial_Agricola[Financiero U$S Dólares])*($G10=Comercial_Agricola[Producto])*(R$1=Comercial_Agricola[Mes Financiero])*(R$2=Comercial_Agricola[Año Financiero]))</f>
        <v>0</v>
      </c>
      <c r="S10" s="118">
        <f>SUMPRODUCT(($C$4=Comercial_Agricola[Movimiento])*(Comercial_Agricola[Financiero U$S Dólares])*($G10=Comercial_Agricola[Producto])*(S$1=Comercial_Agricola[Mes Financiero])*(S$2=Comercial_Agricola[Año Financiero]))</f>
        <v>0</v>
      </c>
      <c r="T10" s="117">
        <f>SUMPRODUCT(($C$4=Comercial_Agricola[Movimiento])*(Comercial_Agricola[Financiero U$S Dólares])*($G10=Comercial_Agricola[Producto])*(T$1=Comercial_Agricola[Mes Financiero])*(T$2=Comercial_Agricola[Año Financiero]))</f>
        <v>0</v>
      </c>
      <c r="U10" s="118">
        <f>SUMPRODUCT(($C$4=Comercial_Agricola[Movimiento])*(Comercial_Agricola[Financiero U$S Dólares])*($G10=Comercial_Agricola[Producto])*(U$1=Comercial_Agricola[Mes Financiero])*(U$2=Comercial_Agricola[Año Financiero]))</f>
        <v>0</v>
      </c>
      <c r="V10" s="117">
        <f>SUMPRODUCT(($C$4=Comercial_Agricola[Movimiento])*(Comercial_Agricola[Financiero U$S Dólares])*($G10=Comercial_Agricola[Producto])*(V$1=Comercial_Agricola[Mes Financiero])*(V$2=Comercial_Agricola[Año Financiero]))</f>
        <v>0</v>
      </c>
      <c r="W10" s="118">
        <f>SUMPRODUCT(($C$4=Comercial_Agricola[Movimiento])*(Comercial_Agricola[Financiero U$S Dólares])*($G10=Comercial_Agricola[Producto])*(W$1=Comercial_Agricola[Mes Financiero])*(W$2=Comercial_Agricola[Año Financiero]))</f>
        <v>0</v>
      </c>
      <c r="X10" s="117">
        <f>SUMPRODUCT(($C$4=Comercial_Agricola[Movimiento])*(Comercial_Agricola[Financiero U$S Dólares])*($G10=Comercial_Agricola[Producto])*(X$1=Comercial_Agricola[Mes Financiero])*(X$2=Comercial_Agricola[Año Financiero]))</f>
        <v>0</v>
      </c>
      <c r="Y10" s="118">
        <f>SUMPRODUCT(($C$4=Comercial_Agricola[Movimiento])*(Comercial_Agricola[Financiero U$S Dólares])*($G10=Comercial_Agricola[Producto])*(Y$1=Comercial_Agricola[Mes Financiero])*(Y$2=Comercial_Agricola[Año Financiero]))</f>
        <v>0</v>
      </c>
      <c r="Z10" s="140">
        <f t="shared" si="3"/>
        <v>0</v>
      </c>
    </row>
    <row r="11" spans="2:31" hidden="1" outlineLevel="1" x14ac:dyDescent="0.25">
      <c r="B11" s="165"/>
      <c r="F11" s="215">
        <f>IFERROR(MATCH('Financiero U$S'!G11,Tabla811[Producto],0),0)</f>
        <v>0</v>
      </c>
      <c r="G11" s="407">
        <f>Configuración!AN12</f>
        <v>0</v>
      </c>
      <c r="H11" s="117">
        <f>SUMPRODUCT(($C$4=Comercial_Agricola[Movimiento])*(Comercial_Agricola[Financiero U$S Dólares])*($G11=Comercial_Agricola[Producto])*(H$1=Comercial_Agricola[Mes Financiero])*(H$2=Comercial_Agricola[Año Financiero]))</f>
        <v>0</v>
      </c>
      <c r="I11" s="118">
        <f>SUMPRODUCT(($C$4=Comercial_Agricola[Movimiento])*(Comercial_Agricola[Financiero U$S Dólares])*($G11=Comercial_Agricola[Producto])*(I$1=Comercial_Agricola[Mes Financiero])*(I$2=Comercial_Agricola[Año Financiero]))</f>
        <v>0</v>
      </c>
      <c r="J11" s="117">
        <f>SUMPRODUCT(($C$4=Comercial_Agricola[Movimiento])*(Comercial_Agricola[Financiero U$S Dólares])*($G11=Comercial_Agricola[Producto])*(J$1=Comercial_Agricola[Mes Financiero])*(J$2=Comercial_Agricola[Año Financiero]))</f>
        <v>0</v>
      </c>
      <c r="K11" s="118">
        <f>SUMPRODUCT(($C$4=Comercial_Agricola[Movimiento])*(Comercial_Agricola[Financiero U$S Dólares])*($G11=Comercial_Agricola[Producto])*(K$1=Comercial_Agricola[Mes Financiero])*(K$2=Comercial_Agricola[Año Financiero]))</f>
        <v>0</v>
      </c>
      <c r="L11" s="117">
        <f>SUMPRODUCT(($C$4=Comercial_Agricola[Movimiento])*(Comercial_Agricola[Financiero U$S Dólares])*($G11=Comercial_Agricola[Producto])*(L$1=Comercial_Agricola[Mes Financiero])*(L$2=Comercial_Agricola[Año Financiero]))</f>
        <v>0</v>
      </c>
      <c r="M11" s="118">
        <f>SUMPRODUCT(($C$4=Comercial_Agricola[Movimiento])*(Comercial_Agricola[Financiero U$S Dólares])*($G11=Comercial_Agricola[Producto])*(M$1=Comercial_Agricola[Mes Financiero])*(M$2=Comercial_Agricola[Año Financiero]))</f>
        <v>0</v>
      </c>
      <c r="N11" s="117">
        <f>SUMPRODUCT(($C$4=Comercial_Agricola[Movimiento])*(Comercial_Agricola[Financiero U$S Dólares])*($G11=Comercial_Agricola[Producto])*(N$1=Comercial_Agricola[Mes Financiero])*(N$2=Comercial_Agricola[Año Financiero]))</f>
        <v>0</v>
      </c>
      <c r="O11" s="118">
        <f>SUMPRODUCT(($C$4=Comercial_Agricola[Movimiento])*(Comercial_Agricola[Financiero U$S Dólares])*($G11=Comercial_Agricola[Producto])*(O$1=Comercial_Agricola[Mes Financiero])*(O$2=Comercial_Agricola[Año Financiero]))</f>
        <v>0</v>
      </c>
      <c r="P11" s="117">
        <f>SUMPRODUCT(($C$4=Comercial_Agricola[Movimiento])*(Comercial_Agricola[Financiero U$S Dólares])*($G11=Comercial_Agricola[Producto])*(P$1=Comercial_Agricola[Mes Financiero])*(P$2=Comercial_Agricola[Año Financiero]))</f>
        <v>0</v>
      </c>
      <c r="Q11" s="118">
        <f>SUMPRODUCT(($C$4=Comercial_Agricola[Movimiento])*(Comercial_Agricola[Financiero U$S Dólares])*($G11=Comercial_Agricola[Producto])*(Q$1=Comercial_Agricola[Mes Financiero])*(Q$2=Comercial_Agricola[Año Financiero]))</f>
        <v>0</v>
      </c>
      <c r="R11" s="117">
        <f>SUMPRODUCT(($C$4=Comercial_Agricola[Movimiento])*(Comercial_Agricola[Financiero U$S Dólares])*($G11=Comercial_Agricola[Producto])*(R$1=Comercial_Agricola[Mes Financiero])*(R$2=Comercial_Agricola[Año Financiero]))</f>
        <v>0</v>
      </c>
      <c r="S11" s="118">
        <f>SUMPRODUCT(($C$4=Comercial_Agricola[Movimiento])*(Comercial_Agricola[Financiero U$S Dólares])*($G11=Comercial_Agricola[Producto])*(S$1=Comercial_Agricola[Mes Financiero])*(S$2=Comercial_Agricola[Año Financiero]))</f>
        <v>0</v>
      </c>
      <c r="T11" s="117">
        <f>SUMPRODUCT(($C$4=Comercial_Agricola[Movimiento])*(Comercial_Agricola[Financiero U$S Dólares])*($G11=Comercial_Agricola[Producto])*(T$1=Comercial_Agricola[Mes Financiero])*(T$2=Comercial_Agricola[Año Financiero]))</f>
        <v>0</v>
      </c>
      <c r="U11" s="118">
        <f>SUMPRODUCT(($C$4=Comercial_Agricola[Movimiento])*(Comercial_Agricola[Financiero U$S Dólares])*($G11=Comercial_Agricola[Producto])*(U$1=Comercial_Agricola[Mes Financiero])*(U$2=Comercial_Agricola[Año Financiero]))</f>
        <v>0</v>
      </c>
      <c r="V11" s="117">
        <f>SUMPRODUCT(($C$4=Comercial_Agricola[Movimiento])*(Comercial_Agricola[Financiero U$S Dólares])*($G11=Comercial_Agricola[Producto])*(V$1=Comercial_Agricola[Mes Financiero])*(V$2=Comercial_Agricola[Año Financiero]))</f>
        <v>0</v>
      </c>
      <c r="W11" s="118">
        <f>SUMPRODUCT(($C$4=Comercial_Agricola[Movimiento])*(Comercial_Agricola[Financiero U$S Dólares])*($G11=Comercial_Agricola[Producto])*(W$1=Comercial_Agricola[Mes Financiero])*(W$2=Comercial_Agricola[Año Financiero]))</f>
        <v>0</v>
      </c>
      <c r="X11" s="117">
        <f>SUMPRODUCT(($C$4=Comercial_Agricola[Movimiento])*(Comercial_Agricola[Financiero U$S Dólares])*($G11=Comercial_Agricola[Producto])*(X$1=Comercial_Agricola[Mes Financiero])*(X$2=Comercial_Agricola[Año Financiero]))</f>
        <v>0</v>
      </c>
      <c r="Y11" s="118">
        <f>SUMPRODUCT(($C$4=Comercial_Agricola[Movimiento])*(Comercial_Agricola[Financiero U$S Dólares])*($G11=Comercial_Agricola[Producto])*(Y$1=Comercial_Agricola[Mes Financiero])*(Y$2=Comercial_Agricola[Año Financiero]))</f>
        <v>0</v>
      </c>
      <c r="Z11" s="140">
        <f t="shared" si="3"/>
        <v>0</v>
      </c>
    </row>
    <row r="12" spans="2:31" hidden="1" outlineLevel="1" x14ac:dyDescent="0.25">
      <c r="B12" s="165"/>
      <c r="F12" s="215">
        <f>IFERROR(MATCH('Financiero U$S'!G12,Tabla811[Producto],0),0)</f>
        <v>0</v>
      </c>
      <c r="G12" s="407">
        <f>Configuración!AN13</f>
        <v>0</v>
      </c>
      <c r="H12" s="117">
        <f>SUMPRODUCT(($C$4=Comercial_Agricola[Movimiento])*(Comercial_Agricola[Financiero U$S Dólares])*($G12=Comercial_Agricola[Producto])*(H$1=Comercial_Agricola[Mes Financiero])*(H$2=Comercial_Agricola[Año Financiero]))</f>
        <v>0</v>
      </c>
      <c r="I12" s="118">
        <f>SUMPRODUCT(($C$4=Comercial_Agricola[Movimiento])*(Comercial_Agricola[Financiero U$S Dólares])*($G12=Comercial_Agricola[Producto])*(I$1=Comercial_Agricola[Mes Financiero])*(I$2=Comercial_Agricola[Año Financiero]))</f>
        <v>0</v>
      </c>
      <c r="J12" s="117">
        <f>SUMPRODUCT(($C$4=Comercial_Agricola[Movimiento])*(Comercial_Agricola[Financiero U$S Dólares])*($G12=Comercial_Agricola[Producto])*(J$1=Comercial_Agricola[Mes Financiero])*(J$2=Comercial_Agricola[Año Financiero]))</f>
        <v>0</v>
      </c>
      <c r="K12" s="118">
        <f>SUMPRODUCT(($C$4=Comercial_Agricola[Movimiento])*(Comercial_Agricola[Financiero U$S Dólares])*($G12=Comercial_Agricola[Producto])*(K$1=Comercial_Agricola[Mes Financiero])*(K$2=Comercial_Agricola[Año Financiero]))</f>
        <v>0</v>
      </c>
      <c r="L12" s="117">
        <f>SUMPRODUCT(($C$4=Comercial_Agricola[Movimiento])*(Comercial_Agricola[Financiero U$S Dólares])*($G12=Comercial_Agricola[Producto])*(L$1=Comercial_Agricola[Mes Financiero])*(L$2=Comercial_Agricola[Año Financiero]))</f>
        <v>0</v>
      </c>
      <c r="M12" s="118">
        <f>SUMPRODUCT(($C$4=Comercial_Agricola[Movimiento])*(Comercial_Agricola[Financiero U$S Dólares])*($G12=Comercial_Agricola[Producto])*(M$1=Comercial_Agricola[Mes Financiero])*(M$2=Comercial_Agricola[Año Financiero]))</f>
        <v>0</v>
      </c>
      <c r="N12" s="117">
        <f>SUMPRODUCT(($C$4=Comercial_Agricola[Movimiento])*(Comercial_Agricola[Financiero U$S Dólares])*($G12=Comercial_Agricola[Producto])*(N$1=Comercial_Agricola[Mes Financiero])*(N$2=Comercial_Agricola[Año Financiero]))</f>
        <v>0</v>
      </c>
      <c r="O12" s="118">
        <f>SUMPRODUCT(($C$4=Comercial_Agricola[Movimiento])*(Comercial_Agricola[Financiero U$S Dólares])*($G12=Comercial_Agricola[Producto])*(O$1=Comercial_Agricola[Mes Financiero])*(O$2=Comercial_Agricola[Año Financiero]))</f>
        <v>0</v>
      </c>
      <c r="P12" s="117">
        <f>SUMPRODUCT(($C$4=Comercial_Agricola[Movimiento])*(Comercial_Agricola[Financiero U$S Dólares])*($G12=Comercial_Agricola[Producto])*(P$1=Comercial_Agricola[Mes Financiero])*(P$2=Comercial_Agricola[Año Financiero]))</f>
        <v>0</v>
      </c>
      <c r="Q12" s="118">
        <f>SUMPRODUCT(($C$4=Comercial_Agricola[Movimiento])*(Comercial_Agricola[Financiero U$S Dólares])*($G12=Comercial_Agricola[Producto])*(Q$1=Comercial_Agricola[Mes Financiero])*(Q$2=Comercial_Agricola[Año Financiero]))</f>
        <v>0</v>
      </c>
      <c r="R12" s="117">
        <f>SUMPRODUCT(($C$4=Comercial_Agricola[Movimiento])*(Comercial_Agricola[Financiero U$S Dólares])*($G12=Comercial_Agricola[Producto])*(R$1=Comercial_Agricola[Mes Financiero])*(R$2=Comercial_Agricola[Año Financiero]))</f>
        <v>0</v>
      </c>
      <c r="S12" s="118">
        <f>SUMPRODUCT(($C$4=Comercial_Agricola[Movimiento])*(Comercial_Agricola[Financiero U$S Dólares])*($G12=Comercial_Agricola[Producto])*(S$1=Comercial_Agricola[Mes Financiero])*(S$2=Comercial_Agricola[Año Financiero]))</f>
        <v>0</v>
      </c>
      <c r="T12" s="117">
        <f>SUMPRODUCT(($C$4=Comercial_Agricola[Movimiento])*(Comercial_Agricola[Financiero U$S Dólares])*($G12=Comercial_Agricola[Producto])*(T$1=Comercial_Agricola[Mes Financiero])*(T$2=Comercial_Agricola[Año Financiero]))</f>
        <v>0</v>
      </c>
      <c r="U12" s="118">
        <f>SUMPRODUCT(($C$4=Comercial_Agricola[Movimiento])*(Comercial_Agricola[Financiero U$S Dólares])*($G12=Comercial_Agricola[Producto])*(U$1=Comercial_Agricola[Mes Financiero])*(U$2=Comercial_Agricola[Año Financiero]))</f>
        <v>0</v>
      </c>
      <c r="V12" s="117">
        <f>SUMPRODUCT(($C$4=Comercial_Agricola[Movimiento])*(Comercial_Agricola[Financiero U$S Dólares])*($G12=Comercial_Agricola[Producto])*(V$1=Comercial_Agricola[Mes Financiero])*(V$2=Comercial_Agricola[Año Financiero]))</f>
        <v>0</v>
      </c>
      <c r="W12" s="118">
        <f>SUMPRODUCT(($C$4=Comercial_Agricola[Movimiento])*(Comercial_Agricola[Financiero U$S Dólares])*($G12=Comercial_Agricola[Producto])*(W$1=Comercial_Agricola[Mes Financiero])*(W$2=Comercial_Agricola[Año Financiero]))</f>
        <v>0</v>
      </c>
      <c r="X12" s="117">
        <f>SUMPRODUCT(($C$4=Comercial_Agricola[Movimiento])*(Comercial_Agricola[Financiero U$S Dólares])*($G12=Comercial_Agricola[Producto])*(X$1=Comercial_Agricola[Mes Financiero])*(X$2=Comercial_Agricola[Año Financiero]))</f>
        <v>0</v>
      </c>
      <c r="Y12" s="118">
        <f>SUMPRODUCT(($C$4=Comercial_Agricola[Movimiento])*(Comercial_Agricola[Financiero U$S Dólares])*($G12=Comercial_Agricola[Producto])*(Y$1=Comercial_Agricola[Mes Financiero])*(Y$2=Comercial_Agricola[Año Financiero]))</f>
        <v>0</v>
      </c>
      <c r="Z12" s="140">
        <f t="shared" si="3"/>
        <v>0</v>
      </c>
    </row>
    <row r="13" spans="2:31" hidden="1" outlineLevel="1" x14ac:dyDescent="0.25">
      <c r="B13" s="165"/>
      <c r="F13" s="215">
        <f>IFERROR(MATCH('Financiero U$S'!G13,Tabla811[Producto],0),0)</f>
        <v>0</v>
      </c>
      <c r="G13" s="407">
        <f>Configuración!AN14</f>
        <v>0</v>
      </c>
      <c r="H13" s="117">
        <f>SUMPRODUCT(($C$4=Comercial_Agricola[Movimiento])*(Comercial_Agricola[Financiero U$S Dólares])*($G13=Comercial_Agricola[Producto])*(H$1=Comercial_Agricola[Mes Financiero])*(H$2=Comercial_Agricola[Año Financiero]))</f>
        <v>0</v>
      </c>
      <c r="I13" s="118">
        <f>SUMPRODUCT(($C$4=Comercial_Agricola[Movimiento])*(Comercial_Agricola[Financiero U$S Dólares])*($G13=Comercial_Agricola[Producto])*(I$1=Comercial_Agricola[Mes Financiero])*(I$2=Comercial_Agricola[Año Financiero]))</f>
        <v>0</v>
      </c>
      <c r="J13" s="117">
        <f>SUMPRODUCT(($C$4=Comercial_Agricola[Movimiento])*(Comercial_Agricola[Financiero U$S Dólares])*($G13=Comercial_Agricola[Producto])*(J$1=Comercial_Agricola[Mes Financiero])*(J$2=Comercial_Agricola[Año Financiero]))</f>
        <v>0</v>
      </c>
      <c r="K13" s="118">
        <f>SUMPRODUCT(($C$4=Comercial_Agricola[Movimiento])*(Comercial_Agricola[Financiero U$S Dólares])*($G13=Comercial_Agricola[Producto])*(K$1=Comercial_Agricola[Mes Financiero])*(K$2=Comercial_Agricola[Año Financiero]))</f>
        <v>0</v>
      </c>
      <c r="L13" s="117">
        <f>SUMPRODUCT(($C$4=Comercial_Agricola[Movimiento])*(Comercial_Agricola[Financiero U$S Dólares])*($G13=Comercial_Agricola[Producto])*(L$1=Comercial_Agricola[Mes Financiero])*(L$2=Comercial_Agricola[Año Financiero]))</f>
        <v>0</v>
      </c>
      <c r="M13" s="118">
        <f>SUMPRODUCT(($C$4=Comercial_Agricola[Movimiento])*(Comercial_Agricola[Financiero U$S Dólares])*($G13=Comercial_Agricola[Producto])*(M$1=Comercial_Agricola[Mes Financiero])*(M$2=Comercial_Agricola[Año Financiero]))</f>
        <v>0</v>
      </c>
      <c r="N13" s="117">
        <f>SUMPRODUCT(($C$4=Comercial_Agricola[Movimiento])*(Comercial_Agricola[Financiero U$S Dólares])*($G13=Comercial_Agricola[Producto])*(N$1=Comercial_Agricola[Mes Financiero])*(N$2=Comercial_Agricola[Año Financiero]))</f>
        <v>0</v>
      </c>
      <c r="O13" s="118">
        <f>SUMPRODUCT(($C$4=Comercial_Agricola[Movimiento])*(Comercial_Agricola[Financiero U$S Dólares])*($G13=Comercial_Agricola[Producto])*(O$1=Comercial_Agricola[Mes Financiero])*(O$2=Comercial_Agricola[Año Financiero]))</f>
        <v>0</v>
      </c>
      <c r="P13" s="117">
        <f>SUMPRODUCT(($C$4=Comercial_Agricola[Movimiento])*(Comercial_Agricola[Financiero U$S Dólares])*($G13=Comercial_Agricola[Producto])*(P$1=Comercial_Agricola[Mes Financiero])*(P$2=Comercial_Agricola[Año Financiero]))</f>
        <v>0</v>
      </c>
      <c r="Q13" s="118">
        <f>SUMPRODUCT(($C$4=Comercial_Agricola[Movimiento])*(Comercial_Agricola[Financiero U$S Dólares])*($G13=Comercial_Agricola[Producto])*(Q$1=Comercial_Agricola[Mes Financiero])*(Q$2=Comercial_Agricola[Año Financiero]))</f>
        <v>0</v>
      </c>
      <c r="R13" s="117">
        <f>SUMPRODUCT(($C$4=Comercial_Agricola[Movimiento])*(Comercial_Agricola[Financiero U$S Dólares])*($G13=Comercial_Agricola[Producto])*(R$1=Comercial_Agricola[Mes Financiero])*(R$2=Comercial_Agricola[Año Financiero]))</f>
        <v>0</v>
      </c>
      <c r="S13" s="118">
        <f>SUMPRODUCT(($C$4=Comercial_Agricola[Movimiento])*(Comercial_Agricola[Financiero U$S Dólares])*($G13=Comercial_Agricola[Producto])*(S$1=Comercial_Agricola[Mes Financiero])*(S$2=Comercial_Agricola[Año Financiero]))</f>
        <v>0</v>
      </c>
      <c r="T13" s="117">
        <f>SUMPRODUCT(($C$4=Comercial_Agricola[Movimiento])*(Comercial_Agricola[Financiero U$S Dólares])*($G13=Comercial_Agricola[Producto])*(T$1=Comercial_Agricola[Mes Financiero])*(T$2=Comercial_Agricola[Año Financiero]))</f>
        <v>0</v>
      </c>
      <c r="U13" s="118">
        <f>SUMPRODUCT(($C$4=Comercial_Agricola[Movimiento])*(Comercial_Agricola[Financiero U$S Dólares])*($G13=Comercial_Agricola[Producto])*(U$1=Comercial_Agricola[Mes Financiero])*(U$2=Comercial_Agricola[Año Financiero]))</f>
        <v>0</v>
      </c>
      <c r="V13" s="117">
        <f>SUMPRODUCT(($C$4=Comercial_Agricola[Movimiento])*(Comercial_Agricola[Financiero U$S Dólares])*($G13=Comercial_Agricola[Producto])*(V$1=Comercial_Agricola[Mes Financiero])*(V$2=Comercial_Agricola[Año Financiero]))</f>
        <v>0</v>
      </c>
      <c r="W13" s="118">
        <f>SUMPRODUCT(($C$4=Comercial_Agricola[Movimiento])*(Comercial_Agricola[Financiero U$S Dólares])*($G13=Comercial_Agricola[Producto])*(W$1=Comercial_Agricola[Mes Financiero])*(W$2=Comercial_Agricola[Año Financiero]))</f>
        <v>0</v>
      </c>
      <c r="X13" s="117">
        <f>SUMPRODUCT(($C$4=Comercial_Agricola[Movimiento])*(Comercial_Agricola[Financiero U$S Dólares])*($G13=Comercial_Agricola[Producto])*(X$1=Comercial_Agricola[Mes Financiero])*(X$2=Comercial_Agricola[Año Financiero]))</f>
        <v>0</v>
      </c>
      <c r="Y13" s="118">
        <f>SUMPRODUCT(($C$4=Comercial_Agricola[Movimiento])*(Comercial_Agricola[Financiero U$S Dólares])*($G13=Comercial_Agricola[Producto])*(Y$1=Comercial_Agricola[Mes Financiero])*(Y$2=Comercial_Agricola[Año Financiero]))</f>
        <v>0</v>
      </c>
      <c r="Z13" s="140">
        <f t="shared" si="3"/>
        <v>0</v>
      </c>
    </row>
    <row r="14" spans="2:31" hidden="1" outlineLevel="1" x14ac:dyDescent="0.25">
      <c r="B14" s="166" t="s">
        <v>101</v>
      </c>
      <c r="F14" s="216">
        <f>IFERROR(MATCH('Financiero U$S'!G14,Tabla811[Producto],0),0)</f>
        <v>7</v>
      </c>
      <c r="G14" s="408" t="str">
        <f>Configuración!AN11</f>
        <v>Silo Maíz</v>
      </c>
      <c r="H14" s="128">
        <f>SUMPRODUCT(($C$4=Comercial_Agricola[Movimiento])*(Comercial_Agricola[Financiero U$S Dólares])*($G14=Comercial_Agricola[Producto])*(H$1=Comercial_Agricola[Mes Financiero])*(H$2=Comercial_Agricola[Año Financiero]))</f>
        <v>0</v>
      </c>
      <c r="I14" s="129">
        <f>SUMPRODUCT(($C$4=Comercial_Agricola[Movimiento])*(Comercial_Agricola[Financiero U$S Dólares])*($G14=Comercial_Agricola[Producto])*(I$1=Comercial_Agricola[Mes Financiero])*(I$2=Comercial_Agricola[Año Financiero]))</f>
        <v>0</v>
      </c>
      <c r="J14" s="128">
        <f>SUMPRODUCT(($C$4=Comercial_Agricola[Movimiento])*(Comercial_Agricola[Financiero U$S Dólares])*($G14=Comercial_Agricola[Producto])*(J$1=Comercial_Agricola[Mes Financiero])*(J$2=Comercial_Agricola[Año Financiero]))</f>
        <v>0</v>
      </c>
      <c r="K14" s="129">
        <f>SUMPRODUCT(($C$4=Comercial_Agricola[Movimiento])*(Comercial_Agricola[Financiero U$S Dólares])*($G14=Comercial_Agricola[Producto])*(K$1=Comercial_Agricola[Mes Financiero])*(K$2=Comercial_Agricola[Año Financiero]))</f>
        <v>0</v>
      </c>
      <c r="L14" s="128">
        <f>SUMPRODUCT(($C$4=Comercial_Agricola[Movimiento])*(Comercial_Agricola[Financiero U$S Dólares])*($G14=Comercial_Agricola[Producto])*(L$1=Comercial_Agricola[Mes Financiero])*(L$2=Comercial_Agricola[Año Financiero]))</f>
        <v>0</v>
      </c>
      <c r="M14" s="129">
        <f>SUMPRODUCT(($C$4=Comercial_Agricola[Movimiento])*(Comercial_Agricola[Financiero U$S Dólares])*($G14=Comercial_Agricola[Producto])*(M$1=Comercial_Agricola[Mes Financiero])*(M$2=Comercial_Agricola[Año Financiero]))</f>
        <v>0</v>
      </c>
      <c r="N14" s="128">
        <f>SUMPRODUCT(($C$4=Comercial_Agricola[Movimiento])*(Comercial_Agricola[Financiero U$S Dólares])*($G14=Comercial_Agricola[Producto])*(N$1=Comercial_Agricola[Mes Financiero])*(N$2=Comercial_Agricola[Año Financiero]))</f>
        <v>0</v>
      </c>
      <c r="O14" s="129">
        <f>SUMPRODUCT(($C$4=Comercial_Agricola[Movimiento])*(Comercial_Agricola[Financiero U$S Dólares])*($G14=Comercial_Agricola[Producto])*(O$1=Comercial_Agricola[Mes Financiero])*(O$2=Comercial_Agricola[Año Financiero]))</f>
        <v>0</v>
      </c>
      <c r="P14" s="128">
        <f>SUMPRODUCT(($C$4=Comercial_Agricola[Movimiento])*(Comercial_Agricola[Financiero U$S Dólares])*($G14=Comercial_Agricola[Producto])*(P$1=Comercial_Agricola[Mes Financiero])*(P$2=Comercial_Agricola[Año Financiero]))</f>
        <v>0</v>
      </c>
      <c r="Q14" s="129">
        <f>SUMPRODUCT(($C$4=Comercial_Agricola[Movimiento])*(Comercial_Agricola[Financiero U$S Dólares])*($G14=Comercial_Agricola[Producto])*(Q$1=Comercial_Agricola[Mes Financiero])*(Q$2=Comercial_Agricola[Año Financiero]))</f>
        <v>0</v>
      </c>
      <c r="R14" s="128">
        <f>SUMPRODUCT(($C$4=Comercial_Agricola[Movimiento])*(Comercial_Agricola[Financiero U$S Dólares])*($G14=Comercial_Agricola[Producto])*(R$1=Comercial_Agricola[Mes Financiero])*(R$2=Comercial_Agricola[Año Financiero]))</f>
        <v>0</v>
      </c>
      <c r="S14" s="129">
        <f>SUMPRODUCT(($C$4=Comercial_Agricola[Movimiento])*(Comercial_Agricola[Financiero U$S Dólares])*($G14=Comercial_Agricola[Producto])*(S$1=Comercial_Agricola[Mes Financiero])*(S$2=Comercial_Agricola[Año Financiero]))</f>
        <v>0</v>
      </c>
      <c r="T14" s="128">
        <f>SUMPRODUCT(($C$4=Comercial_Agricola[Movimiento])*(Comercial_Agricola[Financiero U$S Dólares])*($G14=Comercial_Agricola[Producto])*(T$1=Comercial_Agricola[Mes Financiero])*(T$2=Comercial_Agricola[Año Financiero]))</f>
        <v>0</v>
      </c>
      <c r="U14" s="129">
        <f>SUMPRODUCT(($C$4=Comercial_Agricola[Movimiento])*(Comercial_Agricola[Financiero U$S Dólares])*($G14=Comercial_Agricola[Producto])*(U$1=Comercial_Agricola[Mes Financiero])*(U$2=Comercial_Agricola[Año Financiero]))</f>
        <v>0</v>
      </c>
      <c r="V14" s="128">
        <f>SUMPRODUCT(($C$4=Comercial_Agricola[Movimiento])*(Comercial_Agricola[Financiero U$S Dólares])*($G14=Comercial_Agricola[Producto])*(V$1=Comercial_Agricola[Mes Financiero])*(V$2=Comercial_Agricola[Año Financiero]))</f>
        <v>0</v>
      </c>
      <c r="W14" s="129">
        <f>SUMPRODUCT(($C$4=Comercial_Agricola[Movimiento])*(Comercial_Agricola[Financiero U$S Dólares])*($G14=Comercial_Agricola[Producto])*(W$1=Comercial_Agricola[Mes Financiero])*(W$2=Comercial_Agricola[Año Financiero]))</f>
        <v>0</v>
      </c>
      <c r="X14" s="128">
        <f>SUMPRODUCT(($C$4=Comercial_Agricola[Movimiento])*(Comercial_Agricola[Financiero U$S Dólares])*($G14=Comercial_Agricola[Producto])*(X$1=Comercial_Agricola[Mes Financiero])*(X$2=Comercial_Agricola[Año Financiero]))</f>
        <v>0</v>
      </c>
      <c r="Y14" s="129">
        <f>SUMPRODUCT(($C$4=Comercial_Agricola[Movimiento])*(Comercial_Agricola[Financiero U$S Dólares])*($G14=Comercial_Agricola[Producto])*(Y$1=Comercial_Agricola[Mes Financiero])*(Y$2=Comercial_Agricola[Año Financiero]))</f>
        <v>0</v>
      </c>
      <c r="Z14" s="141">
        <f t="shared" si="3"/>
        <v>0</v>
      </c>
    </row>
    <row r="15" spans="2:31" collapsed="1" x14ac:dyDescent="0.25">
      <c r="B15" s="175"/>
      <c r="D15" s="102"/>
      <c r="E15" s="120"/>
      <c r="F15" s="416" t="s">
        <v>213</v>
      </c>
      <c r="G15" s="123"/>
      <c r="H15" s="208">
        <f>SUMPRODUCT(($C4=Comercial_Agricola[Movimiento])*(Comercial_Agricola[Financiero U$S Dólares])*(H$1=Comercial_Agricola[Mes Financiero])*(H$2=Comercial_Agricola[Año Financiero]))-H4</f>
        <v>0</v>
      </c>
      <c r="I15" s="209">
        <f>SUMPRODUCT(($C4=Comercial_Agricola[Movimiento])*(Comercial_Agricola[Financiero U$S Dólares])*(I$1=Comercial_Agricola[Mes Financiero])*(I$2=Comercial_Agricola[Año Financiero]))-I4</f>
        <v>0</v>
      </c>
      <c r="J15" s="208">
        <f>SUMPRODUCT(($C4=Comercial_Agricola[Movimiento])*(Comercial_Agricola[Financiero U$S Dólares])*(J$1=Comercial_Agricola[Mes Financiero])*(J$2=Comercial_Agricola[Año Financiero]))-J4</f>
        <v>0</v>
      </c>
      <c r="K15" s="209">
        <f>SUMPRODUCT(($C4=Comercial_Agricola[Movimiento])*(Comercial_Agricola[Financiero U$S Dólares])*(K$1=Comercial_Agricola[Mes Financiero])*(K$2=Comercial_Agricola[Año Financiero]))-K4</f>
        <v>0</v>
      </c>
      <c r="L15" s="208">
        <f>SUMPRODUCT(($C4=Comercial_Agricola[Movimiento])*(Comercial_Agricola[Financiero U$S Dólares])*(L$1=Comercial_Agricola[Mes Financiero])*(L$2=Comercial_Agricola[Año Financiero]))-L4</f>
        <v>0</v>
      </c>
      <c r="M15" s="209">
        <f>SUMPRODUCT(($C4=Comercial_Agricola[Movimiento])*(Comercial_Agricola[Financiero U$S Dólares])*(M$1=Comercial_Agricola[Mes Financiero])*(M$2=Comercial_Agricola[Año Financiero]))-M4</f>
        <v>0</v>
      </c>
      <c r="N15" s="208">
        <f>SUMPRODUCT(($C4=Comercial_Agricola[Movimiento])*(Comercial_Agricola[Financiero U$S Dólares])*(N$1=Comercial_Agricola[Mes Financiero])*(N$2=Comercial_Agricola[Año Financiero]))-N4</f>
        <v>0</v>
      </c>
      <c r="O15" s="209">
        <f>SUMPRODUCT(($C4=Comercial_Agricola[Movimiento])*(Comercial_Agricola[Financiero U$S Dólares])*(O$1=Comercial_Agricola[Mes Financiero])*(O$2=Comercial_Agricola[Año Financiero]))-O4</f>
        <v>0</v>
      </c>
      <c r="P15" s="208">
        <f>SUMPRODUCT(($C4=Comercial_Agricola[Movimiento])*(Comercial_Agricola[Financiero U$S Dólares])*(P$1=Comercial_Agricola[Mes Financiero])*(P$2=Comercial_Agricola[Año Financiero]))-P4</f>
        <v>0</v>
      </c>
      <c r="Q15" s="209">
        <f>SUMPRODUCT(($C4=Comercial_Agricola[Movimiento])*(Comercial_Agricola[Financiero U$S Dólares])*(Q$1=Comercial_Agricola[Mes Financiero])*(Q$2=Comercial_Agricola[Año Financiero]))-Q4</f>
        <v>0</v>
      </c>
      <c r="R15" s="208">
        <f>SUMPRODUCT(($C4=Comercial_Agricola[Movimiento])*(Comercial_Agricola[Financiero U$S Dólares])*(R$1=Comercial_Agricola[Mes Financiero])*(R$2=Comercial_Agricola[Año Financiero]))-R4</f>
        <v>0</v>
      </c>
      <c r="S15" s="209">
        <f>SUMPRODUCT(($C4=Comercial_Agricola[Movimiento])*(Comercial_Agricola[Financiero U$S Dólares])*(S$1=Comercial_Agricola[Mes Financiero])*(S$2=Comercial_Agricola[Año Financiero]))-S4</f>
        <v>0</v>
      </c>
      <c r="T15" s="208">
        <f>SUMPRODUCT(($C4=Comercial_Agricola[Movimiento])*(Comercial_Agricola[Financiero U$S Dólares])*(T$1=Comercial_Agricola[Mes Financiero])*(T$2=Comercial_Agricola[Año Financiero]))-T4</f>
        <v>0</v>
      </c>
      <c r="U15" s="209">
        <f>SUMPRODUCT(($C4=Comercial_Agricola[Movimiento])*(Comercial_Agricola[Financiero U$S Dólares])*(U$1=Comercial_Agricola[Mes Financiero])*(U$2=Comercial_Agricola[Año Financiero]))-U4</f>
        <v>0</v>
      </c>
      <c r="V15" s="208">
        <f>SUMPRODUCT(($C4=Comercial_Agricola[Movimiento])*(Comercial_Agricola[Financiero U$S Dólares])*(V$1=Comercial_Agricola[Mes Financiero])*(V$2=Comercial_Agricola[Año Financiero]))-V4</f>
        <v>0</v>
      </c>
      <c r="W15" s="209">
        <f>SUMPRODUCT(($C4=Comercial_Agricola[Movimiento])*(Comercial_Agricola[Financiero U$S Dólares])*(W$1=Comercial_Agricola[Mes Financiero])*(W$2=Comercial_Agricola[Año Financiero]))-W4</f>
        <v>0</v>
      </c>
      <c r="X15" s="208">
        <f>SUMPRODUCT(($C4=Comercial_Agricola[Movimiento])*(Comercial_Agricola[Financiero U$S Dólares])*(X$1=Comercial_Agricola[Mes Financiero])*(X$2=Comercial_Agricola[Año Financiero]))-X4</f>
        <v>0</v>
      </c>
      <c r="Y15" s="209">
        <f>SUMPRODUCT(($C4=Comercial_Agricola[Movimiento])*(Comercial_Agricola[Financiero U$S Dólares])*(Y$1=Comercial_Agricola[Mes Financiero])*(Y$2=Comercial_Agricola[Año Financiero]))-Y4</f>
        <v>0</v>
      </c>
      <c r="Z15" s="146">
        <f>SUM(H15:Y15)</f>
        <v>0</v>
      </c>
    </row>
    <row r="16" spans="2:31" x14ac:dyDescent="0.25">
      <c r="C16" s="210" t="s">
        <v>37</v>
      </c>
      <c r="D16" s="381" t="s">
        <v>165</v>
      </c>
      <c r="E16" s="223">
        <f>MATCH(F16,Produccion_Ganadera_Cuentas[Cuenta Contable],0)</f>
        <v>3</v>
      </c>
      <c r="F16" s="415" t="str">
        <f>INDEX(Produccion_Ganadera_Cuentas[[Cuenta Contable]:[Movimiento]],MATCH('Financiero U$S'!C16,Produccion_Ganadera_Cuentas[Movimiento],0),1)</f>
        <v>Venta Hacienda</v>
      </c>
      <c r="H16" s="99">
        <f>SUMPRODUCT(($C$16=Producción_Ganadera[Movimiento])*($F16=Producción_Ganadera[])*(H$1=Producción_Ganadera[Mes Financiero])*(H$2=Producción_Ganadera[Año Financiero])*(Producción_Ganadera[Financiero U$S Dólares]))</f>
        <v>0</v>
      </c>
      <c r="I16" s="100">
        <f>SUMPRODUCT(($C$16=Producción_Ganadera[Movimiento])*($F16=Producción_Ganadera[])*(I$1=Producción_Ganadera[Mes Financiero])*(I$2=Producción_Ganadera[Año Financiero])*(Producción_Ganadera[Financiero U$S Dólares]))</f>
        <v>0</v>
      </c>
      <c r="J16" s="99">
        <f>SUMPRODUCT(($C$16=Producción_Ganadera[Movimiento])*($F16=Producción_Ganadera[])*(J$1=Producción_Ganadera[Mes Financiero])*(J$2=Producción_Ganadera[Año Financiero])*(Producción_Ganadera[Financiero U$S Dólares]))</f>
        <v>0</v>
      </c>
      <c r="K16" s="100">
        <f>SUMPRODUCT(($C$16=Producción_Ganadera[Movimiento])*($F16=Producción_Ganadera[])*(K$1=Producción_Ganadera[Mes Financiero])*(K$2=Producción_Ganadera[Año Financiero])*(Producción_Ganadera[Financiero U$S Dólares]))</f>
        <v>0</v>
      </c>
      <c r="L16" s="99">
        <f>SUMPRODUCT(($C$16=Producción_Ganadera[Movimiento])*($F16=Producción_Ganadera[])*(L$1=Producción_Ganadera[Mes Financiero])*(L$2=Producción_Ganadera[Año Financiero])*(Producción_Ganadera[Financiero U$S Dólares]))</f>
        <v>0</v>
      </c>
      <c r="M16" s="100">
        <f>SUMPRODUCT(($C$16=Producción_Ganadera[Movimiento])*($F16=Producción_Ganadera[])*(M$1=Producción_Ganadera[Mes Financiero])*(M$2=Producción_Ganadera[Año Financiero])*(Producción_Ganadera[Financiero U$S Dólares]))</f>
        <v>0</v>
      </c>
      <c r="N16" s="99">
        <f>SUMPRODUCT(($C$16=Producción_Ganadera[Movimiento])*($F16=Producción_Ganadera[])*(N$1=Producción_Ganadera[Mes Financiero])*(N$2=Producción_Ganadera[Año Financiero])*(Producción_Ganadera[Financiero U$S Dólares]))</f>
        <v>0</v>
      </c>
      <c r="O16" s="100">
        <f>SUMPRODUCT(($C$16=Producción_Ganadera[Movimiento])*($F16=Producción_Ganadera[])*(O$1=Producción_Ganadera[Mes Financiero])*(O$2=Producción_Ganadera[Año Financiero])*(Producción_Ganadera[Financiero U$S Dólares]))</f>
        <v>0</v>
      </c>
      <c r="P16" s="99">
        <f>SUMPRODUCT(($C$16=Producción_Ganadera[Movimiento])*($F16=Producción_Ganadera[])*(P$1=Producción_Ganadera[Mes Financiero])*(P$2=Producción_Ganadera[Año Financiero])*(Producción_Ganadera[Financiero U$S Dólares]))</f>
        <v>0</v>
      </c>
      <c r="Q16" s="100">
        <f>SUMPRODUCT(($C$16=Producción_Ganadera[Movimiento])*($F16=Producción_Ganadera[])*(Q$1=Producción_Ganadera[Mes Financiero])*(Q$2=Producción_Ganadera[Año Financiero])*(Producción_Ganadera[Financiero U$S Dólares]))</f>
        <v>0</v>
      </c>
      <c r="R16" s="99">
        <f>SUMPRODUCT(($C$16=Producción_Ganadera[Movimiento])*($F16=Producción_Ganadera[])*(R$1=Producción_Ganadera[Mes Financiero])*(R$2=Producción_Ganadera[Año Financiero])*(Producción_Ganadera[Financiero U$S Dólares]))</f>
        <v>0</v>
      </c>
      <c r="S16" s="100">
        <f>SUMPRODUCT(($C$16=Producción_Ganadera[Movimiento])*($F16=Producción_Ganadera[])*(S$1=Producción_Ganadera[Mes Financiero])*(S$2=Producción_Ganadera[Año Financiero])*(Producción_Ganadera[Financiero U$S Dólares]))</f>
        <v>0</v>
      </c>
      <c r="T16" s="99">
        <f>SUMPRODUCT(($C$16=Producción_Ganadera[Movimiento])*($F16=Producción_Ganadera[])*(T$1=Producción_Ganadera[Mes Financiero])*(T$2=Producción_Ganadera[Año Financiero])*(Producción_Ganadera[Financiero U$S Dólares]))</f>
        <v>0</v>
      </c>
      <c r="U16" s="100">
        <f>SUMPRODUCT(($C$16=Producción_Ganadera[Movimiento])*($F16=Producción_Ganadera[])*(U$1=Producción_Ganadera[Mes Financiero])*(U$2=Producción_Ganadera[Año Financiero])*(Producción_Ganadera[Financiero U$S Dólares]))</f>
        <v>0</v>
      </c>
      <c r="V16" s="99">
        <f>SUMPRODUCT(($C$16=Producción_Ganadera[Movimiento])*($F16=Producción_Ganadera[])*(V$1=Producción_Ganadera[Mes Financiero])*(V$2=Producción_Ganadera[Año Financiero])*(Producción_Ganadera[Financiero U$S Dólares]))</f>
        <v>0</v>
      </c>
      <c r="W16" s="100">
        <f>SUMPRODUCT(($C$16=Producción_Ganadera[Movimiento])*($F16=Producción_Ganadera[])*(W$1=Producción_Ganadera[Mes Financiero])*(W$2=Producción_Ganadera[Año Financiero])*(Producción_Ganadera[Financiero U$S Dólares]))</f>
        <v>0</v>
      </c>
      <c r="X16" s="99">
        <f>SUMPRODUCT(($C$16=Producción_Ganadera[Movimiento])*($F16=Producción_Ganadera[])*(X$1=Producción_Ganadera[Mes Financiero])*(X$2=Producción_Ganadera[Año Financiero])*(Producción_Ganadera[Financiero U$S Dólares]))</f>
        <v>0</v>
      </c>
      <c r="Y16" s="100">
        <f>SUMPRODUCT(($C$16=Producción_Ganadera[Movimiento])*($F16=Producción_Ganadera[])*(Y$1=Producción_Ganadera[Mes Financiero])*(Y$2=Producción_Ganadera[Año Financiero])*(Producción_Ganadera[Financiero U$S Dólares]))</f>
        <v>0</v>
      </c>
      <c r="Z16" s="139">
        <f t="shared" si="3"/>
        <v>0</v>
      </c>
      <c r="AB16" s="170" t="b">
        <f>Z16=SUM(Z17:Z28)</f>
        <v>1</v>
      </c>
      <c r="AC16" s="281">
        <f>SUMPRODUCT(($F$16=Produccion_Ganadera_Cuentas[Cuenta Contable])*(Produccion_Ganadera_Cuentas[IVA]))</f>
        <v>0.105</v>
      </c>
      <c r="AD16" s="281">
        <v>0.01</v>
      </c>
    </row>
    <row r="17" spans="2:30" hidden="1" outlineLevel="1" x14ac:dyDescent="0.25">
      <c r="F17" s="215">
        <f>IFERROR(MATCH(G17,Produccion_Ganadera[Categoría],0),0)</f>
        <v>1</v>
      </c>
      <c r="G17" s="229" t="str">
        <f>Configuración!AZ5</f>
        <v>Vaca CUT</v>
      </c>
      <c r="H17" s="130">
        <f>SUMPRODUCT(($C$16=Producción_Ganadera[Movimiento])*($G17=Producción_Ganadera[Categoría Hacienda])*(H$1=Producción_Ganadera[Mes Financiero])*(H$2=Producción_Ganadera[Año Financiero])*(Producción_Ganadera[Financiero U$S Dólares]))</f>
        <v>0</v>
      </c>
      <c r="I17" s="131">
        <f>SUMPRODUCT(($C$16=Producción_Ganadera[Movimiento])*($G17=Producción_Ganadera[Categoría Hacienda])*(I$1=Producción_Ganadera[Mes Financiero])*(I$2=Producción_Ganadera[Año Financiero])*(Producción_Ganadera[Financiero U$S Dólares]))</f>
        <v>0</v>
      </c>
      <c r="J17" s="130">
        <f>SUMPRODUCT(($C$16=Producción_Ganadera[Movimiento])*($G17=Producción_Ganadera[Categoría Hacienda])*(J$1=Producción_Ganadera[Mes Financiero])*(J$2=Producción_Ganadera[Año Financiero])*(Producción_Ganadera[Financiero U$S Dólares]))</f>
        <v>0</v>
      </c>
      <c r="K17" s="131">
        <f>SUMPRODUCT(($C$16=Producción_Ganadera[Movimiento])*($G17=Producción_Ganadera[Categoría Hacienda])*(K$1=Producción_Ganadera[Mes Financiero])*(K$2=Producción_Ganadera[Año Financiero])*(Producción_Ganadera[Financiero U$S Dólares]))</f>
        <v>0</v>
      </c>
      <c r="L17" s="130">
        <f>SUMPRODUCT(($C$16=Producción_Ganadera[Movimiento])*($G17=Producción_Ganadera[Categoría Hacienda])*(L$1=Producción_Ganadera[Mes Financiero])*(L$2=Producción_Ganadera[Año Financiero])*(Producción_Ganadera[Financiero U$S Dólares]))</f>
        <v>0</v>
      </c>
      <c r="M17" s="131">
        <f>SUMPRODUCT(($C$16=Producción_Ganadera[Movimiento])*($G17=Producción_Ganadera[Categoría Hacienda])*(M$1=Producción_Ganadera[Mes Financiero])*(M$2=Producción_Ganadera[Año Financiero])*(Producción_Ganadera[Financiero U$S Dólares]))</f>
        <v>0</v>
      </c>
      <c r="N17" s="130">
        <f>SUMPRODUCT(($C$16=Producción_Ganadera[Movimiento])*($G17=Producción_Ganadera[Categoría Hacienda])*(N$1=Producción_Ganadera[Mes Financiero])*(N$2=Producción_Ganadera[Año Financiero])*(Producción_Ganadera[Financiero U$S Dólares]))</f>
        <v>0</v>
      </c>
      <c r="O17" s="131">
        <f>SUMPRODUCT(($C$16=Producción_Ganadera[Movimiento])*($G17=Producción_Ganadera[Categoría Hacienda])*(O$1=Producción_Ganadera[Mes Financiero])*(O$2=Producción_Ganadera[Año Financiero])*(Producción_Ganadera[Financiero U$S Dólares]))</f>
        <v>0</v>
      </c>
      <c r="P17" s="130">
        <f>SUMPRODUCT(($C$16=Producción_Ganadera[Movimiento])*($G17=Producción_Ganadera[Categoría Hacienda])*(P$1=Producción_Ganadera[Mes Financiero])*(P$2=Producción_Ganadera[Año Financiero])*(Producción_Ganadera[Financiero U$S Dólares]))</f>
        <v>0</v>
      </c>
      <c r="Q17" s="131">
        <f>SUMPRODUCT(($C$16=Producción_Ganadera[Movimiento])*($G17=Producción_Ganadera[Categoría Hacienda])*(Q$1=Producción_Ganadera[Mes Financiero])*(Q$2=Producción_Ganadera[Año Financiero])*(Producción_Ganadera[Financiero U$S Dólares]))</f>
        <v>0</v>
      </c>
      <c r="R17" s="130">
        <f>SUMPRODUCT(($C$16=Producción_Ganadera[Movimiento])*($G17=Producción_Ganadera[Categoría Hacienda])*(R$1=Producción_Ganadera[Mes Financiero])*(R$2=Producción_Ganadera[Año Financiero])*(Producción_Ganadera[Financiero U$S Dólares]))</f>
        <v>0</v>
      </c>
      <c r="S17" s="131">
        <f>SUMPRODUCT(($C$16=Producción_Ganadera[Movimiento])*($G17=Producción_Ganadera[Categoría Hacienda])*(S$1=Producción_Ganadera[Mes Financiero])*(S$2=Producción_Ganadera[Año Financiero])*(Producción_Ganadera[Financiero U$S Dólares]))</f>
        <v>0</v>
      </c>
      <c r="T17" s="130">
        <f>SUMPRODUCT(($C$16=Producción_Ganadera[Movimiento])*($G17=Producción_Ganadera[Categoría Hacienda])*(T$1=Producción_Ganadera[Mes Financiero])*(T$2=Producción_Ganadera[Año Financiero])*(Producción_Ganadera[Financiero U$S Dólares]))</f>
        <v>0</v>
      </c>
      <c r="U17" s="131">
        <f>SUMPRODUCT(($C$16=Producción_Ganadera[Movimiento])*($G17=Producción_Ganadera[Categoría Hacienda])*(U$1=Producción_Ganadera[Mes Financiero])*(U$2=Producción_Ganadera[Año Financiero])*(Producción_Ganadera[Financiero U$S Dólares]))</f>
        <v>0</v>
      </c>
      <c r="V17" s="130">
        <f>SUMPRODUCT(($C$16=Producción_Ganadera[Movimiento])*($G17=Producción_Ganadera[Categoría Hacienda])*(V$1=Producción_Ganadera[Mes Financiero])*(V$2=Producción_Ganadera[Año Financiero])*(Producción_Ganadera[Financiero U$S Dólares]))</f>
        <v>0</v>
      </c>
      <c r="W17" s="131">
        <f>SUMPRODUCT(($C$16=Producción_Ganadera[Movimiento])*($G17=Producción_Ganadera[Categoría Hacienda])*(W$1=Producción_Ganadera[Mes Financiero])*(W$2=Producción_Ganadera[Año Financiero])*(Producción_Ganadera[Financiero U$S Dólares]))</f>
        <v>0</v>
      </c>
      <c r="X17" s="130">
        <f>SUMPRODUCT(($C$16=Producción_Ganadera[Movimiento])*($G17=Producción_Ganadera[Categoría Hacienda])*(X$1=Producción_Ganadera[Mes Financiero])*(X$2=Producción_Ganadera[Año Financiero])*(Producción_Ganadera[Financiero U$S Dólares]))</f>
        <v>0</v>
      </c>
      <c r="Y17" s="131">
        <f>SUMPRODUCT(($C$16=Producción_Ganadera[Movimiento])*($G17=Producción_Ganadera[Categoría Hacienda])*(Y$1=Producción_Ganadera[Mes Financiero])*(Y$2=Producción_Ganadera[Año Financiero])*(Producción_Ganadera[Financiero U$S Dólares]))</f>
        <v>0</v>
      </c>
      <c r="Z17" s="142">
        <f t="shared" si="3"/>
        <v>0</v>
      </c>
      <c r="AC17" s="281"/>
      <c r="AD17" s="281"/>
    </row>
    <row r="18" spans="2:30" hidden="1" outlineLevel="1" x14ac:dyDescent="0.25">
      <c r="F18" s="215">
        <f>IFERROR(MATCH(G18,Produccion_Ganadera[Categoría],0),0)</f>
        <v>2</v>
      </c>
      <c r="G18" s="229" t="str">
        <f>Configuración!AZ6</f>
        <v>Vaca Preñada</v>
      </c>
      <c r="H18" s="130">
        <f>SUMPRODUCT(($C$16=Producción_Ganadera[Movimiento])*($G18=Producción_Ganadera[Categoría Hacienda])*(H$1=Producción_Ganadera[Mes Financiero])*(H$2=Producción_Ganadera[Año Financiero])*(Producción_Ganadera[Financiero U$S Dólares]))</f>
        <v>0</v>
      </c>
      <c r="I18" s="131">
        <f>SUMPRODUCT(($C$16=Producción_Ganadera[Movimiento])*($G18=Producción_Ganadera[Categoría Hacienda])*(I$1=Producción_Ganadera[Mes Financiero])*(I$2=Producción_Ganadera[Año Financiero])*(Producción_Ganadera[Financiero U$S Dólares]))</f>
        <v>0</v>
      </c>
      <c r="J18" s="130">
        <f>SUMPRODUCT(($C$16=Producción_Ganadera[Movimiento])*($G18=Producción_Ganadera[Categoría Hacienda])*(J$1=Producción_Ganadera[Mes Financiero])*(J$2=Producción_Ganadera[Año Financiero])*(Producción_Ganadera[Financiero U$S Dólares]))</f>
        <v>0</v>
      </c>
      <c r="K18" s="131">
        <f>SUMPRODUCT(($C$16=Producción_Ganadera[Movimiento])*($G18=Producción_Ganadera[Categoría Hacienda])*(K$1=Producción_Ganadera[Mes Financiero])*(K$2=Producción_Ganadera[Año Financiero])*(Producción_Ganadera[Financiero U$S Dólares]))</f>
        <v>0</v>
      </c>
      <c r="L18" s="130">
        <f>SUMPRODUCT(($C$16=Producción_Ganadera[Movimiento])*($G18=Producción_Ganadera[Categoría Hacienda])*(L$1=Producción_Ganadera[Mes Financiero])*(L$2=Producción_Ganadera[Año Financiero])*(Producción_Ganadera[Financiero U$S Dólares]))</f>
        <v>0</v>
      </c>
      <c r="M18" s="131">
        <f>SUMPRODUCT(($C$16=Producción_Ganadera[Movimiento])*($G18=Producción_Ganadera[Categoría Hacienda])*(M$1=Producción_Ganadera[Mes Financiero])*(M$2=Producción_Ganadera[Año Financiero])*(Producción_Ganadera[Financiero U$S Dólares]))</f>
        <v>0</v>
      </c>
      <c r="N18" s="130">
        <f>SUMPRODUCT(($C$16=Producción_Ganadera[Movimiento])*($G18=Producción_Ganadera[Categoría Hacienda])*(N$1=Producción_Ganadera[Mes Financiero])*(N$2=Producción_Ganadera[Año Financiero])*(Producción_Ganadera[Financiero U$S Dólares]))</f>
        <v>0</v>
      </c>
      <c r="O18" s="131">
        <f>SUMPRODUCT(($C$16=Producción_Ganadera[Movimiento])*($G18=Producción_Ganadera[Categoría Hacienda])*(O$1=Producción_Ganadera[Mes Financiero])*(O$2=Producción_Ganadera[Año Financiero])*(Producción_Ganadera[Financiero U$S Dólares]))</f>
        <v>0</v>
      </c>
      <c r="P18" s="130">
        <f>SUMPRODUCT(($C$16=Producción_Ganadera[Movimiento])*($G18=Producción_Ganadera[Categoría Hacienda])*(P$1=Producción_Ganadera[Mes Financiero])*(P$2=Producción_Ganadera[Año Financiero])*(Producción_Ganadera[Financiero U$S Dólares]))</f>
        <v>0</v>
      </c>
      <c r="Q18" s="131">
        <f>SUMPRODUCT(($C$16=Producción_Ganadera[Movimiento])*($G18=Producción_Ganadera[Categoría Hacienda])*(Q$1=Producción_Ganadera[Mes Financiero])*(Q$2=Producción_Ganadera[Año Financiero])*(Producción_Ganadera[Financiero U$S Dólares]))</f>
        <v>0</v>
      </c>
      <c r="R18" s="130">
        <f>SUMPRODUCT(($C$16=Producción_Ganadera[Movimiento])*($G18=Producción_Ganadera[Categoría Hacienda])*(R$1=Producción_Ganadera[Mes Financiero])*(R$2=Producción_Ganadera[Año Financiero])*(Producción_Ganadera[Financiero U$S Dólares]))</f>
        <v>0</v>
      </c>
      <c r="S18" s="131">
        <f>SUMPRODUCT(($C$16=Producción_Ganadera[Movimiento])*($G18=Producción_Ganadera[Categoría Hacienda])*(S$1=Producción_Ganadera[Mes Financiero])*(S$2=Producción_Ganadera[Año Financiero])*(Producción_Ganadera[Financiero U$S Dólares]))</f>
        <v>0</v>
      </c>
      <c r="T18" s="130">
        <f>SUMPRODUCT(($C$16=Producción_Ganadera[Movimiento])*($G18=Producción_Ganadera[Categoría Hacienda])*(T$1=Producción_Ganadera[Mes Financiero])*(T$2=Producción_Ganadera[Año Financiero])*(Producción_Ganadera[Financiero U$S Dólares]))</f>
        <v>0</v>
      </c>
      <c r="U18" s="131">
        <f>SUMPRODUCT(($C$16=Producción_Ganadera[Movimiento])*($G18=Producción_Ganadera[Categoría Hacienda])*(U$1=Producción_Ganadera[Mes Financiero])*(U$2=Producción_Ganadera[Año Financiero])*(Producción_Ganadera[Financiero U$S Dólares]))</f>
        <v>0</v>
      </c>
      <c r="V18" s="130">
        <f>SUMPRODUCT(($C$16=Producción_Ganadera[Movimiento])*($G18=Producción_Ganadera[Categoría Hacienda])*(V$1=Producción_Ganadera[Mes Financiero])*(V$2=Producción_Ganadera[Año Financiero])*(Producción_Ganadera[Financiero U$S Dólares]))</f>
        <v>0</v>
      </c>
      <c r="W18" s="131">
        <f>SUMPRODUCT(($C$16=Producción_Ganadera[Movimiento])*($G18=Producción_Ganadera[Categoría Hacienda])*(W$1=Producción_Ganadera[Mes Financiero])*(W$2=Producción_Ganadera[Año Financiero])*(Producción_Ganadera[Financiero U$S Dólares]))</f>
        <v>0</v>
      </c>
      <c r="X18" s="130">
        <f>SUMPRODUCT(($C$16=Producción_Ganadera[Movimiento])*($G18=Producción_Ganadera[Categoría Hacienda])*(X$1=Producción_Ganadera[Mes Financiero])*(X$2=Producción_Ganadera[Año Financiero])*(Producción_Ganadera[Financiero U$S Dólares]))</f>
        <v>0</v>
      </c>
      <c r="Y18" s="131">
        <f>SUMPRODUCT(($C$16=Producción_Ganadera[Movimiento])*($G18=Producción_Ganadera[Categoría Hacienda])*(Y$1=Producción_Ganadera[Mes Financiero])*(Y$2=Producción_Ganadera[Año Financiero])*(Producción_Ganadera[Financiero U$S Dólares]))</f>
        <v>0</v>
      </c>
      <c r="Z18" s="142">
        <f t="shared" si="3"/>
        <v>0</v>
      </c>
      <c r="AC18" s="281"/>
      <c r="AD18" s="281"/>
    </row>
    <row r="19" spans="2:30" hidden="1" outlineLevel="1" x14ac:dyDescent="0.25">
      <c r="F19" s="215">
        <f>IFERROR(MATCH(G19,Produccion_Ganadera[Categoría],0),0)</f>
        <v>3</v>
      </c>
      <c r="G19" s="229" t="str">
        <f>Configuración!AZ7</f>
        <v>Vaca Vacía</v>
      </c>
      <c r="H19" s="130">
        <f>SUMPRODUCT(($C$16=Producción_Ganadera[Movimiento])*($G19=Producción_Ganadera[Categoría Hacienda])*(H$1=Producción_Ganadera[Mes Financiero])*(H$2=Producción_Ganadera[Año Financiero])*(Producción_Ganadera[Financiero U$S Dólares]))</f>
        <v>0</v>
      </c>
      <c r="I19" s="131">
        <f>SUMPRODUCT(($C$16=Producción_Ganadera[Movimiento])*($G19=Producción_Ganadera[Categoría Hacienda])*(I$1=Producción_Ganadera[Mes Financiero])*(I$2=Producción_Ganadera[Año Financiero])*(Producción_Ganadera[Financiero U$S Dólares]))</f>
        <v>0</v>
      </c>
      <c r="J19" s="130">
        <f>SUMPRODUCT(($C$16=Producción_Ganadera[Movimiento])*($G19=Producción_Ganadera[Categoría Hacienda])*(J$1=Producción_Ganadera[Mes Financiero])*(J$2=Producción_Ganadera[Año Financiero])*(Producción_Ganadera[Financiero U$S Dólares]))</f>
        <v>0</v>
      </c>
      <c r="K19" s="131">
        <f>SUMPRODUCT(($C$16=Producción_Ganadera[Movimiento])*($G19=Producción_Ganadera[Categoría Hacienda])*(K$1=Producción_Ganadera[Mes Financiero])*(K$2=Producción_Ganadera[Año Financiero])*(Producción_Ganadera[Financiero U$S Dólares]))</f>
        <v>0</v>
      </c>
      <c r="L19" s="130">
        <f>SUMPRODUCT(($C$16=Producción_Ganadera[Movimiento])*($G19=Producción_Ganadera[Categoría Hacienda])*(L$1=Producción_Ganadera[Mes Financiero])*(L$2=Producción_Ganadera[Año Financiero])*(Producción_Ganadera[Financiero U$S Dólares]))</f>
        <v>0</v>
      </c>
      <c r="M19" s="131">
        <f>SUMPRODUCT(($C$16=Producción_Ganadera[Movimiento])*($G19=Producción_Ganadera[Categoría Hacienda])*(M$1=Producción_Ganadera[Mes Financiero])*(M$2=Producción_Ganadera[Año Financiero])*(Producción_Ganadera[Financiero U$S Dólares]))</f>
        <v>0</v>
      </c>
      <c r="N19" s="130">
        <f>SUMPRODUCT(($C$16=Producción_Ganadera[Movimiento])*($G19=Producción_Ganadera[Categoría Hacienda])*(N$1=Producción_Ganadera[Mes Financiero])*(N$2=Producción_Ganadera[Año Financiero])*(Producción_Ganadera[Financiero U$S Dólares]))</f>
        <v>0</v>
      </c>
      <c r="O19" s="131">
        <f>SUMPRODUCT(($C$16=Producción_Ganadera[Movimiento])*($G19=Producción_Ganadera[Categoría Hacienda])*(O$1=Producción_Ganadera[Mes Financiero])*(O$2=Producción_Ganadera[Año Financiero])*(Producción_Ganadera[Financiero U$S Dólares]))</f>
        <v>0</v>
      </c>
      <c r="P19" s="130">
        <f>SUMPRODUCT(($C$16=Producción_Ganadera[Movimiento])*($G19=Producción_Ganadera[Categoría Hacienda])*(P$1=Producción_Ganadera[Mes Financiero])*(P$2=Producción_Ganadera[Año Financiero])*(Producción_Ganadera[Financiero U$S Dólares]))</f>
        <v>0</v>
      </c>
      <c r="Q19" s="131">
        <f>SUMPRODUCT(($C$16=Producción_Ganadera[Movimiento])*($G19=Producción_Ganadera[Categoría Hacienda])*(Q$1=Producción_Ganadera[Mes Financiero])*(Q$2=Producción_Ganadera[Año Financiero])*(Producción_Ganadera[Financiero U$S Dólares]))</f>
        <v>0</v>
      </c>
      <c r="R19" s="130">
        <f>SUMPRODUCT(($C$16=Producción_Ganadera[Movimiento])*($G19=Producción_Ganadera[Categoría Hacienda])*(R$1=Producción_Ganadera[Mes Financiero])*(R$2=Producción_Ganadera[Año Financiero])*(Producción_Ganadera[Financiero U$S Dólares]))</f>
        <v>0</v>
      </c>
      <c r="S19" s="131">
        <f>SUMPRODUCT(($C$16=Producción_Ganadera[Movimiento])*($G19=Producción_Ganadera[Categoría Hacienda])*(S$1=Producción_Ganadera[Mes Financiero])*(S$2=Producción_Ganadera[Año Financiero])*(Producción_Ganadera[Financiero U$S Dólares]))</f>
        <v>0</v>
      </c>
      <c r="T19" s="130">
        <f>SUMPRODUCT(($C$16=Producción_Ganadera[Movimiento])*($G19=Producción_Ganadera[Categoría Hacienda])*(T$1=Producción_Ganadera[Mes Financiero])*(T$2=Producción_Ganadera[Año Financiero])*(Producción_Ganadera[Financiero U$S Dólares]))</f>
        <v>0</v>
      </c>
      <c r="U19" s="131">
        <f>SUMPRODUCT(($C$16=Producción_Ganadera[Movimiento])*($G19=Producción_Ganadera[Categoría Hacienda])*(U$1=Producción_Ganadera[Mes Financiero])*(U$2=Producción_Ganadera[Año Financiero])*(Producción_Ganadera[Financiero U$S Dólares]))</f>
        <v>0</v>
      </c>
      <c r="V19" s="130">
        <f>SUMPRODUCT(($C$16=Producción_Ganadera[Movimiento])*($G19=Producción_Ganadera[Categoría Hacienda])*(V$1=Producción_Ganadera[Mes Financiero])*(V$2=Producción_Ganadera[Año Financiero])*(Producción_Ganadera[Financiero U$S Dólares]))</f>
        <v>0</v>
      </c>
      <c r="W19" s="131">
        <f>SUMPRODUCT(($C$16=Producción_Ganadera[Movimiento])*($G19=Producción_Ganadera[Categoría Hacienda])*(W$1=Producción_Ganadera[Mes Financiero])*(W$2=Producción_Ganadera[Año Financiero])*(Producción_Ganadera[Financiero U$S Dólares]))</f>
        <v>0</v>
      </c>
      <c r="X19" s="130">
        <f>SUMPRODUCT(($C$16=Producción_Ganadera[Movimiento])*($G19=Producción_Ganadera[Categoría Hacienda])*(X$1=Producción_Ganadera[Mes Financiero])*(X$2=Producción_Ganadera[Año Financiero])*(Producción_Ganadera[Financiero U$S Dólares]))</f>
        <v>0</v>
      </c>
      <c r="Y19" s="131">
        <f>SUMPRODUCT(($C$16=Producción_Ganadera[Movimiento])*($G19=Producción_Ganadera[Categoría Hacienda])*(Y$1=Producción_Ganadera[Mes Financiero])*(Y$2=Producción_Ganadera[Año Financiero])*(Producción_Ganadera[Financiero U$S Dólares]))</f>
        <v>0</v>
      </c>
      <c r="Z19" s="142">
        <f t="shared" si="3"/>
        <v>0</v>
      </c>
      <c r="AC19" s="281"/>
      <c r="AD19" s="281"/>
    </row>
    <row r="20" spans="2:30" hidden="1" outlineLevel="1" x14ac:dyDescent="0.25">
      <c r="F20" s="215">
        <f>IFERROR(MATCH(G20,Produccion_Ganadera[Categoría],0),0)</f>
        <v>4</v>
      </c>
      <c r="G20" s="229" t="str">
        <f>Configuración!AZ8</f>
        <v>Vaquillona Preñada</v>
      </c>
      <c r="H20" s="130">
        <f>SUMPRODUCT(($C$16=Producción_Ganadera[Movimiento])*($G20=Producción_Ganadera[Categoría Hacienda])*(H$1=Producción_Ganadera[Mes Financiero])*(H$2=Producción_Ganadera[Año Financiero])*(Producción_Ganadera[Financiero U$S Dólares]))</f>
        <v>0</v>
      </c>
      <c r="I20" s="131">
        <f>SUMPRODUCT(($C$16=Producción_Ganadera[Movimiento])*($G20=Producción_Ganadera[Categoría Hacienda])*(I$1=Producción_Ganadera[Mes Financiero])*(I$2=Producción_Ganadera[Año Financiero])*(Producción_Ganadera[Financiero U$S Dólares]))</f>
        <v>0</v>
      </c>
      <c r="J20" s="130">
        <f>SUMPRODUCT(($C$16=Producción_Ganadera[Movimiento])*($G20=Producción_Ganadera[Categoría Hacienda])*(J$1=Producción_Ganadera[Mes Financiero])*(J$2=Producción_Ganadera[Año Financiero])*(Producción_Ganadera[Financiero U$S Dólares]))</f>
        <v>0</v>
      </c>
      <c r="K20" s="131">
        <f>SUMPRODUCT(($C$16=Producción_Ganadera[Movimiento])*($G20=Producción_Ganadera[Categoría Hacienda])*(K$1=Producción_Ganadera[Mes Financiero])*(K$2=Producción_Ganadera[Año Financiero])*(Producción_Ganadera[Financiero U$S Dólares]))</f>
        <v>0</v>
      </c>
      <c r="L20" s="130">
        <f>SUMPRODUCT(($C$16=Producción_Ganadera[Movimiento])*($G20=Producción_Ganadera[Categoría Hacienda])*(L$1=Producción_Ganadera[Mes Financiero])*(L$2=Producción_Ganadera[Año Financiero])*(Producción_Ganadera[Financiero U$S Dólares]))</f>
        <v>0</v>
      </c>
      <c r="M20" s="131">
        <f>SUMPRODUCT(($C$16=Producción_Ganadera[Movimiento])*($G20=Producción_Ganadera[Categoría Hacienda])*(M$1=Producción_Ganadera[Mes Financiero])*(M$2=Producción_Ganadera[Año Financiero])*(Producción_Ganadera[Financiero U$S Dólares]))</f>
        <v>0</v>
      </c>
      <c r="N20" s="130">
        <f>SUMPRODUCT(($C$16=Producción_Ganadera[Movimiento])*($G20=Producción_Ganadera[Categoría Hacienda])*(N$1=Producción_Ganadera[Mes Financiero])*(N$2=Producción_Ganadera[Año Financiero])*(Producción_Ganadera[Financiero U$S Dólares]))</f>
        <v>0</v>
      </c>
      <c r="O20" s="131">
        <f>SUMPRODUCT(($C$16=Producción_Ganadera[Movimiento])*($G20=Producción_Ganadera[Categoría Hacienda])*(O$1=Producción_Ganadera[Mes Financiero])*(O$2=Producción_Ganadera[Año Financiero])*(Producción_Ganadera[Financiero U$S Dólares]))</f>
        <v>0</v>
      </c>
      <c r="P20" s="130">
        <f>SUMPRODUCT(($C$16=Producción_Ganadera[Movimiento])*($G20=Producción_Ganadera[Categoría Hacienda])*(P$1=Producción_Ganadera[Mes Financiero])*(P$2=Producción_Ganadera[Año Financiero])*(Producción_Ganadera[Financiero U$S Dólares]))</f>
        <v>0</v>
      </c>
      <c r="Q20" s="131">
        <f>SUMPRODUCT(($C$16=Producción_Ganadera[Movimiento])*($G20=Producción_Ganadera[Categoría Hacienda])*(Q$1=Producción_Ganadera[Mes Financiero])*(Q$2=Producción_Ganadera[Año Financiero])*(Producción_Ganadera[Financiero U$S Dólares]))</f>
        <v>0</v>
      </c>
      <c r="R20" s="130">
        <f>SUMPRODUCT(($C$16=Producción_Ganadera[Movimiento])*($G20=Producción_Ganadera[Categoría Hacienda])*(R$1=Producción_Ganadera[Mes Financiero])*(R$2=Producción_Ganadera[Año Financiero])*(Producción_Ganadera[Financiero U$S Dólares]))</f>
        <v>0</v>
      </c>
      <c r="S20" s="131">
        <f>SUMPRODUCT(($C$16=Producción_Ganadera[Movimiento])*($G20=Producción_Ganadera[Categoría Hacienda])*(S$1=Producción_Ganadera[Mes Financiero])*(S$2=Producción_Ganadera[Año Financiero])*(Producción_Ganadera[Financiero U$S Dólares]))</f>
        <v>0</v>
      </c>
      <c r="T20" s="130">
        <f>SUMPRODUCT(($C$16=Producción_Ganadera[Movimiento])*($G20=Producción_Ganadera[Categoría Hacienda])*(T$1=Producción_Ganadera[Mes Financiero])*(T$2=Producción_Ganadera[Año Financiero])*(Producción_Ganadera[Financiero U$S Dólares]))</f>
        <v>0</v>
      </c>
      <c r="U20" s="131">
        <f>SUMPRODUCT(($C$16=Producción_Ganadera[Movimiento])*($G20=Producción_Ganadera[Categoría Hacienda])*(U$1=Producción_Ganadera[Mes Financiero])*(U$2=Producción_Ganadera[Año Financiero])*(Producción_Ganadera[Financiero U$S Dólares]))</f>
        <v>0</v>
      </c>
      <c r="V20" s="130">
        <f>SUMPRODUCT(($C$16=Producción_Ganadera[Movimiento])*($G20=Producción_Ganadera[Categoría Hacienda])*(V$1=Producción_Ganadera[Mes Financiero])*(V$2=Producción_Ganadera[Año Financiero])*(Producción_Ganadera[Financiero U$S Dólares]))</f>
        <v>0</v>
      </c>
      <c r="W20" s="131">
        <f>SUMPRODUCT(($C$16=Producción_Ganadera[Movimiento])*($G20=Producción_Ganadera[Categoría Hacienda])*(W$1=Producción_Ganadera[Mes Financiero])*(W$2=Producción_Ganadera[Año Financiero])*(Producción_Ganadera[Financiero U$S Dólares]))</f>
        <v>0</v>
      </c>
      <c r="X20" s="130">
        <f>SUMPRODUCT(($C$16=Producción_Ganadera[Movimiento])*($G20=Producción_Ganadera[Categoría Hacienda])*(X$1=Producción_Ganadera[Mes Financiero])*(X$2=Producción_Ganadera[Año Financiero])*(Producción_Ganadera[Financiero U$S Dólares]))</f>
        <v>0</v>
      </c>
      <c r="Y20" s="131">
        <f>SUMPRODUCT(($C$16=Producción_Ganadera[Movimiento])*($G20=Producción_Ganadera[Categoría Hacienda])*(Y$1=Producción_Ganadera[Mes Financiero])*(Y$2=Producción_Ganadera[Año Financiero])*(Producción_Ganadera[Financiero U$S Dólares]))</f>
        <v>0</v>
      </c>
      <c r="Z20" s="142">
        <f t="shared" si="3"/>
        <v>0</v>
      </c>
      <c r="AC20" s="281"/>
      <c r="AD20" s="281"/>
    </row>
    <row r="21" spans="2:30" hidden="1" outlineLevel="1" x14ac:dyDescent="0.25">
      <c r="F21" s="215">
        <f>IFERROR(MATCH(G21,Produccion_Ganadera[Categoría],0),0)</f>
        <v>5</v>
      </c>
      <c r="G21" s="229" t="str">
        <f>Configuración!AZ9</f>
        <v>Vaquillona 06-15</v>
      </c>
      <c r="H21" s="130">
        <f>SUMPRODUCT(($C$16=Producción_Ganadera[Movimiento])*($G21=Producción_Ganadera[Categoría Hacienda])*(H$1=Producción_Ganadera[Mes Financiero])*(H$2=Producción_Ganadera[Año Financiero])*(Producción_Ganadera[Financiero U$S Dólares]))</f>
        <v>0</v>
      </c>
      <c r="I21" s="131">
        <f>SUMPRODUCT(($C$16=Producción_Ganadera[Movimiento])*($G21=Producción_Ganadera[Categoría Hacienda])*(I$1=Producción_Ganadera[Mes Financiero])*(I$2=Producción_Ganadera[Año Financiero])*(Producción_Ganadera[Financiero U$S Dólares]))</f>
        <v>0</v>
      </c>
      <c r="J21" s="130">
        <f>SUMPRODUCT(($C$16=Producción_Ganadera[Movimiento])*($G21=Producción_Ganadera[Categoría Hacienda])*(J$1=Producción_Ganadera[Mes Financiero])*(J$2=Producción_Ganadera[Año Financiero])*(Producción_Ganadera[Financiero U$S Dólares]))</f>
        <v>0</v>
      </c>
      <c r="K21" s="131">
        <f>SUMPRODUCT(($C$16=Producción_Ganadera[Movimiento])*($G21=Producción_Ganadera[Categoría Hacienda])*(K$1=Producción_Ganadera[Mes Financiero])*(K$2=Producción_Ganadera[Año Financiero])*(Producción_Ganadera[Financiero U$S Dólares]))</f>
        <v>0</v>
      </c>
      <c r="L21" s="130">
        <f>SUMPRODUCT(($C$16=Producción_Ganadera[Movimiento])*($G21=Producción_Ganadera[Categoría Hacienda])*(L$1=Producción_Ganadera[Mes Financiero])*(L$2=Producción_Ganadera[Año Financiero])*(Producción_Ganadera[Financiero U$S Dólares]))</f>
        <v>0</v>
      </c>
      <c r="M21" s="131">
        <f>SUMPRODUCT(($C$16=Producción_Ganadera[Movimiento])*($G21=Producción_Ganadera[Categoría Hacienda])*(M$1=Producción_Ganadera[Mes Financiero])*(M$2=Producción_Ganadera[Año Financiero])*(Producción_Ganadera[Financiero U$S Dólares]))</f>
        <v>0</v>
      </c>
      <c r="N21" s="130">
        <f>SUMPRODUCT(($C$16=Producción_Ganadera[Movimiento])*($G21=Producción_Ganadera[Categoría Hacienda])*(N$1=Producción_Ganadera[Mes Financiero])*(N$2=Producción_Ganadera[Año Financiero])*(Producción_Ganadera[Financiero U$S Dólares]))</f>
        <v>0</v>
      </c>
      <c r="O21" s="131">
        <f>SUMPRODUCT(($C$16=Producción_Ganadera[Movimiento])*($G21=Producción_Ganadera[Categoría Hacienda])*(O$1=Producción_Ganadera[Mes Financiero])*(O$2=Producción_Ganadera[Año Financiero])*(Producción_Ganadera[Financiero U$S Dólares]))</f>
        <v>0</v>
      </c>
      <c r="P21" s="130">
        <f>SUMPRODUCT(($C$16=Producción_Ganadera[Movimiento])*($G21=Producción_Ganadera[Categoría Hacienda])*(P$1=Producción_Ganadera[Mes Financiero])*(P$2=Producción_Ganadera[Año Financiero])*(Producción_Ganadera[Financiero U$S Dólares]))</f>
        <v>0</v>
      </c>
      <c r="Q21" s="131">
        <f>SUMPRODUCT(($C$16=Producción_Ganadera[Movimiento])*($G21=Producción_Ganadera[Categoría Hacienda])*(Q$1=Producción_Ganadera[Mes Financiero])*(Q$2=Producción_Ganadera[Año Financiero])*(Producción_Ganadera[Financiero U$S Dólares]))</f>
        <v>0</v>
      </c>
      <c r="R21" s="130">
        <f>SUMPRODUCT(($C$16=Producción_Ganadera[Movimiento])*($G21=Producción_Ganadera[Categoría Hacienda])*(R$1=Producción_Ganadera[Mes Financiero])*(R$2=Producción_Ganadera[Año Financiero])*(Producción_Ganadera[Financiero U$S Dólares]))</f>
        <v>0</v>
      </c>
      <c r="S21" s="131">
        <f>SUMPRODUCT(($C$16=Producción_Ganadera[Movimiento])*($G21=Producción_Ganadera[Categoría Hacienda])*(S$1=Producción_Ganadera[Mes Financiero])*(S$2=Producción_Ganadera[Año Financiero])*(Producción_Ganadera[Financiero U$S Dólares]))</f>
        <v>0</v>
      </c>
      <c r="T21" s="130">
        <f>SUMPRODUCT(($C$16=Producción_Ganadera[Movimiento])*($G21=Producción_Ganadera[Categoría Hacienda])*(T$1=Producción_Ganadera[Mes Financiero])*(T$2=Producción_Ganadera[Año Financiero])*(Producción_Ganadera[Financiero U$S Dólares]))</f>
        <v>0</v>
      </c>
      <c r="U21" s="131">
        <f>SUMPRODUCT(($C$16=Producción_Ganadera[Movimiento])*($G21=Producción_Ganadera[Categoría Hacienda])*(U$1=Producción_Ganadera[Mes Financiero])*(U$2=Producción_Ganadera[Año Financiero])*(Producción_Ganadera[Financiero U$S Dólares]))</f>
        <v>0</v>
      </c>
      <c r="V21" s="130">
        <f>SUMPRODUCT(($C$16=Producción_Ganadera[Movimiento])*($G21=Producción_Ganadera[Categoría Hacienda])*(V$1=Producción_Ganadera[Mes Financiero])*(V$2=Producción_Ganadera[Año Financiero])*(Producción_Ganadera[Financiero U$S Dólares]))</f>
        <v>0</v>
      </c>
      <c r="W21" s="131">
        <f>SUMPRODUCT(($C$16=Producción_Ganadera[Movimiento])*($G21=Producción_Ganadera[Categoría Hacienda])*(W$1=Producción_Ganadera[Mes Financiero])*(W$2=Producción_Ganadera[Año Financiero])*(Producción_Ganadera[Financiero U$S Dólares]))</f>
        <v>0</v>
      </c>
      <c r="X21" s="130">
        <f>SUMPRODUCT(($C$16=Producción_Ganadera[Movimiento])*($G21=Producción_Ganadera[Categoría Hacienda])*(X$1=Producción_Ganadera[Mes Financiero])*(X$2=Producción_Ganadera[Año Financiero])*(Producción_Ganadera[Financiero U$S Dólares]))</f>
        <v>0</v>
      </c>
      <c r="Y21" s="131">
        <f>SUMPRODUCT(($C$16=Producción_Ganadera[Movimiento])*($G21=Producción_Ganadera[Categoría Hacienda])*(Y$1=Producción_Ganadera[Mes Financiero])*(Y$2=Producción_Ganadera[Año Financiero])*(Producción_Ganadera[Financiero U$S Dólares]))</f>
        <v>0</v>
      </c>
      <c r="Z21" s="142">
        <f t="shared" si="3"/>
        <v>0</v>
      </c>
      <c r="AC21" s="281"/>
      <c r="AD21" s="281"/>
    </row>
    <row r="22" spans="2:30" hidden="1" outlineLevel="1" x14ac:dyDescent="0.25">
      <c r="F22" s="215">
        <f>IFERROR(MATCH(G22,Produccion_Ganadera[Categoría],0),0)</f>
        <v>6</v>
      </c>
      <c r="G22" s="229" t="str">
        <f>Configuración!AZ10</f>
        <v>Vaquillona 15-27</v>
      </c>
      <c r="H22" s="130">
        <f>SUMPRODUCT(($C$16=Producción_Ganadera[Movimiento])*($G22=Producción_Ganadera[Categoría Hacienda])*(H$1=Producción_Ganadera[Mes Financiero])*(H$2=Producción_Ganadera[Año Financiero])*(Producción_Ganadera[Financiero U$S Dólares]))</f>
        <v>0</v>
      </c>
      <c r="I22" s="131">
        <f>SUMPRODUCT(($C$16=Producción_Ganadera[Movimiento])*($G22=Producción_Ganadera[Categoría Hacienda])*(I$1=Producción_Ganadera[Mes Financiero])*(I$2=Producción_Ganadera[Año Financiero])*(Producción_Ganadera[Financiero U$S Dólares]))</f>
        <v>0</v>
      </c>
      <c r="J22" s="130">
        <f>SUMPRODUCT(($C$16=Producción_Ganadera[Movimiento])*($G22=Producción_Ganadera[Categoría Hacienda])*(J$1=Producción_Ganadera[Mes Financiero])*(J$2=Producción_Ganadera[Año Financiero])*(Producción_Ganadera[Financiero U$S Dólares]))</f>
        <v>0</v>
      </c>
      <c r="K22" s="131">
        <f>SUMPRODUCT(($C$16=Producción_Ganadera[Movimiento])*($G22=Producción_Ganadera[Categoría Hacienda])*(K$1=Producción_Ganadera[Mes Financiero])*(K$2=Producción_Ganadera[Año Financiero])*(Producción_Ganadera[Financiero U$S Dólares]))</f>
        <v>0</v>
      </c>
      <c r="L22" s="130">
        <f>SUMPRODUCT(($C$16=Producción_Ganadera[Movimiento])*($G22=Producción_Ganadera[Categoría Hacienda])*(L$1=Producción_Ganadera[Mes Financiero])*(L$2=Producción_Ganadera[Año Financiero])*(Producción_Ganadera[Financiero U$S Dólares]))</f>
        <v>0</v>
      </c>
      <c r="M22" s="131">
        <f>SUMPRODUCT(($C$16=Producción_Ganadera[Movimiento])*($G22=Producción_Ganadera[Categoría Hacienda])*(M$1=Producción_Ganadera[Mes Financiero])*(M$2=Producción_Ganadera[Año Financiero])*(Producción_Ganadera[Financiero U$S Dólares]))</f>
        <v>0</v>
      </c>
      <c r="N22" s="130">
        <f>SUMPRODUCT(($C$16=Producción_Ganadera[Movimiento])*($G22=Producción_Ganadera[Categoría Hacienda])*(N$1=Producción_Ganadera[Mes Financiero])*(N$2=Producción_Ganadera[Año Financiero])*(Producción_Ganadera[Financiero U$S Dólares]))</f>
        <v>0</v>
      </c>
      <c r="O22" s="131">
        <f>SUMPRODUCT(($C$16=Producción_Ganadera[Movimiento])*($G22=Producción_Ganadera[Categoría Hacienda])*(O$1=Producción_Ganadera[Mes Financiero])*(O$2=Producción_Ganadera[Año Financiero])*(Producción_Ganadera[Financiero U$S Dólares]))</f>
        <v>0</v>
      </c>
      <c r="P22" s="130">
        <f>SUMPRODUCT(($C$16=Producción_Ganadera[Movimiento])*($G22=Producción_Ganadera[Categoría Hacienda])*(P$1=Producción_Ganadera[Mes Financiero])*(P$2=Producción_Ganadera[Año Financiero])*(Producción_Ganadera[Financiero U$S Dólares]))</f>
        <v>0</v>
      </c>
      <c r="Q22" s="131">
        <f>SUMPRODUCT(($C$16=Producción_Ganadera[Movimiento])*($G22=Producción_Ganadera[Categoría Hacienda])*(Q$1=Producción_Ganadera[Mes Financiero])*(Q$2=Producción_Ganadera[Año Financiero])*(Producción_Ganadera[Financiero U$S Dólares]))</f>
        <v>0</v>
      </c>
      <c r="R22" s="130">
        <f>SUMPRODUCT(($C$16=Producción_Ganadera[Movimiento])*($G22=Producción_Ganadera[Categoría Hacienda])*(R$1=Producción_Ganadera[Mes Financiero])*(R$2=Producción_Ganadera[Año Financiero])*(Producción_Ganadera[Financiero U$S Dólares]))</f>
        <v>0</v>
      </c>
      <c r="S22" s="131">
        <f>SUMPRODUCT(($C$16=Producción_Ganadera[Movimiento])*($G22=Producción_Ganadera[Categoría Hacienda])*(S$1=Producción_Ganadera[Mes Financiero])*(S$2=Producción_Ganadera[Año Financiero])*(Producción_Ganadera[Financiero U$S Dólares]))</f>
        <v>0</v>
      </c>
      <c r="T22" s="130">
        <f>SUMPRODUCT(($C$16=Producción_Ganadera[Movimiento])*($G22=Producción_Ganadera[Categoría Hacienda])*(T$1=Producción_Ganadera[Mes Financiero])*(T$2=Producción_Ganadera[Año Financiero])*(Producción_Ganadera[Financiero U$S Dólares]))</f>
        <v>0</v>
      </c>
      <c r="U22" s="131">
        <f>SUMPRODUCT(($C$16=Producción_Ganadera[Movimiento])*($G22=Producción_Ganadera[Categoría Hacienda])*(U$1=Producción_Ganadera[Mes Financiero])*(U$2=Producción_Ganadera[Año Financiero])*(Producción_Ganadera[Financiero U$S Dólares]))</f>
        <v>0</v>
      </c>
      <c r="V22" s="130">
        <f>SUMPRODUCT(($C$16=Producción_Ganadera[Movimiento])*($G22=Producción_Ganadera[Categoría Hacienda])*(V$1=Producción_Ganadera[Mes Financiero])*(V$2=Producción_Ganadera[Año Financiero])*(Producción_Ganadera[Financiero U$S Dólares]))</f>
        <v>0</v>
      </c>
      <c r="W22" s="131">
        <f>SUMPRODUCT(($C$16=Producción_Ganadera[Movimiento])*($G22=Producción_Ganadera[Categoría Hacienda])*(W$1=Producción_Ganadera[Mes Financiero])*(W$2=Producción_Ganadera[Año Financiero])*(Producción_Ganadera[Financiero U$S Dólares]))</f>
        <v>0</v>
      </c>
      <c r="X22" s="130">
        <f>SUMPRODUCT(($C$16=Producción_Ganadera[Movimiento])*($G22=Producción_Ganadera[Categoría Hacienda])*(X$1=Producción_Ganadera[Mes Financiero])*(X$2=Producción_Ganadera[Año Financiero])*(Producción_Ganadera[Financiero U$S Dólares]))</f>
        <v>0</v>
      </c>
      <c r="Y22" s="131">
        <f>SUMPRODUCT(($C$16=Producción_Ganadera[Movimiento])*($G22=Producción_Ganadera[Categoría Hacienda])*(Y$1=Producción_Ganadera[Mes Financiero])*(Y$2=Producción_Ganadera[Año Financiero])*(Producción_Ganadera[Financiero U$S Dólares]))</f>
        <v>0</v>
      </c>
      <c r="Z22" s="142">
        <f t="shared" si="3"/>
        <v>0</v>
      </c>
      <c r="AC22" s="281"/>
      <c r="AD22" s="281"/>
    </row>
    <row r="23" spans="2:30" hidden="1" outlineLevel="1" x14ac:dyDescent="0.25">
      <c r="F23" s="215">
        <f>IFERROR(MATCH(G23,Produccion_Ganadera[Categoría],0),0)</f>
        <v>7</v>
      </c>
      <c r="G23" s="229" t="str">
        <f>Configuración!AZ11</f>
        <v>Ternera</v>
      </c>
      <c r="H23" s="130">
        <f>SUMPRODUCT(($C$16=Producción_Ganadera[Movimiento])*($G23=Producción_Ganadera[Categoría Hacienda])*(H$1=Producción_Ganadera[Mes Financiero])*(H$2=Producción_Ganadera[Año Financiero])*(Producción_Ganadera[Financiero U$S Dólares]))</f>
        <v>0</v>
      </c>
      <c r="I23" s="131">
        <f>SUMPRODUCT(($C$16=Producción_Ganadera[Movimiento])*($G23=Producción_Ganadera[Categoría Hacienda])*(I$1=Producción_Ganadera[Mes Financiero])*(I$2=Producción_Ganadera[Año Financiero])*(Producción_Ganadera[Financiero U$S Dólares]))</f>
        <v>0</v>
      </c>
      <c r="J23" s="130">
        <f>SUMPRODUCT(($C$16=Producción_Ganadera[Movimiento])*($G23=Producción_Ganadera[Categoría Hacienda])*(J$1=Producción_Ganadera[Mes Financiero])*(J$2=Producción_Ganadera[Año Financiero])*(Producción_Ganadera[Financiero U$S Dólares]))</f>
        <v>0</v>
      </c>
      <c r="K23" s="131">
        <f>SUMPRODUCT(($C$16=Producción_Ganadera[Movimiento])*($G23=Producción_Ganadera[Categoría Hacienda])*(K$1=Producción_Ganadera[Mes Financiero])*(K$2=Producción_Ganadera[Año Financiero])*(Producción_Ganadera[Financiero U$S Dólares]))</f>
        <v>0</v>
      </c>
      <c r="L23" s="130">
        <f>SUMPRODUCT(($C$16=Producción_Ganadera[Movimiento])*($G23=Producción_Ganadera[Categoría Hacienda])*(L$1=Producción_Ganadera[Mes Financiero])*(L$2=Producción_Ganadera[Año Financiero])*(Producción_Ganadera[Financiero U$S Dólares]))</f>
        <v>0</v>
      </c>
      <c r="M23" s="131">
        <f>SUMPRODUCT(($C$16=Producción_Ganadera[Movimiento])*($G23=Producción_Ganadera[Categoría Hacienda])*(M$1=Producción_Ganadera[Mes Financiero])*(M$2=Producción_Ganadera[Año Financiero])*(Producción_Ganadera[Financiero U$S Dólares]))</f>
        <v>0</v>
      </c>
      <c r="N23" s="130">
        <f>SUMPRODUCT(($C$16=Producción_Ganadera[Movimiento])*($G23=Producción_Ganadera[Categoría Hacienda])*(N$1=Producción_Ganadera[Mes Financiero])*(N$2=Producción_Ganadera[Año Financiero])*(Producción_Ganadera[Financiero U$S Dólares]))</f>
        <v>0</v>
      </c>
      <c r="O23" s="131">
        <f>SUMPRODUCT(($C$16=Producción_Ganadera[Movimiento])*($G23=Producción_Ganadera[Categoría Hacienda])*(O$1=Producción_Ganadera[Mes Financiero])*(O$2=Producción_Ganadera[Año Financiero])*(Producción_Ganadera[Financiero U$S Dólares]))</f>
        <v>0</v>
      </c>
      <c r="P23" s="130">
        <f>SUMPRODUCT(($C$16=Producción_Ganadera[Movimiento])*($G23=Producción_Ganadera[Categoría Hacienda])*(P$1=Producción_Ganadera[Mes Financiero])*(P$2=Producción_Ganadera[Año Financiero])*(Producción_Ganadera[Financiero U$S Dólares]))</f>
        <v>0</v>
      </c>
      <c r="Q23" s="131">
        <f>SUMPRODUCT(($C$16=Producción_Ganadera[Movimiento])*($G23=Producción_Ganadera[Categoría Hacienda])*(Q$1=Producción_Ganadera[Mes Financiero])*(Q$2=Producción_Ganadera[Año Financiero])*(Producción_Ganadera[Financiero U$S Dólares]))</f>
        <v>0</v>
      </c>
      <c r="R23" s="130">
        <f>SUMPRODUCT(($C$16=Producción_Ganadera[Movimiento])*($G23=Producción_Ganadera[Categoría Hacienda])*(R$1=Producción_Ganadera[Mes Financiero])*(R$2=Producción_Ganadera[Año Financiero])*(Producción_Ganadera[Financiero U$S Dólares]))</f>
        <v>0</v>
      </c>
      <c r="S23" s="131">
        <f>SUMPRODUCT(($C$16=Producción_Ganadera[Movimiento])*($G23=Producción_Ganadera[Categoría Hacienda])*(S$1=Producción_Ganadera[Mes Financiero])*(S$2=Producción_Ganadera[Año Financiero])*(Producción_Ganadera[Financiero U$S Dólares]))</f>
        <v>0</v>
      </c>
      <c r="T23" s="130">
        <f>SUMPRODUCT(($C$16=Producción_Ganadera[Movimiento])*($G23=Producción_Ganadera[Categoría Hacienda])*(T$1=Producción_Ganadera[Mes Financiero])*(T$2=Producción_Ganadera[Año Financiero])*(Producción_Ganadera[Financiero U$S Dólares]))</f>
        <v>0</v>
      </c>
      <c r="U23" s="131">
        <f>SUMPRODUCT(($C$16=Producción_Ganadera[Movimiento])*($G23=Producción_Ganadera[Categoría Hacienda])*(U$1=Producción_Ganadera[Mes Financiero])*(U$2=Producción_Ganadera[Año Financiero])*(Producción_Ganadera[Financiero U$S Dólares]))</f>
        <v>0</v>
      </c>
      <c r="V23" s="130">
        <f>SUMPRODUCT(($C$16=Producción_Ganadera[Movimiento])*($G23=Producción_Ganadera[Categoría Hacienda])*(V$1=Producción_Ganadera[Mes Financiero])*(V$2=Producción_Ganadera[Año Financiero])*(Producción_Ganadera[Financiero U$S Dólares]))</f>
        <v>0</v>
      </c>
      <c r="W23" s="131">
        <f>SUMPRODUCT(($C$16=Producción_Ganadera[Movimiento])*($G23=Producción_Ganadera[Categoría Hacienda])*(W$1=Producción_Ganadera[Mes Financiero])*(W$2=Producción_Ganadera[Año Financiero])*(Producción_Ganadera[Financiero U$S Dólares]))</f>
        <v>0</v>
      </c>
      <c r="X23" s="130">
        <f>SUMPRODUCT(($C$16=Producción_Ganadera[Movimiento])*($G23=Producción_Ganadera[Categoría Hacienda])*(X$1=Producción_Ganadera[Mes Financiero])*(X$2=Producción_Ganadera[Año Financiero])*(Producción_Ganadera[Financiero U$S Dólares]))</f>
        <v>0</v>
      </c>
      <c r="Y23" s="131">
        <f>SUMPRODUCT(($C$16=Producción_Ganadera[Movimiento])*($G23=Producción_Ganadera[Categoría Hacienda])*(Y$1=Producción_Ganadera[Mes Financiero])*(Y$2=Producción_Ganadera[Año Financiero])*(Producción_Ganadera[Financiero U$S Dólares]))</f>
        <v>0</v>
      </c>
      <c r="Z23" s="142">
        <f t="shared" si="3"/>
        <v>0</v>
      </c>
      <c r="AC23" s="281"/>
      <c r="AD23" s="281"/>
    </row>
    <row r="24" spans="2:30" hidden="1" outlineLevel="1" x14ac:dyDescent="0.25">
      <c r="F24" s="215">
        <f>IFERROR(MATCH(G24,Produccion_Ganadera[Categoría],0),0)</f>
        <v>8</v>
      </c>
      <c r="G24" s="229" t="str">
        <f>Configuración!AZ12</f>
        <v>Ternero</v>
      </c>
      <c r="H24" s="130">
        <f>SUMPRODUCT(($C$16=Producción_Ganadera[Movimiento])*($G24=Producción_Ganadera[Categoría Hacienda])*(H$1=Producción_Ganadera[Mes Financiero])*(H$2=Producción_Ganadera[Año Financiero])*(Producción_Ganadera[Financiero U$S Dólares]))</f>
        <v>0</v>
      </c>
      <c r="I24" s="131">
        <f>SUMPRODUCT(($C$16=Producción_Ganadera[Movimiento])*($G24=Producción_Ganadera[Categoría Hacienda])*(I$1=Producción_Ganadera[Mes Financiero])*(I$2=Producción_Ganadera[Año Financiero])*(Producción_Ganadera[Financiero U$S Dólares]))</f>
        <v>0</v>
      </c>
      <c r="J24" s="130">
        <f>SUMPRODUCT(($C$16=Producción_Ganadera[Movimiento])*($G24=Producción_Ganadera[Categoría Hacienda])*(J$1=Producción_Ganadera[Mes Financiero])*(J$2=Producción_Ganadera[Año Financiero])*(Producción_Ganadera[Financiero U$S Dólares]))</f>
        <v>0</v>
      </c>
      <c r="K24" s="131">
        <f>SUMPRODUCT(($C$16=Producción_Ganadera[Movimiento])*($G24=Producción_Ganadera[Categoría Hacienda])*(K$1=Producción_Ganadera[Mes Financiero])*(K$2=Producción_Ganadera[Año Financiero])*(Producción_Ganadera[Financiero U$S Dólares]))</f>
        <v>0</v>
      </c>
      <c r="L24" s="130">
        <f>SUMPRODUCT(($C$16=Producción_Ganadera[Movimiento])*($G24=Producción_Ganadera[Categoría Hacienda])*(L$1=Producción_Ganadera[Mes Financiero])*(L$2=Producción_Ganadera[Año Financiero])*(Producción_Ganadera[Financiero U$S Dólares]))</f>
        <v>0</v>
      </c>
      <c r="M24" s="131">
        <f>SUMPRODUCT(($C$16=Producción_Ganadera[Movimiento])*($G24=Producción_Ganadera[Categoría Hacienda])*(M$1=Producción_Ganadera[Mes Financiero])*(M$2=Producción_Ganadera[Año Financiero])*(Producción_Ganadera[Financiero U$S Dólares]))</f>
        <v>0</v>
      </c>
      <c r="N24" s="130">
        <f>SUMPRODUCT(($C$16=Producción_Ganadera[Movimiento])*($G24=Producción_Ganadera[Categoría Hacienda])*(N$1=Producción_Ganadera[Mes Financiero])*(N$2=Producción_Ganadera[Año Financiero])*(Producción_Ganadera[Financiero U$S Dólares]))</f>
        <v>0</v>
      </c>
      <c r="O24" s="131">
        <f>SUMPRODUCT(($C$16=Producción_Ganadera[Movimiento])*($G24=Producción_Ganadera[Categoría Hacienda])*(O$1=Producción_Ganadera[Mes Financiero])*(O$2=Producción_Ganadera[Año Financiero])*(Producción_Ganadera[Financiero U$S Dólares]))</f>
        <v>0</v>
      </c>
      <c r="P24" s="130">
        <f>SUMPRODUCT(($C$16=Producción_Ganadera[Movimiento])*($G24=Producción_Ganadera[Categoría Hacienda])*(P$1=Producción_Ganadera[Mes Financiero])*(P$2=Producción_Ganadera[Año Financiero])*(Producción_Ganadera[Financiero U$S Dólares]))</f>
        <v>0</v>
      </c>
      <c r="Q24" s="131">
        <f>SUMPRODUCT(($C$16=Producción_Ganadera[Movimiento])*($G24=Producción_Ganadera[Categoría Hacienda])*(Q$1=Producción_Ganadera[Mes Financiero])*(Q$2=Producción_Ganadera[Año Financiero])*(Producción_Ganadera[Financiero U$S Dólares]))</f>
        <v>0</v>
      </c>
      <c r="R24" s="130">
        <f>SUMPRODUCT(($C$16=Producción_Ganadera[Movimiento])*($G24=Producción_Ganadera[Categoría Hacienda])*(R$1=Producción_Ganadera[Mes Financiero])*(R$2=Producción_Ganadera[Año Financiero])*(Producción_Ganadera[Financiero U$S Dólares]))</f>
        <v>0</v>
      </c>
      <c r="S24" s="131">
        <f>SUMPRODUCT(($C$16=Producción_Ganadera[Movimiento])*($G24=Producción_Ganadera[Categoría Hacienda])*(S$1=Producción_Ganadera[Mes Financiero])*(S$2=Producción_Ganadera[Año Financiero])*(Producción_Ganadera[Financiero U$S Dólares]))</f>
        <v>0</v>
      </c>
      <c r="T24" s="130">
        <f>SUMPRODUCT(($C$16=Producción_Ganadera[Movimiento])*($G24=Producción_Ganadera[Categoría Hacienda])*(T$1=Producción_Ganadera[Mes Financiero])*(T$2=Producción_Ganadera[Año Financiero])*(Producción_Ganadera[Financiero U$S Dólares]))</f>
        <v>0</v>
      </c>
      <c r="U24" s="131">
        <f>SUMPRODUCT(($C$16=Producción_Ganadera[Movimiento])*($G24=Producción_Ganadera[Categoría Hacienda])*(U$1=Producción_Ganadera[Mes Financiero])*(U$2=Producción_Ganadera[Año Financiero])*(Producción_Ganadera[Financiero U$S Dólares]))</f>
        <v>0</v>
      </c>
      <c r="V24" s="130">
        <f>SUMPRODUCT(($C$16=Producción_Ganadera[Movimiento])*($G24=Producción_Ganadera[Categoría Hacienda])*(V$1=Producción_Ganadera[Mes Financiero])*(V$2=Producción_Ganadera[Año Financiero])*(Producción_Ganadera[Financiero U$S Dólares]))</f>
        <v>0</v>
      </c>
      <c r="W24" s="131">
        <f>SUMPRODUCT(($C$16=Producción_Ganadera[Movimiento])*($G24=Producción_Ganadera[Categoría Hacienda])*(W$1=Producción_Ganadera[Mes Financiero])*(W$2=Producción_Ganadera[Año Financiero])*(Producción_Ganadera[Financiero U$S Dólares]))</f>
        <v>0</v>
      </c>
      <c r="X24" s="130">
        <f>SUMPRODUCT(($C$16=Producción_Ganadera[Movimiento])*($G24=Producción_Ganadera[Categoría Hacienda])*(X$1=Producción_Ganadera[Mes Financiero])*(X$2=Producción_Ganadera[Año Financiero])*(Producción_Ganadera[Financiero U$S Dólares]))</f>
        <v>0</v>
      </c>
      <c r="Y24" s="131">
        <f>SUMPRODUCT(($C$16=Producción_Ganadera[Movimiento])*($G24=Producción_Ganadera[Categoría Hacienda])*(Y$1=Producción_Ganadera[Mes Financiero])*(Y$2=Producción_Ganadera[Año Financiero])*(Producción_Ganadera[Financiero U$S Dólares]))</f>
        <v>0</v>
      </c>
      <c r="Z24" s="142">
        <f t="shared" si="3"/>
        <v>0</v>
      </c>
      <c r="AC24" s="281"/>
      <c r="AD24" s="281"/>
    </row>
    <row r="25" spans="2:30" hidden="1" outlineLevel="1" x14ac:dyDescent="0.25">
      <c r="F25" s="215">
        <f>IFERROR(MATCH(G25,Produccion_Ganadera[Categoría],0),0)</f>
        <v>9</v>
      </c>
      <c r="G25" s="229" t="str">
        <f>Configuración!AZ13</f>
        <v>Toro</v>
      </c>
      <c r="H25" s="130">
        <f>SUMPRODUCT(($C$16=Producción_Ganadera[Movimiento])*($G25=Producción_Ganadera[Categoría Hacienda])*(H$1=Producción_Ganadera[Mes Financiero])*(H$2=Producción_Ganadera[Año Financiero])*(Producción_Ganadera[Financiero U$S Dólares]))</f>
        <v>0</v>
      </c>
      <c r="I25" s="131">
        <f>SUMPRODUCT(($C$16=Producción_Ganadera[Movimiento])*($G25=Producción_Ganadera[Categoría Hacienda])*(I$1=Producción_Ganadera[Mes Financiero])*(I$2=Producción_Ganadera[Año Financiero])*(Producción_Ganadera[Financiero U$S Dólares]))</f>
        <v>0</v>
      </c>
      <c r="J25" s="130">
        <f>SUMPRODUCT(($C$16=Producción_Ganadera[Movimiento])*($G25=Producción_Ganadera[Categoría Hacienda])*(J$1=Producción_Ganadera[Mes Financiero])*(J$2=Producción_Ganadera[Año Financiero])*(Producción_Ganadera[Financiero U$S Dólares]))</f>
        <v>0</v>
      </c>
      <c r="K25" s="131">
        <f>SUMPRODUCT(($C$16=Producción_Ganadera[Movimiento])*($G25=Producción_Ganadera[Categoría Hacienda])*(K$1=Producción_Ganadera[Mes Financiero])*(K$2=Producción_Ganadera[Año Financiero])*(Producción_Ganadera[Financiero U$S Dólares]))</f>
        <v>0</v>
      </c>
      <c r="L25" s="130">
        <f>SUMPRODUCT(($C$16=Producción_Ganadera[Movimiento])*($G25=Producción_Ganadera[Categoría Hacienda])*(L$1=Producción_Ganadera[Mes Financiero])*(L$2=Producción_Ganadera[Año Financiero])*(Producción_Ganadera[Financiero U$S Dólares]))</f>
        <v>0</v>
      </c>
      <c r="M25" s="131">
        <f>SUMPRODUCT(($C$16=Producción_Ganadera[Movimiento])*($G25=Producción_Ganadera[Categoría Hacienda])*(M$1=Producción_Ganadera[Mes Financiero])*(M$2=Producción_Ganadera[Año Financiero])*(Producción_Ganadera[Financiero U$S Dólares]))</f>
        <v>0</v>
      </c>
      <c r="N25" s="130">
        <f>SUMPRODUCT(($C$16=Producción_Ganadera[Movimiento])*($G25=Producción_Ganadera[Categoría Hacienda])*(N$1=Producción_Ganadera[Mes Financiero])*(N$2=Producción_Ganadera[Año Financiero])*(Producción_Ganadera[Financiero U$S Dólares]))</f>
        <v>0</v>
      </c>
      <c r="O25" s="131">
        <f>SUMPRODUCT(($C$16=Producción_Ganadera[Movimiento])*($G25=Producción_Ganadera[Categoría Hacienda])*(O$1=Producción_Ganadera[Mes Financiero])*(O$2=Producción_Ganadera[Año Financiero])*(Producción_Ganadera[Financiero U$S Dólares]))</f>
        <v>0</v>
      </c>
      <c r="P25" s="130">
        <f>SUMPRODUCT(($C$16=Producción_Ganadera[Movimiento])*($G25=Producción_Ganadera[Categoría Hacienda])*(P$1=Producción_Ganadera[Mes Financiero])*(P$2=Producción_Ganadera[Año Financiero])*(Producción_Ganadera[Financiero U$S Dólares]))</f>
        <v>0</v>
      </c>
      <c r="Q25" s="131">
        <f>SUMPRODUCT(($C$16=Producción_Ganadera[Movimiento])*($G25=Producción_Ganadera[Categoría Hacienda])*(Q$1=Producción_Ganadera[Mes Financiero])*(Q$2=Producción_Ganadera[Año Financiero])*(Producción_Ganadera[Financiero U$S Dólares]))</f>
        <v>0</v>
      </c>
      <c r="R25" s="130">
        <f>SUMPRODUCT(($C$16=Producción_Ganadera[Movimiento])*($G25=Producción_Ganadera[Categoría Hacienda])*(R$1=Producción_Ganadera[Mes Financiero])*(R$2=Producción_Ganadera[Año Financiero])*(Producción_Ganadera[Financiero U$S Dólares]))</f>
        <v>0</v>
      </c>
      <c r="S25" s="131">
        <f>SUMPRODUCT(($C$16=Producción_Ganadera[Movimiento])*($G25=Producción_Ganadera[Categoría Hacienda])*(S$1=Producción_Ganadera[Mes Financiero])*(S$2=Producción_Ganadera[Año Financiero])*(Producción_Ganadera[Financiero U$S Dólares]))</f>
        <v>0</v>
      </c>
      <c r="T25" s="130">
        <f>SUMPRODUCT(($C$16=Producción_Ganadera[Movimiento])*($G25=Producción_Ganadera[Categoría Hacienda])*(T$1=Producción_Ganadera[Mes Financiero])*(T$2=Producción_Ganadera[Año Financiero])*(Producción_Ganadera[Financiero U$S Dólares]))</f>
        <v>0</v>
      </c>
      <c r="U25" s="131">
        <f>SUMPRODUCT(($C$16=Producción_Ganadera[Movimiento])*($G25=Producción_Ganadera[Categoría Hacienda])*(U$1=Producción_Ganadera[Mes Financiero])*(U$2=Producción_Ganadera[Año Financiero])*(Producción_Ganadera[Financiero U$S Dólares]))</f>
        <v>0</v>
      </c>
      <c r="V25" s="130">
        <f>SUMPRODUCT(($C$16=Producción_Ganadera[Movimiento])*($G25=Producción_Ganadera[Categoría Hacienda])*(V$1=Producción_Ganadera[Mes Financiero])*(V$2=Producción_Ganadera[Año Financiero])*(Producción_Ganadera[Financiero U$S Dólares]))</f>
        <v>0</v>
      </c>
      <c r="W25" s="131">
        <f>SUMPRODUCT(($C$16=Producción_Ganadera[Movimiento])*($G25=Producción_Ganadera[Categoría Hacienda])*(W$1=Producción_Ganadera[Mes Financiero])*(W$2=Producción_Ganadera[Año Financiero])*(Producción_Ganadera[Financiero U$S Dólares]))</f>
        <v>0</v>
      </c>
      <c r="X25" s="130">
        <f>SUMPRODUCT(($C$16=Producción_Ganadera[Movimiento])*($G25=Producción_Ganadera[Categoría Hacienda])*(X$1=Producción_Ganadera[Mes Financiero])*(X$2=Producción_Ganadera[Año Financiero])*(Producción_Ganadera[Financiero U$S Dólares]))</f>
        <v>0</v>
      </c>
      <c r="Y25" s="131">
        <f>SUMPRODUCT(($C$16=Producción_Ganadera[Movimiento])*($G25=Producción_Ganadera[Categoría Hacienda])*(Y$1=Producción_Ganadera[Mes Financiero])*(Y$2=Producción_Ganadera[Año Financiero])*(Producción_Ganadera[Financiero U$S Dólares]))</f>
        <v>0</v>
      </c>
      <c r="Z25" s="142">
        <f t="shared" si="3"/>
        <v>0</v>
      </c>
      <c r="AC25" s="281"/>
      <c r="AD25" s="281"/>
    </row>
    <row r="26" spans="2:30" hidden="1" outlineLevel="1" x14ac:dyDescent="0.25">
      <c r="F26" s="215">
        <f>IFERROR(MATCH(G26,Produccion_Ganadera[Categoría],0),0)</f>
        <v>10</v>
      </c>
      <c r="G26" s="229" t="str">
        <f>Configuración!AZ14</f>
        <v>Toro Descarte</v>
      </c>
      <c r="H26" s="130">
        <f>SUMPRODUCT(($C$16=Producción_Ganadera[Movimiento])*($G26=Producción_Ganadera[Categoría Hacienda])*(H$1=Producción_Ganadera[Mes Financiero])*(H$2=Producción_Ganadera[Año Financiero])*(Producción_Ganadera[Financiero U$S Dólares]))</f>
        <v>0</v>
      </c>
      <c r="I26" s="131">
        <f>SUMPRODUCT(($C$16=Producción_Ganadera[Movimiento])*($G26=Producción_Ganadera[Categoría Hacienda])*(I$1=Producción_Ganadera[Mes Financiero])*(I$2=Producción_Ganadera[Año Financiero])*(Producción_Ganadera[Financiero U$S Dólares]))</f>
        <v>0</v>
      </c>
      <c r="J26" s="130">
        <f>SUMPRODUCT(($C$16=Producción_Ganadera[Movimiento])*($G26=Producción_Ganadera[Categoría Hacienda])*(J$1=Producción_Ganadera[Mes Financiero])*(J$2=Producción_Ganadera[Año Financiero])*(Producción_Ganadera[Financiero U$S Dólares]))</f>
        <v>0</v>
      </c>
      <c r="K26" s="131">
        <f>SUMPRODUCT(($C$16=Producción_Ganadera[Movimiento])*($G26=Producción_Ganadera[Categoría Hacienda])*(K$1=Producción_Ganadera[Mes Financiero])*(K$2=Producción_Ganadera[Año Financiero])*(Producción_Ganadera[Financiero U$S Dólares]))</f>
        <v>0</v>
      </c>
      <c r="L26" s="130">
        <f>SUMPRODUCT(($C$16=Producción_Ganadera[Movimiento])*($G26=Producción_Ganadera[Categoría Hacienda])*(L$1=Producción_Ganadera[Mes Financiero])*(L$2=Producción_Ganadera[Año Financiero])*(Producción_Ganadera[Financiero U$S Dólares]))</f>
        <v>0</v>
      </c>
      <c r="M26" s="131">
        <f>SUMPRODUCT(($C$16=Producción_Ganadera[Movimiento])*($G26=Producción_Ganadera[Categoría Hacienda])*(M$1=Producción_Ganadera[Mes Financiero])*(M$2=Producción_Ganadera[Año Financiero])*(Producción_Ganadera[Financiero U$S Dólares]))</f>
        <v>0</v>
      </c>
      <c r="N26" s="130">
        <f>SUMPRODUCT(($C$16=Producción_Ganadera[Movimiento])*($G26=Producción_Ganadera[Categoría Hacienda])*(N$1=Producción_Ganadera[Mes Financiero])*(N$2=Producción_Ganadera[Año Financiero])*(Producción_Ganadera[Financiero U$S Dólares]))</f>
        <v>0</v>
      </c>
      <c r="O26" s="131">
        <f>SUMPRODUCT(($C$16=Producción_Ganadera[Movimiento])*($G26=Producción_Ganadera[Categoría Hacienda])*(O$1=Producción_Ganadera[Mes Financiero])*(O$2=Producción_Ganadera[Año Financiero])*(Producción_Ganadera[Financiero U$S Dólares]))</f>
        <v>0</v>
      </c>
      <c r="P26" s="130">
        <f>SUMPRODUCT(($C$16=Producción_Ganadera[Movimiento])*($G26=Producción_Ganadera[Categoría Hacienda])*(P$1=Producción_Ganadera[Mes Financiero])*(P$2=Producción_Ganadera[Año Financiero])*(Producción_Ganadera[Financiero U$S Dólares]))</f>
        <v>0</v>
      </c>
      <c r="Q26" s="131">
        <f>SUMPRODUCT(($C$16=Producción_Ganadera[Movimiento])*($G26=Producción_Ganadera[Categoría Hacienda])*(Q$1=Producción_Ganadera[Mes Financiero])*(Q$2=Producción_Ganadera[Año Financiero])*(Producción_Ganadera[Financiero U$S Dólares]))</f>
        <v>0</v>
      </c>
      <c r="R26" s="130">
        <f>SUMPRODUCT(($C$16=Producción_Ganadera[Movimiento])*($G26=Producción_Ganadera[Categoría Hacienda])*(R$1=Producción_Ganadera[Mes Financiero])*(R$2=Producción_Ganadera[Año Financiero])*(Producción_Ganadera[Financiero U$S Dólares]))</f>
        <v>0</v>
      </c>
      <c r="S26" s="131">
        <f>SUMPRODUCT(($C$16=Producción_Ganadera[Movimiento])*($G26=Producción_Ganadera[Categoría Hacienda])*(S$1=Producción_Ganadera[Mes Financiero])*(S$2=Producción_Ganadera[Año Financiero])*(Producción_Ganadera[Financiero U$S Dólares]))</f>
        <v>0</v>
      </c>
      <c r="T26" s="130">
        <f>SUMPRODUCT(($C$16=Producción_Ganadera[Movimiento])*($G26=Producción_Ganadera[Categoría Hacienda])*(T$1=Producción_Ganadera[Mes Financiero])*(T$2=Producción_Ganadera[Año Financiero])*(Producción_Ganadera[Financiero U$S Dólares]))</f>
        <v>0</v>
      </c>
      <c r="U26" s="131">
        <f>SUMPRODUCT(($C$16=Producción_Ganadera[Movimiento])*($G26=Producción_Ganadera[Categoría Hacienda])*(U$1=Producción_Ganadera[Mes Financiero])*(U$2=Producción_Ganadera[Año Financiero])*(Producción_Ganadera[Financiero U$S Dólares]))</f>
        <v>0</v>
      </c>
      <c r="V26" s="130">
        <f>SUMPRODUCT(($C$16=Producción_Ganadera[Movimiento])*($G26=Producción_Ganadera[Categoría Hacienda])*(V$1=Producción_Ganadera[Mes Financiero])*(V$2=Producción_Ganadera[Año Financiero])*(Producción_Ganadera[Financiero U$S Dólares]))</f>
        <v>0</v>
      </c>
      <c r="W26" s="131">
        <f>SUMPRODUCT(($C$16=Producción_Ganadera[Movimiento])*($G26=Producción_Ganadera[Categoría Hacienda])*(W$1=Producción_Ganadera[Mes Financiero])*(W$2=Producción_Ganadera[Año Financiero])*(Producción_Ganadera[Financiero U$S Dólares]))</f>
        <v>0</v>
      </c>
      <c r="X26" s="130">
        <f>SUMPRODUCT(($C$16=Producción_Ganadera[Movimiento])*($G26=Producción_Ganadera[Categoría Hacienda])*(X$1=Producción_Ganadera[Mes Financiero])*(X$2=Producción_Ganadera[Año Financiero])*(Producción_Ganadera[Financiero U$S Dólares]))</f>
        <v>0</v>
      </c>
      <c r="Y26" s="131">
        <f>SUMPRODUCT(($C$16=Producción_Ganadera[Movimiento])*($G26=Producción_Ganadera[Categoría Hacienda])*(Y$1=Producción_Ganadera[Mes Financiero])*(Y$2=Producción_Ganadera[Año Financiero])*(Producción_Ganadera[Financiero U$S Dólares]))</f>
        <v>0</v>
      </c>
      <c r="Z26" s="142">
        <f t="shared" si="3"/>
        <v>0</v>
      </c>
      <c r="AC26" s="281"/>
      <c r="AD26" s="281"/>
    </row>
    <row r="27" spans="2:30" hidden="1" outlineLevel="1" x14ac:dyDescent="0.25">
      <c r="F27" s="215">
        <f>IFERROR(MATCH(G27,Produccion_Ganadera[Categoría],0),0)</f>
        <v>11</v>
      </c>
      <c r="G27" s="229" t="str">
        <f>Configuración!AZ15</f>
        <v>Novillo 06-15</v>
      </c>
      <c r="H27" s="130">
        <f>SUMPRODUCT(($C$16=Producción_Ganadera[Movimiento])*($G27=Producción_Ganadera[Categoría Hacienda])*(H$1=Producción_Ganadera[Mes Financiero])*(H$2=Producción_Ganadera[Año Financiero])*(Producción_Ganadera[Financiero U$S Dólares]))</f>
        <v>0</v>
      </c>
      <c r="I27" s="131">
        <f>SUMPRODUCT(($C$16=Producción_Ganadera[Movimiento])*($G27=Producción_Ganadera[Categoría Hacienda])*(I$1=Producción_Ganadera[Mes Financiero])*(I$2=Producción_Ganadera[Año Financiero])*(Producción_Ganadera[Financiero U$S Dólares]))</f>
        <v>0</v>
      </c>
      <c r="J27" s="130">
        <f>SUMPRODUCT(($C$16=Producción_Ganadera[Movimiento])*($G27=Producción_Ganadera[Categoría Hacienda])*(J$1=Producción_Ganadera[Mes Financiero])*(J$2=Producción_Ganadera[Año Financiero])*(Producción_Ganadera[Financiero U$S Dólares]))</f>
        <v>0</v>
      </c>
      <c r="K27" s="131">
        <f>SUMPRODUCT(($C$16=Producción_Ganadera[Movimiento])*($G27=Producción_Ganadera[Categoría Hacienda])*(K$1=Producción_Ganadera[Mes Financiero])*(K$2=Producción_Ganadera[Año Financiero])*(Producción_Ganadera[Financiero U$S Dólares]))</f>
        <v>0</v>
      </c>
      <c r="L27" s="130">
        <f>SUMPRODUCT(($C$16=Producción_Ganadera[Movimiento])*($G27=Producción_Ganadera[Categoría Hacienda])*(L$1=Producción_Ganadera[Mes Financiero])*(L$2=Producción_Ganadera[Año Financiero])*(Producción_Ganadera[Financiero U$S Dólares]))</f>
        <v>0</v>
      </c>
      <c r="M27" s="131">
        <f>SUMPRODUCT(($C$16=Producción_Ganadera[Movimiento])*($G27=Producción_Ganadera[Categoría Hacienda])*(M$1=Producción_Ganadera[Mes Financiero])*(M$2=Producción_Ganadera[Año Financiero])*(Producción_Ganadera[Financiero U$S Dólares]))</f>
        <v>0</v>
      </c>
      <c r="N27" s="130">
        <f>SUMPRODUCT(($C$16=Producción_Ganadera[Movimiento])*($G27=Producción_Ganadera[Categoría Hacienda])*(N$1=Producción_Ganadera[Mes Financiero])*(N$2=Producción_Ganadera[Año Financiero])*(Producción_Ganadera[Financiero U$S Dólares]))</f>
        <v>0</v>
      </c>
      <c r="O27" s="131">
        <f>SUMPRODUCT(($C$16=Producción_Ganadera[Movimiento])*($G27=Producción_Ganadera[Categoría Hacienda])*(O$1=Producción_Ganadera[Mes Financiero])*(O$2=Producción_Ganadera[Año Financiero])*(Producción_Ganadera[Financiero U$S Dólares]))</f>
        <v>0</v>
      </c>
      <c r="P27" s="130">
        <f>SUMPRODUCT(($C$16=Producción_Ganadera[Movimiento])*($G27=Producción_Ganadera[Categoría Hacienda])*(P$1=Producción_Ganadera[Mes Financiero])*(P$2=Producción_Ganadera[Año Financiero])*(Producción_Ganadera[Financiero U$S Dólares]))</f>
        <v>0</v>
      </c>
      <c r="Q27" s="131">
        <f>SUMPRODUCT(($C$16=Producción_Ganadera[Movimiento])*($G27=Producción_Ganadera[Categoría Hacienda])*(Q$1=Producción_Ganadera[Mes Financiero])*(Q$2=Producción_Ganadera[Año Financiero])*(Producción_Ganadera[Financiero U$S Dólares]))</f>
        <v>0</v>
      </c>
      <c r="R27" s="130">
        <f>SUMPRODUCT(($C$16=Producción_Ganadera[Movimiento])*($G27=Producción_Ganadera[Categoría Hacienda])*(R$1=Producción_Ganadera[Mes Financiero])*(R$2=Producción_Ganadera[Año Financiero])*(Producción_Ganadera[Financiero U$S Dólares]))</f>
        <v>0</v>
      </c>
      <c r="S27" s="131">
        <f>SUMPRODUCT(($C$16=Producción_Ganadera[Movimiento])*($G27=Producción_Ganadera[Categoría Hacienda])*(S$1=Producción_Ganadera[Mes Financiero])*(S$2=Producción_Ganadera[Año Financiero])*(Producción_Ganadera[Financiero U$S Dólares]))</f>
        <v>0</v>
      </c>
      <c r="T27" s="130">
        <f>SUMPRODUCT(($C$16=Producción_Ganadera[Movimiento])*($G27=Producción_Ganadera[Categoría Hacienda])*(T$1=Producción_Ganadera[Mes Financiero])*(T$2=Producción_Ganadera[Año Financiero])*(Producción_Ganadera[Financiero U$S Dólares]))</f>
        <v>0</v>
      </c>
      <c r="U27" s="131">
        <f>SUMPRODUCT(($C$16=Producción_Ganadera[Movimiento])*($G27=Producción_Ganadera[Categoría Hacienda])*(U$1=Producción_Ganadera[Mes Financiero])*(U$2=Producción_Ganadera[Año Financiero])*(Producción_Ganadera[Financiero U$S Dólares]))</f>
        <v>0</v>
      </c>
      <c r="V27" s="130">
        <f>SUMPRODUCT(($C$16=Producción_Ganadera[Movimiento])*($G27=Producción_Ganadera[Categoría Hacienda])*(V$1=Producción_Ganadera[Mes Financiero])*(V$2=Producción_Ganadera[Año Financiero])*(Producción_Ganadera[Financiero U$S Dólares]))</f>
        <v>0</v>
      </c>
      <c r="W27" s="131">
        <f>SUMPRODUCT(($C$16=Producción_Ganadera[Movimiento])*($G27=Producción_Ganadera[Categoría Hacienda])*(W$1=Producción_Ganadera[Mes Financiero])*(W$2=Producción_Ganadera[Año Financiero])*(Producción_Ganadera[Financiero U$S Dólares]))</f>
        <v>0</v>
      </c>
      <c r="X27" s="130">
        <f>SUMPRODUCT(($C$16=Producción_Ganadera[Movimiento])*($G27=Producción_Ganadera[Categoría Hacienda])*(X$1=Producción_Ganadera[Mes Financiero])*(X$2=Producción_Ganadera[Año Financiero])*(Producción_Ganadera[Financiero U$S Dólares]))</f>
        <v>0</v>
      </c>
      <c r="Y27" s="131">
        <f>SUMPRODUCT(($C$16=Producción_Ganadera[Movimiento])*($G27=Producción_Ganadera[Categoría Hacienda])*(Y$1=Producción_Ganadera[Mes Financiero])*(Y$2=Producción_Ganadera[Año Financiero])*(Producción_Ganadera[Financiero U$S Dólares]))</f>
        <v>0</v>
      </c>
      <c r="Z27" s="142">
        <f t="shared" si="3"/>
        <v>0</v>
      </c>
      <c r="AC27" s="281"/>
      <c r="AD27" s="281"/>
    </row>
    <row r="28" spans="2:30" hidden="1" outlineLevel="1" x14ac:dyDescent="0.25">
      <c r="B28" s="166" t="s">
        <v>101</v>
      </c>
      <c r="F28" s="216">
        <f>IFERROR(MATCH(G28,Produccion_Ganadera[Categoría],0),0)</f>
        <v>12</v>
      </c>
      <c r="G28" s="230" t="str">
        <f>Configuración!AZ16</f>
        <v>Novillo 15-27</v>
      </c>
      <c r="H28" s="132">
        <f>SUMPRODUCT(($C$16=Producción_Ganadera[Movimiento])*($G28=Producción_Ganadera[Categoría Hacienda])*(H$1=Producción_Ganadera[Mes Financiero])*(H$2=Producción_Ganadera[Año Financiero])*(Producción_Ganadera[Financiero U$S Dólares]))</f>
        <v>0</v>
      </c>
      <c r="I28" s="133">
        <f>SUMPRODUCT(($C$16=Producción_Ganadera[Movimiento])*($G28=Producción_Ganadera[Categoría Hacienda])*(I$1=Producción_Ganadera[Mes Financiero])*(I$2=Producción_Ganadera[Año Financiero])*(Producción_Ganadera[Financiero U$S Dólares]))</f>
        <v>0</v>
      </c>
      <c r="J28" s="132">
        <f>SUMPRODUCT(($C$16=Producción_Ganadera[Movimiento])*($G28=Producción_Ganadera[Categoría Hacienda])*(J$1=Producción_Ganadera[Mes Financiero])*(J$2=Producción_Ganadera[Año Financiero])*(Producción_Ganadera[Financiero U$S Dólares]))</f>
        <v>0</v>
      </c>
      <c r="K28" s="133">
        <f>SUMPRODUCT(($C$16=Producción_Ganadera[Movimiento])*($G28=Producción_Ganadera[Categoría Hacienda])*(K$1=Producción_Ganadera[Mes Financiero])*(K$2=Producción_Ganadera[Año Financiero])*(Producción_Ganadera[Financiero U$S Dólares]))</f>
        <v>0</v>
      </c>
      <c r="L28" s="132">
        <f>SUMPRODUCT(($C$16=Producción_Ganadera[Movimiento])*($G28=Producción_Ganadera[Categoría Hacienda])*(L$1=Producción_Ganadera[Mes Financiero])*(L$2=Producción_Ganadera[Año Financiero])*(Producción_Ganadera[Financiero U$S Dólares]))</f>
        <v>0</v>
      </c>
      <c r="M28" s="133">
        <f>SUMPRODUCT(($C$16=Producción_Ganadera[Movimiento])*($G28=Producción_Ganadera[Categoría Hacienda])*(M$1=Producción_Ganadera[Mes Financiero])*(M$2=Producción_Ganadera[Año Financiero])*(Producción_Ganadera[Financiero U$S Dólares]))</f>
        <v>0</v>
      </c>
      <c r="N28" s="132">
        <f>SUMPRODUCT(($C$16=Producción_Ganadera[Movimiento])*($G28=Producción_Ganadera[Categoría Hacienda])*(N$1=Producción_Ganadera[Mes Financiero])*(N$2=Producción_Ganadera[Año Financiero])*(Producción_Ganadera[Financiero U$S Dólares]))</f>
        <v>0</v>
      </c>
      <c r="O28" s="133">
        <f>SUMPRODUCT(($C$16=Producción_Ganadera[Movimiento])*($G28=Producción_Ganadera[Categoría Hacienda])*(O$1=Producción_Ganadera[Mes Financiero])*(O$2=Producción_Ganadera[Año Financiero])*(Producción_Ganadera[Financiero U$S Dólares]))</f>
        <v>0</v>
      </c>
      <c r="P28" s="132">
        <f>SUMPRODUCT(($C$16=Producción_Ganadera[Movimiento])*($G28=Producción_Ganadera[Categoría Hacienda])*(P$1=Producción_Ganadera[Mes Financiero])*(P$2=Producción_Ganadera[Año Financiero])*(Producción_Ganadera[Financiero U$S Dólares]))</f>
        <v>0</v>
      </c>
      <c r="Q28" s="133">
        <f>SUMPRODUCT(($C$16=Producción_Ganadera[Movimiento])*($G28=Producción_Ganadera[Categoría Hacienda])*(Q$1=Producción_Ganadera[Mes Financiero])*(Q$2=Producción_Ganadera[Año Financiero])*(Producción_Ganadera[Financiero U$S Dólares]))</f>
        <v>0</v>
      </c>
      <c r="R28" s="132">
        <f>SUMPRODUCT(($C$16=Producción_Ganadera[Movimiento])*($G28=Producción_Ganadera[Categoría Hacienda])*(R$1=Producción_Ganadera[Mes Financiero])*(R$2=Producción_Ganadera[Año Financiero])*(Producción_Ganadera[Financiero U$S Dólares]))</f>
        <v>0</v>
      </c>
      <c r="S28" s="133">
        <f>SUMPRODUCT(($C$16=Producción_Ganadera[Movimiento])*($G28=Producción_Ganadera[Categoría Hacienda])*(S$1=Producción_Ganadera[Mes Financiero])*(S$2=Producción_Ganadera[Año Financiero])*(Producción_Ganadera[Financiero U$S Dólares]))</f>
        <v>0</v>
      </c>
      <c r="T28" s="132">
        <f>SUMPRODUCT(($C$16=Producción_Ganadera[Movimiento])*($G28=Producción_Ganadera[Categoría Hacienda])*(T$1=Producción_Ganadera[Mes Financiero])*(T$2=Producción_Ganadera[Año Financiero])*(Producción_Ganadera[Financiero U$S Dólares]))</f>
        <v>0</v>
      </c>
      <c r="U28" s="133">
        <f>SUMPRODUCT(($C$16=Producción_Ganadera[Movimiento])*($G28=Producción_Ganadera[Categoría Hacienda])*(U$1=Producción_Ganadera[Mes Financiero])*(U$2=Producción_Ganadera[Año Financiero])*(Producción_Ganadera[Financiero U$S Dólares]))</f>
        <v>0</v>
      </c>
      <c r="V28" s="132">
        <f>SUMPRODUCT(($C$16=Producción_Ganadera[Movimiento])*($G28=Producción_Ganadera[Categoría Hacienda])*(V$1=Producción_Ganadera[Mes Financiero])*(V$2=Producción_Ganadera[Año Financiero])*(Producción_Ganadera[Financiero U$S Dólares]))</f>
        <v>0</v>
      </c>
      <c r="W28" s="133">
        <f>SUMPRODUCT(($C$16=Producción_Ganadera[Movimiento])*($G28=Producción_Ganadera[Categoría Hacienda])*(W$1=Producción_Ganadera[Mes Financiero])*(W$2=Producción_Ganadera[Año Financiero])*(Producción_Ganadera[Financiero U$S Dólares]))</f>
        <v>0</v>
      </c>
      <c r="X28" s="132">
        <f>SUMPRODUCT(($C$16=Producción_Ganadera[Movimiento])*($G28=Producción_Ganadera[Categoría Hacienda])*(X$1=Producción_Ganadera[Mes Financiero])*(X$2=Producción_Ganadera[Año Financiero])*(Producción_Ganadera[Financiero U$S Dólares]))</f>
        <v>0</v>
      </c>
      <c r="Y28" s="133">
        <f>SUMPRODUCT(($C$16=Producción_Ganadera[Movimiento])*($G28=Producción_Ganadera[Categoría Hacienda])*(Y$1=Producción_Ganadera[Mes Financiero])*(Y$2=Producción_Ganadera[Año Financiero])*(Producción_Ganadera[Financiero U$S Dólares]))</f>
        <v>0</v>
      </c>
      <c r="Z28" s="143">
        <f t="shared" si="3"/>
        <v>0</v>
      </c>
      <c r="AC28" s="281"/>
      <c r="AD28" s="281"/>
    </row>
    <row r="29" spans="2:30" collapsed="1" x14ac:dyDescent="0.25">
      <c r="B29" s="175"/>
      <c r="D29" s="102"/>
      <c r="E29" s="120"/>
      <c r="F29" s="416" t="s">
        <v>214</v>
      </c>
      <c r="G29" s="123"/>
      <c r="H29" s="208">
        <f>SUMPRODUCT(($C$16=Producción_Ganadera[Movimiento])*(H$1=Producción_Ganadera[Mes Financiero])*(H$2=Producción_Ganadera[Año Financiero])*(Producción_Ganadera[Financiero U$S Dólares]))-H16</f>
        <v>0</v>
      </c>
      <c r="I29" s="209">
        <f>SUMPRODUCT(($C$16=Producción_Ganadera[Movimiento])*(I$1=Producción_Ganadera[Mes Financiero])*(I$2=Producción_Ganadera[Año Financiero])*(Producción_Ganadera[Financiero U$S Dólares]))-I16</f>
        <v>0</v>
      </c>
      <c r="J29" s="208">
        <f>SUMPRODUCT(($C$16=Producción_Ganadera[Movimiento])*(J$1=Producción_Ganadera[Mes Financiero])*(J$2=Producción_Ganadera[Año Financiero])*(Producción_Ganadera[Financiero U$S Dólares]))-J16</f>
        <v>0</v>
      </c>
      <c r="K29" s="209">
        <f>SUMPRODUCT(($C$16=Producción_Ganadera[Movimiento])*(K$1=Producción_Ganadera[Mes Financiero])*(K$2=Producción_Ganadera[Año Financiero])*(Producción_Ganadera[Financiero U$S Dólares]))-K16</f>
        <v>0</v>
      </c>
      <c r="L29" s="208">
        <f>SUMPRODUCT(($C$16=Producción_Ganadera[Movimiento])*(L$1=Producción_Ganadera[Mes Financiero])*(L$2=Producción_Ganadera[Año Financiero])*(Producción_Ganadera[Financiero U$S Dólares]))-L16</f>
        <v>0</v>
      </c>
      <c r="M29" s="209">
        <f>SUMPRODUCT(($C$16=Producción_Ganadera[Movimiento])*(M$1=Producción_Ganadera[Mes Financiero])*(M$2=Producción_Ganadera[Año Financiero])*(Producción_Ganadera[Financiero U$S Dólares]))-M16</f>
        <v>0</v>
      </c>
      <c r="N29" s="208">
        <f>SUMPRODUCT(($C$16=Producción_Ganadera[Movimiento])*(N$1=Producción_Ganadera[Mes Financiero])*(N$2=Producción_Ganadera[Año Financiero])*(Producción_Ganadera[Financiero U$S Dólares]))-N16</f>
        <v>0</v>
      </c>
      <c r="O29" s="209">
        <f>SUMPRODUCT(($C$16=Producción_Ganadera[Movimiento])*(O$1=Producción_Ganadera[Mes Financiero])*(O$2=Producción_Ganadera[Año Financiero])*(Producción_Ganadera[Financiero U$S Dólares]))-O16</f>
        <v>0</v>
      </c>
      <c r="P29" s="208">
        <f>SUMPRODUCT(($C$16=Producción_Ganadera[Movimiento])*(P$1=Producción_Ganadera[Mes Financiero])*(P$2=Producción_Ganadera[Año Financiero])*(Producción_Ganadera[Financiero U$S Dólares]))-P16</f>
        <v>0</v>
      </c>
      <c r="Q29" s="209">
        <f>SUMPRODUCT(($C$16=Producción_Ganadera[Movimiento])*(Q$1=Producción_Ganadera[Mes Financiero])*(Q$2=Producción_Ganadera[Año Financiero])*(Producción_Ganadera[Financiero U$S Dólares]))-Q16</f>
        <v>0</v>
      </c>
      <c r="R29" s="208">
        <f>SUMPRODUCT(($C$16=Producción_Ganadera[Movimiento])*(R$1=Producción_Ganadera[Mes Financiero])*(R$2=Producción_Ganadera[Año Financiero])*(Producción_Ganadera[Financiero U$S Dólares]))-R16</f>
        <v>0</v>
      </c>
      <c r="S29" s="209">
        <f>SUMPRODUCT(($C$16=Producción_Ganadera[Movimiento])*(S$1=Producción_Ganadera[Mes Financiero])*(S$2=Producción_Ganadera[Año Financiero])*(Producción_Ganadera[Financiero U$S Dólares]))-S16</f>
        <v>0</v>
      </c>
      <c r="T29" s="208">
        <f>SUMPRODUCT(($C$16=Producción_Ganadera[Movimiento])*(T$1=Producción_Ganadera[Mes Financiero])*(T$2=Producción_Ganadera[Año Financiero])*(Producción_Ganadera[Financiero U$S Dólares]))-T16</f>
        <v>0</v>
      </c>
      <c r="U29" s="209">
        <f>SUMPRODUCT(($C$16=Producción_Ganadera[Movimiento])*(U$1=Producción_Ganadera[Mes Financiero])*(U$2=Producción_Ganadera[Año Financiero])*(Producción_Ganadera[Financiero U$S Dólares]))-U16</f>
        <v>0</v>
      </c>
      <c r="V29" s="208">
        <f>SUMPRODUCT(($C$16=Producción_Ganadera[Movimiento])*(V$1=Producción_Ganadera[Mes Financiero])*(V$2=Producción_Ganadera[Año Financiero])*(Producción_Ganadera[Financiero U$S Dólares]))-V16</f>
        <v>0</v>
      </c>
      <c r="W29" s="209">
        <f>SUMPRODUCT(($C$16=Producción_Ganadera[Movimiento])*(W$1=Producción_Ganadera[Mes Financiero])*(W$2=Producción_Ganadera[Año Financiero])*(Producción_Ganadera[Financiero U$S Dólares]))-W16</f>
        <v>0</v>
      </c>
      <c r="X29" s="208">
        <f>SUMPRODUCT(($C$16=Producción_Ganadera[Movimiento])*(X$1=Producción_Ganadera[Mes Financiero])*(X$2=Producción_Ganadera[Año Financiero])*(Producción_Ganadera[Financiero U$S Dólares]))-X16</f>
        <v>0</v>
      </c>
      <c r="Y29" s="209">
        <f>SUMPRODUCT(($C$16=Producción_Ganadera[Movimiento])*(Y$1=Producción_Ganadera[Mes Financiero])*(Y$2=Producción_Ganadera[Año Financiero])*(Producción_Ganadera[Financiero U$S Dólares]))-Y16</f>
        <v>0</v>
      </c>
      <c r="Z29" s="146">
        <f t="shared" si="3"/>
        <v>0</v>
      </c>
    </row>
    <row r="30" spans="2:30" x14ac:dyDescent="0.25">
      <c r="C30" s="210" t="s">
        <v>37</v>
      </c>
      <c r="D30" s="381" t="s">
        <v>164</v>
      </c>
      <c r="E30" s="223">
        <f>MATCH(F30,Produccion_Lecheria_Cuentas[Cuenta Contable],0)</f>
        <v>13</v>
      </c>
      <c r="F30" s="417" t="s">
        <v>175</v>
      </c>
      <c r="H30" s="99">
        <f>SUMPRODUCT(($C$30=Producción_Lecheria[Movimiento])*($F30=Producción_Lecheria[Cuenta Contable])*(H$1=Producción_Lecheria[Mes Financiero])*(H$2=Producción_Lecheria[Año Financiero])*(Producción_Lecheria[Financiero U$S Dólares]))</f>
        <v>0</v>
      </c>
      <c r="I30" s="100">
        <f>SUMPRODUCT(($C$30=Producción_Lecheria[Movimiento])*($F30=Producción_Lecheria[Cuenta Contable])*(I$1=Producción_Lecheria[Mes Financiero])*(I$2=Producción_Lecheria[Año Financiero])*(Producción_Lecheria[Financiero U$S Dólares]))</f>
        <v>0</v>
      </c>
      <c r="J30" s="99">
        <f>SUMPRODUCT(($C$30=Producción_Lecheria[Movimiento])*($F30=Producción_Lecheria[Cuenta Contable])*(J$1=Producción_Lecheria[Mes Financiero])*(J$2=Producción_Lecheria[Año Financiero])*(Producción_Lecheria[Financiero U$S Dólares]))</f>
        <v>0</v>
      </c>
      <c r="K30" s="100">
        <f>SUMPRODUCT(($C$30=Producción_Lecheria[Movimiento])*($F30=Producción_Lecheria[Cuenta Contable])*(K$1=Producción_Lecheria[Mes Financiero])*(K$2=Producción_Lecheria[Año Financiero])*(Producción_Lecheria[Financiero U$S Dólares]))</f>
        <v>0</v>
      </c>
      <c r="L30" s="99">
        <f>SUMPRODUCT(($C$30=Producción_Lecheria[Movimiento])*($F30=Producción_Lecheria[Cuenta Contable])*(L$1=Producción_Lecheria[Mes Financiero])*(L$2=Producción_Lecheria[Año Financiero])*(Producción_Lecheria[Financiero U$S Dólares]))</f>
        <v>0</v>
      </c>
      <c r="M30" s="100">
        <f>SUMPRODUCT(($C$30=Producción_Lecheria[Movimiento])*($F30=Producción_Lecheria[Cuenta Contable])*(M$1=Producción_Lecheria[Mes Financiero])*(M$2=Producción_Lecheria[Año Financiero])*(Producción_Lecheria[Financiero U$S Dólares]))</f>
        <v>0</v>
      </c>
      <c r="N30" s="99">
        <f>SUMPRODUCT(($C$30=Producción_Lecheria[Movimiento])*($F30=Producción_Lecheria[Cuenta Contable])*(N$1=Producción_Lecheria[Mes Financiero])*(N$2=Producción_Lecheria[Año Financiero])*(Producción_Lecheria[Financiero U$S Dólares]))</f>
        <v>0</v>
      </c>
      <c r="O30" s="100">
        <f>SUMPRODUCT(($C$30=Producción_Lecheria[Movimiento])*($F30=Producción_Lecheria[Cuenta Contable])*(O$1=Producción_Lecheria[Mes Financiero])*(O$2=Producción_Lecheria[Año Financiero])*(Producción_Lecheria[Financiero U$S Dólares]))</f>
        <v>0</v>
      </c>
      <c r="P30" s="99">
        <f>SUMPRODUCT(($C$30=Producción_Lecheria[Movimiento])*($F30=Producción_Lecheria[Cuenta Contable])*(P$1=Producción_Lecheria[Mes Financiero])*(P$2=Producción_Lecheria[Año Financiero])*(Producción_Lecheria[Financiero U$S Dólares]))</f>
        <v>0</v>
      </c>
      <c r="Q30" s="100">
        <f>SUMPRODUCT(($C$30=Producción_Lecheria[Movimiento])*($F30=Producción_Lecheria[Cuenta Contable])*(Q$1=Producción_Lecheria[Mes Financiero])*(Q$2=Producción_Lecheria[Año Financiero])*(Producción_Lecheria[Financiero U$S Dólares]))</f>
        <v>0</v>
      </c>
      <c r="R30" s="99">
        <f>SUMPRODUCT(($C$30=Producción_Lecheria[Movimiento])*($F30=Producción_Lecheria[Cuenta Contable])*(R$1=Producción_Lecheria[Mes Financiero])*(R$2=Producción_Lecheria[Año Financiero])*(Producción_Lecheria[Financiero U$S Dólares]))</f>
        <v>0</v>
      </c>
      <c r="S30" s="100">
        <f>SUMPRODUCT(($C$30=Producción_Lecheria[Movimiento])*($F30=Producción_Lecheria[Cuenta Contable])*(S$1=Producción_Lecheria[Mes Financiero])*(S$2=Producción_Lecheria[Año Financiero])*(Producción_Lecheria[Financiero U$S Dólares]))</f>
        <v>0</v>
      </c>
      <c r="T30" s="99">
        <f>SUMPRODUCT(($C$30=Producción_Lecheria[Movimiento])*($F30=Producción_Lecheria[Cuenta Contable])*(T$1=Producción_Lecheria[Mes Financiero])*(T$2=Producción_Lecheria[Año Financiero])*(Producción_Lecheria[Financiero U$S Dólares]))</f>
        <v>0</v>
      </c>
      <c r="U30" s="100">
        <f>SUMPRODUCT(($C$30=Producción_Lecheria[Movimiento])*($F30=Producción_Lecheria[Cuenta Contable])*(U$1=Producción_Lecheria[Mes Financiero])*(U$2=Producción_Lecheria[Año Financiero])*(Producción_Lecheria[Financiero U$S Dólares]))</f>
        <v>0</v>
      </c>
      <c r="V30" s="99">
        <f>SUMPRODUCT(($C$30=Producción_Lecheria[Movimiento])*($F30=Producción_Lecheria[Cuenta Contable])*(V$1=Producción_Lecheria[Mes Financiero])*(V$2=Producción_Lecheria[Año Financiero])*(Producción_Lecheria[Financiero U$S Dólares]))</f>
        <v>0</v>
      </c>
      <c r="W30" s="100">
        <f>SUMPRODUCT(($C$30=Producción_Lecheria[Movimiento])*($F30=Producción_Lecheria[Cuenta Contable])*(W$1=Producción_Lecheria[Mes Financiero])*(W$2=Producción_Lecheria[Año Financiero])*(Producción_Lecheria[Financiero U$S Dólares]))</f>
        <v>0</v>
      </c>
      <c r="X30" s="99">
        <f>SUMPRODUCT(($C$30=Producción_Lecheria[Movimiento])*($F30=Producción_Lecheria[Cuenta Contable])*(X$1=Producción_Lecheria[Mes Financiero])*(X$2=Producción_Lecheria[Año Financiero])*(Producción_Lecheria[Financiero U$S Dólares]))</f>
        <v>0</v>
      </c>
      <c r="Y30" s="100">
        <f>SUMPRODUCT(($C$30=Producción_Lecheria[Movimiento])*($F30=Producción_Lecheria[Cuenta Contable])*(Y$1=Producción_Lecheria[Mes Financiero])*(Y$2=Producción_Lecheria[Año Financiero])*(Producción_Lecheria[Financiero U$S Dólares]))</f>
        <v>0</v>
      </c>
      <c r="Z30" s="139">
        <f t="shared" si="3"/>
        <v>0</v>
      </c>
      <c r="AB30" s="173"/>
      <c r="AC30" s="281">
        <f>SUMPRODUCT(($F$30=Produccion_Lecheria_Cuentas[Cuenta Contable])*(Produccion_Lecheria_Cuentas[IVA]))</f>
        <v>0.21</v>
      </c>
      <c r="AD30" s="281">
        <v>0.01</v>
      </c>
    </row>
    <row r="31" spans="2:30" x14ac:dyDescent="0.25">
      <c r="E31" s="223">
        <f>MATCH(F31,Produccion_Lecheria_Cuentas[Cuenta Contable],0)</f>
        <v>3</v>
      </c>
      <c r="F31" s="417" t="str">
        <f>INDEX(Produccion_Lecheria_Cuentas[[Cuenta Contable]:[Movimiento]],MATCH('Financiero U$S'!C30,Produccion_Lecheria_Cuentas[Movimiento],0),1)</f>
        <v>Venta Hacienda</v>
      </c>
      <c r="H31" s="99">
        <f>SUMPRODUCT(($C$30=Producción_Lecheria[Movimiento])*($F31=Producción_Lecheria[Cuenta Contable])*(H$1=Producción_Lecheria[Mes Financiero])*(H$2=Producción_Lecheria[Año Financiero])*(Producción_Lecheria[Financiero U$S Dólares]))</f>
        <v>0</v>
      </c>
      <c r="I31" s="100">
        <f>SUMPRODUCT(($C$30=Producción_Lecheria[Movimiento])*($F31=Producción_Lecheria[Cuenta Contable])*(I$1=Producción_Lecheria[Mes Financiero])*(I$2=Producción_Lecheria[Año Financiero])*(Producción_Lecheria[Financiero U$S Dólares]))</f>
        <v>0</v>
      </c>
      <c r="J31" s="99">
        <f>SUMPRODUCT(($C$30=Producción_Lecheria[Movimiento])*($F31=Producción_Lecheria[Cuenta Contable])*(J$1=Producción_Lecheria[Mes Financiero])*(J$2=Producción_Lecheria[Año Financiero])*(Producción_Lecheria[Financiero U$S Dólares]))</f>
        <v>0</v>
      </c>
      <c r="K31" s="100">
        <f>SUMPRODUCT(($C$30=Producción_Lecheria[Movimiento])*($F31=Producción_Lecheria[Cuenta Contable])*(K$1=Producción_Lecheria[Mes Financiero])*(K$2=Producción_Lecheria[Año Financiero])*(Producción_Lecheria[Financiero U$S Dólares]))</f>
        <v>0</v>
      </c>
      <c r="L31" s="99">
        <f>SUMPRODUCT(($C$30=Producción_Lecheria[Movimiento])*($F31=Producción_Lecheria[Cuenta Contable])*(L$1=Producción_Lecheria[Mes Financiero])*(L$2=Producción_Lecheria[Año Financiero])*(Producción_Lecheria[Financiero U$S Dólares]))</f>
        <v>0</v>
      </c>
      <c r="M31" s="100">
        <f>SUMPRODUCT(($C$30=Producción_Lecheria[Movimiento])*($F31=Producción_Lecheria[Cuenta Contable])*(M$1=Producción_Lecheria[Mes Financiero])*(M$2=Producción_Lecheria[Año Financiero])*(Producción_Lecheria[Financiero U$S Dólares]))</f>
        <v>0</v>
      </c>
      <c r="N31" s="99">
        <f>SUMPRODUCT(($C$30=Producción_Lecheria[Movimiento])*($F31=Producción_Lecheria[Cuenta Contable])*(N$1=Producción_Lecheria[Mes Financiero])*(N$2=Producción_Lecheria[Año Financiero])*(Producción_Lecheria[Financiero U$S Dólares]))</f>
        <v>0</v>
      </c>
      <c r="O31" s="100">
        <f>SUMPRODUCT(($C$30=Producción_Lecheria[Movimiento])*($F31=Producción_Lecheria[Cuenta Contable])*(O$1=Producción_Lecheria[Mes Financiero])*(O$2=Producción_Lecheria[Año Financiero])*(Producción_Lecheria[Financiero U$S Dólares]))</f>
        <v>0</v>
      </c>
      <c r="P31" s="99">
        <f>SUMPRODUCT(($C$30=Producción_Lecheria[Movimiento])*($F31=Producción_Lecheria[Cuenta Contable])*(P$1=Producción_Lecheria[Mes Financiero])*(P$2=Producción_Lecheria[Año Financiero])*(Producción_Lecheria[Financiero U$S Dólares]))</f>
        <v>0</v>
      </c>
      <c r="Q31" s="100">
        <f>SUMPRODUCT(($C$30=Producción_Lecheria[Movimiento])*($F31=Producción_Lecheria[Cuenta Contable])*(Q$1=Producción_Lecheria[Mes Financiero])*(Q$2=Producción_Lecheria[Año Financiero])*(Producción_Lecheria[Financiero U$S Dólares]))</f>
        <v>0</v>
      </c>
      <c r="R31" s="99">
        <f>SUMPRODUCT(($C$30=Producción_Lecheria[Movimiento])*($F31=Producción_Lecheria[Cuenta Contable])*(R$1=Producción_Lecheria[Mes Financiero])*(R$2=Producción_Lecheria[Año Financiero])*(Producción_Lecheria[Financiero U$S Dólares]))</f>
        <v>0</v>
      </c>
      <c r="S31" s="100">
        <f>SUMPRODUCT(($C$30=Producción_Lecheria[Movimiento])*($F31=Producción_Lecheria[Cuenta Contable])*(S$1=Producción_Lecheria[Mes Financiero])*(S$2=Producción_Lecheria[Año Financiero])*(Producción_Lecheria[Financiero U$S Dólares]))</f>
        <v>0</v>
      </c>
      <c r="T31" s="99">
        <f>SUMPRODUCT(($C$30=Producción_Lecheria[Movimiento])*($F31=Producción_Lecheria[Cuenta Contable])*(T$1=Producción_Lecheria[Mes Financiero])*(T$2=Producción_Lecheria[Año Financiero])*(Producción_Lecheria[Financiero U$S Dólares]))</f>
        <v>0</v>
      </c>
      <c r="U31" s="100">
        <f>SUMPRODUCT(($C$30=Producción_Lecheria[Movimiento])*($F31=Producción_Lecheria[Cuenta Contable])*(U$1=Producción_Lecheria[Mes Financiero])*(U$2=Producción_Lecheria[Año Financiero])*(Producción_Lecheria[Financiero U$S Dólares]))</f>
        <v>0</v>
      </c>
      <c r="V31" s="99">
        <f>SUMPRODUCT(($C$30=Producción_Lecheria[Movimiento])*($F31=Producción_Lecheria[Cuenta Contable])*(V$1=Producción_Lecheria[Mes Financiero])*(V$2=Producción_Lecheria[Año Financiero])*(Producción_Lecheria[Financiero U$S Dólares]))</f>
        <v>0</v>
      </c>
      <c r="W31" s="100">
        <f>SUMPRODUCT(($C$30=Producción_Lecheria[Movimiento])*($F31=Producción_Lecheria[Cuenta Contable])*(W$1=Producción_Lecheria[Mes Financiero])*(W$2=Producción_Lecheria[Año Financiero])*(Producción_Lecheria[Financiero U$S Dólares]))</f>
        <v>0</v>
      </c>
      <c r="X31" s="99">
        <f>SUMPRODUCT(($C$30=Producción_Lecheria[Movimiento])*($F31=Producción_Lecheria[Cuenta Contable])*(X$1=Producción_Lecheria[Mes Financiero])*(X$2=Producción_Lecheria[Año Financiero])*(Producción_Lecheria[Financiero U$S Dólares]))</f>
        <v>0</v>
      </c>
      <c r="Y31" s="100">
        <f>SUMPRODUCT(($C$30=Producción_Lecheria[Movimiento])*($F31=Producción_Lecheria[Cuenta Contable])*(Y$1=Producción_Lecheria[Mes Financiero])*(Y$2=Producción_Lecheria[Año Financiero])*(Producción_Lecheria[Financiero U$S Dólares]))</f>
        <v>0</v>
      </c>
      <c r="Z31" s="139">
        <f t="shared" si="3"/>
        <v>0</v>
      </c>
      <c r="AB31" s="170" t="b">
        <f>Z31=SUM(Z32:Z43)</f>
        <v>1</v>
      </c>
      <c r="AC31" s="281">
        <f>SUMPRODUCT(($F$31=Produccion_Lecheria_Cuentas[Cuenta Contable])*(Produccion_Lecheria_Cuentas[IVA]))</f>
        <v>0.105</v>
      </c>
      <c r="AD31" s="281">
        <v>0.01</v>
      </c>
    </row>
    <row r="32" spans="2:30" hidden="1" outlineLevel="1" x14ac:dyDescent="0.25">
      <c r="F32" s="215">
        <f>IFERROR(MATCH(G32,Produccion_Lecheria[Categoría],0),0)</f>
        <v>1</v>
      </c>
      <c r="G32" s="229" t="str">
        <f>Configuración!BM5</f>
        <v>Vaca Ordeñe</v>
      </c>
      <c r="H32" s="117">
        <f>SUMPRODUCT(($C$30=Producción_Lecheria[Movimiento])*($G32=Producción_Lecheria[Categoría Hacienda])*(H$1=Producción_Lecheria[Mes Financiero])*(H$2=Producción_Lecheria[Año Financiero])*(Producción_Lecheria[Financiero U$S Dólares]))</f>
        <v>0</v>
      </c>
      <c r="I32" s="118">
        <f>SUMPRODUCT(($C$30=Producción_Lecheria[Movimiento])*($G32=Producción_Lecheria[Categoría Hacienda])*(I$1=Producción_Lecheria[Mes Financiero])*(I$2=Producción_Lecheria[Año Financiero])*(Producción_Lecheria[Financiero U$S Dólares]))</f>
        <v>0</v>
      </c>
      <c r="J32" s="117">
        <f>SUMPRODUCT(($C$30=Producción_Lecheria[Movimiento])*($G32=Producción_Lecheria[Categoría Hacienda])*(J$1=Producción_Lecheria[Mes Financiero])*(J$2=Producción_Lecheria[Año Financiero])*(Producción_Lecheria[Financiero U$S Dólares]))</f>
        <v>0</v>
      </c>
      <c r="K32" s="118">
        <f>SUMPRODUCT(($C$30=Producción_Lecheria[Movimiento])*($G32=Producción_Lecheria[Categoría Hacienda])*(K$1=Producción_Lecheria[Mes Financiero])*(K$2=Producción_Lecheria[Año Financiero])*(Producción_Lecheria[Financiero U$S Dólares]))</f>
        <v>0</v>
      </c>
      <c r="L32" s="117">
        <f>SUMPRODUCT(($C$30=Producción_Lecheria[Movimiento])*($G32=Producción_Lecheria[Categoría Hacienda])*(L$1=Producción_Lecheria[Mes Financiero])*(L$2=Producción_Lecheria[Año Financiero])*(Producción_Lecheria[Financiero U$S Dólares]))</f>
        <v>0</v>
      </c>
      <c r="M32" s="118">
        <f>SUMPRODUCT(($C$30=Producción_Lecheria[Movimiento])*($G32=Producción_Lecheria[Categoría Hacienda])*(M$1=Producción_Lecheria[Mes Financiero])*(M$2=Producción_Lecheria[Año Financiero])*(Producción_Lecheria[Financiero U$S Dólares]))</f>
        <v>0</v>
      </c>
      <c r="N32" s="117">
        <f>SUMPRODUCT(($C$30=Producción_Lecheria[Movimiento])*($G32=Producción_Lecheria[Categoría Hacienda])*(N$1=Producción_Lecheria[Mes Financiero])*(N$2=Producción_Lecheria[Año Financiero])*(Producción_Lecheria[Financiero U$S Dólares]))</f>
        <v>0</v>
      </c>
      <c r="O32" s="118">
        <f>SUMPRODUCT(($C$30=Producción_Lecheria[Movimiento])*($G32=Producción_Lecheria[Categoría Hacienda])*(O$1=Producción_Lecheria[Mes Financiero])*(O$2=Producción_Lecheria[Año Financiero])*(Producción_Lecheria[Financiero U$S Dólares]))</f>
        <v>0</v>
      </c>
      <c r="P32" s="117">
        <f>SUMPRODUCT(($C$30=Producción_Lecheria[Movimiento])*($G32=Producción_Lecheria[Categoría Hacienda])*(P$1=Producción_Lecheria[Mes Financiero])*(P$2=Producción_Lecheria[Año Financiero])*(Producción_Lecheria[Financiero U$S Dólares]))</f>
        <v>0</v>
      </c>
      <c r="Q32" s="118">
        <f>SUMPRODUCT(($C$30=Producción_Lecheria[Movimiento])*($G32=Producción_Lecheria[Categoría Hacienda])*(Q$1=Producción_Lecheria[Mes Financiero])*(Q$2=Producción_Lecheria[Año Financiero])*(Producción_Lecheria[Financiero U$S Dólares]))</f>
        <v>0</v>
      </c>
      <c r="R32" s="117">
        <f>SUMPRODUCT(($C$30=Producción_Lecheria[Movimiento])*($G32=Producción_Lecheria[Categoría Hacienda])*(R$1=Producción_Lecheria[Mes Financiero])*(R$2=Producción_Lecheria[Año Financiero])*(Producción_Lecheria[Financiero U$S Dólares]))</f>
        <v>0</v>
      </c>
      <c r="S32" s="118">
        <f>SUMPRODUCT(($C$30=Producción_Lecheria[Movimiento])*($G32=Producción_Lecheria[Categoría Hacienda])*(S$1=Producción_Lecheria[Mes Financiero])*(S$2=Producción_Lecheria[Año Financiero])*(Producción_Lecheria[Financiero U$S Dólares]))</f>
        <v>0</v>
      </c>
      <c r="T32" s="117">
        <f>SUMPRODUCT(($C$30=Producción_Lecheria[Movimiento])*($G32=Producción_Lecheria[Categoría Hacienda])*(T$1=Producción_Lecheria[Mes Financiero])*(T$2=Producción_Lecheria[Año Financiero])*(Producción_Lecheria[Financiero U$S Dólares]))</f>
        <v>0</v>
      </c>
      <c r="U32" s="118">
        <f>SUMPRODUCT(($C$30=Producción_Lecheria[Movimiento])*($G32=Producción_Lecheria[Categoría Hacienda])*(U$1=Producción_Lecheria[Mes Financiero])*(U$2=Producción_Lecheria[Año Financiero])*(Producción_Lecheria[Financiero U$S Dólares]))</f>
        <v>0</v>
      </c>
      <c r="V32" s="117">
        <f>SUMPRODUCT(($C$30=Producción_Lecheria[Movimiento])*($G32=Producción_Lecheria[Categoría Hacienda])*(V$1=Producción_Lecheria[Mes Financiero])*(V$2=Producción_Lecheria[Año Financiero])*(Producción_Lecheria[Financiero U$S Dólares]))</f>
        <v>0</v>
      </c>
      <c r="W32" s="118">
        <f>SUMPRODUCT(($C$30=Producción_Lecheria[Movimiento])*($G32=Producción_Lecheria[Categoría Hacienda])*(W$1=Producción_Lecheria[Mes Financiero])*(W$2=Producción_Lecheria[Año Financiero])*(Producción_Lecheria[Financiero U$S Dólares]))</f>
        <v>0</v>
      </c>
      <c r="X32" s="117">
        <f>SUMPRODUCT(($C$30=Producción_Lecheria[Movimiento])*($G32=Producción_Lecheria[Categoría Hacienda])*(X$1=Producción_Lecheria[Mes Financiero])*(X$2=Producción_Lecheria[Año Financiero])*(Producción_Lecheria[Financiero U$S Dólares]))</f>
        <v>0</v>
      </c>
      <c r="Y32" s="118">
        <f>SUMPRODUCT(($C$30=Producción_Lecheria[Movimiento])*($G32=Producción_Lecheria[Categoría Hacienda])*(Y$1=Producción_Lecheria[Mes Financiero])*(Y$2=Producción_Lecheria[Año Financiero])*(Producción_Lecheria[Financiero U$S Dólares]))</f>
        <v>0</v>
      </c>
      <c r="Z32" s="142">
        <f t="shared" si="3"/>
        <v>0</v>
      </c>
    </row>
    <row r="33" spans="2:30" hidden="1" outlineLevel="1" x14ac:dyDescent="0.25">
      <c r="F33" s="215">
        <f>IFERROR(MATCH(G33,Produccion_Lecheria[Categoría],0),0)</f>
        <v>2</v>
      </c>
      <c r="G33" s="229" t="str">
        <f>Configuración!BM6</f>
        <v>Vaca Seca</v>
      </c>
      <c r="H33" s="117">
        <f>SUMPRODUCT(($C$30=Producción_Lecheria[Movimiento])*($G33=Producción_Lecheria[Categoría Hacienda])*(H$1=Producción_Lecheria[Mes Financiero])*(H$2=Producción_Lecheria[Año Financiero])*(Producción_Lecheria[Financiero U$S Dólares]))</f>
        <v>0</v>
      </c>
      <c r="I33" s="118">
        <f>SUMPRODUCT(($C$30=Producción_Lecheria[Movimiento])*($G33=Producción_Lecheria[Categoría Hacienda])*(I$1=Producción_Lecheria[Mes Financiero])*(I$2=Producción_Lecheria[Año Financiero])*(Producción_Lecheria[Financiero U$S Dólares]))</f>
        <v>0</v>
      </c>
      <c r="J33" s="117">
        <f>SUMPRODUCT(($C$30=Producción_Lecheria[Movimiento])*($G33=Producción_Lecheria[Categoría Hacienda])*(J$1=Producción_Lecheria[Mes Financiero])*(J$2=Producción_Lecheria[Año Financiero])*(Producción_Lecheria[Financiero U$S Dólares]))</f>
        <v>0</v>
      </c>
      <c r="K33" s="118">
        <f>SUMPRODUCT(($C$30=Producción_Lecheria[Movimiento])*($G33=Producción_Lecheria[Categoría Hacienda])*(K$1=Producción_Lecheria[Mes Financiero])*(K$2=Producción_Lecheria[Año Financiero])*(Producción_Lecheria[Financiero U$S Dólares]))</f>
        <v>0</v>
      </c>
      <c r="L33" s="117">
        <f>SUMPRODUCT(($C$30=Producción_Lecheria[Movimiento])*($G33=Producción_Lecheria[Categoría Hacienda])*(L$1=Producción_Lecheria[Mes Financiero])*(L$2=Producción_Lecheria[Año Financiero])*(Producción_Lecheria[Financiero U$S Dólares]))</f>
        <v>0</v>
      </c>
      <c r="M33" s="118">
        <f>SUMPRODUCT(($C$30=Producción_Lecheria[Movimiento])*($G33=Producción_Lecheria[Categoría Hacienda])*(M$1=Producción_Lecheria[Mes Financiero])*(M$2=Producción_Lecheria[Año Financiero])*(Producción_Lecheria[Financiero U$S Dólares]))</f>
        <v>0</v>
      </c>
      <c r="N33" s="117">
        <f>SUMPRODUCT(($C$30=Producción_Lecheria[Movimiento])*($G33=Producción_Lecheria[Categoría Hacienda])*(N$1=Producción_Lecheria[Mes Financiero])*(N$2=Producción_Lecheria[Año Financiero])*(Producción_Lecheria[Financiero U$S Dólares]))</f>
        <v>0</v>
      </c>
      <c r="O33" s="118">
        <f>SUMPRODUCT(($C$30=Producción_Lecheria[Movimiento])*($G33=Producción_Lecheria[Categoría Hacienda])*(O$1=Producción_Lecheria[Mes Financiero])*(O$2=Producción_Lecheria[Año Financiero])*(Producción_Lecheria[Financiero U$S Dólares]))</f>
        <v>0</v>
      </c>
      <c r="P33" s="117">
        <f>SUMPRODUCT(($C$30=Producción_Lecheria[Movimiento])*($G33=Producción_Lecheria[Categoría Hacienda])*(P$1=Producción_Lecheria[Mes Financiero])*(P$2=Producción_Lecheria[Año Financiero])*(Producción_Lecheria[Financiero U$S Dólares]))</f>
        <v>0</v>
      </c>
      <c r="Q33" s="118">
        <f>SUMPRODUCT(($C$30=Producción_Lecheria[Movimiento])*($G33=Producción_Lecheria[Categoría Hacienda])*(Q$1=Producción_Lecheria[Mes Financiero])*(Q$2=Producción_Lecheria[Año Financiero])*(Producción_Lecheria[Financiero U$S Dólares]))</f>
        <v>0</v>
      </c>
      <c r="R33" s="117">
        <f>SUMPRODUCT(($C$30=Producción_Lecheria[Movimiento])*($G33=Producción_Lecheria[Categoría Hacienda])*(R$1=Producción_Lecheria[Mes Financiero])*(R$2=Producción_Lecheria[Año Financiero])*(Producción_Lecheria[Financiero U$S Dólares]))</f>
        <v>0</v>
      </c>
      <c r="S33" s="118">
        <f>SUMPRODUCT(($C$30=Producción_Lecheria[Movimiento])*($G33=Producción_Lecheria[Categoría Hacienda])*(S$1=Producción_Lecheria[Mes Financiero])*(S$2=Producción_Lecheria[Año Financiero])*(Producción_Lecheria[Financiero U$S Dólares]))</f>
        <v>0</v>
      </c>
      <c r="T33" s="117">
        <f>SUMPRODUCT(($C$30=Producción_Lecheria[Movimiento])*($G33=Producción_Lecheria[Categoría Hacienda])*(T$1=Producción_Lecheria[Mes Financiero])*(T$2=Producción_Lecheria[Año Financiero])*(Producción_Lecheria[Financiero U$S Dólares]))</f>
        <v>0</v>
      </c>
      <c r="U33" s="118">
        <f>SUMPRODUCT(($C$30=Producción_Lecheria[Movimiento])*($G33=Producción_Lecheria[Categoría Hacienda])*(U$1=Producción_Lecheria[Mes Financiero])*(U$2=Producción_Lecheria[Año Financiero])*(Producción_Lecheria[Financiero U$S Dólares]))</f>
        <v>0</v>
      </c>
      <c r="V33" s="117">
        <f>SUMPRODUCT(($C$30=Producción_Lecheria[Movimiento])*($G33=Producción_Lecheria[Categoría Hacienda])*(V$1=Producción_Lecheria[Mes Financiero])*(V$2=Producción_Lecheria[Año Financiero])*(Producción_Lecheria[Financiero U$S Dólares]))</f>
        <v>0</v>
      </c>
      <c r="W33" s="118">
        <f>SUMPRODUCT(($C$30=Producción_Lecheria[Movimiento])*($G33=Producción_Lecheria[Categoría Hacienda])*(W$1=Producción_Lecheria[Mes Financiero])*(W$2=Producción_Lecheria[Año Financiero])*(Producción_Lecheria[Financiero U$S Dólares]))</f>
        <v>0</v>
      </c>
      <c r="X33" s="117">
        <f>SUMPRODUCT(($C$30=Producción_Lecheria[Movimiento])*($G33=Producción_Lecheria[Categoría Hacienda])*(X$1=Producción_Lecheria[Mes Financiero])*(X$2=Producción_Lecheria[Año Financiero])*(Producción_Lecheria[Financiero U$S Dólares]))</f>
        <v>0</v>
      </c>
      <c r="Y33" s="118">
        <f>SUMPRODUCT(($C$30=Producción_Lecheria[Movimiento])*($G33=Producción_Lecheria[Categoría Hacienda])*(Y$1=Producción_Lecheria[Mes Financiero])*(Y$2=Producción_Lecheria[Año Financiero])*(Producción_Lecheria[Financiero U$S Dólares]))</f>
        <v>0</v>
      </c>
      <c r="Z33" s="142">
        <f t="shared" si="3"/>
        <v>0</v>
      </c>
    </row>
    <row r="34" spans="2:30" hidden="1" outlineLevel="1" x14ac:dyDescent="0.25">
      <c r="F34" s="215">
        <f>IFERROR(MATCH(G34,Produccion_Lecheria[Categoría],0),0)</f>
        <v>3</v>
      </c>
      <c r="G34" s="229" t="str">
        <f>Configuración!BM7</f>
        <v>Toro</v>
      </c>
      <c r="H34" s="117">
        <f>SUMPRODUCT(($C$30=Producción_Lecheria[Movimiento])*($G34=Producción_Lecheria[Categoría Hacienda])*(H$1=Producción_Lecheria[Mes Financiero])*(H$2=Producción_Lecheria[Año Financiero])*(Producción_Lecheria[Financiero U$S Dólares]))</f>
        <v>0</v>
      </c>
      <c r="I34" s="118">
        <f>SUMPRODUCT(($C$30=Producción_Lecheria[Movimiento])*($G34=Producción_Lecheria[Categoría Hacienda])*(I$1=Producción_Lecheria[Mes Financiero])*(I$2=Producción_Lecheria[Año Financiero])*(Producción_Lecheria[Financiero U$S Dólares]))</f>
        <v>0</v>
      </c>
      <c r="J34" s="117">
        <f>SUMPRODUCT(($C$30=Producción_Lecheria[Movimiento])*($G34=Producción_Lecheria[Categoría Hacienda])*(J$1=Producción_Lecheria[Mes Financiero])*(J$2=Producción_Lecheria[Año Financiero])*(Producción_Lecheria[Financiero U$S Dólares]))</f>
        <v>0</v>
      </c>
      <c r="K34" s="118">
        <f>SUMPRODUCT(($C$30=Producción_Lecheria[Movimiento])*($G34=Producción_Lecheria[Categoría Hacienda])*(K$1=Producción_Lecheria[Mes Financiero])*(K$2=Producción_Lecheria[Año Financiero])*(Producción_Lecheria[Financiero U$S Dólares]))</f>
        <v>0</v>
      </c>
      <c r="L34" s="117">
        <f>SUMPRODUCT(($C$30=Producción_Lecheria[Movimiento])*($G34=Producción_Lecheria[Categoría Hacienda])*(L$1=Producción_Lecheria[Mes Financiero])*(L$2=Producción_Lecheria[Año Financiero])*(Producción_Lecheria[Financiero U$S Dólares]))</f>
        <v>0</v>
      </c>
      <c r="M34" s="118">
        <f>SUMPRODUCT(($C$30=Producción_Lecheria[Movimiento])*($G34=Producción_Lecheria[Categoría Hacienda])*(M$1=Producción_Lecheria[Mes Financiero])*(M$2=Producción_Lecheria[Año Financiero])*(Producción_Lecheria[Financiero U$S Dólares]))</f>
        <v>0</v>
      </c>
      <c r="N34" s="117">
        <f>SUMPRODUCT(($C$30=Producción_Lecheria[Movimiento])*($G34=Producción_Lecheria[Categoría Hacienda])*(N$1=Producción_Lecheria[Mes Financiero])*(N$2=Producción_Lecheria[Año Financiero])*(Producción_Lecheria[Financiero U$S Dólares]))</f>
        <v>0</v>
      </c>
      <c r="O34" s="118">
        <f>SUMPRODUCT(($C$30=Producción_Lecheria[Movimiento])*($G34=Producción_Lecheria[Categoría Hacienda])*(O$1=Producción_Lecheria[Mes Financiero])*(O$2=Producción_Lecheria[Año Financiero])*(Producción_Lecheria[Financiero U$S Dólares]))</f>
        <v>0</v>
      </c>
      <c r="P34" s="117">
        <f>SUMPRODUCT(($C$30=Producción_Lecheria[Movimiento])*($G34=Producción_Lecheria[Categoría Hacienda])*(P$1=Producción_Lecheria[Mes Financiero])*(P$2=Producción_Lecheria[Año Financiero])*(Producción_Lecheria[Financiero U$S Dólares]))</f>
        <v>0</v>
      </c>
      <c r="Q34" s="118">
        <f>SUMPRODUCT(($C$30=Producción_Lecheria[Movimiento])*($G34=Producción_Lecheria[Categoría Hacienda])*(Q$1=Producción_Lecheria[Mes Financiero])*(Q$2=Producción_Lecheria[Año Financiero])*(Producción_Lecheria[Financiero U$S Dólares]))</f>
        <v>0</v>
      </c>
      <c r="R34" s="117">
        <f>SUMPRODUCT(($C$30=Producción_Lecheria[Movimiento])*($G34=Producción_Lecheria[Categoría Hacienda])*(R$1=Producción_Lecheria[Mes Financiero])*(R$2=Producción_Lecheria[Año Financiero])*(Producción_Lecheria[Financiero U$S Dólares]))</f>
        <v>0</v>
      </c>
      <c r="S34" s="118">
        <f>SUMPRODUCT(($C$30=Producción_Lecheria[Movimiento])*($G34=Producción_Lecheria[Categoría Hacienda])*(S$1=Producción_Lecheria[Mes Financiero])*(S$2=Producción_Lecheria[Año Financiero])*(Producción_Lecheria[Financiero U$S Dólares]))</f>
        <v>0</v>
      </c>
      <c r="T34" s="117">
        <f>SUMPRODUCT(($C$30=Producción_Lecheria[Movimiento])*($G34=Producción_Lecheria[Categoría Hacienda])*(T$1=Producción_Lecheria[Mes Financiero])*(T$2=Producción_Lecheria[Año Financiero])*(Producción_Lecheria[Financiero U$S Dólares]))</f>
        <v>0</v>
      </c>
      <c r="U34" s="118">
        <f>SUMPRODUCT(($C$30=Producción_Lecheria[Movimiento])*($G34=Producción_Lecheria[Categoría Hacienda])*(U$1=Producción_Lecheria[Mes Financiero])*(U$2=Producción_Lecheria[Año Financiero])*(Producción_Lecheria[Financiero U$S Dólares]))</f>
        <v>0</v>
      </c>
      <c r="V34" s="117">
        <f>SUMPRODUCT(($C$30=Producción_Lecheria[Movimiento])*($G34=Producción_Lecheria[Categoría Hacienda])*(V$1=Producción_Lecheria[Mes Financiero])*(V$2=Producción_Lecheria[Año Financiero])*(Producción_Lecheria[Financiero U$S Dólares]))</f>
        <v>0</v>
      </c>
      <c r="W34" s="118">
        <f>SUMPRODUCT(($C$30=Producción_Lecheria[Movimiento])*($G34=Producción_Lecheria[Categoría Hacienda])*(W$1=Producción_Lecheria[Mes Financiero])*(W$2=Producción_Lecheria[Año Financiero])*(Producción_Lecheria[Financiero U$S Dólares]))</f>
        <v>0</v>
      </c>
      <c r="X34" s="117">
        <f>SUMPRODUCT(($C$30=Producción_Lecheria[Movimiento])*($G34=Producción_Lecheria[Categoría Hacienda])*(X$1=Producción_Lecheria[Mes Financiero])*(X$2=Producción_Lecheria[Año Financiero])*(Producción_Lecheria[Financiero U$S Dólares]))</f>
        <v>0</v>
      </c>
      <c r="Y34" s="118">
        <f>SUMPRODUCT(($C$30=Producción_Lecheria[Movimiento])*($G34=Producción_Lecheria[Categoría Hacienda])*(Y$1=Producción_Lecheria[Mes Financiero])*(Y$2=Producción_Lecheria[Año Financiero])*(Producción_Lecheria[Financiero U$S Dólares]))</f>
        <v>0</v>
      </c>
      <c r="Z34" s="142">
        <f t="shared" si="3"/>
        <v>0</v>
      </c>
    </row>
    <row r="35" spans="2:30" hidden="1" outlineLevel="1" x14ac:dyDescent="0.25">
      <c r="F35" s="215">
        <f>IFERROR(MATCH(G35,Produccion_Lecheria[Categoría],0),0)</f>
        <v>4</v>
      </c>
      <c r="G35" s="229" t="str">
        <f>Configuración!BM8</f>
        <v>Vaquillona Preñada</v>
      </c>
      <c r="H35" s="117">
        <f>SUMPRODUCT(($C$30=Producción_Lecheria[Movimiento])*($G35=Producción_Lecheria[Categoría Hacienda])*(H$1=Producción_Lecheria[Mes Financiero])*(H$2=Producción_Lecheria[Año Financiero])*(Producción_Lecheria[Financiero U$S Dólares]))</f>
        <v>0</v>
      </c>
      <c r="I35" s="118">
        <f>SUMPRODUCT(($C$30=Producción_Lecheria[Movimiento])*($G35=Producción_Lecheria[Categoría Hacienda])*(I$1=Producción_Lecheria[Mes Financiero])*(I$2=Producción_Lecheria[Año Financiero])*(Producción_Lecheria[Financiero U$S Dólares]))</f>
        <v>0</v>
      </c>
      <c r="J35" s="117">
        <f>SUMPRODUCT(($C$30=Producción_Lecheria[Movimiento])*($G35=Producción_Lecheria[Categoría Hacienda])*(J$1=Producción_Lecheria[Mes Financiero])*(J$2=Producción_Lecheria[Año Financiero])*(Producción_Lecheria[Financiero U$S Dólares]))</f>
        <v>0</v>
      </c>
      <c r="K35" s="118">
        <f>SUMPRODUCT(($C$30=Producción_Lecheria[Movimiento])*($G35=Producción_Lecheria[Categoría Hacienda])*(K$1=Producción_Lecheria[Mes Financiero])*(K$2=Producción_Lecheria[Año Financiero])*(Producción_Lecheria[Financiero U$S Dólares]))</f>
        <v>0</v>
      </c>
      <c r="L35" s="117">
        <f>SUMPRODUCT(($C$30=Producción_Lecheria[Movimiento])*($G35=Producción_Lecheria[Categoría Hacienda])*(L$1=Producción_Lecheria[Mes Financiero])*(L$2=Producción_Lecheria[Año Financiero])*(Producción_Lecheria[Financiero U$S Dólares]))</f>
        <v>0</v>
      </c>
      <c r="M35" s="118">
        <f>SUMPRODUCT(($C$30=Producción_Lecheria[Movimiento])*($G35=Producción_Lecheria[Categoría Hacienda])*(M$1=Producción_Lecheria[Mes Financiero])*(M$2=Producción_Lecheria[Año Financiero])*(Producción_Lecheria[Financiero U$S Dólares]))</f>
        <v>0</v>
      </c>
      <c r="N35" s="117">
        <f>SUMPRODUCT(($C$30=Producción_Lecheria[Movimiento])*($G35=Producción_Lecheria[Categoría Hacienda])*(N$1=Producción_Lecheria[Mes Financiero])*(N$2=Producción_Lecheria[Año Financiero])*(Producción_Lecheria[Financiero U$S Dólares]))</f>
        <v>0</v>
      </c>
      <c r="O35" s="118">
        <f>SUMPRODUCT(($C$30=Producción_Lecheria[Movimiento])*($G35=Producción_Lecheria[Categoría Hacienda])*(O$1=Producción_Lecheria[Mes Financiero])*(O$2=Producción_Lecheria[Año Financiero])*(Producción_Lecheria[Financiero U$S Dólares]))</f>
        <v>0</v>
      </c>
      <c r="P35" s="117">
        <f>SUMPRODUCT(($C$30=Producción_Lecheria[Movimiento])*($G35=Producción_Lecheria[Categoría Hacienda])*(P$1=Producción_Lecheria[Mes Financiero])*(P$2=Producción_Lecheria[Año Financiero])*(Producción_Lecheria[Financiero U$S Dólares]))</f>
        <v>0</v>
      </c>
      <c r="Q35" s="118">
        <f>SUMPRODUCT(($C$30=Producción_Lecheria[Movimiento])*($G35=Producción_Lecheria[Categoría Hacienda])*(Q$1=Producción_Lecheria[Mes Financiero])*(Q$2=Producción_Lecheria[Año Financiero])*(Producción_Lecheria[Financiero U$S Dólares]))</f>
        <v>0</v>
      </c>
      <c r="R35" s="117">
        <f>SUMPRODUCT(($C$30=Producción_Lecheria[Movimiento])*($G35=Producción_Lecheria[Categoría Hacienda])*(R$1=Producción_Lecheria[Mes Financiero])*(R$2=Producción_Lecheria[Año Financiero])*(Producción_Lecheria[Financiero U$S Dólares]))</f>
        <v>0</v>
      </c>
      <c r="S35" s="118">
        <f>SUMPRODUCT(($C$30=Producción_Lecheria[Movimiento])*($G35=Producción_Lecheria[Categoría Hacienda])*(S$1=Producción_Lecheria[Mes Financiero])*(S$2=Producción_Lecheria[Año Financiero])*(Producción_Lecheria[Financiero U$S Dólares]))</f>
        <v>0</v>
      </c>
      <c r="T35" s="117">
        <f>SUMPRODUCT(($C$30=Producción_Lecheria[Movimiento])*($G35=Producción_Lecheria[Categoría Hacienda])*(T$1=Producción_Lecheria[Mes Financiero])*(T$2=Producción_Lecheria[Año Financiero])*(Producción_Lecheria[Financiero U$S Dólares]))</f>
        <v>0</v>
      </c>
      <c r="U35" s="118">
        <f>SUMPRODUCT(($C$30=Producción_Lecheria[Movimiento])*($G35=Producción_Lecheria[Categoría Hacienda])*(U$1=Producción_Lecheria[Mes Financiero])*(U$2=Producción_Lecheria[Año Financiero])*(Producción_Lecheria[Financiero U$S Dólares]))</f>
        <v>0</v>
      </c>
      <c r="V35" s="117">
        <f>SUMPRODUCT(($C$30=Producción_Lecheria[Movimiento])*($G35=Producción_Lecheria[Categoría Hacienda])*(V$1=Producción_Lecheria[Mes Financiero])*(V$2=Producción_Lecheria[Año Financiero])*(Producción_Lecheria[Financiero U$S Dólares]))</f>
        <v>0</v>
      </c>
      <c r="W35" s="118">
        <f>SUMPRODUCT(($C$30=Producción_Lecheria[Movimiento])*($G35=Producción_Lecheria[Categoría Hacienda])*(W$1=Producción_Lecheria[Mes Financiero])*(W$2=Producción_Lecheria[Año Financiero])*(Producción_Lecheria[Financiero U$S Dólares]))</f>
        <v>0</v>
      </c>
      <c r="X35" s="117">
        <f>SUMPRODUCT(($C$30=Producción_Lecheria[Movimiento])*($G35=Producción_Lecheria[Categoría Hacienda])*(X$1=Producción_Lecheria[Mes Financiero])*(X$2=Producción_Lecheria[Año Financiero])*(Producción_Lecheria[Financiero U$S Dólares]))</f>
        <v>0</v>
      </c>
      <c r="Y35" s="118">
        <f>SUMPRODUCT(($C$30=Producción_Lecheria[Movimiento])*($G35=Producción_Lecheria[Categoría Hacienda])*(Y$1=Producción_Lecheria[Mes Financiero])*(Y$2=Producción_Lecheria[Año Financiero])*(Producción_Lecheria[Financiero U$S Dólares]))</f>
        <v>0</v>
      </c>
      <c r="Z35" s="142">
        <f t="shared" si="3"/>
        <v>0</v>
      </c>
    </row>
    <row r="36" spans="2:30" hidden="1" outlineLevel="1" x14ac:dyDescent="0.25">
      <c r="F36" s="215">
        <f>IFERROR(MATCH(G36,Produccion_Lecheria[Categoría],0),0)</f>
        <v>5</v>
      </c>
      <c r="G36" s="229" t="str">
        <f>Configuración!BM9</f>
        <v>Vaquillona 06-15</v>
      </c>
      <c r="H36" s="117">
        <f>SUMPRODUCT(($C$30=Producción_Lecheria[Movimiento])*($G36=Producción_Lecheria[Categoría Hacienda])*(H$1=Producción_Lecheria[Mes Financiero])*(H$2=Producción_Lecheria[Año Financiero])*(Producción_Lecheria[Financiero U$S Dólares]))</f>
        <v>0</v>
      </c>
      <c r="I36" s="118">
        <f>SUMPRODUCT(($C$30=Producción_Lecheria[Movimiento])*($G36=Producción_Lecheria[Categoría Hacienda])*(I$1=Producción_Lecheria[Mes Financiero])*(I$2=Producción_Lecheria[Año Financiero])*(Producción_Lecheria[Financiero U$S Dólares]))</f>
        <v>0</v>
      </c>
      <c r="J36" s="117">
        <f>SUMPRODUCT(($C$30=Producción_Lecheria[Movimiento])*($G36=Producción_Lecheria[Categoría Hacienda])*(J$1=Producción_Lecheria[Mes Financiero])*(J$2=Producción_Lecheria[Año Financiero])*(Producción_Lecheria[Financiero U$S Dólares]))</f>
        <v>0</v>
      </c>
      <c r="K36" s="118">
        <f>SUMPRODUCT(($C$30=Producción_Lecheria[Movimiento])*($G36=Producción_Lecheria[Categoría Hacienda])*(K$1=Producción_Lecheria[Mes Financiero])*(K$2=Producción_Lecheria[Año Financiero])*(Producción_Lecheria[Financiero U$S Dólares]))</f>
        <v>0</v>
      </c>
      <c r="L36" s="117">
        <f>SUMPRODUCT(($C$30=Producción_Lecheria[Movimiento])*($G36=Producción_Lecheria[Categoría Hacienda])*(L$1=Producción_Lecheria[Mes Financiero])*(L$2=Producción_Lecheria[Año Financiero])*(Producción_Lecheria[Financiero U$S Dólares]))</f>
        <v>0</v>
      </c>
      <c r="M36" s="118">
        <f>SUMPRODUCT(($C$30=Producción_Lecheria[Movimiento])*($G36=Producción_Lecheria[Categoría Hacienda])*(M$1=Producción_Lecheria[Mes Financiero])*(M$2=Producción_Lecheria[Año Financiero])*(Producción_Lecheria[Financiero U$S Dólares]))</f>
        <v>0</v>
      </c>
      <c r="N36" s="117">
        <f>SUMPRODUCT(($C$30=Producción_Lecheria[Movimiento])*($G36=Producción_Lecheria[Categoría Hacienda])*(N$1=Producción_Lecheria[Mes Financiero])*(N$2=Producción_Lecheria[Año Financiero])*(Producción_Lecheria[Financiero U$S Dólares]))</f>
        <v>0</v>
      </c>
      <c r="O36" s="118">
        <f>SUMPRODUCT(($C$30=Producción_Lecheria[Movimiento])*($G36=Producción_Lecheria[Categoría Hacienda])*(O$1=Producción_Lecheria[Mes Financiero])*(O$2=Producción_Lecheria[Año Financiero])*(Producción_Lecheria[Financiero U$S Dólares]))</f>
        <v>0</v>
      </c>
      <c r="P36" s="117">
        <f>SUMPRODUCT(($C$30=Producción_Lecheria[Movimiento])*($G36=Producción_Lecheria[Categoría Hacienda])*(P$1=Producción_Lecheria[Mes Financiero])*(P$2=Producción_Lecheria[Año Financiero])*(Producción_Lecheria[Financiero U$S Dólares]))</f>
        <v>0</v>
      </c>
      <c r="Q36" s="118">
        <f>SUMPRODUCT(($C$30=Producción_Lecheria[Movimiento])*($G36=Producción_Lecheria[Categoría Hacienda])*(Q$1=Producción_Lecheria[Mes Financiero])*(Q$2=Producción_Lecheria[Año Financiero])*(Producción_Lecheria[Financiero U$S Dólares]))</f>
        <v>0</v>
      </c>
      <c r="R36" s="117">
        <f>SUMPRODUCT(($C$30=Producción_Lecheria[Movimiento])*($G36=Producción_Lecheria[Categoría Hacienda])*(R$1=Producción_Lecheria[Mes Financiero])*(R$2=Producción_Lecheria[Año Financiero])*(Producción_Lecheria[Financiero U$S Dólares]))</f>
        <v>0</v>
      </c>
      <c r="S36" s="118">
        <f>SUMPRODUCT(($C$30=Producción_Lecheria[Movimiento])*($G36=Producción_Lecheria[Categoría Hacienda])*(S$1=Producción_Lecheria[Mes Financiero])*(S$2=Producción_Lecheria[Año Financiero])*(Producción_Lecheria[Financiero U$S Dólares]))</f>
        <v>0</v>
      </c>
      <c r="T36" s="117">
        <f>SUMPRODUCT(($C$30=Producción_Lecheria[Movimiento])*($G36=Producción_Lecheria[Categoría Hacienda])*(T$1=Producción_Lecheria[Mes Financiero])*(T$2=Producción_Lecheria[Año Financiero])*(Producción_Lecheria[Financiero U$S Dólares]))</f>
        <v>0</v>
      </c>
      <c r="U36" s="118">
        <f>SUMPRODUCT(($C$30=Producción_Lecheria[Movimiento])*($G36=Producción_Lecheria[Categoría Hacienda])*(U$1=Producción_Lecheria[Mes Financiero])*(U$2=Producción_Lecheria[Año Financiero])*(Producción_Lecheria[Financiero U$S Dólares]))</f>
        <v>0</v>
      </c>
      <c r="V36" s="117">
        <f>SUMPRODUCT(($C$30=Producción_Lecheria[Movimiento])*($G36=Producción_Lecheria[Categoría Hacienda])*(V$1=Producción_Lecheria[Mes Financiero])*(V$2=Producción_Lecheria[Año Financiero])*(Producción_Lecheria[Financiero U$S Dólares]))</f>
        <v>0</v>
      </c>
      <c r="W36" s="118">
        <f>SUMPRODUCT(($C$30=Producción_Lecheria[Movimiento])*($G36=Producción_Lecheria[Categoría Hacienda])*(W$1=Producción_Lecheria[Mes Financiero])*(W$2=Producción_Lecheria[Año Financiero])*(Producción_Lecheria[Financiero U$S Dólares]))</f>
        <v>0</v>
      </c>
      <c r="X36" s="117">
        <f>SUMPRODUCT(($C$30=Producción_Lecheria[Movimiento])*($G36=Producción_Lecheria[Categoría Hacienda])*(X$1=Producción_Lecheria[Mes Financiero])*(X$2=Producción_Lecheria[Año Financiero])*(Producción_Lecheria[Financiero U$S Dólares]))</f>
        <v>0</v>
      </c>
      <c r="Y36" s="118">
        <f>SUMPRODUCT(($C$30=Producción_Lecheria[Movimiento])*($G36=Producción_Lecheria[Categoría Hacienda])*(Y$1=Producción_Lecheria[Mes Financiero])*(Y$2=Producción_Lecheria[Año Financiero])*(Producción_Lecheria[Financiero U$S Dólares]))</f>
        <v>0</v>
      </c>
      <c r="Z36" s="142">
        <f t="shared" si="3"/>
        <v>0</v>
      </c>
    </row>
    <row r="37" spans="2:30" hidden="1" outlineLevel="1" x14ac:dyDescent="0.25">
      <c r="F37" s="215">
        <f>IFERROR(MATCH(G37,Produccion_Lecheria[Categoría],0),0)</f>
        <v>6</v>
      </c>
      <c r="G37" s="229" t="str">
        <f>Configuración!BM10</f>
        <v>Vaquillona 15-27</v>
      </c>
      <c r="H37" s="117">
        <f>SUMPRODUCT(($C$30=Producción_Lecheria[Movimiento])*($G37=Producción_Lecheria[Categoría Hacienda])*(H$1=Producción_Lecheria[Mes Financiero])*(H$2=Producción_Lecheria[Año Financiero])*(Producción_Lecheria[Financiero U$S Dólares]))</f>
        <v>0</v>
      </c>
      <c r="I37" s="118">
        <f>SUMPRODUCT(($C$30=Producción_Lecheria[Movimiento])*($G37=Producción_Lecheria[Categoría Hacienda])*(I$1=Producción_Lecheria[Mes Financiero])*(I$2=Producción_Lecheria[Año Financiero])*(Producción_Lecheria[Financiero U$S Dólares]))</f>
        <v>0</v>
      </c>
      <c r="J37" s="117">
        <f>SUMPRODUCT(($C$30=Producción_Lecheria[Movimiento])*($G37=Producción_Lecheria[Categoría Hacienda])*(J$1=Producción_Lecheria[Mes Financiero])*(J$2=Producción_Lecheria[Año Financiero])*(Producción_Lecheria[Financiero U$S Dólares]))</f>
        <v>0</v>
      </c>
      <c r="K37" s="118">
        <f>SUMPRODUCT(($C$30=Producción_Lecheria[Movimiento])*($G37=Producción_Lecheria[Categoría Hacienda])*(K$1=Producción_Lecheria[Mes Financiero])*(K$2=Producción_Lecheria[Año Financiero])*(Producción_Lecheria[Financiero U$S Dólares]))</f>
        <v>0</v>
      </c>
      <c r="L37" s="117">
        <f>SUMPRODUCT(($C$30=Producción_Lecheria[Movimiento])*($G37=Producción_Lecheria[Categoría Hacienda])*(L$1=Producción_Lecheria[Mes Financiero])*(L$2=Producción_Lecheria[Año Financiero])*(Producción_Lecheria[Financiero U$S Dólares]))</f>
        <v>0</v>
      </c>
      <c r="M37" s="118">
        <f>SUMPRODUCT(($C$30=Producción_Lecheria[Movimiento])*($G37=Producción_Lecheria[Categoría Hacienda])*(M$1=Producción_Lecheria[Mes Financiero])*(M$2=Producción_Lecheria[Año Financiero])*(Producción_Lecheria[Financiero U$S Dólares]))</f>
        <v>0</v>
      </c>
      <c r="N37" s="117">
        <f>SUMPRODUCT(($C$30=Producción_Lecheria[Movimiento])*($G37=Producción_Lecheria[Categoría Hacienda])*(N$1=Producción_Lecheria[Mes Financiero])*(N$2=Producción_Lecheria[Año Financiero])*(Producción_Lecheria[Financiero U$S Dólares]))</f>
        <v>0</v>
      </c>
      <c r="O37" s="118">
        <f>SUMPRODUCT(($C$30=Producción_Lecheria[Movimiento])*($G37=Producción_Lecheria[Categoría Hacienda])*(O$1=Producción_Lecheria[Mes Financiero])*(O$2=Producción_Lecheria[Año Financiero])*(Producción_Lecheria[Financiero U$S Dólares]))</f>
        <v>0</v>
      </c>
      <c r="P37" s="117">
        <f>SUMPRODUCT(($C$30=Producción_Lecheria[Movimiento])*($G37=Producción_Lecheria[Categoría Hacienda])*(P$1=Producción_Lecheria[Mes Financiero])*(P$2=Producción_Lecheria[Año Financiero])*(Producción_Lecheria[Financiero U$S Dólares]))</f>
        <v>0</v>
      </c>
      <c r="Q37" s="118">
        <f>SUMPRODUCT(($C$30=Producción_Lecheria[Movimiento])*($G37=Producción_Lecheria[Categoría Hacienda])*(Q$1=Producción_Lecheria[Mes Financiero])*(Q$2=Producción_Lecheria[Año Financiero])*(Producción_Lecheria[Financiero U$S Dólares]))</f>
        <v>0</v>
      </c>
      <c r="R37" s="117">
        <f>SUMPRODUCT(($C$30=Producción_Lecheria[Movimiento])*($G37=Producción_Lecheria[Categoría Hacienda])*(R$1=Producción_Lecheria[Mes Financiero])*(R$2=Producción_Lecheria[Año Financiero])*(Producción_Lecheria[Financiero U$S Dólares]))</f>
        <v>0</v>
      </c>
      <c r="S37" s="118">
        <f>SUMPRODUCT(($C$30=Producción_Lecheria[Movimiento])*($G37=Producción_Lecheria[Categoría Hacienda])*(S$1=Producción_Lecheria[Mes Financiero])*(S$2=Producción_Lecheria[Año Financiero])*(Producción_Lecheria[Financiero U$S Dólares]))</f>
        <v>0</v>
      </c>
      <c r="T37" s="117">
        <f>SUMPRODUCT(($C$30=Producción_Lecheria[Movimiento])*($G37=Producción_Lecheria[Categoría Hacienda])*(T$1=Producción_Lecheria[Mes Financiero])*(T$2=Producción_Lecheria[Año Financiero])*(Producción_Lecheria[Financiero U$S Dólares]))</f>
        <v>0</v>
      </c>
      <c r="U37" s="118">
        <f>SUMPRODUCT(($C$30=Producción_Lecheria[Movimiento])*($G37=Producción_Lecheria[Categoría Hacienda])*(U$1=Producción_Lecheria[Mes Financiero])*(U$2=Producción_Lecheria[Año Financiero])*(Producción_Lecheria[Financiero U$S Dólares]))</f>
        <v>0</v>
      </c>
      <c r="V37" s="117">
        <f>SUMPRODUCT(($C$30=Producción_Lecheria[Movimiento])*($G37=Producción_Lecheria[Categoría Hacienda])*(V$1=Producción_Lecheria[Mes Financiero])*(V$2=Producción_Lecheria[Año Financiero])*(Producción_Lecheria[Financiero U$S Dólares]))</f>
        <v>0</v>
      </c>
      <c r="W37" s="118">
        <f>SUMPRODUCT(($C$30=Producción_Lecheria[Movimiento])*($G37=Producción_Lecheria[Categoría Hacienda])*(W$1=Producción_Lecheria[Mes Financiero])*(W$2=Producción_Lecheria[Año Financiero])*(Producción_Lecheria[Financiero U$S Dólares]))</f>
        <v>0</v>
      </c>
      <c r="X37" s="117">
        <f>SUMPRODUCT(($C$30=Producción_Lecheria[Movimiento])*($G37=Producción_Lecheria[Categoría Hacienda])*(X$1=Producción_Lecheria[Mes Financiero])*(X$2=Producción_Lecheria[Año Financiero])*(Producción_Lecheria[Financiero U$S Dólares]))</f>
        <v>0</v>
      </c>
      <c r="Y37" s="118">
        <f>SUMPRODUCT(($C$30=Producción_Lecheria[Movimiento])*($G37=Producción_Lecheria[Categoría Hacienda])*(Y$1=Producción_Lecheria[Mes Financiero])*(Y$2=Producción_Lecheria[Año Financiero])*(Producción_Lecheria[Financiero U$S Dólares]))</f>
        <v>0</v>
      </c>
      <c r="Z37" s="142">
        <f t="shared" si="3"/>
        <v>0</v>
      </c>
    </row>
    <row r="38" spans="2:30" hidden="1" outlineLevel="1" x14ac:dyDescent="0.25">
      <c r="F38" s="215">
        <f>IFERROR(MATCH(G38,Produccion_Lecheria[Categoría],0),0)</f>
        <v>7</v>
      </c>
      <c r="G38" s="229" t="str">
        <f>Configuración!BM11</f>
        <v>Ternera</v>
      </c>
      <c r="H38" s="117">
        <f>SUMPRODUCT(($C$30=Producción_Lecheria[Movimiento])*($G38=Producción_Lecheria[Categoría Hacienda])*(H$1=Producción_Lecheria[Mes Financiero])*(H$2=Producción_Lecheria[Año Financiero])*(Producción_Lecheria[Financiero U$S Dólares]))</f>
        <v>0</v>
      </c>
      <c r="I38" s="118">
        <f>SUMPRODUCT(($C$30=Producción_Lecheria[Movimiento])*($G38=Producción_Lecheria[Categoría Hacienda])*(I$1=Producción_Lecheria[Mes Financiero])*(I$2=Producción_Lecheria[Año Financiero])*(Producción_Lecheria[Financiero U$S Dólares]))</f>
        <v>0</v>
      </c>
      <c r="J38" s="117">
        <f>SUMPRODUCT(($C$30=Producción_Lecheria[Movimiento])*($G38=Producción_Lecheria[Categoría Hacienda])*(J$1=Producción_Lecheria[Mes Financiero])*(J$2=Producción_Lecheria[Año Financiero])*(Producción_Lecheria[Financiero U$S Dólares]))</f>
        <v>0</v>
      </c>
      <c r="K38" s="118">
        <f>SUMPRODUCT(($C$30=Producción_Lecheria[Movimiento])*($G38=Producción_Lecheria[Categoría Hacienda])*(K$1=Producción_Lecheria[Mes Financiero])*(K$2=Producción_Lecheria[Año Financiero])*(Producción_Lecheria[Financiero U$S Dólares]))</f>
        <v>0</v>
      </c>
      <c r="L38" s="117">
        <f>SUMPRODUCT(($C$30=Producción_Lecheria[Movimiento])*($G38=Producción_Lecheria[Categoría Hacienda])*(L$1=Producción_Lecheria[Mes Financiero])*(L$2=Producción_Lecheria[Año Financiero])*(Producción_Lecheria[Financiero U$S Dólares]))</f>
        <v>0</v>
      </c>
      <c r="M38" s="118">
        <f>SUMPRODUCT(($C$30=Producción_Lecheria[Movimiento])*($G38=Producción_Lecheria[Categoría Hacienda])*(M$1=Producción_Lecheria[Mes Financiero])*(M$2=Producción_Lecheria[Año Financiero])*(Producción_Lecheria[Financiero U$S Dólares]))</f>
        <v>0</v>
      </c>
      <c r="N38" s="117">
        <f>SUMPRODUCT(($C$30=Producción_Lecheria[Movimiento])*($G38=Producción_Lecheria[Categoría Hacienda])*(N$1=Producción_Lecheria[Mes Financiero])*(N$2=Producción_Lecheria[Año Financiero])*(Producción_Lecheria[Financiero U$S Dólares]))</f>
        <v>0</v>
      </c>
      <c r="O38" s="118">
        <f>SUMPRODUCT(($C$30=Producción_Lecheria[Movimiento])*($G38=Producción_Lecheria[Categoría Hacienda])*(O$1=Producción_Lecheria[Mes Financiero])*(O$2=Producción_Lecheria[Año Financiero])*(Producción_Lecheria[Financiero U$S Dólares]))</f>
        <v>0</v>
      </c>
      <c r="P38" s="117">
        <f>SUMPRODUCT(($C$30=Producción_Lecheria[Movimiento])*($G38=Producción_Lecheria[Categoría Hacienda])*(P$1=Producción_Lecheria[Mes Financiero])*(P$2=Producción_Lecheria[Año Financiero])*(Producción_Lecheria[Financiero U$S Dólares]))</f>
        <v>0</v>
      </c>
      <c r="Q38" s="118">
        <f>SUMPRODUCT(($C$30=Producción_Lecheria[Movimiento])*($G38=Producción_Lecheria[Categoría Hacienda])*(Q$1=Producción_Lecheria[Mes Financiero])*(Q$2=Producción_Lecheria[Año Financiero])*(Producción_Lecheria[Financiero U$S Dólares]))</f>
        <v>0</v>
      </c>
      <c r="R38" s="117">
        <f>SUMPRODUCT(($C$30=Producción_Lecheria[Movimiento])*($G38=Producción_Lecheria[Categoría Hacienda])*(R$1=Producción_Lecheria[Mes Financiero])*(R$2=Producción_Lecheria[Año Financiero])*(Producción_Lecheria[Financiero U$S Dólares]))</f>
        <v>0</v>
      </c>
      <c r="S38" s="118">
        <f>SUMPRODUCT(($C$30=Producción_Lecheria[Movimiento])*($G38=Producción_Lecheria[Categoría Hacienda])*(S$1=Producción_Lecheria[Mes Financiero])*(S$2=Producción_Lecheria[Año Financiero])*(Producción_Lecheria[Financiero U$S Dólares]))</f>
        <v>0</v>
      </c>
      <c r="T38" s="117">
        <f>SUMPRODUCT(($C$30=Producción_Lecheria[Movimiento])*($G38=Producción_Lecheria[Categoría Hacienda])*(T$1=Producción_Lecheria[Mes Financiero])*(T$2=Producción_Lecheria[Año Financiero])*(Producción_Lecheria[Financiero U$S Dólares]))</f>
        <v>0</v>
      </c>
      <c r="U38" s="118">
        <f>SUMPRODUCT(($C$30=Producción_Lecheria[Movimiento])*($G38=Producción_Lecheria[Categoría Hacienda])*(U$1=Producción_Lecheria[Mes Financiero])*(U$2=Producción_Lecheria[Año Financiero])*(Producción_Lecheria[Financiero U$S Dólares]))</f>
        <v>0</v>
      </c>
      <c r="V38" s="117">
        <f>SUMPRODUCT(($C$30=Producción_Lecheria[Movimiento])*($G38=Producción_Lecheria[Categoría Hacienda])*(V$1=Producción_Lecheria[Mes Financiero])*(V$2=Producción_Lecheria[Año Financiero])*(Producción_Lecheria[Financiero U$S Dólares]))</f>
        <v>0</v>
      </c>
      <c r="W38" s="118">
        <f>SUMPRODUCT(($C$30=Producción_Lecheria[Movimiento])*($G38=Producción_Lecheria[Categoría Hacienda])*(W$1=Producción_Lecheria[Mes Financiero])*(W$2=Producción_Lecheria[Año Financiero])*(Producción_Lecheria[Financiero U$S Dólares]))</f>
        <v>0</v>
      </c>
      <c r="X38" s="117">
        <f>SUMPRODUCT(($C$30=Producción_Lecheria[Movimiento])*($G38=Producción_Lecheria[Categoría Hacienda])*(X$1=Producción_Lecheria[Mes Financiero])*(X$2=Producción_Lecheria[Año Financiero])*(Producción_Lecheria[Financiero U$S Dólares]))</f>
        <v>0</v>
      </c>
      <c r="Y38" s="118">
        <f>SUMPRODUCT(($C$30=Producción_Lecheria[Movimiento])*($G38=Producción_Lecheria[Categoría Hacienda])*(Y$1=Producción_Lecheria[Mes Financiero])*(Y$2=Producción_Lecheria[Año Financiero])*(Producción_Lecheria[Financiero U$S Dólares]))</f>
        <v>0</v>
      </c>
      <c r="Z38" s="142">
        <f t="shared" si="3"/>
        <v>0</v>
      </c>
    </row>
    <row r="39" spans="2:30" hidden="1" outlineLevel="1" x14ac:dyDescent="0.25">
      <c r="F39" s="215">
        <f>IFERROR(MATCH(G39,Produccion_Lecheria[Categoría],0),0)</f>
        <v>8</v>
      </c>
      <c r="G39" s="229" t="str">
        <f>Configuración!BM12</f>
        <v>Ternero</v>
      </c>
      <c r="H39" s="117">
        <f>SUMPRODUCT(($C$30=Producción_Lecheria[Movimiento])*($G39=Producción_Lecheria[Categoría Hacienda])*(H$1=Producción_Lecheria[Mes Financiero])*(H$2=Producción_Lecheria[Año Financiero])*(Producción_Lecheria[Financiero U$S Dólares]))</f>
        <v>0</v>
      </c>
      <c r="I39" s="118">
        <f>SUMPRODUCT(($C$30=Producción_Lecheria[Movimiento])*($G39=Producción_Lecheria[Categoría Hacienda])*(I$1=Producción_Lecheria[Mes Financiero])*(I$2=Producción_Lecheria[Año Financiero])*(Producción_Lecheria[Financiero U$S Dólares]))</f>
        <v>0</v>
      </c>
      <c r="J39" s="117">
        <f>SUMPRODUCT(($C$30=Producción_Lecheria[Movimiento])*($G39=Producción_Lecheria[Categoría Hacienda])*(J$1=Producción_Lecheria[Mes Financiero])*(J$2=Producción_Lecheria[Año Financiero])*(Producción_Lecheria[Financiero U$S Dólares]))</f>
        <v>0</v>
      </c>
      <c r="K39" s="118">
        <f>SUMPRODUCT(($C$30=Producción_Lecheria[Movimiento])*($G39=Producción_Lecheria[Categoría Hacienda])*(K$1=Producción_Lecheria[Mes Financiero])*(K$2=Producción_Lecheria[Año Financiero])*(Producción_Lecheria[Financiero U$S Dólares]))</f>
        <v>0</v>
      </c>
      <c r="L39" s="117">
        <f>SUMPRODUCT(($C$30=Producción_Lecheria[Movimiento])*($G39=Producción_Lecheria[Categoría Hacienda])*(L$1=Producción_Lecheria[Mes Financiero])*(L$2=Producción_Lecheria[Año Financiero])*(Producción_Lecheria[Financiero U$S Dólares]))</f>
        <v>0</v>
      </c>
      <c r="M39" s="118">
        <f>SUMPRODUCT(($C$30=Producción_Lecheria[Movimiento])*($G39=Producción_Lecheria[Categoría Hacienda])*(M$1=Producción_Lecheria[Mes Financiero])*(M$2=Producción_Lecheria[Año Financiero])*(Producción_Lecheria[Financiero U$S Dólares]))</f>
        <v>0</v>
      </c>
      <c r="N39" s="117">
        <f>SUMPRODUCT(($C$30=Producción_Lecheria[Movimiento])*($G39=Producción_Lecheria[Categoría Hacienda])*(N$1=Producción_Lecheria[Mes Financiero])*(N$2=Producción_Lecheria[Año Financiero])*(Producción_Lecheria[Financiero U$S Dólares]))</f>
        <v>0</v>
      </c>
      <c r="O39" s="118">
        <f>SUMPRODUCT(($C$30=Producción_Lecheria[Movimiento])*($G39=Producción_Lecheria[Categoría Hacienda])*(O$1=Producción_Lecheria[Mes Financiero])*(O$2=Producción_Lecheria[Año Financiero])*(Producción_Lecheria[Financiero U$S Dólares]))</f>
        <v>0</v>
      </c>
      <c r="P39" s="117">
        <f>SUMPRODUCT(($C$30=Producción_Lecheria[Movimiento])*($G39=Producción_Lecheria[Categoría Hacienda])*(P$1=Producción_Lecheria[Mes Financiero])*(P$2=Producción_Lecheria[Año Financiero])*(Producción_Lecheria[Financiero U$S Dólares]))</f>
        <v>0</v>
      </c>
      <c r="Q39" s="118">
        <f>SUMPRODUCT(($C$30=Producción_Lecheria[Movimiento])*($G39=Producción_Lecheria[Categoría Hacienda])*(Q$1=Producción_Lecheria[Mes Financiero])*(Q$2=Producción_Lecheria[Año Financiero])*(Producción_Lecheria[Financiero U$S Dólares]))</f>
        <v>0</v>
      </c>
      <c r="R39" s="117">
        <f>SUMPRODUCT(($C$30=Producción_Lecheria[Movimiento])*($G39=Producción_Lecheria[Categoría Hacienda])*(R$1=Producción_Lecheria[Mes Financiero])*(R$2=Producción_Lecheria[Año Financiero])*(Producción_Lecheria[Financiero U$S Dólares]))</f>
        <v>0</v>
      </c>
      <c r="S39" s="118">
        <f>SUMPRODUCT(($C$30=Producción_Lecheria[Movimiento])*($G39=Producción_Lecheria[Categoría Hacienda])*(S$1=Producción_Lecheria[Mes Financiero])*(S$2=Producción_Lecheria[Año Financiero])*(Producción_Lecheria[Financiero U$S Dólares]))</f>
        <v>0</v>
      </c>
      <c r="T39" s="117">
        <f>SUMPRODUCT(($C$30=Producción_Lecheria[Movimiento])*($G39=Producción_Lecheria[Categoría Hacienda])*(T$1=Producción_Lecheria[Mes Financiero])*(T$2=Producción_Lecheria[Año Financiero])*(Producción_Lecheria[Financiero U$S Dólares]))</f>
        <v>0</v>
      </c>
      <c r="U39" s="118">
        <f>SUMPRODUCT(($C$30=Producción_Lecheria[Movimiento])*($G39=Producción_Lecheria[Categoría Hacienda])*(U$1=Producción_Lecheria[Mes Financiero])*(U$2=Producción_Lecheria[Año Financiero])*(Producción_Lecheria[Financiero U$S Dólares]))</f>
        <v>0</v>
      </c>
      <c r="V39" s="117">
        <f>SUMPRODUCT(($C$30=Producción_Lecheria[Movimiento])*($G39=Producción_Lecheria[Categoría Hacienda])*(V$1=Producción_Lecheria[Mes Financiero])*(V$2=Producción_Lecheria[Año Financiero])*(Producción_Lecheria[Financiero U$S Dólares]))</f>
        <v>0</v>
      </c>
      <c r="W39" s="118">
        <f>SUMPRODUCT(($C$30=Producción_Lecheria[Movimiento])*($G39=Producción_Lecheria[Categoría Hacienda])*(W$1=Producción_Lecheria[Mes Financiero])*(W$2=Producción_Lecheria[Año Financiero])*(Producción_Lecheria[Financiero U$S Dólares]))</f>
        <v>0</v>
      </c>
      <c r="X39" s="117">
        <f>SUMPRODUCT(($C$30=Producción_Lecheria[Movimiento])*($G39=Producción_Lecheria[Categoría Hacienda])*(X$1=Producción_Lecheria[Mes Financiero])*(X$2=Producción_Lecheria[Año Financiero])*(Producción_Lecheria[Financiero U$S Dólares]))</f>
        <v>0</v>
      </c>
      <c r="Y39" s="118">
        <f>SUMPRODUCT(($C$30=Producción_Lecheria[Movimiento])*($G39=Producción_Lecheria[Categoría Hacienda])*(Y$1=Producción_Lecheria[Mes Financiero])*(Y$2=Producción_Lecheria[Año Financiero])*(Producción_Lecheria[Financiero U$S Dólares]))</f>
        <v>0</v>
      </c>
      <c r="Z39" s="142">
        <f t="shared" si="3"/>
        <v>0</v>
      </c>
    </row>
    <row r="40" spans="2:30" hidden="1" outlineLevel="1" x14ac:dyDescent="0.25">
      <c r="F40" s="215">
        <f>IFERROR(MATCH(G40,Produccion_Lecheria[Categoría],0),0)</f>
        <v>9</v>
      </c>
      <c r="G40" s="229" t="str">
        <f>Configuración!BM13</f>
        <v>Vaca descarte</v>
      </c>
      <c r="H40" s="117">
        <f>SUMPRODUCT(($C$30=Producción_Lecheria[Movimiento])*($G40=Producción_Lecheria[Categoría Hacienda])*(H$1=Producción_Lecheria[Mes Financiero])*(H$2=Producción_Lecheria[Año Financiero])*(Producción_Lecheria[Financiero U$S Dólares]))</f>
        <v>0</v>
      </c>
      <c r="I40" s="118">
        <f>SUMPRODUCT(($C$30=Producción_Lecheria[Movimiento])*($G40=Producción_Lecheria[Categoría Hacienda])*(I$1=Producción_Lecheria[Mes Financiero])*(I$2=Producción_Lecheria[Año Financiero])*(Producción_Lecheria[Financiero U$S Dólares]))</f>
        <v>0</v>
      </c>
      <c r="J40" s="117">
        <f>SUMPRODUCT(($C$30=Producción_Lecheria[Movimiento])*($G40=Producción_Lecheria[Categoría Hacienda])*(J$1=Producción_Lecheria[Mes Financiero])*(J$2=Producción_Lecheria[Año Financiero])*(Producción_Lecheria[Financiero U$S Dólares]))</f>
        <v>0</v>
      </c>
      <c r="K40" s="118">
        <f>SUMPRODUCT(($C$30=Producción_Lecheria[Movimiento])*($G40=Producción_Lecheria[Categoría Hacienda])*(K$1=Producción_Lecheria[Mes Financiero])*(K$2=Producción_Lecheria[Año Financiero])*(Producción_Lecheria[Financiero U$S Dólares]))</f>
        <v>0</v>
      </c>
      <c r="L40" s="117">
        <f>SUMPRODUCT(($C$30=Producción_Lecheria[Movimiento])*($G40=Producción_Lecheria[Categoría Hacienda])*(L$1=Producción_Lecheria[Mes Financiero])*(L$2=Producción_Lecheria[Año Financiero])*(Producción_Lecheria[Financiero U$S Dólares]))</f>
        <v>0</v>
      </c>
      <c r="M40" s="118">
        <f>SUMPRODUCT(($C$30=Producción_Lecheria[Movimiento])*($G40=Producción_Lecheria[Categoría Hacienda])*(M$1=Producción_Lecheria[Mes Financiero])*(M$2=Producción_Lecheria[Año Financiero])*(Producción_Lecheria[Financiero U$S Dólares]))</f>
        <v>0</v>
      </c>
      <c r="N40" s="117">
        <f>SUMPRODUCT(($C$30=Producción_Lecheria[Movimiento])*($G40=Producción_Lecheria[Categoría Hacienda])*(N$1=Producción_Lecheria[Mes Financiero])*(N$2=Producción_Lecheria[Año Financiero])*(Producción_Lecheria[Financiero U$S Dólares]))</f>
        <v>0</v>
      </c>
      <c r="O40" s="118">
        <f>SUMPRODUCT(($C$30=Producción_Lecheria[Movimiento])*($G40=Producción_Lecheria[Categoría Hacienda])*(O$1=Producción_Lecheria[Mes Financiero])*(O$2=Producción_Lecheria[Año Financiero])*(Producción_Lecheria[Financiero U$S Dólares]))</f>
        <v>0</v>
      </c>
      <c r="P40" s="117">
        <f>SUMPRODUCT(($C$30=Producción_Lecheria[Movimiento])*($G40=Producción_Lecheria[Categoría Hacienda])*(P$1=Producción_Lecheria[Mes Financiero])*(P$2=Producción_Lecheria[Año Financiero])*(Producción_Lecheria[Financiero U$S Dólares]))</f>
        <v>0</v>
      </c>
      <c r="Q40" s="118">
        <f>SUMPRODUCT(($C$30=Producción_Lecheria[Movimiento])*($G40=Producción_Lecheria[Categoría Hacienda])*(Q$1=Producción_Lecheria[Mes Financiero])*(Q$2=Producción_Lecheria[Año Financiero])*(Producción_Lecheria[Financiero U$S Dólares]))</f>
        <v>0</v>
      </c>
      <c r="R40" s="117">
        <f>SUMPRODUCT(($C$30=Producción_Lecheria[Movimiento])*($G40=Producción_Lecheria[Categoría Hacienda])*(R$1=Producción_Lecheria[Mes Financiero])*(R$2=Producción_Lecheria[Año Financiero])*(Producción_Lecheria[Financiero U$S Dólares]))</f>
        <v>0</v>
      </c>
      <c r="S40" s="118">
        <f>SUMPRODUCT(($C$30=Producción_Lecheria[Movimiento])*($G40=Producción_Lecheria[Categoría Hacienda])*(S$1=Producción_Lecheria[Mes Financiero])*(S$2=Producción_Lecheria[Año Financiero])*(Producción_Lecheria[Financiero U$S Dólares]))</f>
        <v>0</v>
      </c>
      <c r="T40" s="117">
        <f>SUMPRODUCT(($C$30=Producción_Lecheria[Movimiento])*($G40=Producción_Lecheria[Categoría Hacienda])*(T$1=Producción_Lecheria[Mes Financiero])*(T$2=Producción_Lecheria[Año Financiero])*(Producción_Lecheria[Financiero U$S Dólares]))</f>
        <v>0</v>
      </c>
      <c r="U40" s="118">
        <f>SUMPRODUCT(($C$30=Producción_Lecheria[Movimiento])*($G40=Producción_Lecheria[Categoría Hacienda])*(U$1=Producción_Lecheria[Mes Financiero])*(U$2=Producción_Lecheria[Año Financiero])*(Producción_Lecheria[Financiero U$S Dólares]))</f>
        <v>0</v>
      </c>
      <c r="V40" s="117">
        <f>SUMPRODUCT(($C$30=Producción_Lecheria[Movimiento])*($G40=Producción_Lecheria[Categoría Hacienda])*(V$1=Producción_Lecheria[Mes Financiero])*(V$2=Producción_Lecheria[Año Financiero])*(Producción_Lecheria[Financiero U$S Dólares]))</f>
        <v>0</v>
      </c>
      <c r="W40" s="118">
        <f>SUMPRODUCT(($C$30=Producción_Lecheria[Movimiento])*($G40=Producción_Lecheria[Categoría Hacienda])*(W$1=Producción_Lecheria[Mes Financiero])*(W$2=Producción_Lecheria[Año Financiero])*(Producción_Lecheria[Financiero U$S Dólares]))</f>
        <v>0</v>
      </c>
      <c r="X40" s="117">
        <f>SUMPRODUCT(($C$30=Producción_Lecheria[Movimiento])*($G40=Producción_Lecheria[Categoría Hacienda])*(X$1=Producción_Lecheria[Mes Financiero])*(X$2=Producción_Lecheria[Año Financiero])*(Producción_Lecheria[Financiero U$S Dólares]))</f>
        <v>0</v>
      </c>
      <c r="Y40" s="118">
        <f>SUMPRODUCT(($C$30=Producción_Lecheria[Movimiento])*($G40=Producción_Lecheria[Categoría Hacienda])*(Y$1=Producción_Lecheria[Mes Financiero])*(Y$2=Producción_Lecheria[Año Financiero])*(Producción_Lecheria[Financiero U$S Dólares]))</f>
        <v>0</v>
      </c>
      <c r="Z40" s="142">
        <f t="shared" si="3"/>
        <v>0</v>
      </c>
    </row>
    <row r="41" spans="2:30" hidden="1" outlineLevel="1" x14ac:dyDescent="0.25">
      <c r="F41" s="215">
        <f>IFERROR(MATCH(G41,Produccion_Lecheria[Categoría],0),0)</f>
        <v>10</v>
      </c>
      <c r="G41" s="229" t="str">
        <f>Configuración!BM14</f>
        <v>Toro Descarte</v>
      </c>
      <c r="H41" s="117">
        <f>SUMPRODUCT(($C$30=Producción_Lecheria[Movimiento])*($G41=Producción_Lecheria[Categoría Hacienda])*(H$1=Producción_Lecheria[Mes Financiero])*(H$2=Producción_Lecheria[Año Financiero])*(Producción_Lecheria[Financiero U$S Dólares]))</f>
        <v>0</v>
      </c>
      <c r="I41" s="118">
        <f>SUMPRODUCT(($C$30=Producción_Lecheria[Movimiento])*($G41=Producción_Lecheria[Categoría Hacienda])*(I$1=Producción_Lecheria[Mes Financiero])*(I$2=Producción_Lecheria[Año Financiero])*(Producción_Lecheria[Financiero U$S Dólares]))</f>
        <v>0</v>
      </c>
      <c r="J41" s="117">
        <f>SUMPRODUCT(($C$30=Producción_Lecheria[Movimiento])*($G41=Producción_Lecheria[Categoría Hacienda])*(J$1=Producción_Lecheria[Mes Financiero])*(J$2=Producción_Lecheria[Año Financiero])*(Producción_Lecheria[Financiero U$S Dólares]))</f>
        <v>0</v>
      </c>
      <c r="K41" s="118">
        <f>SUMPRODUCT(($C$30=Producción_Lecheria[Movimiento])*($G41=Producción_Lecheria[Categoría Hacienda])*(K$1=Producción_Lecheria[Mes Financiero])*(K$2=Producción_Lecheria[Año Financiero])*(Producción_Lecheria[Financiero U$S Dólares]))</f>
        <v>0</v>
      </c>
      <c r="L41" s="117">
        <f>SUMPRODUCT(($C$30=Producción_Lecheria[Movimiento])*($G41=Producción_Lecheria[Categoría Hacienda])*(L$1=Producción_Lecheria[Mes Financiero])*(L$2=Producción_Lecheria[Año Financiero])*(Producción_Lecheria[Financiero U$S Dólares]))</f>
        <v>0</v>
      </c>
      <c r="M41" s="118">
        <f>SUMPRODUCT(($C$30=Producción_Lecheria[Movimiento])*($G41=Producción_Lecheria[Categoría Hacienda])*(M$1=Producción_Lecheria[Mes Financiero])*(M$2=Producción_Lecheria[Año Financiero])*(Producción_Lecheria[Financiero U$S Dólares]))</f>
        <v>0</v>
      </c>
      <c r="N41" s="117">
        <f>SUMPRODUCT(($C$30=Producción_Lecheria[Movimiento])*($G41=Producción_Lecheria[Categoría Hacienda])*(N$1=Producción_Lecheria[Mes Financiero])*(N$2=Producción_Lecheria[Año Financiero])*(Producción_Lecheria[Financiero U$S Dólares]))</f>
        <v>0</v>
      </c>
      <c r="O41" s="118">
        <f>SUMPRODUCT(($C$30=Producción_Lecheria[Movimiento])*($G41=Producción_Lecheria[Categoría Hacienda])*(O$1=Producción_Lecheria[Mes Financiero])*(O$2=Producción_Lecheria[Año Financiero])*(Producción_Lecheria[Financiero U$S Dólares]))</f>
        <v>0</v>
      </c>
      <c r="P41" s="117">
        <f>SUMPRODUCT(($C$30=Producción_Lecheria[Movimiento])*($G41=Producción_Lecheria[Categoría Hacienda])*(P$1=Producción_Lecheria[Mes Financiero])*(P$2=Producción_Lecheria[Año Financiero])*(Producción_Lecheria[Financiero U$S Dólares]))</f>
        <v>0</v>
      </c>
      <c r="Q41" s="118">
        <f>SUMPRODUCT(($C$30=Producción_Lecheria[Movimiento])*($G41=Producción_Lecheria[Categoría Hacienda])*(Q$1=Producción_Lecheria[Mes Financiero])*(Q$2=Producción_Lecheria[Año Financiero])*(Producción_Lecheria[Financiero U$S Dólares]))</f>
        <v>0</v>
      </c>
      <c r="R41" s="117">
        <f>SUMPRODUCT(($C$30=Producción_Lecheria[Movimiento])*($G41=Producción_Lecheria[Categoría Hacienda])*(R$1=Producción_Lecheria[Mes Financiero])*(R$2=Producción_Lecheria[Año Financiero])*(Producción_Lecheria[Financiero U$S Dólares]))</f>
        <v>0</v>
      </c>
      <c r="S41" s="118">
        <f>SUMPRODUCT(($C$30=Producción_Lecheria[Movimiento])*($G41=Producción_Lecheria[Categoría Hacienda])*(S$1=Producción_Lecheria[Mes Financiero])*(S$2=Producción_Lecheria[Año Financiero])*(Producción_Lecheria[Financiero U$S Dólares]))</f>
        <v>0</v>
      </c>
      <c r="T41" s="117">
        <f>SUMPRODUCT(($C$30=Producción_Lecheria[Movimiento])*($G41=Producción_Lecheria[Categoría Hacienda])*(T$1=Producción_Lecheria[Mes Financiero])*(T$2=Producción_Lecheria[Año Financiero])*(Producción_Lecheria[Financiero U$S Dólares]))</f>
        <v>0</v>
      </c>
      <c r="U41" s="118">
        <f>SUMPRODUCT(($C$30=Producción_Lecheria[Movimiento])*($G41=Producción_Lecheria[Categoría Hacienda])*(U$1=Producción_Lecheria[Mes Financiero])*(U$2=Producción_Lecheria[Año Financiero])*(Producción_Lecheria[Financiero U$S Dólares]))</f>
        <v>0</v>
      </c>
      <c r="V41" s="117">
        <f>SUMPRODUCT(($C$30=Producción_Lecheria[Movimiento])*($G41=Producción_Lecheria[Categoría Hacienda])*(V$1=Producción_Lecheria[Mes Financiero])*(V$2=Producción_Lecheria[Año Financiero])*(Producción_Lecheria[Financiero U$S Dólares]))</f>
        <v>0</v>
      </c>
      <c r="W41" s="118">
        <f>SUMPRODUCT(($C$30=Producción_Lecheria[Movimiento])*($G41=Producción_Lecheria[Categoría Hacienda])*(W$1=Producción_Lecheria[Mes Financiero])*(W$2=Producción_Lecheria[Año Financiero])*(Producción_Lecheria[Financiero U$S Dólares]))</f>
        <v>0</v>
      </c>
      <c r="X41" s="117">
        <f>SUMPRODUCT(($C$30=Producción_Lecheria[Movimiento])*($G41=Producción_Lecheria[Categoría Hacienda])*(X$1=Producción_Lecheria[Mes Financiero])*(X$2=Producción_Lecheria[Año Financiero])*(Producción_Lecheria[Financiero U$S Dólares]))</f>
        <v>0</v>
      </c>
      <c r="Y41" s="118">
        <f>SUMPRODUCT(($C$30=Producción_Lecheria[Movimiento])*($G41=Producción_Lecheria[Categoría Hacienda])*(Y$1=Producción_Lecheria[Mes Financiero])*(Y$2=Producción_Lecheria[Año Financiero])*(Producción_Lecheria[Financiero U$S Dólares]))</f>
        <v>0</v>
      </c>
      <c r="Z41" s="142">
        <f t="shared" si="3"/>
        <v>0</v>
      </c>
    </row>
    <row r="42" spans="2:30" hidden="1" outlineLevel="1" x14ac:dyDescent="0.25">
      <c r="F42" s="215">
        <f>IFERROR(MATCH(G42,Produccion_Lecheria[Categoría],0),0)</f>
        <v>0</v>
      </c>
      <c r="G42" s="229">
        <f>Configuración!BM15</f>
        <v>0</v>
      </c>
      <c r="H42" s="117">
        <f>SUMPRODUCT(($C$30=Producción_Lecheria[Movimiento])*($G42=Producción_Lecheria[Categoría Hacienda])*(H$1=Producción_Lecheria[Mes Financiero])*(H$2=Producción_Lecheria[Año Financiero])*(Producción_Lecheria[Financiero U$S Dólares]))</f>
        <v>0</v>
      </c>
      <c r="I42" s="118">
        <f>SUMPRODUCT(($C$30=Producción_Lecheria[Movimiento])*($G42=Producción_Lecheria[Categoría Hacienda])*(I$1=Producción_Lecheria[Mes Financiero])*(I$2=Producción_Lecheria[Año Financiero])*(Producción_Lecheria[Financiero U$S Dólares]))</f>
        <v>0</v>
      </c>
      <c r="J42" s="117">
        <f>SUMPRODUCT(($C$30=Producción_Lecheria[Movimiento])*($G42=Producción_Lecheria[Categoría Hacienda])*(J$1=Producción_Lecheria[Mes Financiero])*(J$2=Producción_Lecheria[Año Financiero])*(Producción_Lecheria[Financiero U$S Dólares]))</f>
        <v>0</v>
      </c>
      <c r="K42" s="118">
        <f>SUMPRODUCT(($C$30=Producción_Lecheria[Movimiento])*($G42=Producción_Lecheria[Categoría Hacienda])*(K$1=Producción_Lecheria[Mes Financiero])*(K$2=Producción_Lecheria[Año Financiero])*(Producción_Lecheria[Financiero U$S Dólares]))</f>
        <v>0</v>
      </c>
      <c r="L42" s="117">
        <f>SUMPRODUCT(($C$30=Producción_Lecheria[Movimiento])*($G42=Producción_Lecheria[Categoría Hacienda])*(L$1=Producción_Lecheria[Mes Financiero])*(L$2=Producción_Lecheria[Año Financiero])*(Producción_Lecheria[Financiero U$S Dólares]))</f>
        <v>0</v>
      </c>
      <c r="M42" s="118">
        <f>SUMPRODUCT(($C$30=Producción_Lecheria[Movimiento])*($G42=Producción_Lecheria[Categoría Hacienda])*(M$1=Producción_Lecheria[Mes Financiero])*(M$2=Producción_Lecheria[Año Financiero])*(Producción_Lecheria[Financiero U$S Dólares]))</f>
        <v>0</v>
      </c>
      <c r="N42" s="117">
        <f>SUMPRODUCT(($C$30=Producción_Lecheria[Movimiento])*($G42=Producción_Lecheria[Categoría Hacienda])*(N$1=Producción_Lecheria[Mes Financiero])*(N$2=Producción_Lecheria[Año Financiero])*(Producción_Lecheria[Financiero U$S Dólares]))</f>
        <v>0</v>
      </c>
      <c r="O42" s="118">
        <f>SUMPRODUCT(($C$30=Producción_Lecheria[Movimiento])*($G42=Producción_Lecheria[Categoría Hacienda])*(O$1=Producción_Lecheria[Mes Financiero])*(O$2=Producción_Lecheria[Año Financiero])*(Producción_Lecheria[Financiero U$S Dólares]))</f>
        <v>0</v>
      </c>
      <c r="P42" s="117">
        <f>SUMPRODUCT(($C$30=Producción_Lecheria[Movimiento])*($G42=Producción_Lecheria[Categoría Hacienda])*(P$1=Producción_Lecheria[Mes Financiero])*(P$2=Producción_Lecheria[Año Financiero])*(Producción_Lecheria[Financiero U$S Dólares]))</f>
        <v>0</v>
      </c>
      <c r="Q42" s="118">
        <f>SUMPRODUCT(($C$30=Producción_Lecheria[Movimiento])*($G42=Producción_Lecheria[Categoría Hacienda])*(Q$1=Producción_Lecheria[Mes Financiero])*(Q$2=Producción_Lecheria[Año Financiero])*(Producción_Lecheria[Financiero U$S Dólares]))</f>
        <v>0</v>
      </c>
      <c r="R42" s="117">
        <f>SUMPRODUCT(($C$30=Producción_Lecheria[Movimiento])*($G42=Producción_Lecheria[Categoría Hacienda])*(R$1=Producción_Lecheria[Mes Financiero])*(R$2=Producción_Lecheria[Año Financiero])*(Producción_Lecheria[Financiero U$S Dólares]))</f>
        <v>0</v>
      </c>
      <c r="S42" s="118">
        <f>SUMPRODUCT(($C$30=Producción_Lecheria[Movimiento])*($G42=Producción_Lecheria[Categoría Hacienda])*(S$1=Producción_Lecheria[Mes Financiero])*(S$2=Producción_Lecheria[Año Financiero])*(Producción_Lecheria[Financiero U$S Dólares]))</f>
        <v>0</v>
      </c>
      <c r="T42" s="117">
        <f>SUMPRODUCT(($C$30=Producción_Lecheria[Movimiento])*($G42=Producción_Lecheria[Categoría Hacienda])*(T$1=Producción_Lecheria[Mes Financiero])*(T$2=Producción_Lecheria[Año Financiero])*(Producción_Lecheria[Financiero U$S Dólares]))</f>
        <v>0</v>
      </c>
      <c r="U42" s="118">
        <f>SUMPRODUCT(($C$30=Producción_Lecheria[Movimiento])*($G42=Producción_Lecheria[Categoría Hacienda])*(U$1=Producción_Lecheria[Mes Financiero])*(U$2=Producción_Lecheria[Año Financiero])*(Producción_Lecheria[Financiero U$S Dólares]))</f>
        <v>0</v>
      </c>
      <c r="V42" s="117">
        <f>SUMPRODUCT(($C$30=Producción_Lecheria[Movimiento])*($G42=Producción_Lecheria[Categoría Hacienda])*(V$1=Producción_Lecheria[Mes Financiero])*(V$2=Producción_Lecheria[Año Financiero])*(Producción_Lecheria[Financiero U$S Dólares]))</f>
        <v>0</v>
      </c>
      <c r="W42" s="118">
        <f>SUMPRODUCT(($C$30=Producción_Lecheria[Movimiento])*($G42=Producción_Lecheria[Categoría Hacienda])*(W$1=Producción_Lecheria[Mes Financiero])*(W$2=Producción_Lecheria[Año Financiero])*(Producción_Lecheria[Financiero U$S Dólares]))</f>
        <v>0</v>
      </c>
      <c r="X42" s="117">
        <f>SUMPRODUCT(($C$30=Producción_Lecheria[Movimiento])*($G42=Producción_Lecheria[Categoría Hacienda])*(X$1=Producción_Lecheria[Mes Financiero])*(X$2=Producción_Lecheria[Año Financiero])*(Producción_Lecheria[Financiero U$S Dólares]))</f>
        <v>0</v>
      </c>
      <c r="Y42" s="118">
        <f>SUMPRODUCT(($C$30=Producción_Lecheria[Movimiento])*($G42=Producción_Lecheria[Categoría Hacienda])*(Y$1=Producción_Lecheria[Mes Financiero])*(Y$2=Producción_Lecheria[Año Financiero])*(Producción_Lecheria[Financiero U$S Dólares]))</f>
        <v>0</v>
      </c>
      <c r="Z42" s="142">
        <f t="shared" si="3"/>
        <v>0</v>
      </c>
    </row>
    <row r="43" spans="2:30" hidden="1" outlineLevel="1" x14ac:dyDescent="0.25">
      <c r="B43" s="166" t="s">
        <v>101</v>
      </c>
      <c r="F43" s="216">
        <f>IFERROR(MATCH(G43,Produccion_Lecheria[Categoría],0),0)</f>
        <v>0</v>
      </c>
      <c r="G43" s="230">
        <f>Configuración!BM16</f>
        <v>0</v>
      </c>
      <c r="H43" s="128">
        <f>SUMPRODUCT(($C$30=Producción_Lecheria[Movimiento])*($G43=Producción_Lecheria[Categoría Hacienda])*(H$1=Producción_Lecheria[Mes Financiero])*(H$2=Producción_Lecheria[Año Financiero])*(Producción_Lecheria[Financiero U$S Dólares]))</f>
        <v>0</v>
      </c>
      <c r="I43" s="129">
        <f>SUMPRODUCT(($C$30=Producción_Lecheria[Movimiento])*($G43=Producción_Lecheria[Categoría Hacienda])*(I$1=Producción_Lecheria[Mes Financiero])*(I$2=Producción_Lecheria[Año Financiero])*(Producción_Lecheria[Financiero U$S Dólares]))</f>
        <v>0</v>
      </c>
      <c r="J43" s="128">
        <f>SUMPRODUCT(($C$30=Producción_Lecheria[Movimiento])*($G43=Producción_Lecheria[Categoría Hacienda])*(J$1=Producción_Lecheria[Mes Financiero])*(J$2=Producción_Lecheria[Año Financiero])*(Producción_Lecheria[Financiero U$S Dólares]))</f>
        <v>0</v>
      </c>
      <c r="K43" s="129">
        <f>SUMPRODUCT(($C$30=Producción_Lecheria[Movimiento])*($G43=Producción_Lecheria[Categoría Hacienda])*(K$1=Producción_Lecheria[Mes Financiero])*(K$2=Producción_Lecheria[Año Financiero])*(Producción_Lecheria[Financiero U$S Dólares]))</f>
        <v>0</v>
      </c>
      <c r="L43" s="128">
        <f>SUMPRODUCT(($C$30=Producción_Lecheria[Movimiento])*($G43=Producción_Lecheria[Categoría Hacienda])*(L$1=Producción_Lecheria[Mes Financiero])*(L$2=Producción_Lecheria[Año Financiero])*(Producción_Lecheria[Financiero U$S Dólares]))</f>
        <v>0</v>
      </c>
      <c r="M43" s="129">
        <f>SUMPRODUCT(($C$30=Producción_Lecheria[Movimiento])*($G43=Producción_Lecheria[Categoría Hacienda])*(M$1=Producción_Lecheria[Mes Financiero])*(M$2=Producción_Lecheria[Año Financiero])*(Producción_Lecheria[Financiero U$S Dólares]))</f>
        <v>0</v>
      </c>
      <c r="N43" s="128">
        <f>SUMPRODUCT(($C$30=Producción_Lecheria[Movimiento])*($G43=Producción_Lecheria[Categoría Hacienda])*(N$1=Producción_Lecheria[Mes Financiero])*(N$2=Producción_Lecheria[Año Financiero])*(Producción_Lecheria[Financiero U$S Dólares]))</f>
        <v>0</v>
      </c>
      <c r="O43" s="129">
        <f>SUMPRODUCT(($C$30=Producción_Lecheria[Movimiento])*($G43=Producción_Lecheria[Categoría Hacienda])*(O$1=Producción_Lecheria[Mes Financiero])*(O$2=Producción_Lecheria[Año Financiero])*(Producción_Lecheria[Financiero U$S Dólares]))</f>
        <v>0</v>
      </c>
      <c r="P43" s="128">
        <f>SUMPRODUCT(($C$30=Producción_Lecheria[Movimiento])*($G43=Producción_Lecheria[Categoría Hacienda])*(P$1=Producción_Lecheria[Mes Financiero])*(P$2=Producción_Lecheria[Año Financiero])*(Producción_Lecheria[Financiero U$S Dólares]))</f>
        <v>0</v>
      </c>
      <c r="Q43" s="129">
        <f>SUMPRODUCT(($C$30=Producción_Lecheria[Movimiento])*($G43=Producción_Lecheria[Categoría Hacienda])*(Q$1=Producción_Lecheria[Mes Financiero])*(Q$2=Producción_Lecheria[Año Financiero])*(Producción_Lecheria[Financiero U$S Dólares]))</f>
        <v>0</v>
      </c>
      <c r="R43" s="128">
        <f>SUMPRODUCT(($C$30=Producción_Lecheria[Movimiento])*($G43=Producción_Lecheria[Categoría Hacienda])*(R$1=Producción_Lecheria[Mes Financiero])*(R$2=Producción_Lecheria[Año Financiero])*(Producción_Lecheria[Financiero U$S Dólares]))</f>
        <v>0</v>
      </c>
      <c r="S43" s="129">
        <f>SUMPRODUCT(($C$30=Producción_Lecheria[Movimiento])*($G43=Producción_Lecheria[Categoría Hacienda])*(S$1=Producción_Lecheria[Mes Financiero])*(S$2=Producción_Lecheria[Año Financiero])*(Producción_Lecheria[Financiero U$S Dólares]))</f>
        <v>0</v>
      </c>
      <c r="T43" s="128">
        <f>SUMPRODUCT(($C$30=Producción_Lecheria[Movimiento])*($G43=Producción_Lecheria[Categoría Hacienda])*(T$1=Producción_Lecheria[Mes Financiero])*(T$2=Producción_Lecheria[Año Financiero])*(Producción_Lecheria[Financiero U$S Dólares]))</f>
        <v>0</v>
      </c>
      <c r="U43" s="129">
        <f>SUMPRODUCT(($C$30=Producción_Lecheria[Movimiento])*($G43=Producción_Lecheria[Categoría Hacienda])*(U$1=Producción_Lecheria[Mes Financiero])*(U$2=Producción_Lecheria[Año Financiero])*(Producción_Lecheria[Financiero U$S Dólares]))</f>
        <v>0</v>
      </c>
      <c r="V43" s="128">
        <f>SUMPRODUCT(($C$30=Producción_Lecheria[Movimiento])*($G43=Producción_Lecheria[Categoría Hacienda])*(V$1=Producción_Lecheria[Mes Financiero])*(V$2=Producción_Lecheria[Año Financiero])*(Producción_Lecheria[Financiero U$S Dólares]))</f>
        <v>0</v>
      </c>
      <c r="W43" s="129">
        <f>SUMPRODUCT(($C$30=Producción_Lecheria[Movimiento])*($G43=Producción_Lecheria[Categoría Hacienda])*(W$1=Producción_Lecheria[Mes Financiero])*(W$2=Producción_Lecheria[Año Financiero])*(Producción_Lecheria[Financiero U$S Dólares]))</f>
        <v>0</v>
      </c>
      <c r="X43" s="128">
        <f>SUMPRODUCT(($C$30=Producción_Lecheria[Movimiento])*($G43=Producción_Lecheria[Categoría Hacienda])*(X$1=Producción_Lecheria[Mes Financiero])*(X$2=Producción_Lecheria[Año Financiero])*(Producción_Lecheria[Financiero U$S Dólares]))</f>
        <v>0</v>
      </c>
      <c r="Y43" s="129">
        <f>SUMPRODUCT(($C$30=Producción_Lecheria[Movimiento])*($G43=Producción_Lecheria[Categoría Hacienda])*(Y$1=Producción_Lecheria[Mes Financiero])*(Y$2=Producción_Lecheria[Año Financiero])*(Producción_Lecheria[Financiero U$S Dólares]))</f>
        <v>0</v>
      </c>
      <c r="Z43" s="143">
        <f t="shared" si="3"/>
        <v>0</v>
      </c>
    </row>
    <row r="44" spans="2:30" collapsed="1" x14ac:dyDescent="0.25">
      <c r="B44" s="175"/>
      <c r="D44" s="102"/>
      <c r="E44" s="120"/>
      <c r="F44" s="416" t="s">
        <v>215</v>
      </c>
      <c r="G44" s="123"/>
      <c r="H44" s="208">
        <f>SUMPRODUCT(($C$30=Producción_Lecheria[Movimiento])*(H$1=Producción_Lecheria[Mes Financiero])*(H$2=Producción_Lecheria[Año Financiero])*(Producción_Lecheria[Financiero U$S Dólares]))-H30-H31</f>
        <v>0</v>
      </c>
      <c r="I44" s="209">
        <f>SUMPRODUCT(($C$30=Producción_Lecheria[Movimiento])*(I$1=Producción_Lecheria[Mes Financiero])*(I$2=Producción_Lecheria[Año Financiero])*(Producción_Lecheria[Financiero U$S Dólares]))-I30-I31</f>
        <v>0</v>
      </c>
      <c r="J44" s="208">
        <f>SUMPRODUCT(($C$30=Producción_Lecheria[Movimiento])*(J$1=Producción_Lecheria[Mes Financiero])*(J$2=Producción_Lecheria[Año Financiero])*(Producción_Lecheria[Financiero U$S Dólares]))-J30-J31</f>
        <v>0</v>
      </c>
      <c r="K44" s="209">
        <f>SUMPRODUCT(($C$30=Producción_Lecheria[Movimiento])*(K$1=Producción_Lecheria[Mes Financiero])*(K$2=Producción_Lecheria[Año Financiero])*(Producción_Lecheria[Financiero U$S Dólares]))-K30-K31</f>
        <v>0</v>
      </c>
      <c r="L44" s="208">
        <f>SUMPRODUCT(($C$30=Producción_Lecheria[Movimiento])*(L$1=Producción_Lecheria[Mes Financiero])*(L$2=Producción_Lecheria[Año Financiero])*(Producción_Lecheria[Financiero U$S Dólares]))-L30-L31</f>
        <v>0</v>
      </c>
      <c r="M44" s="209">
        <f>SUMPRODUCT(($C$30=Producción_Lecheria[Movimiento])*(M$1=Producción_Lecheria[Mes Financiero])*(M$2=Producción_Lecheria[Año Financiero])*(Producción_Lecheria[Financiero U$S Dólares]))-M30-M31</f>
        <v>0</v>
      </c>
      <c r="N44" s="208">
        <f>SUMPRODUCT(($C$30=Producción_Lecheria[Movimiento])*(N$1=Producción_Lecheria[Mes Financiero])*(N$2=Producción_Lecheria[Año Financiero])*(Producción_Lecheria[Financiero U$S Dólares]))-N30-N31</f>
        <v>0</v>
      </c>
      <c r="O44" s="209">
        <f>SUMPRODUCT(($C$30=Producción_Lecheria[Movimiento])*(O$1=Producción_Lecheria[Mes Financiero])*(O$2=Producción_Lecheria[Año Financiero])*(Producción_Lecheria[Financiero U$S Dólares]))-O30-O31</f>
        <v>0</v>
      </c>
      <c r="P44" s="208">
        <f>SUMPRODUCT(($C$30=Producción_Lecheria[Movimiento])*(P$1=Producción_Lecheria[Mes Financiero])*(P$2=Producción_Lecheria[Año Financiero])*(Producción_Lecheria[Financiero U$S Dólares]))-P30-P31</f>
        <v>0</v>
      </c>
      <c r="Q44" s="209">
        <f>SUMPRODUCT(($C$30=Producción_Lecheria[Movimiento])*(Q$1=Producción_Lecheria[Mes Financiero])*(Q$2=Producción_Lecheria[Año Financiero])*(Producción_Lecheria[Financiero U$S Dólares]))-Q30-Q31</f>
        <v>0</v>
      </c>
      <c r="R44" s="208">
        <f>SUMPRODUCT(($C$30=Producción_Lecheria[Movimiento])*(R$1=Producción_Lecheria[Mes Financiero])*(R$2=Producción_Lecheria[Año Financiero])*(Producción_Lecheria[Financiero U$S Dólares]))-R30-R31</f>
        <v>0</v>
      </c>
      <c r="S44" s="209">
        <f>SUMPRODUCT(($C$30=Producción_Lecheria[Movimiento])*(S$1=Producción_Lecheria[Mes Financiero])*(S$2=Producción_Lecheria[Año Financiero])*(Producción_Lecheria[Financiero U$S Dólares]))-S30-S31</f>
        <v>0</v>
      </c>
      <c r="T44" s="208">
        <f>SUMPRODUCT(($C$30=Producción_Lecheria[Movimiento])*(T$1=Producción_Lecheria[Mes Financiero])*(T$2=Producción_Lecheria[Año Financiero])*(Producción_Lecheria[Financiero U$S Dólares]))-T30-T31</f>
        <v>0</v>
      </c>
      <c r="U44" s="209">
        <f>SUMPRODUCT(($C$30=Producción_Lecheria[Movimiento])*(U$1=Producción_Lecheria[Mes Financiero])*(U$2=Producción_Lecheria[Año Financiero])*(Producción_Lecheria[Financiero U$S Dólares]))-U30-U31</f>
        <v>0</v>
      </c>
      <c r="V44" s="208">
        <f>SUMPRODUCT(($C$30=Producción_Lecheria[Movimiento])*(V$1=Producción_Lecheria[Mes Financiero])*(V$2=Producción_Lecheria[Año Financiero])*(Producción_Lecheria[Financiero U$S Dólares]))-V30-V31</f>
        <v>0</v>
      </c>
      <c r="W44" s="209">
        <f>SUMPRODUCT(($C$30=Producción_Lecheria[Movimiento])*(W$1=Producción_Lecheria[Mes Financiero])*(W$2=Producción_Lecheria[Año Financiero])*(Producción_Lecheria[Financiero U$S Dólares]))-W30-W31</f>
        <v>0</v>
      </c>
      <c r="X44" s="208">
        <f>SUMPRODUCT(($C$30=Producción_Lecheria[Movimiento])*(X$1=Producción_Lecheria[Mes Financiero])*(X$2=Producción_Lecheria[Año Financiero])*(Producción_Lecheria[Financiero U$S Dólares]))-X30-X31</f>
        <v>0</v>
      </c>
      <c r="Y44" s="209">
        <f>SUMPRODUCT(($C$30=Producción_Lecheria[Movimiento])*(Y$1=Producción_Lecheria[Mes Financiero])*(Y$2=Producción_Lecheria[Año Financiero])*(Producción_Lecheria[Financiero U$S Dólares]))-Y30-Y31</f>
        <v>0</v>
      </c>
      <c r="Z44" s="146">
        <f t="shared" si="3"/>
        <v>0</v>
      </c>
    </row>
    <row r="45" spans="2:30" x14ac:dyDescent="0.25">
      <c r="B45" s="175"/>
      <c r="C45" s="210" t="s">
        <v>37</v>
      </c>
      <c r="D45" s="381" t="s">
        <v>199</v>
      </c>
      <c r="E45" s="223">
        <f>IFERROR(MATCH(F45,Otras_Actividades_Cuentas[Cuenta Contable],0),0)</f>
        <v>2</v>
      </c>
      <c r="F45" s="417" t="s">
        <v>56</v>
      </c>
      <c r="G45" s="138"/>
      <c r="H45" s="99">
        <f>SUMPRODUCT(($C$45=Otras_Actividades_Base[Movimiento])*($F45=Otras_Actividades_Base[Cuenta Contable])*(H$1=Otras_Actividades_Base[Mes Financiero])*(H$2=Otras_Actividades_Base[Año Financiero])*(Otras_Actividades_Base[Financiero U$S Dólares]))</f>
        <v>0</v>
      </c>
      <c r="I45" s="100">
        <f>SUMPRODUCT(($C$45=Otras_Actividades_Base[Movimiento])*($F45=Otras_Actividades_Base[Cuenta Contable])*(I$1=Otras_Actividades_Base[Mes Financiero])*(I$2=Otras_Actividades_Base[Año Financiero])*(Otras_Actividades_Base[Financiero U$S Dólares]))</f>
        <v>0</v>
      </c>
      <c r="J45" s="99">
        <f>SUMPRODUCT(($C$45=Otras_Actividades_Base[Movimiento])*($F45=Otras_Actividades_Base[Cuenta Contable])*(J$1=Otras_Actividades_Base[Mes Financiero])*(J$2=Otras_Actividades_Base[Año Financiero])*(Otras_Actividades_Base[Financiero U$S Dólares]))</f>
        <v>0</v>
      </c>
      <c r="K45" s="100">
        <f>SUMPRODUCT(($C$45=Otras_Actividades_Base[Movimiento])*($F45=Otras_Actividades_Base[Cuenta Contable])*(K$1=Otras_Actividades_Base[Mes Financiero])*(K$2=Otras_Actividades_Base[Año Financiero])*(Otras_Actividades_Base[Financiero U$S Dólares]))</f>
        <v>0</v>
      </c>
      <c r="L45" s="99">
        <f>SUMPRODUCT(($C$45=Otras_Actividades_Base[Movimiento])*($F45=Otras_Actividades_Base[Cuenta Contable])*(L$1=Otras_Actividades_Base[Mes Financiero])*(L$2=Otras_Actividades_Base[Año Financiero])*(Otras_Actividades_Base[Financiero U$S Dólares]))</f>
        <v>0</v>
      </c>
      <c r="M45" s="100">
        <f>SUMPRODUCT(($C$45=Otras_Actividades_Base[Movimiento])*($F45=Otras_Actividades_Base[Cuenta Contable])*(M$1=Otras_Actividades_Base[Mes Financiero])*(M$2=Otras_Actividades_Base[Año Financiero])*(Otras_Actividades_Base[Financiero U$S Dólares]))</f>
        <v>0</v>
      </c>
      <c r="N45" s="99">
        <f>SUMPRODUCT(($C$45=Otras_Actividades_Base[Movimiento])*($F45=Otras_Actividades_Base[Cuenta Contable])*(N$1=Otras_Actividades_Base[Mes Financiero])*(N$2=Otras_Actividades_Base[Año Financiero])*(Otras_Actividades_Base[Financiero U$S Dólares]))</f>
        <v>0</v>
      </c>
      <c r="O45" s="100">
        <f>SUMPRODUCT(($C$45=Otras_Actividades_Base[Movimiento])*($F45=Otras_Actividades_Base[Cuenta Contable])*(O$1=Otras_Actividades_Base[Mes Financiero])*(O$2=Otras_Actividades_Base[Año Financiero])*(Otras_Actividades_Base[Financiero U$S Dólares]))</f>
        <v>0</v>
      </c>
      <c r="P45" s="99">
        <f>SUMPRODUCT(($C$45=Otras_Actividades_Base[Movimiento])*($F45=Otras_Actividades_Base[Cuenta Contable])*(P$1=Otras_Actividades_Base[Mes Financiero])*(P$2=Otras_Actividades_Base[Año Financiero])*(Otras_Actividades_Base[Financiero U$S Dólares]))</f>
        <v>0</v>
      </c>
      <c r="Q45" s="100">
        <f>SUMPRODUCT(($C$45=Otras_Actividades_Base[Movimiento])*($F45=Otras_Actividades_Base[Cuenta Contable])*(Q$1=Otras_Actividades_Base[Mes Financiero])*(Q$2=Otras_Actividades_Base[Año Financiero])*(Otras_Actividades_Base[Financiero U$S Dólares]))</f>
        <v>0</v>
      </c>
      <c r="R45" s="99">
        <f>SUMPRODUCT(($C$45=Otras_Actividades_Base[Movimiento])*($F45=Otras_Actividades_Base[Cuenta Contable])*(R$1=Otras_Actividades_Base[Mes Financiero])*(R$2=Otras_Actividades_Base[Año Financiero])*(Otras_Actividades_Base[Financiero U$S Dólares]))</f>
        <v>0</v>
      </c>
      <c r="S45" s="100">
        <f>SUMPRODUCT(($C$45=Otras_Actividades_Base[Movimiento])*($F45=Otras_Actividades_Base[Cuenta Contable])*(S$1=Otras_Actividades_Base[Mes Financiero])*(S$2=Otras_Actividades_Base[Año Financiero])*(Otras_Actividades_Base[Financiero U$S Dólares]))</f>
        <v>0</v>
      </c>
      <c r="T45" s="99">
        <f>SUMPRODUCT(($C$45=Otras_Actividades_Base[Movimiento])*($F45=Otras_Actividades_Base[Cuenta Contable])*(T$1=Otras_Actividades_Base[Mes Financiero])*(T$2=Otras_Actividades_Base[Año Financiero])*(Otras_Actividades_Base[Financiero U$S Dólares]))</f>
        <v>0</v>
      </c>
      <c r="U45" s="100">
        <f>SUMPRODUCT(($C$45=Otras_Actividades_Base[Movimiento])*($F45=Otras_Actividades_Base[Cuenta Contable])*(U$1=Otras_Actividades_Base[Mes Financiero])*(U$2=Otras_Actividades_Base[Año Financiero])*(Otras_Actividades_Base[Financiero U$S Dólares]))</f>
        <v>0</v>
      </c>
      <c r="V45" s="99">
        <f>SUMPRODUCT(($C$45=Otras_Actividades_Base[Movimiento])*($F45=Otras_Actividades_Base[Cuenta Contable])*(V$1=Otras_Actividades_Base[Mes Financiero])*(V$2=Otras_Actividades_Base[Año Financiero])*(Otras_Actividades_Base[Financiero U$S Dólares]))</f>
        <v>0</v>
      </c>
      <c r="W45" s="100">
        <f>SUMPRODUCT(($C$45=Otras_Actividades_Base[Movimiento])*($F45=Otras_Actividades_Base[Cuenta Contable])*(W$1=Otras_Actividades_Base[Mes Financiero])*(W$2=Otras_Actividades_Base[Año Financiero])*(Otras_Actividades_Base[Financiero U$S Dólares]))</f>
        <v>0</v>
      </c>
      <c r="X45" s="99">
        <f>SUMPRODUCT(($C$45=Otras_Actividades_Base[Movimiento])*($F45=Otras_Actividades_Base[Cuenta Contable])*(X$1=Otras_Actividades_Base[Mes Financiero])*(X$2=Otras_Actividades_Base[Año Financiero])*(Otras_Actividades_Base[Financiero U$S Dólares]))</f>
        <v>0</v>
      </c>
      <c r="Y45" s="100">
        <f>SUMPRODUCT(($C$45=Otras_Actividades_Base[Movimiento])*($F45=Otras_Actividades_Base[Cuenta Contable])*(Y$1=Otras_Actividades_Base[Mes Financiero])*(Y$2=Otras_Actividades_Base[Año Financiero])*(Otras_Actividades_Base[Financiero U$S Dólares]))</f>
        <v>0</v>
      </c>
      <c r="Z45" s="139">
        <f t="shared" si="3"/>
        <v>0</v>
      </c>
      <c r="AC45" s="281">
        <f>SUMPRODUCT((F45=Otras_Actividades_Cuentas[Cuenta Contable])*(Otras_Actividades_Cuentas[IVA]))</f>
        <v>0</v>
      </c>
      <c r="AD45" s="281">
        <v>0.05</v>
      </c>
    </row>
    <row r="46" spans="2:30" x14ac:dyDescent="0.25">
      <c r="B46" s="175"/>
      <c r="E46" s="223">
        <f>IFERROR(MATCH(F46,Otras_Actividades_Cuentas[Cuenta Contable],0),0)</f>
        <v>1</v>
      </c>
      <c r="F46" s="417" t="s">
        <v>202</v>
      </c>
      <c r="G46" s="138"/>
      <c r="H46" s="99">
        <f>SUMPRODUCT(($C$45=Otras_Actividades_Base[Movimiento])*($F46=Otras_Actividades_Base[Cuenta Contable])*(H$1=Otras_Actividades_Base[Mes Financiero])*(H$2=Otras_Actividades_Base[Año Financiero])*(Otras_Actividades_Base[Financiero U$S Dólares]))</f>
        <v>0</v>
      </c>
      <c r="I46" s="100">
        <f>SUMPRODUCT(($C$45=Otras_Actividades_Base[Movimiento])*($F46=Otras_Actividades_Base[Cuenta Contable])*(I$1=Otras_Actividades_Base[Mes Financiero])*(I$2=Otras_Actividades_Base[Año Financiero])*(Otras_Actividades_Base[Financiero U$S Dólares]))</f>
        <v>0</v>
      </c>
      <c r="J46" s="99">
        <f>SUMPRODUCT(($C$45=Otras_Actividades_Base[Movimiento])*($F46=Otras_Actividades_Base[Cuenta Contable])*(J$1=Otras_Actividades_Base[Mes Financiero])*(J$2=Otras_Actividades_Base[Año Financiero])*(Otras_Actividades_Base[Financiero U$S Dólares]))</f>
        <v>0</v>
      </c>
      <c r="K46" s="100">
        <f>SUMPRODUCT(($C$45=Otras_Actividades_Base[Movimiento])*($F46=Otras_Actividades_Base[Cuenta Contable])*(K$1=Otras_Actividades_Base[Mes Financiero])*(K$2=Otras_Actividades_Base[Año Financiero])*(Otras_Actividades_Base[Financiero U$S Dólares]))</f>
        <v>0</v>
      </c>
      <c r="L46" s="99">
        <f>SUMPRODUCT(($C$45=Otras_Actividades_Base[Movimiento])*($F46=Otras_Actividades_Base[Cuenta Contable])*(L$1=Otras_Actividades_Base[Mes Financiero])*(L$2=Otras_Actividades_Base[Año Financiero])*(Otras_Actividades_Base[Financiero U$S Dólares]))</f>
        <v>0</v>
      </c>
      <c r="M46" s="100">
        <f>SUMPRODUCT(($C$45=Otras_Actividades_Base[Movimiento])*($F46=Otras_Actividades_Base[Cuenta Contable])*(M$1=Otras_Actividades_Base[Mes Financiero])*(M$2=Otras_Actividades_Base[Año Financiero])*(Otras_Actividades_Base[Financiero U$S Dólares]))</f>
        <v>0</v>
      </c>
      <c r="N46" s="99">
        <f>SUMPRODUCT(($C$45=Otras_Actividades_Base[Movimiento])*($F46=Otras_Actividades_Base[Cuenta Contable])*(N$1=Otras_Actividades_Base[Mes Financiero])*(N$2=Otras_Actividades_Base[Año Financiero])*(Otras_Actividades_Base[Financiero U$S Dólares]))</f>
        <v>0</v>
      </c>
      <c r="O46" s="100">
        <f>SUMPRODUCT(($C$45=Otras_Actividades_Base[Movimiento])*($F46=Otras_Actividades_Base[Cuenta Contable])*(O$1=Otras_Actividades_Base[Mes Financiero])*(O$2=Otras_Actividades_Base[Año Financiero])*(Otras_Actividades_Base[Financiero U$S Dólares]))</f>
        <v>0</v>
      </c>
      <c r="P46" s="99">
        <f>SUMPRODUCT(($C$45=Otras_Actividades_Base[Movimiento])*($F46=Otras_Actividades_Base[Cuenta Contable])*(P$1=Otras_Actividades_Base[Mes Financiero])*(P$2=Otras_Actividades_Base[Año Financiero])*(Otras_Actividades_Base[Financiero U$S Dólares]))</f>
        <v>0</v>
      </c>
      <c r="Q46" s="100">
        <f>SUMPRODUCT(($C$45=Otras_Actividades_Base[Movimiento])*($F46=Otras_Actividades_Base[Cuenta Contable])*(Q$1=Otras_Actividades_Base[Mes Financiero])*(Q$2=Otras_Actividades_Base[Año Financiero])*(Otras_Actividades_Base[Financiero U$S Dólares]))</f>
        <v>0</v>
      </c>
      <c r="R46" s="99">
        <f>SUMPRODUCT(($C$45=Otras_Actividades_Base[Movimiento])*($F46=Otras_Actividades_Base[Cuenta Contable])*(R$1=Otras_Actividades_Base[Mes Financiero])*(R$2=Otras_Actividades_Base[Año Financiero])*(Otras_Actividades_Base[Financiero U$S Dólares]))</f>
        <v>0</v>
      </c>
      <c r="S46" s="100">
        <f>SUMPRODUCT(($C$45=Otras_Actividades_Base[Movimiento])*($F46=Otras_Actividades_Base[Cuenta Contable])*(S$1=Otras_Actividades_Base[Mes Financiero])*(S$2=Otras_Actividades_Base[Año Financiero])*(Otras_Actividades_Base[Financiero U$S Dólares]))</f>
        <v>0</v>
      </c>
      <c r="T46" s="99">
        <f>SUMPRODUCT(($C$45=Otras_Actividades_Base[Movimiento])*($F46=Otras_Actividades_Base[Cuenta Contable])*(T$1=Otras_Actividades_Base[Mes Financiero])*(T$2=Otras_Actividades_Base[Año Financiero])*(Otras_Actividades_Base[Financiero U$S Dólares]))</f>
        <v>0</v>
      </c>
      <c r="U46" s="100">
        <f>SUMPRODUCT(($C$45=Otras_Actividades_Base[Movimiento])*($F46=Otras_Actividades_Base[Cuenta Contable])*(U$1=Otras_Actividades_Base[Mes Financiero])*(U$2=Otras_Actividades_Base[Año Financiero])*(Otras_Actividades_Base[Financiero U$S Dólares]))</f>
        <v>0</v>
      </c>
      <c r="V46" s="99">
        <f>SUMPRODUCT(($C$45=Otras_Actividades_Base[Movimiento])*($F46=Otras_Actividades_Base[Cuenta Contable])*(V$1=Otras_Actividades_Base[Mes Financiero])*(V$2=Otras_Actividades_Base[Año Financiero])*(Otras_Actividades_Base[Financiero U$S Dólares]))</f>
        <v>0</v>
      </c>
      <c r="W46" s="100">
        <f>SUMPRODUCT(($C$45=Otras_Actividades_Base[Movimiento])*($F46=Otras_Actividades_Base[Cuenta Contable])*(W$1=Otras_Actividades_Base[Mes Financiero])*(W$2=Otras_Actividades_Base[Año Financiero])*(Otras_Actividades_Base[Financiero U$S Dólares]))</f>
        <v>0</v>
      </c>
      <c r="X46" s="99">
        <f>SUMPRODUCT(($C$45=Otras_Actividades_Base[Movimiento])*($F46=Otras_Actividades_Base[Cuenta Contable])*(X$1=Otras_Actividades_Base[Mes Financiero])*(X$2=Otras_Actividades_Base[Año Financiero])*(Otras_Actividades_Base[Financiero U$S Dólares]))</f>
        <v>0</v>
      </c>
      <c r="Y46" s="100">
        <f>SUMPRODUCT(($C$45=Otras_Actividades_Base[Movimiento])*($F46=Otras_Actividades_Base[Cuenta Contable])*(Y$1=Otras_Actividades_Base[Mes Financiero])*(Y$2=Otras_Actividades_Base[Año Financiero])*(Otras_Actividades_Base[Financiero U$S Dólares]))</f>
        <v>0</v>
      </c>
      <c r="Z46" s="139">
        <f t="shared" si="3"/>
        <v>0</v>
      </c>
      <c r="AC46" s="281">
        <f>SUMPRODUCT((F46=Otras_Actividades_Cuentas[Cuenta Contable])*(Otras_Actividades_Cuentas[IVA]))</f>
        <v>0.21</v>
      </c>
      <c r="AD46" s="281">
        <v>3.5000000000000003E-2</v>
      </c>
    </row>
    <row r="47" spans="2:30" x14ac:dyDescent="0.25">
      <c r="B47" s="175"/>
      <c r="E47" s="223">
        <f>IFERROR(MATCH(F47,Otras_Actividades_Cuentas[Cuenta Contable],0),0)</f>
        <v>0</v>
      </c>
      <c r="F47" s="417"/>
      <c r="G47" s="138"/>
      <c r="H47" s="99">
        <f>SUMPRODUCT(($C$45=Otras_Actividades_Base[Movimiento])*($F47=Otras_Actividades_Base[Cuenta Contable])*(H$1=Otras_Actividades_Base[Mes Financiero])*(H$2=Otras_Actividades_Base[Año Financiero])*(Otras_Actividades_Base[Financiero U$S Dólares]))</f>
        <v>0</v>
      </c>
      <c r="I47" s="100">
        <f>SUMPRODUCT(($C$45=Otras_Actividades_Base[Movimiento])*($F47=Otras_Actividades_Base[Cuenta Contable])*(I$1=Otras_Actividades_Base[Mes Financiero])*(I$2=Otras_Actividades_Base[Año Financiero])*(Otras_Actividades_Base[Financiero U$S Dólares]))</f>
        <v>0</v>
      </c>
      <c r="J47" s="99">
        <f>SUMPRODUCT(($C$45=Otras_Actividades_Base[Movimiento])*($F47=Otras_Actividades_Base[Cuenta Contable])*(J$1=Otras_Actividades_Base[Mes Financiero])*(J$2=Otras_Actividades_Base[Año Financiero])*(Otras_Actividades_Base[Financiero U$S Dólares]))</f>
        <v>0</v>
      </c>
      <c r="K47" s="100">
        <f>SUMPRODUCT(($C$45=Otras_Actividades_Base[Movimiento])*($F47=Otras_Actividades_Base[Cuenta Contable])*(K$1=Otras_Actividades_Base[Mes Financiero])*(K$2=Otras_Actividades_Base[Año Financiero])*(Otras_Actividades_Base[Financiero U$S Dólares]))</f>
        <v>0</v>
      </c>
      <c r="L47" s="99">
        <f>SUMPRODUCT(($C$45=Otras_Actividades_Base[Movimiento])*($F47=Otras_Actividades_Base[Cuenta Contable])*(L$1=Otras_Actividades_Base[Mes Financiero])*(L$2=Otras_Actividades_Base[Año Financiero])*(Otras_Actividades_Base[Financiero U$S Dólares]))</f>
        <v>0</v>
      </c>
      <c r="M47" s="100">
        <f>SUMPRODUCT(($C$45=Otras_Actividades_Base[Movimiento])*($F47=Otras_Actividades_Base[Cuenta Contable])*(M$1=Otras_Actividades_Base[Mes Financiero])*(M$2=Otras_Actividades_Base[Año Financiero])*(Otras_Actividades_Base[Financiero U$S Dólares]))</f>
        <v>0</v>
      </c>
      <c r="N47" s="99">
        <f>SUMPRODUCT(($C$45=Otras_Actividades_Base[Movimiento])*($F47=Otras_Actividades_Base[Cuenta Contable])*(N$1=Otras_Actividades_Base[Mes Financiero])*(N$2=Otras_Actividades_Base[Año Financiero])*(Otras_Actividades_Base[Financiero U$S Dólares]))</f>
        <v>0</v>
      </c>
      <c r="O47" s="100">
        <f>SUMPRODUCT(($C$45=Otras_Actividades_Base[Movimiento])*($F47=Otras_Actividades_Base[Cuenta Contable])*(O$1=Otras_Actividades_Base[Mes Financiero])*(O$2=Otras_Actividades_Base[Año Financiero])*(Otras_Actividades_Base[Financiero U$S Dólares]))</f>
        <v>0</v>
      </c>
      <c r="P47" s="99">
        <f>SUMPRODUCT(($C$45=Otras_Actividades_Base[Movimiento])*($F47=Otras_Actividades_Base[Cuenta Contable])*(P$1=Otras_Actividades_Base[Mes Financiero])*(P$2=Otras_Actividades_Base[Año Financiero])*(Otras_Actividades_Base[Financiero U$S Dólares]))</f>
        <v>0</v>
      </c>
      <c r="Q47" s="100">
        <f>SUMPRODUCT(($C$45=Otras_Actividades_Base[Movimiento])*($F47=Otras_Actividades_Base[Cuenta Contable])*(Q$1=Otras_Actividades_Base[Mes Financiero])*(Q$2=Otras_Actividades_Base[Año Financiero])*(Otras_Actividades_Base[Financiero U$S Dólares]))</f>
        <v>0</v>
      </c>
      <c r="R47" s="99">
        <f>SUMPRODUCT(($C$45=Otras_Actividades_Base[Movimiento])*($F47=Otras_Actividades_Base[Cuenta Contable])*(R$1=Otras_Actividades_Base[Mes Financiero])*(R$2=Otras_Actividades_Base[Año Financiero])*(Otras_Actividades_Base[Financiero U$S Dólares]))</f>
        <v>0</v>
      </c>
      <c r="S47" s="100">
        <f>SUMPRODUCT(($C$45=Otras_Actividades_Base[Movimiento])*($F47=Otras_Actividades_Base[Cuenta Contable])*(S$1=Otras_Actividades_Base[Mes Financiero])*(S$2=Otras_Actividades_Base[Año Financiero])*(Otras_Actividades_Base[Financiero U$S Dólares]))</f>
        <v>0</v>
      </c>
      <c r="T47" s="99">
        <f>SUMPRODUCT(($C$45=Otras_Actividades_Base[Movimiento])*($F47=Otras_Actividades_Base[Cuenta Contable])*(T$1=Otras_Actividades_Base[Mes Financiero])*(T$2=Otras_Actividades_Base[Año Financiero])*(Otras_Actividades_Base[Financiero U$S Dólares]))</f>
        <v>0</v>
      </c>
      <c r="U47" s="100">
        <f>SUMPRODUCT(($C$45=Otras_Actividades_Base[Movimiento])*($F47=Otras_Actividades_Base[Cuenta Contable])*(U$1=Otras_Actividades_Base[Mes Financiero])*(U$2=Otras_Actividades_Base[Año Financiero])*(Otras_Actividades_Base[Financiero U$S Dólares]))</f>
        <v>0</v>
      </c>
      <c r="V47" s="99">
        <f>SUMPRODUCT(($C$45=Otras_Actividades_Base[Movimiento])*($F47=Otras_Actividades_Base[Cuenta Contable])*(V$1=Otras_Actividades_Base[Mes Financiero])*(V$2=Otras_Actividades_Base[Año Financiero])*(Otras_Actividades_Base[Financiero U$S Dólares]))</f>
        <v>0</v>
      </c>
      <c r="W47" s="100">
        <f>SUMPRODUCT(($C$45=Otras_Actividades_Base[Movimiento])*($F47=Otras_Actividades_Base[Cuenta Contable])*(W$1=Otras_Actividades_Base[Mes Financiero])*(W$2=Otras_Actividades_Base[Año Financiero])*(Otras_Actividades_Base[Financiero U$S Dólares]))</f>
        <v>0</v>
      </c>
      <c r="X47" s="99">
        <f>SUMPRODUCT(($C$45=Otras_Actividades_Base[Movimiento])*($F47=Otras_Actividades_Base[Cuenta Contable])*(X$1=Otras_Actividades_Base[Mes Financiero])*(X$2=Otras_Actividades_Base[Año Financiero])*(Otras_Actividades_Base[Financiero U$S Dólares]))</f>
        <v>0</v>
      </c>
      <c r="Y47" s="100">
        <f>SUMPRODUCT(($C$45=Otras_Actividades_Base[Movimiento])*($F47=Otras_Actividades_Base[Cuenta Contable])*(Y$1=Otras_Actividades_Base[Mes Financiero])*(Y$2=Otras_Actividades_Base[Año Financiero])*(Otras_Actividades_Base[Financiero U$S Dólares]))</f>
        <v>0</v>
      </c>
      <c r="Z47" s="139">
        <f t="shared" ref="Z47:Z48" si="4">SUM(H47:Y47)</f>
        <v>0</v>
      </c>
      <c r="AC47" s="281">
        <f>SUMPRODUCT((F47=Otras_Actividades_Cuentas[Cuenta Contable])*(Otras_Actividades_Cuentas[IVA]))</f>
        <v>0</v>
      </c>
      <c r="AD47" s="281"/>
    </row>
    <row r="48" spans="2:30" x14ac:dyDescent="0.25">
      <c r="B48" s="175"/>
      <c r="E48" s="223">
        <f>IFERROR(MATCH(F48,Otras_Actividades_Cuentas[Cuenta Contable],0),0)</f>
        <v>0</v>
      </c>
      <c r="F48" s="417"/>
      <c r="G48" s="138"/>
      <c r="H48" s="99">
        <f>SUMPRODUCT(($C$45=Otras_Actividades_Base[Movimiento])*($F48=Otras_Actividades_Base[Cuenta Contable])*(H$1=Otras_Actividades_Base[Mes Financiero])*(H$2=Otras_Actividades_Base[Año Financiero])*(Otras_Actividades_Base[Financiero U$S Dólares]))</f>
        <v>0</v>
      </c>
      <c r="I48" s="100">
        <f>SUMPRODUCT(($C$45=Otras_Actividades_Base[Movimiento])*($F48=Otras_Actividades_Base[Cuenta Contable])*(I$1=Otras_Actividades_Base[Mes Financiero])*(I$2=Otras_Actividades_Base[Año Financiero])*(Otras_Actividades_Base[Financiero U$S Dólares]))</f>
        <v>0</v>
      </c>
      <c r="J48" s="99">
        <f>SUMPRODUCT(($C$45=Otras_Actividades_Base[Movimiento])*($F48=Otras_Actividades_Base[Cuenta Contable])*(J$1=Otras_Actividades_Base[Mes Financiero])*(J$2=Otras_Actividades_Base[Año Financiero])*(Otras_Actividades_Base[Financiero U$S Dólares]))</f>
        <v>0</v>
      </c>
      <c r="K48" s="100">
        <f>SUMPRODUCT(($C$45=Otras_Actividades_Base[Movimiento])*($F48=Otras_Actividades_Base[Cuenta Contable])*(K$1=Otras_Actividades_Base[Mes Financiero])*(K$2=Otras_Actividades_Base[Año Financiero])*(Otras_Actividades_Base[Financiero U$S Dólares]))</f>
        <v>0</v>
      </c>
      <c r="L48" s="99">
        <f>SUMPRODUCT(($C$45=Otras_Actividades_Base[Movimiento])*($F48=Otras_Actividades_Base[Cuenta Contable])*(L$1=Otras_Actividades_Base[Mes Financiero])*(L$2=Otras_Actividades_Base[Año Financiero])*(Otras_Actividades_Base[Financiero U$S Dólares]))</f>
        <v>0</v>
      </c>
      <c r="M48" s="100">
        <f>SUMPRODUCT(($C$45=Otras_Actividades_Base[Movimiento])*($F48=Otras_Actividades_Base[Cuenta Contable])*(M$1=Otras_Actividades_Base[Mes Financiero])*(M$2=Otras_Actividades_Base[Año Financiero])*(Otras_Actividades_Base[Financiero U$S Dólares]))</f>
        <v>0</v>
      </c>
      <c r="N48" s="99">
        <f>SUMPRODUCT(($C$45=Otras_Actividades_Base[Movimiento])*($F48=Otras_Actividades_Base[Cuenta Contable])*(N$1=Otras_Actividades_Base[Mes Financiero])*(N$2=Otras_Actividades_Base[Año Financiero])*(Otras_Actividades_Base[Financiero U$S Dólares]))</f>
        <v>0</v>
      </c>
      <c r="O48" s="100">
        <f>SUMPRODUCT(($C$45=Otras_Actividades_Base[Movimiento])*($F48=Otras_Actividades_Base[Cuenta Contable])*(O$1=Otras_Actividades_Base[Mes Financiero])*(O$2=Otras_Actividades_Base[Año Financiero])*(Otras_Actividades_Base[Financiero U$S Dólares]))</f>
        <v>0</v>
      </c>
      <c r="P48" s="99">
        <f>SUMPRODUCT(($C$45=Otras_Actividades_Base[Movimiento])*($F48=Otras_Actividades_Base[Cuenta Contable])*(P$1=Otras_Actividades_Base[Mes Financiero])*(P$2=Otras_Actividades_Base[Año Financiero])*(Otras_Actividades_Base[Financiero U$S Dólares]))</f>
        <v>0</v>
      </c>
      <c r="Q48" s="100">
        <f>SUMPRODUCT(($C$45=Otras_Actividades_Base[Movimiento])*($F48=Otras_Actividades_Base[Cuenta Contable])*(Q$1=Otras_Actividades_Base[Mes Financiero])*(Q$2=Otras_Actividades_Base[Año Financiero])*(Otras_Actividades_Base[Financiero U$S Dólares]))</f>
        <v>0</v>
      </c>
      <c r="R48" s="99">
        <f>SUMPRODUCT(($C$45=Otras_Actividades_Base[Movimiento])*($F48=Otras_Actividades_Base[Cuenta Contable])*(R$1=Otras_Actividades_Base[Mes Financiero])*(R$2=Otras_Actividades_Base[Año Financiero])*(Otras_Actividades_Base[Financiero U$S Dólares]))</f>
        <v>0</v>
      </c>
      <c r="S48" s="100">
        <f>SUMPRODUCT(($C$45=Otras_Actividades_Base[Movimiento])*($F48=Otras_Actividades_Base[Cuenta Contable])*(S$1=Otras_Actividades_Base[Mes Financiero])*(S$2=Otras_Actividades_Base[Año Financiero])*(Otras_Actividades_Base[Financiero U$S Dólares]))</f>
        <v>0</v>
      </c>
      <c r="T48" s="99">
        <f>SUMPRODUCT(($C$45=Otras_Actividades_Base[Movimiento])*($F48=Otras_Actividades_Base[Cuenta Contable])*(T$1=Otras_Actividades_Base[Mes Financiero])*(T$2=Otras_Actividades_Base[Año Financiero])*(Otras_Actividades_Base[Financiero U$S Dólares]))</f>
        <v>0</v>
      </c>
      <c r="U48" s="100">
        <f>SUMPRODUCT(($C$45=Otras_Actividades_Base[Movimiento])*($F48=Otras_Actividades_Base[Cuenta Contable])*(U$1=Otras_Actividades_Base[Mes Financiero])*(U$2=Otras_Actividades_Base[Año Financiero])*(Otras_Actividades_Base[Financiero U$S Dólares]))</f>
        <v>0</v>
      </c>
      <c r="V48" s="99">
        <f>SUMPRODUCT(($C$45=Otras_Actividades_Base[Movimiento])*($F48=Otras_Actividades_Base[Cuenta Contable])*(V$1=Otras_Actividades_Base[Mes Financiero])*(V$2=Otras_Actividades_Base[Año Financiero])*(Otras_Actividades_Base[Financiero U$S Dólares]))</f>
        <v>0</v>
      </c>
      <c r="W48" s="100">
        <f>SUMPRODUCT(($C$45=Otras_Actividades_Base[Movimiento])*($F48=Otras_Actividades_Base[Cuenta Contable])*(W$1=Otras_Actividades_Base[Mes Financiero])*(W$2=Otras_Actividades_Base[Año Financiero])*(Otras_Actividades_Base[Financiero U$S Dólares]))</f>
        <v>0</v>
      </c>
      <c r="X48" s="99">
        <f>SUMPRODUCT(($C$45=Otras_Actividades_Base[Movimiento])*($F48=Otras_Actividades_Base[Cuenta Contable])*(X$1=Otras_Actividades_Base[Mes Financiero])*(X$2=Otras_Actividades_Base[Año Financiero])*(Otras_Actividades_Base[Financiero U$S Dólares]))</f>
        <v>0</v>
      </c>
      <c r="Y48" s="100">
        <f>SUMPRODUCT(($C$45=Otras_Actividades_Base[Movimiento])*($F48=Otras_Actividades_Base[Cuenta Contable])*(Y$1=Otras_Actividades_Base[Mes Financiero])*(Y$2=Otras_Actividades_Base[Año Financiero])*(Otras_Actividades_Base[Financiero U$S Dólares]))</f>
        <v>0</v>
      </c>
      <c r="Z48" s="139">
        <f t="shared" si="4"/>
        <v>0</v>
      </c>
      <c r="AC48" s="281">
        <f>SUMPRODUCT((F48=Otras_Actividades_Cuentas[Cuenta Contable])*(Otras_Actividades_Cuentas[IVA]))</f>
        <v>0</v>
      </c>
      <c r="AD48" s="281"/>
    </row>
    <row r="49" spans="2:31" x14ac:dyDescent="0.25">
      <c r="B49" s="175"/>
      <c r="D49" s="102"/>
      <c r="E49" s="224"/>
      <c r="F49" s="416" t="s">
        <v>218</v>
      </c>
      <c r="G49" s="123"/>
      <c r="H49" s="208">
        <f>SUMPRODUCT(($C$45=Otras_Actividades_Base[Movimiento])*(H$1=Otras_Actividades_Base[Mes Financiero])*(H$2=Otras_Actividades_Base[Año Financiero])*(Otras_Actividades_Base[Financiero U$S Dólares]))</f>
        <v>0</v>
      </c>
      <c r="I49" s="209">
        <f>SUMPRODUCT(($C$45=Otras_Actividades_Base[Movimiento])*(I$1=Otras_Actividades_Base[Mes Financiero])*(I$2=Otras_Actividades_Base[Año Financiero])*(Otras_Actividades_Base[Financiero U$S Dólares]))</f>
        <v>0</v>
      </c>
      <c r="J49" s="208">
        <f>SUMPRODUCT(($C$45=Otras_Actividades_Base[Movimiento])*(J$1=Otras_Actividades_Base[Mes Financiero])*(J$2=Otras_Actividades_Base[Año Financiero])*(Otras_Actividades_Base[Financiero U$S Dólares]))</f>
        <v>0</v>
      </c>
      <c r="K49" s="209">
        <f>SUMPRODUCT(($C$45=Otras_Actividades_Base[Movimiento])*(K$1=Otras_Actividades_Base[Mes Financiero])*(K$2=Otras_Actividades_Base[Año Financiero])*(Otras_Actividades_Base[Financiero U$S Dólares]))</f>
        <v>0</v>
      </c>
      <c r="L49" s="208">
        <f>SUMPRODUCT(($C$45=Otras_Actividades_Base[Movimiento])*(L$1=Otras_Actividades_Base[Mes Financiero])*(L$2=Otras_Actividades_Base[Año Financiero])*(Otras_Actividades_Base[Financiero U$S Dólares]))</f>
        <v>0</v>
      </c>
      <c r="M49" s="209">
        <f>SUMPRODUCT(($C$45=Otras_Actividades_Base[Movimiento])*(M$1=Otras_Actividades_Base[Mes Financiero])*(M$2=Otras_Actividades_Base[Año Financiero])*(Otras_Actividades_Base[Financiero U$S Dólares]))</f>
        <v>0</v>
      </c>
      <c r="N49" s="208">
        <f>SUMPRODUCT(($C$45=Otras_Actividades_Base[Movimiento])*(N$1=Otras_Actividades_Base[Mes Financiero])*(N$2=Otras_Actividades_Base[Año Financiero])*(Otras_Actividades_Base[Financiero U$S Dólares]))</f>
        <v>0</v>
      </c>
      <c r="O49" s="209">
        <f>SUMPRODUCT(($C$45=Otras_Actividades_Base[Movimiento])*(O$1=Otras_Actividades_Base[Mes Financiero])*(O$2=Otras_Actividades_Base[Año Financiero])*(Otras_Actividades_Base[Financiero U$S Dólares]))</f>
        <v>0</v>
      </c>
      <c r="P49" s="208">
        <f>SUMPRODUCT(($C$45=Otras_Actividades_Base[Movimiento])*(P$1=Otras_Actividades_Base[Mes Financiero])*(P$2=Otras_Actividades_Base[Año Financiero])*(Otras_Actividades_Base[Financiero U$S Dólares]))</f>
        <v>0</v>
      </c>
      <c r="Q49" s="209">
        <f>SUMPRODUCT(($C$45=Otras_Actividades_Base[Movimiento])*(Q$1=Otras_Actividades_Base[Mes Financiero])*(Q$2=Otras_Actividades_Base[Año Financiero])*(Otras_Actividades_Base[Financiero U$S Dólares]))</f>
        <v>0</v>
      </c>
      <c r="R49" s="208">
        <f>SUMPRODUCT(($C$45=Otras_Actividades_Base[Movimiento])*(R$1=Otras_Actividades_Base[Mes Financiero])*(R$2=Otras_Actividades_Base[Año Financiero])*(Otras_Actividades_Base[Financiero U$S Dólares]))</f>
        <v>0</v>
      </c>
      <c r="S49" s="209">
        <f>SUMPRODUCT(($C$45=Otras_Actividades_Base[Movimiento])*(S$1=Otras_Actividades_Base[Mes Financiero])*(S$2=Otras_Actividades_Base[Año Financiero])*(Otras_Actividades_Base[Financiero U$S Dólares]))</f>
        <v>0</v>
      </c>
      <c r="T49" s="208">
        <f>SUMPRODUCT(($C$45=Otras_Actividades_Base[Movimiento])*(T$1=Otras_Actividades_Base[Mes Financiero])*(T$2=Otras_Actividades_Base[Año Financiero])*(Otras_Actividades_Base[Financiero U$S Dólares]))</f>
        <v>0</v>
      </c>
      <c r="U49" s="209">
        <f>SUMPRODUCT(($C$45=Otras_Actividades_Base[Movimiento])*(U$1=Otras_Actividades_Base[Mes Financiero])*(U$2=Otras_Actividades_Base[Año Financiero])*(Otras_Actividades_Base[Financiero U$S Dólares]))</f>
        <v>0</v>
      </c>
      <c r="V49" s="208">
        <f>SUMPRODUCT(($C$45=Otras_Actividades_Base[Movimiento])*(V$1=Otras_Actividades_Base[Mes Financiero])*(V$2=Otras_Actividades_Base[Año Financiero])*(Otras_Actividades_Base[Financiero U$S Dólares]))</f>
        <v>0</v>
      </c>
      <c r="W49" s="209">
        <f>SUMPRODUCT(($C$45=Otras_Actividades_Base[Movimiento])*(W$1=Otras_Actividades_Base[Mes Financiero])*(W$2=Otras_Actividades_Base[Año Financiero])*(Otras_Actividades_Base[Financiero U$S Dólares]))</f>
        <v>0</v>
      </c>
      <c r="X49" s="208">
        <f>SUMPRODUCT(($C$45=Otras_Actividades_Base[Movimiento])*(X$1=Otras_Actividades_Base[Mes Financiero])*(X$2=Otras_Actividades_Base[Año Financiero])*(Otras_Actividades_Base[Financiero U$S Dólares]))</f>
        <v>0</v>
      </c>
      <c r="Y49" s="209">
        <f>SUMPRODUCT(($C$45=Otras_Actividades_Base[Movimiento])*(Y$1=Otras_Actividades_Base[Mes Financiero])*(Y$2=Otras_Actividades_Base[Año Financiero])*(Otras_Actividades_Base[Financiero U$S Dólares]))</f>
        <v>0</v>
      </c>
      <c r="Z49" s="146">
        <f>SUMPRODUCT(($C$45=Otras_Actividades_Base[Movimiento])*(Z$1=Otras_Actividades_Base[Mes Financiero])*(Z$2=Otras_Actividades_Base[Año Financiero])*(Otras_Actividades_Base[Financiero U$S Dólares]))</f>
        <v>0</v>
      </c>
    </row>
    <row r="50" spans="2:31" x14ac:dyDescent="0.25">
      <c r="C50" s="210" t="s">
        <v>37</v>
      </c>
      <c r="D50" s="108" t="s">
        <v>176</v>
      </c>
      <c r="E50" s="121"/>
      <c r="F50" s="417" t="s">
        <v>195</v>
      </c>
      <c r="G50" s="109"/>
      <c r="H50" s="110"/>
      <c r="I50" s="111"/>
      <c r="J50" s="110"/>
      <c r="K50" s="111"/>
      <c r="L50" s="110"/>
      <c r="M50" s="111"/>
      <c r="N50" s="110"/>
      <c r="O50" s="111"/>
      <c r="P50" s="110"/>
      <c r="Q50" s="111"/>
      <c r="R50" s="110"/>
      <c r="S50" s="111"/>
      <c r="T50" s="110"/>
      <c r="U50" s="111"/>
      <c r="V50" s="110"/>
      <c r="W50" s="111"/>
      <c r="X50" s="110"/>
      <c r="Y50" s="111"/>
      <c r="Z50" s="139">
        <f t="shared" si="3"/>
        <v>0</v>
      </c>
      <c r="AC50" s="174">
        <f>SUMPRODUCT((F50=Comercializacion_Granos_Cuentas[Cuenta Contable])*(Comercializacion_Granos_Cuentas[IVA Financiero]))</f>
        <v>0</v>
      </c>
      <c r="AD50" s="174">
        <v>3.5000000000000003E-2</v>
      </c>
    </row>
    <row r="51" spans="2:31" x14ac:dyDescent="0.25">
      <c r="D51" s="108"/>
      <c r="E51" s="121"/>
      <c r="F51" s="417" t="s">
        <v>196</v>
      </c>
      <c r="G51" s="109"/>
      <c r="H51" s="110"/>
      <c r="I51" s="111"/>
      <c r="J51" s="110"/>
      <c r="K51" s="111"/>
      <c r="L51" s="110"/>
      <c r="M51" s="111"/>
      <c r="N51" s="110"/>
      <c r="O51" s="111"/>
      <c r="P51" s="110"/>
      <c r="Q51" s="111"/>
      <c r="R51" s="110"/>
      <c r="S51" s="111"/>
      <c r="T51" s="110"/>
      <c r="U51" s="111"/>
      <c r="V51" s="110"/>
      <c r="W51" s="111"/>
      <c r="X51" s="110"/>
      <c r="Y51" s="111"/>
      <c r="Z51" s="139">
        <f t="shared" si="3"/>
        <v>0</v>
      </c>
      <c r="AB51" s="173"/>
      <c r="AC51" s="174">
        <v>0.105</v>
      </c>
      <c r="AD51" s="174">
        <v>3.5000000000000003E-2</v>
      </c>
    </row>
    <row r="52" spans="2:31" x14ac:dyDescent="0.25">
      <c r="D52" s="108"/>
      <c r="E52" s="121"/>
      <c r="F52" s="417" t="s">
        <v>197</v>
      </c>
      <c r="G52" s="109"/>
      <c r="H52" s="110"/>
      <c r="I52" s="111"/>
      <c r="J52" s="110"/>
      <c r="K52" s="111"/>
      <c r="L52" s="110"/>
      <c r="M52" s="111"/>
      <c r="N52" s="110"/>
      <c r="O52" s="111"/>
      <c r="P52" s="110"/>
      <c r="Q52" s="111"/>
      <c r="R52" s="110"/>
      <c r="S52" s="111"/>
      <c r="T52" s="110"/>
      <c r="U52" s="111"/>
      <c r="V52" s="110"/>
      <c r="W52" s="111"/>
      <c r="X52" s="110"/>
      <c r="Y52" s="111"/>
      <c r="Z52" s="139">
        <f t="shared" si="3"/>
        <v>0</v>
      </c>
      <c r="AB52" s="173"/>
      <c r="AC52" s="174">
        <v>0.21</v>
      </c>
      <c r="AD52" s="174">
        <v>3.5000000000000003E-2</v>
      </c>
    </row>
    <row r="53" spans="2:31" x14ac:dyDescent="0.25">
      <c r="D53" s="108"/>
      <c r="E53" s="121"/>
      <c r="F53" s="417" t="s">
        <v>198</v>
      </c>
      <c r="G53" s="109"/>
      <c r="H53" s="110"/>
      <c r="I53" s="111"/>
      <c r="J53" s="110"/>
      <c r="K53" s="111"/>
      <c r="L53" s="110"/>
      <c r="M53" s="111"/>
      <c r="N53" s="110"/>
      <c r="O53" s="111"/>
      <c r="P53" s="110"/>
      <c r="Q53" s="111"/>
      <c r="R53" s="110"/>
      <c r="S53" s="111"/>
      <c r="T53" s="110"/>
      <c r="U53" s="111"/>
      <c r="V53" s="110"/>
      <c r="W53" s="111"/>
      <c r="X53" s="110"/>
      <c r="Y53" s="111"/>
      <c r="Z53" s="139">
        <f t="shared" si="3"/>
        <v>0</v>
      </c>
      <c r="AB53" s="173"/>
      <c r="AC53" s="174">
        <v>0.27</v>
      </c>
      <c r="AD53" s="174">
        <v>3.5000000000000003E-2</v>
      </c>
    </row>
    <row r="54" spans="2:31" x14ac:dyDescent="0.25">
      <c r="C54" s="210" t="s">
        <v>37</v>
      </c>
      <c r="D54" s="151" t="s">
        <v>177</v>
      </c>
      <c r="E54" s="152"/>
      <c r="F54" s="418" t="s">
        <v>178</v>
      </c>
      <c r="G54" s="154"/>
      <c r="H54" s="155">
        <f>SUM(H4,H15,H16,H29,H30,H31,H44,H45:H53)</f>
        <v>0</v>
      </c>
      <c r="I54" s="155">
        <f t="shared" ref="I54:Z54" si="5">SUM(I4,I15,I16,I29,I30,I31,I44,I45:I53)</f>
        <v>0</v>
      </c>
      <c r="J54" s="155">
        <f t="shared" si="5"/>
        <v>0</v>
      </c>
      <c r="K54" s="155">
        <f t="shared" si="5"/>
        <v>0</v>
      </c>
      <c r="L54" s="155">
        <f t="shared" si="5"/>
        <v>0</v>
      </c>
      <c r="M54" s="155">
        <f t="shared" si="5"/>
        <v>0</v>
      </c>
      <c r="N54" s="155">
        <f t="shared" si="5"/>
        <v>0</v>
      </c>
      <c r="O54" s="155">
        <f t="shared" si="5"/>
        <v>0</v>
      </c>
      <c r="P54" s="155">
        <f t="shared" si="5"/>
        <v>0</v>
      </c>
      <c r="Q54" s="155">
        <f t="shared" si="5"/>
        <v>0</v>
      </c>
      <c r="R54" s="155">
        <f t="shared" si="5"/>
        <v>0</v>
      </c>
      <c r="S54" s="155">
        <f t="shared" si="5"/>
        <v>0</v>
      </c>
      <c r="T54" s="155">
        <f t="shared" si="5"/>
        <v>0</v>
      </c>
      <c r="U54" s="155">
        <f t="shared" si="5"/>
        <v>0</v>
      </c>
      <c r="V54" s="155">
        <f t="shared" si="5"/>
        <v>0</v>
      </c>
      <c r="W54" s="155">
        <f t="shared" si="5"/>
        <v>0</v>
      </c>
      <c r="X54" s="155">
        <f t="shared" si="5"/>
        <v>0</v>
      </c>
      <c r="Y54" s="155">
        <f t="shared" si="5"/>
        <v>0</v>
      </c>
      <c r="Z54" s="156">
        <f t="shared" si="5"/>
        <v>0</v>
      </c>
    </row>
    <row r="55" spans="2:31" hidden="1" outlineLevel="1" x14ac:dyDescent="0.25">
      <c r="C55" s="212"/>
      <c r="D55" s="108" t="s">
        <v>179</v>
      </c>
      <c r="E55" s="121"/>
      <c r="F55" s="424">
        <v>2.5000000000000001E-2</v>
      </c>
      <c r="G55" s="109"/>
      <c r="H55" s="110">
        <f>H4*$F$55</f>
        <v>0</v>
      </c>
      <c r="I55" s="111">
        <f t="shared" ref="I55:Y55" si="6">I4*$F$55</f>
        <v>0</v>
      </c>
      <c r="J55" s="110">
        <f t="shared" si="6"/>
        <v>0</v>
      </c>
      <c r="K55" s="111">
        <f t="shared" si="6"/>
        <v>0</v>
      </c>
      <c r="L55" s="110">
        <f t="shared" si="6"/>
        <v>0</v>
      </c>
      <c r="M55" s="111">
        <f t="shared" si="6"/>
        <v>0</v>
      </c>
      <c r="N55" s="110">
        <f t="shared" si="6"/>
        <v>0</v>
      </c>
      <c r="O55" s="111">
        <f t="shared" si="6"/>
        <v>0</v>
      </c>
      <c r="P55" s="110">
        <f t="shared" si="6"/>
        <v>0</v>
      </c>
      <c r="Q55" s="111">
        <f t="shared" si="6"/>
        <v>0</v>
      </c>
      <c r="R55" s="110">
        <f t="shared" si="6"/>
        <v>0</v>
      </c>
      <c r="S55" s="111">
        <f t="shared" si="6"/>
        <v>0</v>
      </c>
      <c r="T55" s="110">
        <f t="shared" si="6"/>
        <v>0</v>
      </c>
      <c r="U55" s="111">
        <f t="shared" si="6"/>
        <v>0</v>
      </c>
      <c r="V55" s="110">
        <f t="shared" si="6"/>
        <v>0</v>
      </c>
      <c r="W55" s="111">
        <f t="shared" si="6"/>
        <v>0</v>
      </c>
      <c r="X55" s="110">
        <f t="shared" ref="X55" si="7">X4*$F$55</f>
        <v>0</v>
      </c>
      <c r="Y55" s="111">
        <f t="shared" si="6"/>
        <v>0</v>
      </c>
      <c r="Z55" s="144">
        <f t="shared" si="3"/>
        <v>0</v>
      </c>
    </row>
    <row r="56" spans="2:31" hidden="1" outlineLevel="1" x14ac:dyDescent="0.25">
      <c r="C56" s="212"/>
      <c r="D56" s="108" t="s">
        <v>179</v>
      </c>
      <c r="E56" s="121"/>
      <c r="F56" s="424">
        <v>7.0000000000000007E-2</v>
      </c>
      <c r="G56" s="282">
        <v>4</v>
      </c>
      <c r="H56" s="110">
        <f>SUMPRODUCT(((COLUMN(H1)-$G$56=COLUMN($H$1:$Y$1))*($H$4:$Y$4)))*$F$56</f>
        <v>0</v>
      </c>
      <c r="I56" s="111">
        <f t="shared" ref="I56:Y56" si="8">SUMPRODUCT(((COLUMN(I1)-$G$56=COLUMN($H$1:$Y$1))*($H$4:$Y$4)))*$F$56</f>
        <v>0</v>
      </c>
      <c r="J56" s="110">
        <f t="shared" si="8"/>
        <v>0</v>
      </c>
      <c r="K56" s="111">
        <f t="shared" si="8"/>
        <v>0</v>
      </c>
      <c r="L56" s="110">
        <f t="shared" si="8"/>
        <v>0</v>
      </c>
      <c r="M56" s="111">
        <f t="shared" si="8"/>
        <v>0</v>
      </c>
      <c r="N56" s="110">
        <f t="shared" si="8"/>
        <v>0</v>
      </c>
      <c r="O56" s="111">
        <f t="shared" si="8"/>
        <v>0</v>
      </c>
      <c r="P56" s="110">
        <f t="shared" si="8"/>
        <v>0</v>
      </c>
      <c r="Q56" s="111">
        <f t="shared" si="8"/>
        <v>0</v>
      </c>
      <c r="R56" s="110">
        <f t="shared" si="8"/>
        <v>0</v>
      </c>
      <c r="S56" s="111">
        <f t="shared" si="8"/>
        <v>0</v>
      </c>
      <c r="T56" s="110">
        <f t="shared" si="8"/>
        <v>0</v>
      </c>
      <c r="U56" s="111">
        <f t="shared" si="8"/>
        <v>0</v>
      </c>
      <c r="V56" s="110">
        <f t="shared" si="8"/>
        <v>0</v>
      </c>
      <c r="W56" s="111">
        <f t="shared" si="8"/>
        <v>0</v>
      </c>
      <c r="X56" s="110">
        <f t="shared" si="8"/>
        <v>0</v>
      </c>
      <c r="Y56" s="111">
        <f t="shared" si="8"/>
        <v>0</v>
      </c>
      <c r="Z56" s="144">
        <f t="shared" si="3"/>
        <v>0</v>
      </c>
    </row>
    <row r="57" spans="2:31" hidden="1" outlineLevel="1" x14ac:dyDescent="0.25">
      <c r="C57" s="212"/>
      <c r="D57" s="108" t="s">
        <v>180</v>
      </c>
      <c r="E57" s="121"/>
      <c r="F57" s="424">
        <v>0.01</v>
      </c>
      <c r="G57" s="109"/>
      <c r="H57" s="110">
        <f>H4*$F$57</f>
        <v>0</v>
      </c>
      <c r="I57" s="111">
        <f t="shared" ref="I57:Y57" si="9">I4*$F$57</f>
        <v>0</v>
      </c>
      <c r="J57" s="110">
        <f t="shared" si="9"/>
        <v>0</v>
      </c>
      <c r="K57" s="111">
        <f t="shared" si="9"/>
        <v>0</v>
      </c>
      <c r="L57" s="110">
        <f t="shared" si="9"/>
        <v>0</v>
      </c>
      <c r="M57" s="111">
        <f t="shared" si="9"/>
        <v>0</v>
      </c>
      <c r="N57" s="110">
        <f t="shared" si="9"/>
        <v>0</v>
      </c>
      <c r="O57" s="111">
        <f t="shared" si="9"/>
        <v>0</v>
      </c>
      <c r="P57" s="110">
        <f t="shared" si="9"/>
        <v>0</v>
      </c>
      <c r="Q57" s="111">
        <f t="shared" si="9"/>
        <v>0</v>
      </c>
      <c r="R57" s="110">
        <f t="shared" si="9"/>
        <v>0</v>
      </c>
      <c r="S57" s="111">
        <f t="shared" si="9"/>
        <v>0</v>
      </c>
      <c r="T57" s="110">
        <f t="shared" si="9"/>
        <v>0</v>
      </c>
      <c r="U57" s="111">
        <f t="shared" si="9"/>
        <v>0</v>
      </c>
      <c r="V57" s="110">
        <f t="shared" si="9"/>
        <v>0</v>
      </c>
      <c r="W57" s="111">
        <f t="shared" si="9"/>
        <v>0</v>
      </c>
      <c r="X57" s="110">
        <f t="shared" ref="X57" si="10">X4*$F$57</f>
        <v>0</v>
      </c>
      <c r="Y57" s="111">
        <f t="shared" si="9"/>
        <v>0</v>
      </c>
      <c r="Z57" s="144">
        <f t="shared" si="3"/>
        <v>0</v>
      </c>
      <c r="AE57" s="169" t="s">
        <v>216</v>
      </c>
    </row>
    <row r="58" spans="2:31" hidden="1" outlineLevel="1" x14ac:dyDescent="0.25">
      <c r="C58" s="212"/>
      <c r="D58" s="108" t="s">
        <v>179</v>
      </c>
      <c r="E58" s="121"/>
      <c r="F58" s="425">
        <v>0.105</v>
      </c>
      <c r="G58" s="109"/>
      <c r="H58" s="110">
        <f>SUMPRODUCT(($F$58=$AC$4:$AC$53)*(H$4:H$53)*($AC$4:$AC$53))</f>
        <v>0</v>
      </c>
      <c r="I58" s="111">
        <f t="shared" ref="I58:Y58" si="11">SUMPRODUCT(($F$58=$AC$4:$AC$53)*(I$4:I$53)*($AC$4:$AC$53))</f>
        <v>0</v>
      </c>
      <c r="J58" s="110">
        <f t="shared" si="11"/>
        <v>0</v>
      </c>
      <c r="K58" s="111">
        <f t="shared" si="11"/>
        <v>0</v>
      </c>
      <c r="L58" s="110">
        <f t="shared" si="11"/>
        <v>0</v>
      </c>
      <c r="M58" s="111">
        <f t="shared" si="11"/>
        <v>0</v>
      </c>
      <c r="N58" s="110">
        <f t="shared" si="11"/>
        <v>0</v>
      </c>
      <c r="O58" s="111">
        <f t="shared" si="11"/>
        <v>0</v>
      </c>
      <c r="P58" s="110">
        <f t="shared" si="11"/>
        <v>0</v>
      </c>
      <c r="Q58" s="111">
        <f t="shared" si="11"/>
        <v>0</v>
      </c>
      <c r="R58" s="110">
        <f t="shared" si="11"/>
        <v>0</v>
      </c>
      <c r="S58" s="111">
        <f t="shared" si="11"/>
        <v>0</v>
      </c>
      <c r="T58" s="110">
        <f t="shared" si="11"/>
        <v>0</v>
      </c>
      <c r="U58" s="111">
        <f t="shared" si="11"/>
        <v>0</v>
      </c>
      <c r="V58" s="110">
        <f t="shared" si="11"/>
        <v>0</v>
      </c>
      <c r="W58" s="111">
        <f t="shared" si="11"/>
        <v>0</v>
      </c>
      <c r="X58" s="110">
        <f t="shared" si="11"/>
        <v>0</v>
      </c>
      <c r="Y58" s="111">
        <f t="shared" si="11"/>
        <v>0</v>
      </c>
      <c r="Z58" s="144">
        <f t="shared" si="3"/>
        <v>0</v>
      </c>
    </row>
    <row r="59" spans="2:31" hidden="1" outlineLevel="1" x14ac:dyDescent="0.25">
      <c r="C59" s="212"/>
      <c r="D59" s="108" t="s">
        <v>179</v>
      </c>
      <c r="E59" s="121"/>
      <c r="F59" s="425">
        <v>0.21</v>
      </c>
      <c r="G59" s="109"/>
      <c r="H59" s="110">
        <f>SUMPRODUCT(($F$59=$AC$4:$AC$53)*(H$4:H$53)*($AC$4:$AC$53))</f>
        <v>0</v>
      </c>
      <c r="I59" s="111">
        <f t="shared" ref="I59:Y59" si="12">SUMPRODUCT(($F$59=$AC$4:$AC$53)*(I$4:I$53)*($AC$4:$AC$53))</f>
        <v>0</v>
      </c>
      <c r="J59" s="110">
        <f t="shared" si="12"/>
        <v>0</v>
      </c>
      <c r="K59" s="111">
        <f t="shared" si="12"/>
        <v>0</v>
      </c>
      <c r="L59" s="110">
        <f t="shared" si="12"/>
        <v>0</v>
      </c>
      <c r="M59" s="111">
        <f t="shared" si="12"/>
        <v>0</v>
      </c>
      <c r="N59" s="110">
        <f t="shared" si="12"/>
        <v>0</v>
      </c>
      <c r="O59" s="111">
        <f t="shared" si="12"/>
        <v>0</v>
      </c>
      <c r="P59" s="110">
        <f t="shared" si="12"/>
        <v>0</v>
      </c>
      <c r="Q59" s="111">
        <f t="shared" si="12"/>
        <v>0</v>
      </c>
      <c r="R59" s="110">
        <f t="shared" si="12"/>
        <v>0</v>
      </c>
      <c r="S59" s="111">
        <f t="shared" si="12"/>
        <v>0</v>
      </c>
      <c r="T59" s="110">
        <f t="shared" si="12"/>
        <v>0</v>
      </c>
      <c r="U59" s="111">
        <f t="shared" si="12"/>
        <v>0</v>
      </c>
      <c r="V59" s="110">
        <f t="shared" si="12"/>
        <v>0</v>
      </c>
      <c r="W59" s="111">
        <f t="shared" si="12"/>
        <v>0</v>
      </c>
      <c r="X59" s="110">
        <f t="shared" si="12"/>
        <v>0</v>
      </c>
      <c r="Y59" s="111">
        <f t="shared" si="12"/>
        <v>0</v>
      </c>
      <c r="Z59" s="144">
        <f t="shared" ref="Z59" si="13">SUM(H59:Y59)</f>
        <v>0</v>
      </c>
    </row>
    <row r="60" spans="2:31" hidden="1" outlineLevel="1" x14ac:dyDescent="0.25">
      <c r="C60" s="212"/>
      <c r="D60" s="108" t="s">
        <v>179</v>
      </c>
      <c r="E60" s="121"/>
      <c r="F60" s="424">
        <v>0.27</v>
      </c>
      <c r="G60" s="109"/>
      <c r="H60" s="110">
        <f>SUMPRODUCT(($F$60=$AC$4:$AC$53)*(H$4:H$53)*($AC$4:$AC$53))</f>
        <v>0</v>
      </c>
      <c r="I60" s="111">
        <f t="shared" ref="I60:Y60" si="14">SUMPRODUCT(($F$60=$AC$4:$AC$53)*(I$4:I$53)*($AC$4:$AC$53))</f>
        <v>0</v>
      </c>
      <c r="J60" s="110">
        <f t="shared" si="14"/>
        <v>0</v>
      </c>
      <c r="K60" s="111">
        <f t="shared" si="14"/>
        <v>0</v>
      </c>
      <c r="L60" s="110">
        <f t="shared" si="14"/>
        <v>0</v>
      </c>
      <c r="M60" s="111">
        <f t="shared" si="14"/>
        <v>0</v>
      </c>
      <c r="N60" s="110">
        <f t="shared" si="14"/>
        <v>0</v>
      </c>
      <c r="O60" s="111">
        <f t="shared" si="14"/>
        <v>0</v>
      </c>
      <c r="P60" s="110">
        <f t="shared" si="14"/>
        <v>0</v>
      </c>
      <c r="Q60" s="111">
        <f t="shared" si="14"/>
        <v>0</v>
      </c>
      <c r="R60" s="110">
        <f t="shared" si="14"/>
        <v>0</v>
      </c>
      <c r="S60" s="111">
        <f t="shared" si="14"/>
        <v>0</v>
      </c>
      <c r="T60" s="110">
        <f t="shared" si="14"/>
        <v>0</v>
      </c>
      <c r="U60" s="111">
        <f t="shared" si="14"/>
        <v>0</v>
      </c>
      <c r="V60" s="110">
        <f t="shared" si="14"/>
        <v>0</v>
      </c>
      <c r="W60" s="111">
        <f t="shared" si="14"/>
        <v>0</v>
      </c>
      <c r="X60" s="110">
        <f t="shared" si="14"/>
        <v>0</v>
      </c>
      <c r="Y60" s="111">
        <f t="shared" si="14"/>
        <v>0</v>
      </c>
      <c r="Z60" s="144">
        <f t="shared" si="3"/>
        <v>0</v>
      </c>
    </row>
    <row r="61" spans="2:31" collapsed="1" x14ac:dyDescent="0.25">
      <c r="C61" s="210" t="s">
        <v>37</v>
      </c>
      <c r="D61" s="151" t="s">
        <v>177</v>
      </c>
      <c r="E61" s="152"/>
      <c r="F61" s="418" t="s">
        <v>181</v>
      </c>
      <c r="G61" s="154"/>
      <c r="H61" s="155">
        <f>SUM(H54:H60)-H57</f>
        <v>0</v>
      </c>
      <c r="I61" s="155">
        <f t="shared" ref="I61:Y61" si="15">SUM(I54:I60)-I57</f>
        <v>0</v>
      </c>
      <c r="J61" s="155">
        <f t="shared" si="15"/>
        <v>0</v>
      </c>
      <c r="K61" s="155">
        <f t="shared" si="15"/>
        <v>0</v>
      </c>
      <c r="L61" s="155">
        <f t="shared" si="15"/>
        <v>0</v>
      </c>
      <c r="M61" s="155">
        <f t="shared" si="15"/>
        <v>0</v>
      </c>
      <c r="N61" s="155">
        <f t="shared" si="15"/>
        <v>0</v>
      </c>
      <c r="O61" s="155">
        <f t="shared" si="15"/>
        <v>0</v>
      </c>
      <c r="P61" s="155">
        <f t="shared" si="15"/>
        <v>0</v>
      </c>
      <c r="Q61" s="155">
        <f t="shared" si="15"/>
        <v>0</v>
      </c>
      <c r="R61" s="155">
        <f t="shared" si="15"/>
        <v>0</v>
      </c>
      <c r="S61" s="155">
        <f t="shared" si="15"/>
        <v>0</v>
      </c>
      <c r="T61" s="155">
        <f t="shared" si="15"/>
        <v>0</v>
      </c>
      <c r="U61" s="155">
        <f t="shared" si="15"/>
        <v>0</v>
      </c>
      <c r="V61" s="155">
        <f t="shared" si="15"/>
        <v>0</v>
      </c>
      <c r="W61" s="155">
        <f t="shared" si="15"/>
        <v>0</v>
      </c>
      <c r="X61" s="155">
        <f t="shared" si="15"/>
        <v>0</v>
      </c>
      <c r="Y61" s="155">
        <f t="shared" si="15"/>
        <v>0</v>
      </c>
      <c r="Z61" s="156">
        <f t="shared" ref="Z61" si="16">SUM(H61:Y61)</f>
        <v>0</v>
      </c>
    </row>
    <row r="62" spans="2:31" hidden="1" outlineLevel="1" x14ac:dyDescent="0.25">
      <c r="C62" s="210" t="s">
        <v>38</v>
      </c>
      <c r="D62" s="108" t="s">
        <v>41</v>
      </c>
      <c r="E62" s="121"/>
      <c r="F62" s="424">
        <v>0.02</v>
      </c>
      <c r="G62" s="109"/>
      <c r="H62" s="110">
        <f>-H54*$F$62</f>
        <v>0</v>
      </c>
      <c r="I62" s="111">
        <f t="shared" ref="I62:Y62" si="17">-I54*$F$62</f>
        <v>0</v>
      </c>
      <c r="J62" s="110">
        <f t="shared" si="17"/>
        <v>0</v>
      </c>
      <c r="K62" s="111">
        <f t="shared" si="17"/>
        <v>0</v>
      </c>
      <c r="L62" s="110">
        <f t="shared" si="17"/>
        <v>0</v>
      </c>
      <c r="M62" s="111">
        <f t="shared" si="17"/>
        <v>0</v>
      </c>
      <c r="N62" s="110">
        <f t="shared" si="17"/>
        <v>0</v>
      </c>
      <c r="O62" s="111">
        <f t="shared" si="17"/>
        <v>0</v>
      </c>
      <c r="P62" s="110">
        <f t="shared" si="17"/>
        <v>0</v>
      </c>
      <c r="Q62" s="111">
        <f t="shared" si="17"/>
        <v>0</v>
      </c>
      <c r="R62" s="110">
        <f t="shared" si="17"/>
        <v>0</v>
      </c>
      <c r="S62" s="111">
        <f t="shared" si="17"/>
        <v>0</v>
      </c>
      <c r="T62" s="110">
        <f t="shared" si="17"/>
        <v>0</v>
      </c>
      <c r="U62" s="111">
        <f t="shared" si="17"/>
        <v>0</v>
      </c>
      <c r="V62" s="110">
        <f t="shared" si="17"/>
        <v>0</v>
      </c>
      <c r="W62" s="111">
        <f t="shared" si="17"/>
        <v>0</v>
      </c>
      <c r="X62" s="110">
        <f t="shared" ref="X62" si="18">-X54*$F$62</f>
        <v>0</v>
      </c>
      <c r="Y62" s="111">
        <f t="shared" si="17"/>
        <v>0</v>
      </c>
      <c r="Z62" s="144">
        <f t="shared" si="3"/>
        <v>0</v>
      </c>
      <c r="AE62" s="169" t="s">
        <v>216</v>
      </c>
    </row>
    <row r="63" spans="2:31" hidden="1" outlineLevel="1" x14ac:dyDescent="0.25">
      <c r="C63" s="210" t="s">
        <v>38</v>
      </c>
      <c r="D63" s="108" t="s">
        <v>40</v>
      </c>
      <c r="E63" s="121"/>
      <c r="F63" s="424">
        <v>0.01</v>
      </c>
      <c r="G63" s="109"/>
      <c r="H63" s="110">
        <f>-H54*$F$63</f>
        <v>0</v>
      </c>
      <c r="I63" s="111">
        <f t="shared" ref="I63:Y63" si="19">-I54*$F$63</f>
        <v>0</v>
      </c>
      <c r="J63" s="110">
        <f t="shared" si="19"/>
        <v>0</v>
      </c>
      <c r="K63" s="111">
        <f t="shared" si="19"/>
        <v>0</v>
      </c>
      <c r="L63" s="110">
        <f t="shared" si="19"/>
        <v>0</v>
      </c>
      <c r="M63" s="111">
        <f t="shared" si="19"/>
        <v>0</v>
      </c>
      <c r="N63" s="110">
        <f t="shared" si="19"/>
        <v>0</v>
      </c>
      <c r="O63" s="111">
        <f t="shared" si="19"/>
        <v>0</v>
      </c>
      <c r="P63" s="110">
        <f t="shared" si="19"/>
        <v>0</v>
      </c>
      <c r="Q63" s="111">
        <f t="shared" si="19"/>
        <v>0</v>
      </c>
      <c r="R63" s="110">
        <f t="shared" si="19"/>
        <v>0</v>
      </c>
      <c r="S63" s="111">
        <f t="shared" si="19"/>
        <v>0</v>
      </c>
      <c r="T63" s="110">
        <f t="shared" si="19"/>
        <v>0</v>
      </c>
      <c r="U63" s="111">
        <f t="shared" si="19"/>
        <v>0</v>
      </c>
      <c r="V63" s="110">
        <f t="shared" si="19"/>
        <v>0</v>
      </c>
      <c r="W63" s="111">
        <f t="shared" si="19"/>
        <v>0</v>
      </c>
      <c r="X63" s="110">
        <f t="shared" ref="X63" si="20">-X54*$F$63</f>
        <v>0</v>
      </c>
      <c r="Y63" s="111">
        <f t="shared" si="19"/>
        <v>0</v>
      </c>
      <c r="Z63" s="144">
        <f t="shared" si="3"/>
        <v>0</v>
      </c>
    </row>
    <row r="64" spans="2:31" hidden="1" outlineLevel="1" x14ac:dyDescent="0.25">
      <c r="C64" s="210" t="s">
        <v>38</v>
      </c>
      <c r="D64" s="108" t="s">
        <v>183</v>
      </c>
      <c r="E64" s="121"/>
      <c r="F64" s="424">
        <v>1.2E-2</v>
      </c>
      <c r="G64" s="109"/>
      <c r="H64" s="110">
        <f>-H61*$F$64</f>
        <v>0</v>
      </c>
      <c r="I64" s="111">
        <f t="shared" ref="I64:Y64" si="21">-I61*$F$64</f>
        <v>0</v>
      </c>
      <c r="J64" s="110">
        <f t="shared" si="21"/>
        <v>0</v>
      </c>
      <c r="K64" s="111">
        <f t="shared" si="21"/>
        <v>0</v>
      </c>
      <c r="L64" s="110">
        <f t="shared" si="21"/>
        <v>0</v>
      </c>
      <c r="M64" s="111">
        <f t="shared" si="21"/>
        <v>0</v>
      </c>
      <c r="N64" s="110">
        <f t="shared" si="21"/>
        <v>0</v>
      </c>
      <c r="O64" s="111">
        <f t="shared" si="21"/>
        <v>0</v>
      </c>
      <c r="P64" s="110">
        <f t="shared" si="21"/>
        <v>0</v>
      </c>
      <c r="Q64" s="111">
        <f t="shared" si="21"/>
        <v>0</v>
      </c>
      <c r="R64" s="110">
        <f t="shared" si="21"/>
        <v>0</v>
      </c>
      <c r="S64" s="111">
        <f t="shared" si="21"/>
        <v>0</v>
      </c>
      <c r="T64" s="110">
        <f t="shared" si="21"/>
        <v>0</v>
      </c>
      <c r="U64" s="111">
        <f t="shared" si="21"/>
        <v>0</v>
      </c>
      <c r="V64" s="110">
        <f t="shared" si="21"/>
        <v>0</v>
      </c>
      <c r="W64" s="111">
        <f t="shared" si="21"/>
        <v>0</v>
      </c>
      <c r="X64" s="110">
        <f t="shared" ref="X64" si="22">-X61*$F$64</f>
        <v>0</v>
      </c>
      <c r="Y64" s="111">
        <f t="shared" si="21"/>
        <v>0</v>
      </c>
      <c r="Z64" s="144">
        <f t="shared" si="3"/>
        <v>0</v>
      </c>
    </row>
    <row r="65" spans="2:30" collapsed="1" x14ac:dyDescent="0.25">
      <c r="C65" s="210" t="s">
        <v>37</v>
      </c>
      <c r="D65" s="157" t="s">
        <v>177</v>
      </c>
      <c r="E65" s="158"/>
      <c r="F65" s="419" t="s">
        <v>182</v>
      </c>
      <c r="G65" s="160"/>
      <c r="H65" s="161">
        <f>SUM(H61:H64)</f>
        <v>0</v>
      </c>
      <c r="I65" s="161">
        <f t="shared" ref="I65:Y65" si="23">SUM(I61:I64)</f>
        <v>0</v>
      </c>
      <c r="J65" s="161">
        <f t="shared" si="23"/>
        <v>0</v>
      </c>
      <c r="K65" s="161">
        <f t="shared" si="23"/>
        <v>0</v>
      </c>
      <c r="L65" s="161">
        <f t="shared" si="23"/>
        <v>0</v>
      </c>
      <c r="M65" s="161">
        <f t="shared" si="23"/>
        <v>0</v>
      </c>
      <c r="N65" s="161">
        <f t="shared" si="23"/>
        <v>0</v>
      </c>
      <c r="O65" s="161">
        <f t="shared" si="23"/>
        <v>0</v>
      </c>
      <c r="P65" s="161">
        <f t="shared" si="23"/>
        <v>0</v>
      </c>
      <c r="Q65" s="161">
        <f t="shared" si="23"/>
        <v>0</v>
      </c>
      <c r="R65" s="161">
        <f t="shared" si="23"/>
        <v>0</v>
      </c>
      <c r="S65" s="161">
        <f t="shared" si="23"/>
        <v>0</v>
      </c>
      <c r="T65" s="161">
        <f t="shared" si="23"/>
        <v>0</v>
      </c>
      <c r="U65" s="161">
        <f t="shared" si="23"/>
        <v>0</v>
      </c>
      <c r="V65" s="161">
        <f t="shared" si="23"/>
        <v>0</v>
      </c>
      <c r="W65" s="161">
        <f t="shared" si="23"/>
        <v>0</v>
      </c>
      <c r="X65" s="161">
        <f t="shared" si="23"/>
        <v>0</v>
      </c>
      <c r="Y65" s="161">
        <f t="shared" si="23"/>
        <v>0</v>
      </c>
      <c r="Z65" s="162">
        <f t="shared" si="3"/>
        <v>0</v>
      </c>
    </row>
    <row r="66" spans="2:30" x14ac:dyDescent="0.25">
      <c r="C66" s="212"/>
      <c r="D66" s="108"/>
      <c r="E66" s="121"/>
      <c r="F66" s="9"/>
      <c r="G66" s="109"/>
      <c r="H66" s="110"/>
      <c r="I66" s="111"/>
      <c r="J66" s="110"/>
      <c r="K66" s="111"/>
      <c r="L66" s="110"/>
      <c r="M66" s="111"/>
      <c r="N66" s="110"/>
      <c r="O66" s="111"/>
      <c r="P66" s="110"/>
      <c r="Q66" s="111"/>
      <c r="R66" s="110"/>
      <c r="S66" s="111"/>
      <c r="T66" s="110"/>
      <c r="U66" s="111"/>
      <c r="V66" s="110"/>
      <c r="W66" s="111"/>
      <c r="X66" s="110"/>
      <c r="Y66" s="111"/>
      <c r="Z66" s="145"/>
    </row>
    <row r="67" spans="2:30" x14ac:dyDescent="0.25">
      <c r="C67" s="210" t="s">
        <v>38</v>
      </c>
      <c r="D67" s="381" t="s">
        <v>102</v>
      </c>
      <c r="F67" s="417" t="s">
        <v>184</v>
      </c>
      <c r="G67" s="109"/>
      <c r="H67" s="112">
        <f>SUMPRODUCT(($C$67=Comercial_Agricola[Movimiento])*(Comercial_Agricola[Financiero U$S Dólares])*(H$1=Comercial_Agricola[Mes Financiero])*(H$2=Comercial_Agricola[Año Financiero]))</f>
        <v>0</v>
      </c>
      <c r="I67" s="113">
        <f>SUMPRODUCT(($C$67=Comercial_Agricola[Movimiento])*(Comercial_Agricola[Financiero U$S Dólares])*(I$1=Comercial_Agricola[Mes Financiero])*(I$2=Comercial_Agricola[Año Financiero]))</f>
        <v>0</v>
      </c>
      <c r="J67" s="112">
        <f>SUMPRODUCT(($C$67=Comercial_Agricola[Movimiento])*(Comercial_Agricola[Financiero U$S Dólares])*(J$1=Comercial_Agricola[Mes Financiero])*(J$2=Comercial_Agricola[Año Financiero]))</f>
        <v>0</v>
      </c>
      <c r="K67" s="113">
        <f>SUMPRODUCT(($C$67=Comercial_Agricola[Movimiento])*(Comercial_Agricola[Financiero U$S Dólares])*(K$1=Comercial_Agricola[Mes Financiero])*(K$2=Comercial_Agricola[Año Financiero]))</f>
        <v>0</v>
      </c>
      <c r="L67" s="112">
        <f>SUMPRODUCT(($C$67=Comercial_Agricola[Movimiento])*(Comercial_Agricola[Financiero U$S Dólares])*(L$1=Comercial_Agricola[Mes Financiero])*(L$2=Comercial_Agricola[Año Financiero]))</f>
        <v>0</v>
      </c>
      <c r="M67" s="113">
        <f>SUMPRODUCT(($C$67=Comercial_Agricola[Movimiento])*(Comercial_Agricola[Financiero U$S Dólares])*(M$1=Comercial_Agricola[Mes Financiero])*(M$2=Comercial_Agricola[Año Financiero]))</f>
        <v>0</v>
      </c>
      <c r="N67" s="112">
        <f>SUMPRODUCT(($C$67=Comercial_Agricola[Movimiento])*(Comercial_Agricola[Financiero U$S Dólares])*(N$1=Comercial_Agricola[Mes Financiero])*(N$2=Comercial_Agricola[Año Financiero]))</f>
        <v>0</v>
      </c>
      <c r="O67" s="113">
        <f>SUMPRODUCT(($C$67=Comercial_Agricola[Movimiento])*(Comercial_Agricola[Financiero U$S Dólares])*(O$1=Comercial_Agricola[Mes Financiero])*(O$2=Comercial_Agricola[Año Financiero]))</f>
        <v>0</v>
      </c>
      <c r="P67" s="112">
        <f>SUMPRODUCT(($C$67=Comercial_Agricola[Movimiento])*(Comercial_Agricola[Financiero U$S Dólares])*(P$1=Comercial_Agricola[Mes Financiero])*(P$2=Comercial_Agricola[Año Financiero]))</f>
        <v>0</v>
      </c>
      <c r="Q67" s="113">
        <f>SUMPRODUCT(($C$67=Comercial_Agricola[Movimiento])*(Comercial_Agricola[Financiero U$S Dólares])*(Q$1=Comercial_Agricola[Mes Financiero])*(Q$2=Comercial_Agricola[Año Financiero]))</f>
        <v>0</v>
      </c>
      <c r="R67" s="112">
        <f>SUMPRODUCT(($C$67=Comercial_Agricola[Movimiento])*(Comercial_Agricola[Financiero U$S Dólares])*(R$1=Comercial_Agricola[Mes Financiero])*(R$2=Comercial_Agricola[Año Financiero]))</f>
        <v>0</v>
      </c>
      <c r="S67" s="113">
        <f>SUMPRODUCT(($C$67=Comercial_Agricola[Movimiento])*(Comercial_Agricola[Financiero U$S Dólares])*(S$1=Comercial_Agricola[Mes Financiero])*(S$2=Comercial_Agricola[Año Financiero]))</f>
        <v>0</v>
      </c>
      <c r="T67" s="112">
        <f>SUMPRODUCT(($C$67=Comercial_Agricola[Movimiento])*(Comercial_Agricola[Financiero U$S Dólares])*(T$1=Comercial_Agricola[Mes Financiero])*(T$2=Comercial_Agricola[Año Financiero]))</f>
        <v>0</v>
      </c>
      <c r="U67" s="113">
        <f>SUMPRODUCT(($C$67=Comercial_Agricola[Movimiento])*(Comercial_Agricola[Financiero U$S Dólares])*(U$1=Comercial_Agricola[Mes Financiero])*(U$2=Comercial_Agricola[Año Financiero]))</f>
        <v>0</v>
      </c>
      <c r="V67" s="112">
        <f>SUMPRODUCT(($C$67=Comercial_Agricola[Movimiento])*(Comercial_Agricola[Financiero U$S Dólares])*(V$1=Comercial_Agricola[Mes Financiero])*(V$2=Comercial_Agricola[Año Financiero]))</f>
        <v>0</v>
      </c>
      <c r="W67" s="113">
        <f>SUMPRODUCT(($C$67=Comercial_Agricola[Movimiento])*(Comercial_Agricola[Financiero U$S Dólares])*(W$1=Comercial_Agricola[Mes Financiero])*(W$2=Comercial_Agricola[Año Financiero]))</f>
        <v>0</v>
      </c>
      <c r="X67" s="112">
        <f>SUMPRODUCT(($C$67=Comercial_Agricola[Movimiento])*(Comercial_Agricola[Financiero U$S Dólares])*(X$1=Comercial_Agricola[Mes Financiero])*(X$2=Comercial_Agricola[Año Financiero]))</f>
        <v>0</v>
      </c>
      <c r="Y67" s="113">
        <f>SUMPRODUCT(($C$67=Comercial_Agricola[Movimiento])*(Comercial_Agricola[Financiero U$S Dólares])*(Y$1=Comercial_Agricola[Mes Financiero])*(Y$2=Comercial_Agricola[Año Financiero]))</f>
        <v>0</v>
      </c>
      <c r="Z67" s="139">
        <f>SUM(H67:Y67)</f>
        <v>0</v>
      </c>
    </row>
    <row r="68" spans="2:30" hidden="1" outlineLevel="2" x14ac:dyDescent="0.25">
      <c r="E68" s="121"/>
      <c r="F68" s="215">
        <f>IFERROR(MATCH('Financiero U$S'!G68,Tabla811[Producto],0),0)</f>
        <v>1</v>
      </c>
      <c r="G68" s="407" t="str">
        <f t="shared" ref="G68:G77" si="24">G5</f>
        <v>Soja</v>
      </c>
      <c r="H68" s="391">
        <f>SUMPRODUCT(($C$67=Comercial_Agricola[Movimiento])*(Comercial_Agricola[Financiero U$S Dólares])*($G68=Comercial_Agricola[Producto])*(H$1=Comercial_Agricola[Mes Financiero])*(H$2=Comercial_Agricola[Año Financiero]))</f>
        <v>0</v>
      </c>
      <c r="I68" s="390">
        <f>SUMPRODUCT(($C$67=Comercial_Agricola[Movimiento])*(Comercial_Agricola[Financiero U$S Dólares])*($G68=Comercial_Agricola[Producto])*(I$1=Comercial_Agricola[Mes Financiero])*(I$2=Comercial_Agricola[Año Financiero]))</f>
        <v>0</v>
      </c>
      <c r="J68" s="391">
        <f>SUMPRODUCT(($C$67=Comercial_Agricola[Movimiento])*(Comercial_Agricola[Financiero U$S Dólares])*($G68=Comercial_Agricola[Producto])*(J$1=Comercial_Agricola[Mes Financiero])*(J$2=Comercial_Agricola[Año Financiero]))</f>
        <v>0</v>
      </c>
      <c r="K68" s="390">
        <f>SUMPRODUCT(($C$67=Comercial_Agricola[Movimiento])*(Comercial_Agricola[Financiero U$S Dólares])*($G68=Comercial_Agricola[Producto])*(K$1=Comercial_Agricola[Mes Financiero])*(K$2=Comercial_Agricola[Año Financiero]))</f>
        <v>0</v>
      </c>
      <c r="L68" s="391">
        <f>SUMPRODUCT(($C$67=Comercial_Agricola[Movimiento])*(Comercial_Agricola[Financiero U$S Dólares])*($G68=Comercial_Agricola[Producto])*(L$1=Comercial_Agricola[Mes Financiero])*(L$2=Comercial_Agricola[Año Financiero]))</f>
        <v>0</v>
      </c>
      <c r="M68" s="390">
        <f>SUMPRODUCT(($C$67=Comercial_Agricola[Movimiento])*(Comercial_Agricola[Financiero U$S Dólares])*($G68=Comercial_Agricola[Producto])*(M$1=Comercial_Agricola[Mes Financiero])*(M$2=Comercial_Agricola[Año Financiero]))</f>
        <v>0</v>
      </c>
      <c r="N68" s="391">
        <f>SUMPRODUCT(($C$67=Comercial_Agricola[Movimiento])*(Comercial_Agricola[Financiero U$S Dólares])*($G68=Comercial_Agricola[Producto])*(N$1=Comercial_Agricola[Mes Financiero])*(N$2=Comercial_Agricola[Año Financiero]))</f>
        <v>0</v>
      </c>
      <c r="O68" s="390">
        <f>SUMPRODUCT(($C$67=Comercial_Agricola[Movimiento])*(Comercial_Agricola[Financiero U$S Dólares])*($G68=Comercial_Agricola[Producto])*(O$1=Comercial_Agricola[Mes Financiero])*(O$2=Comercial_Agricola[Año Financiero]))</f>
        <v>0</v>
      </c>
      <c r="P68" s="391">
        <f>SUMPRODUCT(($C$67=Comercial_Agricola[Movimiento])*(Comercial_Agricola[Financiero U$S Dólares])*($G68=Comercial_Agricola[Producto])*(P$1=Comercial_Agricola[Mes Financiero])*(P$2=Comercial_Agricola[Año Financiero]))</f>
        <v>0</v>
      </c>
      <c r="Q68" s="390">
        <f>SUMPRODUCT(($C$67=Comercial_Agricola[Movimiento])*(Comercial_Agricola[Financiero U$S Dólares])*($G68=Comercial_Agricola[Producto])*(Q$1=Comercial_Agricola[Mes Financiero])*(Q$2=Comercial_Agricola[Año Financiero]))</f>
        <v>0</v>
      </c>
      <c r="R68" s="391">
        <f>SUMPRODUCT(($C$67=Comercial_Agricola[Movimiento])*(Comercial_Agricola[Financiero U$S Dólares])*($G68=Comercial_Agricola[Producto])*(R$1=Comercial_Agricola[Mes Financiero])*(R$2=Comercial_Agricola[Año Financiero]))</f>
        <v>0</v>
      </c>
      <c r="S68" s="390">
        <f>SUMPRODUCT(($C$67=Comercial_Agricola[Movimiento])*(Comercial_Agricola[Financiero U$S Dólares])*($G68=Comercial_Agricola[Producto])*(S$1=Comercial_Agricola[Mes Financiero])*(S$2=Comercial_Agricola[Año Financiero]))</f>
        <v>0</v>
      </c>
      <c r="T68" s="391">
        <f>SUMPRODUCT(($C$67=Comercial_Agricola[Movimiento])*(Comercial_Agricola[Financiero U$S Dólares])*($G68=Comercial_Agricola[Producto])*(T$1=Comercial_Agricola[Mes Financiero])*(T$2=Comercial_Agricola[Año Financiero]))</f>
        <v>0</v>
      </c>
      <c r="U68" s="390">
        <f>SUMPRODUCT(($C$67=Comercial_Agricola[Movimiento])*(Comercial_Agricola[Financiero U$S Dólares])*($G68=Comercial_Agricola[Producto])*(U$1=Comercial_Agricola[Mes Financiero])*(U$2=Comercial_Agricola[Año Financiero]))</f>
        <v>0</v>
      </c>
      <c r="V68" s="391">
        <f>SUMPRODUCT(($C$67=Comercial_Agricola[Movimiento])*(Comercial_Agricola[Financiero U$S Dólares])*($G68=Comercial_Agricola[Producto])*(V$1=Comercial_Agricola[Mes Financiero])*(V$2=Comercial_Agricola[Año Financiero]))</f>
        <v>0</v>
      </c>
      <c r="W68" s="390">
        <f>SUMPRODUCT(($C$67=Comercial_Agricola[Movimiento])*(Comercial_Agricola[Financiero U$S Dólares])*($G68=Comercial_Agricola[Producto])*(W$1=Comercial_Agricola[Mes Financiero])*(W$2=Comercial_Agricola[Año Financiero]))</f>
        <v>0</v>
      </c>
      <c r="X68" s="391">
        <f>SUMPRODUCT(($C$67=Comercial_Agricola[Movimiento])*(Comercial_Agricola[Financiero U$S Dólares])*($G68=Comercial_Agricola[Producto])*(X$1=Comercial_Agricola[Mes Financiero])*(X$2=Comercial_Agricola[Año Financiero]))</f>
        <v>0</v>
      </c>
      <c r="Y68" s="390">
        <f>SUMPRODUCT(($C$67=Comercial_Agricola[Movimiento])*(Comercial_Agricola[Financiero U$S Dólares])*($G68=Comercial_Agricola[Producto])*(Y$1=Comercial_Agricola[Mes Financiero])*(Y$2=Comercial_Agricola[Año Financiero]))</f>
        <v>0</v>
      </c>
      <c r="Z68" s="396"/>
    </row>
    <row r="69" spans="2:30" hidden="1" outlineLevel="2" x14ac:dyDescent="0.25">
      <c r="E69" s="121"/>
      <c r="F69" s="215">
        <f>IFERROR(MATCH('Financiero U$S'!G69,Tabla811[Producto],0),0)</f>
        <v>2</v>
      </c>
      <c r="G69" s="407" t="str">
        <f t="shared" si="24"/>
        <v>Maíz</v>
      </c>
      <c r="H69" s="391">
        <f>SUMPRODUCT(($C$67=Comercial_Agricola[Movimiento])*(Comercial_Agricola[Financiero U$S Dólares])*($G69=Comercial_Agricola[Producto])*(H$1=Comercial_Agricola[Mes Financiero])*(H$2=Comercial_Agricola[Año Financiero]))</f>
        <v>0</v>
      </c>
      <c r="I69" s="390">
        <f>SUMPRODUCT(($C$67=Comercial_Agricola[Movimiento])*(Comercial_Agricola[Financiero U$S Dólares])*($G69=Comercial_Agricola[Producto])*(I$1=Comercial_Agricola[Mes Financiero])*(I$2=Comercial_Agricola[Año Financiero]))</f>
        <v>0</v>
      </c>
      <c r="J69" s="391">
        <f>SUMPRODUCT(($C$67=Comercial_Agricola[Movimiento])*(Comercial_Agricola[Financiero U$S Dólares])*($G69=Comercial_Agricola[Producto])*(J$1=Comercial_Agricola[Mes Financiero])*(J$2=Comercial_Agricola[Año Financiero]))</f>
        <v>0</v>
      </c>
      <c r="K69" s="390">
        <f>SUMPRODUCT(($C$67=Comercial_Agricola[Movimiento])*(Comercial_Agricola[Financiero U$S Dólares])*($G69=Comercial_Agricola[Producto])*(K$1=Comercial_Agricola[Mes Financiero])*(K$2=Comercial_Agricola[Año Financiero]))</f>
        <v>0</v>
      </c>
      <c r="L69" s="391">
        <f>SUMPRODUCT(($C$67=Comercial_Agricola[Movimiento])*(Comercial_Agricola[Financiero U$S Dólares])*($G69=Comercial_Agricola[Producto])*(L$1=Comercial_Agricola[Mes Financiero])*(L$2=Comercial_Agricola[Año Financiero]))</f>
        <v>0</v>
      </c>
      <c r="M69" s="390">
        <f>SUMPRODUCT(($C$67=Comercial_Agricola[Movimiento])*(Comercial_Agricola[Financiero U$S Dólares])*($G69=Comercial_Agricola[Producto])*(M$1=Comercial_Agricola[Mes Financiero])*(M$2=Comercial_Agricola[Año Financiero]))</f>
        <v>0</v>
      </c>
      <c r="N69" s="391">
        <f>SUMPRODUCT(($C$67=Comercial_Agricola[Movimiento])*(Comercial_Agricola[Financiero U$S Dólares])*($G69=Comercial_Agricola[Producto])*(N$1=Comercial_Agricola[Mes Financiero])*(N$2=Comercial_Agricola[Año Financiero]))</f>
        <v>0</v>
      </c>
      <c r="O69" s="390">
        <f>SUMPRODUCT(($C$67=Comercial_Agricola[Movimiento])*(Comercial_Agricola[Financiero U$S Dólares])*($G69=Comercial_Agricola[Producto])*(O$1=Comercial_Agricola[Mes Financiero])*(O$2=Comercial_Agricola[Año Financiero]))</f>
        <v>0</v>
      </c>
      <c r="P69" s="391">
        <f>SUMPRODUCT(($C$67=Comercial_Agricola[Movimiento])*(Comercial_Agricola[Financiero U$S Dólares])*($G69=Comercial_Agricola[Producto])*(P$1=Comercial_Agricola[Mes Financiero])*(P$2=Comercial_Agricola[Año Financiero]))</f>
        <v>0</v>
      </c>
      <c r="Q69" s="390">
        <f>SUMPRODUCT(($C$67=Comercial_Agricola[Movimiento])*(Comercial_Agricola[Financiero U$S Dólares])*($G69=Comercial_Agricola[Producto])*(Q$1=Comercial_Agricola[Mes Financiero])*(Q$2=Comercial_Agricola[Año Financiero]))</f>
        <v>0</v>
      </c>
      <c r="R69" s="391">
        <f>SUMPRODUCT(($C$67=Comercial_Agricola[Movimiento])*(Comercial_Agricola[Financiero U$S Dólares])*($G69=Comercial_Agricola[Producto])*(R$1=Comercial_Agricola[Mes Financiero])*(R$2=Comercial_Agricola[Año Financiero]))</f>
        <v>0</v>
      </c>
      <c r="S69" s="390">
        <f>SUMPRODUCT(($C$67=Comercial_Agricola[Movimiento])*(Comercial_Agricola[Financiero U$S Dólares])*($G69=Comercial_Agricola[Producto])*(S$1=Comercial_Agricola[Mes Financiero])*(S$2=Comercial_Agricola[Año Financiero]))</f>
        <v>0</v>
      </c>
      <c r="T69" s="391">
        <f>SUMPRODUCT(($C$67=Comercial_Agricola[Movimiento])*(Comercial_Agricola[Financiero U$S Dólares])*($G69=Comercial_Agricola[Producto])*(T$1=Comercial_Agricola[Mes Financiero])*(T$2=Comercial_Agricola[Año Financiero]))</f>
        <v>0</v>
      </c>
      <c r="U69" s="390">
        <f>SUMPRODUCT(($C$67=Comercial_Agricola[Movimiento])*(Comercial_Agricola[Financiero U$S Dólares])*($G69=Comercial_Agricola[Producto])*(U$1=Comercial_Agricola[Mes Financiero])*(U$2=Comercial_Agricola[Año Financiero]))</f>
        <v>0</v>
      </c>
      <c r="V69" s="391">
        <f>SUMPRODUCT(($C$67=Comercial_Agricola[Movimiento])*(Comercial_Agricola[Financiero U$S Dólares])*($G69=Comercial_Agricola[Producto])*(V$1=Comercial_Agricola[Mes Financiero])*(V$2=Comercial_Agricola[Año Financiero]))</f>
        <v>0</v>
      </c>
      <c r="W69" s="390">
        <f>SUMPRODUCT(($C$67=Comercial_Agricola[Movimiento])*(Comercial_Agricola[Financiero U$S Dólares])*($G69=Comercial_Agricola[Producto])*(W$1=Comercial_Agricola[Mes Financiero])*(W$2=Comercial_Agricola[Año Financiero]))</f>
        <v>0</v>
      </c>
      <c r="X69" s="391">
        <f>SUMPRODUCT(($C$67=Comercial_Agricola[Movimiento])*(Comercial_Agricola[Financiero U$S Dólares])*($G69=Comercial_Agricola[Producto])*(X$1=Comercial_Agricola[Mes Financiero])*(X$2=Comercial_Agricola[Año Financiero]))</f>
        <v>0</v>
      </c>
      <c r="Y69" s="390">
        <f>SUMPRODUCT(($C$67=Comercial_Agricola[Movimiento])*(Comercial_Agricola[Financiero U$S Dólares])*($G69=Comercial_Agricola[Producto])*(Y$1=Comercial_Agricola[Mes Financiero])*(Y$2=Comercial_Agricola[Año Financiero]))</f>
        <v>0</v>
      </c>
      <c r="Z69" s="396"/>
    </row>
    <row r="70" spans="2:30" hidden="1" outlineLevel="2" x14ac:dyDescent="0.25">
      <c r="E70" s="121"/>
      <c r="F70" s="215">
        <f>IFERROR(MATCH('Financiero U$S'!G70,Tabla811[Producto],0),0)</f>
        <v>3</v>
      </c>
      <c r="G70" s="407" t="str">
        <f t="shared" si="24"/>
        <v>Girasol</v>
      </c>
      <c r="H70" s="391">
        <f>SUMPRODUCT(($C$67=Comercial_Agricola[Movimiento])*(Comercial_Agricola[Financiero U$S Dólares])*($G70=Comercial_Agricola[Producto])*(H$1=Comercial_Agricola[Mes Financiero])*(H$2=Comercial_Agricola[Año Financiero]))</f>
        <v>0</v>
      </c>
      <c r="I70" s="390">
        <f>SUMPRODUCT(($C$67=Comercial_Agricola[Movimiento])*(Comercial_Agricola[Financiero U$S Dólares])*($G70=Comercial_Agricola[Producto])*(I$1=Comercial_Agricola[Mes Financiero])*(I$2=Comercial_Agricola[Año Financiero]))</f>
        <v>0</v>
      </c>
      <c r="J70" s="391">
        <f>SUMPRODUCT(($C$67=Comercial_Agricola[Movimiento])*(Comercial_Agricola[Financiero U$S Dólares])*($G70=Comercial_Agricola[Producto])*(J$1=Comercial_Agricola[Mes Financiero])*(J$2=Comercial_Agricola[Año Financiero]))</f>
        <v>0</v>
      </c>
      <c r="K70" s="390">
        <f>SUMPRODUCT(($C$67=Comercial_Agricola[Movimiento])*(Comercial_Agricola[Financiero U$S Dólares])*($G70=Comercial_Agricola[Producto])*(K$1=Comercial_Agricola[Mes Financiero])*(K$2=Comercial_Agricola[Año Financiero]))</f>
        <v>0</v>
      </c>
      <c r="L70" s="391">
        <f>SUMPRODUCT(($C$67=Comercial_Agricola[Movimiento])*(Comercial_Agricola[Financiero U$S Dólares])*($G70=Comercial_Agricola[Producto])*(L$1=Comercial_Agricola[Mes Financiero])*(L$2=Comercial_Agricola[Año Financiero]))</f>
        <v>0</v>
      </c>
      <c r="M70" s="390">
        <f>SUMPRODUCT(($C$67=Comercial_Agricola[Movimiento])*(Comercial_Agricola[Financiero U$S Dólares])*($G70=Comercial_Agricola[Producto])*(M$1=Comercial_Agricola[Mes Financiero])*(M$2=Comercial_Agricola[Año Financiero]))</f>
        <v>0</v>
      </c>
      <c r="N70" s="391">
        <f>SUMPRODUCT(($C$67=Comercial_Agricola[Movimiento])*(Comercial_Agricola[Financiero U$S Dólares])*($G70=Comercial_Agricola[Producto])*(N$1=Comercial_Agricola[Mes Financiero])*(N$2=Comercial_Agricola[Año Financiero]))</f>
        <v>0</v>
      </c>
      <c r="O70" s="390">
        <f>SUMPRODUCT(($C$67=Comercial_Agricola[Movimiento])*(Comercial_Agricola[Financiero U$S Dólares])*($G70=Comercial_Agricola[Producto])*(O$1=Comercial_Agricola[Mes Financiero])*(O$2=Comercial_Agricola[Año Financiero]))</f>
        <v>0</v>
      </c>
      <c r="P70" s="391">
        <f>SUMPRODUCT(($C$67=Comercial_Agricola[Movimiento])*(Comercial_Agricola[Financiero U$S Dólares])*($G70=Comercial_Agricola[Producto])*(P$1=Comercial_Agricola[Mes Financiero])*(P$2=Comercial_Agricola[Año Financiero]))</f>
        <v>0</v>
      </c>
      <c r="Q70" s="390">
        <f>SUMPRODUCT(($C$67=Comercial_Agricola[Movimiento])*(Comercial_Agricola[Financiero U$S Dólares])*($G70=Comercial_Agricola[Producto])*(Q$1=Comercial_Agricola[Mes Financiero])*(Q$2=Comercial_Agricola[Año Financiero]))</f>
        <v>0</v>
      </c>
      <c r="R70" s="391">
        <f>SUMPRODUCT(($C$67=Comercial_Agricola[Movimiento])*(Comercial_Agricola[Financiero U$S Dólares])*($G70=Comercial_Agricola[Producto])*(R$1=Comercial_Agricola[Mes Financiero])*(R$2=Comercial_Agricola[Año Financiero]))</f>
        <v>0</v>
      </c>
      <c r="S70" s="390">
        <f>SUMPRODUCT(($C$67=Comercial_Agricola[Movimiento])*(Comercial_Agricola[Financiero U$S Dólares])*($G70=Comercial_Agricola[Producto])*(S$1=Comercial_Agricola[Mes Financiero])*(S$2=Comercial_Agricola[Año Financiero]))</f>
        <v>0</v>
      </c>
      <c r="T70" s="391">
        <f>SUMPRODUCT(($C$67=Comercial_Agricola[Movimiento])*(Comercial_Agricola[Financiero U$S Dólares])*($G70=Comercial_Agricola[Producto])*(T$1=Comercial_Agricola[Mes Financiero])*(T$2=Comercial_Agricola[Año Financiero]))</f>
        <v>0</v>
      </c>
      <c r="U70" s="390">
        <f>SUMPRODUCT(($C$67=Comercial_Agricola[Movimiento])*(Comercial_Agricola[Financiero U$S Dólares])*($G70=Comercial_Agricola[Producto])*(U$1=Comercial_Agricola[Mes Financiero])*(U$2=Comercial_Agricola[Año Financiero]))</f>
        <v>0</v>
      </c>
      <c r="V70" s="391">
        <f>SUMPRODUCT(($C$67=Comercial_Agricola[Movimiento])*(Comercial_Agricola[Financiero U$S Dólares])*($G70=Comercial_Agricola[Producto])*(V$1=Comercial_Agricola[Mes Financiero])*(V$2=Comercial_Agricola[Año Financiero]))</f>
        <v>0</v>
      </c>
      <c r="W70" s="390">
        <f>SUMPRODUCT(($C$67=Comercial_Agricola[Movimiento])*(Comercial_Agricola[Financiero U$S Dólares])*($G70=Comercial_Agricola[Producto])*(W$1=Comercial_Agricola[Mes Financiero])*(W$2=Comercial_Agricola[Año Financiero]))</f>
        <v>0</v>
      </c>
      <c r="X70" s="391">
        <f>SUMPRODUCT(($C$67=Comercial_Agricola[Movimiento])*(Comercial_Agricola[Financiero U$S Dólares])*($G70=Comercial_Agricola[Producto])*(X$1=Comercial_Agricola[Mes Financiero])*(X$2=Comercial_Agricola[Año Financiero]))</f>
        <v>0</v>
      </c>
      <c r="Y70" s="390">
        <f>SUMPRODUCT(($C$67=Comercial_Agricola[Movimiento])*(Comercial_Agricola[Financiero U$S Dólares])*($G70=Comercial_Agricola[Producto])*(Y$1=Comercial_Agricola[Mes Financiero])*(Y$2=Comercial_Agricola[Año Financiero]))</f>
        <v>0</v>
      </c>
      <c r="Z70" s="396"/>
    </row>
    <row r="71" spans="2:30" hidden="1" outlineLevel="2" x14ac:dyDescent="0.25">
      <c r="E71" s="121"/>
      <c r="F71" s="215">
        <f>IFERROR(MATCH('Financiero U$S'!G71,Tabla811[Producto],0),0)</f>
        <v>4</v>
      </c>
      <c r="G71" s="407" t="str">
        <f t="shared" si="24"/>
        <v>Trigo</v>
      </c>
      <c r="H71" s="391">
        <f>SUMPRODUCT(($C$67=Comercial_Agricola[Movimiento])*(Comercial_Agricola[Financiero U$S Dólares])*($G71=Comercial_Agricola[Producto])*(H$1=Comercial_Agricola[Mes Financiero])*(H$2=Comercial_Agricola[Año Financiero]))</f>
        <v>0</v>
      </c>
      <c r="I71" s="390">
        <f>SUMPRODUCT(($C$67=Comercial_Agricola[Movimiento])*(Comercial_Agricola[Financiero U$S Dólares])*($G71=Comercial_Agricola[Producto])*(I$1=Comercial_Agricola[Mes Financiero])*(I$2=Comercial_Agricola[Año Financiero]))</f>
        <v>0</v>
      </c>
      <c r="J71" s="391">
        <f>SUMPRODUCT(($C$67=Comercial_Agricola[Movimiento])*(Comercial_Agricola[Financiero U$S Dólares])*($G71=Comercial_Agricola[Producto])*(J$1=Comercial_Agricola[Mes Financiero])*(J$2=Comercial_Agricola[Año Financiero]))</f>
        <v>0</v>
      </c>
      <c r="K71" s="390">
        <f>SUMPRODUCT(($C$67=Comercial_Agricola[Movimiento])*(Comercial_Agricola[Financiero U$S Dólares])*($G71=Comercial_Agricola[Producto])*(K$1=Comercial_Agricola[Mes Financiero])*(K$2=Comercial_Agricola[Año Financiero]))</f>
        <v>0</v>
      </c>
      <c r="L71" s="391">
        <f>SUMPRODUCT(($C$67=Comercial_Agricola[Movimiento])*(Comercial_Agricola[Financiero U$S Dólares])*($G71=Comercial_Agricola[Producto])*(L$1=Comercial_Agricola[Mes Financiero])*(L$2=Comercial_Agricola[Año Financiero]))</f>
        <v>0</v>
      </c>
      <c r="M71" s="390">
        <f>SUMPRODUCT(($C$67=Comercial_Agricola[Movimiento])*(Comercial_Agricola[Financiero U$S Dólares])*($G71=Comercial_Agricola[Producto])*(M$1=Comercial_Agricola[Mes Financiero])*(M$2=Comercial_Agricola[Año Financiero]))</f>
        <v>0</v>
      </c>
      <c r="N71" s="391">
        <f>SUMPRODUCT(($C$67=Comercial_Agricola[Movimiento])*(Comercial_Agricola[Financiero U$S Dólares])*($G71=Comercial_Agricola[Producto])*(N$1=Comercial_Agricola[Mes Financiero])*(N$2=Comercial_Agricola[Año Financiero]))</f>
        <v>0</v>
      </c>
      <c r="O71" s="390">
        <f>SUMPRODUCT(($C$67=Comercial_Agricola[Movimiento])*(Comercial_Agricola[Financiero U$S Dólares])*($G71=Comercial_Agricola[Producto])*(O$1=Comercial_Agricola[Mes Financiero])*(O$2=Comercial_Agricola[Año Financiero]))</f>
        <v>0</v>
      </c>
      <c r="P71" s="391">
        <f>SUMPRODUCT(($C$67=Comercial_Agricola[Movimiento])*(Comercial_Agricola[Financiero U$S Dólares])*($G71=Comercial_Agricola[Producto])*(P$1=Comercial_Agricola[Mes Financiero])*(P$2=Comercial_Agricola[Año Financiero]))</f>
        <v>0</v>
      </c>
      <c r="Q71" s="390">
        <f>SUMPRODUCT(($C$67=Comercial_Agricola[Movimiento])*(Comercial_Agricola[Financiero U$S Dólares])*($G71=Comercial_Agricola[Producto])*(Q$1=Comercial_Agricola[Mes Financiero])*(Q$2=Comercial_Agricola[Año Financiero]))</f>
        <v>0</v>
      </c>
      <c r="R71" s="391">
        <f>SUMPRODUCT(($C$67=Comercial_Agricola[Movimiento])*(Comercial_Agricola[Financiero U$S Dólares])*($G71=Comercial_Agricola[Producto])*(R$1=Comercial_Agricola[Mes Financiero])*(R$2=Comercial_Agricola[Año Financiero]))</f>
        <v>0</v>
      </c>
      <c r="S71" s="390">
        <f>SUMPRODUCT(($C$67=Comercial_Agricola[Movimiento])*(Comercial_Agricola[Financiero U$S Dólares])*($G71=Comercial_Agricola[Producto])*(S$1=Comercial_Agricola[Mes Financiero])*(S$2=Comercial_Agricola[Año Financiero]))</f>
        <v>0</v>
      </c>
      <c r="T71" s="391">
        <f>SUMPRODUCT(($C$67=Comercial_Agricola[Movimiento])*(Comercial_Agricola[Financiero U$S Dólares])*($G71=Comercial_Agricola[Producto])*(T$1=Comercial_Agricola[Mes Financiero])*(T$2=Comercial_Agricola[Año Financiero]))</f>
        <v>0</v>
      </c>
      <c r="U71" s="390">
        <f>SUMPRODUCT(($C$67=Comercial_Agricola[Movimiento])*(Comercial_Agricola[Financiero U$S Dólares])*($G71=Comercial_Agricola[Producto])*(U$1=Comercial_Agricola[Mes Financiero])*(U$2=Comercial_Agricola[Año Financiero]))</f>
        <v>0</v>
      </c>
      <c r="V71" s="391">
        <f>SUMPRODUCT(($C$67=Comercial_Agricola[Movimiento])*(Comercial_Agricola[Financiero U$S Dólares])*($G71=Comercial_Agricola[Producto])*(V$1=Comercial_Agricola[Mes Financiero])*(V$2=Comercial_Agricola[Año Financiero]))</f>
        <v>0</v>
      </c>
      <c r="W71" s="390">
        <f>SUMPRODUCT(($C$67=Comercial_Agricola[Movimiento])*(Comercial_Agricola[Financiero U$S Dólares])*($G71=Comercial_Agricola[Producto])*(W$1=Comercial_Agricola[Mes Financiero])*(W$2=Comercial_Agricola[Año Financiero]))</f>
        <v>0</v>
      </c>
      <c r="X71" s="391">
        <f>SUMPRODUCT(($C$67=Comercial_Agricola[Movimiento])*(Comercial_Agricola[Financiero U$S Dólares])*($G71=Comercial_Agricola[Producto])*(X$1=Comercial_Agricola[Mes Financiero])*(X$2=Comercial_Agricola[Año Financiero]))</f>
        <v>0</v>
      </c>
      <c r="Y71" s="390">
        <f>SUMPRODUCT(($C$67=Comercial_Agricola[Movimiento])*(Comercial_Agricola[Financiero U$S Dólares])*($G71=Comercial_Agricola[Producto])*(Y$1=Comercial_Agricola[Mes Financiero])*(Y$2=Comercial_Agricola[Año Financiero]))</f>
        <v>0</v>
      </c>
      <c r="Z71" s="396"/>
    </row>
    <row r="72" spans="2:30" hidden="1" outlineLevel="2" x14ac:dyDescent="0.25">
      <c r="E72" s="121"/>
      <c r="F72" s="215">
        <f>IFERROR(MATCH('Financiero U$S'!G72,Tabla811[Producto],0),0)</f>
        <v>5</v>
      </c>
      <c r="G72" s="407" t="str">
        <f t="shared" si="24"/>
        <v>Cebada</v>
      </c>
      <c r="H72" s="391">
        <f>SUMPRODUCT(($C$67=Comercial_Agricola[Movimiento])*(Comercial_Agricola[Financiero U$S Dólares])*($G72=Comercial_Agricola[Producto])*(H$1=Comercial_Agricola[Mes Financiero])*(H$2=Comercial_Agricola[Año Financiero]))</f>
        <v>0</v>
      </c>
      <c r="I72" s="390">
        <f>SUMPRODUCT(($C$67=Comercial_Agricola[Movimiento])*(Comercial_Agricola[Financiero U$S Dólares])*($G72=Comercial_Agricola[Producto])*(I$1=Comercial_Agricola[Mes Financiero])*(I$2=Comercial_Agricola[Año Financiero]))</f>
        <v>0</v>
      </c>
      <c r="J72" s="391">
        <f>SUMPRODUCT(($C$67=Comercial_Agricola[Movimiento])*(Comercial_Agricola[Financiero U$S Dólares])*($G72=Comercial_Agricola[Producto])*(J$1=Comercial_Agricola[Mes Financiero])*(J$2=Comercial_Agricola[Año Financiero]))</f>
        <v>0</v>
      </c>
      <c r="K72" s="390">
        <f>SUMPRODUCT(($C$67=Comercial_Agricola[Movimiento])*(Comercial_Agricola[Financiero U$S Dólares])*($G72=Comercial_Agricola[Producto])*(K$1=Comercial_Agricola[Mes Financiero])*(K$2=Comercial_Agricola[Año Financiero]))</f>
        <v>0</v>
      </c>
      <c r="L72" s="391">
        <f>SUMPRODUCT(($C$67=Comercial_Agricola[Movimiento])*(Comercial_Agricola[Financiero U$S Dólares])*($G72=Comercial_Agricola[Producto])*(L$1=Comercial_Agricola[Mes Financiero])*(L$2=Comercial_Agricola[Año Financiero]))</f>
        <v>0</v>
      </c>
      <c r="M72" s="390">
        <f>SUMPRODUCT(($C$67=Comercial_Agricola[Movimiento])*(Comercial_Agricola[Financiero U$S Dólares])*($G72=Comercial_Agricola[Producto])*(M$1=Comercial_Agricola[Mes Financiero])*(M$2=Comercial_Agricola[Año Financiero]))</f>
        <v>0</v>
      </c>
      <c r="N72" s="391">
        <f>SUMPRODUCT(($C$67=Comercial_Agricola[Movimiento])*(Comercial_Agricola[Financiero U$S Dólares])*($G72=Comercial_Agricola[Producto])*(N$1=Comercial_Agricola[Mes Financiero])*(N$2=Comercial_Agricola[Año Financiero]))</f>
        <v>0</v>
      </c>
      <c r="O72" s="390">
        <f>SUMPRODUCT(($C$67=Comercial_Agricola[Movimiento])*(Comercial_Agricola[Financiero U$S Dólares])*($G72=Comercial_Agricola[Producto])*(O$1=Comercial_Agricola[Mes Financiero])*(O$2=Comercial_Agricola[Año Financiero]))</f>
        <v>0</v>
      </c>
      <c r="P72" s="391">
        <f>SUMPRODUCT(($C$67=Comercial_Agricola[Movimiento])*(Comercial_Agricola[Financiero U$S Dólares])*($G72=Comercial_Agricola[Producto])*(P$1=Comercial_Agricola[Mes Financiero])*(P$2=Comercial_Agricola[Año Financiero]))</f>
        <v>0</v>
      </c>
      <c r="Q72" s="390">
        <f>SUMPRODUCT(($C$67=Comercial_Agricola[Movimiento])*(Comercial_Agricola[Financiero U$S Dólares])*($G72=Comercial_Agricola[Producto])*(Q$1=Comercial_Agricola[Mes Financiero])*(Q$2=Comercial_Agricola[Año Financiero]))</f>
        <v>0</v>
      </c>
      <c r="R72" s="391">
        <f>SUMPRODUCT(($C$67=Comercial_Agricola[Movimiento])*(Comercial_Agricola[Financiero U$S Dólares])*($G72=Comercial_Agricola[Producto])*(R$1=Comercial_Agricola[Mes Financiero])*(R$2=Comercial_Agricola[Año Financiero]))</f>
        <v>0</v>
      </c>
      <c r="S72" s="390">
        <f>SUMPRODUCT(($C$67=Comercial_Agricola[Movimiento])*(Comercial_Agricola[Financiero U$S Dólares])*($G72=Comercial_Agricola[Producto])*(S$1=Comercial_Agricola[Mes Financiero])*(S$2=Comercial_Agricola[Año Financiero]))</f>
        <v>0</v>
      </c>
      <c r="T72" s="391">
        <f>SUMPRODUCT(($C$67=Comercial_Agricola[Movimiento])*(Comercial_Agricola[Financiero U$S Dólares])*($G72=Comercial_Agricola[Producto])*(T$1=Comercial_Agricola[Mes Financiero])*(T$2=Comercial_Agricola[Año Financiero]))</f>
        <v>0</v>
      </c>
      <c r="U72" s="390">
        <f>SUMPRODUCT(($C$67=Comercial_Agricola[Movimiento])*(Comercial_Agricola[Financiero U$S Dólares])*($G72=Comercial_Agricola[Producto])*(U$1=Comercial_Agricola[Mes Financiero])*(U$2=Comercial_Agricola[Año Financiero]))</f>
        <v>0</v>
      </c>
      <c r="V72" s="391">
        <f>SUMPRODUCT(($C$67=Comercial_Agricola[Movimiento])*(Comercial_Agricola[Financiero U$S Dólares])*($G72=Comercial_Agricola[Producto])*(V$1=Comercial_Agricola[Mes Financiero])*(V$2=Comercial_Agricola[Año Financiero]))</f>
        <v>0</v>
      </c>
      <c r="W72" s="390">
        <f>SUMPRODUCT(($C$67=Comercial_Agricola[Movimiento])*(Comercial_Agricola[Financiero U$S Dólares])*($G72=Comercial_Agricola[Producto])*(W$1=Comercial_Agricola[Mes Financiero])*(W$2=Comercial_Agricola[Año Financiero]))</f>
        <v>0</v>
      </c>
      <c r="X72" s="391">
        <f>SUMPRODUCT(($C$67=Comercial_Agricola[Movimiento])*(Comercial_Agricola[Financiero U$S Dólares])*($G72=Comercial_Agricola[Producto])*(X$1=Comercial_Agricola[Mes Financiero])*(X$2=Comercial_Agricola[Año Financiero]))</f>
        <v>0</v>
      </c>
      <c r="Y72" s="390">
        <f>SUMPRODUCT(($C$67=Comercial_Agricola[Movimiento])*(Comercial_Agricola[Financiero U$S Dólares])*($G72=Comercial_Agricola[Producto])*(Y$1=Comercial_Agricola[Mes Financiero])*(Y$2=Comercial_Agricola[Año Financiero]))</f>
        <v>0</v>
      </c>
      <c r="Z72" s="396"/>
    </row>
    <row r="73" spans="2:30" hidden="1" outlineLevel="2" x14ac:dyDescent="0.25">
      <c r="E73" s="121"/>
      <c r="F73" s="215">
        <f>IFERROR(MATCH('Financiero U$S'!G73,Tabla811[Producto],0),0)</f>
        <v>6</v>
      </c>
      <c r="G73" s="407" t="str">
        <f t="shared" si="24"/>
        <v>Sorgo</v>
      </c>
      <c r="H73" s="391">
        <f>SUMPRODUCT(($C$67=Comercial_Agricola[Movimiento])*(Comercial_Agricola[Financiero U$S Dólares])*($G73=Comercial_Agricola[Producto])*(H$1=Comercial_Agricola[Mes Financiero])*(H$2=Comercial_Agricola[Año Financiero]))</f>
        <v>0</v>
      </c>
      <c r="I73" s="390">
        <f>SUMPRODUCT(($C$67=Comercial_Agricola[Movimiento])*(Comercial_Agricola[Financiero U$S Dólares])*($G73=Comercial_Agricola[Producto])*(I$1=Comercial_Agricola[Mes Financiero])*(I$2=Comercial_Agricola[Año Financiero]))</f>
        <v>0</v>
      </c>
      <c r="J73" s="391">
        <f>SUMPRODUCT(($C$67=Comercial_Agricola[Movimiento])*(Comercial_Agricola[Financiero U$S Dólares])*($G73=Comercial_Agricola[Producto])*(J$1=Comercial_Agricola[Mes Financiero])*(J$2=Comercial_Agricola[Año Financiero]))</f>
        <v>0</v>
      </c>
      <c r="K73" s="390">
        <f>SUMPRODUCT(($C$67=Comercial_Agricola[Movimiento])*(Comercial_Agricola[Financiero U$S Dólares])*($G73=Comercial_Agricola[Producto])*(K$1=Comercial_Agricola[Mes Financiero])*(K$2=Comercial_Agricola[Año Financiero]))</f>
        <v>0</v>
      </c>
      <c r="L73" s="391">
        <f>SUMPRODUCT(($C$67=Comercial_Agricola[Movimiento])*(Comercial_Agricola[Financiero U$S Dólares])*($G73=Comercial_Agricola[Producto])*(L$1=Comercial_Agricola[Mes Financiero])*(L$2=Comercial_Agricola[Año Financiero]))</f>
        <v>0</v>
      </c>
      <c r="M73" s="390">
        <f>SUMPRODUCT(($C$67=Comercial_Agricola[Movimiento])*(Comercial_Agricola[Financiero U$S Dólares])*($G73=Comercial_Agricola[Producto])*(M$1=Comercial_Agricola[Mes Financiero])*(M$2=Comercial_Agricola[Año Financiero]))</f>
        <v>0</v>
      </c>
      <c r="N73" s="391">
        <f>SUMPRODUCT(($C$67=Comercial_Agricola[Movimiento])*(Comercial_Agricola[Financiero U$S Dólares])*($G73=Comercial_Agricola[Producto])*(N$1=Comercial_Agricola[Mes Financiero])*(N$2=Comercial_Agricola[Año Financiero]))</f>
        <v>0</v>
      </c>
      <c r="O73" s="390">
        <f>SUMPRODUCT(($C$67=Comercial_Agricola[Movimiento])*(Comercial_Agricola[Financiero U$S Dólares])*($G73=Comercial_Agricola[Producto])*(O$1=Comercial_Agricola[Mes Financiero])*(O$2=Comercial_Agricola[Año Financiero]))</f>
        <v>0</v>
      </c>
      <c r="P73" s="391">
        <f>SUMPRODUCT(($C$67=Comercial_Agricola[Movimiento])*(Comercial_Agricola[Financiero U$S Dólares])*($G73=Comercial_Agricola[Producto])*(P$1=Comercial_Agricola[Mes Financiero])*(P$2=Comercial_Agricola[Año Financiero]))</f>
        <v>0</v>
      </c>
      <c r="Q73" s="390">
        <f>SUMPRODUCT(($C$67=Comercial_Agricola[Movimiento])*(Comercial_Agricola[Financiero U$S Dólares])*($G73=Comercial_Agricola[Producto])*(Q$1=Comercial_Agricola[Mes Financiero])*(Q$2=Comercial_Agricola[Año Financiero]))</f>
        <v>0</v>
      </c>
      <c r="R73" s="391">
        <f>SUMPRODUCT(($C$67=Comercial_Agricola[Movimiento])*(Comercial_Agricola[Financiero U$S Dólares])*($G73=Comercial_Agricola[Producto])*(R$1=Comercial_Agricola[Mes Financiero])*(R$2=Comercial_Agricola[Año Financiero]))</f>
        <v>0</v>
      </c>
      <c r="S73" s="390">
        <f>SUMPRODUCT(($C$67=Comercial_Agricola[Movimiento])*(Comercial_Agricola[Financiero U$S Dólares])*($G73=Comercial_Agricola[Producto])*(S$1=Comercial_Agricola[Mes Financiero])*(S$2=Comercial_Agricola[Año Financiero]))</f>
        <v>0</v>
      </c>
      <c r="T73" s="391">
        <f>SUMPRODUCT(($C$67=Comercial_Agricola[Movimiento])*(Comercial_Agricola[Financiero U$S Dólares])*($G73=Comercial_Agricola[Producto])*(T$1=Comercial_Agricola[Mes Financiero])*(T$2=Comercial_Agricola[Año Financiero]))</f>
        <v>0</v>
      </c>
      <c r="U73" s="390">
        <f>SUMPRODUCT(($C$67=Comercial_Agricola[Movimiento])*(Comercial_Agricola[Financiero U$S Dólares])*($G73=Comercial_Agricola[Producto])*(U$1=Comercial_Agricola[Mes Financiero])*(U$2=Comercial_Agricola[Año Financiero]))</f>
        <v>0</v>
      </c>
      <c r="V73" s="391">
        <f>SUMPRODUCT(($C$67=Comercial_Agricola[Movimiento])*(Comercial_Agricola[Financiero U$S Dólares])*($G73=Comercial_Agricola[Producto])*(V$1=Comercial_Agricola[Mes Financiero])*(V$2=Comercial_Agricola[Año Financiero]))</f>
        <v>0</v>
      </c>
      <c r="W73" s="390">
        <f>SUMPRODUCT(($C$67=Comercial_Agricola[Movimiento])*(Comercial_Agricola[Financiero U$S Dólares])*($G73=Comercial_Agricola[Producto])*(W$1=Comercial_Agricola[Mes Financiero])*(W$2=Comercial_Agricola[Año Financiero]))</f>
        <v>0</v>
      </c>
      <c r="X73" s="391">
        <f>SUMPRODUCT(($C$67=Comercial_Agricola[Movimiento])*(Comercial_Agricola[Financiero U$S Dólares])*($G73=Comercial_Agricola[Producto])*(X$1=Comercial_Agricola[Mes Financiero])*(X$2=Comercial_Agricola[Año Financiero]))</f>
        <v>0</v>
      </c>
      <c r="Y73" s="390">
        <f>SUMPRODUCT(($C$67=Comercial_Agricola[Movimiento])*(Comercial_Agricola[Financiero U$S Dólares])*($G73=Comercial_Agricola[Producto])*(Y$1=Comercial_Agricola[Mes Financiero])*(Y$2=Comercial_Agricola[Año Financiero]))</f>
        <v>0</v>
      </c>
      <c r="Z73" s="396"/>
    </row>
    <row r="74" spans="2:30" hidden="1" outlineLevel="2" x14ac:dyDescent="0.25">
      <c r="E74" s="121"/>
      <c r="F74" s="215">
        <f>IFERROR(MATCH('Financiero U$S'!G74,Tabla811[Producto],0),0)</f>
        <v>0</v>
      </c>
      <c r="G74" s="407">
        <f t="shared" si="24"/>
        <v>0</v>
      </c>
      <c r="H74" s="391">
        <f>SUMPRODUCT(($C$67=Comercial_Agricola[Movimiento])*(Comercial_Agricola[Financiero U$S Dólares])*($G74=Comercial_Agricola[Producto])*(H$1=Comercial_Agricola[Mes Financiero])*(H$2=Comercial_Agricola[Año Financiero]))</f>
        <v>0</v>
      </c>
      <c r="I74" s="390">
        <f>SUMPRODUCT(($C$67=Comercial_Agricola[Movimiento])*(Comercial_Agricola[Financiero U$S Dólares])*($G74=Comercial_Agricola[Producto])*(I$1=Comercial_Agricola[Mes Financiero])*(I$2=Comercial_Agricola[Año Financiero]))</f>
        <v>0</v>
      </c>
      <c r="J74" s="391">
        <f>SUMPRODUCT(($C$67=Comercial_Agricola[Movimiento])*(Comercial_Agricola[Financiero U$S Dólares])*($G74=Comercial_Agricola[Producto])*(J$1=Comercial_Agricola[Mes Financiero])*(J$2=Comercial_Agricola[Año Financiero]))</f>
        <v>0</v>
      </c>
      <c r="K74" s="390">
        <f>SUMPRODUCT(($C$67=Comercial_Agricola[Movimiento])*(Comercial_Agricola[Financiero U$S Dólares])*($G74=Comercial_Agricola[Producto])*(K$1=Comercial_Agricola[Mes Financiero])*(K$2=Comercial_Agricola[Año Financiero]))</f>
        <v>0</v>
      </c>
      <c r="L74" s="391">
        <f>SUMPRODUCT(($C$67=Comercial_Agricola[Movimiento])*(Comercial_Agricola[Financiero U$S Dólares])*($G74=Comercial_Agricola[Producto])*(L$1=Comercial_Agricola[Mes Financiero])*(L$2=Comercial_Agricola[Año Financiero]))</f>
        <v>0</v>
      </c>
      <c r="M74" s="390">
        <f>SUMPRODUCT(($C$67=Comercial_Agricola[Movimiento])*(Comercial_Agricola[Financiero U$S Dólares])*($G74=Comercial_Agricola[Producto])*(M$1=Comercial_Agricola[Mes Financiero])*(M$2=Comercial_Agricola[Año Financiero]))</f>
        <v>0</v>
      </c>
      <c r="N74" s="391">
        <f>SUMPRODUCT(($C$67=Comercial_Agricola[Movimiento])*(Comercial_Agricola[Financiero U$S Dólares])*($G74=Comercial_Agricola[Producto])*(N$1=Comercial_Agricola[Mes Financiero])*(N$2=Comercial_Agricola[Año Financiero]))</f>
        <v>0</v>
      </c>
      <c r="O74" s="390">
        <f>SUMPRODUCT(($C$67=Comercial_Agricola[Movimiento])*(Comercial_Agricola[Financiero U$S Dólares])*($G74=Comercial_Agricola[Producto])*(O$1=Comercial_Agricola[Mes Financiero])*(O$2=Comercial_Agricola[Año Financiero]))</f>
        <v>0</v>
      </c>
      <c r="P74" s="391">
        <f>SUMPRODUCT(($C$67=Comercial_Agricola[Movimiento])*(Comercial_Agricola[Financiero U$S Dólares])*($G74=Comercial_Agricola[Producto])*(P$1=Comercial_Agricola[Mes Financiero])*(P$2=Comercial_Agricola[Año Financiero]))</f>
        <v>0</v>
      </c>
      <c r="Q74" s="390">
        <f>SUMPRODUCT(($C$67=Comercial_Agricola[Movimiento])*(Comercial_Agricola[Financiero U$S Dólares])*($G74=Comercial_Agricola[Producto])*(Q$1=Comercial_Agricola[Mes Financiero])*(Q$2=Comercial_Agricola[Año Financiero]))</f>
        <v>0</v>
      </c>
      <c r="R74" s="391">
        <f>SUMPRODUCT(($C$67=Comercial_Agricola[Movimiento])*(Comercial_Agricola[Financiero U$S Dólares])*($G74=Comercial_Agricola[Producto])*(R$1=Comercial_Agricola[Mes Financiero])*(R$2=Comercial_Agricola[Año Financiero]))</f>
        <v>0</v>
      </c>
      <c r="S74" s="390">
        <f>SUMPRODUCT(($C$67=Comercial_Agricola[Movimiento])*(Comercial_Agricola[Financiero U$S Dólares])*($G74=Comercial_Agricola[Producto])*(S$1=Comercial_Agricola[Mes Financiero])*(S$2=Comercial_Agricola[Año Financiero]))</f>
        <v>0</v>
      </c>
      <c r="T74" s="391">
        <f>SUMPRODUCT(($C$67=Comercial_Agricola[Movimiento])*(Comercial_Agricola[Financiero U$S Dólares])*($G74=Comercial_Agricola[Producto])*(T$1=Comercial_Agricola[Mes Financiero])*(T$2=Comercial_Agricola[Año Financiero]))</f>
        <v>0</v>
      </c>
      <c r="U74" s="390">
        <f>SUMPRODUCT(($C$67=Comercial_Agricola[Movimiento])*(Comercial_Agricola[Financiero U$S Dólares])*($G74=Comercial_Agricola[Producto])*(U$1=Comercial_Agricola[Mes Financiero])*(U$2=Comercial_Agricola[Año Financiero]))</f>
        <v>0</v>
      </c>
      <c r="V74" s="391">
        <f>SUMPRODUCT(($C$67=Comercial_Agricola[Movimiento])*(Comercial_Agricola[Financiero U$S Dólares])*($G74=Comercial_Agricola[Producto])*(V$1=Comercial_Agricola[Mes Financiero])*(V$2=Comercial_Agricola[Año Financiero]))</f>
        <v>0</v>
      </c>
      <c r="W74" s="390">
        <f>SUMPRODUCT(($C$67=Comercial_Agricola[Movimiento])*(Comercial_Agricola[Financiero U$S Dólares])*($G74=Comercial_Agricola[Producto])*(W$1=Comercial_Agricola[Mes Financiero])*(W$2=Comercial_Agricola[Año Financiero]))</f>
        <v>0</v>
      </c>
      <c r="X74" s="391">
        <f>SUMPRODUCT(($C$67=Comercial_Agricola[Movimiento])*(Comercial_Agricola[Financiero U$S Dólares])*($G74=Comercial_Agricola[Producto])*(X$1=Comercial_Agricola[Mes Financiero])*(X$2=Comercial_Agricola[Año Financiero]))</f>
        <v>0</v>
      </c>
      <c r="Y74" s="390">
        <f>SUMPRODUCT(($C$67=Comercial_Agricola[Movimiento])*(Comercial_Agricola[Financiero U$S Dólares])*($G74=Comercial_Agricola[Producto])*(Y$1=Comercial_Agricola[Mes Financiero])*(Y$2=Comercial_Agricola[Año Financiero]))</f>
        <v>0</v>
      </c>
      <c r="Z74" s="396"/>
    </row>
    <row r="75" spans="2:30" hidden="1" outlineLevel="2" x14ac:dyDescent="0.25">
      <c r="E75" s="121"/>
      <c r="F75" s="215">
        <f>IFERROR(MATCH('Financiero U$S'!G75,Tabla811[Producto],0),0)</f>
        <v>0</v>
      </c>
      <c r="G75" s="407">
        <f t="shared" si="24"/>
        <v>0</v>
      </c>
      <c r="H75" s="391">
        <f>SUMPRODUCT(($C$67=Comercial_Agricola[Movimiento])*(Comercial_Agricola[Financiero U$S Dólares])*($G75=Comercial_Agricola[Producto])*(H$1=Comercial_Agricola[Mes Financiero])*(H$2=Comercial_Agricola[Año Financiero]))</f>
        <v>0</v>
      </c>
      <c r="I75" s="390">
        <f>SUMPRODUCT(($C$67=Comercial_Agricola[Movimiento])*(Comercial_Agricola[Financiero U$S Dólares])*($G75=Comercial_Agricola[Producto])*(I$1=Comercial_Agricola[Mes Financiero])*(I$2=Comercial_Agricola[Año Financiero]))</f>
        <v>0</v>
      </c>
      <c r="J75" s="391">
        <f>SUMPRODUCT(($C$67=Comercial_Agricola[Movimiento])*(Comercial_Agricola[Financiero U$S Dólares])*($G75=Comercial_Agricola[Producto])*(J$1=Comercial_Agricola[Mes Financiero])*(J$2=Comercial_Agricola[Año Financiero]))</f>
        <v>0</v>
      </c>
      <c r="K75" s="390">
        <f>SUMPRODUCT(($C$67=Comercial_Agricola[Movimiento])*(Comercial_Agricola[Financiero U$S Dólares])*($G75=Comercial_Agricola[Producto])*(K$1=Comercial_Agricola[Mes Financiero])*(K$2=Comercial_Agricola[Año Financiero]))</f>
        <v>0</v>
      </c>
      <c r="L75" s="391">
        <f>SUMPRODUCT(($C$67=Comercial_Agricola[Movimiento])*(Comercial_Agricola[Financiero U$S Dólares])*($G75=Comercial_Agricola[Producto])*(L$1=Comercial_Agricola[Mes Financiero])*(L$2=Comercial_Agricola[Año Financiero]))</f>
        <v>0</v>
      </c>
      <c r="M75" s="390">
        <f>SUMPRODUCT(($C$67=Comercial_Agricola[Movimiento])*(Comercial_Agricola[Financiero U$S Dólares])*($G75=Comercial_Agricola[Producto])*(M$1=Comercial_Agricola[Mes Financiero])*(M$2=Comercial_Agricola[Año Financiero]))</f>
        <v>0</v>
      </c>
      <c r="N75" s="391">
        <f>SUMPRODUCT(($C$67=Comercial_Agricola[Movimiento])*(Comercial_Agricola[Financiero U$S Dólares])*($G75=Comercial_Agricola[Producto])*(N$1=Comercial_Agricola[Mes Financiero])*(N$2=Comercial_Agricola[Año Financiero]))</f>
        <v>0</v>
      </c>
      <c r="O75" s="390">
        <f>SUMPRODUCT(($C$67=Comercial_Agricola[Movimiento])*(Comercial_Agricola[Financiero U$S Dólares])*($G75=Comercial_Agricola[Producto])*(O$1=Comercial_Agricola[Mes Financiero])*(O$2=Comercial_Agricola[Año Financiero]))</f>
        <v>0</v>
      </c>
      <c r="P75" s="391">
        <f>SUMPRODUCT(($C$67=Comercial_Agricola[Movimiento])*(Comercial_Agricola[Financiero U$S Dólares])*($G75=Comercial_Agricola[Producto])*(P$1=Comercial_Agricola[Mes Financiero])*(P$2=Comercial_Agricola[Año Financiero]))</f>
        <v>0</v>
      </c>
      <c r="Q75" s="390">
        <f>SUMPRODUCT(($C$67=Comercial_Agricola[Movimiento])*(Comercial_Agricola[Financiero U$S Dólares])*($G75=Comercial_Agricola[Producto])*(Q$1=Comercial_Agricola[Mes Financiero])*(Q$2=Comercial_Agricola[Año Financiero]))</f>
        <v>0</v>
      </c>
      <c r="R75" s="391">
        <f>SUMPRODUCT(($C$67=Comercial_Agricola[Movimiento])*(Comercial_Agricola[Financiero U$S Dólares])*($G75=Comercial_Agricola[Producto])*(R$1=Comercial_Agricola[Mes Financiero])*(R$2=Comercial_Agricola[Año Financiero]))</f>
        <v>0</v>
      </c>
      <c r="S75" s="390">
        <f>SUMPRODUCT(($C$67=Comercial_Agricola[Movimiento])*(Comercial_Agricola[Financiero U$S Dólares])*($G75=Comercial_Agricola[Producto])*(S$1=Comercial_Agricola[Mes Financiero])*(S$2=Comercial_Agricola[Año Financiero]))</f>
        <v>0</v>
      </c>
      <c r="T75" s="391">
        <f>SUMPRODUCT(($C$67=Comercial_Agricola[Movimiento])*(Comercial_Agricola[Financiero U$S Dólares])*($G75=Comercial_Agricola[Producto])*(T$1=Comercial_Agricola[Mes Financiero])*(T$2=Comercial_Agricola[Año Financiero]))</f>
        <v>0</v>
      </c>
      <c r="U75" s="390">
        <f>SUMPRODUCT(($C$67=Comercial_Agricola[Movimiento])*(Comercial_Agricola[Financiero U$S Dólares])*($G75=Comercial_Agricola[Producto])*(U$1=Comercial_Agricola[Mes Financiero])*(U$2=Comercial_Agricola[Año Financiero]))</f>
        <v>0</v>
      </c>
      <c r="V75" s="391">
        <f>SUMPRODUCT(($C$67=Comercial_Agricola[Movimiento])*(Comercial_Agricola[Financiero U$S Dólares])*($G75=Comercial_Agricola[Producto])*(V$1=Comercial_Agricola[Mes Financiero])*(V$2=Comercial_Agricola[Año Financiero]))</f>
        <v>0</v>
      </c>
      <c r="W75" s="390">
        <f>SUMPRODUCT(($C$67=Comercial_Agricola[Movimiento])*(Comercial_Agricola[Financiero U$S Dólares])*($G75=Comercial_Agricola[Producto])*(W$1=Comercial_Agricola[Mes Financiero])*(W$2=Comercial_Agricola[Año Financiero]))</f>
        <v>0</v>
      </c>
      <c r="X75" s="391">
        <f>SUMPRODUCT(($C$67=Comercial_Agricola[Movimiento])*(Comercial_Agricola[Financiero U$S Dólares])*($G75=Comercial_Agricola[Producto])*(X$1=Comercial_Agricola[Mes Financiero])*(X$2=Comercial_Agricola[Año Financiero]))</f>
        <v>0</v>
      </c>
      <c r="Y75" s="390">
        <f>SUMPRODUCT(($C$67=Comercial_Agricola[Movimiento])*(Comercial_Agricola[Financiero U$S Dólares])*($G75=Comercial_Agricola[Producto])*(Y$1=Comercial_Agricola[Mes Financiero])*(Y$2=Comercial_Agricola[Año Financiero]))</f>
        <v>0</v>
      </c>
      <c r="Z75" s="396"/>
    </row>
    <row r="76" spans="2:30" hidden="1" outlineLevel="2" x14ac:dyDescent="0.25">
      <c r="B76" s="166" t="s">
        <v>101</v>
      </c>
      <c r="E76" s="121"/>
      <c r="F76" s="215">
        <f>IFERROR(MATCH('Financiero U$S'!G76,Tabla811[Producto],0),0)</f>
        <v>0</v>
      </c>
      <c r="G76" s="407">
        <f t="shared" si="24"/>
        <v>0</v>
      </c>
      <c r="H76" s="391">
        <f>SUMPRODUCT(($C$67=Comercial_Agricola[Movimiento])*(Comercial_Agricola[Financiero U$S Dólares])*($G76=Comercial_Agricola[Producto])*(H$1=Comercial_Agricola[Mes Financiero])*(H$2=Comercial_Agricola[Año Financiero]))</f>
        <v>0</v>
      </c>
      <c r="I76" s="390">
        <f>SUMPRODUCT(($C$67=Comercial_Agricola[Movimiento])*(Comercial_Agricola[Financiero U$S Dólares])*($G76=Comercial_Agricola[Producto])*(I$1=Comercial_Agricola[Mes Financiero])*(I$2=Comercial_Agricola[Año Financiero]))</f>
        <v>0</v>
      </c>
      <c r="J76" s="391">
        <f>SUMPRODUCT(($C$67=Comercial_Agricola[Movimiento])*(Comercial_Agricola[Financiero U$S Dólares])*($G76=Comercial_Agricola[Producto])*(J$1=Comercial_Agricola[Mes Financiero])*(J$2=Comercial_Agricola[Año Financiero]))</f>
        <v>0</v>
      </c>
      <c r="K76" s="390">
        <f>SUMPRODUCT(($C$67=Comercial_Agricola[Movimiento])*(Comercial_Agricola[Financiero U$S Dólares])*($G76=Comercial_Agricola[Producto])*(K$1=Comercial_Agricola[Mes Financiero])*(K$2=Comercial_Agricola[Año Financiero]))</f>
        <v>0</v>
      </c>
      <c r="L76" s="391">
        <f>SUMPRODUCT(($C$67=Comercial_Agricola[Movimiento])*(Comercial_Agricola[Financiero U$S Dólares])*($G76=Comercial_Agricola[Producto])*(L$1=Comercial_Agricola[Mes Financiero])*(L$2=Comercial_Agricola[Año Financiero]))</f>
        <v>0</v>
      </c>
      <c r="M76" s="390">
        <f>SUMPRODUCT(($C$67=Comercial_Agricola[Movimiento])*(Comercial_Agricola[Financiero U$S Dólares])*($G76=Comercial_Agricola[Producto])*(M$1=Comercial_Agricola[Mes Financiero])*(M$2=Comercial_Agricola[Año Financiero]))</f>
        <v>0</v>
      </c>
      <c r="N76" s="391">
        <f>SUMPRODUCT(($C$67=Comercial_Agricola[Movimiento])*(Comercial_Agricola[Financiero U$S Dólares])*($G76=Comercial_Agricola[Producto])*(N$1=Comercial_Agricola[Mes Financiero])*(N$2=Comercial_Agricola[Año Financiero]))</f>
        <v>0</v>
      </c>
      <c r="O76" s="390">
        <f>SUMPRODUCT(($C$67=Comercial_Agricola[Movimiento])*(Comercial_Agricola[Financiero U$S Dólares])*($G76=Comercial_Agricola[Producto])*(O$1=Comercial_Agricola[Mes Financiero])*(O$2=Comercial_Agricola[Año Financiero]))</f>
        <v>0</v>
      </c>
      <c r="P76" s="391">
        <f>SUMPRODUCT(($C$67=Comercial_Agricola[Movimiento])*(Comercial_Agricola[Financiero U$S Dólares])*($G76=Comercial_Agricola[Producto])*(P$1=Comercial_Agricola[Mes Financiero])*(P$2=Comercial_Agricola[Año Financiero]))</f>
        <v>0</v>
      </c>
      <c r="Q76" s="390">
        <f>SUMPRODUCT(($C$67=Comercial_Agricola[Movimiento])*(Comercial_Agricola[Financiero U$S Dólares])*($G76=Comercial_Agricola[Producto])*(Q$1=Comercial_Agricola[Mes Financiero])*(Q$2=Comercial_Agricola[Año Financiero]))</f>
        <v>0</v>
      </c>
      <c r="R76" s="391">
        <f>SUMPRODUCT(($C$67=Comercial_Agricola[Movimiento])*(Comercial_Agricola[Financiero U$S Dólares])*($G76=Comercial_Agricola[Producto])*(R$1=Comercial_Agricola[Mes Financiero])*(R$2=Comercial_Agricola[Año Financiero]))</f>
        <v>0</v>
      </c>
      <c r="S76" s="390">
        <f>SUMPRODUCT(($C$67=Comercial_Agricola[Movimiento])*(Comercial_Agricola[Financiero U$S Dólares])*($G76=Comercial_Agricola[Producto])*(S$1=Comercial_Agricola[Mes Financiero])*(S$2=Comercial_Agricola[Año Financiero]))</f>
        <v>0</v>
      </c>
      <c r="T76" s="391">
        <f>SUMPRODUCT(($C$67=Comercial_Agricola[Movimiento])*(Comercial_Agricola[Financiero U$S Dólares])*($G76=Comercial_Agricola[Producto])*(T$1=Comercial_Agricola[Mes Financiero])*(T$2=Comercial_Agricola[Año Financiero]))</f>
        <v>0</v>
      </c>
      <c r="U76" s="390">
        <f>SUMPRODUCT(($C$67=Comercial_Agricola[Movimiento])*(Comercial_Agricola[Financiero U$S Dólares])*($G76=Comercial_Agricola[Producto])*(U$1=Comercial_Agricola[Mes Financiero])*(U$2=Comercial_Agricola[Año Financiero]))</f>
        <v>0</v>
      </c>
      <c r="V76" s="391">
        <f>SUMPRODUCT(($C$67=Comercial_Agricola[Movimiento])*(Comercial_Agricola[Financiero U$S Dólares])*($G76=Comercial_Agricola[Producto])*(V$1=Comercial_Agricola[Mes Financiero])*(V$2=Comercial_Agricola[Año Financiero]))</f>
        <v>0</v>
      </c>
      <c r="W76" s="390">
        <f>SUMPRODUCT(($C$67=Comercial_Agricola[Movimiento])*(Comercial_Agricola[Financiero U$S Dólares])*($G76=Comercial_Agricola[Producto])*(W$1=Comercial_Agricola[Mes Financiero])*(W$2=Comercial_Agricola[Año Financiero]))</f>
        <v>0</v>
      </c>
      <c r="X76" s="391">
        <f>SUMPRODUCT(($C$67=Comercial_Agricola[Movimiento])*(Comercial_Agricola[Financiero U$S Dólares])*($G76=Comercial_Agricola[Producto])*(X$1=Comercial_Agricola[Mes Financiero])*(X$2=Comercial_Agricola[Año Financiero]))</f>
        <v>0</v>
      </c>
      <c r="Y76" s="390">
        <f>SUMPRODUCT(($C$67=Comercial_Agricola[Movimiento])*(Comercial_Agricola[Financiero U$S Dólares])*($G76=Comercial_Agricola[Producto])*(Y$1=Comercial_Agricola[Mes Financiero])*(Y$2=Comercial_Agricola[Año Financiero]))</f>
        <v>0</v>
      </c>
      <c r="Z76" s="396"/>
    </row>
    <row r="77" spans="2:30" hidden="1" outlineLevel="2" x14ac:dyDescent="0.25">
      <c r="E77" s="121"/>
      <c r="F77" s="216">
        <f>IFERROR(MATCH('Financiero U$S'!G77,Tabla811[Producto],0),0)</f>
        <v>7</v>
      </c>
      <c r="G77" s="408" t="str">
        <f t="shared" si="24"/>
        <v>Silo Maíz</v>
      </c>
      <c r="H77" s="393">
        <f>SUMPRODUCT(($C$67=Comercial_Agricola[Movimiento])*(Comercial_Agricola[Financiero U$S Dólares])*($G77=Comercial_Agricola[Producto])*(H$1=Comercial_Agricola[Mes Financiero])*(H$2=Comercial_Agricola[Año Financiero]))</f>
        <v>0</v>
      </c>
      <c r="I77" s="394">
        <f>SUMPRODUCT(($C$67=Comercial_Agricola[Movimiento])*(Comercial_Agricola[Financiero U$S Dólares])*($G77=Comercial_Agricola[Producto])*(I$1=Comercial_Agricola[Mes Financiero])*(I$2=Comercial_Agricola[Año Financiero]))</f>
        <v>0</v>
      </c>
      <c r="J77" s="393">
        <f>SUMPRODUCT(($C$67=Comercial_Agricola[Movimiento])*(Comercial_Agricola[Financiero U$S Dólares])*($G77=Comercial_Agricola[Producto])*(J$1=Comercial_Agricola[Mes Financiero])*(J$2=Comercial_Agricola[Año Financiero]))</f>
        <v>0</v>
      </c>
      <c r="K77" s="394">
        <f>SUMPRODUCT(($C$67=Comercial_Agricola[Movimiento])*(Comercial_Agricola[Financiero U$S Dólares])*($G77=Comercial_Agricola[Producto])*(K$1=Comercial_Agricola[Mes Financiero])*(K$2=Comercial_Agricola[Año Financiero]))</f>
        <v>0</v>
      </c>
      <c r="L77" s="393">
        <f>SUMPRODUCT(($C$67=Comercial_Agricola[Movimiento])*(Comercial_Agricola[Financiero U$S Dólares])*($G77=Comercial_Agricola[Producto])*(L$1=Comercial_Agricola[Mes Financiero])*(L$2=Comercial_Agricola[Año Financiero]))</f>
        <v>0</v>
      </c>
      <c r="M77" s="394">
        <f>SUMPRODUCT(($C$67=Comercial_Agricola[Movimiento])*(Comercial_Agricola[Financiero U$S Dólares])*($G77=Comercial_Agricola[Producto])*(M$1=Comercial_Agricola[Mes Financiero])*(M$2=Comercial_Agricola[Año Financiero]))</f>
        <v>0</v>
      </c>
      <c r="N77" s="393">
        <f>SUMPRODUCT(($C$67=Comercial_Agricola[Movimiento])*(Comercial_Agricola[Financiero U$S Dólares])*($G77=Comercial_Agricola[Producto])*(N$1=Comercial_Agricola[Mes Financiero])*(N$2=Comercial_Agricola[Año Financiero]))</f>
        <v>0</v>
      </c>
      <c r="O77" s="394">
        <f>SUMPRODUCT(($C$67=Comercial_Agricola[Movimiento])*(Comercial_Agricola[Financiero U$S Dólares])*($G77=Comercial_Agricola[Producto])*(O$1=Comercial_Agricola[Mes Financiero])*(O$2=Comercial_Agricola[Año Financiero]))</f>
        <v>0</v>
      </c>
      <c r="P77" s="393">
        <f>SUMPRODUCT(($C$67=Comercial_Agricola[Movimiento])*(Comercial_Agricola[Financiero U$S Dólares])*($G77=Comercial_Agricola[Producto])*(P$1=Comercial_Agricola[Mes Financiero])*(P$2=Comercial_Agricola[Año Financiero]))</f>
        <v>0</v>
      </c>
      <c r="Q77" s="394">
        <f>SUMPRODUCT(($C$67=Comercial_Agricola[Movimiento])*(Comercial_Agricola[Financiero U$S Dólares])*($G77=Comercial_Agricola[Producto])*(Q$1=Comercial_Agricola[Mes Financiero])*(Q$2=Comercial_Agricola[Año Financiero]))</f>
        <v>0</v>
      </c>
      <c r="R77" s="393">
        <f>SUMPRODUCT(($C$67=Comercial_Agricola[Movimiento])*(Comercial_Agricola[Financiero U$S Dólares])*($G77=Comercial_Agricola[Producto])*(R$1=Comercial_Agricola[Mes Financiero])*(R$2=Comercial_Agricola[Año Financiero]))</f>
        <v>0</v>
      </c>
      <c r="S77" s="394">
        <f>SUMPRODUCT(($C$67=Comercial_Agricola[Movimiento])*(Comercial_Agricola[Financiero U$S Dólares])*($G77=Comercial_Agricola[Producto])*(S$1=Comercial_Agricola[Mes Financiero])*(S$2=Comercial_Agricola[Año Financiero]))</f>
        <v>0</v>
      </c>
      <c r="T77" s="393">
        <f>SUMPRODUCT(($C$67=Comercial_Agricola[Movimiento])*(Comercial_Agricola[Financiero U$S Dólares])*($G77=Comercial_Agricola[Producto])*(T$1=Comercial_Agricola[Mes Financiero])*(T$2=Comercial_Agricola[Año Financiero]))</f>
        <v>0</v>
      </c>
      <c r="U77" s="394">
        <f>SUMPRODUCT(($C$67=Comercial_Agricola[Movimiento])*(Comercial_Agricola[Financiero U$S Dólares])*($G77=Comercial_Agricola[Producto])*(U$1=Comercial_Agricola[Mes Financiero])*(U$2=Comercial_Agricola[Año Financiero]))</f>
        <v>0</v>
      </c>
      <c r="V77" s="393">
        <f>SUMPRODUCT(($C$67=Comercial_Agricola[Movimiento])*(Comercial_Agricola[Financiero U$S Dólares])*($G77=Comercial_Agricola[Producto])*(V$1=Comercial_Agricola[Mes Financiero])*(V$2=Comercial_Agricola[Año Financiero]))</f>
        <v>0</v>
      </c>
      <c r="W77" s="394">
        <f>SUMPRODUCT(($C$67=Comercial_Agricola[Movimiento])*(Comercial_Agricola[Financiero U$S Dólares])*($G77=Comercial_Agricola[Producto])*(W$1=Comercial_Agricola[Mes Financiero])*(W$2=Comercial_Agricola[Año Financiero]))</f>
        <v>0</v>
      </c>
      <c r="X77" s="393">
        <f>SUMPRODUCT(($C$67=Comercial_Agricola[Movimiento])*(Comercial_Agricola[Financiero U$S Dólares])*($G77=Comercial_Agricola[Producto])*(X$1=Comercial_Agricola[Mes Financiero])*(X$2=Comercial_Agricola[Año Financiero]))</f>
        <v>0</v>
      </c>
      <c r="Y77" s="394">
        <f>SUMPRODUCT(($C$67=Comercial_Agricola[Movimiento])*(Comercial_Agricola[Financiero U$S Dólares])*($G77=Comercial_Agricola[Producto])*(Y$1=Comercial_Agricola[Mes Financiero])*(Y$2=Comercial_Agricola[Año Financiero]))</f>
        <v>0</v>
      </c>
      <c r="Z77" s="396"/>
    </row>
    <row r="78" spans="2:30" hidden="1" outlineLevel="1" collapsed="1" x14ac:dyDescent="0.25">
      <c r="E78" s="221">
        <f>IFERROR(MATCH(F78,Comercializacion_Granos_Cuentas[Cuenta Contable],0),0)</f>
        <v>6</v>
      </c>
      <c r="F78" s="10" t="str">
        <f>Configuración!AC10</f>
        <v>Compra de Granos</v>
      </c>
      <c r="H78" s="103">
        <f>SUMPRODUCT(($C$67=Comercial_Agricola[Movimiento])*(Comercial_Agricola[Financiero U$S Dólares])*($F78=Comercial_Agricola[Cuenta Contable])*(H$1=Comercial_Agricola[Mes Financiero])*(H$2=Comercial_Agricola[Año Financiero]))</f>
        <v>0</v>
      </c>
      <c r="I78" s="104">
        <f>SUMPRODUCT(($C$67=Comercial_Agricola[Movimiento])*(Comercial_Agricola[Financiero U$S Dólares])*($F78=Comercial_Agricola[Cuenta Contable])*(I$1=Comercial_Agricola[Mes Financiero])*(I$2=Comercial_Agricola[Año Financiero]))</f>
        <v>0</v>
      </c>
      <c r="J78" s="103">
        <f>SUMPRODUCT(($C$67=Comercial_Agricola[Movimiento])*(Comercial_Agricola[Financiero U$S Dólares])*($F78=Comercial_Agricola[Cuenta Contable])*(J$1=Comercial_Agricola[Mes Financiero])*(J$2=Comercial_Agricola[Año Financiero]))</f>
        <v>0</v>
      </c>
      <c r="K78" s="104">
        <f>SUMPRODUCT(($C$67=Comercial_Agricola[Movimiento])*(Comercial_Agricola[Financiero U$S Dólares])*($F78=Comercial_Agricola[Cuenta Contable])*(K$1=Comercial_Agricola[Mes Financiero])*(K$2=Comercial_Agricola[Año Financiero]))</f>
        <v>0</v>
      </c>
      <c r="L78" s="103">
        <f>SUMPRODUCT(($C$67=Comercial_Agricola[Movimiento])*(Comercial_Agricola[Financiero U$S Dólares])*($F78=Comercial_Agricola[Cuenta Contable])*(L$1=Comercial_Agricola[Mes Financiero])*(L$2=Comercial_Agricola[Año Financiero]))</f>
        <v>0</v>
      </c>
      <c r="M78" s="104">
        <f>SUMPRODUCT(($C$67=Comercial_Agricola[Movimiento])*(Comercial_Agricola[Financiero U$S Dólares])*($F78=Comercial_Agricola[Cuenta Contable])*(M$1=Comercial_Agricola[Mes Financiero])*(M$2=Comercial_Agricola[Año Financiero]))</f>
        <v>0</v>
      </c>
      <c r="N78" s="103">
        <f>SUMPRODUCT(($C$67=Comercial_Agricola[Movimiento])*(Comercial_Agricola[Financiero U$S Dólares])*($F78=Comercial_Agricola[Cuenta Contable])*(N$1=Comercial_Agricola[Mes Financiero])*(N$2=Comercial_Agricola[Año Financiero]))</f>
        <v>0</v>
      </c>
      <c r="O78" s="104">
        <f>SUMPRODUCT(($C$67=Comercial_Agricola[Movimiento])*(Comercial_Agricola[Financiero U$S Dólares])*($F78=Comercial_Agricola[Cuenta Contable])*(O$1=Comercial_Agricola[Mes Financiero])*(O$2=Comercial_Agricola[Año Financiero]))</f>
        <v>0</v>
      </c>
      <c r="P78" s="103">
        <f>SUMPRODUCT(($C$67=Comercial_Agricola[Movimiento])*(Comercial_Agricola[Financiero U$S Dólares])*($F78=Comercial_Agricola[Cuenta Contable])*(P$1=Comercial_Agricola[Mes Financiero])*(P$2=Comercial_Agricola[Año Financiero]))</f>
        <v>0</v>
      </c>
      <c r="Q78" s="104">
        <f>SUMPRODUCT(($C$67=Comercial_Agricola[Movimiento])*(Comercial_Agricola[Financiero U$S Dólares])*($F78=Comercial_Agricola[Cuenta Contable])*(Q$1=Comercial_Agricola[Mes Financiero])*(Q$2=Comercial_Agricola[Año Financiero]))</f>
        <v>0</v>
      </c>
      <c r="R78" s="103">
        <f>SUMPRODUCT(($C$67=Comercial_Agricola[Movimiento])*(Comercial_Agricola[Financiero U$S Dólares])*($F78=Comercial_Agricola[Cuenta Contable])*(R$1=Comercial_Agricola[Mes Financiero])*(R$2=Comercial_Agricola[Año Financiero]))</f>
        <v>0</v>
      </c>
      <c r="S78" s="104">
        <f>SUMPRODUCT(($C$67=Comercial_Agricola[Movimiento])*(Comercial_Agricola[Financiero U$S Dólares])*($F78=Comercial_Agricola[Cuenta Contable])*(S$1=Comercial_Agricola[Mes Financiero])*(S$2=Comercial_Agricola[Año Financiero]))</f>
        <v>0</v>
      </c>
      <c r="T78" s="103">
        <f>SUMPRODUCT(($C$67=Comercial_Agricola[Movimiento])*(Comercial_Agricola[Financiero U$S Dólares])*($F78=Comercial_Agricola[Cuenta Contable])*(T$1=Comercial_Agricola[Mes Financiero])*(T$2=Comercial_Agricola[Año Financiero]))</f>
        <v>0</v>
      </c>
      <c r="U78" s="104">
        <f>SUMPRODUCT(($C$67=Comercial_Agricola[Movimiento])*(Comercial_Agricola[Financiero U$S Dólares])*($F78=Comercial_Agricola[Cuenta Contable])*(U$1=Comercial_Agricola[Mes Financiero])*(U$2=Comercial_Agricola[Año Financiero]))</f>
        <v>0</v>
      </c>
      <c r="V78" s="103">
        <f>SUMPRODUCT(($C$67=Comercial_Agricola[Movimiento])*(Comercial_Agricola[Financiero U$S Dólares])*($F78=Comercial_Agricola[Cuenta Contable])*(V$1=Comercial_Agricola[Mes Financiero])*(V$2=Comercial_Agricola[Año Financiero]))</f>
        <v>0</v>
      </c>
      <c r="W78" s="104">
        <f>SUMPRODUCT(($C$67=Comercial_Agricola[Movimiento])*(Comercial_Agricola[Financiero U$S Dólares])*($F78=Comercial_Agricola[Cuenta Contable])*(W$1=Comercial_Agricola[Mes Financiero])*(W$2=Comercial_Agricola[Año Financiero]))</f>
        <v>0</v>
      </c>
      <c r="X78" s="103">
        <f>SUMPRODUCT(($C$67=Comercial_Agricola[Movimiento])*(Comercial_Agricola[Financiero U$S Dólares])*($F78=Comercial_Agricola[Cuenta Contable])*(X$1=Comercial_Agricola[Mes Financiero])*(X$2=Comercial_Agricola[Año Financiero]))</f>
        <v>0</v>
      </c>
      <c r="Y78" s="104">
        <f>SUMPRODUCT(($C$67=Comercial_Agricola[Movimiento])*(Comercial_Agricola[Financiero U$S Dólares])*($F78=Comercial_Agricola[Cuenta Contable])*(Y$1=Comercial_Agricola[Mes Financiero])*(Y$2=Comercial_Agricola[Año Financiero]))</f>
        <v>0</v>
      </c>
      <c r="Z78" s="144">
        <f t="shared" si="3"/>
        <v>0</v>
      </c>
      <c r="AC78" s="174">
        <f>SUMPRODUCT((F78=Comercializacion_Granos_Cuentas[Cuenta Contable])*(Comercializacion_Granos_Cuentas[IVA Financiero]))</f>
        <v>0.105</v>
      </c>
      <c r="AD78" s="174">
        <f>SUMPRODUCT((G78=Comercializacion_Granos_Cuentas[Cuenta Contable])*(Comercializacion_Granos_Cuentas[IVA Financiero]))</f>
        <v>0</v>
      </c>
    </row>
    <row r="79" spans="2:30" hidden="1" outlineLevel="1" x14ac:dyDescent="0.25">
      <c r="E79" s="221">
        <f>IFERROR(MATCH(F79,Comercializacion_Granos_Cuentas[Cuenta Contable],0),0)</f>
        <v>7</v>
      </c>
      <c r="F79" s="10" t="str">
        <f>Configuración!AC11</f>
        <v>Fletes Corto</v>
      </c>
      <c r="H79" s="103">
        <f>SUMPRODUCT(($C$67=Comercial_Agricola[Movimiento])*(Comercial_Agricola[Financiero U$S Dólares])*($F79=Comercial_Agricola[Cuenta Contable])*(H$1=Comercial_Agricola[Mes Financiero])*(H$2=Comercial_Agricola[Año Financiero]))</f>
        <v>0</v>
      </c>
      <c r="I79" s="104">
        <f>SUMPRODUCT(($C$67=Comercial_Agricola[Movimiento])*(Comercial_Agricola[Financiero U$S Dólares])*($F79=Comercial_Agricola[Cuenta Contable])*(I$1=Comercial_Agricola[Mes Financiero])*(I$2=Comercial_Agricola[Año Financiero]))</f>
        <v>0</v>
      </c>
      <c r="J79" s="103">
        <f>SUMPRODUCT(($C$67=Comercial_Agricola[Movimiento])*(Comercial_Agricola[Financiero U$S Dólares])*($F79=Comercial_Agricola[Cuenta Contable])*(J$1=Comercial_Agricola[Mes Financiero])*(J$2=Comercial_Agricola[Año Financiero]))</f>
        <v>0</v>
      </c>
      <c r="K79" s="104">
        <f>SUMPRODUCT(($C$67=Comercial_Agricola[Movimiento])*(Comercial_Agricola[Financiero U$S Dólares])*($F79=Comercial_Agricola[Cuenta Contable])*(K$1=Comercial_Agricola[Mes Financiero])*(K$2=Comercial_Agricola[Año Financiero]))</f>
        <v>0</v>
      </c>
      <c r="L79" s="103">
        <f>SUMPRODUCT(($C$67=Comercial_Agricola[Movimiento])*(Comercial_Agricola[Financiero U$S Dólares])*($F79=Comercial_Agricola[Cuenta Contable])*(L$1=Comercial_Agricola[Mes Financiero])*(L$2=Comercial_Agricola[Año Financiero]))</f>
        <v>0</v>
      </c>
      <c r="M79" s="104">
        <f>SUMPRODUCT(($C$67=Comercial_Agricola[Movimiento])*(Comercial_Agricola[Financiero U$S Dólares])*($F79=Comercial_Agricola[Cuenta Contable])*(M$1=Comercial_Agricola[Mes Financiero])*(M$2=Comercial_Agricola[Año Financiero]))</f>
        <v>0</v>
      </c>
      <c r="N79" s="103">
        <f>SUMPRODUCT(($C$67=Comercial_Agricola[Movimiento])*(Comercial_Agricola[Financiero U$S Dólares])*($F79=Comercial_Agricola[Cuenta Contable])*(N$1=Comercial_Agricola[Mes Financiero])*(N$2=Comercial_Agricola[Año Financiero]))</f>
        <v>0</v>
      </c>
      <c r="O79" s="104">
        <f>SUMPRODUCT(($C$67=Comercial_Agricola[Movimiento])*(Comercial_Agricola[Financiero U$S Dólares])*($F79=Comercial_Agricola[Cuenta Contable])*(O$1=Comercial_Agricola[Mes Financiero])*(O$2=Comercial_Agricola[Año Financiero]))</f>
        <v>0</v>
      </c>
      <c r="P79" s="103">
        <f>SUMPRODUCT(($C$67=Comercial_Agricola[Movimiento])*(Comercial_Agricola[Financiero U$S Dólares])*($F79=Comercial_Agricola[Cuenta Contable])*(P$1=Comercial_Agricola[Mes Financiero])*(P$2=Comercial_Agricola[Año Financiero]))</f>
        <v>0</v>
      </c>
      <c r="Q79" s="104">
        <f>SUMPRODUCT(($C$67=Comercial_Agricola[Movimiento])*(Comercial_Agricola[Financiero U$S Dólares])*($F79=Comercial_Agricola[Cuenta Contable])*(Q$1=Comercial_Agricola[Mes Financiero])*(Q$2=Comercial_Agricola[Año Financiero]))</f>
        <v>0</v>
      </c>
      <c r="R79" s="103">
        <f>SUMPRODUCT(($C$67=Comercial_Agricola[Movimiento])*(Comercial_Agricola[Financiero U$S Dólares])*($F79=Comercial_Agricola[Cuenta Contable])*(R$1=Comercial_Agricola[Mes Financiero])*(R$2=Comercial_Agricola[Año Financiero]))</f>
        <v>0</v>
      </c>
      <c r="S79" s="104">
        <f>SUMPRODUCT(($C$67=Comercial_Agricola[Movimiento])*(Comercial_Agricola[Financiero U$S Dólares])*($F79=Comercial_Agricola[Cuenta Contable])*(S$1=Comercial_Agricola[Mes Financiero])*(S$2=Comercial_Agricola[Año Financiero]))</f>
        <v>0</v>
      </c>
      <c r="T79" s="103">
        <f>SUMPRODUCT(($C$67=Comercial_Agricola[Movimiento])*(Comercial_Agricola[Financiero U$S Dólares])*($F79=Comercial_Agricola[Cuenta Contable])*(T$1=Comercial_Agricola[Mes Financiero])*(T$2=Comercial_Agricola[Año Financiero]))</f>
        <v>0</v>
      </c>
      <c r="U79" s="104">
        <f>SUMPRODUCT(($C$67=Comercial_Agricola[Movimiento])*(Comercial_Agricola[Financiero U$S Dólares])*($F79=Comercial_Agricola[Cuenta Contable])*(U$1=Comercial_Agricola[Mes Financiero])*(U$2=Comercial_Agricola[Año Financiero]))</f>
        <v>0</v>
      </c>
      <c r="V79" s="103">
        <f>SUMPRODUCT(($C$67=Comercial_Agricola[Movimiento])*(Comercial_Agricola[Financiero U$S Dólares])*($F79=Comercial_Agricola[Cuenta Contable])*(V$1=Comercial_Agricola[Mes Financiero])*(V$2=Comercial_Agricola[Año Financiero]))</f>
        <v>0</v>
      </c>
      <c r="W79" s="104">
        <f>SUMPRODUCT(($C$67=Comercial_Agricola[Movimiento])*(Comercial_Agricola[Financiero U$S Dólares])*($F79=Comercial_Agricola[Cuenta Contable])*(W$1=Comercial_Agricola[Mes Financiero])*(W$2=Comercial_Agricola[Año Financiero]))</f>
        <v>0</v>
      </c>
      <c r="X79" s="103">
        <f>SUMPRODUCT(($C$67=Comercial_Agricola[Movimiento])*(Comercial_Agricola[Financiero U$S Dólares])*($F79=Comercial_Agricola[Cuenta Contable])*(X$1=Comercial_Agricola[Mes Financiero])*(X$2=Comercial_Agricola[Año Financiero]))</f>
        <v>0</v>
      </c>
      <c r="Y79" s="104">
        <f>SUMPRODUCT(($C$67=Comercial_Agricola[Movimiento])*(Comercial_Agricola[Financiero U$S Dólares])*($F79=Comercial_Agricola[Cuenta Contable])*(Y$1=Comercial_Agricola[Mes Financiero])*(Y$2=Comercial_Agricola[Año Financiero]))</f>
        <v>0</v>
      </c>
      <c r="Z79" s="144">
        <f t="shared" si="3"/>
        <v>0</v>
      </c>
      <c r="AC79" s="174">
        <f>SUMPRODUCT((F79=Comercializacion_Granos_Cuentas[Cuenta Contable])*(Comercializacion_Granos_Cuentas[IVA Financiero]))</f>
        <v>0.21</v>
      </c>
      <c r="AD79" s="174">
        <f>SUMPRODUCT((G79=Comercializacion_Granos_Cuentas[Cuenta Contable])*(Comercializacion_Granos_Cuentas[IVA Financiero]))</f>
        <v>0</v>
      </c>
    </row>
    <row r="80" spans="2:30" hidden="1" outlineLevel="1" x14ac:dyDescent="0.25">
      <c r="E80" s="221">
        <f>IFERROR(MATCH(F80,Comercializacion_Granos_Cuentas[Cuenta Contable],0),0)</f>
        <v>8</v>
      </c>
      <c r="F80" s="10" t="str">
        <f>Configuración!AC12</f>
        <v>Flete Largo</v>
      </c>
      <c r="H80" s="103">
        <f>SUMPRODUCT(($C$67=Comercial_Agricola[Movimiento])*(Comercial_Agricola[Financiero U$S Dólares])*($F80=Comercial_Agricola[Cuenta Contable])*(H$1=Comercial_Agricola[Mes Financiero])*(H$2=Comercial_Agricola[Año Financiero]))</f>
        <v>0</v>
      </c>
      <c r="I80" s="104">
        <f>SUMPRODUCT(($C$67=Comercial_Agricola[Movimiento])*(Comercial_Agricola[Financiero U$S Dólares])*($F80=Comercial_Agricola[Cuenta Contable])*(I$1=Comercial_Agricola[Mes Financiero])*(I$2=Comercial_Agricola[Año Financiero]))</f>
        <v>0</v>
      </c>
      <c r="J80" s="103">
        <f>SUMPRODUCT(($C$67=Comercial_Agricola[Movimiento])*(Comercial_Agricola[Financiero U$S Dólares])*($F80=Comercial_Agricola[Cuenta Contable])*(J$1=Comercial_Agricola[Mes Financiero])*(J$2=Comercial_Agricola[Año Financiero]))</f>
        <v>0</v>
      </c>
      <c r="K80" s="104">
        <f>SUMPRODUCT(($C$67=Comercial_Agricola[Movimiento])*(Comercial_Agricola[Financiero U$S Dólares])*($F80=Comercial_Agricola[Cuenta Contable])*(K$1=Comercial_Agricola[Mes Financiero])*(K$2=Comercial_Agricola[Año Financiero]))</f>
        <v>0</v>
      </c>
      <c r="L80" s="103">
        <f>SUMPRODUCT(($C$67=Comercial_Agricola[Movimiento])*(Comercial_Agricola[Financiero U$S Dólares])*($F80=Comercial_Agricola[Cuenta Contable])*(L$1=Comercial_Agricola[Mes Financiero])*(L$2=Comercial_Agricola[Año Financiero]))</f>
        <v>0</v>
      </c>
      <c r="M80" s="104">
        <f>SUMPRODUCT(($C$67=Comercial_Agricola[Movimiento])*(Comercial_Agricola[Financiero U$S Dólares])*($F80=Comercial_Agricola[Cuenta Contable])*(M$1=Comercial_Agricola[Mes Financiero])*(M$2=Comercial_Agricola[Año Financiero]))</f>
        <v>0</v>
      </c>
      <c r="N80" s="103">
        <f>SUMPRODUCT(($C$67=Comercial_Agricola[Movimiento])*(Comercial_Agricola[Financiero U$S Dólares])*($F80=Comercial_Agricola[Cuenta Contable])*(N$1=Comercial_Agricola[Mes Financiero])*(N$2=Comercial_Agricola[Año Financiero]))</f>
        <v>0</v>
      </c>
      <c r="O80" s="104">
        <f>SUMPRODUCT(($C$67=Comercial_Agricola[Movimiento])*(Comercial_Agricola[Financiero U$S Dólares])*($F80=Comercial_Agricola[Cuenta Contable])*(O$1=Comercial_Agricola[Mes Financiero])*(O$2=Comercial_Agricola[Año Financiero]))</f>
        <v>0</v>
      </c>
      <c r="P80" s="103">
        <f>SUMPRODUCT(($C$67=Comercial_Agricola[Movimiento])*(Comercial_Agricola[Financiero U$S Dólares])*($F80=Comercial_Agricola[Cuenta Contable])*(P$1=Comercial_Agricola[Mes Financiero])*(P$2=Comercial_Agricola[Año Financiero]))</f>
        <v>0</v>
      </c>
      <c r="Q80" s="104">
        <f>SUMPRODUCT(($C$67=Comercial_Agricola[Movimiento])*(Comercial_Agricola[Financiero U$S Dólares])*($F80=Comercial_Agricola[Cuenta Contable])*(Q$1=Comercial_Agricola[Mes Financiero])*(Q$2=Comercial_Agricola[Año Financiero]))</f>
        <v>0</v>
      </c>
      <c r="R80" s="103">
        <f>SUMPRODUCT(($C$67=Comercial_Agricola[Movimiento])*(Comercial_Agricola[Financiero U$S Dólares])*($F80=Comercial_Agricola[Cuenta Contable])*(R$1=Comercial_Agricola[Mes Financiero])*(R$2=Comercial_Agricola[Año Financiero]))</f>
        <v>0</v>
      </c>
      <c r="S80" s="104">
        <f>SUMPRODUCT(($C$67=Comercial_Agricola[Movimiento])*(Comercial_Agricola[Financiero U$S Dólares])*($F80=Comercial_Agricola[Cuenta Contable])*(S$1=Comercial_Agricola[Mes Financiero])*(S$2=Comercial_Agricola[Año Financiero]))</f>
        <v>0</v>
      </c>
      <c r="T80" s="103">
        <f>SUMPRODUCT(($C$67=Comercial_Agricola[Movimiento])*(Comercial_Agricola[Financiero U$S Dólares])*($F80=Comercial_Agricola[Cuenta Contable])*(T$1=Comercial_Agricola[Mes Financiero])*(T$2=Comercial_Agricola[Año Financiero]))</f>
        <v>0</v>
      </c>
      <c r="U80" s="104">
        <f>SUMPRODUCT(($C$67=Comercial_Agricola[Movimiento])*(Comercial_Agricola[Financiero U$S Dólares])*($F80=Comercial_Agricola[Cuenta Contable])*(U$1=Comercial_Agricola[Mes Financiero])*(U$2=Comercial_Agricola[Año Financiero]))</f>
        <v>0</v>
      </c>
      <c r="V80" s="103">
        <f>SUMPRODUCT(($C$67=Comercial_Agricola[Movimiento])*(Comercial_Agricola[Financiero U$S Dólares])*($F80=Comercial_Agricola[Cuenta Contable])*(V$1=Comercial_Agricola[Mes Financiero])*(V$2=Comercial_Agricola[Año Financiero]))</f>
        <v>0</v>
      </c>
      <c r="W80" s="104">
        <f>SUMPRODUCT(($C$67=Comercial_Agricola[Movimiento])*(Comercial_Agricola[Financiero U$S Dólares])*($F80=Comercial_Agricola[Cuenta Contable])*(W$1=Comercial_Agricola[Mes Financiero])*(W$2=Comercial_Agricola[Año Financiero]))</f>
        <v>0</v>
      </c>
      <c r="X80" s="103">
        <f>SUMPRODUCT(($C$67=Comercial_Agricola[Movimiento])*(Comercial_Agricola[Financiero U$S Dólares])*($F80=Comercial_Agricola[Cuenta Contable])*(X$1=Comercial_Agricola[Mes Financiero])*(X$2=Comercial_Agricola[Año Financiero]))</f>
        <v>0</v>
      </c>
      <c r="Y80" s="104">
        <f>SUMPRODUCT(($C$67=Comercial_Agricola[Movimiento])*(Comercial_Agricola[Financiero U$S Dólares])*($F80=Comercial_Agricola[Cuenta Contable])*(Y$1=Comercial_Agricola[Mes Financiero])*(Y$2=Comercial_Agricola[Año Financiero]))</f>
        <v>0</v>
      </c>
      <c r="Z80" s="144">
        <f t="shared" si="3"/>
        <v>0</v>
      </c>
      <c r="AC80" s="174">
        <f>SUMPRODUCT((F80=Comercializacion_Granos_Cuentas[Cuenta Contable])*(Comercializacion_Granos_Cuentas[IVA Financiero]))</f>
        <v>0.21</v>
      </c>
      <c r="AD80" s="174">
        <f>SUMPRODUCT((G80=Comercializacion_Granos_Cuentas[Cuenta Contable])*(Comercializacion_Granos_Cuentas[IVA Financiero]))</f>
        <v>0</v>
      </c>
    </row>
    <row r="81" spans="2:30" hidden="1" outlineLevel="1" x14ac:dyDescent="0.25">
      <c r="E81" s="221">
        <f>IFERROR(MATCH(F81,Comercializacion_Granos_Cuentas[Cuenta Contable],0),0)</f>
        <v>9</v>
      </c>
      <c r="F81" s="10" t="str">
        <f>Configuración!AC13</f>
        <v>Acondicionamiento</v>
      </c>
      <c r="H81" s="103">
        <f>SUMPRODUCT(($C$67=Comercial_Agricola[Movimiento])*(Comercial_Agricola[Financiero U$S Dólares])*($F81=Comercial_Agricola[Cuenta Contable])*(H$1=Comercial_Agricola[Mes Financiero])*(H$2=Comercial_Agricola[Año Financiero]))</f>
        <v>0</v>
      </c>
      <c r="I81" s="104">
        <f>SUMPRODUCT(($C$67=Comercial_Agricola[Movimiento])*(Comercial_Agricola[Financiero U$S Dólares])*($F81=Comercial_Agricola[Cuenta Contable])*(I$1=Comercial_Agricola[Mes Financiero])*(I$2=Comercial_Agricola[Año Financiero]))</f>
        <v>0</v>
      </c>
      <c r="J81" s="103">
        <f>SUMPRODUCT(($C$67=Comercial_Agricola[Movimiento])*(Comercial_Agricola[Financiero U$S Dólares])*($F81=Comercial_Agricola[Cuenta Contable])*(J$1=Comercial_Agricola[Mes Financiero])*(J$2=Comercial_Agricola[Año Financiero]))</f>
        <v>0</v>
      </c>
      <c r="K81" s="104">
        <f>SUMPRODUCT(($C$67=Comercial_Agricola[Movimiento])*(Comercial_Agricola[Financiero U$S Dólares])*($F81=Comercial_Agricola[Cuenta Contable])*(K$1=Comercial_Agricola[Mes Financiero])*(K$2=Comercial_Agricola[Año Financiero]))</f>
        <v>0</v>
      </c>
      <c r="L81" s="103">
        <f>SUMPRODUCT(($C$67=Comercial_Agricola[Movimiento])*(Comercial_Agricola[Financiero U$S Dólares])*($F81=Comercial_Agricola[Cuenta Contable])*(L$1=Comercial_Agricola[Mes Financiero])*(L$2=Comercial_Agricola[Año Financiero]))</f>
        <v>0</v>
      </c>
      <c r="M81" s="104">
        <f>SUMPRODUCT(($C$67=Comercial_Agricola[Movimiento])*(Comercial_Agricola[Financiero U$S Dólares])*($F81=Comercial_Agricola[Cuenta Contable])*(M$1=Comercial_Agricola[Mes Financiero])*(M$2=Comercial_Agricola[Año Financiero]))</f>
        <v>0</v>
      </c>
      <c r="N81" s="103">
        <f>SUMPRODUCT(($C$67=Comercial_Agricola[Movimiento])*(Comercial_Agricola[Financiero U$S Dólares])*($F81=Comercial_Agricola[Cuenta Contable])*(N$1=Comercial_Agricola[Mes Financiero])*(N$2=Comercial_Agricola[Año Financiero]))</f>
        <v>0</v>
      </c>
      <c r="O81" s="104">
        <f>SUMPRODUCT(($C$67=Comercial_Agricola[Movimiento])*(Comercial_Agricola[Financiero U$S Dólares])*($F81=Comercial_Agricola[Cuenta Contable])*(O$1=Comercial_Agricola[Mes Financiero])*(O$2=Comercial_Agricola[Año Financiero]))</f>
        <v>0</v>
      </c>
      <c r="P81" s="103">
        <f>SUMPRODUCT(($C$67=Comercial_Agricola[Movimiento])*(Comercial_Agricola[Financiero U$S Dólares])*($F81=Comercial_Agricola[Cuenta Contable])*(P$1=Comercial_Agricola[Mes Financiero])*(P$2=Comercial_Agricola[Año Financiero]))</f>
        <v>0</v>
      </c>
      <c r="Q81" s="104">
        <f>SUMPRODUCT(($C$67=Comercial_Agricola[Movimiento])*(Comercial_Agricola[Financiero U$S Dólares])*($F81=Comercial_Agricola[Cuenta Contable])*(Q$1=Comercial_Agricola[Mes Financiero])*(Q$2=Comercial_Agricola[Año Financiero]))</f>
        <v>0</v>
      </c>
      <c r="R81" s="103">
        <f>SUMPRODUCT(($C$67=Comercial_Agricola[Movimiento])*(Comercial_Agricola[Financiero U$S Dólares])*($F81=Comercial_Agricola[Cuenta Contable])*(R$1=Comercial_Agricola[Mes Financiero])*(R$2=Comercial_Agricola[Año Financiero]))</f>
        <v>0</v>
      </c>
      <c r="S81" s="104">
        <f>SUMPRODUCT(($C$67=Comercial_Agricola[Movimiento])*(Comercial_Agricola[Financiero U$S Dólares])*($F81=Comercial_Agricola[Cuenta Contable])*(S$1=Comercial_Agricola[Mes Financiero])*(S$2=Comercial_Agricola[Año Financiero]))</f>
        <v>0</v>
      </c>
      <c r="T81" s="103">
        <f>SUMPRODUCT(($C$67=Comercial_Agricola[Movimiento])*(Comercial_Agricola[Financiero U$S Dólares])*($F81=Comercial_Agricola[Cuenta Contable])*(T$1=Comercial_Agricola[Mes Financiero])*(T$2=Comercial_Agricola[Año Financiero]))</f>
        <v>0</v>
      </c>
      <c r="U81" s="104">
        <f>SUMPRODUCT(($C$67=Comercial_Agricola[Movimiento])*(Comercial_Agricola[Financiero U$S Dólares])*($F81=Comercial_Agricola[Cuenta Contable])*(U$1=Comercial_Agricola[Mes Financiero])*(U$2=Comercial_Agricola[Año Financiero]))</f>
        <v>0</v>
      </c>
      <c r="V81" s="103">
        <f>SUMPRODUCT(($C$67=Comercial_Agricola[Movimiento])*(Comercial_Agricola[Financiero U$S Dólares])*($F81=Comercial_Agricola[Cuenta Contable])*(V$1=Comercial_Agricola[Mes Financiero])*(V$2=Comercial_Agricola[Año Financiero]))</f>
        <v>0</v>
      </c>
      <c r="W81" s="104">
        <f>SUMPRODUCT(($C$67=Comercial_Agricola[Movimiento])*(Comercial_Agricola[Financiero U$S Dólares])*($F81=Comercial_Agricola[Cuenta Contable])*(W$1=Comercial_Agricola[Mes Financiero])*(W$2=Comercial_Agricola[Año Financiero]))</f>
        <v>0</v>
      </c>
      <c r="X81" s="103">
        <f>SUMPRODUCT(($C$67=Comercial_Agricola[Movimiento])*(Comercial_Agricola[Financiero U$S Dólares])*($F81=Comercial_Agricola[Cuenta Contable])*(X$1=Comercial_Agricola[Mes Financiero])*(X$2=Comercial_Agricola[Año Financiero]))</f>
        <v>0</v>
      </c>
      <c r="Y81" s="104">
        <f>SUMPRODUCT(($C$67=Comercial_Agricola[Movimiento])*(Comercial_Agricola[Financiero U$S Dólares])*($F81=Comercial_Agricola[Cuenta Contable])*(Y$1=Comercial_Agricola[Mes Financiero])*(Y$2=Comercial_Agricola[Año Financiero]))</f>
        <v>0</v>
      </c>
      <c r="Z81" s="144">
        <f t="shared" si="3"/>
        <v>0</v>
      </c>
      <c r="AC81" s="174">
        <f>SUMPRODUCT((F81=Comercializacion_Granos_Cuentas[Cuenta Contable])*(Comercializacion_Granos_Cuentas[IVA Financiero]))</f>
        <v>0.21</v>
      </c>
      <c r="AD81" s="174">
        <f>SUMPRODUCT((G81=Comercializacion_Granos_Cuentas[Cuenta Contable])*(Comercializacion_Granos_Cuentas[IVA Financiero]))</f>
        <v>0</v>
      </c>
    </row>
    <row r="82" spans="2:30" hidden="1" outlineLevel="1" x14ac:dyDescent="0.25">
      <c r="E82" s="221">
        <f>IFERROR(MATCH(F82,Comercializacion_Granos_Cuentas[Cuenta Contable],0),0)</f>
        <v>10</v>
      </c>
      <c r="F82" s="10" t="str">
        <f>Configuración!AC14</f>
        <v>Paritarias</v>
      </c>
      <c r="H82" s="103">
        <f>SUMPRODUCT(($C$67=Comercial_Agricola[Movimiento])*(Comercial_Agricola[Financiero U$S Dólares])*($F82=Comercial_Agricola[Cuenta Contable])*(H$1=Comercial_Agricola[Mes Financiero])*(H$2=Comercial_Agricola[Año Financiero]))</f>
        <v>0</v>
      </c>
      <c r="I82" s="104">
        <f>SUMPRODUCT(($C$67=Comercial_Agricola[Movimiento])*(Comercial_Agricola[Financiero U$S Dólares])*($F82=Comercial_Agricola[Cuenta Contable])*(I$1=Comercial_Agricola[Mes Financiero])*(I$2=Comercial_Agricola[Año Financiero]))</f>
        <v>0</v>
      </c>
      <c r="J82" s="103">
        <f>SUMPRODUCT(($C$67=Comercial_Agricola[Movimiento])*(Comercial_Agricola[Financiero U$S Dólares])*($F82=Comercial_Agricola[Cuenta Contable])*(J$1=Comercial_Agricola[Mes Financiero])*(J$2=Comercial_Agricola[Año Financiero]))</f>
        <v>0</v>
      </c>
      <c r="K82" s="104">
        <f>SUMPRODUCT(($C$67=Comercial_Agricola[Movimiento])*(Comercial_Agricola[Financiero U$S Dólares])*($F82=Comercial_Agricola[Cuenta Contable])*(K$1=Comercial_Agricola[Mes Financiero])*(K$2=Comercial_Agricola[Año Financiero]))</f>
        <v>0</v>
      </c>
      <c r="L82" s="103">
        <f>SUMPRODUCT(($C$67=Comercial_Agricola[Movimiento])*(Comercial_Agricola[Financiero U$S Dólares])*($F82=Comercial_Agricola[Cuenta Contable])*(L$1=Comercial_Agricola[Mes Financiero])*(L$2=Comercial_Agricola[Año Financiero]))</f>
        <v>0</v>
      </c>
      <c r="M82" s="104">
        <f>SUMPRODUCT(($C$67=Comercial_Agricola[Movimiento])*(Comercial_Agricola[Financiero U$S Dólares])*($F82=Comercial_Agricola[Cuenta Contable])*(M$1=Comercial_Agricola[Mes Financiero])*(M$2=Comercial_Agricola[Año Financiero]))</f>
        <v>0</v>
      </c>
      <c r="N82" s="103">
        <f>SUMPRODUCT(($C$67=Comercial_Agricola[Movimiento])*(Comercial_Agricola[Financiero U$S Dólares])*($F82=Comercial_Agricola[Cuenta Contable])*(N$1=Comercial_Agricola[Mes Financiero])*(N$2=Comercial_Agricola[Año Financiero]))</f>
        <v>0</v>
      </c>
      <c r="O82" s="104">
        <f>SUMPRODUCT(($C$67=Comercial_Agricola[Movimiento])*(Comercial_Agricola[Financiero U$S Dólares])*($F82=Comercial_Agricola[Cuenta Contable])*(O$1=Comercial_Agricola[Mes Financiero])*(O$2=Comercial_Agricola[Año Financiero]))</f>
        <v>0</v>
      </c>
      <c r="P82" s="103">
        <f>SUMPRODUCT(($C$67=Comercial_Agricola[Movimiento])*(Comercial_Agricola[Financiero U$S Dólares])*($F82=Comercial_Agricola[Cuenta Contable])*(P$1=Comercial_Agricola[Mes Financiero])*(P$2=Comercial_Agricola[Año Financiero]))</f>
        <v>0</v>
      </c>
      <c r="Q82" s="104">
        <f>SUMPRODUCT(($C$67=Comercial_Agricola[Movimiento])*(Comercial_Agricola[Financiero U$S Dólares])*($F82=Comercial_Agricola[Cuenta Contable])*(Q$1=Comercial_Agricola[Mes Financiero])*(Q$2=Comercial_Agricola[Año Financiero]))</f>
        <v>0</v>
      </c>
      <c r="R82" s="103">
        <f>SUMPRODUCT(($C$67=Comercial_Agricola[Movimiento])*(Comercial_Agricola[Financiero U$S Dólares])*($F82=Comercial_Agricola[Cuenta Contable])*(R$1=Comercial_Agricola[Mes Financiero])*(R$2=Comercial_Agricola[Año Financiero]))</f>
        <v>0</v>
      </c>
      <c r="S82" s="104">
        <f>SUMPRODUCT(($C$67=Comercial_Agricola[Movimiento])*(Comercial_Agricola[Financiero U$S Dólares])*($F82=Comercial_Agricola[Cuenta Contable])*(S$1=Comercial_Agricola[Mes Financiero])*(S$2=Comercial_Agricola[Año Financiero]))</f>
        <v>0</v>
      </c>
      <c r="T82" s="103">
        <f>SUMPRODUCT(($C$67=Comercial_Agricola[Movimiento])*(Comercial_Agricola[Financiero U$S Dólares])*($F82=Comercial_Agricola[Cuenta Contable])*(T$1=Comercial_Agricola[Mes Financiero])*(T$2=Comercial_Agricola[Año Financiero]))</f>
        <v>0</v>
      </c>
      <c r="U82" s="104">
        <f>SUMPRODUCT(($C$67=Comercial_Agricola[Movimiento])*(Comercial_Agricola[Financiero U$S Dólares])*($F82=Comercial_Agricola[Cuenta Contable])*(U$1=Comercial_Agricola[Mes Financiero])*(U$2=Comercial_Agricola[Año Financiero]))</f>
        <v>0</v>
      </c>
      <c r="V82" s="103">
        <f>SUMPRODUCT(($C$67=Comercial_Agricola[Movimiento])*(Comercial_Agricola[Financiero U$S Dólares])*($F82=Comercial_Agricola[Cuenta Contable])*(V$1=Comercial_Agricola[Mes Financiero])*(V$2=Comercial_Agricola[Año Financiero]))</f>
        <v>0</v>
      </c>
      <c r="W82" s="104">
        <f>SUMPRODUCT(($C$67=Comercial_Agricola[Movimiento])*(Comercial_Agricola[Financiero U$S Dólares])*($F82=Comercial_Agricola[Cuenta Contable])*(W$1=Comercial_Agricola[Mes Financiero])*(W$2=Comercial_Agricola[Año Financiero]))</f>
        <v>0</v>
      </c>
      <c r="X82" s="103">
        <f>SUMPRODUCT(($C$67=Comercial_Agricola[Movimiento])*(Comercial_Agricola[Financiero U$S Dólares])*($F82=Comercial_Agricola[Cuenta Contable])*(X$1=Comercial_Agricola[Mes Financiero])*(X$2=Comercial_Agricola[Año Financiero]))</f>
        <v>0</v>
      </c>
      <c r="Y82" s="104">
        <f>SUMPRODUCT(($C$67=Comercial_Agricola[Movimiento])*(Comercial_Agricola[Financiero U$S Dólares])*($F82=Comercial_Agricola[Cuenta Contable])*(Y$1=Comercial_Agricola[Mes Financiero])*(Y$2=Comercial_Agricola[Año Financiero]))</f>
        <v>0</v>
      </c>
      <c r="Z82" s="144">
        <f t="shared" si="3"/>
        <v>0</v>
      </c>
      <c r="AC82" s="174">
        <f>SUMPRODUCT((F82=Comercializacion_Granos_Cuentas[Cuenta Contable])*(Comercializacion_Granos_Cuentas[IVA Financiero]))</f>
        <v>0.21</v>
      </c>
      <c r="AD82" s="174">
        <f>SUMPRODUCT((G82=Comercializacion_Granos_Cuentas[Cuenta Contable])*(Comercializacion_Granos_Cuentas[IVA Financiero]))</f>
        <v>0</v>
      </c>
    </row>
    <row r="83" spans="2:30" hidden="1" outlineLevel="1" x14ac:dyDescent="0.25">
      <c r="E83" s="221">
        <f>IFERROR(MATCH(F83,Comercializacion_Granos_Cuentas[Cuenta Contable],0),0)</f>
        <v>11</v>
      </c>
      <c r="F83" s="10" t="str">
        <f>Configuración!AC15</f>
        <v>Secada</v>
      </c>
      <c r="H83" s="103">
        <f>SUMPRODUCT(($C$67=Comercial_Agricola[Movimiento])*(Comercial_Agricola[Financiero U$S Dólares])*($F83=Comercial_Agricola[Cuenta Contable])*(H$1=Comercial_Agricola[Mes Financiero])*(H$2=Comercial_Agricola[Año Financiero]))</f>
        <v>0</v>
      </c>
      <c r="I83" s="104">
        <f>SUMPRODUCT(($C$67=Comercial_Agricola[Movimiento])*(Comercial_Agricola[Financiero U$S Dólares])*($F83=Comercial_Agricola[Cuenta Contable])*(I$1=Comercial_Agricola[Mes Financiero])*(I$2=Comercial_Agricola[Año Financiero]))</f>
        <v>0</v>
      </c>
      <c r="J83" s="103">
        <f>SUMPRODUCT(($C$67=Comercial_Agricola[Movimiento])*(Comercial_Agricola[Financiero U$S Dólares])*($F83=Comercial_Agricola[Cuenta Contable])*(J$1=Comercial_Agricola[Mes Financiero])*(J$2=Comercial_Agricola[Año Financiero]))</f>
        <v>0</v>
      </c>
      <c r="K83" s="104">
        <f>SUMPRODUCT(($C$67=Comercial_Agricola[Movimiento])*(Comercial_Agricola[Financiero U$S Dólares])*($F83=Comercial_Agricola[Cuenta Contable])*(K$1=Comercial_Agricola[Mes Financiero])*(K$2=Comercial_Agricola[Año Financiero]))</f>
        <v>0</v>
      </c>
      <c r="L83" s="103">
        <f>SUMPRODUCT(($C$67=Comercial_Agricola[Movimiento])*(Comercial_Agricola[Financiero U$S Dólares])*($F83=Comercial_Agricola[Cuenta Contable])*(L$1=Comercial_Agricola[Mes Financiero])*(L$2=Comercial_Agricola[Año Financiero]))</f>
        <v>0</v>
      </c>
      <c r="M83" s="104">
        <f>SUMPRODUCT(($C$67=Comercial_Agricola[Movimiento])*(Comercial_Agricola[Financiero U$S Dólares])*($F83=Comercial_Agricola[Cuenta Contable])*(M$1=Comercial_Agricola[Mes Financiero])*(M$2=Comercial_Agricola[Año Financiero]))</f>
        <v>0</v>
      </c>
      <c r="N83" s="103">
        <f>SUMPRODUCT(($C$67=Comercial_Agricola[Movimiento])*(Comercial_Agricola[Financiero U$S Dólares])*($F83=Comercial_Agricola[Cuenta Contable])*(N$1=Comercial_Agricola[Mes Financiero])*(N$2=Comercial_Agricola[Año Financiero]))</f>
        <v>0</v>
      </c>
      <c r="O83" s="104">
        <f>SUMPRODUCT(($C$67=Comercial_Agricola[Movimiento])*(Comercial_Agricola[Financiero U$S Dólares])*($F83=Comercial_Agricola[Cuenta Contable])*(O$1=Comercial_Agricola[Mes Financiero])*(O$2=Comercial_Agricola[Año Financiero]))</f>
        <v>0</v>
      </c>
      <c r="P83" s="103">
        <f>SUMPRODUCT(($C$67=Comercial_Agricola[Movimiento])*(Comercial_Agricola[Financiero U$S Dólares])*($F83=Comercial_Agricola[Cuenta Contable])*(P$1=Comercial_Agricola[Mes Financiero])*(P$2=Comercial_Agricola[Año Financiero]))</f>
        <v>0</v>
      </c>
      <c r="Q83" s="104">
        <f>SUMPRODUCT(($C$67=Comercial_Agricola[Movimiento])*(Comercial_Agricola[Financiero U$S Dólares])*($F83=Comercial_Agricola[Cuenta Contable])*(Q$1=Comercial_Agricola[Mes Financiero])*(Q$2=Comercial_Agricola[Año Financiero]))</f>
        <v>0</v>
      </c>
      <c r="R83" s="103">
        <f>SUMPRODUCT(($C$67=Comercial_Agricola[Movimiento])*(Comercial_Agricola[Financiero U$S Dólares])*($F83=Comercial_Agricola[Cuenta Contable])*(R$1=Comercial_Agricola[Mes Financiero])*(R$2=Comercial_Agricola[Año Financiero]))</f>
        <v>0</v>
      </c>
      <c r="S83" s="104">
        <f>SUMPRODUCT(($C$67=Comercial_Agricola[Movimiento])*(Comercial_Agricola[Financiero U$S Dólares])*($F83=Comercial_Agricola[Cuenta Contable])*(S$1=Comercial_Agricola[Mes Financiero])*(S$2=Comercial_Agricola[Año Financiero]))</f>
        <v>0</v>
      </c>
      <c r="T83" s="103">
        <f>SUMPRODUCT(($C$67=Comercial_Agricola[Movimiento])*(Comercial_Agricola[Financiero U$S Dólares])*($F83=Comercial_Agricola[Cuenta Contable])*(T$1=Comercial_Agricola[Mes Financiero])*(T$2=Comercial_Agricola[Año Financiero]))</f>
        <v>0</v>
      </c>
      <c r="U83" s="104">
        <f>SUMPRODUCT(($C$67=Comercial_Agricola[Movimiento])*(Comercial_Agricola[Financiero U$S Dólares])*($F83=Comercial_Agricola[Cuenta Contable])*(U$1=Comercial_Agricola[Mes Financiero])*(U$2=Comercial_Agricola[Año Financiero]))</f>
        <v>0</v>
      </c>
      <c r="V83" s="103">
        <f>SUMPRODUCT(($C$67=Comercial_Agricola[Movimiento])*(Comercial_Agricola[Financiero U$S Dólares])*($F83=Comercial_Agricola[Cuenta Contable])*(V$1=Comercial_Agricola[Mes Financiero])*(V$2=Comercial_Agricola[Año Financiero]))</f>
        <v>0</v>
      </c>
      <c r="W83" s="104">
        <f>SUMPRODUCT(($C$67=Comercial_Agricola[Movimiento])*(Comercial_Agricola[Financiero U$S Dólares])*($F83=Comercial_Agricola[Cuenta Contable])*(W$1=Comercial_Agricola[Mes Financiero])*(W$2=Comercial_Agricola[Año Financiero]))</f>
        <v>0</v>
      </c>
      <c r="X83" s="103">
        <f>SUMPRODUCT(($C$67=Comercial_Agricola[Movimiento])*(Comercial_Agricola[Financiero U$S Dólares])*($F83=Comercial_Agricola[Cuenta Contable])*(X$1=Comercial_Agricola[Mes Financiero])*(X$2=Comercial_Agricola[Año Financiero]))</f>
        <v>0</v>
      </c>
      <c r="Y83" s="104">
        <f>SUMPRODUCT(($C$67=Comercial_Agricola[Movimiento])*(Comercial_Agricola[Financiero U$S Dólares])*($F83=Comercial_Agricola[Cuenta Contable])*(Y$1=Comercial_Agricola[Mes Financiero])*(Y$2=Comercial_Agricola[Año Financiero]))</f>
        <v>0</v>
      </c>
      <c r="Z83" s="144">
        <f t="shared" si="3"/>
        <v>0</v>
      </c>
      <c r="AC83" s="174">
        <f>SUMPRODUCT((F83=Comercializacion_Granos_Cuentas[Cuenta Contable])*(Comercializacion_Granos_Cuentas[IVA Financiero]))</f>
        <v>0.21</v>
      </c>
      <c r="AD83" s="174">
        <f>SUMPRODUCT((G83=Comercializacion_Granos_Cuentas[Cuenta Contable])*(Comercializacion_Granos_Cuentas[IVA Financiero]))</f>
        <v>0</v>
      </c>
    </row>
    <row r="84" spans="2:30" hidden="1" outlineLevel="1" x14ac:dyDescent="0.25">
      <c r="E84" s="221">
        <f>IFERROR(MATCH(F84,Comercializacion_Granos_Cuentas[Cuenta Contable],0),0)</f>
        <v>12</v>
      </c>
      <c r="F84" s="10" t="str">
        <f>Configuración!AC16</f>
        <v>Comisión</v>
      </c>
      <c r="H84" s="103">
        <f>SUMPRODUCT(($C$67=Comercial_Agricola[Movimiento])*(Comercial_Agricola[Financiero U$S Dólares])*($F84=Comercial_Agricola[Cuenta Contable])*(H$1=Comercial_Agricola[Mes Financiero])*(H$2=Comercial_Agricola[Año Financiero]))</f>
        <v>0</v>
      </c>
      <c r="I84" s="104">
        <f>SUMPRODUCT(($C$67=Comercial_Agricola[Movimiento])*(Comercial_Agricola[Financiero U$S Dólares])*($F84=Comercial_Agricola[Cuenta Contable])*(I$1=Comercial_Agricola[Mes Financiero])*(I$2=Comercial_Agricola[Año Financiero]))</f>
        <v>0</v>
      </c>
      <c r="J84" s="103">
        <f>SUMPRODUCT(($C$67=Comercial_Agricola[Movimiento])*(Comercial_Agricola[Financiero U$S Dólares])*($F84=Comercial_Agricola[Cuenta Contable])*(J$1=Comercial_Agricola[Mes Financiero])*(J$2=Comercial_Agricola[Año Financiero]))</f>
        <v>0</v>
      </c>
      <c r="K84" s="104">
        <f>SUMPRODUCT(($C$67=Comercial_Agricola[Movimiento])*(Comercial_Agricola[Financiero U$S Dólares])*($F84=Comercial_Agricola[Cuenta Contable])*(K$1=Comercial_Agricola[Mes Financiero])*(K$2=Comercial_Agricola[Año Financiero]))</f>
        <v>0</v>
      </c>
      <c r="L84" s="103">
        <f>SUMPRODUCT(($C$67=Comercial_Agricola[Movimiento])*(Comercial_Agricola[Financiero U$S Dólares])*($F84=Comercial_Agricola[Cuenta Contable])*(L$1=Comercial_Agricola[Mes Financiero])*(L$2=Comercial_Agricola[Año Financiero]))</f>
        <v>0</v>
      </c>
      <c r="M84" s="104">
        <f>SUMPRODUCT(($C$67=Comercial_Agricola[Movimiento])*(Comercial_Agricola[Financiero U$S Dólares])*($F84=Comercial_Agricola[Cuenta Contable])*(M$1=Comercial_Agricola[Mes Financiero])*(M$2=Comercial_Agricola[Año Financiero]))</f>
        <v>0</v>
      </c>
      <c r="N84" s="103">
        <f>SUMPRODUCT(($C$67=Comercial_Agricola[Movimiento])*(Comercial_Agricola[Financiero U$S Dólares])*($F84=Comercial_Agricola[Cuenta Contable])*(N$1=Comercial_Agricola[Mes Financiero])*(N$2=Comercial_Agricola[Año Financiero]))</f>
        <v>0</v>
      </c>
      <c r="O84" s="104">
        <f>SUMPRODUCT(($C$67=Comercial_Agricola[Movimiento])*(Comercial_Agricola[Financiero U$S Dólares])*($F84=Comercial_Agricola[Cuenta Contable])*(O$1=Comercial_Agricola[Mes Financiero])*(O$2=Comercial_Agricola[Año Financiero]))</f>
        <v>0</v>
      </c>
      <c r="P84" s="103">
        <f>SUMPRODUCT(($C$67=Comercial_Agricola[Movimiento])*(Comercial_Agricola[Financiero U$S Dólares])*($F84=Comercial_Agricola[Cuenta Contable])*(P$1=Comercial_Agricola[Mes Financiero])*(P$2=Comercial_Agricola[Año Financiero]))</f>
        <v>0</v>
      </c>
      <c r="Q84" s="104">
        <f>SUMPRODUCT(($C$67=Comercial_Agricola[Movimiento])*(Comercial_Agricola[Financiero U$S Dólares])*($F84=Comercial_Agricola[Cuenta Contable])*(Q$1=Comercial_Agricola[Mes Financiero])*(Q$2=Comercial_Agricola[Año Financiero]))</f>
        <v>0</v>
      </c>
      <c r="R84" s="103">
        <f>SUMPRODUCT(($C$67=Comercial_Agricola[Movimiento])*(Comercial_Agricola[Financiero U$S Dólares])*($F84=Comercial_Agricola[Cuenta Contable])*(R$1=Comercial_Agricola[Mes Financiero])*(R$2=Comercial_Agricola[Año Financiero]))</f>
        <v>0</v>
      </c>
      <c r="S84" s="104">
        <f>SUMPRODUCT(($C$67=Comercial_Agricola[Movimiento])*(Comercial_Agricola[Financiero U$S Dólares])*($F84=Comercial_Agricola[Cuenta Contable])*(S$1=Comercial_Agricola[Mes Financiero])*(S$2=Comercial_Agricola[Año Financiero]))</f>
        <v>0</v>
      </c>
      <c r="T84" s="103">
        <f>SUMPRODUCT(($C$67=Comercial_Agricola[Movimiento])*(Comercial_Agricola[Financiero U$S Dólares])*($F84=Comercial_Agricola[Cuenta Contable])*(T$1=Comercial_Agricola[Mes Financiero])*(T$2=Comercial_Agricola[Año Financiero]))</f>
        <v>0</v>
      </c>
      <c r="U84" s="104">
        <f>SUMPRODUCT(($C$67=Comercial_Agricola[Movimiento])*(Comercial_Agricola[Financiero U$S Dólares])*($F84=Comercial_Agricola[Cuenta Contable])*(U$1=Comercial_Agricola[Mes Financiero])*(U$2=Comercial_Agricola[Año Financiero]))</f>
        <v>0</v>
      </c>
      <c r="V84" s="103">
        <f>SUMPRODUCT(($C$67=Comercial_Agricola[Movimiento])*(Comercial_Agricola[Financiero U$S Dólares])*($F84=Comercial_Agricola[Cuenta Contable])*(V$1=Comercial_Agricola[Mes Financiero])*(V$2=Comercial_Agricola[Año Financiero]))</f>
        <v>0</v>
      </c>
      <c r="W84" s="104">
        <f>SUMPRODUCT(($C$67=Comercial_Agricola[Movimiento])*(Comercial_Agricola[Financiero U$S Dólares])*($F84=Comercial_Agricola[Cuenta Contable])*(W$1=Comercial_Agricola[Mes Financiero])*(W$2=Comercial_Agricola[Año Financiero]))</f>
        <v>0</v>
      </c>
      <c r="X84" s="103">
        <f>SUMPRODUCT(($C$67=Comercial_Agricola[Movimiento])*(Comercial_Agricola[Financiero U$S Dólares])*($F84=Comercial_Agricola[Cuenta Contable])*(X$1=Comercial_Agricola[Mes Financiero])*(X$2=Comercial_Agricola[Año Financiero]))</f>
        <v>0</v>
      </c>
      <c r="Y84" s="104">
        <f>SUMPRODUCT(($C$67=Comercial_Agricola[Movimiento])*(Comercial_Agricola[Financiero U$S Dólares])*($F84=Comercial_Agricola[Cuenta Contable])*(Y$1=Comercial_Agricola[Mes Financiero])*(Y$2=Comercial_Agricola[Año Financiero]))</f>
        <v>0</v>
      </c>
      <c r="Z84" s="144">
        <f t="shared" ref="Z84:Z85" si="25">SUM(H84:Y84)</f>
        <v>0</v>
      </c>
      <c r="AC84" s="174">
        <f>SUMPRODUCT((F84=Comercializacion_Granos_Cuentas[Cuenta Contable])*(Comercializacion_Granos_Cuentas[IVA Financiero]))</f>
        <v>0.21</v>
      </c>
      <c r="AD84" s="174">
        <f>SUMPRODUCT((G84=Comercializacion_Granos_Cuentas[Cuenta Contable])*(Comercializacion_Granos_Cuentas[IVA Financiero]))</f>
        <v>0</v>
      </c>
    </row>
    <row r="85" spans="2:30" hidden="1" outlineLevel="1" x14ac:dyDescent="0.25">
      <c r="E85" s="221">
        <f>IFERROR(MATCH(F85,Comercializacion_Granos_Cuentas[Cuenta Contable],0),0)</f>
        <v>13</v>
      </c>
      <c r="F85" s="10" t="str">
        <f>Configuración!AC17</f>
        <v>Fletes Propios</v>
      </c>
      <c r="H85" s="103">
        <f>SUMPRODUCT(($C$67=Comercial_Agricola[Movimiento])*(Comercial_Agricola[Financiero U$S Dólares])*($F85=Comercial_Agricola[Cuenta Contable])*(H$1=Comercial_Agricola[Mes Financiero])*(H$2=Comercial_Agricola[Año Financiero]))</f>
        <v>0</v>
      </c>
      <c r="I85" s="104">
        <f>SUMPRODUCT(($C$67=Comercial_Agricola[Movimiento])*(Comercial_Agricola[Financiero U$S Dólares])*($F85=Comercial_Agricola[Cuenta Contable])*(I$1=Comercial_Agricola[Mes Financiero])*(I$2=Comercial_Agricola[Año Financiero]))</f>
        <v>0</v>
      </c>
      <c r="J85" s="103">
        <f>SUMPRODUCT(($C$67=Comercial_Agricola[Movimiento])*(Comercial_Agricola[Financiero U$S Dólares])*($F85=Comercial_Agricola[Cuenta Contable])*(J$1=Comercial_Agricola[Mes Financiero])*(J$2=Comercial_Agricola[Año Financiero]))</f>
        <v>0</v>
      </c>
      <c r="K85" s="104">
        <f>SUMPRODUCT(($C$67=Comercial_Agricola[Movimiento])*(Comercial_Agricola[Financiero U$S Dólares])*($F85=Comercial_Agricola[Cuenta Contable])*(K$1=Comercial_Agricola[Mes Financiero])*(K$2=Comercial_Agricola[Año Financiero]))</f>
        <v>0</v>
      </c>
      <c r="L85" s="103">
        <f>SUMPRODUCT(($C$67=Comercial_Agricola[Movimiento])*(Comercial_Agricola[Financiero U$S Dólares])*($F85=Comercial_Agricola[Cuenta Contable])*(L$1=Comercial_Agricola[Mes Financiero])*(L$2=Comercial_Agricola[Año Financiero]))</f>
        <v>0</v>
      </c>
      <c r="M85" s="104">
        <f>SUMPRODUCT(($C$67=Comercial_Agricola[Movimiento])*(Comercial_Agricola[Financiero U$S Dólares])*($F85=Comercial_Agricola[Cuenta Contable])*(M$1=Comercial_Agricola[Mes Financiero])*(M$2=Comercial_Agricola[Año Financiero]))</f>
        <v>0</v>
      </c>
      <c r="N85" s="103">
        <f>SUMPRODUCT(($C$67=Comercial_Agricola[Movimiento])*(Comercial_Agricola[Financiero U$S Dólares])*($F85=Comercial_Agricola[Cuenta Contable])*(N$1=Comercial_Agricola[Mes Financiero])*(N$2=Comercial_Agricola[Año Financiero]))</f>
        <v>0</v>
      </c>
      <c r="O85" s="104">
        <f>SUMPRODUCT(($C$67=Comercial_Agricola[Movimiento])*(Comercial_Agricola[Financiero U$S Dólares])*($F85=Comercial_Agricola[Cuenta Contable])*(O$1=Comercial_Agricola[Mes Financiero])*(O$2=Comercial_Agricola[Año Financiero]))</f>
        <v>0</v>
      </c>
      <c r="P85" s="103">
        <f>SUMPRODUCT(($C$67=Comercial_Agricola[Movimiento])*(Comercial_Agricola[Financiero U$S Dólares])*($F85=Comercial_Agricola[Cuenta Contable])*(P$1=Comercial_Agricola[Mes Financiero])*(P$2=Comercial_Agricola[Año Financiero]))</f>
        <v>0</v>
      </c>
      <c r="Q85" s="104">
        <f>SUMPRODUCT(($C$67=Comercial_Agricola[Movimiento])*(Comercial_Agricola[Financiero U$S Dólares])*($F85=Comercial_Agricola[Cuenta Contable])*(Q$1=Comercial_Agricola[Mes Financiero])*(Q$2=Comercial_Agricola[Año Financiero]))</f>
        <v>0</v>
      </c>
      <c r="R85" s="103">
        <f>SUMPRODUCT(($C$67=Comercial_Agricola[Movimiento])*(Comercial_Agricola[Financiero U$S Dólares])*($F85=Comercial_Agricola[Cuenta Contable])*(R$1=Comercial_Agricola[Mes Financiero])*(R$2=Comercial_Agricola[Año Financiero]))</f>
        <v>0</v>
      </c>
      <c r="S85" s="104">
        <f>SUMPRODUCT(($C$67=Comercial_Agricola[Movimiento])*(Comercial_Agricola[Financiero U$S Dólares])*($F85=Comercial_Agricola[Cuenta Contable])*(S$1=Comercial_Agricola[Mes Financiero])*(S$2=Comercial_Agricola[Año Financiero]))</f>
        <v>0</v>
      </c>
      <c r="T85" s="103">
        <f>SUMPRODUCT(($C$67=Comercial_Agricola[Movimiento])*(Comercial_Agricola[Financiero U$S Dólares])*($F85=Comercial_Agricola[Cuenta Contable])*(T$1=Comercial_Agricola[Mes Financiero])*(T$2=Comercial_Agricola[Año Financiero]))</f>
        <v>0</v>
      </c>
      <c r="U85" s="104">
        <f>SUMPRODUCT(($C$67=Comercial_Agricola[Movimiento])*(Comercial_Agricola[Financiero U$S Dólares])*($F85=Comercial_Agricola[Cuenta Contable])*(U$1=Comercial_Agricola[Mes Financiero])*(U$2=Comercial_Agricola[Año Financiero]))</f>
        <v>0</v>
      </c>
      <c r="V85" s="103">
        <f>SUMPRODUCT(($C$67=Comercial_Agricola[Movimiento])*(Comercial_Agricola[Financiero U$S Dólares])*($F85=Comercial_Agricola[Cuenta Contable])*(V$1=Comercial_Agricola[Mes Financiero])*(V$2=Comercial_Agricola[Año Financiero]))</f>
        <v>0</v>
      </c>
      <c r="W85" s="104">
        <f>SUMPRODUCT(($C$67=Comercial_Agricola[Movimiento])*(Comercial_Agricola[Financiero U$S Dólares])*($F85=Comercial_Agricola[Cuenta Contable])*(W$1=Comercial_Agricola[Mes Financiero])*(W$2=Comercial_Agricola[Año Financiero]))</f>
        <v>0</v>
      </c>
      <c r="X85" s="103">
        <f>SUMPRODUCT(($C$67=Comercial_Agricola[Movimiento])*(Comercial_Agricola[Financiero U$S Dólares])*($F85=Comercial_Agricola[Cuenta Contable])*(X$1=Comercial_Agricola[Mes Financiero])*(X$2=Comercial_Agricola[Año Financiero]))</f>
        <v>0</v>
      </c>
      <c r="Y85" s="104">
        <f>SUMPRODUCT(($C$67=Comercial_Agricola[Movimiento])*(Comercial_Agricola[Financiero U$S Dólares])*($F85=Comercial_Agricola[Cuenta Contable])*(Y$1=Comercial_Agricola[Mes Financiero])*(Y$2=Comercial_Agricola[Año Financiero]))</f>
        <v>0</v>
      </c>
      <c r="Z85" s="144">
        <f t="shared" si="25"/>
        <v>0</v>
      </c>
      <c r="AC85" s="174">
        <f>SUMPRODUCT((F85=Comercializacion_Granos_Cuentas[Cuenta Contable])*(Comercializacion_Granos_Cuentas[IVA Financiero]))</f>
        <v>0</v>
      </c>
      <c r="AD85" s="174">
        <f>SUMPRODUCT((G85=Comercializacion_Granos_Cuentas[Cuenta Contable])*(Comercializacion_Granos_Cuentas[IVA Financiero]))</f>
        <v>0</v>
      </c>
    </row>
    <row r="86" spans="2:30" hidden="1" outlineLevel="1" x14ac:dyDescent="0.25">
      <c r="B86" s="166" t="s">
        <v>101</v>
      </c>
      <c r="E86" s="221">
        <f>IFERROR(MATCH(F86,Comercializacion_Granos_Cuentas[Cuenta Contable],0),0)</f>
        <v>0</v>
      </c>
      <c r="F86" s="10">
        <f>Configuración!AC18</f>
        <v>0</v>
      </c>
      <c r="H86" s="103">
        <f>SUMPRODUCT(($C$67=Comercial_Agricola[Movimiento])*(Comercial_Agricola[Financiero U$S Dólares])*($F86=Comercial_Agricola[Cuenta Contable])*(H$1=Comercial_Agricola[Mes Financiero])*(H$2=Comercial_Agricola[Año Financiero]))</f>
        <v>0</v>
      </c>
      <c r="I86" s="104">
        <f>SUMPRODUCT(($C$67=Comercial_Agricola[Movimiento])*(Comercial_Agricola[Financiero U$S Dólares])*($F86=Comercial_Agricola[Cuenta Contable])*(I$1=Comercial_Agricola[Mes Financiero])*(I$2=Comercial_Agricola[Año Financiero]))</f>
        <v>0</v>
      </c>
      <c r="J86" s="103">
        <f>SUMPRODUCT(($C$67=Comercial_Agricola[Movimiento])*(Comercial_Agricola[Financiero U$S Dólares])*($F86=Comercial_Agricola[Cuenta Contable])*(J$1=Comercial_Agricola[Mes Financiero])*(J$2=Comercial_Agricola[Año Financiero]))</f>
        <v>0</v>
      </c>
      <c r="K86" s="104">
        <f>SUMPRODUCT(($C$67=Comercial_Agricola[Movimiento])*(Comercial_Agricola[Financiero U$S Dólares])*($F86=Comercial_Agricola[Cuenta Contable])*(K$1=Comercial_Agricola[Mes Financiero])*(K$2=Comercial_Agricola[Año Financiero]))</f>
        <v>0</v>
      </c>
      <c r="L86" s="103">
        <f>SUMPRODUCT(($C$67=Comercial_Agricola[Movimiento])*(Comercial_Agricola[Financiero U$S Dólares])*($F86=Comercial_Agricola[Cuenta Contable])*(L$1=Comercial_Agricola[Mes Financiero])*(L$2=Comercial_Agricola[Año Financiero]))</f>
        <v>0</v>
      </c>
      <c r="M86" s="104">
        <f>SUMPRODUCT(($C$67=Comercial_Agricola[Movimiento])*(Comercial_Agricola[Financiero U$S Dólares])*($F86=Comercial_Agricola[Cuenta Contable])*(M$1=Comercial_Agricola[Mes Financiero])*(M$2=Comercial_Agricola[Año Financiero]))</f>
        <v>0</v>
      </c>
      <c r="N86" s="103">
        <f>SUMPRODUCT(($C$67=Comercial_Agricola[Movimiento])*(Comercial_Agricola[Financiero U$S Dólares])*($F86=Comercial_Agricola[Cuenta Contable])*(N$1=Comercial_Agricola[Mes Financiero])*(N$2=Comercial_Agricola[Año Financiero]))</f>
        <v>0</v>
      </c>
      <c r="O86" s="104">
        <f>SUMPRODUCT(($C$67=Comercial_Agricola[Movimiento])*(Comercial_Agricola[Financiero U$S Dólares])*($F86=Comercial_Agricola[Cuenta Contable])*(O$1=Comercial_Agricola[Mes Financiero])*(O$2=Comercial_Agricola[Año Financiero]))</f>
        <v>0</v>
      </c>
      <c r="P86" s="103">
        <f>SUMPRODUCT(($C$67=Comercial_Agricola[Movimiento])*(Comercial_Agricola[Financiero U$S Dólares])*($F86=Comercial_Agricola[Cuenta Contable])*(P$1=Comercial_Agricola[Mes Financiero])*(P$2=Comercial_Agricola[Año Financiero]))</f>
        <v>0</v>
      </c>
      <c r="Q86" s="104">
        <f>SUMPRODUCT(($C$67=Comercial_Agricola[Movimiento])*(Comercial_Agricola[Financiero U$S Dólares])*($F86=Comercial_Agricola[Cuenta Contable])*(Q$1=Comercial_Agricola[Mes Financiero])*(Q$2=Comercial_Agricola[Año Financiero]))</f>
        <v>0</v>
      </c>
      <c r="R86" s="103">
        <f>SUMPRODUCT(($C$67=Comercial_Agricola[Movimiento])*(Comercial_Agricola[Financiero U$S Dólares])*($F86=Comercial_Agricola[Cuenta Contable])*(R$1=Comercial_Agricola[Mes Financiero])*(R$2=Comercial_Agricola[Año Financiero]))</f>
        <v>0</v>
      </c>
      <c r="S86" s="104">
        <f>SUMPRODUCT(($C$67=Comercial_Agricola[Movimiento])*(Comercial_Agricola[Financiero U$S Dólares])*($F86=Comercial_Agricola[Cuenta Contable])*(S$1=Comercial_Agricola[Mes Financiero])*(S$2=Comercial_Agricola[Año Financiero]))</f>
        <v>0</v>
      </c>
      <c r="T86" s="103">
        <f>SUMPRODUCT(($C$67=Comercial_Agricola[Movimiento])*(Comercial_Agricola[Financiero U$S Dólares])*($F86=Comercial_Agricola[Cuenta Contable])*(T$1=Comercial_Agricola[Mes Financiero])*(T$2=Comercial_Agricola[Año Financiero]))</f>
        <v>0</v>
      </c>
      <c r="U86" s="104">
        <f>SUMPRODUCT(($C$67=Comercial_Agricola[Movimiento])*(Comercial_Agricola[Financiero U$S Dólares])*($F86=Comercial_Agricola[Cuenta Contable])*(U$1=Comercial_Agricola[Mes Financiero])*(U$2=Comercial_Agricola[Año Financiero]))</f>
        <v>0</v>
      </c>
      <c r="V86" s="103">
        <f>SUMPRODUCT(($C$67=Comercial_Agricola[Movimiento])*(Comercial_Agricola[Financiero U$S Dólares])*($F86=Comercial_Agricola[Cuenta Contable])*(V$1=Comercial_Agricola[Mes Financiero])*(V$2=Comercial_Agricola[Año Financiero]))</f>
        <v>0</v>
      </c>
      <c r="W86" s="104">
        <f>SUMPRODUCT(($C$67=Comercial_Agricola[Movimiento])*(Comercial_Agricola[Financiero U$S Dólares])*($F86=Comercial_Agricola[Cuenta Contable])*(W$1=Comercial_Agricola[Mes Financiero])*(W$2=Comercial_Agricola[Año Financiero]))</f>
        <v>0</v>
      </c>
      <c r="X86" s="103">
        <f>SUMPRODUCT(($C$67=Comercial_Agricola[Movimiento])*(Comercial_Agricola[Financiero U$S Dólares])*($F86=Comercial_Agricola[Cuenta Contable])*(X$1=Comercial_Agricola[Mes Financiero])*(X$2=Comercial_Agricola[Año Financiero]))</f>
        <v>0</v>
      </c>
      <c r="Y86" s="104">
        <f>SUMPRODUCT(($C$67=Comercial_Agricola[Movimiento])*(Comercial_Agricola[Financiero U$S Dólares])*($F86=Comercial_Agricola[Cuenta Contable])*(Y$1=Comercial_Agricola[Mes Financiero])*(Y$2=Comercial_Agricola[Año Financiero]))</f>
        <v>0</v>
      </c>
      <c r="Z86" s="144">
        <f t="shared" ref="Z86:Z87" si="26">SUM(H86:Y86)</f>
        <v>0</v>
      </c>
      <c r="AC86" s="174">
        <f>SUMPRODUCT((F86=Comercializacion_Granos_Cuentas[Cuenta Contable])*(Comercializacion_Granos_Cuentas[IVA Financiero]))</f>
        <v>0</v>
      </c>
      <c r="AD86" s="174">
        <f>SUMPRODUCT((G86=Comercializacion_Granos_Cuentas[Cuenta Contable])*(Comercializacion_Granos_Cuentas[IVA Financiero]))</f>
        <v>0</v>
      </c>
    </row>
    <row r="87" spans="2:30" hidden="1" outlineLevel="1" x14ac:dyDescent="0.25">
      <c r="E87" s="222">
        <f>IFERROR(MATCH(F87,Comercializacion_Granos_Cuentas[Cuenta Contable],0),0)</f>
        <v>0</v>
      </c>
      <c r="F87" s="276" t="s">
        <v>233</v>
      </c>
      <c r="G87" s="94"/>
      <c r="H87" s="105">
        <f>SUMPRODUCT(($C$67=Comercial_Agricola[Movimiento])*(Comercial_Agricola[Financiero U$S Dólares])*(H$1=Comercial_Agricola[Mes Financiero])*(H$2=Comercial_Agricola[Año Financiero]))-SUM(H78:H86)</f>
        <v>0</v>
      </c>
      <c r="I87" s="106">
        <f>SUMPRODUCT(($C$67=Comercial_Agricola[Movimiento])*(Comercial_Agricola[Financiero U$S Dólares])*(I$1=Comercial_Agricola[Mes Financiero])*(I$2=Comercial_Agricola[Año Financiero]))-SUM(I78:I86)</f>
        <v>0</v>
      </c>
      <c r="J87" s="105">
        <f>SUMPRODUCT(($C$67=Comercial_Agricola[Movimiento])*(Comercial_Agricola[Financiero U$S Dólares])*(J$1=Comercial_Agricola[Mes Financiero])*(J$2=Comercial_Agricola[Año Financiero]))-SUM(J78:J86)</f>
        <v>0</v>
      </c>
      <c r="K87" s="106">
        <f>SUMPRODUCT(($C$67=Comercial_Agricola[Movimiento])*(Comercial_Agricola[Financiero U$S Dólares])*(K$1=Comercial_Agricola[Mes Financiero])*(K$2=Comercial_Agricola[Año Financiero]))-SUM(K78:K86)</f>
        <v>0</v>
      </c>
      <c r="L87" s="105">
        <f>SUMPRODUCT(($C$67=Comercial_Agricola[Movimiento])*(Comercial_Agricola[Financiero U$S Dólares])*(L$1=Comercial_Agricola[Mes Financiero])*(L$2=Comercial_Agricola[Año Financiero]))-SUM(L78:L86)</f>
        <v>0</v>
      </c>
      <c r="M87" s="106">
        <f>SUMPRODUCT(($C$67=Comercial_Agricola[Movimiento])*(Comercial_Agricola[Financiero U$S Dólares])*(M$1=Comercial_Agricola[Mes Financiero])*(M$2=Comercial_Agricola[Año Financiero]))-SUM(M78:M86)</f>
        <v>0</v>
      </c>
      <c r="N87" s="105">
        <f>SUMPRODUCT(($C$67=Comercial_Agricola[Movimiento])*(Comercial_Agricola[Financiero U$S Dólares])*(N$1=Comercial_Agricola[Mes Financiero])*(N$2=Comercial_Agricola[Año Financiero]))-SUM(N78:N86)</f>
        <v>0</v>
      </c>
      <c r="O87" s="106">
        <f>SUMPRODUCT(($C$67=Comercial_Agricola[Movimiento])*(Comercial_Agricola[Financiero U$S Dólares])*(O$1=Comercial_Agricola[Mes Financiero])*(O$2=Comercial_Agricola[Año Financiero]))-SUM(O78:O86)</f>
        <v>0</v>
      </c>
      <c r="P87" s="105">
        <f>SUMPRODUCT(($C$67=Comercial_Agricola[Movimiento])*(Comercial_Agricola[Financiero U$S Dólares])*(P$1=Comercial_Agricola[Mes Financiero])*(P$2=Comercial_Agricola[Año Financiero]))-SUM(P78:P86)</f>
        <v>0</v>
      </c>
      <c r="Q87" s="106">
        <f>SUMPRODUCT(($C$67=Comercial_Agricola[Movimiento])*(Comercial_Agricola[Financiero U$S Dólares])*(Q$1=Comercial_Agricola[Mes Financiero])*(Q$2=Comercial_Agricola[Año Financiero]))-SUM(Q78:Q86)</f>
        <v>0</v>
      </c>
      <c r="R87" s="105">
        <f>SUMPRODUCT(($C$67=Comercial_Agricola[Movimiento])*(Comercial_Agricola[Financiero U$S Dólares])*(R$1=Comercial_Agricola[Mes Financiero])*(R$2=Comercial_Agricola[Año Financiero]))-SUM(R78:R86)</f>
        <v>0</v>
      </c>
      <c r="S87" s="106">
        <f>SUMPRODUCT(($C$67=Comercial_Agricola[Movimiento])*(Comercial_Agricola[Financiero U$S Dólares])*(S$1=Comercial_Agricola[Mes Financiero])*(S$2=Comercial_Agricola[Año Financiero]))-SUM(S78:S86)</f>
        <v>0</v>
      </c>
      <c r="T87" s="105">
        <f>SUMPRODUCT(($C$67=Comercial_Agricola[Movimiento])*(Comercial_Agricola[Financiero U$S Dólares])*(T$1=Comercial_Agricola[Mes Financiero])*(T$2=Comercial_Agricola[Año Financiero]))-SUM(T78:T86)</f>
        <v>0</v>
      </c>
      <c r="U87" s="106">
        <f>SUMPRODUCT(($C$67=Comercial_Agricola[Movimiento])*(Comercial_Agricola[Financiero U$S Dólares])*(U$1=Comercial_Agricola[Mes Financiero])*(U$2=Comercial_Agricola[Año Financiero]))-SUM(U78:U86)</f>
        <v>0</v>
      </c>
      <c r="V87" s="105">
        <f>SUMPRODUCT(($C$67=Comercial_Agricola[Movimiento])*(Comercial_Agricola[Financiero U$S Dólares])*(V$1=Comercial_Agricola[Mes Financiero])*(V$2=Comercial_Agricola[Año Financiero]))-SUM(V78:V86)</f>
        <v>0</v>
      </c>
      <c r="W87" s="106">
        <f>SUMPRODUCT(($C$67=Comercial_Agricola[Movimiento])*(Comercial_Agricola[Financiero U$S Dólares])*(W$1=Comercial_Agricola[Mes Financiero])*(W$2=Comercial_Agricola[Año Financiero]))-SUM(W78:W86)</f>
        <v>0</v>
      </c>
      <c r="X87" s="105">
        <f>SUMPRODUCT(($C$67=Comercial_Agricola[Movimiento])*(Comercial_Agricola[Financiero U$S Dólares])*(X$1=Comercial_Agricola[Mes Financiero])*(X$2=Comercial_Agricola[Año Financiero]))-SUM(X78:X86)</f>
        <v>0</v>
      </c>
      <c r="Y87" s="106">
        <f>SUMPRODUCT(($C$67=Comercial_Agricola[Movimiento])*(Comercial_Agricola[Financiero U$S Dólares])*(Y$1=Comercial_Agricola[Mes Financiero])*(Y$2=Comercial_Agricola[Año Financiero]))-SUM(Y78:Y86)</f>
        <v>0</v>
      </c>
      <c r="Z87" s="163">
        <f t="shared" si="26"/>
        <v>0</v>
      </c>
      <c r="AC87" s="174">
        <f>SUMPRODUCT((F87=Comercializacion_Granos_Cuentas[Cuenta Contable])*(Comercializacion_Granos_Cuentas[IVA Financiero]))</f>
        <v>0</v>
      </c>
      <c r="AD87" s="174">
        <f>SUMPRODUCT((G87=Comercializacion_Granos_Cuentas[Cuenta Contable])*(Comercializacion_Granos_Cuentas[IVA Financiero]))</f>
        <v>0</v>
      </c>
    </row>
    <row r="88" spans="2:30" collapsed="1" x14ac:dyDescent="0.25">
      <c r="C88" s="210" t="s">
        <v>38</v>
      </c>
      <c r="D88" s="381" t="s">
        <v>103</v>
      </c>
      <c r="F88" s="420" t="s">
        <v>217</v>
      </c>
      <c r="G88" s="19"/>
      <c r="H88" s="112">
        <f>SUMPRODUCT(($C$88=Producción_Agricola[Movimiento])*(Producción_Agricola[Financiero U$S Dólares])*(H$1=Producción_Agricola[Mes Financiero])*(H$2=Producción_Agricola[Año Financiero]))</f>
        <v>0</v>
      </c>
      <c r="I88" s="113">
        <f>SUMPRODUCT(($C$88=Producción_Agricola[Movimiento])*(Producción_Agricola[Financiero U$S Dólares])*(I$1=Producción_Agricola[Mes Financiero])*(I$2=Producción_Agricola[Año Financiero]))</f>
        <v>0</v>
      </c>
      <c r="J88" s="112">
        <f>SUMPRODUCT(($C$88=Producción_Agricola[Movimiento])*(Producción_Agricola[Financiero U$S Dólares])*(J$1=Producción_Agricola[Mes Financiero])*(J$2=Producción_Agricola[Año Financiero]))</f>
        <v>0</v>
      </c>
      <c r="K88" s="113">
        <f>SUMPRODUCT(($C$88=Producción_Agricola[Movimiento])*(Producción_Agricola[Financiero U$S Dólares])*(K$1=Producción_Agricola[Mes Financiero])*(K$2=Producción_Agricola[Año Financiero]))</f>
        <v>0</v>
      </c>
      <c r="L88" s="112">
        <f>SUMPRODUCT(($C$88=Producción_Agricola[Movimiento])*(Producción_Agricola[Financiero U$S Dólares])*(L$1=Producción_Agricola[Mes Financiero])*(L$2=Producción_Agricola[Año Financiero]))</f>
        <v>0</v>
      </c>
      <c r="M88" s="113">
        <f>SUMPRODUCT(($C$88=Producción_Agricola[Movimiento])*(Producción_Agricola[Financiero U$S Dólares])*(M$1=Producción_Agricola[Mes Financiero])*(M$2=Producción_Agricola[Año Financiero]))</f>
        <v>0</v>
      </c>
      <c r="N88" s="112">
        <f>SUMPRODUCT(($C$88=Producción_Agricola[Movimiento])*(Producción_Agricola[Financiero U$S Dólares])*(N$1=Producción_Agricola[Mes Financiero])*(N$2=Producción_Agricola[Año Financiero]))</f>
        <v>0</v>
      </c>
      <c r="O88" s="113">
        <f>SUMPRODUCT(($C$88=Producción_Agricola[Movimiento])*(Producción_Agricola[Financiero U$S Dólares])*(O$1=Producción_Agricola[Mes Financiero])*(O$2=Producción_Agricola[Año Financiero]))</f>
        <v>0</v>
      </c>
      <c r="P88" s="112">
        <f>SUMPRODUCT(($C$88=Producción_Agricola[Movimiento])*(Producción_Agricola[Financiero U$S Dólares])*(P$1=Producción_Agricola[Mes Financiero])*(P$2=Producción_Agricola[Año Financiero]))</f>
        <v>0</v>
      </c>
      <c r="Q88" s="113">
        <f>SUMPRODUCT(($C$88=Producción_Agricola[Movimiento])*(Producción_Agricola[Financiero U$S Dólares])*(Q$1=Producción_Agricola[Mes Financiero])*(Q$2=Producción_Agricola[Año Financiero]))</f>
        <v>0</v>
      </c>
      <c r="R88" s="112">
        <f>SUMPRODUCT(($C$88=Producción_Agricola[Movimiento])*(Producción_Agricola[Financiero U$S Dólares])*(R$1=Producción_Agricola[Mes Financiero])*(R$2=Producción_Agricola[Año Financiero]))</f>
        <v>0</v>
      </c>
      <c r="S88" s="113">
        <f>SUMPRODUCT(($C$88=Producción_Agricola[Movimiento])*(Producción_Agricola[Financiero U$S Dólares])*(S$1=Producción_Agricola[Mes Financiero])*(S$2=Producción_Agricola[Año Financiero]))</f>
        <v>0</v>
      </c>
      <c r="T88" s="112">
        <f>SUMPRODUCT(($C$88=Producción_Agricola[Movimiento])*(Producción_Agricola[Financiero U$S Dólares])*(T$1=Producción_Agricola[Mes Financiero])*(T$2=Producción_Agricola[Año Financiero]))</f>
        <v>0</v>
      </c>
      <c r="U88" s="113">
        <f>SUMPRODUCT(($C$88=Producción_Agricola[Movimiento])*(Producción_Agricola[Financiero U$S Dólares])*(U$1=Producción_Agricola[Mes Financiero])*(U$2=Producción_Agricola[Año Financiero]))</f>
        <v>0</v>
      </c>
      <c r="V88" s="112">
        <f>SUMPRODUCT(($C$88=Producción_Agricola[Movimiento])*(Producción_Agricola[Financiero U$S Dólares])*(V$1=Producción_Agricola[Mes Financiero])*(V$2=Producción_Agricola[Año Financiero]))</f>
        <v>0</v>
      </c>
      <c r="W88" s="113">
        <f>SUMPRODUCT(($C$88=Producción_Agricola[Movimiento])*(Producción_Agricola[Financiero U$S Dólares])*(W$1=Producción_Agricola[Mes Financiero])*(W$2=Producción_Agricola[Año Financiero]))</f>
        <v>0</v>
      </c>
      <c r="X88" s="112">
        <f>SUMPRODUCT(($C$88=Producción_Agricola[Movimiento])*(Producción_Agricola[Financiero U$S Dólares])*(X$1=Producción_Agricola[Mes Financiero])*(X$2=Producción_Agricola[Año Financiero]))</f>
        <v>0</v>
      </c>
      <c r="Y88" s="113">
        <f>SUMPRODUCT(($C$88=Producción_Agricola[Movimiento])*(Producción_Agricola[Financiero U$S Dólares])*(Y$1=Producción_Agricola[Mes Financiero])*(Y$2=Producción_Agricola[Año Financiero]))</f>
        <v>0</v>
      </c>
      <c r="Z88" s="139">
        <f>SUM(H88:Y88)</f>
        <v>0</v>
      </c>
    </row>
    <row r="89" spans="2:30" hidden="1" outlineLevel="2" x14ac:dyDescent="0.25">
      <c r="E89" s="135"/>
      <c r="F89" s="215">
        <f>IFERROR(MATCH('Financiero U$S'!G89,Tabla8[Unidades de Negocio],0),0)</f>
        <v>1</v>
      </c>
      <c r="G89" s="409" t="str">
        <f>Configuración!U5</f>
        <v>Maíz Temprano</v>
      </c>
      <c r="H89" s="389">
        <f>SUMPRODUCT(($C$88=Producción_Agricola[Movimiento])*(Producción_Agricola[Financiero U$S Dólares])*($G89=Producción_Agricola[Unidad de Negocio])*(H$1=Producción_Agricola[Mes Financiero])*(H$2=Producción_Agricola[Año Financiero]))</f>
        <v>0</v>
      </c>
      <c r="I89" s="390">
        <f>SUMPRODUCT(($C$88=Producción_Agricola[Movimiento])*(Producción_Agricola[Financiero U$S Dólares])*($G89=Producción_Agricola[Unidad de Negocio])*(I$1=Producción_Agricola[Mes Financiero])*(I$2=Producción_Agricola[Año Financiero]))</f>
        <v>0</v>
      </c>
      <c r="J89" s="391">
        <f>SUMPRODUCT(($C$88=Producción_Agricola[Movimiento])*(Producción_Agricola[Financiero U$S Dólares])*($G89=Producción_Agricola[Unidad de Negocio])*(J$1=Producción_Agricola[Mes Financiero])*(J$2=Producción_Agricola[Año Financiero]))</f>
        <v>0</v>
      </c>
      <c r="K89" s="390">
        <f>SUMPRODUCT(($C$88=Producción_Agricola[Movimiento])*(Producción_Agricola[Financiero U$S Dólares])*($G89=Producción_Agricola[Unidad de Negocio])*(K$1=Producción_Agricola[Mes Financiero])*(K$2=Producción_Agricola[Año Financiero]))</f>
        <v>0</v>
      </c>
      <c r="L89" s="391">
        <f>SUMPRODUCT(($C$88=Producción_Agricola[Movimiento])*(Producción_Agricola[Financiero U$S Dólares])*($G89=Producción_Agricola[Unidad de Negocio])*(L$1=Producción_Agricola[Mes Financiero])*(L$2=Producción_Agricola[Año Financiero]))</f>
        <v>0</v>
      </c>
      <c r="M89" s="390">
        <f>SUMPRODUCT(($C$88=Producción_Agricola[Movimiento])*(Producción_Agricola[Financiero U$S Dólares])*($G89=Producción_Agricola[Unidad de Negocio])*(M$1=Producción_Agricola[Mes Financiero])*(M$2=Producción_Agricola[Año Financiero]))</f>
        <v>0</v>
      </c>
      <c r="N89" s="391">
        <f>SUMPRODUCT(($C$88=Producción_Agricola[Movimiento])*(Producción_Agricola[Financiero U$S Dólares])*($G89=Producción_Agricola[Unidad de Negocio])*(N$1=Producción_Agricola[Mes Financiero])*(N$2=Producción_Agricola[Año Financiero]))</f>
        <v>0</v>
      </c>
      <c r="O89" s="390">
        <f>SUMPRODUCT(($C$88=Producción_Agricola[Movimiento])*(Producción_Agricola[Financiero U$S Dólares])*($G89=Producción_Agricola[Unidad de Negocio])*(O$1=Producción_Agricola[Mes Financiero])*(O$2=Producción_Agricola[Año Financiero]))</f>
        <v>0</v>
      </c>
      <c r="P89" s="391">
        <f>SUMPRODUCT(($C$88=Producción_Agricola[Movimiento])*(Producción_Agricola[Financiero U$S Dólares])*($G89=Producción_Agricola[Unidad de Negocio])*(P$1=Producción_Agricola[Mes Financiero])*(P$2=Producción_Agricola[Año Financiero]))</f>
        <v>0</v>
      </c>
      <c r="Q89" s="390">
        <f>SUMPRODUCT(($C$88=Producción_Agricola[Movimiento])*(Producción_Agricola[Financiero U$S Dólares])*($G89=Producción_Agricola[Unidad de Negocio])*(Q$1=Producción_Agricola[Mes Financiero])*(Q$2=Producción_Agricola[Año Financiero]))</f>
        <v>0</v>
      </c>
      <c r="R89" s="391">
        <f>SUMPRODUCT(($C$88=Producción_Agricola[Movimiento])*(Producción_Agricola[Financiero U$S Dólares])*($G89=Producción_Agricola[Unidad de Negocio])*(R$1=Producción_Agricola[Mes Financiero])*(R$2=Producción_Agricola[Año Financiero]))</f>
        <v>0</v>
      </c>
      <c r="S89" s="390">
        <f>SUMPRODUCT(($C$88=Producción_Agricola[Movimiento])*(Producción_Agricola[Financiero U$S Dólares])*($G89=Producción_Agricola[Unidad de Negocio])*(S$1=Producción_Agricola[Mes Financiero])*(S$2=Producción_Agricola[Año Financiero]))</f>
        <v>0</v>
      </c>
      <c r="T89" s="391">
        <f>SUMPRODUCT(($C$88=Producción_Agricola[Movimiento])*(Producción_Agricola[Financiero U$S Dólares])*($G89=Producción_Agricola[Unidad de Negocio])*(T$1=Producción_Agricola[Mes Financiero])*(T$2=Producción_Agricola[Año Financiero]))</f>
        <v>0</v>
      </c>
      <c r="U89" s="390">
        <f>SUMPRODUCT(($C$88=Producción_Agricola[Movimiento])*(Producción_Agricola[Financiero U$S Dólares])*($G89=Producción_Agricola[Unidad de Negocio])*(U$1=Producción_Agricola[Mes Financiero])*(U$2=Producción_Agricola[Año Financiero]))</f>
        <v>0</v>
      </c>
      <c r="V89" s="391">
        <f>SUMPRODUCT(($C$88=Producción_Agricola[Movimiento])*(Producción_Agricola[Financiero U$S Dólares])*($G89=Producción_Agricola[Unidad de Negocio])*(V$1=Producción_Agricola[Mes Financiero])*(V$2=Producción_Agricola[Año Financiero]))</f>
        <v>0</v>
      </c>
      <c r="W89" s="390">
        <f>SUMPRODUCT(($C$88=Producción_Agricola[Movimiento])*(Producción_Agricola[Financiero U$S Dólares])*($G89=Producción_Agricola[Unidad de Negocio])*(W$1=Producción_Agricola[Mes Financiero])*(W$2=Producción_Agricola[Año Financiero]))</f>
        <v>0</v>
      </c>
      <c r="X89" s="391">
        <f>SUMPRODUCT(($C$88=Producción_Agricola[Movimiento])*(Producción_Agricola[Financiero U$S Dólares])*($G89=Producción_Agricola[Unidad de Negocio])*(X$1=Producción_Agricola[Mes Financiero])*(X$2=Producción_Agricola[Año Financiero]))</f>
        <v>0</v>
      </c>
      <c r="Y89" s="390">
        <f>SUMPRODUCT(($C$88=Producción_Agricola[Movimiento])*(Producción_Agricola[Financiero U$S Dólares])*($G89=Producción_Agricola[Unidad de Negocio])*(Y$1=Producción_Agricola[Mes Financiero])*(Y$2=Producción_Agricola[Año Financiero]))</f>
        <v>0</v>
      </c>
      <c r="Z89" s="392"/>
    </row>
    <row r="90" spans="2:30" hidden="1" outlineLevel="2" x14ac:dyDescent="0.25">
      <c r="E90" s="135"/>
      <c r="F90" s="215">
        <f>IFERROR(MATCH('Financiero U$S'!G90,Tabla8[Unidades de Negocio],0),0)</f>
        <v>2</v>
      </c>
      <c r="G90" s="409" t="str">
        <f>Configuración!U6</f>
        <v>Maíz Tardío</v>
      </c>
      <c r="H90" s="391">
        <f>SUMPRODUCT(($C$88=Producción_Agricola[Movimiento])*(Producción_Agricola[Financiero U$S Dólares])*($G90=Producción_Agricola[Unidad de Negocio])*(H$1=Producción_Agricola[Mes Financiero])*(H$2=Producción_Agricola[Año Financiero]))</f>
        <v>0</v>
      </c>
      <c r="I90" s="390">
        <f>SUMPRODUCT(($C$88=Producción_Agricola[Movimiento])*(Producción_Agricola[Financiero U$S Dólares])*($G90=Producción_Agricola[Unidad de Negocio])*(I$1=Producción_Agricola[Mes Financiero])*(I$2=Producción_Agricola[Año Financiero]))</f>
        <v>0</v>
      </c>
      <c r="J90" s="391">
        <f>SUMPRODUCT(($C$88=Producción_Agricola[Movimiento])*(Producción_Agricola[Financiero U$S Dólares])*($G90=Producción_Agricola[Unidad de Negocio])*(J$1=Producción_Agricola[Mes Financiero])*(J$2=Producción_Agricola[Año Financiero]))</f>
        <v>0</v>
      </c>
      <c r="K90" s="390">
        <f>SUMPRODUCT(($C$88=Producción_Agricola[Movimiento])*(Producción_Agricola[Financiero U$S Dólares])*($G90=Producción_Agricola[Unidad de Negocio])*(K$1=Producción_Agricola[Mes Financiero])*(K$2=Producción_Agricola[Año Financiero]))</f>
        <v>0</v>
      </c>
      <c r="L90" s="391">
        <f>SUMPRODUCT(($C$88=Producción_Agricola[Movimiento])*(Producción_Agricola[Financiero U$S Dólares])*($G90=Producción_Agricola[Unidad de Negocio])*(L$1=Producción_Agricola[Mes Financiero])*(L$2=Producción_Agricola[Año Financiero]))</f>
        <v>0</v>
      </c>
      <c r="M90" s="390">
        <f>SUMPRODUCT(($C$88=Producción_Agricola[Movimiento])*(Producción_Agricola[Financiero U$S Dólares])*($G90=Producción_Agricola[Unidad de Negocio])*(M$1=Producción_Agricola[Mes Financiero])*(M$2=Producción_Agricola[Año Financiero]))</f>
        <v>0</v>
      </c>
      <c r="N90" s="391">
        <f>SUMPRODUCT(($C$88=Producción_Agricola[Movimiento])*(Producción_Agricola[Financiero U$S Dólares])*($G90=Producción_Agricola[Unidad de Negocio])*(N$1=Producción_Agricola[Mes Financiero])*(N$2=Producción_Agricola[Año Financiero]))</f>
        <v>0</v>
      </c>
      <c r="O90" s="390">
        <f>SUMPRODUCT(($C$88=Producción_Agricola[Movimiento])*(Producción_Agricola[Financiero U$S Dólares])*($G90=Producción_Agricola[Unidad de Negocio])*(O$1=Producción_Agricola[Mes Financiero])*(O$2=Producción_Agricola[Año Financiero]))</f>
        <v>0</v>
      </c>
      <c r="P90" s="391">
        <f>SUMPRODUCT(($C$88=Producción_Agricola[Movimiento])*(Producción_Agricola[Financiero U$S Dólares])*($G90=Producción_Agricola[Unidad de Negocio])*(P$1=Producción_Agricola[Mes Financiero])*(P$2=Producción_Agricola[Año Financiero]))</f>
        <v>0</v>
      </c>
      <c r="Q90" s="390">
        <f>SUMPRODUCT(($C$88=Producción_Agricola[Movimiento])*(Producción_Agricola[Financiero U$S Dólares])*($G90=Producción_Agricola[Unidad de Negocio])*(Q$1=Producción_Agricola[Mes Financiero])*(Q$2=Producción_Agricola[Año Financiero]))</f>
        <v>0</v>
      </c>
      <c r="R90" s="391">
        <f>SUMPRODUCT(($C$88=Producción_Agricola[Movimiento])*(Producción_Agricola[Financiero U$S Dólares])*($G90=Producción_Agricola[Unidad de Negocio])*(R$1=Producción_Agricola[Mes Financiero])*(R$2=Producción_Agricola[Año Financiero]))</f>
        <v>0</v>
      </c>
      <c r="S90" s="390">
        <f>SUMPRODUCT(($C$88=Producción_Agricola[Movimiento])*(Producción_Agricola[Financiero U$S Dólares])*($G90=Producción_Agricola[Unidad de Negocio])*(S$1=Producción_Agricola[Mes Financiero])*(S$2=Producción_Agricola[Año Financiero]))</f>
        <v>0</v>
      </c>
      <c r="T90" s="391">
        <f>SUMPRODUCT(($C$88=Producción_Agricola[Movimiento])*(Producción_Agricola[Financiero U$S Dólares])*($G90=Producción_Agricola[Unidad de Negocio])*(T$1=Producción_Agricola[Mes Financiero])*(T$2=Producción_Agricola[Año Financiero]))</f>
        <v>0</v>
      </c>
      <c r="U90" s="390">
        <f>SUMPRODUCT(($C$88=Producción_Agricola[Movimiento])*(Producción_Agricola[Financiero U$S Dólares])*($G90=Producción_Agricola[Unidad de Negocio])*(U$1=Producción_Agricola[Mes Financiero])*(U$2=Producción_Agricola[Año Financiero]))</f>
        <v>0</v>
      </c>
      <c r="V90" s="391">
        <f>SUMPRODUCT(($C$88=Producción_Agricola[Movimiento])*(Producción_Agricola[Financiero U$S Dólares])*($G90=Producción_Agricola[Unidad de Negocio])*(V$1=Producción_Agricola[Mes Financiero])*(V$2=Producción_Agricola[Año Financiero]))</f>
        <v>0</v>
      </c>
      <c r="W90" s="390">
        <f>SUMPRODUCT(($C$88=Producción_Agricola[Movimiento])*(Producción_Agricola[Financiero U$S Dólares])*($G90=Producción_Agricola[Unidad de Negocio])*(W$1=Producción_Agricola[Mes Financiero])*(W$2=Producción_Agricola[Año Financiero]))</f>
        <v>0</v>
      </c>
      <c r="X90" s="391">
        <f>SUMPRODUCT(($C$88=Producción_Agricola[Movimiento])*(Producción_Agricola[Financiero U$S Dólares])*($G90=Producción_Agricola[Unidad de Negocio])*(X$1=Producción_Agricola[Mes Financiero])*(X$2=Producción_Agricola[Año Financiero]))</f>
        <v>0</v>
      </c>
      <c r="Y90" s="390">
        <f>SUMPRODUCT(($C$88=Producción_Agricola[Movimiento])*(Producción_Agricola[Financiero U$S Dólares])*($G90=Producción_Agricola[Unidad de Negocio])*(Y$1=Producción_Agricola[Mes Financiero])*(Y$2=Producción_Agricola[Año Financiero]))</f>
        <v>0</v>
      </c>
      <c r="Z90" s="392"/>
    </row>
    <row r="91" spans="2:30" hidden="1" outlineLevel="2" x14ac:dyDescent="0.25">
      <c r="E91" s="135"/>
      <c r="F91" s="215">
        <f>IFERROR(MATCH('Financiero U$S'!G91,Tabla8[Unidades de Negocio],0),0)</f>
        <v>3</v>
      </c>
      <c r="G91" s="409" t="str">
        <f>Configuración!U7</f>
        <v>Maíz de Segunda</v>
      </c>
      <c r="H91" s="391">
        <f>SUMPRODUCT(($C$88=Producción_Agricola[Movimiento])*(Producción_Agricola[Financiero U$S Dólares])*($G91=Producción_Agricola[Unidad de Negocio])*(H$1=Producción_Agricola[Mes Financiero])*(H$2=Producción_Agricola[Año Financiero]))</f>
        <v>0</v>
      </c>
      <c r="I91" s="390">
        <f>SUMPRODUCT(($C$88=Producción_Agricola[Movimiento])*(Producción_Agricola[Financiero U$S Dólares])*($G91=Producción_Agricola[Unidad de Negocio])*(I$1=Producción_Agricola[Mes Financiero])*(I$2=Producción_Agricola[Año Financiero]))</f>
        <v>0</v>
      </c>
      <c r="J91" s="391">
        <f>SUMPRODUCT(($C$88=Producción_Agricola[Movimiento])*(Producción_Agricola[Financiero U$S Dólares])*($G91=Producción_Agricola[Unidad de Negocio])*(J$1=Producción_Agricola[Mes Financiero])*(J$2=Producción_Agricola[Año Financiero]))</f>
        <v>0</v>
      </c>
      <c r="K91" s="390">
        <f>SUMPRODUCT(($C$88=Producción_Agricola[Movimiento])*(Producción_Agricola[Financiero U$S Dólares])*($G91=Producción_Agricola[Unidad de Negocio])*(K$1=Producción_Agricola[Mes Financiero])*(K$2=Producción_Agricola[Año Financiero]))</f>
        <v>0</v>
      </c>
      <c r="L91" s="391">
        <f>SUMPRODUCT(($C$88=Producción_Agricola[Movimiento])*(Producción_Agricola[Financiero U$S Dólares])*($G91=Producción_Agricola[Unidad de Negocio])*(L$1=Producción_Agricola[Mes Financiero])*(L$2=Producción_Agricola[Año Financiero]))</f>
        <v>0</v>
      </c>
      <c r="M91" s="390">
        <f>SUMPRODUCT(($C$88=Producción_Agricola[Movimiento])*(Producción_Agricola[Financiero U$S Dólares])*($G91=Producción_Agricola[Unidad de Negocio])*(M$1=Producción_Agricola[Mes Financiero])*(M$2=Producción_Agricola[Año Financiero]))</f>
        <v>0</v>
      </c>
      <c r="N91" s="391">
        <f>SUMPRODUCT(($C$88=Producción_Agricola[Movimiento])*(Producción_Agricola[Financiero U$S Dólares])*($G91=Producción_Agricola[Unidad de Negocio])*(N$1=Producción_Agricola[Mes Financiero])*(N$2=Producción_Agricola[Año Financiero]))</f>
        <v>0</v>
      </c>
      <c r="O91" s="390">
        <f>SUMPRODUCT(($C$88=Producción_Agricola[Movimiento])*(Producción_Agricola[Financiero U$S Dólares])*($G91=Producción_Agricola[Unidad de Negocio])*(O$1=Producción_Agricola[Mes Financiero])*(O$2=Producción_Agricola[Año Financiero]))</f>
        <v>0</v>
      </c>
      <c r="P91" s="391">
        <f>SUMPRODUCT(($C$88=Producción_Agricola[Movimiento])*(Producción_Agricola[Financiero U$S Dólares])*($G91=Producción_Agricola[Unidad de Negocio])*(P$1=Producción_Agricola[Mes Financiero])*(P$2=Producción_Agricola[Año Financiero]))</f>
        <v>0</v>
      </c>
      <c r="Q91" s="390">
        <f>SUMPRODUCT(($C$88=Producción_Agricola[Movimiento])*(Producción_Agricola[Financiero U$S Dólares])*($G91=Producción_Agricola[Unidad de Negocio])*(Q$1=Producción_Agricola[Mes Financiero])*(Q$2=Producción_Agricola[Año Financiero]))</f>
        <v>0</v>
      </c>
      <c r="R91" s="391">
        <f>SUMPRODUCT(($C$88=Producción_Agricola[Movimiento])*(Producción_Agricola[Financiero U$S Dólares])*($G91=Producción_Agricola[Unidad de Negocio])*(R$1=Producción_Agricola[Mes Financiero])*(R$2=Producción_Agricola[Año Financiero]))</f>
        <v>0</v>
      </c>
      <c r="S91" s="390">
        <f>SUMPRODUCT(($C$88=Producción_Agricola[Movimiento])*(Producción_Agricola[Financiero U$S Dólares])*($G91=Producción_Agricola[Unidad de Negocio])*(S$1=Producción_Agricola[Mes Financiero])*(S$2=Producción_Agricola[Año Financiero]))</f>
        <v>0</v>
      </c>
      <c r="T91" s="391">
        <f>SUMPRODUCT(($C$88=Producción_Agricola[Movimiento])*(Producción_Agricola[Financiero U$S Dólares])*($G91=Producción_Agricola[Unidad de Negocio])*(T$1=Producción_Agricola[Mes Financiero])*(T$2=Producción_Agricola[Año Financiero]))</f>
        <v>0</v>
      </c>
      <c r="U91" s="390">
        <f>SUMPRODUCT(($C$88=Producción_Agricola[Movimiento])*(Producción_Agricola[Financiero U$S Dólares])*($G91=Producción_Agricola[Unidad de Negocio])*(U$1=Producción_Agricola[Mes Financiero])*(U$2=Producción_Agricola[Año Financiero]))</f>
        <v>0</v>
      </c>
      <c r="V91" s="391">
        <f>SUMPRODUCT(($C$88=Producción_Agricola[Movimiento])*(Producción_Agricola[Financiero U$S Dólares])*($G91=Producción_Agricola[Unidad de Negocio])*(V$1=Producción_Agricola[Mes Financiero])*(V$2=Producción_Agricola[Año Financiero]))</f>
        <v>0</v>
      </c>
      <c r="W91" s="390">
        <f>SUMPRODUCT(($C$88=Producción_Agricola[Movimiento])*(Producción_Agricola[Financiero U$S Dólares])*($G91=Producción_Agricola[Unidad de Negocio])*(W$1=Producción_Agricola[Mes Financiero])*(W$2=Producción_Agricola[Año Financiero]))</f>
        <v>0</v>
      </c>
      <c r="X91" s="391">
        <f>SUMPRODUCT(($C$88=Producción_Agricola[Movimiento])*(Producción_Agricola[Financiero U$S Dólares])*($G91=Producción_Agricola[Unidad de Negocio])*(X$1=Producción_Agricola[Mes Financiero])*(X$2=Producción_Agricola[Año Financiero]))</f>
        <v>0</v>
      </c>
      <c r="Y91" s="390">
        <f>SUMPRODUCT(($C$88=Producción_Agricola[Movimiento])*(Producción_Agricola[Financiero U$S Dólares])*($G91=Producción_Agricola[Unidad de Negocio])*(Y$1=Producción_Agricola[Mes Financiero])*(Y$2=Producción_Agricola[Año Financiero]))</f>
        <v>0</v>
      </c>
      <c r="Z91" s="392"/>
    </row>
    <row r="92" spans="2:30" hidden="1" outlineLevel="2" x14ac:dyDescent="0.25">
      <c r="E92" s="135"/>
      <c r="F92" s="215">
        <f>IFERROR(MATCH('Financiero U$S'!G92,Tabla8[Unidades de Negocio],0),0)</f>
        <v>4</v>
      </c>
      <c r="G92" s="409" t="str">
        <f>Configuración!U8</f>
        <v>Maíz de Tercera</v>
      </c>
      <c r="H92" s="391">
        <f>SUMPRODUCT(($C$88=Producción_Agricola[Movimiento])*(Producción_Agricola[Financiero U$S Dólares])*($G92=Producción_Agricola[Unidad de Negocio])*(H$1=Producción_Agricola[Mes Financiero])*(H$2=Producción_Agricola[Año Financiero]))</f>
        <v>0</v>
      </c>
      <c r="I92" s="390">
        <f>SUMPRODUCT(($C$88=Producción_Agricola[Movimiento])*(Producción_Agricola[Financiero U$S Dólares])*($G92=Producción_Agricola[Unidad de Negocio])*(I$1=Producción_Agricola[Mes Financiero])*(I$2=Producción_Agricola[Año Financiero]))</f>
        <v>0</v>
      </c>
      <c r="J92" s="391">
        <f>SUMPRODUCT(($C$88=Producción_Agricola[Movimiento])*(Producción_Agricola[Financiero U$S Dólares])*($G92=Producción_Agricola[Unidad de Negocio])*(J$1=Producción_Agricola[Mes Financiero])*(J$2=Producción_Agricola[Año Financiero]))</f>
        <v>0</v>
      </c>
      <c r="K92" s="390">
        <f>SUMPRODUCT(($C$88=Producción_Agricola[Movimiento])*(Producción_Agricola[Financiero U$S Dólares])*($G92=Producción_Agricola[Unidad de Negocio])*(K$1=Producción_Agricola[Mes Financiero])*(K$2=Producción_Agricola[Año Financiero]))</f>
        <v>0</v>
      </c>
      <c r="L92" s="391">
        <f>SUMPRODUCT(($C$88=Producción_Agricola[Movimiento])*(Producción_Agricola[Financiero U$S Dólares])*($G92=Producción_Agricola[Unidad de Negocio])*(L$1=Producción_Agricola[Mes Financiero])*(L$2=Producción_Agricola[Año Financiero]))</f>
        <v>0</v>
      </c>
      <c r="M92" s="390">
        <f>SUMPRODUCT(($C$88=Producción_Agricola[Movimiento])*(Producción_Agricola[Financiero U$S Dólares])*($G92=Producción_Agricola[Unidad de Negocio])*(M$1=Producción_Agricola[Mes Financiero])*(M$2=Producción_Agricola[Año Financiero]))</f>
        <v>0</v>
      </c>
      <c r="N92" s="391">
        <f>SUMPRODUCT(($C$88=Producción_Agricola[Movimiento])*(Producción_Agricola[Financiero U$S Dólares])*($G92=Producción_Agricola[Unidad de Negocio])*(N$1=Producción_Agricola[Mes Financiero])*(N$2=Producción_Agricola[Año Financiero]))</f>
        <v>0</v>
      </c>
      <c r="O92" s="390">
        <f>SUMPRODUCT(($C$88=Producción_Agricola[Movimiento])*(Producción_Agricola[Financiero U$S Dólares])*($G92=Producción_Agricola[Unidad de Negocio])*(O$1=Producción_Agricola[Mes Financiero])*(O$2=Producción_Agricola[Año Financiero]))</f>
        <v>0</v>
      </c>
      <c r="P92" s="391">
        <f>SUMPRODUCT(($C$88=Producción_Agricola[Movimiento])*(Producción_Agricola[Financiero U$S Dólares])*($G92=Producción_Agricola[Unidad de Negocio])*(P$1=Producción_Agricola[Mes Financiero])*(P$2=Producción_Agricola[Año Financiero]))</f>
        <v>0</v>
      </c>
      <c r="Q92" s="390">
        <f>SUMPRODUCT(($C$88=Producción_Agricola[Movimiento])*(Producción_Agricola[Financiero U$S Dólares])*($G92=Producción_Agricola[Unidad de Negocio])*(Q$1=Producción_Agricola[Mes Financiero])*(Q$2=Producción_Agricola[Año Financiero]))</f>
        <v>0</v>
      </c>
      <c r="R92" s="391">
        <f>SUMPRODUCT(($C$88=Producción_Agricola[Movimiento])*(Producción_Agricola[Financiero U$S Dólares])*($G92=Producción_Agricola[Unidad de Negocio])*(R$1=Producción_Agricola[Mes Financiero])*(R$2=Producción_Agricola[Año Financiero]))</f>
        <v>0</v>
      </c>
      <c r="S92" s="390">
        <f>SUMPRODUCT(($C$88=Producción_Agricola[Movimiento])*(Producción_Agricola[Financiero U$S Dólares])*($G92=Producción_Agricola[Unidad de Negocio])*(S$1=Producción_Agricola[Mes Financiero])*(S$2=Producción_Agricola[Año Financiero]))</f>
        <v>0</v>
      </c>
      <c r="T92" s="391">
        <f>SUMPRODUCT(($C$88=Producción_Agricola[Movimiento])*(Producción_Agricola[Financiero U$S Dólares])*($G92=Producción_Agricola[Unidad de Negocio])*(T$1=Producción_Agricola[Mes Financiero])*(T$2=Producción_Agricola[Año Financiero]))</f>
        <v>0</v>
      </c>
      <c r="U92" s="390">
        <f>SUMPRODUCT(($C$88=Producción_Agricola[Movimiento])*(Producción_Agricola[Financiero U$S Dólares])*($G92=Producción_Agricola[Unidad de Negocio])*(U$1=Producción_Agricola[Mes Financiero])*(U$2=Producción_Agricola[Año Financiero]))</f>
        <v>0</v>
      </c>
      <c r="V92" s="391">
        <f>SUMPRODUCT(($C$88=Producción_Agricola[Movimiento])*(Producción_Agricola[Financiero U$S Dólares])*($G92=Producción_Agricola[Unidad de Negocio])*(V$1=Producción_Agricola[Mes Financiero])*(V$2=Producción_Agricola[Año Financiero]))</f>
        <v>0</v>
      </c>
      <c r="W92" s="390">
        <f>SUMPRODUCT(($C$88=Producción_Agricola[Movimiento])*(Producción_Agricola[Financiero U$S Dólares])*($G92=Producción_Agricola[Unidad de Negocio])*(W$1=Producción_Agricola[Mes Financiero])*(W$2=Producción_Agricola[Año Financiero]))</f>
        <v>0</v>
      </c>
      <c r="X92" s="391">
        <f>SUMPRODUCT(($C$88=Producción_Agricola[Movimiento])*(Producción_Agricola[Financiero U$S Dólares])*($G92=Producción_Agricola[Unidad de Negocio])*(X$1=Producción_Agricola[Mes Financiero])*(X$2=Producción_Agricola[Año Financiero]))</f>
        <v>0</v>
      </c>
      <c r="Y92" s="390">
        <f>SUMPRODUCT(($C$88=Producción_Agricola[Movimiento])*(Producción_Agricola[Financiero U$S Dólares])*($G92=Producción_Agricola[Unidad de Negocio])*(Y$1=Producción_Agricola[Mes Financiero])*(Y$2=Producción_Agricola[Año Financiero]))</f>
        <v>0</v>
      </c>
      <c r="Z92" s="392"/>
    </row>
    <row r="93" spans="2:30" hidden="1" outlineLevel="2" x14ac:dyDescent="0.25">
      <c r="E93" s="135"/>
      <c r="F93" s="215">
        <f>IFERROR(MATCH('Financiero U$S'!G93,Tabla8[Unidades de Negocio],0),0)</f>
        <v>5</v>
      </c>
      <c r="G93" s="409" t="str">
        <f>Configuración!U9</f>
        <v>Soja de Primera</v>
      </c>
      <c r="H93" s="391">
        <f>SUMPRODUCT(($C$88=Producción_Agricola[Movimiento])*(Producción_Agricola[Financiero U$S Dólares])*($G93=Producción_Agricola[Unidad de Negocio])*(H$1=Producción_Agricola[Mes Financiero])*(H$2=Producción_Agricola[Año Financiero]))</f>
        <v>0</v>
      </c>
      <c r="I93" s="390">
        <f>SUMPRODUCT(($C$88=Producción_Agricola[Movimiento])*(Producción_Agricola[Financiero U$S Dólares])*($G93=Producción_Agricola[Unidad de Negocio])*(I$1=Producción_Agricola[Mes Financiero])*(I$2=Producción_Agricola[Año Financiero]))</f>
        <v>0</v>
      </c>
      <c r="J93" s="391">
        <f>SUMPRODUCT(($C$88=Producción_Agricola[Movimiento])*(Producción_Agricola[Financiero U$S Dólares])*($G93=Producción_Agricola[Unidad de Negocio])*(J$1=Producción_Agricola[Mes Financiero])*(J$2=Producción_Agricola[Año Financiero]))</f>
        <v>0</v>
      </c>
      <c r="K93" s="390">
        <f>SUMPRODUCT(($C$88=Producción_Agricola[Movimiento])*(Producción_Agricola[Financiero U$S Dólares])*($G93=Producción_Agricola[Unidad de Negocio])*(K$1=Producción_Agricola[Mes Financiero])*(K$2=Producción_Agricola[Año Financiero]))</f>
        <v>0</v>
      </c>
      <c r="L93" s="391">
        <f>SUMPRODUCT(($C$88=Producción_Agricola[Movimiento])*(Producción_Agricola[Financiero U$S Dólares])*($G93=Producción_Agricola[Unidad de Negocio])*(L$1=Producción_Agricola[Mes Financiero])*(L$2=Producción_Agricola[Año Financiero]))</f>
        <v>0</v>
      </c>
      <c r="M93" s="390">
        <f>SUMPRODUCT(($C$88=Producción_Agricola[Movimiento])*(Producción_Agricola[Financiero U$S Dólares])*($G93=Producción_Agricola[Unidad de Negocio])*(M$1=Producción_Agricola[Mes Financiero])*(M$2=Producción_Agricola[Año Financiero]))</f>
        <v>0</v>
      </c>
      <c r="N93" s="391">
        <f>SUMPRODUCT(($C$88=Producción_Agricola[Movimiento])*(Producción_Agricola[Financiero U$S Dólares])*($G93=Producción_Agricola[Unidad de Negocio])*(N$1=Producción_Agricola[Mes Financiero])*(N$2=Producción_Agricola[Año Financiero]))</f>
        <v>0</v>
      </c>
      <c r="O93" s="390">
        <f>SUMPRODUCT(($C$88=Producción_Agricola[Movimiento])*(Producción_Agricola[Financiero U$S Dólares])*($G93=Producción_Agricola[Unidad de Negocio])*(O$1=Producción_Agricola[Mes Financiero])*(O$2=Producción_Agricola[Año Financiero]))</f>
        <v>0</v>
      </c>
      <c r="P93" s="391">
        <f>SUMPRODUCT(($C$88=Producción_Agricola[Movimiento])*(Producción_Agricola[Financiero U$S Dólares])*($G93=Producción_Agricola[Unidad de Negocio])*(P$1=Producción_Agricola[Mes Financiero])*(P$2=Producción_Agricola[Año Financiero]))</f>
        <v>0</v>
      </c>
      <c r="Q93" s="390">
        <f>SUMPRODUCT(($C$88=Producción_Agricola[Movimiento])*(Producción_Agricola[Financiero U$S Dólares])*($G93=Producción_Agricola[Unidad de Negocio])*(Q$1=Producción_Agricola[Mes Financiero])*(Q$2=Producción_Agricola[Año Financiero]))</f>
        <v>0</v>
      </c>
      <c r="R93" s="391">
        <f>SUMPRODUCT(($C$88=Producción_Agricola[Movimiento])*(Producción_Agricola[Financiero U$S Dólares])*($G93=Producción_Agricola[Unidad de Negocio])*(R$1=Producción_Agricola[Mes Financiero])*(R$2=Producción_Agricola[Año Financiero]))</f>
        <v>0</v>
      </c>
      <c r="S93" s="390">
        <f>SUMPRODUCT(($C$88=Producción_Agricola[Movimiento])*(Producción_Agricola[Financiero U$S Dólares])*($G93=Producción_Agricola[Unidad de Negocio])*(S$1=Producción_Agricola[Mes Financiero])*(S$2=Producción_Agricola[Año Financiero]))</f>
        <v>0</v>
      </c>
      <c r="T93" s="391">
        <f>SUMPRODUCT(($C$88=Producción_Agricola[Movimiento])*(Producción_Agricola[Financiero U$S Dólares])*($G93=Producción_Agricola[Unidad de Negocio])*(T$1=Producción_Agricola[Mes Financiero])*(T$2=Producción_Agricola[Año Financiero]))</f>
        <v>0</v>
      </c>
      <c r="U93" s="390">
        <f>SUMPRODUCT(($C$88=Producción_Agricola[Movimiento])*(Producción_Agricola[Financiero U$S Dólares])*($G93=Producción_Agricola[Unidad de Negocio])*(U$1=Producción_Agricola[Mes Financiero])*(U$2=Producción_Agricola[Año Financiero]))</f>
        <v>0</v>
      </c>
      <c r="V93" s="391">
        <f>SUMPRODUCT(($C$88=Producción_Agricola[Movimiento])*(Producción_Agricola[Financiero U$S Dólares])*($G93=Producción_Agricola[Unidad de Negocio])*(V$1=Producción_Agricola[Mes Financiero])*(V$2=Producción_Agricola[Año Financiero]))</f>
        <v>0</v>
      </c>
      <c r="W93" s="390">
        <f>SUMPRODUCT(($C$88=Producción_Agricola[Movimiento])*(Producción_Agricola[Financiero U$S Dólares])*($G93=Producción_Agricola[Unidad de Negocio])*(W$1=Producción_Agricola[Mes Financiero])*(W$2=Producción_Agricola[Año Financiero]))</f>
        <v>0</v>
      </c>
      <c r="X93" s="391">
        <f>SUMPRODUCT(($C$88=Producción_Agricola[Movimiento])*(Producción_Agricola[Financiero U$S Dólares])*($G93=Producción_Agricola[Unidad de Negocio])*(X$1=Producción_Agricola[Mes Financiero])*(X$2=Producción_Agricola[Año Financiero]))</f>
        <v>0</v>
      </c>
      <c r="Y93" s="390">
        <f>SUMPRODUCT(($C$88=Producción_Agricola[Movimiento])*(Producción_Agricola[Financiero U$S Dólares])*($G93=Producción_Agricola[Unidad de Negocio])*(Y$1=Producción_Agricola[Mes Financiero])*(Y$2=Producción_Agricola[Año Financiero]))</f>
        <v>0</v>
      </c>
      <c r="Z93" s="392"/>
    </row>
    <row r="94" spans="2:30" hidden="1" outlineLevel="2" x14ac:dyDescent="0.25">
      <c r="E94" s="135"/>
      <c r="F94" s="215">
        <f>IFERROR(MATCH('Financiero U$S'!G94,Tabla8[Unidades de Negocio],0),0)</f>
        <v>6</v>
      </c>
      <c r="G94" s="409" t="str">
        <f>Configuración!U10</f>
        <v>Soja de Segunda</v>
      </c>
      <c r="H94" s="391">
        <f>SUMPRODUCT(($C$88=Producción_Agricola[Movimiento])*(Producción_Agricola[Financiero U$S Dólares])*($G94=Producción_Agricola[Unidad de Negocio])*(H$1=Producción_Agricola[Mes Financiero])*(H$2=Producción_Agricola[Año Financiero]))</f>
        <v>0</v>
      </c>
      <c r="I94" s="390">
        <f>SUMPRODUCT(($C$88=Producción_Agricola[Movimiento])*(Producción_Agricola[Financiero U$S Dólares])*($G94=Producción_Agricola[Unidad de Negocio])*(I$1=Producción_Agricola[Mes Financiero])*(I$2=Producción_Agricola[Año Financiero]))</f>
        <v>0</v>
      </c>
      <c r="J94" s="391">
        <f>SUMPRODUCT(($C$88=Producción_Agricola[Movimiento])*(Producción_Agricola[Financiero U$S Dólares])*($G94=Producción_Agricola[Unidad de Negocio])*(J$1=Producción_Agricola[Mes Financiero])*(J$2=Producción_Agricola[Año Financiero]))</f>
        <v>0</v>
      </c>
      <c r="K94" s="390">
        <f>SUMPRODUCT(($C$88=Producción_Agricola[Movimiento])*(Producción_Agricola[Financiero U$S Dólares])*($G94=Producción_Agricola[Unidad de Negocio])*(K$1=Producción_Agricola[Mes Financiero])*(K$2=Producción_Agricola[Año Financiero]))</f>
        <v>0</v>
      </c>
      <c r="L94" s="391">
        <f>SUMPRODUCT(($C$88=Producción_Agricola[Movimiento])*(Producción_Agricola[Financiero U$S Dólares])*($G94=Producción_Agricola[Unidad de Negocio])*(L$1=Producción_Agricola[Mes Financiero])*(L$2=Producción_Agricola[Año Financiero]))</f>
        <v>0</v>
      </c>
      <c r="M94" s="390">
        <f>SUMPRODUCT(($C$88=Producción_Agricola[Movimiento])*(Producción_Agricola[Financiero U$S Dólares])*($G94=Producción_Agricola[Unidad de Negocio])*(M$1=Producción_Agricola[Mes Financiero])*(M$2=Producción_Agricola[Año Financiero]))</f>
        <v>0</v>
      </c>
      <c r="N94" s="391">
        <f>SUMPRODUCT(($C$88=Producción_Agricola[Movimiento])*(Producción_Agricola[Financiero U$S Dólares])*($G94=Producción_Agricola[Unidad de Negocio])*(N$1=Producción_Agricola[Mes Financiero])*(N$2=Producción_Agricola[Año Financiero]))</f>
        <v>0</v>
      </c>
      <c r="O94" s="390">
        <f>SUMPRODUCT(($C$88=Producción_Agricola[Movimiento])*(Producción_Agricola[Financiero U$S Dólares])*($G94=Producción_Agricola[Unidad de Negocio])*(O$1=Producción_Agricola[Mes Financiero])*(O$2=Producción_Agricola[Año Financiero]))</f>
        <v>0</v>
      </c>
      <c r="P94" s="391">
        <f>SUMPRODUCT(($C$88=Producción_Agricola[Movimiento])*(Producción_Agricola[Financiero U$S Dólares])*($G94=Producción_Agricola[Unidad de Negocio])*(P$1=Producción_Agricola[Mes Financiero])*(P$2=Producción_Agricola[Año Financiero]))</f>
        <v>0</v>
      </c>
      <c r="Q94" s="390">
        <f>SUMPRODUCT(($C$88=Producción_Agricola[Movimiento])*(Producción_Agricola[Financiero U$S Dólares])*($G94=Producción_Agricola[Unidad de Negocio])*(Q$1=Producción_Agricola[Mes Financiero])*(Q$2=Producción_Agricola[Año Financiero]))</f>
        <v>0</v>
      </c>
      <c r="R94" s="391">
        <f>SUMPRODUCT(($C$88=Producción_Agricola[Movimiento])*(Producción_Agricola[Financiero U$S Dólares])*($G94=Producción_Agricola[Unidad de Negocio])*(R$1=Producción_Agricola[Mes Financiero])*(R$2=Producción_Agricola[Año Financiero]))</f>
        <v>0</v>
      </c>
      <c r="S94" s="390">
        <f>SUMPRODUCT(($C$88=Producción_Agricola[Movimiento])*(Producción_Agricola[Financiero U$S Dólares])*($G94=Producción_Agricola[Unidad de Negocio])*(S$1=Producción_Agricola[Mes Financiero])*(S$2=Producción_Agricola[Año Financiero]))</f>
        <v>0</v>
      </c>
      <c r="T94" s="391">
        <f>SUMPRODUCT(($C$88=Producción_Agricola[Movimiento])*(Producción_Agricola[Financiero U$S Dólares])*($G94=Producción_Agricola[Unidad de Negocio])*(T$1=Producción_Agricola[Mes Financiero])*(T$2=Producción_Agricola[Año Financiero]))</f>
        <v>0</v>
      </c>
      <c r="U94" s="390">
        <f>SUMPRODUCT(($C$88=Producción_Agricola[Movimiento])*(Producción_Agricola[Financiero U$S Dólares])*($G94=Producción_Agricola[Unidad de Negocio])*(U$1=Producción_Agricola[Mes Financiero])*(U$2=Producción_Agricola[Año Financiero]))</f>
        <v>0</v>
      </c>
      <c r="V94" s="391">
        <f>SUMPRODUCT(($C$88=Producción_Agricola[Movimiento])*(Producción_Agricola[Financiero U$S Dólares])*($G94=Producción_Agricola[Unidad de Negocio])*(V$1=Producción_Agricola[Mes Financiero])*(V$2=Producción_Agricola[Año Financiero]))</f>
        <v>0</v>
      </c>
      <c r="W94" s="390">
        <f>SUMPRODUCT(($C$88=Producción_Agricola[Movimiento])*(Producción_Agricola[Financiero U$S Dólares])*($G94=Producción_Agricola[Unidad de Negocio])*(W$1=Producción_Agricola[Mes Financiero])*(W$2=Producción_Agricola[Año Financiero]))</f>
        <v>0</v>
      </c>
      <c r="X94" s="391">
        <f>SUMPRODUCT(($C$88=Producción_Agricola[Movimiento])*(Producción_Agricola[Financiero U$S Dólares])*($G94=Producción_Agricola[Unidad de Negocio])*(X$1=Producción_Agricola[Mes Financiero])*(X$2=Producción_Agricola[Año Financiero]))</f>
        <v>0</v>
      </c>
      <c r="Y94" s="390">
        <f>SUMPRODUCT(($C$88=Producción_Agricola[Movimiento])*(Producción_Agricola[Financiero U$S Dólares])*($G94=Producción_Agricola[Unidad de Negocio])*(Y$1=Producción_Agricola[Mes Financiero])*(Y$2=Producción_Agricola[Año Financiero]))</f>
        <v>0</v>
      </c>
      <c r="Z94" s="392"/>
    </row>
    <row r="95" spans="2:30" hidden="1" outlineLevel="2" x14ac:dyDescent="0.25">
      <c r="E95" s="135"/>
      <c r="F95" s="215">
        <f>IFERROR(MATCH('Financiero U$S'!G95,Tabla8[Unidades de Negocio],0),0)</f>
        <v>7</v>
      </c>
      <c r="G95" s="409" t="str">
        <f>Configuración!U11</f>
        <v>Girasol</v>
      </c>
      <c r="H95" s="391">
        <f>SUMPRODUCT(($C$88=Producción_Agricola[Movimiento])*(Producción_Agricola[Financiero U$S Dólares])*($G95=Producción_Agricola[Unidad de Negocio])*(H$1=Producción_Agricola[Mes Financiero])*(H$2=Producción_Agricola[Año Financiero]))</f>
        <v>0</v>
      </c>
      <c r="I95" s="390">
        <f>SUMPRODUCT(($C$88=Producción_Agricola[Movimiento])*(Producción_Agricola[Financiero U$S Dólares])*($G95=Producción_Agricola[Unidad de Negocio])*(I$1=Producción_Agricola[Mes Financiero])*(I$2=Producción_Agricola[Año Financiero]))</f>
        <v>0</v>
      </c>
      <c r="J95" s="391">
        <f>SUMPRODUCT(($C$88=Producción_Agricola[Movimiento])*(Producción_Agricola[Financiero U$S Dólares])*($G95=Producción_Agricola[Unidad de Negocio])*(J$1=Producción_Agricola[Mes Financiero])*(J$2=Producción_Agricola[Año Financiero]))</f>
        <v>0</v>
      </c>
      <c r="K95" s="390">
        <f>SUMPRODUCT(($C$88=Producción_Agricola[Movimiento])*(Producción_Agricola[Financiero U$S Dólares])*($G95=Producción_Agricola[Unidad de Negocio])*(K$1=Producción_Agricola[Mes Financiero])*(K$2=Producción_Agricola[Año Financiero]))</f>
        <v>0</v>
      </c>
      <c r="L95" s="391">
        <f>SUMPRODUCT(($C$88=Producción_Agricola[Movimiento])*(Producción_Agricola[Financiero U$S Dólares])*($G95=Producción_Agricola[Unidad de Negocio])*(L$1=Producción_Agricola[Mes Financiero])*(L$2=Producción_Agricola[Año Financiero]))</f>
        <v>0</v>
      </c>
      <c r="M95" s="390">
        <f>SUMPRODUCT(($C$88=Producción_Agricola[Movimiento])*(Producción_Agricola[Financiero U$S Dólares])*($G95=Producción_Agricola[Unidad de Negocio])*(M$1=Producción_Agricola[Mes Financiero])*(M$2=Producción_Agricola[Año Financiero]))</f>
        <v>0</v>
      </c>
      <c r="N95" s="391">
        <f>SUMPRODUCT(($C$88=Producción_Agricola[Movimiento])*(Producción_Agricola[Financiero U$S Dólares])*($G95=Producción_Agricola[Unidad de Negocio])*(N$1=Producción_Agricola[Mes Financiero])*(N$2=Producción_Agricola[Año Financiero]))</f>
        <v>0</v>
      </c>
      <c r="O95" s="390">
        <f>SUMPRODUCT(($C$88=Producción_Agricola[Movimiento])*(Producción_Agricola[Financiero U$S Dólares])*($G95=Producción_Agricola[Unidad de Negocio])*(O$1=Producción_Agricola[Mes Financiero])*(O$2=Producción_Agricola[Año Financiero]))</f>
        <v>0</v>
      </c>
      <c r="P95" s="391">
        <f>SUMPRODUCT(($C$88=Producción_Agricola[Movimiento])*(Producción_Agricola[Financiero U$S Dólares])*($G95=Producción_Agricola[Unidad de Negocio])*(P$1=Producción_Agricola[Mes Financiero])*(P$2=Producción_Agricola[Año Financiero]))</f>
        <v>0</v>
      </c>
      <c r="Q95" s="390">
        <f>SUMPRODUCT(($C$88=Producción_Agricola[Movimiento])*(Producción_Agricola[Financiero U$S Dólares])*($G95=Producción_Agricola[Unidad de Negocio])*(Q$1=Producción_Agricola[Mes Financiero])*(Q$2=Producción_Agricola[Año Financiero]))</f>
        <v>0</v>
      </c>
      <c r="R95" s="391">
        <f>SUMPRODUCT(($C$88=Producción_Agricola[Movimiento])*(Producción_Agricola[Financiero U$S Dólares])*($G95=Producción_Agricola[Unidad de Negocio])*(R$1=Producción_Agricola[Mes Financiero])*(R$2=Producción_Agricola[Año Financiero]))</f>
        <v>0</v>
      </c>
      <c r="S95" s="390">
        <f>SUMPRODUCT(($C$88=Producción_Agricola[Movimiento])*(Producción_Agricola[Financiero U$S Dólares])*($G95=Producción_Agricola[Unidad de Negocio])*(S$1=Producción_Agricola[Mes Financiero])*(S$2=Producción_Agricola[Año Financiero]))</f>
        <v>0</v>
      </c>
      <c r="T95" s="391">
        <f>SUMPRODUCT(($C$88=Producción_Agricola[Movimiento])*(Producción_Agricola[Financiero U$S Dólares])*($G95=Producción_Agricola[Unidad de Negocio])*(T$1=Producción_Agricola[Mes Financiero])*(T$2=Producción_Agricola[Año Financiero]))</f>
        <v>0</v>
      </c>
      <c r="U95" s="390">
        <f>SUMPRODUCT(($C$88=Producción_Agricola[Movimiento])*(Producción_Agricola[Financiero U$S Dólares])*($G95=Producción_Agricola[Unidad de Negocio])*(U$1=Producción_Agricola[Mes Financiero])*(U$2=Producción_Agricola[Año Financiero]))</f>
        <v>0</v>
      </c>
      <c r="V95" s="391">
        <f>SUMPRODUCT(($C$88=Producción_Agricola[Movimiento])*(Producción_Agricola[Financiero U$S Dólares])*($G95=Producción_Agricola[Unidad de Negocio])*(V$1=Producción_Agricola[Mes Financiero])*(V$2=Producción_Agricola[Año Financiero]))</f>
        <v>0</v>
      </c>
      <c r="W95" s="390">
        <f>SUMPRODUCT(($C$88=Producción_Agricola[Movimiento])*(Producción_Agricola[Financiero U$S Dólares])*($G95=Producción_Agricola[Unidad de Negocio])*(W$1=Producción_Agricola[Mes Financiero])*(W$2=Producción_Agricola[Año Financiero]))</f>
        <v>0</v>
      </c>
      <c r="X95" s="391">
        <f>SUMPRODUCT(($C$88=Producción_Agricola[Movimiento])*(Producción_Agricola[Financiero U$S Dólares])*($G95=Producción_Agricola[Unidad de Negocio])*(X$1=Producción_Agricola[Mes Financiero])*(X$2=Producción_Agricola[Año Financiero]))</f>
        <v>0</v>
      </c>
      <c r="Y95" s="390">
        <f>SUMPRODUCT(($C$88=Producción_Agricola[Movimiento])*(Producción_Agricola[Financiero U$S Dólares])*($G95=Producción_Agricola[Unidad de Negocio])*(Y$1=Producción_Agricola[Mes Financiero])*(Y$2=Producción_Agricola[Año Financiero]))</f>
        <v>0</v>
      </c>
      <c r="Z95" s="392"/>
    </row>
    <row r="96" spans="2:30" hidden="1" outlineLevel="2" x14ac:dyDescent="0.25">
      <c r="E96" s="135"/>
      <c r="F96" s="215">
        <f>IFERROR(MATCH('Financiero U$S'!G96,Tabla8[Unidades de Negocio],0),0)</f>
        <v>8</v>
      </c>
      <c r="G96" s="409" t="str">
        <f>Configuración!U12</f>
        <v>Girasol AO</v>
      </c>
      <c r="H96" s="391">
        <f>SUMPRODUCT(($C$88=Producción_Agricola[Movimiento])*(Producción_Agricola[Financiero U$S Dólares])*($G96=Producción_Agricola[Unidad de Negocio])*(H$1=Producción_Agricola[Mes Financiero])*(H$2=Producción_Agricola[Año Financiero]))</f>
        <v>0</v>
      </c>
      <c r="I96" s="390">
        <f>SUMPRODUCT(($C$88=Producción_Agricola[Movimiento])*(Producción_Agricola[Financiero U$S Dólares])*($G96=Producción_Agricola[Unidad de Negocio])*(I$1=Producción_Agricola[Mes Financiero])*(I$2=Producción_Agricola[Año Financiero]))</f>
        <v>0</v>
      </c>
      <c r="J96" s="391">
        <f>SUMPRODUCT(($C$88=Producción_Agricola[Movimiento])*(Producción_Agricola[Financiero U$S Dólares])*($G96=Producción_Agricola[Unidad de Negocio])*(J$1=Producción_Agricola[Mes Financiero])*(J$2=Producción_Agricola[Año Financiero]))</f>
        <v>0</v>
      </c>
      <c r="K96" s="390">
        <f>SUMPRODUCT(($C$88=Producción_Agricola[Movimiento])*(Producción_Agricola[Financiero U$S Dólares])*($G96=Producción_Agricola[Unidad de Negocio])*(K$1=Producción_Agricola[Mes Financiero])*(K$2=Producción_Agricola[Año Financiero]))</f>
        <v>0</v>
      </c>
      <c r="L96" s="391">
        <f>SUMPRODUCT(($C$88=Producción_Agricola[Movimiento])*(Producción_Agricola[Financiero U$S Dólares])*($G96=Producción_Agricola[Unidad de Negocio])*(L$1=Producción_Agricola[Mes Financiero])*(L$2=Producción_Agricola[Año Financiero]))</f>
        <v>0</v>
      </c>
      <c r="M96" s="390">
        <f>SUMPRODUCT(($C$88=Producción_Agricola[Movimiento])*(Producción_Agricola[Financiero U$S Dólares])*($G96=Producción_Agricola[Unidad de Negocio])*(M$1=Producción_Agricola[Mes Financiero])*(M$2=Producción_Agricola[Año Financiero]))</f>
        <v>0</v>
      </c>
      <c r="N96" s="391">
        <f>SUMPRODUCT(($C$88=Producción_Agricola[Movimiento])*(Producción_Agricola[Financiero U$S Dólares])*($G96=Producción_Agricola[Unidad de Negocio])*(N$1=Producción_Agricola[Mes Financiero])*(N$2=Producción_Agricola[Año Financiero]))</f>
        <v>0</v>
      </c>
      <c r="O96" s="390">
        <f>SUMPRODUCT(($C$88=Producción_Agricola[Movimiento])*(Producción_Agricola[Financiero U$S Dólares])*($G96=Producción_Agricola[Unidad de Negocio])*(O$1=Producción_Agricola[Mes Financiero])*(O$2=Producción_Agricola[Año Financiero]))</f>
        <v>0</v>
      </c>
      <c r="P96" s="391">
        <f>SUMPRODUCT(($C$88=Producción_Agricola[Movimiento])*(Producción_Agricola[Financiero U$S Dólares])*($G96=Producción_Agricola[Unidad de Negocio])*(P$1=Producción_Agricola[Mes Financiero])*(P$2=Producción_Agricola[Año Financiero]))</f>
        <v>0</v>
      </c>
      <c r="Q96" s="390">
        <f>SUMPRODUCT(($C$88=Producción_Agricola[Movimiento])*(Producción_Agricola[Financiero U$S Dólares])*($G96=Producción_Agricola[Unidad de Negocio])*(Q$1=Producción_Agricola[Mes Financiero])*(Q$2=Producción_Agricola[Año Financiero]))</f>
        <v>0</v>
      </c>
      <c r="R96" s="391">
        <f>SUMPRODUCT(($C$88=Producción_Agricola[Movimiento])*(Producción_Agricola[Financiero U$S Dólares])*($G96=Producción_Agricola[Unidad de Negocio])*(R$1=Producción_Agricola[Mes Financiero])*(R$2=Producción_Agricola[Año Financiero]))</f>
        <v>0</v>
      </c>
      <c r="S96" s="390">
        <f>SUMPRODUCT(($C$88=Producción_Agricola[Movimiento])*(Producción_Agricola[Financiero U$S Dólares])*($G96=Producción_Agricola[Unidad de Negocio])*(S$1=Producción_Agricola[Mes Financiero])*(S$2=Producción_Agricola[Año Financiero]))</f>
        <v>0</v>
      </c>
      <c r="T96" s="391">
        <f>SUMPRODUCT(($C$88=Producción_Agricola[Movimiento])*(Producción_Agricola[Financiero U$S Dólares])*($G96=Producción_Agricola[Unidad de Negocio])*(T$1=Producción_Agricola[Mes Financiero])*(T$2=Producción_Agricola[Año Financiero]))</f>
        <v>0</v>
      </c>
      <c r="U96" s="390">
        <f>SUMPRODUCT(($C$88=Producción_Agricola[Movimiento])*(Producción_Agricola[Financiero U$S Dólares])*($G96=Producción_Agricola[Unidad de Negocio])*(U$1=Producción_Agricola[Mes Financiero])*(U$2=Producción_Agricola[Año Financiero]))</f>
        <v>0</v>
      </c>
      <c r="V96" s="391">
        <f>SUMPRODUCT(($C$88=Producción_Agricola[Movimiento])*(Producción_Agricola[Financiero U$S Dólares])*($G96=Producción_Agricola[Unidad de Negocio])*(V$1=Producción_Agricola[Mes Financiero])*(V$2=Producción_Agricola[Año Financiero]))</f>
        <v>0</v>
      </c>
      <c r="W96" s="390">
        <f>SUMPRODUCT(($C$88=Producción_Agricola[Movimiento])*(Producción_Agricola[Financiero U$S Dólares])*($G96=Producción_Agricola[Unidad de Negocio])*(W$1=Producción_Agricola[Mes Financiero])*(W$2=Producción_Agricola[Año Financiero]))</f>
        <v>0</v>
      </c>
      <c r="X96" s="391">
        <f>SUMPRODUCT(($C$88=Producción_Agricola[Movimiento])*(Producción_Agricola[Financiero U$S Dólares])*($G96=Producción_Agricola[Unidad de Negocio])*(X$1=Producción_Agricola[Mes Financiero])*(X$2=Producción_Agricola[Año Financiero]))</f>
        <v>0</v>
      </c>
      <c r="Y96" s="390">
        <f>SUMPRODUCT(($C$88=Producción_Agricola[Movimiento])*(Producción_Agricola[Financiero U$S Dólares])*($G96=Producción_Agricola[Unidad de Negocio])*(Y$1=Producción_Agricola[Mes Financiero])*(Y$2=Producción_Agricola[Año Financiero]))</f>
        <v>0</v>
      </c>
      <c r="Z96" s="392"/>
    </row>
    <row r="97" spans="2:30" hidden="1" outlineLevel="2" x14ac:dyDescent="0.25">
      <c r="E97" s="135"/>
      <c r="F97" s="215">
        <f>IFERROR(MATCH('Financiero U$S'!G97,Tabla8[Unidades de Negocio],0),0)</f>
        <v>9</v>
      </c>
      <c r="G97" s="409" t="str">
        <f>Configuración!U13</f>
        <v xml:space="preserve"> Trigo</v>
      </c>
      <c r="H97" s="391">
        <f>SUMPRODUCT(($C$88=Producción_Agricola[Movimiento])*(Producción_Agricola[Financiero U$S Dólares])*($G97=Producción_Agricola[Unidad de Negocio])*(H$1=Producción_Agricola[Mes Financiero])*(H$2=Producción_Agricola[Año Financiero]))</f>
        <v>0</v>
      </c>
      <c r="I97" s="390">
        <f>SUMPRODUCT(($C$88=Producción_Agricola[Movimiento])*(Producción_Agricola[Financiero U$S Dólares])*($G97=Producción_Agricola[Unidad de Negocio])*(I$1=Producción_Agricola[Mes Financiero])*(I$2=Producción_Agricola[Año Financiero]))</f>
        <v>0</v>
      </c>
      <c r="J97" s="391">
        <f>SUMPRODUCT(($C$88=Producción_Agricola[Movimiento])*(Producción_Agricola[Financiero U$S Dólares])*($G97=Producción_Agricola[Unidad de Negocio])*(J$1=Producción_Agricola[Mes Financiero])*(J$2=Producción_Agricola[Año Financiero]))</f>
        <v>0</v>
      </c>
      <c r="K97" s="390">
        <f>SUMPRODUCT(($C$88=Producción_Agricola[Movimiento])*(Producción_Agricola[Financiero U$S Dólares])*($G97=Producción_Agricola[Unidad de Negocio])*(K$1=Producción_Agricola[Mes Financiero])*(K$2=Producción_Agricola[Año Financiero]))</f>
        <v>0</v>
      </c>
      <c r="L97" s="391">
        <f>SUMPRODUCT(($C$88=Producción_Agricola[Movimiento])*(Producción_Agricola[Financiero U$S Dólares])*($G97=Producción_Agricola[Unidad de Negocio])*(L$1=Producción_Agricola[Mes Financiero])*(L$2=Producción_Agricola[Año Financiero]))</f>
        <v>0</v>
      </c>
      <c r="M97" s="390">
        <f>SUMPRODUCT(($C$88=Producción_Agricola[Movimiento])*(Producción_Agricola[Financiero U$S Dólares])*($G97=Producción_Agricola[Unidad de Negocio])*(M$1=Producción_Agricola[Mes Financiero])*(M$2=Producción_Agricola[Año Financiero]))</f>
        <v>0</v>
      </c>
      <c r="N97" s="391">
        <f>SUMPRODUCT(($C$88=Producción_Agricola[Movimiento])*(Producción_Agricola[Financiero U$S Dólares])*($G97=Producción_Agricola[Unidad de Negocio])*(N$1=Producción_Agricola[Mes Financiero])*(N$2=Producción_Agricola[Año Financiero]))</f>
        <v>0</v>
      </c>
      <c r="O97" s="390">
        <f>SUMPRODUCT(($C$88=Producción_Agricola[Movimiento])*(Producción_Agricola[Financiero U$S Dólares])*($G97=Producción_Agricola[Unidad de Negocio])*(O$1=Producción_Agricola[Mes Financiero])*(O$2=Producción_Agricola[Año Financiero]))</f>
        <v>0</v>
      </c>
      <c r="P97" s="391">
        <f>SUMPRODUCT(($C$88=Producción_Agricola[Movimiento])*(Producción_Agricola[Financiero U$S Dólares])*($G97=Producción_Agricola[Unidad de Negocio])*(P$1=Producción_Agricola[Mes Financiero])*(P$2=Producción_Agricola[Año Financiero]))</f>
        <v>0</v>
      </c>
      <c r="Q97" s="390">
        <f>SUMPRODUCT(($C$88=Producción_Agricola[Movimiento])*(Producción_Agricola[Financiero U$S Dólares])*($G97=Producción_Agricola[Unidad de Negocio])*(Q$1=Producción_Agricola[Mes Financiero])*(Q$2=Producción_Agricola[Año Financiero]))</f>
        <v>0</v>
      </c>
      <c r="R97" s="391">
        <f>SUMPRODUCT(($C$88=Producción_Agricola[Movimiento])*(Producción_Agricola[Financiero U$S Dólares])*($G97=Producción_Agricola[Unidad de Negocio])*(R$1=Producción_Agricola[Mes Financiero])*(R$2=Producción_Agricola[Año Financiero]))</f>
        <v>0</v>
      </c>
      <c r="S97" s="390">
        <f>SUMPRODUCT(($C$88=Producción_Agricola[Movimiento])*(Producción_Agricola[Financiero U$S Dólares])*($G97=Producción_Agricola[Unidad de Negocio])*(S$1=Producción_Agricola[Mes Financiero])*(S$2=Producción_Agricola[Año Financiero]))</f>
        <v>0</v>
      </c>
      <c r="T97" s="391">
        <f>SUMPRODUCT(($C$88=Producción_Agricola[Movimiento])*(Producción_Agricola[Financiero U$S Dólares])*($G97=Producción_Agricola[Unidad de Negocio])*(T$1=Producción_Agricola[Mes Financiero])*(T$2=Producción_Agricola[Año Financiero]))</f>
        <v>0</v>
      </c>
      <c r="U97" s="390">
        <f>SUMPRODUCT(($C$88=Producción_Agricola[Movimiento])*(Producción_Agricola[Financiero U$S Dólares])*($G97=Producción_Agricola[Unidad de Negocio])*(U$1=Producción_Agricola[Mes Financiero])*(U$2=Producción_Agricola[Año Financiero]))</f>
        <v>0</v>
      </c>
      <c r="V97" s="391">
        <f>SUMPRODUCT(($C$88=Producción_Agricola[Movimiento])*(Producción_Agricola[Financiero U$S Dólares])*($G97=Producción_Agricola[Unidad de Negocio])*(V$1=Producción_Agricola[Mes Financiero])*(V$2=Producción_Agricola[Año Financiero]))</f>
        <v>0</v>
      </c>
      <c r="W97" s="390">
        <f>SUMPRODUCT(($C$88=Producción_Agricola[Movimiento])*(Producción_Agricola[Financiero U$S Dólares])*($G97=Producción_Agricola[Unidad de Negocio])*(W$1=Producción_Agricola[Mes Financiero])*(W$2=Producción_Agricola[Año Financiero]))</f>
        <v>0</v>
      </c>
      <c r="X97" s="391">
        <f>SUMPRODUCT(($C$88=Producción_Agricola[Movimiento])*(Producción_Agricola[Financiero U$S Dólares])*($G97=Producción_Agricola[Unidad de Negocio])*(X$1=Producción_Agricola[Mes Financiero])*(X$2=Producción_Agricola[Año Financiero]))</f>
        <v>0</v>
      </c>
      <c r="Y97" s="390">
        <f>SUMPRODUCT(($C$88=Producción_Agricola[Movimiento])*(Producción_Agricola[Financiero U$S Dólares])*($G97=Producción_Agricola[Unidad de Negocio])*(Y$1=Producción_Agricola[Mes Financiero])*(Y$2=Producción_Agricola[Año Financiero]))</f>
        <v>0</v>
      </c>
      <c r="Z97" s="392"/>
    </row>
    <row r="98" spans="2:30" hidden="1" outlineLevel="2" x14ac:dyDescent="0.25">
      <c r="E98" s="135"/>
      <c r="F98" s="215">
        <f>IFERROR(MATCH('Financiero U$S'!G98,Tabla8[Unidades de Negocio],0),0)</f>
        <v>10</v>
      </c>
      <c r="G98" s="409" t="str">
        <f>Configuración!U14</f>
        <v>Cebada</v>
      </c>
      <c r="H98" s="391">
        <f>SUMPRODUCT(($C$88=Producción_Agricola[Movimiento])*(Producción_Agricola[Financiero U$S Dólares])*($G98=Producción_Agricola[Unidad de Negocio])*(H$1=Producción_Agricola[Mes Financiero])*(H$2=Producción_Agricola[Año Financiero]))</f>
        <v>0</v>
      </c>
      <c r="I98" s="390">
        <f>SUMPRODUCT(($C$88=Producción_Agricola[Movimiento])*(Producción_Agricola[Financiero U$S Dólares])*($G98=Producción_Agricola[Unidad de Negocio])*(I$1=Producción_Agricola[Mes Financiero])*(I$2=Producción_Agricola[Año Financiero]))</f>
        <v>0</v>
      </c>
      <c r="J98" s="391">
        <f>SUMPRODUCT(($C$88=Producción_Agricola[Movimiento])*(Producción_Agricola[Financiero U$S Dólares])*($G98=Producción_Agricola[Unidad de Negocio])*(J$1=Producción_Agricola[Mes Financiero])*(J$2=Producción_Agricola[Año Financiero]))</f>
        <v>0</v>
      </c>
      <c r="K98" s="390">
        <f>SUMPRODUCT(($C$88=Producción_Agricola[Movimiento])*(Producción_Agricola[Financiero U$S Dólares])*($G98=Producción_Agricola[Unidad de Negocio])*(K$1=Producción_Agricola[Mes Financiero])*(K$2=Producción_Agricola[Año Financiero]))</f>
        <v>0</v>
      </c>
      <c r="L98" s="391">
        <f>SUMPRODUCT(($C$88=Producción_Agricola[Movimiento])*(Producción_Agricola[Financiero U$S Dólares])*($G98=Producción_Agricola[Unidad de Negocio])*(L$1=Producción_Agricola[Mes Financiero])*(L$2=Producción_Agricola[Año Financiero]))</f>
        <v>0</v>
      </c>
      <c r="M98" s="390">
        <f>SUMPRODUCT(($C$88=Producción_Agricola[Movimiento])*(Producción_Agricola[Financiero U$S Dólares])*($G98=Producción_Agricola[Unidad de Negocio])*(M$1=Producción_Agricola[Mes Financiero])*(M$2=Producción_Agricola[Año Financiero]))</f>
        <v>0</v>
      </c>
      <c r="N98" s="391">
        <f>SUMPRODUCT(($C$88=Producción_Agricola[Movimiento])*(Producción_Agricola[Financiero U$S Dólares])*($G98=Producción_Agricola[Unidad de Negocio])*(N$1=Producción_Agricola[Mes Financiero])*(N$2=Producción_Agricola[Año Financiero]))</f>
        <v>0</v>
      </c>
      <c r="O98" s="390">
        <f>SUMPRODUCT(($C$88=Producción_Agricola[Movimiento])*(Producción_Agricola[Financiero U$S Dólares])*($G98=Producción_Agricola[Unidad de Negocio])*(O$1=Producción_Agricola[Mes Financiero])*(O$2=Producción_Agricola[Año Financiero]))</f>
        <v>0</v>
      </c>
      <c r="P98" s="391">
        <f>SUMPRODUCT(($C$88=Producción_Agricola[Movimiento])*(Producción_Agricola[Financiero U$S Dólares])*($G98=Producción_Agricola[Unidad de Negocio])*(P$1=Producción_Agricola[Mes Financiero])*(P$2=Producción_Agricola[Año Financiero]))</f>
        <v>0</v>
      </c>
      <c r="Q98" s="390">
        <f>SUMPRODUCT(($C$88=Producción_Agricola[Movimiento])*(Producción_Agricola[Financiero U$S Dólares])*($G98=Producción_Agricola[Unidad de Negocio])*(Q$1=Producción_Agricola[Mes Financiero])*(Q$2=Producción_Agricola[Año Financiero]))</f>
        <v>0</v>
      </c>
      <c r="R98" s="391">
        <f>SUMPRODUCT(($C$88=Producción_Agricola[Movimiento])*(Producción_Agricola[Financiero U$S Dólares])*($G98=Producción_Agricola[Unidad de Negocio])*(R$1=Producción_Agricola[Mes Financiero])*(R$2=Producción_Agricola[Año Financiero]))</f>
        <v>0</v>
      </c>
      <c r="S98" s="390">
        <f>SUMPRODUCT(($C$88=Producción_Agricola[Movimiento])*(Producción_Agricola[Financiero U$S Dólares])*($G98=Producción_Agricola[Unidad de Negocio])*(S$1=Producción_Agricola[Mes Financiero])*(S$2=Producción_Agricola[Año Financiero]))</f>
        <v>0</v>
      </c>
      <c r="T98" s="391">
        <f>SUMPRODUCT(($C$88=Producción_Agricola[Movimiento])*(Producción_Agricola[Financiero U$S Dólares])*($G98=Producción_Agricola[Unidad de Negocio])*(T$1=Producción_Agricola[Mes Financiero])*(T$2=Producción_Agricola[Año Financiero]))</f>
        <v>0</v>
      </c>
      <c r="U98" s="390">
        <f>SUMPRODUCT(($C$88=Producción_Agricola[Movimiento])*(Producción_Agricola[Financiero U$S Dólares])*($G98=Producción_Agricola[Unidad de Negocio])*(U$1=Producción_Agricola[Mes Financiero])*(U$2=Producción_Agricola[Año Financiero]))</f>
        <v>0</v>
      </c>
      <c r="V98" s="391">
        <f>SUMPRODUCT(($C$88=Producción_Agricola[Movimiento])*(Producción_Agricola[Financiero U$S Dólares])*($G98=Producción_Agricola[Unidad de Negocio])*(V$1=Producción_Agricola[Mes Financiero])*(V$2=Producción_Agricola[Año Financiero]))</f>
        <v>0</v>
      </c>
      <c r="W98" s="390">
        <f>SUMPRODUCT(($C$88=Producción_Agricola[Movimiento])*(Producción_Agricola[Financiero U$S Dólares])*($G98=Producción_Agricola[Unidad de Negocio])*(W$1=Producción_Agricola[Mes Financiero])*(W$2=Producción_Agricola[Año Financiero]))</f>
        <v>0</v>
      </c>
      <c r="X98" s="391">
        <f>SUMPRODUCT(($C$88=Producción_Agricola[Movimiento])*(Producción_Agricola[Financiero U$S Dólares])*($G98=Producción_Agricola[Unidad de Negocio])*(X$1=Producción_Agricola[Mes Financiero])*(X$2=Producción_Agricola[Año Financiero]))</f>
        <v>0</v>
      </c>
      <c r="Y98" s="390">
        <f>SUMPRODUCT(($C$88=Producción_Agricola[Movimiento])*(Producción_Agricola[Financiero U$S Dólares])*($G98=Producción_Agricola[Unidad de Negocio])*(Y$1=Producción_Agricola[Mes Financiero])*(Y$2=Producción_Agricola[Año Financiero]))</f>
        <v>0</v>
      </c>
      <c r="Z98" s="392"/>
    </row>
    <row r="99" spans="2:30" hidden="1" outlineLevel="2" x14ac:dyDescent="0.25">
      <c r="E99" s="135"/>
      <c r="F99" s="226">
        <f>IFERROR(MATCH('Financiero U$S'!G99,Tabla8[Unidades de Negocio],0),0)</f>
        <v>11</v>
      </c>
      <c r="G99" s="409" t="str">
        <f>Configuración!U15</f>
        <v>Sorgo</v>
      </c>
      <c r="H99" s="391">
        <f>SUMPRODUCT(($C$88=Producción_Agricola[Movimiento])*(Producción_Agricola[Financiero U$S Dólares])*($G99=Producción_Agricola[Unidad de Negocio])*(H$1=Producción_Agricola[Mes Financiero])*(H$2=Producción_Agricola[Año Financiero]))</f>
        <v>0</v>
      </c>
      <c r="I99" s="390">
        <f>SUMPRODUCT(($C$88=Producción_Agricola[Movimiento])*(Producción_Agricola[Financiero U$S Dólares])*($G99=Producción_Agricola[Unidad de Negocio])*(I$1=Producción_Agricola[Mes Financiero])*(I$2=Producción_Agricola[Año Financiero]))</f>
        <v>0</v>
      </c>
      <c r="J99" s="391">
        <f>SUMPRODUCT(($C$88=Producción_Agricola[Movimiento])*(Producción_Agricola[Financiero U$S Dólares])*($G99=Producción_Agricola[Unidad de Negocio])*(J$1=Producción_Agricola[Mes Financiero])*(J$2=Producción_Agricola[Año Financiero]))</f>
        <v>0</v>
      </c>
      <c r="K99" s="390">
        <f>SUMPRODUCT(($C$88=Producción_Agricola[Movimiento])*(Producción_Agricola[Financiero U$S Dólares])*($G99=Producción_Agricola[Unidad de Negocio])*(K$1=Producción_Agricola[Mes Financiero])*(K$2=Producción_Agricola[Año Financiero]))</f>
        <v>0</v>
      </c>
      <c r="L99" s="391">
        <f>SUMPRODUCT(($C$88=Producción_Agricola[Movimiento])*(Producción_Agricola[Financiero U$S Dólares])*($G99=Producción_Agricola[Unidad de Negocio])*(L$1=Producción_Agricola[Mes Financiero])*(L$2=Producción_Agricola[Año Financiero]))</f>
        <v>0</v>
      </c>
      <c r="M99" s="390">
        <f>SUMPRODUCT(($C$88=Producción_Agricola[Movimiento])*(Producción_Agricola[Financiero U$S Dólares])*($G99=Producción_Agricola[Unidad de Negocio])*(M$1=Producción_Agricola[Mes Financiero])*(M$2=Producción_Agricola[Año Financiero]))</f>
        <v>0</v>
      </c>
      <c r="N99" s="391">
        <f>SUMPRODUCT(($C$88=Producción_Agricola[Movimiento])*(Producción_Agricola[Financiero U$S Dólares])*($G99=Producción_Agricola[Unidad de Negocio])*(N$1=Producción_Agricola[Mes Financiero])*(N$2=Producción_Agricola[Año Financiero]))</f>
        <v>0</v>
      </c>
      <c r="O99" s="390">
        <f>SUMPRODUCT(($C$88=Producción_Agricola[Movimiento])*(Producción_Agricola[Financiero U$S Dólares])*($G99=Producción_Agricola[Unidad de Negocio])*(O$1=Producción_Agricola[Mes Financiero])*(O$2=Producción_Agricola[Año Financiero]))</f>
        <v>0</v>
      </c>
      <c r="P99" s="391">
        <f>SUMPRODUCT(($C$88=Producción_Agricola[Movimiento])*(Producción_Agricola[Financiero U$S Dólares])*($G99=Producción_Agricola[Unidad de Negocio])*(P$1=Producción_Agricola[Mes Financiero])*(P$2=Producción_Agricola[Año Financiero]))</f>
        <v>0</v>
      </c>
      <c r="Q99" s="390">
        <f>SUMPRODUCT(($C$88=Producción_Agricola[Movimiento])*(Producción_Agricola[Financiero U$S Dólares])*($G99=Producción_Agricola[Unidad de Negocio])*(Q$1=Producción_Agricola[Mes Financiero])*(Q$2=Producción_Agricola[Año Financiero]))</f>
        <v>0</v>
      </c>
      <c r="R99" s="391">
        <f>SUMPRODUCT(($C$88=Producción_Agricola[Movimiento])*(Producción_Agricola[Financiero U$S Dólares])*($G99=Producción_Agricola[Unidad de Negocio])*(R$1=Producción_Agricola[Mes Financiero])*(R$2=Producción_Agricola[Año Financiero]))</f>
        <v>0</v>
      </c>
      <c r="S99" s="390">
        <f>SUMPRODUCT(($C$88=Producción_Agricola[Movimiento])*(Producción_Agricola[Financiero U$S Dólares])*($G99=Producción_Agricola[Unidad de Negocio])*(S$1=Producción_Agricola[Mes Financiero])*(S$2=Producción_Agricola[Año Financiero]))</f>
        <v>0</v>
      </c>
      <c r="T99" s="391">
        <f>SUMPRODUCT(($C$88=Producción_Agricola[Movimiento])*(Producción_Agricola[Financiero U$S Dólares])*($G99=Producción_Agricola[Unidad de Negocio])*(T$1=Producción_Agricola[Mes Financiero])*(T$2=Producción_Agricola[Año Financiero]))</f>
        <v>0</v>
      </c>
      <c r="U99" s="390">
        <f>SUMPRODUCT(($C$88=Producción_Agricola[Movimiento])*(Producción_Agricola[Financiero U$S Dólares])*($G99=Producción_Agricola[Unidad de Negocio])*(U$1=Producción_Agricola[Mes Financiero])*(U$2=Producción_Agricola[Año Financiero]))</f>
        <v>0</v>
      </c>
      <c r="V99" s="391">
        <f>SUMPRODUCT(($C$88=Producción_Agricola[Movimiento])*(Producción_Agricola[Financiero U$S Dólares])*($G99=Producción_Agricola[Unidad de Negocio])*(V$1=Producción_Agricola[Mes Financiero])*(V$2=Producción_Agricola[Año Financiero]))</f>
        <v>0</v>
      </c>
      <c r="W99" s="390">
        <f>SUMPRODUCT(($C$88=Producción_Agricola[Movimiento])*(Producción_Agricola[Financiero U$S Dólares])*($G99=Producción_Agricola[Unidad de Negocio])*(W$1=Producción_Agricola[Mes Financiero])*(W$2=Producción_Agricola[Año Financiero]))</f>
        <v>0</v>
      </c>
      <c r="X99" s="391">
        <f>SUMPRODUCT(($C$88=Producción_Agricola[Movimiento])*(Producción_Agricola[Financiero U$S Dólares])*($G99=Producción_Agricola[Unidad de Negocio])*(X$1=Producción_Agricola[Mes Financiero])*(X$2=Producción_Agricola[Año Financiero]))</f>
        <v>0</v>
      </c>
      <c r="Y99" s="390">
        <f>SUMPRODUCT(($C$88=Producción_Agricola[Movimiento])*(Producción_Agricola[Financiero U$S Dólares])*($G99=Producción_Agricola[Unidad de Negocio])*(Y$1=Producción_Agricola[Mes Financiero])*(Y$2=Producción_Agricola[Año Financiero]))</f>
        <v>0</v>
      </c>
      <c r="Z99" s="392"/>
    </row>
    <row r="100" spans="2:30" hidden="1" outlineLevel="2" x14ac:dyDescent="0.25">
      <c r="B100" s="166" t="s">
        <v>101</v>
      </c>
      <c r="E100" s="135"/>
      <c r="F100" s="227">
        <f>IFERROR(MATCH('Financiero U$S'!G100,Tabla8[Unidades de Negocio],0),0)</f>
        <v>12</v>
      </c>
      <c r="G100" s="216" t="str">
        <f>Configuración!U16</f>
        <v>Maíz Silo</v>
      </c>
      <c r="H100" s="393">
        <f>SUMPRODUCT(($C$88=Producción_Agricola[Movimiento])*(Producción_Agricola[Financiero U$S Dólares])*($G100=Producción_Agricola[Unidad de Negocio])*(H$1=Producción_Agricola[Mes Financiero])*(H$2=Producción_Agricola[Año Financiero]))</f>
        <v>0</v>
      </c>
      <c r="I100" s="394">
        <f>SUMPRODUCT(($C$88=Producción_Agricola[Movimiento])*(Producción_Agricola[Financiero U$S Dólares])*($G100=Producción_Agricola[Unidad de Negocio])*(I$1=Producción_Agricola[Mes Financiero])*(I$2=Producción_Agricola[Año Financiero]))</f>
        <v>0</v>
      </c>
      <c r="J100" s="393">
        <f>SUMPRODUCT(($C$88=Producción_Agricola[Movimiento])*(Producción_Agricola[Financiero U$S Dólares])*($G100=Producción_Agricola[Unidad de Negocio])*(J$1=Producción_Agricola[Mes Financiero])*(J$2=Producción_Agricola[Año Financiero]))</f>
        <v>0</v>
      </c>
      <c r="K100" s="394">
        <f>SUMPRODUCT(($C$88=Producción_Agricola[Movimiento])*(Producción_Agricola[Financiero U$S Dólares])*($G100=Producción_Agricola[Unidad de Negocio])*(K$1=Producción_Agricola[Mes Financiero])*(K$2=Producción_Agricola[Año Financiero]))</f>
        <v>0</v>
      </c>
      <c r="L100" s="393">
        <f>SUMPRODUCT(($C$88=Producción_Agricola[Movimiento])*(Producción_Agricola[Financiero U$S Dólares])*($G100=Producción_Agricola[Unidad de Negocio])*(L$1=Producción_Agricola[Mes Financiero])*(L$2=Producción_Agricola[Año Financiero]))</f>
        <v>0</v>
      </c>
      <c r="M100" s="394">
        <f>SUMPRODUCT(($C$88=Producción_Agricola[Movimiento])*(Producción_Agricola[Financiero U$S Dólares])*($G100=Producción_Agricola[Unidad de Negocio])*(M$1=Producción_Agricola[Mes Financiero])*(M$2=Producción_Agricola[Año Financiero]))</f>
        <v>0</v>
      </c>
      <c r="N100" s="393">
        <f>SUMPRODUCT(($C$88=Producción_Agricola[Movimiento])*(Producción_Agricola[Financiero U$S Dólares])*($G100=Producción_Agricola[Unidad de Negocio])*(N$1=Producción_Agricola[Mes Financiero])*(N$2=Producción_Agricola[Año Financiero]))</f>
        <v>0</v>
      </c>
      <c r="O100" s="394">
        <f>SUMPRODUCT(($C$88=Producción_Agricola[Movimiento])*(Producción_Agricola[Financiero U$S Dólares])*($G100=Producción_Agricola[Unidad de Negocio])*(O$1=Producción_Agricola[Mes Financiero])*(O$2=Producción_Agricola[Año Financiero]))</f>
        <v>0</v>
      </c>
      <c r="P100" s="393">
        <f>SUMPRODUCT(($C$88=Producción_Agricola[Movimiento])*(Producción_Agricola[Financiero U$S Dólares])*($G100=Producción_Agricola[Unidad de Negocio])*(P$1=Producción_Agricola[Mes Financiero])*(P$2=Producción_Agricola[Año Financiero]))</f>
        <v>0</v>
      </c>
      <c r="Q100" s="394">
        <f>SUMPRODUCT(($C$88=Producción_Agricola[Movimiento])*(Producción_Agricola[Financiero U$S Dólares])*($G100=Producción_Agricola[Unidad de Negocio])*(Q$1=Producción_Agricola[Mes Financiero])*(Q$2=Producción_Agricola[Año Financiero]))</f>
        <v>0</v>
      </c>
      <c r="R100" s="393">
        <f>SUMPRODUCT(($C$88=Producción_Agricola[Movimiento])*(Producción_Agricola[Financiero U$S Dólares])*($G100=Producción_Agricola[Unidad de Negocio])*(R$1=Producción_Agricola[Mes Financiero])*(R$2=Producción_Agricola[Año Financiero]))</f>
        <v>0</v>
      </c>
      <c r="S100" s="394">
        <f>SUMPRODUCT(($C$88=Producción_Agricola[Movimiento])*(Producción_Agricola[Financiero U$S Dólares])*($G100=Producción_Agricola[Unidad de Negocio])*(S$1=Producción_Agricola[Mes Financiero])*(S$2=Producción_Agricola[Año Financiero]))</f>
        <v>0</v>
      </c>
      <c r="T100" s="393">
        <f>SUMPRODUCT(($C$88=Producción_Agricola[Movimiento])*(Producción_Agricola[Financiero U$S Dólares])*($G100=Producción_Agricola[Unidad de Negocio])*(T$1=Producción_Agricola[Mes Financiero])*(T$2=Producción_Agricola[Año Financiero]))</f>
        <v>0</v>
      </c>
      <c r="U100" s="394">
        <f>SUMPRODUCT(($C$88=Producción_Agricola[Movimiento])*(Producción_Agricola[Financiero U$S Dólares])*($G100=Producción_Agricola[Unidad de Negocio])*(U$1=Producción_Agricola[Mes Financiero])*(U$2=Producción_Agricola[Año Financiero]))</f>
        <v>0</v>
      </c>
      <c r="V100" s="393">
        <f>SUMPRODUCT(($C$88=Producción_Agricola[Movimiento])*(Producción_Agricola[Financiero U$S Dólares])*($G100=Producción_Agricola[Unidad de Negocio])*(V$1=Producción_Agricola[Mes Financiero])*(V$2=Producción_Agricola[Año Financiero]))</f>
        <v>0</v>
      </c>
      <c r="W100" s="394">
        <f>SUMPRODUCT(($C$88=Producción_Agricola[Movimiento])*(Producción_Agricola[Financiero U$S Dólares])*($G100=Producción_Agricola[Unidad de Negocio])*(W$1=Producción_Agricola[Mes Financiero])*(W$2=Producción_Agricola[Año Financiero]))</f>
        <v>0</v>
      </c>
      <c r="X100" s="393">
        <f>SUMPRODUCT(($C$88=Producción_Agricola[Movimiento])*(Producción_Agricola[Financiero U$S Dólares])*($G100=Producción_Agricola[Unidad de Negocio])*(X$1=Producción_Agricola[Mes Financiero])*(X$2=Producción_Agricola[Año Financiero]))</f>
        <v>0</v>
      </c>
      <c r="Y100" s="394">
        <f>SUMPRODUCT(($C$88=Producción_Agricola[Movimiento])*(Producción_Agricola[Financiero U$S Dólares])*($G100=Producción_Agricola[Unidad de Negocio])*(Y$1=Producción_Agricola[Mes Financiero])*(Y$2=Producción_Agricola[Año Financiero]))</f>
        <v>0</v>
      </c>
      <c r="Z100" s="395"/>
    </row>
    <row r="101" spans="2:30" hidden="1" outlineLevel="1" collapsed="1" x14ac:dyDescent="0.25">
      <c r="E101" s="221">
        <f>IFERROR(MATCH(F101,Produccion_Agricola_Cuentas[Cuenta Contable],0),0)</f>
        <v>2</v>
      </c>
      <c r="F101" s="10" t="s">
        <v>18</v>
      </c>
      <c r="H101" s="103">
        <f>SUMPRODUCT(($C$88=Producción_Agricola[Movimiento])*(Producción_Agricola[Financiero U$S Dólares])*($F101=Producción_Agricola[Cuenta Contable])*(H$1=Producción_Agricola[Mes Financiero])*(H$2=Producción_Agricola[Año Financiero]))</f>
        <v>0</v>
      </c>
      <c r="I101" s="104">
        <f>SUMPRODUCT(($C$88=Producción_Agricola[Movimiento])*(Producción_Agricola[Financiero U$S Dólares])*($F101=Producción_Agricola[Cuenta Contable])*(I$1=Producción_Agricola[Mes Financiero])*(I$2=Producción_Agricola[Año Financiero]))</f>
        <v>0</v>
      </c>
      <c r="J101" s="103">
        <f>SUMPRODUCT(($C$88=Producción_Agricola[Movimiento])*(Producción_Agricola[Financiero U$S Dólares])*($F101=Producción_Agricola[Cuenta Contable])*(J$1=Producción_Agricola[Mes Financiero])*(J$2=Producción_Agricola[Año Financiero]))</f>
        <v>0</v>
      </c>
      <c r="K101" s="104">
        <f>SUMPRODUCT(($C$88=Producción_Agricola[Movimiento])*(Producción_Agricola[Financiero U$S Dólares])*($F101=Producción_Agricola[Cuenta Contable])*(K$1=Producción_Agricola[Mes Financiero])*(K$2=Producción_Agricola[Año Financiero]))</f>
        <v>0</v>
      </c>
      <c r="L101" s="103">
        <f>SUMPRODUCT(($C$88=Producción_Agricola[Movimiento])*(Producción_Agricola[Financiero U$S Dólares])*($F101=Producción_Agricola[Cuenta Contable])*(L$1=Producción_Agricola[Mes Financiero])*(L$2=Producción_Agricola[Año Financiero]))</f>
        <v>0</v>
      </c>
      <c r="M101" s="104">
        <f>SUMPRODUCT(($C$88=Producción_Agricola[Movimiento])*(Producción_Agricola[Financiero U$S Dólares])*($F101=Producción_Agricola[Cuenta Contable])*(M$1=Producción_Agricola[Mes Financiero])*(M$2=Producción_Agricola[Año Financiero]))</f>
        <v>0</v>
      </c>
      <c r="N101" s="103">
        <f>SUMPRODUCT(($C$88=Producción_Agricola[Movimiento])*(Producción_Agricola[Financiero U$S Dólares])*($F101=Producción_Agricola[Cuenta Contable])*(N$1=Producción_Agricola[Mes Financiero])*(N$2=Producción_Agricola[Año Financiero]))</f>
        <v>0</v>
      </c>
      <c r="O101" s="104">
        <f>SUMPRODUCT(($C$88=Producción_Agricola[Movimiento])*(Producción_Agricola[Financiero U$S Dólares])*($F101=Producción_Agricola[Cuenta Contable])*(O$1=Producción_Agricola[Mes Financiero])*(O$2=Producción_Agricola[Año Financiero]))</f>
        <v>0</v>
      </c>
      <c r="P101" s="103">
        <f>SUMPRODUCT(($C$88=Producción_Agricola[Movimiento])*(Producción_Agricola[Financiero U$S Dólares])*($F101=Producción_Agricola[Cuenta Contable])*(P$1=Producción_Agricola[Mes Financiero])*(P$2=Producción_Agricola[Año Financiero]))</f>
        <v>0</v>
      </c>
      <c r="Q101" s="104">
        <f>SUMPRODUCT(($C$88=Producción_Agricola[Movimiento])*(Producción_Agricola[Financiero U$S Dólares])*($F101=Producción_Agricola[Cuenta Contable])*(Q$1=Producción_Agricola[Mes Financiero])*(Q$2=Producción_Agricola[Año Financiero]))</f>
        <v>0</v>
      </c>
      <c r="R101" s="103">
        <f>SUMPRODUCT(($C$88=Producción_Agricola[Movimiento])*(Producción_Agricola[Financiero U$S Dólares])*($F101=Producción_Agricola[Cuenta Contable])*(R$1=Producción_Agricola[Mes Financiero])*(R$2=Producción_Agricola[Año Financiero]))</f>
        <v>0</v>
      </c>
      <c r="S101" s="104">
        <f>SUMPRODUCT(($C$88=Producción_Agricola[Movimiento])*(Producción_Agricola[Financiero U$S Dólares])*($F101=Producción_Agricola[Cuenta Contable])*(S$1=Producción_Agricola[Mes Financiero])*(S$2=Producción_Agricola[Año Financiero]))</f>
        <v>0</v>
      </c>
      <c r="T101" s="103">
        <f>SUMPRODUCT(($C$88=Producción_Agricola[Movimiento])*(Producción_Agricola[Financiero U$S Dólares])*($F101=Producción_Agricola[Cuenta Contable])*(T$1=Producción_Agricola[Mes Financiero])*(T$2=Producción_Agricola[Año Financiero]))</f>
        <v>0</v>
      </c>
      <c r="U101" s="104">
        <f>SUMPRODUCT(($C$88=Producción_Agricola[Movimiento])*(Producción_Agricola[Financiero U$S Dólares])*($F101=Producción_Agricola[Cuenta Contable])*(U$1=Producción_Agricola[Mes Financiero])*(U$2=Producción_Agricola[Año Financiero]))</f>
        <v>0</v>
      </c>
      <c r="V101" s="103">
        <f>SUMPRODUCT(($C$88=Producción_Agricola[Movimiento])*(Producción_Agricola[Financiero U$S Dólares])*($F101=Producción_Agricola[Cuenta Contable])*(V$1=Producción_Agricola[Mes Financiero])*(V$2=Producción_Agricola[Año Financiero]))</f>
        <v>0</v>
      </c>
      <c r="W101" s="104">
        <f>SUMPRODUCT(($C$88=Producción_Agricola[Movimiento])*(Producción_Agricola[Financiero U$S Dólares])*($F101=Producción_Agricola[Cuenta Contable])*(W$1=Producción_Agricola[Mes Financiero])*(W$2=Producción_Agricola[Año Financiero]))</f>
        <v>0</v>
      </c>
      <c r="X101" s="103">
        <f>SUMPRODUCT(($C$88=Producción_Agricola[Movimiento])*(Producción_Agricola[Financiero U$S Dólares])*($F101=Producción_Agricola[Cuenta Contable])*(X$1=Producción_Agricola[Mes Financiero])*(X$2=Producción_Agricola[Año Financiero]))</f>
        <v>0</v>
      </c>
      <c r="Y101" s="104">
        <f>SUMPRODUCT(($C$88=Producción_Agricola[Movimiento])*(Producción_Agricola[Financiero U$S Dólares])*($F101=Producción_Agricola[Cuenta Contable])*(Y$1=Producción_Agricola[Mes Financiero])*(Y$2=Producción_Agricola[Año Financiero]))</f>
        <v>0</v>
      </c>
      <c r="Z101" s="144">
        <f t="shared" si="3"/>
        <v>0</v>
      </c>
      <c r="AC101" s="174">
        <f>SUMPRODUCT((F101=Produccion_Agricola_Cuentas[Cuenta Contable])*(Produccion_Agricola_Cuentas[IVA]))</f>
        <v>0.21</v>
      </c>
      <c r="AD101" s="174">
        <f>SUMPRODUCT((G101=Produccion_Agricola_Cuentas[Cuenta Contable])*(Produccion_Agricola_Cuentas[IVA]))</f>
        <v>0</v>
      </c>
    </row>
    <row r="102" spans="2:30" hidden="1" outlineLevel="1" x14ac:dyDescent="0.25">
      <c r="E102" s="221">
        <f>IFERROR(MATCH(F102,Produccion_Agricola_Cuentas[Cuenta Contable],0),0)</f>
        <v>3</v>
      </c>
      <c r="F102" s="10" t="s">
        <v>20</v>
      </c>
      <c r="H102" s="103">
        <f>SUMPRODUCT(($C$88=Producción_Agricola[Movimiento])*(Producción_Agricola[Financiero U$S Dólares])*($F102=Producción_Agricola[Cuenta Contable])*(H$1=Producción_Agricola[Mes Financiero])*(H$2=Producción_Agricola[Año Financiero]))</f>
        <v>0</v>
      </c>
      <c r="I102" s="104">
        <f>SUMPRODUCT(($C$88=Producción_Agricola[Movimiento])*(Producción_Agricola[Financiero U$S Dólares])*($F102=Producción_Agricola[Cuenta Contable])*(I$1=Producción_Agricola[Mes Financiero])*(I$2=Producción_Agricola[Año Financiero]))</f>
        <v>0</v>
      </c>
      <c r="J102" s="103">
        <f>SUMPRODUCT(($C$88=Producción_Agricola[Movimiento])*(Producción_Agricola[Financiero U$S Dólares])*($F102=Producción_Agricola[Cuenta Contable])*(J$1=Producción_Agricola[Mes Financiero])*(J$2=Producción_Agricola[Año Financiero]))</f>
        <v>0</v>
      </c>
      <c r="K102" s="104">
        <f>SUMPRODUCT(($C$88=Producción_Agricola[Movimiento])*(Producción_Agricola[Financiero U$S Dólares])*($F102=Producción_Agricola[Cuenta Contable])*(K$1=Producción_Agricola[Mes Financiero])*(K$2=Producción_Agricola[Año Financiero]))</f>
        <v>0</v>
      </c>
      <c r="L102" s="103">
        <f>SUMPRODUCT(($C$88=Producción_Agricola[Movimiento])*(Producción_Agricola[Financiero U$S Dólares])*($F102=Producción_Agricola[Cuenta Contable])*(L$1=Producción_Agricola[Mes Financiero])*(L$2=Producción_Agricola[Año Financiero]))</f>
        <v>0</v>
      </c>
      <c r="M102" s="104">
        <f>SUMPRODUCT(($C$88=Producción_Agricola[Movimiento])*(Producción_Agricola[Financiero U$S Dólares])*($F102=Producción_Agricola[Cuenta Contable])*(M$1=Producción_Agricola[Mes Financiero])*(M$2=Producción_Agricola[Año Financiero]))</f>
        <v>0</v>
      </c>
      <c r="N102" s="103">
        <f>SUMPRODUCT(($C$88=Producción_Agricola[Movimiento])*(Producción_Agricola[Financiero U$S Dólares])*($F102=Producción_Agricola[Cuenta Contable])*(N$1=Producción_Agricola[Mes Financiero])*(N$2=Producción_Agricola[Año Financiero]))</f>
        <v>0</v>
      </c>
      <c r="O102" s="104">
        <f>SUMPRODUCT(($C$88=Producción_Agricola[Movimiento])*(Producción_Agricola[Financiero U$S Dólares])*($F102=Producción_Agricola[Cuenta Contable])*(O$1=Producción_Agricola[Mes Financiero])*(O$2=Producción_Agricola[Año Financiero]))</f>
        <v>0</v>
      </c>
      <c r="P102" s="103">
        <f>SUMPRODUCT(($C$88=Producción_Agricola[Movimiento])*(Producción_Agricola[Financiero U$S Dólares])*($F102=Producción_Agricola[Cuenta Contable])*(P$1=Producción_Agricola[Mes Financiero])*(P$2=Producción_Agricola[Año Financiero]))</f>
        <v>0</v>
      </c>
      <c r="Q102" s="104">
        <f>SUMPRODUCT(($C$88=Producción_Agricola[Movimiento])*(Producción_Agricola[Financiero U$S Dólares])*($F102=Producción_Agricola[Cuenta Contable])*(Q$1=Producción_Agricola[Mes Financiero])*(Q$2=Producción_Agricola[Año Financiero]))</f>
        <v>0</v>
      </c>
      <c r="R102" s="103">
        <f>SUMPRODUCT(($C$88=Producción_Agricola[Movimiento])*(Producción_Agricola[Financiero U$S Dólares])*($F102=Producción_Agricola[Cuenta Contable])*(R$1=Producción_Agricola[Mes Financiero])*(R$2=Producción_Agricola[Año Financiero]))</f>
        <v>0</v>
      </c>
      <c r="S102" s="104">
        <f>SUMPRODUCT(($C$88=Producción_Agricola[Movimiento])*(Producción_Agricola[Financiero U$S Dólares])*($F102=Producción_Agricola[Cuenta Contable])*(S$1=Producción_Agricola[Mes Financiero])*(S$2=Producción_Agricola[Año Financiero]))</f>
        <v>0</v>
      </c>
      <c r="T102" s="103">
        <f>SUMPRODUCT(($C$88=Producción_Agricola[Movimiento])*(Producción_Agricola[Financiero U$S Dólares])*($F102=Producción_Agricola[Cuenta Contable])*(T$1=Producción_Agricola[Mes Financiero])*(T$2=Producción_Agricola[Año Financiero]))</f>
        <v>0</v>
      </c>
      <c r="U102" s="104">
        <f>SUMPRODUCT(($C$88=Producción_Agricola[Movimiento])*(Producción_Agricola[Financiero U$S Dólares])*($F102=Producción_Agricola[Cuenta Contable])*(U$1=Producción_Agricola[Mes Financiero])*(U$2=Producción_Agricola[Año Financiero]))</f>
        <v>0</v>
      </c>
      <c r="V102" s="103">
        <f>SUMPRODUCT(($C$88=Producción_Agricola[Movimiento])*(Producción_Agricola[Financiero U$S Dólares])*($F102=Producción_Agricola[Cuenta Contable])*(V$1=Producción_Agricola[Mes Financiero])*(V$2=Producción_Agricola[Año Financiero]))</f>
        <v>0</v>
      </c>
      <c r="W102" s="104">
        <f>SUMPRODUCT(($C$88=Producción_Agricola[Movimiento])*(Producción_Agricola[Financiero U$S Dólares])*($F102=Producción_Agricola[Cuenta Contable])*(W$1=Producción_Agricola[Mes Financiero])*(W$2=Producción_Agricola[Año Financiero]))</f>
        <v>0</v>
      </c>
      <c r="X102" s="103">
        <f>SUMPRODUCT(($C$88=Producción_Agricola[Movimiento])*(Producción_Agricola[Financiero U$S Dólares])*($F102=Producción_Agricola[Cuenta Contable])*(X$1=Producción_Agricola[Mes Financiero])*(X$2=Producción_Agricola[Año Financiero]))</f>
        <v>0</v>
      </c>
      <c r="Y102" s="104">
        <f>SUMPRODUCT(($C$88=Producción_Agricola[Movimiento])*(Producción_Agricola[Financiero U$S Dólares])*($F102=Producción_Agricola[Cuenta Contable])*(Y$1=Producción_Agricola[Mes Financiero])*(Y$2=Producción_Agricola[Año Financiero]))</f>
        <v>0</v>
      </c>
      <c r="Z102" s="144">
        <f t="shared" si="3"/>
        <v>0</v>
      </c>
      <c r="AC102" s="174">
        <f>SUMPRODUCT((F102=Produccion_Agricola_Cuentas[Cuenta Contable])*(Produccion_Agricola_Cuentas[IVA]))</f>
        <v>0.21</v>
      </c>
      <c r="AD102" s="174">
        <f>SUMPRODUCT((G102=Produccion_Agricola_Cuentas[Cuenta Contable])*(Produccion_Agricola_Cuentas[IVA]))</f>
        <v>0</v>
      </c>
    </row>
    <row r="103" spans="2:30" hidden="1" outlineLevel="1" x14ac:dyDescent="0.25">
      <c r="E103" s="221">
        <f>IFERROR(MATCH(F103,Produccion_Agricola_Cuentas[Cuenta Contable],0),0)</f>
        <v>4</v>
      </c>
      <c r="F103" s="10" t="s">
        <v>21</v>
      </c>
      <c r="H103" s="103">
        <f>SUMPRODUCT(($C$88=Producción_Agricola[Movimiento])*(Producción_Agricola[Financiero U$S Dólares])*($F103=Producción_Agricola[Cuenta Contable])*(H$1=Producción_Agricola[Mes Financiero])*(H$2=Producción_Agricola[Año Financiero]))</f>
        <v>0</v>
      </c>
      <c r="I103" s="104">
        <f>SUMPRODUCT(($C$88=Producción_Agricola[Movimiento])*(Producción_Agricola[Financiero U$S Dólares])*($F103=Producción_Agricola[Cuenta Contable])*(I$1=Producción_Agricola[Mes Financiero])*(I$2=Producción_Agricola[Año Financiero]))</f>
        <v>0</v>
      </c>
      <c r="J103" s="103">
        <f>SUMPRODUCT(($C$88=Producción_Agricola[Movimiento])*(Producción_Agricola[Financiero U$S Dólares])*($F103=Producción_Agricola[Cuenta Contable])*(J$1=Producción_Agricola[Mes Financiero])*(J$2=Producción_Agricola[Año Financiero]))</f>
        <v>0</v>
      </c>
      <c r="K103" s="104">
        <f>SUMPRODUCT(($C$88=Producción_Agricola[Movimiento])*(Producción_Agricola[Financiero U$S Dólares])*($F103=Producción_Agricola[Cuenta Contable])*(K$1=Producción_Agricola[Mes Financiero])*(K$2=Producción_Agricola[Año Financiero]))</f>
        <v>0</v>
      </c>
      <c r="L103" s="103">
        <f>SUMPRODUCT(($C$88=Producción_Agricola[Movimiento])*(Producción_Agricola[Financiero U$S Dólares])*($F103=Producción_Agricola[Cuenta Contable])*(L$1=Producción_Agricola[Mes Financiero])*(L$2=Producción_Agricola[Año Financiero]))</f>
        <v>0</v>
      </c>
      <c r="M103" s="104">
        <f>SUMPRODUCT(($C$88=Producción_Agricola[Movimiento])*(Producción_Agricola[Financiero U$S Dólares])*($F103=Producción_Agricola[Cuenta Contable])*(M$1=Producción_Agricola[Mes Financiero])*(M$2=Producción_Agricola[Año Financiero]))</f>
        <v>0</v>
      </c>
      <c r="N103" s="103">
        <f>SUMPRODUCT(($C$88=Producción_Agricola[Movimiento])*(Producción_Agricola[Financiero U$S Dólares])*($F103=Producción_Agricola[Cuenta Contable])*(N$1=Producción_Agricola[Mes Financiero])*(N$2=Producción_Agricola[Año Financiero]))</f>
        <v>0</v>
      </c>
      <c r="O103" s="104">
        <f>SUMPRODUCT(($C$88=Producción_Agricola[Movimiento])*(Producción_Agricola[Financiero U$S Dólares])*($F103=Producción_Agricola[Cuenta Contable])*(O$1=Producción_Agricola[Mes Financiero])*(O$2=Producción_Agricola[Año Financiero]))</f>
        <v>0</v>
      </c>
      <c r="P103" s="103">
        <f>SUMPRODUCT(($C$88=Producción_Agricola[Movimiento])*(Producción_Agricola[Financiero U$S Dólares])*($F103=Producción_Agricola[Cuenta Contable])*(P$1=Producción_Agricola[Mes Financiero])*(P$2=Producción_Agricola[Año Financiero]))</f>
        <v>0</v>
      </c>
      <c r="Q103" s="104">
        <f>SUMPRODUCT(($C$88=Producción_Agricola[Movimiento])*(Producción_Agricola[Financiero U$S Dólares])*($F103=Producción_Agricola[Cuenta Contable])*(Q$1=Producción_Agricola[Mes Financiero])*(Q$2=Producción_Agricola[Año Financiero]))</f>
        <v>0</v>
      </c>
      <c r="R103" s="103">
        <f>SUMPRODUCT(($C$88=Producción_Agricola[Movimiento])*(Producción_Agricola[Financiero U$S Dólares])*($F103=Producción_Agricola[Cuenta Contable])*(R$1=Producción_Agricola[Mes Financiero])*(R$2=Producción_Agricola[Año Financiero]))</f>
        <v>0</v>
      </c>
      <c r="S103" s="104">
        <f>SUMPRODUCT(($C$88=Producción_Agricola[Movimiento])*(Producción_Agricola[Financiero U$S Dólares])*($F103=Producción_Agricola[Cuenta Contable])*(S$1=Producción_Agricola[Mes Financiero])*(S$2=Producción_Agricola[Año Financiero]))</f>
        <v>0</v>
      </c>
      <c r="T103" s="103">
        <f>SUMPRODUCT(($C$88=Producción_Agricola[Movimiento])*(Producción_Agricola[Financiero U$S Dólares])*($F103=Producción_Agricola[Cuenta Contable])*(T$1=Producción_Agricola[Mes Financiero])*(T$2=Producción_Agricola[Año Financiero]))</f>
        <v>0</v>
      </c>
      <c r="U103" s="104">
        <f>SUMPRODUCT(($C$88=Producción_Agricola[Movimiento])*(Producción_Agricola[Financiero U$S Dólares])*($F103=Producción_Agricola[Cuenta Contable])*(U$1=Producción_Agricola[Mes Financiero])*(U$2=Producción_Agricola[Año Financiero]))</f>
        <v>0</v>
      </c>
      <c r="V103" s="103">
        <f>SUMPRODUCT(($C$88=Producción_Agricola[Movimiento])*(Producción_Agricola[Financiero U$S Dólares])*($F103=Producción_Agricola[Cuenta Contable])*(V$1=Producción_Agricola[Mes Financiero])*(V$2=Producción_Agricola[Año Financiero]))</f>
        <v>0</v>
      </c>
      <c r="W103" s="104">
        <f>SUMPRODUCT(($C$88=Producción_Agricola[Movimiento])*(Producción_Agricola[Financiero U$S Dólares])*($F103=Producción_Agricola[Cuenta Contable])*(W$1=Producción_Agricola[Mes Financiero])*(W$2=Producción_Agricola[Año Financiero]))</f>
        <v>0</v>
      </c>
      <c r="X103" s="103">
        <f>SUMPRODUCT(($C$88=Producción_Agricola[Movimiento])*(Producción_Agricola[Financiero U$S Dólares])*($F103=Producción_Agricola[Cuenta Contable])*(X$1=Producción_Agricola[Mes Financiero])*(X$2=Producción_Agricola[Año Financiero]))</f>
        <v>0</v>
      </c>
      <c r="Y103" s="104">
        <f>SUMPRODUCT(($C$88=Producción_Agricola[Movimiento])*(Producción_Agricola[Financiero U$S Dólares])*($F103=Producción_Agricola[Cuenta Contable])*(Y$1=Producción_Agricola[Mes Financiero])*(Y$2=Producción_Agricola[Año Financiero]))</f>
        <v>0</v>
      </c>
      <c r="Z103" s="144">
        <f t="shared" si="3"/>
        <v>0</v>
      </c>
      <c r="AC103" s="174">
        <f>SUMPRODUCT((F103=Produccion_Agricola_Cuentas[Cuenta Contable])*(Produccion_Agricola_Cuentas[IVA]))</f>
        <v>0.21</v>
      </c>
      <c r="AD103" s="174">
        <f>SUMPRODUCT((G103=Produccion_Agricola_Cuentas[Cuenta Contable])*(Produccion_Agricola_Cuentas[IVA]))</f>
        <v>0</v>
      </c>
    </row>
    <row r="104" spans="2:30" hidden="1" outlineLevel="1" x14ac:dyDescent="0.25">
      <c r="E104" s="221">
        <f>IFERROR(MATCH(F104,Produccion_Agricola_Cuentas[Cuenta Contable],0),0)</f>
        <v>5</v>
      </c>
      <c r="F104" s="10" t="s">
        <v>19</v>
      </c>
      <c r="H104" s="103">
        <f>SUMPRODUCT(($C$88=Producción_Agricola[Movimiento])*(Producción_Agricola[Financiero U$S Dólares])*($F104=Producción_Agricola[Cuenta Contable])*(H$1=Producción_Agricola[Mes Financiero])*(H$2=Producción_Agricola[Año Financiero]))</f>
        <v>0</v>
      </c>
      <c r="I104" s="104">
        <f>SUMPRODUCT(($C$88=Producción_Agricola[Movimiento])*(Producción_Agricola[Financiero U$S Dólares])*($F104=Producción_Agricola[Cuenta Contable])*(I$1=Producción_Agricola[Mes Financiero])*(I$2=Producción_Agricola[Año Financiero]))</f>
        <v>0</v>
      </c>
      <c r="J104" s="103">
        <f>SUMPRODUCT(($C$88=Producción_Agricola[Movimiento])*(Producción_Agricola[Financiero U$S Dólares])*($F104=Producción_Agricola[Cuenta Contable])*(J$1=Producción_Agricola[Mes Financiero])*(J$2=Producción_Agricola[Año Financiero]))</f>
        <v>0</v>
      </c>
      <c r="K104" s="104">
        <f>SUMPRODUCT(($C$88=Producción_Agricola[Movimiento])*(Producción_Agricola[Financiero U$S Dólares])*($F104=Producción_Agricola[Cuenta Contable])*(K$1=Producción_Agricola[Mes Financiero])*(K$2=Producción_Agricola[Año Financiero]))</f>
        <v>0</v>
      </c>
      <c r="L104" s="103">
        <f>SUMPRODUCT(($C$88=Producción_Agricola[Movimiento])*(Producción_Agricola[Financiero U$S Dólares])*($F104=Producción_Agricola[Cuenta Contable])*(L$1=Producción_Agricola[Mes Financiero])*(L$2=Producción_Agricola[Año Financiero]))</f>
        <v>0</v>
      </c>
      <c r="M104" s="104">
        <f>SUMPRODUCT(($C$88=Producción_Agricola[Movimiento])*(Producción_Agricola[Financiero U$S Dólares])*($F104=Producción_Agricola[Cuenta Contable])*(M$1=Producción_Agricola[Mes Financiero])*(M$2=Producción_Agricola[Año Financiero]))</f>
        <v>0</v>
      </c>
      <c r="N104" s="103">
        <f>SUMPRODUCT(($C$88=Producción_Agricola[Movimiento])*(Producción_Agricola[Financiero U$S Dólares])*($F104=Producción_Agricola[Cuenta Contable])*(N$1=Producción_Agricola[Mes Financiero])*(N$2=Producción_Agricola[Año Financiero]))</f>
        <v>0</v>
      </c>
      <c r="O104" s="104">
        <f>SUMPRODUCT(($C$88=Producción_Agricola[Movimiento])*(Producción_Agricola[Financiero U$S Dólares])*($F104=Producción_Agricola[Cuenta Contable])*(O$1=Producción_Agricola[Mes Financiero])*(O$2=Producción_Agricola[Año Financiero]))</f>
        <v>0</v>
      </c>
      <c r="P104" s="103">
        <f>SUMPRODUCT(($C$88=Producción_Agricola[Movimiento])*(Producción_Agricola[Financiero U$S Dólares])*($F104=Producción_Agricola[Cuenta Contable])*(P$1=Producción_Agricola[Mes Financiero])*(P$2=Producción_Agricola[Año Financiero]))</f>
        <v>0</v>
      </c>
      <c r="Q104" s="104">
        <f>SUMPRODUCT(($C$88=Producción_Agricola[Movimiento])*(Producción_Agricola[Financiero U$S Dólares])*($F104=Producción_Agricola[Cuenta Contable])*(Q$1=Producción_Agricola[Mes Financiero])*(Q$2=Producción_Agricola[Año Financiero]))</f>
        <v>0</v>
      </c>
      <c r="R104" s="103">
        <f>SUMPRODUCT(($C$88=Producción_Agricola[Movimiento])*(Producción_Agricola[Financiero U$S Dólares])*($F104=Producción_Agricola[Cuenta Contable])*(R$1=Producción_Agricola[Mes Financiero])*(R$2=Producción_Agricola[Año Financiero]))</f>
        <v>0</v>
      </c>
      <c r="S104" s="104">
        <f>SUMPRODUCT(($C$88=Producción_Agricola[Movimiento])*(Producción_Agricola[Financiero U$S Dólares])*($F104=Producción_Agricola[Cuenta Contable])*(S$1=Producción_Agricola[Mes Financiero])*(S$2=Producción_Agricola[Año Financiero]))</f>
        <v>0</v>
      </c>
      <c r="T104" s="103">
        <f>SUMPRODUCT(($C$88=Producción_Agricola[Movimiento])*(Producción_Agricola[Financiero U$S Dólares])*($F104=Producción_Agricola[Cuenta Contable])*(T$1=Producción_Agricola[Mes Financiero])*(T$2=Producción_Agricola[Año Financiero]))</f>
        <v>0</v>
      </c>
      <c r="U104" s="104">
        <f>SUMPRODUCT(($C$88=Producción_Agricola[Movimiento])*(Producción_Agricola[Financiero U$S Dólares])*($F104=Producción_Agricola[Cuenta Contable])*(U$1=Producción_Agricola[Mes Financiero])*(U$2=Producción_Agricola[Año Financiero]))</f>
        <v>0</v>
      </c>
      <c r="V104" s="103">
        <f>SUMPRODUCT(($C$88=Producción_Agricola[Movimiento])*(Producción_Agricola[Financiero U$S Dólares])*($F104=Producción_Agricola[Cuenta Contable])*(V$1=Producción_Agricola[Mes Financiero])*(V$2=Producción_Agricola[Año Financiero]))</f>
        <v>0</v>
      </c>
      <c r="W104" s="104">
        <f>SUMPRODUCT(($C$88=Producción_Agricola[Movimiento])*(Producción_Agricola[Financiero U$S Dólares])*($F104=Producción_Agricola[Cuenta Contable])*(W$1=Producción_Agricola[Mes Financiero])*(W$2=Producción_Agricola[Año Financiero]))</f>
        <v>0</v>
      </c>
      <c r="X104" s="103">
        <f>SUMPRODUCT(($C$88=Producción_Agricola[Movimiento])*(Producción_Agricola[Financiero U$S Dólares])*($F104=Producción_Agricola[Cuenta Contable])*(X$1=Producción_Agricola[Mes Financiero])*(X$2=Producción_Agricola[Año Financiero]))</f>
        <v>0</v>
      </c>
      <c r="Y104" s="104">
        <f>SUMPRODUCT(($C$88=Producción_Agricola[Movimiento])*(Producción_Agricola[Financiero U$S Dólares])*($F104=Producción_Agricola[Cuenta Contable])*(Y$1=Producción_Agricola[Mes Financiero])*(Y$2=Producción_Agricola[Año Financiero]))</f>
        <v>0</v>
      </c>
      <c r="Z104" s="144">
        <f t="shared" si="3"/>
        <v>0</v>
      </c>
      <c r="AC104" s="174">
        <f>SUMPRODUCT((F104=Produccion_Agricola_Cuentas[Cuenta Contable])*(Produccion_Agricola_Cuentas[IVA]))</f>
        <v>0.21</v>
      </c>
      <c r="AD104" s="174">
        <f>SUMPRODUCT((G104=Produccion_Agricola_Cuentas[Cuenta Contable])*(Produccion_Agricola_Cuentas[IVA]))</f>
        <v>0</v>
      </c>
    </row>
    <row r="105" spans="2:30" hidden="1" outlineLevel="1" x14ac:dyDescent="0.25">
      <c r="E105" s="221">
        <f>IFERROR(MATCH(F105,Produccion_Agricola_Cuentas[Cuenta Contable],0),0)</f>
        <v>6</v>
      </c>
      <c r="F105" s="10" t="s">
        <v>17</v>
      </c>
      <c r="H105" s="103">
        <f>SUMPRODUCT(($C$88=Producción_Agricola[Movimiento])*(Producción_Agricola[Financiero U$S Dólares])*($F105=Producción_Agricola[Cuenta Contable])*(H$1=Producción_Agricola[Mes Financiero])*(H$2=Producción_Agricola[Año Financiero]))</f>
        <v>0</v>
      </c>
      <c r="I105" s="104">
        <f>SUMPRODUCT(($C$88=Producción_Agricola[Movimiento])*(Producción_Agricola[Financiero U$S Dólares])*($F105=Producción_Agricola[Cuenta Contable])*(I$1=Producción_Agricola[Mes Financiero])*(I$2=Producción_Agricola[Año Financiero]))</f>
        <v>0</v>
      </c>
      <c r="J105" s="103">
        <f>SUMPRODUCT(($C$88=Producción_Agricola[Movimiento])*(Producción_Agricola[Financiero U$S Dólares])*($F105=Producción_Agricola[Cuenta Contable])*(J$1=Producción_Agricola[Mes Financiero])*(J$2=Producción_Agricola[Año Financiero]))</f>
        <v>0</v>
      </c>
      <c r="K105" s="104">
        <f>SUMPRODUCT(($C$88=Producción_Agricola[Movimiento])*(Producción_Agricola[Financiero U$S Dólares])*($F105=Producción_Agricola[Cuenta Contable])*(K$1=Producción_Agricola[Mes Financiero])*(K$2=Producción_Agricola[Año Financiero]))</f>
        <v>0</v>
      </c>
      <c r="L105" s="103">
        <f>SUMPRODUCT(($C$88=Producción_Agricola[Movimiento])*(Producción_Agricola[Financiero U$S Dólares])*($F105=Producción_Agricola[Cuenta Contable])*(L$1=Producción_Agricola[Mes Financiero])*(L$2=Producción_Agricola[Año Financiero]))</f>
        <v>0</v>
      </c>
      <c r="M105" s="104">
        <f>SUMPRODUCT(($C$88=Producción_Agricola[Movimiento])*(Producción_Agricola[Financiero U$S Dólares])*($F105=Producción_Agricola[Cuenta Contable])*(M$1=Producción_Agricola[Mes Financiero])*(M$2=Producción_Agricola[Año Financiero]))</f>
        <v>0</v>
      </c>
      <c r="N105" s="103">
        <f>SUMPRODUCT(($C$88=Producción_Agricola[Movimiento])*(Producción_Agricola[Financiero U$S Dólares])*($F105=Producción_Agricola[Cuenta Contable])*(N$1=Producción_Agricola[Mes Financiero])*(N$2=Producción_Agricola[Año Financiero]))</f>
        <v>0</v>
      </c>
      <c r="O105" s="104">
        <f>SUMPRODUCT(($C$88=Producción_Agricola[Movimiento])*(Producción_Agricola[Financiero U$S Dólares])*($F105=Producción_Agricola[Cuenta Contable])*(O$1=Producción_Agricola[Mes Financiero])*(O$2=Producción_Agricola[Año Financiero]))</f>
        <v>0</v>
      </c>
      <c r="P105" s="103">
        <f>SUMPRODUCT(($C$88=Producción_Agricola[Movimiento])*(Producción_Agricola[Financiero U$S Dólares])*($F105=Producción_Agricola[Cuenta Contable])*(P$1=Producción_Agricola[Mes Financiero])*(P$2=Producción_Agricola[Año Financiero]))</f>
        <v>0</v>
      </c>
      <c r="Q105" s="104">
        <f>SUMPRODUCT(($C$88=Producción_Agricola[Movimiento])*(Producción_Agricola[Financiero U$S Dólares])*($F105=Producción_Agricola[Cuenta Contable])*(Q$1=Producción_Agricola[Mes Financiero])*(Q$2=Producción_Agricola[Año Financiero]))</f>
        <v>0</v>
      </c>
      <c r="R105" s="103">
        <f>SUMPRODUCT(($C$88=Producción_Agricola[Movimiento])*(Producción_Agricola[Financiero U$S Dólares])*($F105=Producción_Agricola[Cuenta Contable])*(R$1=Producción_Agricola[Mes Financiero])*(R$2=Producción_Agricola[Año Financiero]))</f>
        <v>0</v>
      </c>
      <c r="S105" s="104">
        <f>SUMPRODUCT(($C$88=Producción_Agricola[Movimiento])*(Producción_Agricola[Financiero U$S Dólares])*($F105=Producción_Agricola[Cuenta Contable])*(S$1=Producción_Agricola[Mes Financiero])*(S$2=Producción_Agricola[Año Financiero]))</f>
        <v>0</v>
      </c>
      <c r="T105" s="103">
        <f>SUMPRODUCT(($C$88=Producción_Agricola[Movimiento])*(Producción_Agricola[Financiero U$S Dólares])*($F105=Producción_Agricola[Cuenta Contable])*(T$1=Producción_Agricola[Mes Financiero])*(T$2=Producción_Agricola[Año Financiero]))</f>
        <v>0</v>
      </c>
      <c r="U105" s="104">
        <f>SUMPRODUCT(($C$88=Producción_Agricola[Movimiento])*(Producción_Agricola[Financiero U$S Dólares])*($F105=Producción_Agricola[Cuenta Contable])*(U$1=Producción_Agricola[Mes Financiero])*(U$2=Producción_Agricola[Año Financiero]))</f>
        <v>0</v>
      </c>
      <c r="V105" s="103">
        <f>SUMPRODUCT(($C$88=Producción_Agricola[Movimiento])*(Producción_Agricola[Financiero U$S Dólares])*($F105=Producción_Agricola[Cuenta Contable])*(V$1=Producción_Agricola[Mes Financiero])*(V$2=Producción_Agricola[Año Financiero]))</f>
        <v>0</v>
      </c>
      <c r="W105" s="104">
        <f>SUMPRODUCT(($C$88=Producción_Agricola[Movimiento])*(Producción_Agricola[Financiero U$S Dólares])*($F105=Producción_Agricola[Cuenta Contable])*(W$1=Producción_Agricola[Mes Financiero])*(W$2=Producción_Agricola[Año Financiero]))</f>
        <v>0</v>
      </c>
      <c r="X105" s="103">
        <f>SUMPRODUCT(($C$88=Producción_Agricola[Movimiento])*(Producción_Agricola[Financiero U$S Dólares])*($F105=Producción_Agricola[Cuenta Contable])*(X$1=Producción_Agricola[Mes Financiero])*(X$2=Producción_Agricola[Año Financiero]))</f>
        <v>0</v>
      </c>
      <c r="Y105" s="104">
        <f>SUMPRODUCT(($C$88=Producción_Agricola[Movimiento])*(Producción_Agricola[Financiero U$S Dólares])*($F105=Producción_Agricola[Cuenta Contable])*(Y$1=Producción_Agricola[Mes Financiero])*(Y$2=Producción_Agricola[Año Financiero]))</f>
        <v>0</v>
      </c>
      <c r="Z105" s="144">
        <f t="shared" si="3"/>
        <v>0</v>
      </c>
      <c r="AC105" s="174">
        <f>SUMPRODUCT((F105=Produccion_Agricola_Cuentas[Cuenta Contable])*(Produccion_Agricola_Cuentas[IVA]))</f>
        <v>0.21</v>
      </c>
      <c r="AD105" s="174">
        <f>SUMPRODUCT((G105=Produccion_Agricola_Cuentas[Cuenta Contable])*(Produccion_Agricola_Cuentas[IVA]))</f>
        <v>0</v>
      </c>
    </row>
    <row r="106" spans="2:30" hidden="1" outlineLevel="1" x14ac:dyDescent="0.25">
      <c r="E106" s="221">
        <f>IFERROR(MATCH(F106,Produccion_Agricola_Cuentas[Cuenta Contable],0),0)</f>
        <v>7</v>
      </c>
      <c r="F106" s="10" t="s">
        <v>22</v>
      </c>
      <c r="H106" s="103">
        <f>SUMPRODUCT(($C$88=Producción_Agricola[Movimiento])*(Producción_Agricola[Financiero U$S Dólares])*($F106=Producción_Agricola[Cuenta Contable])*(H$1=Producción_Agricola[Mes Financiero])*(H$2=Producción_Agricola[Año Financiero]))</f>
        <v>0</v>
      </c>
      <c r="I106" s="104">
        <f>SUMPRODUCT(($C$88=Producción_Agricola[Movimiento])*(Producción_Agricola[Financiero U$S Dólares])*($F106=Producción_Agricola[Cuenta Contable])*(I$1=Producción_Agricola[Mes Financiero])*(I$2=Producción_Agricola[Año Financiero]))</f>
        <v>0</v>
      </c>
      <c r="J106" s="103">
        <f>SUMPRODUCT(($C$88=Producción_Agricola[Movimiento])*(Producción_Agricola[Financiero U$S Dólares])*($F106=Producción_Agricola[Cuenta Contable])*(J$1=Producción_Agricola[Mes Financiero])*(J$2=Producción_Agricola[Año Financiero]))</f>
        <v>0</v>
      </c>
      <c r="K106" s="104">
        <f>SUMPRODUCT(($C$88=Producción_Agricola[Movimiento])*(Producción_Agricola[Financiero U$S Dólares])*($F106=Producción_Agricola[Cuenta Contable])*(K$1=Producción_Agricola[Mes Financiero])*(K$2=Producción_Agricola[Año Financiero]))</f>
        <v>0</v>
      </c>
      <c r="L106" s="103">
        <f>SUMPRODUCT(($C$88=Producción_Agricola[Movimiento])*(Producción_Agricola[Financiero U$S Dólares])*($F106=Producción_Agricola[Cuenta Contable])*(L$1=Producción_Agricola[Mes Financiero])*(L$2=Producción_Agricola[Año Financiero]))</f>
        <v>0</v>
      </c>
      <c r="M106" s="104">
        <f>SUMPRODUCT(($C$88=Producción_Agricola[Movimiento])*(Producción_Agricola[Financiero U$S Dólares])*($F106=Producción_Agricola[Cuenta Contable])*(M$1=Producción_Agricola[Mes Financiero])*(M$2=Producción_Agricola[Año Financiero]))</f>
        <v>0</v>
      </c>
      <c r="N106" s="103">
        <f>SUMPRODUCT(($C$88=Producción_Agricola[Movimiento])*(Producción_Agricola[Financiero U$S Dólares])*($F106=Producción_Agricola[Cuenta Contable])*(N$1=Producción_Agricola[Mes Financiero])*(N$2=Producción_Agricola[Año Financiero]))</f>
        <v>0</v>
      </c>
      <c r="O106" s="104">
        <f>SUMPRODUCT(($C$88=Producción_Agricola[Movimiento])*(Producción_Agricola[Financiero U$S Dólares])*($F106=Producción_Agricola[Cuenta Contable])*(O$1=Producción_Agricola[Mes Financiero])*(O$2=Producción_Agricola[Año Financiero]))</f>
        <v>0</v>
      </c>
      <c r="P106" s="103">
        <f>SUMPRODUCT(($C$88=Producción_Agricola[Movimiento])*(Producción_Agricola[Financiero U$S Dólares])*($F106=Producción_Agricola[Cuenta Contable])*(P$1=Producción_Agricola[Mes Financiero])*(P$2=Producción_Agricola[Año Financiero]))</f>
        <v>0</v>
      </c>
      <c r="Q106" s="104">
        <f>SUMPRODUCT(($C$88=Producción_Agricola[Movimiento])*(Producción_Agricola[Financiero U$S Dólares])*($F106=Producción_Agricola[Cuenta Contable])*(Q$1=Producción_Agricola[Mes Financiero])*(Q$2=Producción_Agricola[Año Financiero]))</f>
        <v>0</v>
      </c>
      <c r="R106" s="103">
        <f>SUMPRODUCT(($C$88=Producción_Agricola[Movimiento])*(Producción_Agricola[Financiero U$S Dólares])*($F106=Producción_Agricola[Cuenta Contable])*(R$1=Producción_Agricola[Mes Financiero])*(R$2=Producción_Agricola[Año Financiero]))</f>
        <v>0</v>
      </c>
      <c r="S106" s="104">
        <f>SUMPRODUCT(($C$88=Producción_Agricola[Movimiento])*(Producción_Agricola[Financiero U$S Dólares])*($F106=Producción_Agricola[Cuenta Contable])*(S$1=Producción_Agricola[Mes Financiero])*(S$2=Producción_Agricola[Año Financiero]))</f>
        <v>0</v>
      </c>
      <c r="T106" s="103">
        <f>SUMPRODUCT(($C$88=Producción_Agricola[Movimiento])*(Producción_Agricola[Financiero U$S Dólares])*($F106=Producción_Agricola[Cuenta Contable])*(T$1=Producción_Agricola[Mes Financiero])*(T$2=Producción_Agricola[Año Financiero]))</f>
        <v>0</v>
      </c>
      <c r="U106" s="104">
        <f>SUMPRODUCT(($C$88=Producción_Agricola[Movimiento])*(Producción_Agricola[Financiero U$S Dólares])*($F106=Producción_Agricola[Cuenta Contable])*(U$1=Producción_Agricola[Mes Financiero])*(U$2=Producción_Agricola[Año Financiero]))</f>
        <v>0</v>
      </c>
      <c r="V106" s="103">
        <f>SUMPRODUCT(($C$88=Producción_Agricola[Movimiento])*(Producción_Agricola[Financiero U$S Dólares])*($F106=Producción_Agricola[Cuenta Contable])*(V$1=Producción_Agricola[Mes Financiero])*(V$2=Producción_Agricola[Año Financiero]))</f>
        <v>0</v>
      </c>
      <c r="W106" s="104">
        <f>SUMPRODUCT(($C$88=Producción_Agricola[Movimiento])*(Producción_Agricola[Financiero U$S Dólares])*($F106=Producción_Agricola[Cuenta Contable])*(W$1=Producción_Agricola[Mes Financiero])*(W$2=Producción_Agricola[Año Financiero]))</f>
        <v>0</v>
      </c>
      <c r="X106" s="103">
        <f>SUMPRODUCT(($C$88=Producción_Agricola[Movimiento])*(Producción_Agricola[Financiero U$S Dólares])*($F106=Producción_Agricola[Cuenta Contable])*(X$1=Producción_Agricola[Mes Financiero])*(X$2=Producción_Agricola[Año Financiero]))</f>
        <v>0</v>
      </c>
      <c r="Y106" s="104">
        <f>SUMPRODUCT(($C$88=Producción_Agricola[Movimiento])*(Producción_Agricola[Financiero U$S Dólares])*($F106=Producción_Agricola[Cuenta Contable])*(Y$1=Producción_Agricola[Mes Financiero])*(Y$2=Producción_Agricola[Año Financiero]))</f>
        <v>0</v>
      </c>
      <c r="Z106" s="144">
        <f t="shared" si="3"/>
        <v>0</v>
      </c>
      <c r="AC106" s="174">
        <f>SUMPRODUCT((F106=Produccion_Agricola_Cuentas[Cuenta Contable])*(Produccion_Agricola_Cuentas[IVA]))</f>
        <v>0.21</v>
      </c>
      <c r="AD106" s="174">
        <f>SUMPRODUCT((G106=Produccion_Agricola_Cuentas[Cuenta Contable])*(Produccion_Agricola_Cuentas[IVA]))</f>
        <v>0</v>
      </c>
    </row>
    <row r="107" spans="2:30" hidden="1" outlineLevel="1" x14ac:dyDescent="0.25">
      <c r="E107" s="221">
        <f>IFERROR(MATCH(F107,Produccion_Agricola_Cuentas[Cuenta Contable],0),0)</f>
        <v>8</v>
      </c>
      <c r="F107" s="10" t="s">
        <v>23</v>
      </c>
      <c r="H107" s="103">
        <f>SUMPRODUCT(($C$88=Producción_Agricola[Movimiento])*(Producción_Agricola[Financiero U$S Dólares])*($F107=Producción_Agricola[Cuenta Contable])*(H$1=Producción_Agricola[Mes Financiero])*(H$2=Producción_Agricola[Año Financiero]))</f>
        <v>0</v>
      </c>
      <c r="I107" s="104">
        <f>SUMPRODUCT(($C$88=Producción_Agricola[Movimiento])*(Producción_Agricola[Financiero U$S Dólares])*($F107=Producción_Agricola[Cuenta Contable])*(I$1=Producción_Agricola[Mes Financiero])*(I$2=Producción_Agricola[Año Financiero]))</f>
        <v>0</v>
      </c>
      <c r="J107" s="103">
        <f>SUMPRODUCT(($C$88=Producción_Agricola[Movimiento])*(Producción_Agricola[Financiero U$S Dólares])*($F107=Producción_Agricola[Cuenta Contable])*(J$1=Producción_Agricola[Mes Financiero])*(J$2=Producción_Agricola[Año Financiero]))</f>
        <v>0</v>
      </c>
      <c r="K107" s="104">
        <f>SUMPRODUCT(($C$88=Producción_Agricola[Movimiento])*(Producción_Agricola[Financiero U$S Dólares])*($F107=Producción_Agricola[Cuenta Contable])*(K$1=Producción_Agricola[Mes Financiero])*(K$2=Producción_Agricola[Año Financiero]))</f>
        <v>0</v>
      </c>
      <c r="L107" s="103">
        <f>SUMPRODUCT(($C$88=Producción_Agricola[Movimiento])*(Producción_Agricola[Financiero U$S Dólares])*($F107=Producción_Agricola[Cuenta Contable])*(L$1=Producción_Agricola[Mes Financiero])*(L$2=Producción_Agricola[Año Financiero]))</f>
        <v>0</v>
      </c>
      <c r="M107" s="104">
        <f>SUMPRODUCT(($C$88=Producción_Agricola[Movimiento])*(Producción_Agricola[Financiero U$S Dólares])*($F107=Producción_Agricola[Cuenta Contable])*(M$1=Producción_Agricola[Mes Financiero])*(M$2=Producción_Agricola[Año Financiero]))</f>
        <v>0</v>
      </c>
      <c r="N107" s="103">
        <f>SUMPRODUCT(($C$88=Producción_Agricola[Movimiento])*(Producción_Agricola[Financiero U$S Dólares])*($F107=Producción_Agricola[Cuenta Contable])*(N$1=Producción_Agricola[Mes Financiero])*(N$2=Producción_Agricola[Año Financiero]))</f>
        <v>0</v>
      </c>
      <c r="O107" s="104">
        <f>SUMPRODUCT(($C$88=Producción_Agricola[Movimiento])*(Producción_Agricola[Financiero U$S Dólares])*($F107=Producción_Agricola[Cuenta Contable])*(O$1=Producción_Agricola[Mes Financiero])*(O$2=Producción_Agricola[Año Financiero]))</f>
        <v>0</v>
      </c>
      <c r="P107" s="103">
        <f>SUMPRODUCT(($C$88=Producción_Agricola[Movimiento])*(Producción_Agricola[Financiero U$S Dólares])*($F107=Producción_Agricola[Cuenta Contable])*(P$1=Producción_Agricola[Mes Financiero])*(P$2=Producción_Agricola[Año Financiero]))</f>
        <v>0</v>
      </c>
      <c r="Q107" s="104">
        <f>SUMPRODUCT(($C$88=Producción_Agricola[Movimiento])*(Producción_Agricola[Financiero U$S Dólares])*($F107=Producción_Agricola[Cuenta Contable])*(Q$1=Producción_Agricola[Mes Financiero])*(Q$2=Producción_Agricola[Año Financiero]))</f>
        <v>0</v>
      </c>
      <c r="R107" s="103">
        <f>SUMPRODUCT(($C$88=Producción_Agricola[Movimiento])*(Producción_Agricola[Financiero U$S Dólares])*($F107=Producción_Agricola[Cuenta Contable])*(R$1=Producción_Agricola[Mes Financiero])*(R$2=Producción_Agricola[Año Financiero]))</f>
        <v>0</v>
      </c>
      <c r="S107" s="104">
        <f>SUMPRODUCT(($C$88=Producción_Agricola[Movimiento])*(Producción_Agricola[Financiero U$S Dólares])*($F107=Producción_Agricola[Cuenta Contable])*(S$1=Producción_Agricola[Mes Financiero])*(S$2=Producción_Agricola[Año Financiero]))</f>
        <v>0</v>
      </c>
      <c r="T107" s="103">
        <f>SUMPRODUCT(($C$88=Producción_Agricola[Movimiento])*(Producción_Agricola[Financiero U$S Dólares])*($F107=Producción_Agricola[Cuenta Contable])*(T$1=Producción_Agricola[Mes Financiero])*(T$2=Producción_Agricola[Año Financiero]))</f>
        <v>0</v>
      </c>
      <c r="U107" s="104">
        <f>SUMPRODUCT(($C$88=Producción_Agricola[Movimiento])*(Producción_Agricola[Financiero U$S Dólares])*($F107=Producción_Agricola[Cuenta Contable])*(U$1=Producción_Agricola[Mes Financiero])*(U$2=Producción_Agricola[Año Financiero]))</f>
        <v>0</v>
      </c>
      <c r="V107" s="103">
        <f>SUMPRODUCT(($C$88=Producción_Agricola[Movimiento])*(Producción_Agricola[Financiero U$S Dólares])*($F107=Producción_Agricola[Cuenta Contable])*(V$1=Producción_Agricola[Mes Financiero])*(V$2=Producción_Agricola[Año Financiero]))</f>
        <v>0</v>
      </c>
      <c r="W107" s="104">
        <f>SUMPRODUCT(($C$88=Producción_Agricola[Movimiento])*(Producción_Agricola[Financiero U$S Dólares])*($F107=Producción_Agricola[Cuenta Contable])*(W$1=Producción_Agricola[Mes Financiero])*(W$2=Producción_Agricola[Año Financiero]))</f>
        <v>0</v>
      </c>
      <c r="X107" s="103">
        <f>SUMPRODUCT(($C$88=Producción_Agricola[Movimiento])*(Producción_Agricola[Financiero U$S Dólares])*($F107=Producción_Agricola[Cuenta Contable])*(X$1=Producción_Agricola[Mes Financiero])*(X$2=Producción_Agricola[Año Financiero]))</f>
        <v>0</v>
      </c>
      <c r="Y107" s="104">
        <f>SUMPRODUCT(($C$88=Producción_Agricola[Movimiento])*(Producción_Agricola[Financiero U$S Dólares])*($F107=Producción_Agricola[Cuenta Contable])*(Y$1=Producción_Agricola[Mes Financiero])*(Y$2=Producción_Agricola[Año Financiero]))</f>
        <v>0</v>
      </c>
      <c r="Z107" s="144">
        <f t="shared" si="3"/>
        <v>0</v>
      </c>
      <c r="AC107" s="174">
        <f>SUMPRODUCT((F107=Produccion_Agricola_Cuentas[Cuenta Contable])*(Produccion_Agricola_Cuentas[IVA]))</f>
        <v>0.21</v>
      </c>
      <c r="AD107" s="174">
        <f>SUMPRODUCT((G107=Produccion_Agricola_Cuentas[Cuenta Contable])*(Produccion_Agricola_Cuentas[IVA]))</f>
        <v>0</v>
      </c>
    </row>
    <row r="108" spans="2:30" hidden="1" outlineLevel="1" x14ac:dyDescent="0.25">
      <c r="E108" s="221">
        <f>IFERROR(MATCH(F108,Produccion_Agricola_Cuentas[Cuenta Contable],0),0)</f>
        <v>9</v>
      </c>
      <c r="F108" s="10" t="s">
        <v>24</v>
      </c>
      <c r="H108" s="103">
        <f>SUMPRODUCT(($C$88=Producción_Agricola[Movimiento])*(Producción_Agricola[Financiero U$S Dólares])*($F108=Producción_Agricola[Cuenta Contable])*(H$1=Producción_Agricola[Mes Financiero])*(H$2=Producción_Agricola[Año Financiero]))</f>
        <v>0</v>
      </c>
      <c r="I108" s="104">
        <f>SUMPRODUCT(($C$88=Producción_Agricola[Movimiento])*(Producción_Agricola[Financiero U$S Dólares])*($F108=Producción_Agricola[Cuenta Contable])*(I$1=Producción_Agricola[Mes Financiero])*(I$2=Producción_Agricola[Año Financiero]))</f>
        <v>0</v>
      </c>
      <c r="J108" s="103">
        <f>SUMPRODUCT(($C$88=Producción_Agricola[Movimiento])*(Producción_Agricola[Financiero U$S Dólares])*($F108=Producción_Agricola[Cuenta Contable])*(J$1=Producción_Agricola[Mes Financiero])*(J$2=Producción_Agricola[Año Financiero]))</f>
        <v>0</v>
      </c>
      <c r="K108" s="104">
        <f>SUMPRODUCT(($C$88=Producción_Agricola[Movimiento])*(Producción_Agricola[Financiero U$S Dólares])*($F108=Producción_Agricola[Cuenta Contable])*(K$1=Producción_Agricola[Mes Financiero])*(K$2=Producción_Agricola[Año Financiero]))</f>
        <v>0</v>
      </c>
      <c r="L108" s="103">
        <f>SUMPRODUCT(($C$88=Producción_Agricola[Movimiento])*(Producción_Agricola[Financiero U$S Dólares])*($F108=Producción_Agricola[Cuenta Contable])*(L$1=Producción_Agricola[Mes Financiero])*(L$2=Producción_Agricola[Año Financiero]))</f>
        <v>0</v>
      </c>
      <c r="M108" s="104">
        <f>SUMPRODUCT(($C$88=Producción_Agricola[Movimiento])*(Producción_Agricola[Financiero U$S Dólares])*($F108=Producción_Agricola[Cuenta Contable])*(M$1=Producción_Agricola[Mes Financiero])*(M$2=Producción_Agricola[Año Financiero]))</f>
        <v>0</v>
      </c>
      <c r="N108" s="103">
        <f>SUMPRODUCT(($C$88=Producción_Agricola[Movimiento])*(Producción_Agricola[Financiero U$S Dólares])*($F108=Producción_Agricola[Cuenta Contable])*(N$1=Producción_Agricola[Mes Financiero])*(N$2=Producción_Agricola[Año Financiero]))</f>
        <v>0</v>
      </c>
      <c r="O108" s="104">
        <f>SUMPRODUCT(($C$88=Producción_Agricola[Movimiento])*(Producción_Agricola[Financiero U$S Dólares])*($F108=Producción_Agricola[Cuenta Contable])*(O$1=Producción_Agricola[Mes Financiero])*(O$2=Producción_Agricola[Año Financiero]))</f>
        <v>0</v>
      </c>
      <c r="P108" s="103">
        <f>SUMPRODUCT(($C$88=Producción_Agricola[Movimiento])*(Producción_Agricola[Financiero U$S Dólares])*($F108=Producción_Agricola[Cuenta Contable])*(P$1=Producción_Agricola[Mes Financiero])*(P$2=Producción_Agricola[Año Financiero]))</f>
        <v>0</v>
      </c>
      <c r="Q108" s="104">
        <f>SUMPRODUCT(($C$88=Producción_Agricola[Movimiento])*(Producción_Agricola[Financiero U$S Dólares])*($F108=Producción_Agricola[Cuenta Contable])*(Q$1=Producción_Agricola[Mes Financiero])*(Q$2=Producción_Agricola[Año Financiero]))</f>
        <v>0</v>
      </c>
      <c r="R108" s="103">
        <f>SUMPRODUCT(($C$88=Producción_Agricola[Movimiento])*(Producción_Agricola[Financiero U$S Dólares])*($F108=Producción_Agricola[Cuenta Contable])*(R$1=Producción_Agricola[Mes Financiero])*(R$2=Producción_Agricola[Año Financiero]))</f>
        <v>0</v>
      </c>
      <c r="S108" s="104">
        <f>SUMPRODUCT(($C$88=Producción_Agricola[Movimiento])*(Producción_Agricola[Financiero U$S Dólares])*($F108=Producción_Agricola[Cuenta Contable])*(S$1=Producción_Agricola[Mes Financiero])*(S$2=Producción_Agricola[Año Financiero]))</f>
        <v>0</v>
      </c>
      <c r="T108" s="103">
        <f>SUMPRODUCT(($C$88=Producción_Agricola[Movimiento])*(Producción_Agricola[Financiero U$S Dólares])*($F108=Producción_Agricola[Cuenta Contable])*(T$1=Producción_Agricola[Mes Financiero])*(T$2=Producción_Agricola[Año Financiero]))</f>
        <v>0</v>
      </c>
      <c r="U108" s="104">
        <f>SUMPRODUCT(($C$88=Producción_Agricola[Movimiento])*(Producción_Agricola[Financiero U$S Dólares])*($F108=Producción_Agricola[Cuenta Contable])*(U$1=Producción_Agricola[Mes Financiero])*(U$2=Producción_Agricola[Año Financiero]))</f>
        <v>0</v>
      </c>
      <c r="V108" s="103">
        <f>SUMPRODUCT(($C$88=Producción_Agricola[Movimiento])*(Producción_Agricola[Financiero U$S Dólares])*($F108=Producción_Agricola[Cuenta Contable])*(V$1=Producción_Agricola[Mes Financiero])*(V$2=Producción_Agricola[Año Financiero]))</f>
        <v>0</v>
      </c>
      <c r="W108" s="104">
        <f>SUMPRODUCT(($C$88=Producción_Agricola[Movimiento])*(Producción_Agricola[Financiero U$S Dólares])*($F108=Producción_Agricola[Cuenta Contable])*(W$1=Producción_Agricola[Mes Financiero])*(W$2=Producción_Agricola[Año Financiero]))</f>
        <v>0</v>
      </c>
      <c r="X108" s="103">
        <f>SUMPRODUCT(($C$88=Producción_Agricola[Movimiento])*(Producción_Agricola[Financiero U$S Dólares])*($F108=Producción_Agricola[Cuenta Contable])*(X$1=Producción_Agricola[Mes Financiero])*(X$2=Producción_Agricola[Año Financiero]))</f>
        <v>0</v>
      </c>
      <c r="Y108" s="104">
        <f>SUMPRODUCT(($C$88=Producción_Agricola[Movimiento])*(Producción_Agricola[Financiero U$S Dólares])*($F108=Producción_Agricola[Cuenta Contable])*(Y$1=Producción_Agricola[Mes Financiero])*(Y$2=Producción_Agricola[Año Financiero]))</f>
        <v>0</v>
      </c>
      <c r="Z108" s="144">
        <f t="shared" si="3"/>
        <v>0</v>
      </c>
      <c r="AC108" s="174">
        <f>SUMPRODUCT((F108=Produccion_Agricola_Cuentas[Cuenta Contable])*(Produccion_Agricola_Cuentas[IVA]))</f>
        <v>0.21</v>
      </c>
      <c r="AD108" s="174">
        <f>SUMPRODUCT((G108=Produccion_Agricola_Cuentas[Cuenta Contable])*(Produccion_Agricola_Cuentas[IVA]))</f>
        <v>0</v>
      </c>
    </row>
    <row r="109" spans="2:30" hidden="1" outlineLevel="1" x14ac:dyDescent="0.25">
      <c r="E109" s="221">
        <f>IFERROR(MATCH(F109,Produccion_Agricola_Cuentas[Cuenta Contable],0),0)</f>
        <v>10</v>
      </c>
      <c r="F109" s="10" t="s">
        <v>25</v>
      </c>
      <c r="H109" s="103">
        <f>SUMPRODUCT(($C$88=Producción_Agricola[Movimiento])*(Producción_Agricola[Financiero U$S Dólares])*($F109=Producción_Agricola[Cuenta Contable])*(H$1=Producción_Agricola[Mes Financiero])*(H$2=Producción_Agricola[Año Financiero]))</f>
        <v>0</v>
      </c>
      <c r="I109" s="104">
        <f>SUMPRODUCT(($C$88=Producción_Agricola[Movimiento])*(Producción_Agricola[Financiero U$S Dólares])*($F109=Producción_Agricola[Cuenta Contable])*(I$1=Producción_Agricola[Mes Financiero])*(I$2=Producción_Agricola[Año Financiero]))</f>
        <v>0</v>
      </c>
      <c r="J109" s="103">
        <f>SUMPRODUCT(($C$88=Producción_Agricola[Movimiento])*(Producción_Agricola[Financiero U$S Dólares])*($F109=Producción_Agricola[Cuenta Contable])*(J$1=Producción_Agricola[Mes Financiero])*(J$2=Producción_Agricola[Año Financiero]))</f>
        <v>0</v>
      </c>
      <c r="K109" s="104">
        <f>SUMPRODUCT(($C$88=Producción_Agricola[Movimiento])*(Producción_Agricola[Financiero U$S Dólares])*($F109=Producción_Agricola[Cuenta Contable])*(K$1=Producción_Agricola[Mes Financiero])*(K$2=Producción_Agricola[Año Financiero]))</f>
        <v>0</v>
      </c>
      <c r="L109" s="103">
        <f>SUMPRODUCT(($C$88=Producción_Agricola[Movimiento])*(Producción_Agricola[Financiero U$S Dólares])*($F109=Producción_Agricola[Cuenta Contable])*(L$1=Producción_Agricola[Mes Financiero])*(L$2=Producción_Agricola[Año Financiero]))</f>
        <v>0</v>
      </c>
      <c r="M109" s="104">
        <f>SUMPRODUCT(($C$88=Producción_Agricola[Movimiento])*(Producción_Agricola[Financiero U$S Dólares])*($F109=Producción_Agricola[Cuenta Contable])*(M$1=Producción_Agricola[Mes Financiero])*(M$2=Producción_Agricola[Año Financiero]))</f>
        <v>0</v>
      </c>
      <c r="N109" s="103">
        <f>SUMPRODUCT(($C$88=Producción_Agricola[Movimiento])*(Producción_Agricola[Financiero U$S Dólares])*($F109=Producción_Agricola[Cuenta Contable])*(N$1=Producción_Agricola[Mes Financiero])*(N$2=Producción_Agricola[Año Financiero]))</f>
        <v>0</v>
      </c>
      <c r="O109" s="104">
        <f>SUMPRODUCT(($C$88=Producción_Agricola[Movimiento])*(Producción_Agricola[Financiero U$S Dólares])*($F109=Producción_Agricola[Cuenta Contable])*(O$1=Producción_Agricola[Mes Financiero])*(O$2=Producción_Agricola[Año Financiero]))</f>
        <v>0</v>
      </c>
      <c r="P109" s="103">
        <f>SUMPRODUCT(($C$88=Producción_Agricola[Movimiento])*(Producción_Agricola[Financiero U$S Dólares])*($F109=Producción_Agricola[Cuenta Contable])*(P$1=Producción_Agricola[Mes Financiero])*(P$2=Producción_Agricola[Año Financiero]))</f>
        <v>0</v>
      </c>
      <c r="Q109" s="104">
        <f>SUMPRODUCT(($C$88=Producción_Agricola[Movimiento])*(Producción_Agricola[Financiero U$S Dólares])*($F109=Producción_Agricola[Cuenta Contable])*(Q$1=Producción_Agricola[Mes Financiero])*(Q$2=Producción_Agricola[Año Financiero]))</f>
        <v>0</v>
      </c>
      <c r="R109" s="103">
        <f>SUMPRODUCT(($C$88=Producción_Agricola[Movimiento])*(Producción_Agricola[Financiero U$S Dólares])*($F109=Producción_Agricola[Cuenta Contable])*(R$1=Producción_Agricola[Mes Financiero])*(R$2=Producción_Agricola[Año Financiero]))</f>
        <v>0</v>
      </c>
      <c r="S109" s="104">
        <f>SUMPRODUCT(($C$88=Producción_Agricola[Movimiento])*(Producción_Agricola[Financiero U$S Dólares])*($F109=Producción_Agricola[Cuenta Contable])*(S$1=Producción_Agricola[Mes Financiero])*(S$2=Producción_Agricola[Año Financiero]))</f>
        <v>0</v>
      </c>
      <c r="T109" s="103">
        <f>SUMPRODUCT(($C$88=Producción_Agricola[Movimiento])*(Producción_Agricola[Financiero U$S Dólares])*($F109=Producción_Agricola[Cuenta Contable])*(T$1=Producción_Agricola[Mes Financiero])*(T$2=Producción_Agricola[Año Financiero]))</f>
        <v>0</v>
      </c>
      <c r="U109" s="104">
        <f>SUMPRODUCT(($C$88=Producción_Agricola[Movimiento])*(Producción_Agricola[Financiero U$S Dólares])*($F109=Producción_Agricola[Cuenta Contable])*(U$1=Producción_Agricola[Mes Financiero])*(U$2=Producción_Agricola[Año Financiero]))</f>
        <v>0</v>
      </c>
      <c r="V109" s="103">
        <f>SUMPRODUCT(($C$88=Producción_Agricola[Movimiento])*(Producción_Agricola[Financiero U$S Dólares])*($F109=Producción_Agricola[Cuenta Contable])*(V$1=Producción_Agricola[Mes Financiero])*(V$2=Producción_Agricola[Año Financiero]))</f>
        <v>0</v>
      </c>
      <c r="W109" s="104">
        <f>SUMPRODUCT(($C$88=Producción_Agricola[Movimiento])*(Producción_Agricola[Financiero U$S Dólares])*($F109=Producción_Agricola[Cuenta Contable])*(W$1=Producción_Agricola[Mes Financiero])*(W$2=Producción_Agricola[Año Financiero]))</f>
        <v>0</v>
      </c>
      <c r="X109" s="103">
        <f>SUMPRODUCT(($C$88=Producción_Agricola[Movimiento])*(Producción_Agricola[Financiero U$S Dólares])*($F109=Producción_Agricola[Cuenta Contable])*(X$1=Producción_Agricola[Mes Financiero])*(X$2=Producción_Agricola[Año Financiero]))</f>
        <v>0</v>
      </c>
      <c r="Y109" s="104">
        <f>SUMPRODUCT(($C$88=Producción_Agricola[Movimiento])*(Producción_Agricola[Financiero U$S Dólares])*($F109=Producción_Agricola[Cuenta Contable])*(Y$1=Producción_Agricola[Mes Financiero])*(Y$2=Producción_Agricola[Año Financiero]))</f>
        <v>0</v>
      </c>
      <c r="Z109" s="144">
        <f t="shared" si="3"/>
        <v>0</v>
      </c>
      <c r="AC109" s="174">
        <f>SUMPRODUCT((F109=Produccion_Agricola_Cuentas[Cuenta Contable])*(Produccion_Agricola_Cuentas[IVA]))</f>
        <v>0.105</v>
      </c>
      <c r="AD109" s="174">
        <f>SUMPRODUCT((G109=Produccion_Agricola_Cuentas[Cuenta Contable])*(Produccion_Agricola_Cuentas[IVA]))</f>
        <v>0</v>
      </c>
    </row>
    <row r="110" spans="2:30" hidden="1" outlineLevel="1" x14ac:dyDescent="0.25">
      <c r="E110" s="221">
        <f>IFERROR(MATCH(F110,Produccion_Agricola_Cuentas[Cuenta Contable],0),0)</f>
        <v>11</v>
      </c>
      <c r="F110" s="10" t="s">
        <v>53</v>
      </c>
      <c r="H110" s="103">
        <f>SUMPRODUCT(($C$88=Producción_Agricola[Movimiento])*(Producción_Agricola[Financiero U$S Dólares])*($F110=Producción_Agricola[Cuenta Contable])*(H$1=Producción_Agricola[Mes Financiero])*(H$2=Producción_Agricola[Año Financiero]))</f>
        <v>0</v>
      </c>
      <c r="I110" s="104">
        <f>SUMPRODUCT(($C$88=Producción_Agricola[Movimiento])*(Producción_Agricola[Financiero U$S Dólares])*($F110=Producción_Agricola[Cuenta Contable])*(I$1=Producción_Agricola[Mes Financiero])*(I$2=Producción_Agricola[Año Financiero]))</f>
        <v>0</v>
      </c>
      <c r="J110" s="103">
        <f>SUMPRODUCT(($C$88=Producción_Agricola[Movimiento])*(Producción_Agricola[Financiero U$S Dólares])*($F110=Producción_Agricola[Cuenta Contable])*(J$1=Producción_Agricola[Mes Financiero])*(J$2=Producción_Agricola[Año Financiero]))</f>
        <v>0</v>
      </c>
      <c r="K110" s="104">
        <f>SUMPRODUCT(($C$88=Producción_Agricola[Movimiento])*(Producción_Agricola[Financiero U$S Dólares])*($F110=Producción_Agricola[Cuenta Contable])*(K$1=Producción_Agricola[Mes Financiero])*(K$2=Producción_Agricola[Año Financiero]))</f>
        <v>0</v>
      </c>
      <c r="L110" s="103">
        <f>SUMPRODUCT(($C$88=Producción_Agricola[Movimiento])*(Producción_Agricola[Financiero U$S Dólares])*($F110=Producción_Agricola[Cuenta Contable])*(L$1=Producción_Agricola[Mes Financiero])*(L$2=Producción_Agricola[Año Financiero]))</f>
        <v>0</v>
      </c>
      <c r="M110" s="104">
        <f>SUMPRODUCT(($C$88=Producción_Agricola[Movimiento])*(Producción_Agricola[Financiero U$S Dólares])*($F110=Producción_Agricola[Cuenta Contable])*(M$1=Producción_Agricola[Mes Financiero])*(M$2=Producción_Agricola[Año Financiero]))</f>
        <v>0</v>
      </c>
      <c r="N110" s="103">
        <f>SUMPRODUCT(($C$88=Producción_Agricola[Movimiento])*(Producción_Agricola[Financiero U$S Dólares])*($F110=Producción_Agricola[Cuenta Contable])*(N$1=Producción_Agricola[Mes Financiero])*(N$2=Producción_Agricola[Año Financiero]))</f>
        <v>0</v>
      </c>
      <c r="O110" s="104">
        <f>SUMPRODUCT(($C$88=Producción_Agricola[Movimiento])*(Producción_Agricola[Financiero U$S Dólares])*($F110=Producción_Agricola[Cuenta Contable])*(O$1=Producción_Agricola[Mes Financiero])*(O$2=Producción_Agricola[Año Financiero]))</f>
        <v>0</v>
      </c>
      <c r="P110" s="103">
        <f>SUMPRODUCT(($C$88=Producción_Agricola[Movimiento])*(Producción_Agricola[Financiero U$S Dólares])*($F110=Producción_Agricola[Cuenta Contable])*(P$1=Producción_Agricola[Mes Financiero])*(P$2=Producción_Agricola[Año Financiero]))</f>
        <v>0</v>
      </c>
      <c r="Q110" s="104">
        <f>SUMPRODUCT(($C$88=Producción_Agricola[Movimiento])*(Producción_Agricola[Financiero U$S Dólares])*($F110=Producción_Agricola[Cuenta Contable])*(Q$1=Producción_Agricola[Mes Financiero])*(Q$2=Producción_Agricola[Año Financiero]))</f>
        <v>0</v>
      </c>
      <c r="R110" s="103">
        <f>SUMPRODUCT(($C$88=Producción_Agricola[Movimiento])*(Producción_Agricola[Financiero U$S Dólares])*($F110=Producción_Agricola[Cuenta Contable])*(R$1=Producción_Agricola[Mes Financiero])*(R$2=Producción_Agricola[Año Financiero]))</f>
        <v>0</v>
      </c>
      <c r="S110" s="104">
        <f>SUMPRODUCT(($C$88=Producción_Agricola[Movimiento])*(Producción_Agricola[Financiero U$S Dólares])*($F110=Producción_Agricola[Cuenta Contable])*(S$1=Producción_Agricola[Mes Financiero])*(S$2=Producción_Agricola[Año Financiero]))</f>
        <v>0</v>
      </c>
      <c r="T110" s="103">
        <f>SUMPRODUCT(($C$88=Producción_Agricola[Movimiento])*(Producción_Agricola[Financiero U$S Dólares])*($F110=Producción_Agricola[Cuenta Contable])*(T$1=Producción_Agricola[Mes Financiero])*(T$2=Producción_Agricola[Año Financiero]))</f>
        <v>0</v>
      </c>
      <c r="U110" s="104">
        <f>SUMPRODUCT(($C$88=Producción_Agricola[Movimiento])*(Producción_Agricola[Financiero U$S Dólares])*($F110=Producción_Agricola[Cuenta Contable])*(U$1=Producción_Agricola[Mes Financiero])*(U$2=Producción_Agricola[Año Financiero]))</f>
        <v>0</v>
      </c>
      <c r="V110" s="103">
        <f>SUMPRODUCT(($C$88=Producción_Agricola[Movimiento])*(Producción_Agricola[Financiero U$S Dólares])*($F110=Producción_Agricola[Cuenta Contable])*(V$1=Producción_Agricola[Mes Financiero])*(V$2=Producción_Agricola[Año Financiero]))</f>
        <v>0</v>
      </c>
      <c r="W110" s="104">
        <f>SUMPRODUCT(($C$88=Producción_Agricola[Movimiento])*(Producción_Agricola[Financiero U$S Dólares])*($F110=Producción_Agricola[Cuenta Contable])*(W$1=Producción_Agricola[Mes Financiero])*(W$2=Producción_Agricola[Año Financiero]))</f>
        <v>0</v>
      </c>
      <c r="X110" s="103">
        <f>SUMPRODUCT(($C$88=Producción_Agricola[Movimiento])*(Producción_Agricola[Financiero U$S Dólares])*($F110=Producción_Agricola[Cuenta Contable])*(X$1=Producción_Agricola[Mes Financiero])*(X$2=Producción_Agricola[Año Financiero]))</f>
        <v>0</v>
      </c>
      <c r="Y110" s="104">
        <f>SUMPRODUCT(($C$88=Producción_Agricola[Movimiento])*(Producción_Agricola[Financiero U$S Dólares])*($F110=Producción_Agricola[Cuenta Contable])*(Y$1=Producción_Agricola[Mes Financiero])*(Y$2=Producción_Agricola[Año Financiero]))</f>
        <v>0</v>
      </c>
      <c r="Z110" s="144">
        <f t="shared" si="3"/>
        <v>0</v>
      </c>
      <c r="AC110" s="174">
        <f>SUMPRODUCT((F110=Produccion_Agricola_Cuentas[Cuenta Contable])*(Produccion_Agricola_Cuentas[IVA]))</f>
        <v>0.105</v>
      </c>
      <c r="AD110" s="174">
        <f>SUMPRODUCT((G110=Produccion_Agricola_Cuentas[Cuenta Contable])*(Produccion_Agricola_Cuentas[IVA]))</f>
        <v>0</v>
      </c>
    </row>
    <row r="111" spans="2:30" hidden="1" outlineLevel="1" x14ac:dyDescent="0.25">
      <c r="E111" s="221">
        <f>IFERROR(MATCH(F111,Produccion_Agricola_Cuentas[Cuenta Contable],0),0)</f>
        <v>12</v>
      </c>
      <c r="F111" s="10" t="s">
        <v>43</v>
      </c>
      <c r="H111" s="103">
        <f>SUMPRODUCT(($C$88=Producción_Agricola[Movimiento])*(Producción_Agricola[Financiero U$S Dólares])*($F111=Producción_Agricola[Cuenta Contable])*(H$1=Producción_Agricola[Mes Financiero])*(H$2=Producción_Agricola[Año Financiero]))</f>
        <v>0</v>
      </c>
      <c r="I111" s="104">
        <f>SUMPRODUCT(($C$88=Producción_Agricola[Movimiento])*(Producción_Agricola[Financiero U$S Dólares])*($F111=Producción_Agricola[Cuenta Contable])*(I$1=Producción_Agricola[Mes Financiero])*(I$2=Producción_Agricola[Año Financiero]))</f>
        <v>0</v>
      </c>
      <c r="J111" s="103">
        <f>SUMPRODUCT(($C$88=Producción_Agricola[Movimiento])*(Producción_Agricola[Financiero U$S Dólares])*($F111=Producción_Agricola[Cuenta Contable])*(J$1=Producción_Agricola[Mes Financiero])*(J$2=Producción_Agricola[Año Financiero]))</f>
        <v>0</v>
      </c>
      <c r="K111" s="104">
        <f>SUMPRODUCT(($C$88=Producción_Agricola[Movimiento])*(Producción_Agricola[Financiero U$S Dólares])*($F111=Producción_Agricola[Cuenta Contable])*(K$1=Producción_Agricola[Mes Financiero])*(K$2=Producción_Agricola[Año Financiero]))</f>
        <v>0</v>
      </c>
      <c r="L111" s="103">
        <f>SUMPRODUCT(($C$88=Producción_Agricola[Movimiento])*(Producción_Agricola[Financiero U$S Dólares])*($F111=Producción_Agricola[Cuenta Contable])*(L$1=Producción_Agricola[Mes Financiero])*(L$2=Producción_Agricola[Año Financiero]))</f>
        <v>0</v>
      </c>
      <c r="M111" s="104">
        <f>SUMPRODUCT(($C$88=Producción_Agricola[Movimiento])*(Producción_Agricola[Financiero U$S Dólares])*($F111=Producción_Agricola[Cuenta Contable])*(M$1=Producción_Agricola[Mes Financiero])*(M$2=Producción_Agricola[Año Financiero]))</f>
        <v>0</v>
      </c>
      <c r="N111" s="103">
        <f>SUMPRODUCT(($C$88=Producción_Agricola[Movimiento])*(Producción_Agricola[Financiero U$S Dólares])*($F111=Producción_Agricola[Cuenta Contable])*(N$1=Producción_Agricola[Mes Financiero])*(N$2=Producción_Agricola[Año Financiero]))</f>
        <v>0</v>
      </c>
      <c r="O111" s="104">
        <f>SUMPRODUCT(($C$88=Producción_Agricola[Movimiento])*(Producción_Agricola[Financiero U$S Dólares])*($F111=Producción_Agricola[Cuenta Contable])*(O$1=Producción_Agricola[Mes Financiero])*(O$2=Producción_Agricola[Año Financiero]))</f>
        <v>0</v>
      </c>
      <c r="P111" s="103">
        <f>SUMPRODUCT(($C$88=Producción_Agricola[Movimiento])*(Producción_Agricola[Financiero U$S Dólares])*($F111=Producción_Agricola[Cuenta Contable])*(P$1=Producción_Agricola[Mes Financiero])*(P$2=Producción_Agricola[Año Financiero]))</f>
        <v>0</v>
      </c>
      <c r="Q111" s="104">
        <f>SUMPRODUCT(($C$88=Producción_Agricola[Movimiento])*(Producción_Agricola[Financiero U$S Dólares])*($F111=Producción_Agricola[Cuenta Contable])*(Q$1=Producción_Agricola[Mes Financiero])*(Q$2=Producción_Agricola[Año Financiero]))</f>
        <v>0</v>
      </c>
      <c r="R111" s="103">
        <f>SUMPRODUCT(($C$88=Producción_Agricola[Movimiento])*(Producción_Agricola[Financiero U$S Dólares])*($F111=Producción_Agricola[Cuenta Contable])*(R$1=Producción_Agricola[Mes Financiero])*(R$2=Producción_Agricola[Año Financiero]))</f>
        <v>0</v>
      </c>
      <c r="S111" s="104">
        <f>SUMPRODUCT(($C$88=Producción_Agricola[Movimiento])*(Producción_Agricola[Financiero U$S Dólares])*($F111=Producción_Agricola[Cuenta Contable])*(S$1=Producción_Agricola[Mes Financiero])*(S$2=Producción_Agricola[Año Financiero]))</f>
        <v>0</v>
      </c>
      <c r="T111" s="103">
        <f>SUMPRODUCT(($C$88=Producción_Agricola[Movimiento])*(Producción_Agricola[Financiero U$S Dólares])*($F111=Producción_Agricola[Cuenta Contable])*(T$1=Producción_Agricola[Mes Financiero])*(T$2=Producción_Agricola[Año Financiero]))</f>
        <v>0</v>
      </c>
      <c r="U111" s="104">
        <f>SUMPRODUCT(($C$88=Producción_Agricola[Movimiento])*(Producción_Agricola[Financiero U$S Dólares])*($F111=Producción_Agricola[Cuenta Contable])*(U$1=Producción_Agricola[Mes Financiero])*(U$2=Producción_Agricola[Año Financiero]))</f>
        <v>0</v>
      </c>
      <c r="V111" s="103">
        <f>SUMPRODUCT(($C$88=Producción_Agricola[Movimiento])*(Producción_Agricola[Financiero U$S Dólares])*($F111=Producción_Agricola[Cuenta Contable])*(V$1=Producción_Agricola[Mes Financiero])*(V$2=Producción_Agricola[Año Financiero]))</f>
        <v>0</v>
      </c>
      <c r="W111" s="104">
        <f>SUMPRODUCT(($C$88=Producción_Agricola[Movimiento])*(Producción_Agricola[Financiero U$S Dólares])*($F111=Producción_Agricola[Cuenta Contable])*(W$1=Producción_Agricola[Mes Financiero])*(W$2=Producción_Agricola[Año Financiero]))</f>
        <v>0</v>
      </c>
      <c r="X111" s="103">
        <f>SUMPRODUCT(($C$88=Producción_Agricola[Movimiento])*(Producción_Agricola[Financiero U$S Dólares])*($F111=Producción_Agricola[Cuenta Contable])*(X$1=Producción_Agricola[Mes Financiero])*(X$2=Producción_Agricola[Año Financiero]))</f>
        <v>0</v>
      </c>
      <c r="Y111" s="104">
        <f>SUMPRODUCT(($C$88=Producción_Agricola[Movimiento])*(Producción_Agricola[Financiero U$S Dólares])*($F111=Producción_Agricola[Cuenta Contable])*(Y$1=Producción_Agricola[Mes Financiero])*(Y$2=Producción_Agricola[Año Financiero]))</f>
        <v>0</v>
      </c>
      <c r="Z111" s="144">
        <f t="shared" si="3"/>
        <v>0</v>
      </c>
      <c r="AC111" s="174">
        <f>SUMPRODUCT((F111=Produccion_Agricola_Cuentas[Cuenta Contable])*(Produccion_Agricola_Cuentas[IVA]))</f>
        <v>0.105</v>
      </c>
      <c r="AD111" s="174">
        <f>SUMPRODUCT((G111=Produccion_Agricola_Cuentas[Cuenta Contable])*(Produccion_Agricola_Cuentas[IVA]))</f>
        <v>0</v>
      </c>
    </row>
    <row r="112" spans="2:30" hidden="1" outlineLevel="1" x14ac:dyDescent="0.25">
      <c r="E112" s="221">
        <f>IFERROR(MATCH(F112,Produccion_Agricola_Cuentas[Cuenta Contable],0),0)</f>
        <v>13</v>
      </c>
      <c r="F112" s="10" t="s">
        <v>56</v>
      </c>
      <c r="H112" s="103">
        <f>SUMPRODUCT(($C$88=Producción_Agricola[Movimiento])*(Producción_Agricola[Financiero U$S Dólares])*($F112=Producción_Agricola[Cuenta Contable])*(H$1=Producción_Agricola[Mes Financiero])*(H$2=Producción_Agricola[Año Financiero]))</f>
        <v>0</v>
      </c>
      <c r="I112" s="104">
        <f>SUMPRODUCT(($C$88=Producción_Agricola[Movimiento])*(Producción_Agricola[Financiero U$S Dólares])*($F112=Producción_Agricola[Cuenta Contable])*(I$1=Producción_Agricola[Mes Financiero])*(I$2=Producción_Agricola[Año Financiero]))</f>
        <v>0</v>
      </c>
      <c r="J112" s="103">
        <f>SUMPRODUCT(($C$88=Producción_Agricola[Movimiento])*(Producción_Agricola[Financiero U$S Dólares])*($F112=Producción_Agricola[Cuenta Contable])*(J$1=Producción_Agricola[Mes Financiero])*(J$2=Producción_Agricola[Año Financiero]))</f>
        <v>0</v>
      </c>
      <c r="K112" s="104">
        <f>SUMPRODUCT(($C$88=Producción_Agricola[Movimiento])*(Producción_Agricola[Financiero U$S Dólares])*($F112=Producción_Agricola[Cuenta Contable])*(K$1=Producción_Agricola[Mes Financiero])*(K$2=Producción_Agricola[Año Financiero]))</f>
        <v>0</v>
      </c>
      <c r="L112" s="103">
        <f>SUMPRODUCT(($C$88=Producción_Agricola[Movimiento])*(Producción_Agricola[Financiero U$S Dólares])*($F112=Producción_Agricola[Cuenta Contable])*(L$1=Producción_Agricola[Mes Financiero])*(L$2=Producción_Agricola[Año Financiero]))</f>
        <v>0</v>
      </c>
      <c r="M112" s="104">
        <f>SUMPRODUCT(($C$88=Producción_Agricola[Movimiento])*(Producción_Agricola[Financiero U$S Dólares])*($F112=Producción_Agricola[Cuenta Contable])*(M$1=Producción_Agricola[Mes Financiero])*(M$2=Producción_Agricola[Año Financiero]))</f>
        <v>0</v>
      </c>
      <c r="N112" s="103">
        <f>SUMPRODUCT(($C$88=Producción_Agricola[Movimiento])*(Producción_Agricola[Financiero U$S Dólares])*($F112=Producción_Agricola[Cuenta Contable])*(N$1=Producción_Agricola[Mes Financiero])*(N$2=Producción_Agricola[Año Financiero]))</f>
        <v>0</v>
      </c>
      <c r="O112" s="104">
        <f>SUMPRODUCT(($C$88=Producción_Agricola[Movimiento])*(Producción_Agricola[Financiero U$S Dólares])*($F112=Producción_Agricola[Cuenta Contable])*(O$1=Producción_Agricola[Mes Financiero])*(O$2=Producción_Agricola[Año Financiero]))</f>
        <v>0</v>
      </c>
      <c r="P112" s="103">
        <f>SUMPRODUCT(($C$88=Producción_Agricola[Movimiento])*(Producción_Agricola[Financiero U$S Dólares])*($F112=Producción_Agricola[Cuenta Contable])*(P$1=Producción_Agricola[Mes Financiero])*(P$2=Producción_Agricola[Año Financiero]))</f>
        <v>0</v>
      </c>
      <c r="Q112" s="104">
        <f>SUMPRODUCT(($C$88=Producción_Agricola[Movimiento])*(Producción_Agricola[Financiero U$S Dólares])*($F112=Producción_Agricola[Cuenta Contable])*(Q$1=Producción_Agricola[Mes Financiero])*(Q$2=Producción_Agricola[Año Financiero]))</f>
        <v>0</v>
      </c>
      <c r="R112" s="103">
        <f>SUMPRODUCT(($C$88=Producción_Agricola[Movimiento])*(Producción_Agricola[Financiero U$S Dólares])*($F112=Producción_Agricola[Cuenta Contable])*(R$1=Producción_Agricola[Mes Financiero])*(R$2=Producción_Agricola[Año Financiero]))</f>
        <v>0</v>
      </c>
      <c r="S112" s="104">
        <f>SUMPRODUCT(($C$88=Producción_Agricola[Movimiento])*(Producción_Agricola[Financiero U$S Dólares])*($F112=Producción_Agricola[Cuenta Contable])*(S$1=Producción_Agricola[Mes Financiero])*(S$2=Producción_Agricola[Año Financiero]))</f>
        <v>0</v>
      </c>
      <c r="T112" s="103">
        <f>SUMPRODUCT(($C$88=Producción_Agricola[Movimiento])*(Producción_Agricola[Financiero U$S Dólares])*($F112=Producción_Agricola[Cuenta Contable])*(T$1=Producción_Agricola[Mes Financiero])*(T$2=Producción_Agricola[Año Financiero]))</f>
        <v>0</v>
      </c>
      <c r="U112" s="104">
        <f>SUMPRODUCT(($C$88=Producción_Agricola[Movimiento])*(Producción_Agricola[Financiero U$S Dólares])*($F112=Producción_Agricola[Cuenta Contable])*(U$1=Producción_Agricola[Mes Financiero])*(U$2=Producción_Agricola[Año Financiero]))</f>
        <v>0</v>
      </c>
      <c r="V112" s="103">
        <f>SUMPRODUCT(($C$88=Producción_Agricola[Movimiento])*(Producción_Agricola[Financiero U$S Dólares])*($F112=Producción_Agricola[Cuenta Contable])*(V$1=Producción_Agricola[Mes Financiero])*(V$2=Producción_Agricola[Año Financiero]))</f>
        <v>0</v>
      </c>
      <c r="W112" s="104">
        <f>SUMPRODUCT(($C$88=Producción_Agricola[Movimiento])*(Producción_Agricola[Financiero U$S Dólares])*($F112=Producción_Agricola[Cuenta Contable])*(W$1=Producción_Agricola[Mes Financiero])*(W$2=Producción_Agricola[Año Financiero]))</f>
        <v>0</v>
      </c>
      <c r="X112" s="103">
        <f>SUMPRODUCT(($C$88=Producción_Agricola[Movimiento])*(Producción_Agricola[Financiero U$S Dólares])*($F112=Producción_Agricola[Cuenta Contable])*(X$1=Producción_Agricola[Mes Financiero])*(X$2=Producción_Agricola[Año Financiero]))</f>
        <v>0</v>
      </c>
      <c r="Y112" s="104">
        <f>SUMPRODUCT(($C$88=Producción_Agricola[Movimiento])*(Producción_Agricola[Financiero U$S Dólares])*($F112=Producción_Agricola[Cuenta Contable])*(Y$1=Producción_Agricola[Mes Financiero])*(Y$2=Producción_Agricola[Año Financiero]))</f>
        <v>0</v>
      </c>
      <c r="Z112" s="144">
        <f t="shared" ref="Z112:Z113" si="27">SUM(H112:Y112)</f>
        <v>0</v>
      </c>
      <c r="AC112" s="174"/>
      <c r="AD112" s="174"/>
    </row>
    <row r="113" spans="2:30" hidden="1" outlineLevel="1" x14ac:dyDescent="0.25">
      <c r="B113" s="166" t="s">
        <v>101</v>
      </c>
      <c r="E113" s="221">
        <f>IFERROR(MATCH(F113,Produccion_Agricola_Cuentas[Cuenta Contable],0),0)</f>
        <v>0</v>
      </c>
      <c r="H113" s="103">
        <f>SUMPRODUCT(($C$88=Producción_Agricola[Movimiento])*(Producción_Agricola[Financiero U$S Dólares])*($F113=Producción_Agricola[Cuenta Contable])*(H$1=Producción_Agricola[Mes Financiero])*(H$2=Producción_Agricola[Año Financiero]))</f>
        <v>0</v>
      </c>
      <c r="I113" s="104">
        <f>SUMPRODUCT(($C$88=Producción_Agricola[Movimiento])*(Producción_Agricola[Financiero U$S Dólares])*($F113=Producción_Agricola[Cuenta Contable])*(I$1=Producción_Agricola[Mes Financiero])*(I$2=Producción_Agricola[Año Financiero]))</f>
        <v>0</v>
      </c>
      <c r="J113" s="103">
        <f>SUMPRODUCT(($C$88=Producción_Agricola[Movimiento])*(Producción_Agricola[Financiero U$S Dólares])*($F113=Producción_Agricola[Cuenta Contable])*(J$1=Producción_Agricola[Mes Financiero])*(J$2=Producción_Agricola[Año Financiero]))</f>
        <v>0</v>
      </c>
      <c r="K113" s="104">
        <f>SUMPRODUCT(($C$88=Producción_Agricola[Movimiento])*(Producción_Agricola[Financiero U$S Dólares])*($F113=Producción_Agricola[Cuenta Contable])*(K$1=Producción_Agricola[Mes Financiero])*(K$2=Producción_Agricola[Año Financiero]))</f>
        <v>0</v>
      </c>
      <c r="L113" s="103">
        <f>SUMPRODUCT(($C$88=Producción_Agricola[Movimiento])*(Producción_Agricola[Financiero U$S Dólares])*($F113=Producción_Agricola[Cuenta Contable])*(L$1=Producción_Agricola[Mes Financiero])*(L$2=Producción_Agricola[Año Financiero]))</f>
        <v>0</v>
      </c>
      <c r="M113" s="104">
        <f>SUMPRODUCT(($C$88=Producción_Agricola[Movimiento])*(Producción_Agricola[Financiero U$S Dólares])*($F113=Producción_Agricola[Cuenta Contable])*(M$1=Producción_Agricola[Mes Financiero])*(M$2=Producción_Agricola[Año Financiero]))</f>
        <v>0</v>
      </c>
      <c r="N113" s="103">
        <f>SUMPRODUCT(($C$88=Producción_Agricola[Movimiento])*(Producción_Agricola[Financiero U$S Dólares])*($F113=Producción_Agricola[Cuenta Contable])*(N$1=Producción_Agricola[Mes Financiero])*(N$2=Producción_Agricola[Año Financiero]))</f>
        <v>0</v>
      </c>
      <c r="O113" s="104">
        <f>SUMPRODUCT(($C$88=Producción_Agricola[Movimiento])*(Producción_Agricola[Financiero U$S Dólares])*($F113=Producción_Agricola[Cuenta Contable])*(O$1=Producción_Agricola[Mes Financiero])*(O$2=Producción_Agricola[Año Financiero]))</f>
        <v>0</v>
      </c>
      <c r="P113" s="103">
        <f>SUMPRODUCT(($C$88=Producción_Agricola[Movimiento])*(Producción_Agricola[Financiero U$S Dólares])*($F113=Producción_Agricola[Cuenta Contable])*(P$1=Producción_Agricola[Mes Financiero])*(P$2=Producción_Agricola[Año Financiero]))</f>
        <v>0</v>
      </c>
      <c r="Q113" s="104">
        <f>SUMPRODUCT(($C$88=Producción_Agricola[Movimiento])*(Producción_Agricola[Financiero U$S Dólares])*($F113=Producción_Agricola[Cuenta Contable])*(Q$1=Producción_Agricola[Mes Financiero])*(Q$2=Producción_Agricola[Año Financiero]))</f>
        <v>0</v>
      </c>
      <c r="R113" s="103">
        <f>SUMPRODUCT(($C$88=Producción_Agricola[Movimiento])*(Producción_Agricola[Financiero U$S Dólares])*($F113=Producción_Agricola[Cuenta Contable])*(R$1=Producción_Agricola[Mes Financiero])*(R$2=Producción_Agricola[Año Financiero]))</f>
        <v>0</v>
      </c>
      <c r="S113" s="104">
        <f>SUMPRODUCT(($C$88=Producción_Agricola[Movimiento])*(Producción_Agricola[Financiero U$S Dólares])*($F113=Producción_Agricola[Cuenta Contable])*(S$1=Producción_Agricola[Mes Financiero])*(S$2=Producción_Agricola[Año Financiero]))</f>
        <v>0</v>
      </c>
      <c r="T113" s="103">
        <f>SUMPRODUCT(($C$88=Producción_Agricola[Movimiento])*(Producción_Agricola[Financiero U$S Dólares])*($F113=Producción_Agricola[Cuenta Contable])*(T$1=Producción_Agricola[Mes Financiero])*(T$2=Producción_Agricola[Año Financiero]))</f>
        <v>0</v>
      </c>
      <c r="U113" s="104">
        <f>SUMPRODUCT(($C$88=Producción_Agricola[Movimiento])*(Producción_Agricola[Financiero U$S Dólares])*($F113=Producción_Agricola[Cuenta Contable])*(U$1=Producción_Agricola[Mes Financiero])*(U$2=Producción_Agricola[Año Financiero]))</f>
        <v>0</v>
      </c>
      <c r="V113" s="103">
        <f>SUMPRODUCT(($C$88=Producción_Agricola[Movimiento])*(Producción_Agricola[Financiero U$S Dólares])*($F113=Producción_Agricola[Cuenta Contable])*(V$1=Producción_Agricola[Mes Financiero])*(V$2=Producción_Agricola[Año Financiero]))</f>
        <v>0</v>
      </c>
      <c r="W113" s="104">
        <f>SUMPRODUCT(($C$88=Producción_Agricola[Movimiento])*(Producción_Agricola[Financiero U$S Dólares])*($F113=Producción_Agricola[Cuenta Contable])*(W$1=Producción_Agricola[Mes Financiero])*(W$2=Producción_Agricola[Año Financiero]))</f>
        <v>0</v>
      </c>
      <c r="X113" s="103">
        <f>SUMPRODUCT(($C$88=Producción_Agricola[Movimiento])*(Producción_Agricola[Financiero U$S Dólares])*($F113=Producción_Agricola[Cuenta Contable])*(X$1=Producción_Agricola[Mes Financiero])*(X$2=Producción_Agricola[Año Financiero]))</f>
        <v>0</v>
      </c>
      <c r="Y113" s="104">
        <f>SUMPRODUCT(($C$88=Producción_Agricola[Movimiento])*(Producción_Agricola[Financiero U$S Dólares])*($F113=Producción_Agricola[Cuenta Contable])*(Y$1=Producción_Agricola[Mes Financiero])*(Y$2=Producción_Agricola[Año Financiero]))</f>
        <v>0</v>
      </c>
      <c r="Z113" s="144">
        <f t="shared" si="27"/>
        <v>0</v>
      </c>
      <c r="AC113" s="174"/>
      <c r="AD113" s="174"/>
    </row>
    <row r="114" spans="2:30" hidden="1" outlineLevel="1" x14ac:dyDescent="0.25">
      <c r="E114" s="224"/>
      <c r="F114" s="276" t="s">
        <v>344</v>
      </c>
      <c r="G114" s="94"/>
      <c r="H114" s="105">
        <f>SUMPRODUCT(($C$88=Producción_Agricola[Movimiento])*(Producción_Agricola[Financiero U$S Dólares])*(H$1=Producción_Agricola[Mes Financiero])*(H$2=Producción_Agricola[Año Financiero]))-SUM(H101:H113)</f>
        <v>0</v>
      </c>
      <c r="I114" s="106">
        <f>SUMPRODUCT(($C$88=Producción_Agricola[Movimiento])*(Producción_Agricola[Financiero U$S Dólares])*(I$1=Producción_Agricola[Mes Financiero])*(I$2=Producción_Agricola[Año Financiero]))-SUM(I101:I113)</f>
        <v>0</v>
      </c>
      <c r="J114" s="105">
        <f>SUMPRODUCT(($C$88=Producción_Agricola[Movimiento])*(Producción_Agricola[Financiero U$S Dólares])*(J$1=Producción_Agricola[Mes Financiero])*(J$2=Producción_Agricola[Año Financiero]))-SUM(J101:J113)</f>
        <v>0</v>
      </c>
      <c r="K114" s="106">
        <f>SUMPRODUCT(($C$88=Producción_Agricola[Movimiento])*(Producción_Agricola[Financiero U$S Dólares])*(K$1=Producción_Agricola[Mes Financiero])*(K$2=Producción_Agricola[Año Financiero]))-SUM(K101:K113)</f>
        <v>0</v>
      </c>
      <c r="L114" s="105">
        <f>SUMPRODUCT(($C$88=Producción_Agricola[Movimiento])*(Producción_Agricola[Financiero U$S Dólares])*(L$1=Producción_Agricola[Mes Financiero])*(L$2=Producción_Agricola[Año Financiero]))-SUM(L101:L113)</f>
        <v>0</v>
      </c>
      <c r="M114" s="106">
        <f>SUMPRODUCT(($C$88=Producción_Agricola[Movimiento])*(Producción_Agricola[Financiero U$S Dólares])*(M$1=Producción_Agricola[Mes Financiero])*(M$2=Producción_Agricola[Año Financiero]))-SUM(M101:M113)</f>
        <v>0</v>
      </c>
      <c r="N114" s="105">
        <f>SUMPRODUCT(($C$88=Producción_Agricola[Movimiento])*(Producción_Agricola[Financiero U$S Dólares])*(N$1=Producción_Agricola[Mes Financiero])*(N$2=Producción_Agricola[Año Financiero]))-SUM(N101:N113)</f>
        <v>0</v>
      </c>
      <c r="O114" s="106">
        <f>SUMPRODUCT(($C$88=Producción_Agricola[Movimiento])*(Producción_Agricola[Financiero U$S Dólares])*(O$1=Producción_Agricola[Mes Financiero])*(O$2=Producción_Agricola[Año Financiero]))-SUM(O101:O113)</f>
        <v>0</v>
      </c>
      <c r="P114" s="105">
        <f>SUMPRODUCT(($C$88=Producción_Agricola[Movimiento])*(Producción_Agricola[Financiero U$S Dólares])*(P$1=Producción_Agricola[Mes Financiero])*(P$2=Producción_Agricola[Año Financiero]))-SUM(P101:P113)</f>
        <v>0</v>
      </c>
      <c r="Q114" s="106">
        <f>SUMPRODUCT(($C$88=Producción_Agricola[Movimiento])*(Producción_Agricola[Financiero U$S Dólares])*(Q$1=Producción_Agricola[Mes Financiero])*(Q$2=Producción_Agricola[Año Financiero]))-SUM(Q101:Q113)</f>
        <v>0</v>
      </c>
      <c r="R114" s="105">
        <f>SUMPRODUCT(($C$88=Producción_Agricola[Movimiento])*(Producción_Agricola[Financiero U$S Dólares])*(R$1=Producción_Agricola[Mes Financiero])*(R$2=Producción_Agricola[Año Financiero]))-SUM(R101:R113)</f>
        <v>0</v>
      </c>
      <c r="S114" s="106">
        <f>SUMPRODUCT(($C$88=Producción_Agricola[Movimiento])*(Producción_Agricola[Financiero U$S Dólares])*(S$1=Producción_Agricola[Mes Financiero])*(S$2=Producción_Agricola[Año Financiero]))-SUM(S101:S113)</f>
        <v>0</v>
      </c>
      <c r="T114" s="105">
        <f>SUMPRODUCT(($C$88=Producción_Agricola[Movimiento])*(Producción_Agricola[Financiero U$S Dólares])*(T$1=Producción_Agricola[Mes Financiero])*(T$2=Producción_Agricola[Año Financiero]))-SUM(T101:T113)</f>
        <v>0</v>
      </c>
      <c r="U114" s="106">
        <f>SUMPRODUCT(($C$88=Producción_Agricola[Movimiento])*(Producción_Agricola[Financiero U$S Dólares])*(U$1=Producción_Agricola[Mes Financiero])*(U$2=Producción_Agricola[Año Financiero]))-SUM(U101:U113)</f>
        <v>0</v>
      </c>
      <c r="V114" s="105">
        <f>SUMPRODUCT(($C$88=Producción_Agricola[Movimiento])*(Producción_Agricola[Financiero U$S Dólares])*(V$1=Producción_Agricola[Mes Financiero])*(V$2=Producción_Agricola[Año Financiero]))-SUM(V101:V113)</f>
        <v>0</v>
      </c>
      <c r="W114" s="106">
        <f>SUMPRODUCT(($C$88=Producción_Agricola[Movimiento])*(Producción_Agricola[Financiero U$S Dólares])*(W$1=Producción_Agricola[Mes Financiero])*(W$2=Producción_Agricola[Año Financiero]))-SUM(W101:W113)</f>
        <v>0</v>
      </c>
      <c r="X114" s="105">
        <f>SUMPRODUCT(($C$88=Producción_Agricola[Movimiento])*(Producción_Agricola[Financiero U$S Dólares])*(X$1=Producción_Agricola[Mes Financiero])*(X$2=Producción_Agricola[Año Financiero]))-SUM(X101:X113)</f>
        <v>0</v>
      </c>
      <c r="Y114" s="106">
        <f>SUMPRODUCT(($C$88=Producción_Agricola[Movimiento])*(Producción_Agricola[Financiero U$S Dólares])*(Y$1=Producción_Agricola[Mes Financiero])*(Y$2=Producción_Agricola[Año Financiero]))-SUM(Y101:Y113)</f>
        <v>0</v>
      </c>
      <c r="Z114" s="163">
        <f t="shared" si="3"/>
        <v>0</v>
      </c>
      <c r="AC114" s="174">
        <f>SUMPRODUCT((F114=Produccion_Agricola_Cuentas[Cuenta Contable])*(Produccion_Agricola_Cuentas[IVA]))</f>
        <v>0</v>
      </c>
      <c r="AD114" s="174">
        <f>SUMPRODUCT((G114=Produccion_Agricola_Cuentas[Cuenta Contable])*(Produccion_Agricola_Cuentas[IVA]))</f>
        <v>0</v>
      </c>
    </row>
    <row r="115" spans="2:30" collapsed="1" x14ac:dyDescent="0.25">
      <c r="C115" s="210" t="s">
        <v>38</v>
      </c>
      <c r="D115" s="381" t="s">
        <v>165</v>
      </c>
      <c r="F115" s="420" t="s">
        <v>186</v>
      </c>
      <c r="G115" s="19"/>
      <c r="H115" s="112">
        <f>SUMPRODUCT(($C$115=Producción_Ganadera[Movimiento])*(H$1=Producción_Ganadera[Mes Financiero])*(H$2=Producción_Ganadera[Año Financiero])*(Producción_Ganadera[Financiero U$S Dólares]))</f>
        <v>0</v>
      </c>
      <c r="I115" s="113">
        <f>SUMPRODUCT(($C$115=Producción_Ganadera[Movimiento])*(I$1=Producción_Ganadera[Mes Financiero])*(I$2=Producción_Ganadera[Año Financiero])*(Producción_Ganadera[Financiero U$S Dólares]))</f>
        <v>0</v>
      </c>
      <c r="J115" s="112">
        <f>SUMPRODUCT(($C$115=Producción_Ganadera[Movimiento])*(J$1=Producción_Ganadera[Mes Financiero])*(J$2=Producción_Ganadera[Año Financiero])*(Producción_Ganadera[Financiero U$S Dólares]))</f>
        <v>0</v>
      </c>
      <c r="K115" s="113">
        <f>SUMPRODUCT(($C$115=Producción_Ganadera[Movimiento])*(K$1=Producción_Ganadera[Mes Financiero])*(K$2=Producción_Ganadera[Año Financiero])*(Producción_Ganadera[Financiero U$S Dólares]))</f>
        <v>0</v>
      </c>
      <c r="L115" s="112">
        <f>SUMPRODUCT(($C$115=Producción_Ganadera[Movimiento])*(L$1=Producción_Ganadera[Mes Financiero])*(L$2=Producción_Ganadera[Año Financiero])*(Producción_Ganadera[Financiero U$S Dólares]))</f>
        <v>0</v>
      </c>
      <c r="M115" s="113">
        <f>SUMPRODUCT(($C$115=Producción_Ganadera[Movimiento])*(M$1=Producción_Ganadera[Mes Financiero])*(M$2=Producción_Ganadera[Año Financiero])*(Producción_Ganadera[Financiero U$S Dólares]))</f>
        <v>0</v>
      </c>
      <c r="N115" s="112">
        <f>SUMPRODUCT(($C$115=Producción_Ganadera[Movimiento])*(N$1=Producción_Ganadera[Mes Financiero])*(N$2=Producción_Ganadera[Año Financiero])*(Producción_Ganadera[Financiero U$S Dólares]))</f>
        <v>0</v>
      </c>
      <c r="O115" s="113">
        <f>SUMPRODUCT(($C$115=Producción_Ganadera[Movimiento])*(O$1=Producción_Ganadera[Mes Financiero])*(O$2=Producción_Ganadera[Año Financiero])*(Producción_Ganadera[Financiero U$S Dólares]))</f>
        <v>0</v>
      </c>
      <c r="P115" s="112">
        <f>SUMPRODUCT(($C$115=Producción_Ganadera[Movimiento])*(P$1=Producción_Ganadera[Mes Financiero])*(P$2=Producción_Ganadera[Año Financiero])*(Producción_Ganadera[Financiero U$S Dólares]))</f>
        <v>0</v>
      </c>
      <c r="Q115" s="113">
        <f>SUMPRODUCT(($C$115=Producción_Ganadera[Movimiento])*(Q$1=Producción_Ganadera[Mes Financiero])*(Q$2=Producción_Ganadera[Año Financiero])*(Producción_Ganadera[Financiero U$S Dólares]))</f>
        <v>0</v>
      </c>
      <c r="R115" s="112">
        <f>SUMPRODUCT(($C$115=Producción_Ganadera[Movimiento])*(R$1=Producción_Ganadera[Mes Financiero])*(R$2=Producción_Ganadera[Año Financiero])*(Producción_Ganadera[Financiero U$S Dólares]))</f>
        <v>0</v>
      </c>
      <c r="S115" s="113">
        <f>SUMPRODUCT(($C$115=Producción_Ganadera[Movimiento])*(S$1=Producción_Ganadera[Mes Financiero])*(S$2=Producción_Ganadera[Año Financiero])*(Producción_Ganadera[Financiero U$S Dólares]))</f>
        <v>0</v>
      </c>
      <c r="T115" s="112">
        <f>SUMPRODUCT(($C$115=Producción_Ganadera[Movimiento])*(T$1=Producción_Ganadera[Mes Financiero])*(T$2=Producción_Ganadera[Año Financiero])*(Producción_Ganadera[Financiero U$S Dólares]))</f>
        <v>0</v>
      </c>
      <c r="U115" s="113">
        <f>SUMPRODUCT(($C$115=Producción_Ganadera[Movimiento])*(U$1=Producción_Ganadera[Mes Financiero])*(U$2=Producción_Ganadera[Año Financiero])*(Producción_Ganadera[Financiero U$S Dólares]))</f>
        <v>0</v>
      </c>
      <c r="V115" s="112">
        <f>SUMPRODUCT(($C$115=Producción_Ganadera[Movimiento])*(V$1=Producción_Ganadera[Mes Financiero])*(V$2=Producción_Ganadera[Año Financiero])*(Producción_Ganadera[Financiero U$S Dólares]))</f>
        <v>0</v>
      </c>
      <c r="W115" s="113">
        <f>SUMPRODUCT(($C$115=Producción_Ganadera[Movimiento])*(W$1=Producción_Ganadera[Mes Financiero])*(W$2=Producción_Ganadera[Año Financiero])*(Producción_Ganadera[Financiero U$S Dólares]))</f>
        <v>0</v>
      </c>
      <c r="X115" s="112">
        <f>SUMPRODUCT(($C$115=Producción_Ganadera[Movimiento])*(X$1=Producción_Ganadera[Mes Financiero])*(X$2=Producción_Ganadera[Año Financiero])*(Producción_Ganadera[Financiero U$S Dólares]))</f>
        <v>0</v>
      </c>
      <c r="Y115" s="113">
        <f>SUMPRODUCT(($C$115=Producción_Ganadera[Movimiento])*(Y$1=Producción_Ganadera[Mes Financiero])*(Y$2=Producción_Ganadera[Año Financiero])*(Producción_Ganadera[Financiero U$S Dólares]))</f>
        <v>0</v>
      </c>
      <c r="Z115" s="147">
        <f>SUM(H115:Y115)</f>
        <v>0</v>
      </c>
    </row>
    <row r="116" spans="2:30" hidden="1" outlineLevel="1" x14ac:dyDescent="0.25">
      <c r="E116" s="223">
        <f>MATCH(F116,Produccion_Ganadera_Cuentas[Cuenta Contable],0)</f>
        <v>7</v>
      </c>
      <c r="F116" s="415" t="s">
        <v>170</v>
      </c>
      <c r="H116" s="103">
        <f>SUMPRODUCT((H$1=Producción_Ganadera[Mes Financiero])*(H$2=Producción_Ganadera[Año Financiero])*($C$115=Producción_Ganadera[Movimiento])*($F116=Producción_Ganadera[Cuenta Contable])*(Producción_Ganadera[Financiero U$S Dólares]))</f>
        <v>0</v>
      </c>
      <c r="I116" s="104">
        <f>SUMPRODUCT((I$1=Producción_Ganadera[Mes Financiero])*(I$2=Producción_Ganadera[Año Financiero])*($C$115=Producción_Ganadera[Movimiento])*($F116=Producción_Ganadera[Cuenta Contable])*(Producción_Ganadera[Financiero U$S Dólares]))</f>
        <v>0</v>
      </c>
      <c r="J116" s="103">
        <f>SUMPRODUCT((J$1=Producción_Ganadera[Mes Financiero])*(J$2=Producción_Ganadera[Año Financiero])*($C$115=Producción_Ganadera[Movimiento])*($F116=Producción_Ganadera[Cuenta Contable])*(Producción_Ganadera[Financiero U$S Dólares]))</f>
        <v>0</v>
      </c>
      <c r="K116" s="104">
        <f>SUMPRODUCT((K$1=Producción_Ganadera[Mes Financiero])*(K$2=Producción_Ganadera[Año Financiero])*($C$115=Producción_Ganadera[Movimiento])*($F116=Producción_Ganadera[Cuenta Contable])*(Producción_Ganadera[Financiero U$S Dólares]))</f>
        <v>0</v>
      </c>
      <c r="L116" s="103">
        <f>SUMPRODUCT((L$1=Producción_Ganadera[Mes Financiero])*(L$2=Producción_Ganadera[Año Financiero])*($C$115=Producción_Ganadera[Movimiento])*($F116=Producción_Ganadera[Cuenta Contable])*(Producción_Ganadera[Financiero U$S Dólares]))</f>
        <v>0</v>
      </c>
      <c r="M116" s="104">
        <f>SUMPRODUCT((M$1=Producción_Ganadera[Mes Financiero])*(M$2=Producción_Ganadera[Año Financiero])*($C$115=Producción_Ganadera[Movimiento])*($F116=Producción_Ganadera[Cuenta Contable])*(Producción_Ganadera[Financiero U$S Dólares]))</f>
        <v>0</v>
      </c>
      <c r="N116" s="103">
        <f>SUMPRODUCT((N$1=Producción_Ganadera[Mes Financiero])*(N$2=Producción_Ganadera[Año Financiero])*($C$115=Producción_Ganadera[Movimiento])*($F116=Producción_Ganadera[Cuenta Contable])*(Producción_Ganadera[Financiero U$S Dólares]))</f>
        <v>0</v>
      </c>
      <c r="O116" s="104">
        <f>SUMPRODUCT((O$1=Producción_Ganadera[Mes Financiero])*(O$2=Producción_Ganadera[Año Financiero])*($C$115=Producción_Ganadera[Movimiento])*($F116=Producción_Ganadera[Cuenta Contable])*(Producción_Ganadera[Financiero U$S Dólares]))</f>
        <v>0</v>
      </c>
      <c r="P116" s="103">
        <f>SUMPRODUCT((P$1=Producción_Ganadera[Mes Financiero])*(P$2=Producción_Ganadera[Año Financiero])*($C$115=Producción_Ganadera[Movimiento])*($F116=Producción_Ganadera[Cuenta Contable])*(Producción_Ganadera[Financiero U$S Dólares]))</f>
        <v>0</v>
      </c>
      <c r="Q116" s="104">
        <f>SUMPRODUCT((Q$1=Producción_Ganadera[Mes Financiero])*(Q$2=Producción_Ganadera[Año Financiero])*($C$115=Producción_Ganadera[Movimiento])*($F116=Producción_Ganadera[Cuenta Contable])*(Producción_Ganadera[Financiero U$S Dólares]))</f>
        <v>0</v>
      </c>
      <c r="R116" s="103">
        <f>SUMPRODUCT((R$1=Producción_Ganadera[Mes Financiero])*(R$2=Producción_Ganadera[Año Financiero])*($C$115=Producción_Ganadera[Movimiento])*($F116=Producción_Ganadera[Cuenta Contable])*(Producción_Ganadera[Financiero U$S Dólares]))</f>
        <v>0</v>
      </c>
      <c r="S116" s="104">
        <f>SUMPRODUCT((S$1=Producción_Ganadera[Mes Financiero])*(S$2=Producción_Ganadera[Año Financiero])*($C$115=Producción_Ganadera[Movimiento])*($F116=Producción_Ganadera[Cuenta Contable])*(Producción_Ganadera[Financiero U$S Dólares]))</f>
        <v>0</v>
      </c>
      <c r="T116" s="103">
        <f>SUMPRODUCT((T$1=Producción_Ganadera[Mes Financiero])*(T$2=Producción_Ganadera[Año Financiero])*($C$115=Producción_Ganadera[Movimiento])*($F116=Producción_Ganadera[Cuenta Contable])*(Producción_Ganadera[Financiero U$S Dólares]))</f>
        <v>0</v>
      </c>
      <c r="U116" s="104">
        <f>SUMPRODUCT((U$1=Producción_Ganadera[Mes Financiero])*(U$2=Producción_Ganadera[Año Financiero])*($C$115=Producción_Ganadera[Movimiento])*($F116=Producción_Ganadera[Cuenta Contable])*(Producción_Ganadera[Financiero U$S Dólares]))</f>
        <v>0</v>
      </c>
      <c r="V116" s="103">
        <f>SUMPRODUCT((V$1=Producción_Ganadera[Mes Financiero])*(V$2=Producción_Ganadera[Año Financiero])*($C$115=Producción_Ganadera[Movimiento])*($F116=Producción_Ganadera[Cuenta Contable])*(Producción_Ganadera[Financiero U$S Dólares]))</f>
        <v>0</v>
      </c>
      <c r="W116" s="104">
        <f>SUMPRODUCT((W$1=Producción_Ganadera[Mes Financiero])*(W$2=Producción_Ganadera[Año Financiero])*($C$115=Producción_Ganadera[Movimiento])*($F116=Producción_Ganadera[Cuenta Contable])*(Producción_Ganadera[Financiero U$S Dólares]))</f>
        <v>0</v>
      </c>
      <c r="X116" s="103">
        <f>SUMPRODUCT((X$1=Producción_Ganadera[Mes Financiero])*(X$2=Producción_Ganadera[Año Financiero])*($C$115=Producción_Ganadera[Movimiento])*($F116=Producción_Ganadera[Cuenta Contable])*(Producción_Ganadera[Financiero U$S Dólares]))</f>
        <v>0</v>
      </c>
      <c r="Y116" s="104">
        <f>SUMPRODUCT((Y$1=Producción_Ganadera[Mes Financiero])*(Y$2=Producción_Ganadera[Año Financiero])*($C$115=Producción_Ganadera[Movimiento])*($F116=Producción_Ganadera[Cuenta Contable])*(Producción_Ganadera[Financiero U$S Dólares]))</f>
        <v>0</v>
      </c>
      <c r="Z116" s="139">
        <f t="shared" si="3"/>
        <v>0</v>
      </c>
      <c r="AB116" s="170" t="b">
        <f>Z116=SUM(Z117:Z128)</f>
        <v>1</v>
      </c>
      <c r="AC116" s="174">
        <f>SUMPRODUCT((F116=Produccion_Ganadera_Cuentas[Cuenta Contable])*(Produccion_Ganadera_Cuentas[IVA]))</f>
        <v>0.105</v>
      </c>
      <c r="AD116" s="174">
        <f>SUMPRODUCT((G116=Produccion_Ganadera_Cuentas[Cuenta Contable])*(Produccion_Ganadera_Cuentas[IVA]))</f>
        <v>0</v>
      </c>
    </row>
    <row r="117" spans="2:30" hidden="1" outlineLevel="2" x14ac:dyDescent="0.25">
      <c r="F117" s="215">
        <f>IFERROR(MATCH(G117,Produccion_Ganadera[Categoría],0),0)</f>
        <v>1</v>
      </c>
      <c r="G117" s="410" t="str">
        <f>Configuración!AZ5</f>
        <v>Vaca CUT</v>
      </c>
      <c r="H117" s="117">
        <f>SUMPRODUCT(($C$115=Producción_Ganadera[Movimiento])*($G117=Producción_Ganadera[Categoría Hacienda])*(H$1=Producción_Ganadera[Mes Financiero])*(H$2=Producción_Ganadera[Año Financiero])*(Producción_Ganadera[Financiero U$S Dólares]))</f>
        <v>0</v>
      </c>
      <c r="I117" s="118">
        <f>SUMPRODUCT(($C$115=Producción_Ganadera[Movimiento])*($G117=Producción_Ganadera[Categoría Hacienda])*(I$1=Producción_Ganadera[Mes Financiero])*(I$2=Producción_Ganadera[Año Financiero])*(Producción_Ganadera[Financiero U$S Dólares]))</f>
        <v>0</v>
      </c>
      <c r="J117" s="117">
        <f>SUMPRODUCT(($C$115=Producción_Ganadera[Movimiento])*($G117=Producción_Ganadera[Categoría Hacienda])*(J$1=Producción_Ganadera[Mes Financiero])*(J$2=Producción_Ganadera[Año Financiero])*(Producción_Ganadera[Financiero U$S Dólares]))</f>
        <v>0</v>
      </c>
      <c r="K117" s="118">
        <f>SUMPRODUCT(($C$115=Producción_Ganadera[Movimiento])*($G117=Producción_Ganadera[Categoría Hacienda])*(K$1=Producción_Ganadera[Mes Financiero])*(K$2=Producción_Ganadera[Año Financiero])*(Producción_Ganadera[Financiero U$S Dólares]))</f>
        <v>0</v>
      </c>
      <c r="L117" s="117">
        <f>SUMPRODUCT(($C$115=Producción_Ganadera[Movimiento])*($G117=Producción_Ganadera[Categoría Hacienda])*(L$1=Producción_Ganadera[Mes Financiero])*(L$2=Producción_Ganadera[Año Financiero])*(Producción_Ganadera[Financiero U$S Dólares]))</f>
        <v>0</v>
      </c>
      <c r="M117" s="118">
        <f>SUMPRODUCT(($C$115=Producción_Ganadera[Movimiento])*($G117=Producción_Ganadera[Categoría Hacienda])*(M$1=Producción_Ganadera[Mes Financiero])*(M$2=Producción_Ganadera[Año Financiero])*(Producción_Ganadera[Financiero U$S Dólares]))</f>
        <v>0</v>
      </c>
      <c r="N117" s="117">
        <f>SUMPRODUCT(($C$115=Producción_Ganadera[Movimiento])*($G117=Producción_Ganadera[Categoría Hacienda])*(N$1=Producción_Ganadera[Mes Financiero])*(N$2=Producción_Ganadera[Año Financiero])*(Producción_Ganadera[Financiero U$S Dólares]))</f>
        <v>0</v>
      </c>
      <c r="O117" s="118">
        <f>SUMPRODUCT(($C$115=Producción_Ganadera[Movimiento])*($G117=Producción_Ganadera[Categoría Hacienda])*(O$1=Producción_Ganadera[Mes Financiero])*(O$2=Producción_Ganadera[Año Financiero])*(Producción_Ganadera[Financiero U$S Dólares]))</f>
        <v>0</v>
      </c>
      <c r="P117" s="117">
        <f>SUMPRODUCT(($C$115=Producción_Ganadera[Movimiento])*($G117=Producción_Ganadera[Categoría Hacienda])*(P$1=Producción_Ganadera[Mes Financiero])*(P$2=Producción_Ganadera[Año Financiero])*(Producción_Ganadera[Financiero U$S Dólares]))</f>
        <v>0</v>
      </c>
      <c r="Q117" s="118">
        <f>SUMPRODUCT(($C$115=Producción_Ganadera[Movimiento])*($G117=Producción_Ganadera[Categoría Hacienda])*(Q$1=Producción_Ganadera[Mes Financiero])*(Q$2=Producción_Ganadera[Año Financiero])*(Producción_Ganadera[Financiero U$S Dólares]))</f>
        <v>0</v>
      </c>
      <c r="R117" s="117">
        <f>SUMPRODUCT(($C$115=Producción_Ganadera[Movimiento])*($G117=Producción_Ganadera[Categoría Hacienda])*(R$1=Producción_Ganadera[Mes Financiero])*(R$2=Producción_Ganadera[Año Financiero])*(Producción_Ganadera[Financiero U$S Dólares]))</f>
        <v>0</v>
      </c>
      <c r="S117" s="118">
        <f>SUMPRODUCT(($C$115=Producción_Ganadera[Movimiento])*($G117=Producción_Ganadera[Categoría Hacienda])*(S$1=Producción_Ganadera[Mes Financiero])*(S$2=Producción_Ganadera[Año Financiero])*(Producción_Ganadera[Financiero U$S Dólares]))</f>
        <v>0</v>
      </c>
      <c r="T117" s="117">
        <f>SUMPRODUCT(($C$115=Producción_Ganadera[Movimiento])*($G117=Producción_Ganadera[Categoría Hacienda])*(T$1=Producción_Ganadera[Mes Financiero])*(T$2=Producción_Ganadera[Año Financiero])*(Producción_Ganadera[Financiero U$S Dólares]))</f>
        <v>0</v>
      </c>
      <c r="U117" s="118">
        <f>SUMPRODUCT(($C$115=Producción_Ganadera[Movimiento])*($G117=Producción_Ganadera[Categoría Hacienda])*(U$1=Producción_Ganadera[Mes Financiero])*(U$2=Producción_Ganadera[Año Financiero])*(Producción_Ganadera[Financiero U$S Dólares]))</f>
        <v>0</v>
      </c>
      <c r="V117" s="117">
        <f>SUMPRODUCT(($C$115=Producción_Ganadera[Movimiento])*($G117=Producción_Ganadera[Categoría Hacienda])*(V$1=Producción_Ganadera[Mes Financiero])*(V$2=Producción_Ganadera[Año Financiero])*(Producción_Ganadera[Financiero U$S Dólares]))</f>
        <v>0</v>
      </c>
      <c r="W117" s="118">
        <f>SUMPRODUCT(($C$115=Producción_Ganadera[Movimiento])*($G117=Producción_Ganadera[Categoría Hacienda])*(W$1=Producción_Ganadera[Mes Financiero])*(W$2=Producción_Ganadera[Año Financiero])*(Producción_Ganadera[Financiero U$S Dólares]))</f>
        <v>0</v>
      </c>
      <c r="X117" s="117">
        <f>SUMPRODUCT(($C$115=Producción_Ganadera[Movimiento])*($G117=Producción_Ganadera[Categoría Hacienda])*(X$1=Producción_Ganadera[Mes Financiero])*(X$2=Producción_Ganadera[Año Financiero])*(Producción_Ganadera[Financiero U$S Dólares]))</f>
        <v>0</v>
      </c>
      <c r="Y117" s="118">
        <f>SUMPRODUCT(($C$115=Producción_Ganadera[Movimiento])*($G117=Producción_Ganadera[Categoría Hacienda])*(Y$1=Producción_Ganadera[Mes Financiero])*(Y$2=Producción_Ganadera[Año Financiero])*(Producción_Ganadera[Financiero U$S Dólares]))</f>
        <v>0</v>
      </c>
      <c r="Z117" s="140">
        <f t="shared" ref="Z117:Z201" si="28">SUM(H117:Y117)</f>
        <v>0</v>
      </c>
      <c r="AC117" s="174"/>
      <c r="AD117" s="174"/>
    </row>
    <row r="118" spans="2:30" hidden="1" outlineLevel="2" x14ac:dyDescent="0.25">
      <c r="F118" s="215">
        <f>IFERROR(MATCH(G118,Produccion_Ganadera[Categoría],0),0)</f>
        <v>2</v>
      </c>
      <c r="G118" s="410" t="str">
        <f>Configuración!AZ6</f>
        <v>Vaca Preñada</v>
      </c>
      <c r="H118" s="117">
        <f>SUMPRODUCT(($C$115=Producción_Ganadera[Movimiento])*($G118=Producción_Ganadera[Categoría Hacienda])*(H$1=Producción_Ganadera[Mes Financiero])*(H$2=Producción_Ganadera[Año Financiero])*(Producción_Ganadera[Financiero U$S Dólares]))</f>
        <v>0</v>
      </c>
      <c r="I118" s="118">
        <f>SUMPRODUCT(($C$115=Producción_Ganadera[Movimiento])*($G118=Producción_Ganadera[Categoría Hacienda])*(I$1=Producción_Ganadera[Mes Financiero])*(I$2=Producción_Ganadera[Año Financiero])*(Producción_Ganadera[Financiero U$S Dólares]))</f>
        <v>0</v>
      </c>
      <c r="J118" s="117">
        <f>SUMPRODUCT(($C$115=Producción_Ganadera[Movimiento])*($G118=Producción_Ganadera[Categoría Hacienda])*(J$1=Producción_Ganadera[Mes Financiero])*(J$2=Producción_Ganadera[Año Financiero])*(Producción_Ganadera[Financiero U$S Dólares]))</f>
        <v>0</v>
      </c>
      <c r="K118" s="118">
        <f>SUMPRODUCT(($C$115=Producción_Ganadera[Movimiento])*($G118=Producción_Ganadera[Categoría Hacienda])*(K$1=Producción_Ganadera[Mes Financiero])*(K$2=Producción_Ganadera[Año Financiero])*(Producción_Ganadera[Financiero U$S Dólares]))</f>
        <v>0</v>
      </c>
      <c r="L118" s="117">
        <f>SUMPRODUCT(($C$115=Producción_Ganadera[Movimiento])*($G118=Producción_Ganadera[Categoría Hacienda])*(L$1=Producción_Ganadera[Mes Financiero])*(L$2=Producción_Ganadera[Año Financiero])*(Producción_Ganadera[Financiero U$S Dólares]))</f>
        <v>0</v>
      </c>
      <c r="M118" s="118">
        <f>SUMPRODUCT(($C$115=Producción_Ganadera[Movimiento])*($G118=Producción_Ganadera[Categoría Hacienda])*(M$1=Producción_Ganadera[Mes Financiero])*(M$2=Producción_Ganadera[Año Financiero])*(Producción_Ganadera[Financiero U$S Dólares]))</f>
        <v>0</v>
      </c>
      <c r="N118" s="117">
        <f>SUMPRODUCT(($C$115=Producción_Ganadera[Movimiento])*($G118=Producción_Ganadera[Categoría Hacienda])*(N$1=Producción_Ganadera[Mes Financiero])*(N$2=Producción_Ganadera[Año Financiero])*(Producción_Ganadera[Financiero U$S Dólares]))</f>
        <v>0</v>
      </c>
      <c r="O118" s="118">
        <f>SUMPRODUCT(($C$115=Producción_Ganadera[Movimiento])*($G118=Producción_Ganadera[Categoría Hacienda])*(O$1=Producción_Ganadera[Mes Financiero])*(O$2=Producción_Ganadera[Año Financiero])*(Producción_Ganadera[Financiero U$S Dólares]))</f>
        <v>0</v>
      </c>
      <c r="P118" s="117">
        <f>SUMPRODUCT(($C$115=Producción_Ganadera[Movimiento])*($G118=Producción_Ganadera[Categoría Hacienda])*(P$1=Producción_Ganadera[Mes Financiero])*(P$2=Producción_Ganadera[Año Financiero])*(Producción_Ganadera[Financiero U$S Dólares]))</f>
        <v>0</v>
      </c>
      <c r="Q118" s="118">
        <f>SUMPRODUCT(($C$115=Producción_Ganadera[Movimiento])*($G118=Producción_Ganadera[Categoría Hacienda])*(Q$1=Producción_Ganadera[Mes Financiero])*(Q$2=Producción_Ganadera[Año Financiero])*(Producción_Ganadera[Financiero U$S Dólares]))</f>
        <v>0</v>
      </c>
      <c r="R118" s="117">
        <f>SUMPRODUCT(($C$115=Producción_Ganadera[Movimiento])*($G118=Producción_Ganadera[Categoría Hacienda])*(R$1=Producción_Ganadera[Mes Financiero])*(R$2=Producción_Ganadera[Año Financiero])*(Producción_Ganadera[Financiero U$S Dólares]))</f>
        <v>0</v>
      </c>
      <c r="S118" s="118">
        <f>SUMPRODUCT(($C$115=Producción_Ganadera[Movimiento])*($G118=Producción_Ganadera[Categoría Hacienda])*(S$1=Producción_Ganadera[Mes Financiero])*(S$2=Producción_Ganadera[Año Financiero])*(Producción_Ganadera[Financiero U$S Dólares]))</f>
        <v>0</v>
      </c>
      <c r="T118" s="117">
        <f>SUMPRODUCT(($C$115=Producción_Ganadera[Movimiento])*($G118=Producción_Ganadera[Categoría Hacienda])*(T$1=Producción_Ganadera[Mes Financiero])*(T$2=Producción_Ganadera[Año Financiero])*(Producción_Ganadera[Financiero U$S Dólares]))</f>
        <v>0</v>
      </c>
      <c r="U118" s="118">
        <f>SUMPRODUCT(($C$115=Producción_Ganadera[Movimiento])*($G118=Producción_Ganadera[Categoría Hacienda])*(U$1=Producción_Ganadera[Mes Financiero])*(U$2=Producción_Ganadera[Año Financiero])*(Producción_Ganadera[Financiero U$S Dólares]))</f>
        <v>0</v>
      </c>
      <c r="V118" s="117">
        <f>SUMPRODUCT(($C$115=Producción_Ganadera[Movimiento])*($G118=Producción_Ganadera[Categoría Hacienda])*(V$1=Producción_Ganadera[Mes Financiero])*(V$2=Producción_Ganadera[Año Financiero])*(Producción_Ganadera[Financiero U$S Dólares]))</f>
        <v>0</v>
      </c>
      <c r="W118" s="118">
        <f>SUMPRODUCT(($C$115=Producción_Ganadera[Movimiento])*($G118=Producción_Ganadera[Categoría Hacienda])*(W$1=Producción_Ganadera[Mes Financiero])*(W$2=Producción_Ganadera[Año Financiero])*(Producción_Ganadera[Financiero U$S Dólares]))</f>
        <v>0</v>
      </c>
      <c r="X118" s="117">
        <f>SUMPRODUCT(($C$115=Producción_Ganadera[Movimiento])*($G118=Producción_Ganadera[Categoría Hacienda])*(X$1=Producción_Ganadera[Mes Financiero])*(X$2=Producción_Ganadera[Año Financiero])*(Producción_Ganadera[Financiero U$S Dólares]))</f>
        <v>0</v>
      </c>
      <c r="Y118" s="118">
        <f>SUMPRODUCT(($C$115=Producción_Ganadera[Movimiento])*($G118=Producción_Ganadera[Categoría Hacienda])*(Y$1=Producción_Ganadera[Mes Financiero])*(Y$2=Producción_Ganadera[Año Financiero])*(Producción_Ganadera[Financiero U$S Dólares]))</f>
        <v>0</v>
      </c>
      <c r="Z118" s="140">
        <f t="shared" si="28"/>
        <v>0</v>
      </c>
      <c r="AC118" s="174"/>
      <c r="AD118" s="174"/>
    </row>
    <row r="119" spans="2:30" hidden="1" outlineLevel="2" x14ac:dyDescent="0.25">
      <c r="F119" s="215">
        <f>IFERROR(MATCH(G119,Produccion_Ganadera[Categoría],0),0)</f>
        <v>3</v>
      </c>
      <c r="G119" s="410" t="str">
        <f>Configuración!AZ7</f>
        <v>Vaca Vacía</v>
      </c>
      <c r="H119" s="117">
        <f>SUMPRODUCT(($C$115=Producción_Ganadera[Movimiento])*($G119=Producción_Ganadera[Categoría Hacienda])*(H$1=Producción_Ganadera[Mes Financiero])*(H$2=Producción_Ganadera[Año Financiero])*(Producción_Ganadera[Financiero U$S Dólares]))</f>
        <v>0</v>
      </c>
      <c r="I119" s="118">
        <f>SUMPRODUCT(($C$115=Producción_Ganadera[Movimiento])*($G119=Producción_Ganadera[Categoría Hacienda])*(I$1=Producción_Ganadera[Mes Financiero])*(I$2=Producción_Ganadera[Año Financiero])*(Producción_Ganadera[Financiero U$S Dólares]))</f>
        <v>0</v>
      </c>
      <c r="J119" s="117">
        <f>SUMPRODUCT(($C$115=Producción_Ganadera[Movimiento])*($G119=Producción_Ganadera[Categoría Hacienda])*(J$1=Producción_Ganadera[Mes Financiero])*(J$2=Producción_Ganadera[Año Financiero])*(Producción_Ganadera[Financiero U$S Dólares]))</f>
        <v>0</v>
      </c>
      <c r="K119" s="118">
        <f>SUMPRODUCT(($C$115=Producción_Ganadera[Movimiento])*($G119=Producción_Ganadera[Categoría Hacienda])*(K$1=Producción_Ganadera[Mes Financiero])*(K$2=Producción_Ganadera[Año Financiero])*(Producción_Ganadera[Financiero U$S Dólares]))</f>
        <v>0</v>
      </c>
      <c r="L119" s="117">
        <f>SUMPRODUCT(($C$115=Producción_Ganadera[Movimiento])*($G119=Producción_Ganadera[Categoría Hacienda])*(L$1=Producción_Ganadera[Mes Financiero])*(L$2=Producción_Ganadera[Año Financiero])*(Producción_Ganadera[Financiero U$S Dólares]))</f>
        <v>0</v>
      </c>
      <c r="M119" s="118">
        <f>SUMPRODUCT(($C$115=Producción_Ganadera[Movimiento])*($G119=Producción_Ganadera[Categoría Hacienda])*(M$1=Producción_Ganadera[Mes Financiero])*(M$2=Producción_Ganadera[Año Financiero])*(Producción_Ganadera[Financiero U$S Dólares]))</f>
        <v>0</v>
      </c>
      <c r="N119" s="117">
        <f>SUMPRODUCT(($C$115=Producción_Ganadera[Movimiento])*($G119=Producción_Ganadera[Categoría Hacienda])*(N$1=Producción_Ganadera[Mes Financiero])*(N$2=Producción_Ganadera[Año Financiero])*(Producción_Ganadera[Financiero U$S Dólares]))</f>
        <v>0</v>
      </c>
      <c r="O119" s="118">
        <f>SUMPRODUCT(($C$115=Producción_Ganadera[Movimiento])*($G119=Producción_Ganadera[Categoría Hacienda])*(O$1=Producción_Ganadera[Mes Financiero])*(O$2=Producción_Ganadera[Año Financiero])*(Producción_Ganadera[Financiero U$S Dólares]))</f>
        <v>0</v>
      </c>
      <c r="P119" s="117">
        <f>SUMPRODUCT(($C$115=Producción_Ganadera[Movimiento])*($G119=Producción_Ganadera[Categoría Hacienda])*(P$1=Producción_Ganadera[Mes Financiero])*(P$2=Producción_Ganadera[Año Financiero])*(Producción_Ganadera[Financiero U$S Dólares]))</f>
        <v>0</v>
      </c>
      <c r="Q119" s="118">
        <f>SUMPRODUCT(($C$115=Producción_Ganadera[Movimiento])*($G119=Producción_Ganadera[Categoría Hacienda])*(Q$1=Producción_Ganadera[Mes Financiero])*(Q$2=Producción_Ganadera[Año Financiero])*(Producción_Ganadera[Financiero U$S Dólares]))</f>
        <v>0</v>
      </c>
      <c r="R119" s="117">
        <f>SUMPRODUCT(($C$115=Producción_Ganadera[Movimiento])*($G119=Producción_Ganadera[Categoría Hacienda])*(R$1=Producción_Ganadera[Mes Financiero])*(R$2=Producción_Ganadera[Año Financiero])*(Producción_Ganadera[Financiero U$S Dólares]))</f>
        <v>0</v>
      </c>
      <c r="S119" s="118">
        <f>SUMPRODUCT(($C$115=Producción_Ganadera[Movimiento])*($G119=Producción_Ganadera[Categoría Hacienda])*(S$1=Producción_Ganadera[Mes Financiero])*(S$2=Producción_Ganadera[Año Financiero])*(Producción_Ganadera[Financiero U$S Dólares]))</f>
        <v>0</v>
      </c>
      <c r="T119" s="117">
        <f>SUMPRODUCT(($C$115=Producción_Ganadera[Movimiento])*($G119=Producción_Ganadera[Categoría Hacienda])*(T$1=Producción_Ganadera[Mes Financiero])*(T$2=Producción_Ganadera[Año Financiero])*(Producción_Ganadera[Financiero U$S Dólares]))</f>
        <v>0</v>
      </c>
      <c r="U119" s="118">
        <f>SUMPRODUCT(($C$115=Producción_Ganadera[Movimiento])*($G119=Producción_Ganadera[Categoría Hacienda])*(U$1=Producción_Ganadera[Mes Financiero])*(U$2=Producción_Ganadera[Año Financiero])*(Producción_Ganadera[Financiero U$S Dólares]))</f>
        <v>0</v>
      </c>
      <c r="V119" s="117">
        <f>SUMPRODUCT(($C$115=Producción_Ganadera[Movimiento])*($G119=Producción_Ganadera[Categoría Hacienda])*(V$1=Producción_Ganadera[Mes Financiero])*(V$2=Producción_Ganadera[Año Financiero])*(Producción_Ganadera[Financiero U$S Dólares]))</f>
        <v>0</v>
      </c>
      <c r="W119" s="118">
        <f>SUMPRODUCT(($C$115=Producción_Ganadera[Movimiento])*($G119=Producción_Ganadera[Categoría Hacienda])*(W$1=Producción_Ganadera[Mes Financiero])*(W$2=Producción_Ganadera[Año Financiero])*(Producción_Ganadera[Financiero U$S Dólares]))</f>
        <v>0</v>
      </c>
      <c r="X119" s="117">
        <f>SUMPRODUCT(($C$115=Producción_Ganadera[Movimiento])*($G119=Producción_Ganadera[Categoría Hacienda])*(X$1=Producción_Ganadera[Mes Financiero])*(X$2=Producción_Ganadera[Año Financiero])*(Producción_Ganadera[Financiero U$S Dólares]))</f>
        <v>0</v>
      </c>
      <c r="Y119" s="118">
        <f>SUMPRODUCT(($C$115=Producción_Ganadera[Movimiento])*($G119=Producción_Ganadera[Categoría Hacienda])*(Y$1=Producción_Ganadera[Mes Financiero])*(Y$2=Producción_Ganadera[Año Financiero])*(Producción_Ganadera[Financiero U$S Dólares]))</f>
        <v>0</v>
      </c>
      <c r="Z119" s="140">
        <f t="shared" si="28"/>
        <v>0</v>
      </c>
      <c r="AC119" s="174"/>
      <c r="AD119" s="174"/>
    </row>
    <row r="120" spans="2:30" hidden="1" outlineLevel="2" x14ac:dyDescent="0.25">
      <c r="F120" s="215">
        <f>IFERROR(MATCH(G120,Produccion_Ganadera[Categoría],0),0)</f>
        <v>4</v>
      </c>
      <c r="G120" s="410" t="str">
        <f>Configuración!AZ8</f>
        <v>Vaquillona Preñada</v>
      </c>
      <c r="H120" s="117">
        <f>SUMPRODUCT(($C$115=Producción_Ganadera[Movimiento])*($G120=Producción_Ganadera[Categoría Hacienda])*(H$1=Producción_Ganadera[Mes Financiero])*(H$2=Producción_Ganadera[Año Financiero])*(Producción_Ganadera[Financiero U$S Dólares]))</f>
        <v>0</v>
      </c>
      <c r="I120" s="118">
        <f>SUMPRODUCT(($C$115=Producción_Ganadera[Movimiento])*($G120=Producción_Ganadera[Categoría Hacienda])*(I$1=Producción_Ganadera[Mes Financiero])*(I$2=Producción_Ganadera[Año Financiero])*(Producción_Ganadera[Financiero U$S Dólares]))</f>
        <v>0</v>
      </c>
      <c r="J120" s="117">
        <f>SUMPRODUCT(($C$115=Producción_Ganadera[Movimiento])*($G120=Producción_Ganadera[Categoría Hacienda])*(J$1=Producción_Ganadera[Mes Financiero])*(J$2=Producción_Ganadera[Año Financiero])*(Producción_Ganadera[Financiero U$S Dólares]))</f>
        <v>0</v>
      </c>
      <c r="K120" s="118">
        <f>SUMPRODUCT(($C$115=Producción_Ganadera[Movimiento])*($G120=Producción_Ganadera[Categoría Hacienda])*(K$1=Producción_Ganadera[Mes Financiero])*(K$2=Producción_Ganadera[Año Financiero])*(Producción_Ganadera[Financiero U$S Dólares]))</f>
        <v>0</v>
      </c>
      <c r="L120" s="117">
        <f>SUMPRODUCT(($C$115=Producción_Ganadera[Movimiento])*($G120=Producción_Ganadera[Categoría Hacienda])*(L$1=Producción_Ganadera[Mes Financiero])*(L$2=Producción_Ganadera[Año Financiero])*(Producción_Ganadera[Financiero U$S Dólares]))</f>
        <v>0</v>
      </c>
      <c r="M120" s="118">
        <f>SUMPRODUCT(($C$115=Producción_Ganadera[Movimiento])*($G120=Producción_Ganadera[Categoría Hacienda])*(M$1=Producción_Ganadera[Mes Financiero])*(M$2=Producción_Ganadera[Año Financiero])*(Producción_Ganadera[Financiero U$S Dólares]))</f>
        <v>0</v>
      </c>
      <c r="N120" s="117">
        <f>SUMPRODUCT(($C$115=Producción_Ganadera[Movimiento])*($G120=Producción_Ganadera[Categoría Hacienda])*(N$1=Producción_Ganadera[Mes Financiero])*(N$2=Producción_Ganadera[Año Financiero])*(Producción_Ganadera[Financiero U$S Dólares]))</f>
        <v>0</v>
      </c>
      <c r="O120" s="118">
        <f>SUMPRODUCT(($C$115=Producción_Ganadera[Movimiento])*($G120=Producción_Ganadera[Categoría Hacienda])*(O$1=Producción_Ganadera[Mes Financiero])*(O$2=Producción_Ganadera[Año Financiero])*(Producción_Ganadera[Financiero U$S Dólares]))</f>
        <v>0</v>
      </c>
      <c r="P120" s="117">
        <f>SUMPRODUCT(($C$115=Producción_Ganadera[Movimiento])*($G120=Producción_Ganadera[Categoría Hacienda])*(P$1=Producción_Ganadera[Mes Financiero])*(P$2=Producción_Ganadera[Año Financiero])*(Producción_Ganadera[Financiero U$S Dólares]))</f>
        <v>0</v>
      </c>
      <c r="Q120" s="118">
        <f>SUMPRODUCT(($C$115=Producción_Ganadera[Movimiento])*($G120=Producción_Ganadera[Categoría Hacienda])*(Q$1=Producción_Ganadera[Mes Financiero])*(Q$2=Producción_Ganadera[Año Financiero])*(Producción_Ganadera[Financiero U$S Dólares]))</f>
        <v>0</v>
      </c>
      <c r="R120" s="117">
        <f>SUMPRODUCT(($C$115=Producción_Ganadera[Movimiento])*($G120=Producción_Ganadera[Categoría Hacienda])*(R$1=Producción_Ganadera[Mes Financiero])*(R$2=Producción_Ganadera[Año Financiero])*(Producción_Ganadera[Financiero U$S Dólares]))</f>
        <v>0</v>
      </c>
      <c r="S120" s="118">
        <f>SUMPRODUCT(($C$115=Producción_Ganadera[Movimiento])*($G120=Producción_Ganadera[Categoría Hacienda])*(S$1=Producción_Ganadera[Mes Financiero])*(S$2=Producción_Ganadera[Año Financiero])*(Producción_Ganadera[Financiero U$S Dólares]))</f>
        <v>0</v>
      </c>
      <c r="T120" s="117">
        <f>SUMPRODUCT(($C$115=Producción_Ganadera[Movimiento])*($G120=Producción_Ganadera[Categoría Hacienda])*(T$1=Producción_Ganadera[Mes Financiero])*(T$2=Producción_Ganadera[Año Financiero])*(Producción_Ganadera[Financiero U$S Dólares]))</f>
        <v>0</v>
      </c>
      <c r="U120" s="118">
        <f>SUMPRODUCT(($C$115=Producción_Ganadera[Movimiento])*($G120=Producción_Ganadera[Categoría Hacienda])*(U$1=Producción_Ganadera[Mes Financiero])*(U$2=Producción_Ganadera[Año Financiero])*(Producción_Ganadera[Financiero U$S Dólares]))</f>
        <v>0</v>
      </c>
      <c r="V120" s="117">
        <f>SUMPRODUCT(($C$115=Producción_Ganadera[Movimiento])*($G120=Producción_Ganadera[Categoría Hacienda])*(V$1=Producción_Ganadera[Mes Financiero])*(V$2=Producción_Ganadera[Año Financiero])*(Producción_Ganadera[Financiero U$S Dólares]))</f>
        <v>0</v>
      </c>
      <c r="W120" s="118">
        <f>SUMPRODUCT(($C$115=Producción_Ganadera[Movimiento])*($G120=Producción_Ganadera[Categoría Hacienda])*(W$1=Producción_Ganadera[Mes Financiero])*(W$2=Producción_Ganadera[Año Financiero])*(Producción_Ganadera[Financiero U$S Dólares]))</f>
        <v>0</v>
      </c>
      <c r="X120" s="117">
        <f>SUMPRODUCT(($C$115=Producción_Ganadera[Movimiento])*($G120=Producción_Ganadera[Categoría Hacienda])*(X$1=Producción_Ganadera[Mes Financiero])*(X$2=Producción_Ganadera[Año Financiero])*(Producción_Ganadera[Financiero U$S Dólares]))</f>
        <v>0</v>
      </c>
      <c r="Y120" s="118">
        <f>SUMPRODUCT(($C$115=Producción_Ganadera[Movimiento])*($G120=Producción_Ganadera[Categoría Hacienda])*(Y$1=Producción_Ganadera[Mes Financiero])*(Y$2=Producción_Ganadera[Año Financiero])*(Producción_Ganadera[Financiero U$S Dólares]))</f>
        <v>0</v>
      </c>
      <c r="Z120" s="140">
        <f t="shared" si="28"/>
        <v>0</v>
      </c>
      <c r="AC120" s="174"/>
      <c r="AD120" s="174"/>
    </row>
    <row r="121" spans="2:30" hidden="1" outlineLevel="2" x14ac:dyDescent="0.25">
      <c r="F121" s="215">
        <f>IFERROR(MATCH(G121,Produccion_Ganadera[Categoría],0),0)</f>
        <v>5</v>
      </c>
      <c r="G121" s="410" t="str">
        <f>Configuración!AZ9</f>
        <v>Vaquillona 06-15</v>
      </c>
      <c r="H121" s="117">
        <f>SUMPRODUCT(($C$115=Producción_Ganadera[Movimiento])*($G121=Producción_Ganadera[Categoría Hacienda])*(H$1=Producción_Ganadera[Mes Financiero])*(H$2=Producción_Ganadera[Año Financiero])*(Producción_Ganadera[Financiero U$S Dólares]))</f>
        <v>0</v>
      </c>
      <c r="I121" s="118">
        <f>SUMPRODUCT(($C$115=Producción_Ganadera[Movimiento])*($G121=Producción_Ganadera[Categoría Hacienda])*(I$1=Producción_Ganadera[Mes Financiero])*(I$2=Producción_Ganadera[Año Financiero])*(Producción_Ganadera[Financiero U$S Dólares]))</f>
        <v>0</v>
      </c>
      <c r="J121" s="117">
        <f>SUMPRODUCT(($C$115=Producción_Ganadera[Movimiento])*($G121=Producción_Ganadera[Categoría Hacienda])*(J$1=Producción_Ganadera[Mes Financiero])*(J$2=Producción_Ganadera[Año Financiero])*(Producción_Ganadera[Financiero U$S Dólares]))</f>
        <v>0</v>
      </c>
      <c r="K121" s="118">
        <f>SUMPRODUCT(($C$115=Producción_Ganadera[Movimiento])*($G121=Producción_Ganadera[Categoría Hacienda])*(K$1=Producción_Ganadera[Mes Financiero])*(K$2=Producción_Ganadera[Año Financiero])*(Producción_Ganadera[Financiero U$S Dólares]))</f>
        <v>0</v>
      </c>
      <c r="L121" s="117">
        <f>SUMPRODUCT(($C$115=Producción_Ganadera[Movimiento])*($G121=Producción_Ganadera[Categoría Hacienda])*(L$1=Producción_Ganadera[Mes Financiero])*(L$2=Producción_Ganadera[Año Financiero])*(Producción_Ganadera[Financiero U$S Dólares]))</f>
        <v>0</v>
      </c>
      <c r="M121" s="118">
        <f>SUMPRODUCT(($C$115=Producción_Ganadera[Movimiento])*($G121=Producción_Ganadera[Categoría Hacienda])*(M$1=Producción_Ganadera[Mes Financiero])*(M$2=Producción_Ganadera[Año Financiero])*(Producción_Ganadera[Financiero U$S Dólares]))</f>
        <v>0</v>
      </c>
      <c r="N121" s="117">
        <f>SUMPRODUCT(($C$115=Producción_Ganadera[Movimiento])*($G121=Producción_Ganadera[Categoría Hacienda])*(N$1=Producción_Ganadera[Mes Financiero])*(N$2=Producción_Ganadera[Año Financiero])*(Producción_Ganadera[Financiero U$S Dólares]))</f>
        <v>0</v>
      </c>
      <c r="O121" s="118">
        <f>SUMPRODUCT(($C$115=Producción_Ganadera[Movimiento])*($G121=Producción_Ganadera[Categoría Hacienda])*(O$1=Producción_Ganadera[Mes Financiero])*(O$2=Producción_Ganadera[Año Financiero])*(Producción_Ganadera[Financiero U$S Dólares]))</f>
        <v>0</v>
      </c>
      <c r="P121" s="117">
        <f>SUMPRODUCT(($C$115=Producción_Ganadera[Movimiento])*($G121=Producción_Ganadera[Categoría Hacienda])*(P$1=Producción_Ganadera[Mes Financiero])*(P$2=Producción_Ganadera[Año Financiero])*(Producción_Ganadera[Financiero U$S Dólares]))</f>
        <v>0</v>
      </c>
      <c r="Q121" s="118">
        <f>SUMPRODUCT(($C$115=Producción_Ganadera[Movimiento])*($G121=Producción_Ganadera[Categoría Hacienda])*(Q$1=Producción_Ganadera[Mes Financiero])*(Q$2=Producción_Ganadera[Año Financiero])*(Producción_Ganadera[Financiero U$S Dólares]))</f>
        <v>0</v>
      </c>
      <c r="R121" s="117">
        <f>SUMPRODUCT(($C$115=Producción_Ganadera[Movimiento])*($G121=Producción_Ganadera[Categoría Hacienda])*(R$1=Producción_Ganadera[Mes Financiero])*(R$2=Producción_Ganadera[Año Financiero])*(Producción_Ganadera[Financiero U$S Dólares]))</f>
        <v>0</v>
      </c>
      <c r="S121" s="118">
        <f>SUMPRODUCT(($C$115=Producción_Ganadera[Movimiento])*($G121=Producción_Ganadera[Categoría Hacienda])*(S$1=Producción_Ganadera[Mes Financiero])*(S$2=Producción_Ganadera[Año Financiero])*(Producción_Ganadera[Financiero U$S Dólares]))</f>
        <v>0</v>
      </c>
      <c r="T121" s="117">
        <f>SUMPRODUCT(($C$115=Producción_Ganadera[Movimiento])*($G121=Producción_Ganadera[Categoría Hacienda])*(T$1=Producción_Ganadera[Mes Financiero])*(T$2=Producción_Ganadera[Año Financiero])*(Producción_Ganadera[Financiero U$S Dólares]))</f>
        <v>0</v>
      </c>
      <c r="U121" s="118">
        <f>SUMPRODUCT(($C$115=Producción_Ganadera[Movimiento])*($G121=Producción_Ganadera[Categoría Hacienda])*(U$1=Producción_Ganadera[Mes Financiero])*(U$2=Producción_Ganadera[Año Financiero])*(Producción_Ganadera[Financiero U$S Dólares]))</f>
        <v>0</v>
      </c>
      <c r="V121" s="117">
        <f>SUMPRODUCT(($C$115=Producción_Ganadera[Movimiento])*($G121=Producción_Ganadera[Categoría Hacienda])*(V$1=Producción_Ganadera[Mes Financiero])*(V$2=Producción_Ganadera[Año Financiero])*(Producción_Ganadera[Financiero U$S Dólares]))</f>
        <v>0</v>
      </c>
      <c r="W121" s="118">
        <f>SUMPRODUCT(($C$115=Producción_Ganadera[Movimiento])*($G121=Producción_Ganadera[Categoría Hacienda])*(W$1=Producción_Ganadera[Mes Financiero])*(W$2=Producción_Ganadera[Año Financiero])*(Producción_Ganadera[Financiero U$S Dólares]))</f>
        <v>0</v>
      </c>
      <c r="X121" s="117">
        <f>SUMPRODUCT(($C$115=Producción_Ganadera[Movimiento])*($G121=Producción_Ganadera[Categoría Hacienda])*(X$1=Producción_Ganadera[Mes Financiero])*(X$2=Producción_Ganadera[Año Financiero])*(Producción_Ganadera[Financiero U$S Dólares]))</f>
        <v>0</v>
      </c>
      <c r="Y121" s="118">
        <f>SUMPRODUCT(($C$115=Producción_Ganadera[Movimiento])*($G121=Producción_Ganadera[Categoría Hacienda])*(Y$1=Producción_Ganadera[Mes Financiero])*(Y$2=Producción_Ganadera[Año Financiero])*(Producción_Ganadera[Financiero U$S Dólares]))</f>
        <v>0</v>
      </c>
      <c r="Z121" s="140">
        <f t="shared" si="28"/>
        <v>0</v>
      </c>
      <c r="AC121" s="174"/>
      <c r="AD121" s="174"/>
    </row>
    <row r="122" spans="2:30" hidden="1" outlineLevel="2" x14ac:dyDescent="0.25">
      <c r="F122" s="215">
        <f>IFERROR(MATCH(G122,Produccion_Ganadera[Categoría],0),0)</f>
        <v>6</v>
      </c>
      <c r="G122" s="410" t="str">
        <f>Configuración!AZ10</f>
        <v>Vaquillona 15-27</v>
      </c>
      <c r="H122" s="117">
        <f>SUMPRODUCT(($C$115=Producción_Ganadera[Movimiento])*($G122=Producción_Ganadera[Categoría Hacienda])*(H$1=Producción_Ganadera[Mes Financiero])*(H$2=Producción_Ganadera[Año Financiero])*(Producción_Ganadera[Financiero U$S Dólares]))</f>
        <v>0</v>
      </c>
      <c r="I122" s="118">
        <f>SUMPRODUCT(($C$115=Producción_Ganadera[Movimiento])*($G122=Producción_Ganadera[Categoría Hacienda])*(I$1=Producción_Ganadera[Mes Financiero])*(I$2=Producción_Ganadera[Año Financiero])*(Producción_Ganadera[Financiero U$S Dólares]))</f>
        <v>0</v>
      </c>
      <c r="J122" s="117">
        <f>SUMPRODUCT(($C$115=Producción_Ganadera[Movimiento])*($G122=Producción_Ganadera[Categoría Hacienda])*(J$1=Producción_Ganadera[Mes Financiero])*(J$2=Producción_Ganadera[Año Financiero])*(Producción_Ganadera[Financiero U$S Dólares]))</f>
        <v>0</v>
      </c>
      <c r="K122" s="118">
        <f>SUMPRODUCT(($C$115=Producción_Ganadera[Movimiento])*($G122=Producción_Ganadera[Categoría Hacienda])*(K$1=Producción_Ganadera[Mes Financiero])*(K$2=Producción_Ganadera[Año Financiero])*(Producción_Ganadera[Financiero U$S Dólares]))</f>
        <v>0</v>
      </c>
      <c r="L122" s="117">
        <f>SUMPRODUCT(($C$115=Producción_Ganadera[Movimiento])*($G122=Producción_Ganadera[Categoría Hacienda])*(L$1=Producción_Ganadera[Mes Financiero])*(L$2=Producción_Ganadera[Año Financiero])*(Producción_Ganadera[Financiero U$S Dólares]))</f>
        <v>0</v>
      </c>
      <c r="M122" s="118">
        <f>SUMPRODUCT(($C$115=Producción_Ganadera[Movimiento])*($G122=Producción_Ganadera[Categoría Hacienda])*(M$1=Producción_Ganadera[Mes Financiero])*(M$2=Producción_Ganadera[Año Financiero])*(Producción_Ganadera[Financiero U$S Dólares]))</f>
        <v>0</v>
      </c>
      <c r="N122" s="117">
        <f>SUMPRODUCT(($C$115=Producción_Ganadera[Movimiento])*($G122=Producción_Ganadera[Categoría Hacienda])*(N$1=Producción_Ganadera[Mes Financiero])*(N$2=Producción_Ganadera[Año Financiero])*(Producción_Ganadera[Financiero U$S Dólares]))</f>
        <v>0</v>
      </c>
      <c r="O122" s="118">
        <f>SUMPRODUCT(($C$115=Producción_Ganadera[Movimiento])*($G122=Producción_Ganadera[Categoría Hacienda])*(O$1=Producción_Ganadera[Mes Financiero])*(O$2=Producción_Ganadera[Año Financiero])*(Producción_Ganadera[Financiero U$S Dólares]))</f>
        <v>0</v>
      </c>
      <c r="P122" s="117">
        <f>SUMPRODUCT(($C$115=Producción_Ganadera[Movimiento])*($G122=Producción_Ganadera[Categoría Hacienda])*(P$1=Producción_Ganadera[Mes Financiero])*(P$2=Producción_Ganadera[Año Financiero])*(Producción_Ganadera[Financiero U$S Dólares]))</f>
        <v>0</v>
      </c>
      <c r="Q122" s="118">
        <f>SUMPRODUCT(($C$115=Producción_Ganadera[Movimiento])*($G122=Producción_Ganadera[Categoría Hacienda])*(Q$1=Producción_Ganadera[Mes Financiero])*(Q$2=Producción_Ganadera[Año Financiero])*(Producción_Ganadera[Financiero U$S Dólares]))</f>
        <v>0</v>
      </c>
      <c r="R122" s="117">
        <f>SUMPRODUCT(($C$115=Producción_Ganadera[Movimiento])*($G122=Producción_Ganadera[Categoría Hacienda])*(R$1=Producción_Ganadera[Mes Financiero])*(R$2=Producción_Ganadera[Año Financiero])*(Producción_Ganadera[Financiero U$S Dólares]))</f>
        <v>0</v>
      </c>
      <c r="S122" s="118">
        <f>SUMPRODUCT(($C$115=Producción_Ganadera[Movimiento])*($G122=Producción_Ganadera[Categoría Hacienda])*(S$1=Producción_Ganadera[Mes Financiero])*(S$2=Producción_Ganadera[Año Financiero])*(Producción_Ganadera[Financiero U$S Dólares]))</f>
        <v>0</v>
      </c>
      <c r="T122" s="117">
        <f>SUMPRODUCT(($C$115=Producción_Ganadera[Movimiento])*($G122=Producción_Ganadera[Categoría Hacienda])*(T$1=Producción_Ganadera[Mes Financiero])*(T$2=Producción_Ganadera[Año Financiero])*(Producción_Ganadera[Financiero U$S Dólares]))</f>
        <v>0</v>
      </c>
      <c r="U122" s="118">
        <f>SUMPRODUCT(($C$115=Producción_Ganadera[Movimiento])*($G122=Producción_Ganadera[Categoría Hacienda])*(U$1=Producción_Ganadera[Mes Financiero])*(U$2=Producción_Ganadera[Año Financiero])*(Producción_Ganadera[Financiero U$S Dólares]))</f>
        <v>0</v>
      </c>
      <c r="V122" s="117">
        <f>SUMPRODUCT(($C$115=Producción_Ganadera[Movimiento])*($G122=Producción_Ganadera[Categoría Hacienda])*(V$1=Producción_Ganadera[Mes Financiero])*(V$2=Producción_Ganadera[Año Financiero])*(Producción_Ganadera[Financiero U$S Dólares]))</f>
        <v>0</v>
      </c>
      <c r="W122" s="118">
        <f>SUMPRODUCT(($C$115=Producción_Ganadera[Movimiento])*($G122=Producción_Ganadera[Categoría Hacienda])*(W$1=Producción_Ganadera[Mes Financiero])*(W$2=Producción_Ganadera[Año Financiero])*(Producción_Ganadera[Financiero U$S Dólares]))</f>
        <v>0</v>
      </c>
      <c r="X122" s="117">
        <f>SUMPRODUCT(($C$115=Producción_Ganadera[Movimiento])*($G122=Producción_Ganadera[Categoría Hacienda])*(X$1=Producción_Ganadera[Mes Financiero])*(X$2=Producción_Ganadera[Año Financiero])*(Producción_Ganadera[Financiero U$S Dólares]))</f>
        <v>0</v>
      </c>
      <c r="Y122" s="118">
        <f>SUMPRODUCT(($C$115=Producción_Ganadera[Movimiento])*($G122=Producción_Ganadera[Categoría Hacienda])*(Y$1=Producción_Ganadera[Mes Financiero])*(Y$2=Producción_Ganadera[Año Financiero])*(Producción_Ganadera[Financiero U$S Dólares]))</f>
        <v>0</v>
      </c>
      <c r="Z122" s="140">
        <f t="shared" si="28"/>
        <v>0</v>
      </c>
      <c r="AC122" s="174"/>
      <c r="AD122" s="174"/>
    </row>
    <row r="123" spans="2:30" hidden="1" outlineLevel="2" x14ac:dyDescent="0.25">
      <c r="F123" s="215">
        <f>IFERROR(MATCH(G123,Produccion_Ganadera[Categoría],0),0)</f>
        <v>7</v>
      </c>
      <c r="G123" s="410" t="str">
        <f>Configuración!AZ11</f>
        <v>Ternera</v>
      </c>
      <c r="H123" s="117">
        <f>SUMPRODUCT(($C$115=Producción_Ganadera[Movimiento])*($G123=Producción_Ganadera[Categoría Hacienda])*(H$1=Producción_Ganadera[Mes Financiero])*(H$2=Producción_Ganadera[Año Financiero])*(Producción_Ganadera[Financiero U$S Dólares]))</f>
        <v>0</v>
      </c>
      <c r="I123" s="118">
        <f>SUMPRODUCT(($C$115=Producción_Ganadera[Movimiento])*($G123=Producción_Ganadera[Categoría Hacienda])*(I$1=Producción_Ganadera[Mes Financiero])*(I$2=Producción_Ganadera[Año Financiero])*(Producción_Ganadera[Financiero U$S Dólares]))</f>
        <v>0</v>
      </c>
      <c r="J123" s="117">
        <f>SUMPRODUCT(($C$115=Producción_Ganadera[Movimiento])*($G123=Producción_Ganadera[Categoría Hacienda])*(J$1=Producción_Ganadera[Mes Financiero])*(J$2=Producción_Ganadera[Año Financiero])*(Producción_Ganadera[Financiero U$S Dólares]))</f>
        <v>0</v>
      </c>
      <c r="K123" s="118">
        <f>SUMPRODUCT(($C$115=Producción_Ganadera[Movimiento])*($G123=Producción_Ganadera[Categoría Hacienda])*(K$1=Producción_Ganadera[Mes Financiero])*(K$2=Producción_Ganadera[Año Financiero])*(Producción_Ganadera[Financiero U$S Dólares]))</f>
        <v>0</v>
      </c>
      <c r="L123" s="117">
        <f>SUMPRODUCT(($C$115=Producción_Ganadera[Movimiento])*($G123=Producción_Ganadera[Categoría Hacienda])*(L$1=Producción_Ganadera[Mes Financiero])*(L$2=Producción_Ganadera[Año Financiero])*(Producción_Ganadera[Financiero U$S Dólares]))</f>
        <v>0</v>
      </c>
      <c r="M123" s="118">
        <f>SUMPRODUCT(($C$115=Producción_Ganadera[Movimiento])*($G123=Producción_Ganadera[Categoría Hacienda])*(M$1=Producción_Ganadera[Mes Financiero])*(M$2=Producción_Ganadera[Año Financiero])*(Producción_Ganadera[Financiero U$S Dólares]))</f>
        <v>0</v>
      </c>
      <c r="N123" s="117">
        <f>SUMPRODUCT(($C$115=Producción_Ganadera[Movimiento])*($G123=Producción_Ganadera[Categoría Hacienda])*(N$1=Producción_Ganadera[Mes Financiero])*(N$2=Producción_Ganadera[Año Financiero])*(Producción_Ganadera[Financiero U$S Dólares]))</f>
        <v>0</v>
      </c>
      <c r="O123" s="118">
        <f>SUMPRODUCT(($C$115=Producción_Ganadera[Movimiento])*($G123=Producción_Ganadera[Categoría Hacienda])*(O$1=Producción_Ganadera[Mes Financiero])*(O$2=Producción_Ganadera[Año Financiero])*(Producción_Ganadera[Financiero U$S Dólares]))</f>
        <v>0</v>
      </c>
      <c r="P123" s="117">
        <f>SUMPRODUCT(($C$115=Producción_Ganadera[Movimiento])*($G123=Producción_Ganadera[Categoría Hacienda])*(P$1=Producción_Ganadera[Mes Financiero])*(P$2=Producción_Ganadera[Año Financiero])*(Producción_Ganadera[Financiero U$S Dólares]))</f>
        <v>0</v>
      </c>
      <c r="Q123" s="118">
        <f>SUMPRODUCT(($C$115=Producción_Ganadera[Movimiento])*($G123=Producción_Ganadera[Categoría Hacienda])*(Q$1=Producción_Ganadera[Mes Financiero])*(Q$2=Producción_Ganadera[Año Financiero])*(Producción_Ganadera[Financiero U$S Dólares]))</f>
        <v>0</v>
      </c>
      <c r="R123" s="117">
        <f>SUMPRODUCT(($C$115=Producción_Ganadera[Movimiento])*($G123=Producción_Ganadera[Categoría Hacienda])*(R$1=Producción_Ganadera[Mes Financiero])*(R$2=Producción_Ganadera[Año Financiero])*(Producción_Ganadera[Financiero U$S Dólares]))</f>
        <v>0</v>
      </c>
      <c r="S123" s="118">
        <f>SUMPRODUCT(($C$115=Producción_Ganadera[Movimiento])*($G123=Producción_Ganadera[Categoría Hacienda])*(S$1=Producción_Ganadera[Mes Financiero])*(S$2=Producción_Ganadera[Año Financiero])*(Producción_Ganadera[Financiero U$S Dólares]))</f>
        <v>0</v>
      </c>
      <c r="T123" s="117">
        <f>SUMPRODUCT(($C$115=Producción_Ganadera[Movimiento])*($G123=Producción_Ganadera[Categoría Hacienda])*(T$1=Producción_Ganadera[Mes Financiero])*(T$2=Producción_Ganadera[Año Financiero])*(Producción_Ganadera[Financiero U$S Dólares]))</f>
        <v>0</v>
      </c>
      <c r="U123" s="118">
        <f>SUMPRODUCT(($C$115=Producción_Ganadera[Movimiento])*($G123=Producción_Ganadera[Categoría Hacienda])*(U$1=Producción_Ganadera[Mes Financiero])*(U$2=Producción_Ganadera[Año Financiero])*(Producción_Ganadera[Financiero U$S Dólares]))</f>
        <v>0</v>
      </c>
      <c r="V123" s="117">
        <f>SUMPRODUCT(($C$115=Producción_Ganadera[Movimiento])*($G123=Producción_Ganadera[Categoría Hacienda])*(V$1=Producción_Ganadera[Mes Financiero])*(V$2=Producción_Ganadera[Año Financiero])*(Producción_Ganadera[Financiero U$S Dólares]))</f>
        <v>0</v>
      </c>
      <c r="W123" s="118">
        <f>SUMPRODUCT(($C$115=Producción_Ganadera[Movimiento])*($G123=Producción_Ganadera[Categoría Hacienda])*(W$1=Producción_Ganadera[Mes Financiero])*(W$2=Producción_Ganadera[Año Financiero])*(Producción_Ganadera[Financiero U$S Dólares]))</f>
        <v>0</v>
      </c>
      <c r="X123" s="117">
        <f>SUMPRODUCT(($C$115=Producción_Ganadera[Movimiento])*($G123=Producción_Ganadera[Categoría Hacienda])*(X$1=Producción_Ganadera[Mes Financiero])*(X$2=Producción_Ganadera[Año Financiero])*(Producción_Ganadera[Financiero U$S Dólares]))</f>
        <v>0</v>
      </c>
      <c r="Y123" s="118">
        <f>SUMPRODUCT(($C$115=Producción_Ganadera[Movimiento])*($G123=Producción_Ganadera[Categoría Hacienda])*(Y$1=Producción_Ganadera[Mes Financiero])*(Y$2=Producción_Ganadera[Año Financiero])*(Producción_Ganadera[Financiero U$S Dólares]))</f>
        <v>0</v>
      </c>
      <c r="Z123" s="140">
        <f t="shared" si="28"/>
        <v>0</v>
      </c>
      <c r="AC123" s="174"/>
      <c r="AD123" s="174"/>
    </row>
    <row r="124" spans="2:30" hidden="1" outlineLevel="2" x14ac:dyDescent="0.25">
      <c r="F124" s="215">
        <f>IFERROR(MATCH(G124,Produccion_Ganadera[Categoría],0),0)</f>
        <v>8</v>
      </c>
      <c r="G124" s="410" t="str">
        <f>Configuración!AZ12</f>
        <v>Ternero</v>
      </c>
      <c r="H124" s="117">
        <f>SUMPRODUCT(($C$115=Producción_Ganadera[Movimiento])*($G124=Producción_Ganadera[Categoría Hacienda])*(H$1=Producción_Ganadera[Mes Financiero])*(H$2=Producción_Ganadera[Año Financiero])*(Producción_Ganadera[Financiero U$S Dólares]))</f>
        <v>0</v>
      </c>
      <c r="I124" s="118">
        <f>SUMPRODUCT(($C$115=Producción_Ganadera[Movimiento])*($G124=Producción_Ganadera[Categoría Hacienda])*(I$1=Producción_Ganadera[Mes Financiero])*(I$2=Producción_Ganadera[Año Financiero])*(Producción_Ganadera[Financiero U$S Dólares]))</f>
        <v>0</v>
      </c>
      <c r="J124" s="117">
        <f>SUMPRODUCT(($C$115=Producción_Ganadera[Movimiento])*($G124=Producción_Ganadera[Categoría Hacienda])*(J$1=Producción_Ganadera[Mes Financiero])*(J$2=Producción_Ganadera[Año Financiero])*(Producción_Ganadera[Financiero U$S Dólares]))</f>
        <v>0</v>
      </c>
      <c r="K124" s="118">
        <f>SUMPRODUCT(($C$115=Producción_Ganadera[Movimiento])*($G124=Producción_Ganadera[Categoría Hacienda])*(K$1=Producción_Ganadera[Mes Financiero])*(K$2=Producción_Ganadera[Año Financiero])*(Producción_Ganadera[Financiero U$S Dólares]))</f>
        <v>0</v>
      </c>
      <c r="L124" s="117">
        <f>SUMPRODUCT(($C$115=Producción_Ganadera[Movimiento])*($G124=Producción_Ganadera[Categoría Hacienda])*(L$1=Producción_Ganadera[Mes Financiero])*(L$2=Producción_Ganadera[Año Financiero])*(Producción_Ganadera[Financiero U$S Dólares]))</f>
        <v>0</v>
      </c>
      <c r="M124" s="118">
        <f>SUMPRODUCT(($C$115=Producción_Ganadera[Movimiento])*($G124=Producción_Ganadera[Categoría Hacienda])*(M$1=Producción_Ganadera[Mes Financiero])*(M$2=Producción_Ganadera[Año Financiero])*(Producción_Ganadera[Financiero U$S Dólares]))</f>
        <v>0</v>
      </c>
      <c r="N124" s="117">
        <f>SUMPRODUCT(($C$115=Producción_Ganadera[Movimiento])*($G124=Producción_Ganadera[Categoría Hacienda])*(N$1=Producción_Ganadera[Mes Financiero])*(N$2=Producción_Ganadera[Año Financiero])*(Producción_Ganadera[Financiero U$S Dólares]))</f>
        <v>0</v>
      </c>
      <c r="O124" s="118">
        <f>SUMPRODUCT(($C$115=Producción_Ganadera[Movimiento])*($G124=Producción_Ganadera[Categoría Hacienda])*(O$1=Producción_Ganadera[Mes Financiero])*(O$2=Producción_Ganadera[Año Financiero])*(Producción_Ganadera[Financiero U$S Dólares]))</f>
        <v>0</v>
      </c>
      <c r="P124" s="117">
        <f>SUMPRODUCT(($C$115=Producción_Ganadera[Movimiento])*($G124=Producción_Ganadera[Categoría Hacienda])*(P$1=Producción_Ganadera[Mes Financiero])*(P$2=Producción_Ganadera[Año Financiero])*(Producción_Ganadera[Financiero U$S Dólares]))</f>
        <v>0</v>
      </c>
      <c r="Q124" s="118">
        <f>SUMPRODUCT(($C$115=Producción_Ganadera[Movimiento])*($G124=Producción_Ganadera[Categoría Hacienda])*(Q$1=Producción_Ganadera[Mes Financiero])*(Q$2=Producción_Ganadera[Año Financiero])*(Producción_Ganadera[Financiero U$S Dólares]))</f>
        <v>0</v>
      </c>
      <c r="R124" s="117">
        <f>SUMPRODUCT(($C$115=Producción_Ganadera[Movimiento])*($G124=Producción_Ganadera[Categoría Hacienda])*(R$1=Producción_Ganadera[Mes Financiero])*(R$2=Producción_Ganadera[Año Financiero])*(Producción_Ganadera[Financiero U$S Dólares]))</f>
        <v>0</v>
      </c>
      <c r="S124" s="118">
        <f>SUMPRODUCT(($C$115=Producción_Ganadera[Movimiento])*($G124=Producción_Ganadera[Categoría Hacienda])*(S$1=Producción_Ganadera[Mes Financiero])*(S$2=Producción_Ganadera[Año Financiero])*(Producción_Ganadera[Financiero U$S Dólares]))</f>
        <v>0</v>
      </c>
      <c r="T124" s="117">
        <f>SUMPRODUCT(($C$115=Producción_Ganadera[Movimiento])*($G124=Producción_Ganadera[Categoría Hacienda])*(T$1=Producción_Ganadera[Mes Financiero])*(T$2=Producción_Ganadera[Año Financiero])*(Producción_Ganadera[Financiero U$S Dólares]))</f>
        <v>0</v>
      </c>
      <c r="U124" s="118">
        <f>SUMPRODUCT(($C$115=Producción_Ganadera[Movimiento])*($G124=Producción_Ganadera[Categoría Hacienda])*(U$1=Producción_Ganadera[Mes Financiero])*(U$2=Producción_Ganadera[Año Financiero])*(Producción_Ganadera[Financiero U$S Dólares]))</f>
        <v>0</v>
      </c>
      <c r="V124" s="117">
        <f>SUMPRODUCT(($C$115=Producción_Ganadera[Movimiento])*($G124=Producción_Ganadera[Categoría Hacienda])*(V$1=Producción_Ganadera[Mes Financiero])*(V$2=Producción_Ganadera[Año Financiero])*(Producción_Ganadera[Financiero U$S Dólares]))</f>
        <v>0</v>
      </c>
      <c r="W124" s="118">
        <f>SUMPRODUCT(($C$115=Producción_Ganadera[Movimiento])*($G124=Producción_Ganadera[Categoría Hacienda])*(W$1=Producción_Ganadera[Mes Financiero])*(W$2=Producción_Ganadera[Año Financiero])*(Producción_Ganadera[Financiero U$S Dólares]))</f>
        <v>0</v>
      </c>
      <c r="X124" s="117">
        <f>SUMPRODUCT(($C$115=Producción_Ganadera[Movimiento])*($G124=Producción_Ganadera[Categoría Hacienda])*(X$1=Producción_Ganadera[Mes Financiero])*(X$2=Producción_Ganadera[Año Financiero])*(Producción_Ganadera[Financiero U$S Dólares]))</f>
        <v>0</v>
      </c>
      <c r="Y124" s="118">
        <f>SUMPRODUCT(($C$115=Producción_Ganadera[Movimiento])*($G124=Producción_Ganadera[Categoría Hacienda])*(Y$1=Producción_Ganadera[Mes Financiero])*(Y$2=Producción_Ganadera[Año Financiero])*(Producción_Ganadera[Financiero U$S Dólares]))</f>
        <v>0</v>
      </c>
      <c r="Z124" s="140">
        <f t="shared" si="28"/>
        <v>0</v>
      </c>
      <c r="AC124" s="174"/>
      <c r="AD124" s="174"/>
    </row>
    <row r="125" spans="2:30" hidden="1" outlineLevel="2" x14ac:dyDescent="0.25">
      <c r="F125" s="215">
        <f>IFERROR(MATCH(G125,Produccion_Ganadera[Categoría],0),0)</f>
        <v>9</v>
      </c>
      <c r="G125" s="410" t="str">
        <f>Configuración!AZ13</f>
        <v>Toro</v>
      </c>
      <c r="H125" s="117">
        <f>SUMPRODUCT(($C$115=Producción_Ganadera[Movimiento])*($G125=Producción_Ganadera[Categoría Hacienda])*(H$1=Producción_Ganadera[Mes Financiero])*(H$2=Producción_Ganadera[Año Financiero])*(Producción_Ganadera[Financiero U$S Dólares]))</f>
        <v>0</v>
      </c>
      <c r="I125" s="118">
        <f>SUMPRODUCT(($C$115=Producción_Ganadera[Movimiento])*($G125=Producción_Ganadera[Categoría Hacienda])*(I$1=Producción_Ganadera[Mes Financiero])*(I$2=Producción_Ganadera[Año Financiero])*(Producción_Ganadera[Financiero U$S Dólares]))</f>
        <v>0</v>
      </c>
      <c r="J125" s="117">
        <f>SUMPRODUCT(($C$115=Producción_Ganadera[Movimiento])*($G125=Producción_Ganadera[Categoría Hacienda])*(J$1=Producción_Ganadera[Mes Financiero])*(J$2=Producción_Ganadera[Año Financiero])*(Producción_Ganadera[Financiero U$S Dólares]))</f>
        <v>0</v>
      </c>
      <c r="K125" s="118">
        <f>SUMPRODUCT(($C$115=Producción_Ganadera[Movimiento])*($G125=Producción_Ganadera[Categoría Hacienda])*(K$1=Producción_Ganadera[Mes Financiero])*(K$2=Producción_Ganadera[Año Financiero])*(Producción_Ganadera[Financiero U$S Dólares]))</f>
        <v>0</v>
      </c>
      <c r="L125" s="117">
        <f>SUMPRODUCT(($C$115=Producción_Ganadera[Movimiento])*($G125=Producción_Ganadera[Categoría Hacienda])*(L$1=Producción_Ganadera[Mes Financiero])*(L$2=Producción_Ganadera[Año Financiero])*(Producción_Ganadera[Financiero U$S Dólares]))</f>
        <v>0</v>
      </c>
      <c r="M125" s="118">
        <f>SUMPRODUCT(($C$115=Producción_Ganadera[Movimiento])*($G125=Producción_Ganadera[Categoría Hacienda])*(M$1=Producción_Ganadera[Mes Financiero])*(M$2=Producción_Ganadera[Año Financiero])*(Producción_Ganadera[Financiero U$S Dólares]))</f>
        <v>0</v>
      </c>
      <c r="N125" s="117">
        <f>SUMPRODUCT(($C$115=Producción_Ganadera[Movimiento])*($G125=Producción_Ganadera[Categoría Hacienda])*(N$1=Producción_Ganadera[Mes Financiero])*(N$2=Producción_Ganadera[Año Financiero])*(Producción_Ganadera[Financiero U$S Dólares]))</f>
        <v>0</v>
      </c>
      <c r="O125" s="118">
        <f>SUMPRODUCT(($C$115=Producción_Ganadera[Movimiento])*($G125=Producción_Ganadera[Categoría Hacienda])*(O$1=Producción_Ganadera[Mes Financiero])*(O$2=Producción_Ganadera[Año Financiero])*(Producción_Ganadera[Financiero U$S Dólares]))</f>
        <v>0</v>
      </c>
      <c r="P125" s="117">
        <f>SUMPRODUCT(($C$115=Producción_Ganadera[Movimiento])*($G125=Producción_Ganadera[Categoría Hacienda])*(P$1=Producción_Ganadera[Mes Financiero])*(P$2=Producción_Ganadera[Año Financiero])*(Producción_Ganadera[Financiero U$S Dólares]))</f>
        <v>0</v>
      </c>
      <c r="Q125" s="118">
        <f>SUMPRODUCT(($C$115=Producción_Ganadera[Movimiento])*($G125=Producción_Ganadera[Categoría Hacienda])*(Q$1=Producción_Ganadera[Mes Financiero])*(Q$2=Producción_Ganadera[Año Financiero])*(Producción_Ganadera[Financiero U$S Dólares]))</f>
        <v>0</v>
      </c>
      <c r="R125" s="117">
        <f>SUMPRODUCT(($C$115=Producción_Ganadera[Movimiento])*($G125=Producción_Ganadera[Categoría Hacienda])*(R$1=Producción_Ganadera[Mes Financiero])*(R$2=Producción_Ganadera[Año Financiero])*(Producción_Ganadera[Financiero U$S Dólares]))</f>
        <v>0</v>
      </c>
      <c r="S125" s="118">
        <f>SUMPRODUCT(($C$115=Producción_Ganadera[Movimiento])*($G125=Producción_Ganadera[Categoría Hacienda])*(S$1=Producción_Ganadera[Mes Financiero])*(S$2=Producción_Ganadera[Año Financiero])*(Producción_Ganadera[Financiero U$S Dólares]))</f>
        <v>0</v>
      </c>
      <c r="T125" s="117">
        <f>SUMPRODUCT(($C$115=Producción_Ganadera[Movimiento])*($G125=Producción_Ganadera[Categoría Hacienda])*(T$1=Producción_Ganadera[Mes Financiero])*(T$2=Producción_Ganadera[Año Financiero])*(Producción_Ganadera[Financiero U$S Dólares]))</f>
        <v>0</v>
      </c>
      <c r="U125" s="118">
        <f>SUMPRODUCT(($C$115=Producción_Ganadera[Movimiento])*($G125=Producción_Ganadera[Categoría Hacienda])*(U$1=Producción_Ganadera[Mes Financiero])*(U$2=Producción_Ganadera[Año Financiero])*(Producción_Ganadera[Financiero U$S Dólares]))</f>
        <v>0</v>
      </c>
      <c r="V125" s="117">
        <f>SUMPRODUCT(($C$115=Producción_Ganadera[Movimiento])*($G125=Producción_Ganadera[Categoría Hacienda])*(V$1=Producción_Ganadera[Mes Financiero])*(V$2=Producción_Ganadera[Año Financiero])*(Producción_Ganadera[Financiero U$S Dólares]))</f>
        <v>0</v>
      </c>
      <c r="W125" s="118">
        <f>SUMPRODUCT(($C$115=Producción_Ganadera[Movimiento])*($G125=Producción_Ganadera[Categoría Hacienda])*(W$1=Producción_Ganadera[Mes Financiero])*(W$2=Producción_Ganadera[Año Financiero])*(Producción_Ganadera[Financiero U$S Dólares]))</f>
        <v>0</v>
      </c>
      <c r="X125" s="117">
        <f>SUMPRODUCT(($C$115=Producción_Ganadera[Movimiento])*($G125=Producción_Ganadera[Categoría Hacienda])*(X$1=Producción_Ganadera[Mes Financiero])*(X$2=Producción_Ganadera[Año Financiero])*(Producción_Ganadera[Financiero U$S Dólares]))</f>
        <v>0</v>
      </c>
      <c r="Y125" s="118">
        <f>SUMPRODUCT(($C$115=Producción_Ganadera[Movimiento])*($G125=Producción_Ganadera[Categoría Hacienda])*(Y$1=Producción_Ganadera[Mes Financiero])*(Y$2=Producción_Ganadera[Año Financiero])*(Producción_Ganadera[Financiero U$S Dólares]))</f>
        <v>0</v>
      </c>
      <c r="Z125" s="140">
        <f t="shared" si="28"/>
        <v>0</v>
      </c>
      <c r="AC125" s="174"/>
      <c r="AD125" s="174"/>
    </row>
    <row r="126" spans="2:30" hidden="1" outlineLevel="2" x14ac:dyDescent="0.25">
      <c r="F126" s="215">
        <f>IFERROR(MATCH(G126,Produccion_Ganadera[Categoría],0),0)</f>
        <v>10</v>
      </c>
      <c r="G126" s="410" t="str">
        <f>Configuración!AZ14</f>
        <v>Toro Descarte</v>
      </c>
      <c r="H126" s="117">
        <f>SUMPRODUCT(($C$115=Producción_Ganadera[Movimiento])*($G126=Producción_Ganadera[Categoría Hacienda])*(H$1=Producción_Ganadera[Mes Financiero])*(H$2=Producción_Ganadera[Año Financiero])*(Producción_Ganadera[Financiero U$S Dólares]))</f>
        <v>0</v>
      </c>
      <c r="I126" s="118">
        <f>SUMPRODUCT(($C$115=Producción_Ganadera[Movimiento])*($G126=Producción_Ganadera[Categoría Hacienda])*(I$1=Producción_Ganadera[Mes Financiero])*(I$2=Producción_Ganadera[Año Financiero])*(Producción_Ganadera[Financiero U$S Dólares]))</f>
        <v>0</v>
      </c>
      <c r="J126" s="117">
        <f>SUMPRODUCT(($C$115=Producción_Ganadera[Movimiento])*($G126=Producción_Ganadera[Categoría Hacienda])*(J$1=Producción_Ganadera[Mes Financiero])*(J$2=Producción_Ganadera[Año Financiero])*(Producción_Ganadera[Financiero U$S Dólares]))</f>
        <v>0</v>
      </c>
      <c r="K126" s="118">
        <f>SUMPRODUCT(($C$115=Producción_Ganadera[Movimiento])*($G126=Producción_Ganadera[Categoría Hacienda])*(K$1=Producción_Ganadera[Mes Financiero])*(K$2=Producción_Ganadera[Año Financiero])*(Producción_Ganadera[Financiero U$S Dólares]))</f>
        <v>0</v>
      </c>
      <c r="L126" s="117">
        <f>SUMPRODUCT(($C$115=Producción_Ganadera[Movimiento])*($G126=Producción_Ganadera[Categoría Hacienda])*(L$1=Producción_Ganadera[Mes Financiero])*(L$2=Producción_Ganadera[Año Financiero])*(Producción_Ganadera[Financiero U$S Dólares]))</f>
        <v>0</v>
      </c>
      <c r="M126" s="118">
        <f>SUMPRODUCT(($C$115=Producción_Ganadera[Movimiento])*($G126=Producción_Ganadera[Categoría Hacienda])*(M$1=Producción_Ganadera[Mes Financiero])*(M$2=Producción_Ganadera[Año Financiero])*(Producción_Ganadera[Financiero U$S Dólares]))</f>
        <v>0</v>
      </c>
      <c r="N126" s="117">
        <f>SUMPRODUCT(($C$115=Producción_Ganadera[Movimiento])*($G126=Producción_Ganadera[Categoría Hacienda])*(N$1=Producción_Ganadera[Mes Financiero])*(N$2=Producción_Ganadera[Año Financiero])*(Producción_Ganadera[Financiero U$S Dólares]))</f>
        <v>0</v>
      </c>
      <c r="O126" s="118">
        <f>SUMPRODUCT(($C$115=Producción_Ganadera[Movimiento])*($G126=Producción_Ganadera[Categoría Hacienda])*(O$1=Producción_Ganadera[Mes Financiero])*(O$2=Producción_Ganadera[Año Financiero])*(Producción_Ganadera[Financiero U$S Dólares]))</f>
        <v>0</v>
      </c>
      <c r="P126" s="117">
        <f>SUMPRODUCT(($C$115=Producción_Ganadera[Movimiento])*($G126=Producción_Ganadera[Categoría Hacienda])*(P$1=Producción_Ganadera[Mes Financiero])*(P$2=Producción_Ganadera[Año Financiero])*(Producción_Ganadera[Financiero U$S Dólares]))</f>
        <v>0</v>
      </c>
      <c r="Q126" s="118">
        <f>SUMPRODUCT(($C$115=Producción_Ganadera[Movimiento])*($G126=Producción_Ganadera[Categoría Hacienda])*(Q$1=Producción_Ganadera[Mes Financiero])*(Q$2=Producción_Ganadera[Año Financiero])*(Producción_Ganadera[Financiero U$S Dólares]))</f>
        <v>0</v>
      </c>
      <c r="R126" s="117">
        <f>SUMPRODUCT(($C$115=Producción_Ganadera[Movimiento])*($G126=Producción_Ganadera[Categoría Hacienda])*(R$1=Producción_Ganadera[Mes Financiero])*(R$2=Producción_Ganadera[Año Financiero])*(Producción_Ganadera[Financiero U$S Dólares]))</f>
        <v>0</v>
      </c>
      <c r="S126" s="118">
        <f>SUMPRODUCT(($C$115=Producción_Ganadera[Movimiento])*($G126=Producción_Ganadera[Categoría Hacienda])*(S$1=Producción_Ganadera[Mes Financiero])*(S$2=Producción_Ganadera[Año Financiero])*(Producción_Ganadera[Financiero U$S Dólares]))</f>
        <v>0</v>
      </c>
      <c r="T126" s="117">
        <f>SUMPRODUCT(($C$115=Producción_Ganadera[Movimiento])*($G126=Producción_Ganadera[Categoría Hacienda])*(T$1=Producción_Ganadera[Mes Financiero])*(T$2=Producción_Ganadera[Año Financiero])*(Producción_Ganadera[Financiero U$S Dólares]))</f>
        <v>0</v>
      </c>
      <c r="U126" s="118">
        <f>SUMPRODUCT(($C$115=Producción_Ganadera[Movimiento])*($G126=Producción_Ganadera[Categoría Hacienda])*(U$1=Producción_Ganadera[Mes Financiero])*(U$2=Producción_Ganadera[Año Financiero])*(Producción_Ganadera[Financiero U$S Dólares]))</f>
        <v>0</v>
      </c>
      <c r="V126" s="117">
        <f>SUMPRODUCT(($C$115=Producción_Ganadera[Movimiento])*($G126=Producción_Ganadera[Categoría Hacienda])*(V$1=Producción_Ganadera[Mes Financiero])*(V$2=Producción_Ganadera[Año Financiero])*(Producción_Ganadera[Financiero U$S Dólares]))</f>
        <v>0</v>
      </c>
      <c r="W126" s="118">
        <f>SUMPRODUCT(($C$115=Producción_Ganadera[Movimiento])*($G126=Producción_Ganadera[Categoría Hacienda])*(W$1=Producción_Ganadera[Mes Financiero])*(W$2=Producción_Ganadera[Año Financiero])*(Producción_Ganadera[Financiero U$S Dólares]))</f>
        <v>0</v>
      </c>
      <c r="X126" s="117">
        <f>SUMPRODUCT(($C$115=Producción_Ganadera[Movimiento])*($G126=Producción_Ganadera[Categoría Hacienda])*(X$1=Producción_Ganadera[Mes Financiero])*(X$2=Producción_Ganadera[Año Financiero])*(Producción_Ganadera[Financiero U$S Dólares]))</f>
        <v>0</v>
      </c>
      <c r="Y126" s="118">
        <f>SUMPRODUCT(($C$115=Producción_Ganadera[Movimiento])*($G126=Producción_Ganadera[Categoría Hacienda])*(Y$1=Producción_Ganadera[Mes Financiero])*(Y$2=Producción_Ganadera[Año Financiero])*(Producción_Ganadera[Financiero U$S Dólares]))</f>
        <v>0</v>
      </c>
      <c r="Z126" s="140">
        <f t="shared" si="28"/>
        <v>0</v>
      </c>
      <c r="AC126" s="174"/>
      <c r="AD126" s="174"/>
    </row>
    <row r="127" spans="2:30" hidden="1" outlineLevel="2" x14ac:dyDescent="0.25">
      <c r="F127" s="215">
        <f>IFERROR(MATCH(G127,Produccion_Ganadera[Categoría],0),0)</f>
        <v>11</v>
      </c>
      <c r="G127" s="410" t="str">
        <f>Configuración!AZ15</f>
        <v>Novillo 06-15</v>
      </c>
      <c r="H127" s="117">
        <f>SUMPRODUCT(($C$115=Producción_Ganadera[Movimiento])*($G127=Producción_Ganadera[Categoría Hacienda])*(H$1=Producción_Ganadera[Mes Financiero])*(H$2=Producción_Ganadera[Año Financiero])*(Producción_Ganadera[Financiero U$S Dólares]))</f>
        <v>0</v>
      </c>
      <c r="I127" s="118">
        <f>SUMPRODUCT(($C$115=Producción_Ganadera[Movimiento])*($G127=Producción_Ganadera[Categoría Hacienda])*(I$1=Producción_Ganadera[Mes Financiero])*(I$2=Producción_Ganadera[Año Financiero])*(Producción_Ganadera[Financiero U$S Dólares]))</f>
        <v>0</v>
      </c>
      <c r="J127" s="117">
        <f>SUMPRODUCT(($C$115=Producción_Ganadera[Movimiento])*($G127=Producción_Ganadera[Categoría Hacienda])*(J$1=Producción_Ganadera[Mes Financiero])*(J$2=Producción_Ganadera[Año Financiero])*(Producción_Ganadera[Financiero U$S Dólares]))</f>
        <v>0</v>
      </c>
      <c r="K127" s="118">
        <f>SUMPRODUCT(($C$115=Producción_Ganadera[Movimiento])*($G127=Producción_Ganadera[Categoría Hacienda])*(K$1=Producción_Ganadera[Mes Financiero])*(K$2=Producción_Ganadera[Año Financiero])*(Producción_Ganadera[Financiero U$S Dólares]))</f>
        <v>0</v>
      </c>
      <c r="L127" s="117">
        <f>SUMPRODUCT(($C$115=Producción_Ganadera[Movimiento])*($G127=Producción_Ganadera[Categoría Hacienda])*(L$1=Producción_Ganadera[Mes Financiero])*(L$2=Producción_Ganadera[Año Financiero])*(Producción_Ganadera[Financiero U$S Dólares]))</f>
        <v>0</v>
      </c>
      <c r="M127" s="118">
        <f>SUMPRODUCT(($C$115=Producción_Ganadera[Movimiento])*($G127=Producción_Ganadera[Categoría Hacienda])*(M$1=Producción_Ganadera[Mes Financiero])*(M$2=Producción_Ganadera[Año Financiero])*(Producción_Ganadera[Financiero U$S Dólares]))</f>
        <v>0</v>
      </c>
      <c r="N127" s="117">
        <f>SUMPRODUCT(($C$115=Producción_Ganadera[Movimiento])*($G127=Producción_Ganadera[Categoría Hacienda])*(N$1=Producción_Ganadera[Mes Financiero])*(N$2=Producción_Ganadera[Año Financiero])*(Producción_Ganadera[Financiero U$S Dólares]))</f>
        <v>0</v>
      </c>
      <c r="O127" s="118">
        <f>SUMPRODUCT(($C$115=Producción_Ganadera[Movimiento])*($G127=Producción_Ganadera[Categoría Hacienda])*(O$1=Producción_Ganadera[Mes Financiero])*(O$2=Producción_Ganadera[Año Financiero])*(Producción_Ganadera[Financiero U$S Dólares]))</f>
        <v>0</v>
      </c>
      <c r="P127" s="117">
        <f>SUMPRODUCT(($C$115=Producción_Ganadera[Movimiento])*($G127=Producción_Ganadera[Categoría Hacienda])*(P$1=Producción_Ganadera[Mes Financiero])*(P$2=Producción_Ganadera[Año Financiero])*(Producción_Ganadera[Financiero U$S Dólares]))</f>
        <v>0</v>
      </c>
      <c r="Q127" s="118">
        <f>SUMPRODUCT(($C$115=Producción_Ganadera[Movimiento])*($G127=Producción_Ganadera[Categoría Hacienda])*(Q$1=Producción_Ganadera[Mes Financiero])*(Q$2=Producción_Ganadera[Año Financiero])*(Producción_Ganadera[Financiero U$S Dólares]))</f>
        <v>0</v>
      </c>
      <c r="R127" s="117">
        <f>SUMPRODUCT(($C$115=Producción_Ganadera[Movimiento])*($G127=Producción_Ganadera[Categoría Hacienda])*(R$1=Producción_Ganadera[Mes Financiero])*(R$2=Producción_Ganadera[Año Financiero])*(Producción_Ganadera[Financiero U$S Dólares]))</f>
        <v>0</v>
      </c>
      <c r="S127" s="118">
        <f>SUMPRODUCT(($C$115=Producción_Ganadera[Movimiento])*($G127=Producción_Ganadera[Categoría Hacienda])*(S$1=Producción_Ganadera[Mes Financiero])*(S$2=Producción_Ganadera[Año Financiero])*(Producción_Ganadera[Financiero U$S Dólares]))</f>
        <v>0</v>
      </c>
      <c r="T127" s="117">
        <f>SUMPRODUCT(($C$115=Producción_Ganadera[Movimiento])*($G127=Producción_Ganadera[Categoría Hacienda])*(T$1=Producción_Ganadera[Mes Financiero])*(T$2=Producción_Ganadera[Año Financiero])*(Producción_Ganadera[Financiero U$S Dólares]))</f>
        <v>0</v>
      </c>
      <c r="U127" s="118">
        <f>SUMPRODUCT(($C$115=Producción_Ganadera[Movimiento])*($G127=Producción_Ganadera[Categoría Hacienda])*(U$1=Producción_Ganadera[Mes Financiero])*(U$2=Producción_Ganadera[Año Financiero])*(Producción_Ganadera[Financiero U$S Dólares]))</f>
        <v>0</v>
      </c>
      <c r="V127" s="117">
        <f>SUMPRODUCT(($C$115=Producción_Ganadera[Movimiento])*($G127=Producción_Ganadera[Categoría Hacienda])*(V$1=Producción_Ganadera[Mes Financiero])*(V$2=Producción_Ganadera[Año Financiero])*(Producción_Ganadera[Financiero U$S Dólares]))</f>
        <v>0</v>
      </c>
      <c r="W127" s="118">
        <f>SUMPRODUCT(($C$115=Producción_Ganadera[Movimiento])*($G127=Producción_Ganadera[Categoría Hacienda])*(W$1=Producción_Ganadera[Mes Financiero])*(W$2=Producción_Ganadera[Año Financiero])*(Producción_Ganadera[Financiero U$S Dólares]))</f>
        <v>0</v>
      </c>
      <c r="X127" s="117">
        <f>SUMPRODUCT(($C$115=Producción_Ganadera[Movimiento])*($G127=Producción_Ganadera[Categoría Hacienda])*(X$1=Producción_Ganadera[Mes Financiero])*(X$2=Producción_Ganadera[Año Financiero])*(Producción_Ganadera[Financiero U$S Dólares]))</f>
        <v>0</v>
      </c>
      <c r="Y127" s="118">
        <f>SUMPRODUCT(($C$115=Producción_Ganadera[Movimiento])*($G127=Producción_Ganadera[Categoría Hacienda])*(Y$1=Producción_Ganadera[Mes Financiero])*(Y$2=Producción_Ganadera[Año Financiero])*(Producción_Ganadera[Financiero U$S Dólares]))</f>
        <v>0</v>
      </c>
      <c r="Z127" s="140">
        <f t="shared" si="28"/>
        <v>0</v>
      </c>
      <c r="AC127" s="174"/>
      <c r="AD127" s="174"/>
    </row>
    <row r="128" spans="2:30" hidden="1" outlineLevel="2" x14ac:dyDescent="0.25">
      <c r="B128" s="166" t="s">
        <v>101</v>
      </c>
      <c r="F128" s="216">
        <f>IFERROR(MATCH(G128,Produccion_Ganadera[Categoría],0),0)</f>
        <v>12</v>
      </c>
      <c r="G128" s="411" t="str">
        <f>Configuración!AZ16</f>
        <v>Novillo 15-27</v>
      </c>
      <c r="H128" s="128">
        <f>SUMPRODUCT(($C$115=Producción_Ganadera[Movimiento])*($G128=Producción_Ganadera[Categoría Hacienda])*(H$1=Producción_Ganadera[Mes Financiero])*(H$2=Producción_Ganadera[Año Financiero])*(Producción_Ganadera[Financiero U$S Dólares]))</f>
        <v>0</v>
      </c>
      <c r="I128" s="129">
        <f>SUMPRODUCT(($C$115=Producción_Ganadera[Movimiento])*($G128=Producción_Ganadera[Categoría Hacienda])*(I$1=Producción_Ganadera[Mes Financiero])*(I$2=Producción_Ganadera[Año Financiero])*(Producción_Ganadera[Financiero U$S Dólares]))</f>
        <v>0</v>
      </c>
      <c r="J128" s="128">
        <f>SUMPRODUCT(($C$115=Producción_Ganadera[Movimiento])*($G128=Producción_Ganadera[Categoría Hacienda])*(J$1=Producción_Ganadera[Mes Financiero])*(J$2=Producción_Ganadera[Año Financiero])*(Producción_Ganadera[Financiero U$S Dólares]))</f>
        <v>0</v>
      </c>
      <c r="K128" s="129">
        <f>SUMPRODUCT(($C$115=Producción_Ganadera[Movimiento])*($G128=Producción_Ganadera[Categoría Hacienda])*(K$1=Producción_Ganadera[Mes Financiero])*(K$2=Producción_Ganadera[Año Financiero])*(Producción_Ganadera[Financiero U$S Dólares]))</f>
        <v>0</v>
      </c>
      <c r="L128" s="128">
        <f>SUMPRODUCT(($C$115=Producción_Ganadera[Movimiento])*($G128=Producción_Ganadera[Categoría Hacienda])*(L$1=Producción_Ganadera[Mes Financiero])*(L$2=Producción_Ganadera[Año Financiero])*(Producción_Ganadera[Financiero U$S Dólares]))</f>
        <v>0</v>
      </c>
      <c r="M128" s="129">
        <f>SUMPRODUCT(($C$115=Producción_Ganadera[Movimiento])*($G128=Producción_Ganadera[Categoría Hacienda])*(M$1=Producción_Ganadera[Mes Financiero])*(M$2=Producción_Ganadera[Año Financiero])*(Producción_Ganadera[Financiero U$S Dólares]))</f>
        <v>0</v>
      </c>
      <c r="N128" s="128">
        <f>SUMPRODUCT(($C$115=Producción_Ganadera[Movimiento])*($G128=Producción_Ganadera[Categoría Hacienda])*(N$1=Producción_Ganadera[Mes Financiero])*(N$2=Producción_Ganadera[Año Financiero])*(Producción_Ganadera[Financiero U$S Dólares]))</f>
        <v>0</v>
      </c>
      <c r="O128" s="129">
        <f>SUMPRODUCT(($C$115=Producción_Ganadera[Movimiento])*($G128=Producción_Ganadera[Categoría Hacienda])*(O$1=Producción_Ganadera[Mes Financiero])*(O$2=Producción_Ganadera[Año Financiero])*(Producción_Ganadera[Financiero U$S Dólares]))</f>
        <v>0</v>
      </c>
      <c r="P128" s="128">
        <f>SUMPRODUCT(($C$115=Producción_Ganadera[Movimiento])*($G128=Producción_Ganadera[Categoría Hacienda])*(P$1=Producción_Ganadera[Mes Financiero])*(P$2=Producción_Ganadera[Año Financiero])*(Producción_Ganadera[Financiero U$S Dólares]))</f>
        <v>0</v>
      </c>
      <c r="Q128" s="129">
        <f>SUMPRODUCT(($C$115=Producción_Ganadera[Movimiento])*($G128=Producción_Ganadera[Categoría Hacienda])*(Q$1=Producción_Ganadera[Mes Financiero])*(Q$2=Producción_Ganadera[Año Financiero])*(Producción_Ganadera[Financiero U$S Dólares]))</f>
        <v>0</v>
      </c>
      <c r="R128" s="128">
        <f>SUMPRODUCT(($C$115=Producción_Ganadera[Movimiento])*($G128=Producción_Ganadera[Categoría Hacienda])*(R$1=Producción_Ganadera[Mes Financiero])*(R$2=Producción_Ganadera[Año Financiero])*(Producción_Ganadera[Financiero U$S Dólares]))</f>
        <v>0</v>
      </c>
      <c r="S128" s="129">
        <f>SUMPRODUCT(($C$115=Producción_Ganadera[Movimiento])*($G128=Producción_Ganadera[Categoría Hacienda])*(S$1=Producción_Ganadera[Mes Financiero])*(S$2=Producción_Ganadera[Año Financiero])*(Producción_Ganadera[Financiero U$S Dólares]))</f>
        <v>0</v>
      </c>
      <c r="T128" s="128">
        <f>SUMPRODUCT(($C$115=Producción_Ganadera[Movimiento])*($G128=Producción_Ganadera[Categoría Hacienda])*(T$1=Producción_Ganadera[Mes Financiero])*(T$2=Producción_Ganadera[Año Financiero])*(Producción_Ganadera[Financiero U$S Dólares]))</f>
        <v>0</v>
      </c>
      <c r="U128" s="129">
        <f>SUMPRODUCT(($C$115=Producción_Ganadera[Movimiento])*($G128=Producción_Ganadera[Categoría Hacienda])*(U$1=Producción_Ganadera[Mes Financiero])*(U$2=Producción_Ganadera[Año Financiero])*(Producción_Ganadera[Financiero U$S Dólares]))</f>
        <v>0</v>
      </c>
      <c r="V128" s="128">
        <f>SUMPRODUCT(($C$115=Producción_Ganadera[Movimiento])*($G128=Producción_Ganadera[Categoría Hacienda])*(V$1=Producción_Ganadera[Mes Financiero])*(V$2=Producción_Ganadera[Año Financiero])*(Producción_Ganadera[Financiero U$S Dólares]))</f>
        <v>0</v>
      </c>
      <c r="W128" s="129">
        <f>SUMPRODUCT(($C$115=Producción_Ganadera[Movimiento])*($G128=Producción_Ganadera[Categoría Hacienda])*(W$1=Producción_Ganadera[Mes Financiero])*(W$2=Producción_Ganadera[Año Financiero])*(Producción_Ganadera[Financiero U$S Dólares]))</f>
        <v>0</v>
      </c>
      <c r="X128" s="128">
        <f>SUMPRODUCT(($C$115=Producción_Ganadera[Movimiento])*($G128=Producción_Ganadera[Categoría Hacienda])*(X$1=Producción_Ganadera[Mes Financiero])*(X$2=Producción_Ganadera[Año Financiero])*(Producción_Ganadera[Financiero U$S Dólares]))</f>
        <v>0</v>
      </c>
      <c r="Y128" s="129">
        <f>SUMPRODUCT(($C$115=Producción_Ganadera[Movimiento])*($G128=Producción_Ganadera[Categoría Hacienda])*(Y$1=Producción_Ganadera[Mes Financiero])*(Y$2=Producción_Ganadera[Año Financiero])*(Producción_Ganadera[Financiero U$S Dólares]))</f>
        <v>0</v>
      </c>
      <c r="Z128" s="141">
        <f t="shared" si="28"/>
        <v>0</v>
      </c>
      <c r="AC128" s="174"/>
      <c r="AD128" s="174"/>
    </row>
    <row r="129" spans="2:30" hidden="1" outlineLevel="1" collapsed="1" x14ac:dyDescent="0.25">
      <c r="E129" s="221">
        <f>IFERROR(MATCH(F129,Produccion_Ganadera_Cuentas[Cuenta Contable],0),0)</f>
        <v>13</v>
      </c>
      <c r="F129" s="421" t="s">
        <v>107</v>
      </c>
      <c r="G129" s="93"/>
      <c r="H129" s="103">
        <f>SUMPRODUCT((H$1=Producción_Ganadera[Mes Financiero])*(H$2=Producción_Ganadera[Año Financiero])*($C$115=Producción_Ganadera[Movimiento])*($F129=Producción_Ganadera[Cuenta Contable])*(Producción_Ganadera[Financiero U$S Dólares]))</f>
        <v>0</v>
      </c>
      <c r="I129" s="104">
        <f>SUMPRODUCT((I$1=Producción_Ganadera[Mes Financiero])*(I$2=Producción_Ganadera[Año Financiero])*($C$115=Producción_Ganadera[Movimiento])*($F129=Producción_Ganadera[Cuenta Contable])*(Producción_Ganadera[Financiero U$S Dólares]))</f>
        <v>0</v>
      </c>
      <c r="J129" s="103">
        <f>SUMPRODUCT((J$1=Producción_Ganadera[Mes Financiero])*(J$2=Producción_Ganadera[Año Financiero])*($C$115=Producción_Ganadera[Movimiento])*($F129=Producción_Ganadera[Cuenta Contable])*(Producción_Ganadera[Financiero U$S Dólares]))</f>
        <v>0</v>
      </c>
      <c r="K129" s="104">
        <f>SUMPRODUCT((K$1=Producción_Ganadera[Mes Financiero])*(K$2=Producción_Ganadera[Año Financiero])*($C$115=Producción_Ganadera[Movimiento])*($F129=Producción_Ganadera[Cuenta Contable])*(Producción_Ganadera[Financiero U$S Dólares]))</f>
        <v>0</v>
      </c>
      <c r="L129" s="103">
        <f>SUMPRODUCT((L$1=Producción_Ganadera[Mes Financiero])*(L$2=Producción_Ganadera[Año Financiero])*($C$115=Producción_Ganadera[Movimiento])*($F129=Producción_Ganadera[Cuenta Contable])*(Producción_Ganadera[Financiero U$S Dólares]))</f>
        <v>0</v>
      </c>
      <c r="M129" s="104">
        <f>SUMPRODUCT((M$1=Producción_Ganadera[Mes Financiero])*(M$2=Producción_Ganadera[Año Financiero])*($C$115=Producción_Ganadera[Movimiento])*($F129=Producción_Ganadera[Cuenta Contable])*(Producción_Ganadera[Financiero U$S Dólares]))</f>
        <v>0</v>
      </c>
      <c r="N129" s="103">
        <f>SUMPRODUCT((N$1=Producción_Ganadera[Mes Financiero])*(N$2=Producción_Ganadera[Año Financiero])*($C$115=Producción_Ganadera[Movimiento])*($F129=Producción_Ganadera[Cuenta Contable])*(Producción_Ganadera[Financiero U$S Dólares]))</f>
        <v>0</v>
      </c>
      <c r="O129" s="104">
        <f>SUMPRODUCT((O$1=Producción_Ganadera[Mes Financiero])*(O$2=Producción_Ganadera[Año Financiero])*($C$115=Producción_Ganadera[Movimiento])*($F129=Producción_Ganadera[Cuenta Contable])*(Producción_Ganadera[Financiero U$S Dólares]))</f>
        <v>0</v>
      </c>
      <c r="P129" s="103">
        <f>SUMPRODUCT((P$1=Producción_Ganadera[Mes Financiero])*(P$2=Producción_Ganadera[Año Financiero])*($C$115=Producción_Ganadera[Movimiento])*($F129=Producción_Ganadera[Cuenta Contable])*(Producción_Ganadera[Financiero U$S Dólares]))</f>
        <v>0</v>
      </c>
      <c r="Q129" s="104">
        <f>SUMPRODUCT((Q$1=Producción_Ganadera[Mes Financiero])*(Q$2=Producción_Ganadera[Año Financiero])*($C$115=Producción_Ganadera[Movimiento])*($F129=Producción_Ganadera[Cuenta Contable])*(Producción_Ganadera[Financiero U$S Dólares]))</f>
        <v>0</v>
      </c>
      <c r="R129" s="103">
        <f>SUMPRODUCT((R$1=Producción_Ganadera[Mes Financiero])*(R$2=Producción_Ganadera[Año Financiero])*($C$115=Producción_Ganadera[Movimiento])*($F129=Producción_Ganadera[Cuenta Contable])*(Producción_Ganadera[Financiero U$S Dólares]))</f>
        <v>0</v>
      </c>
      <c r="S129" s="104">
        <f>SUMPRODUCT((S$1=Producción_Ganadera[Mes Financiero])*(S$2=Producción_Ganadera[Año Financiero])*($C$115=Producción_Ganadera[Movimiento])*($F129=Producción_Ganadera[Cuenta Contable])*(Producción_Ganadera[Financiero U$S Dólares]))</f>
        <v>0</v>
      </c>
      <c r="T129" s="103">
        <f>SUMPRODUCT((T$1=Producción_Ganadera[Mes Financiero])*(T$2=Producción_Ganadera[Año Financiero])*($C$115=Producción_Ganadera[Movimiento])*($F129=Producción_Ganadera[Cuenta Contable])*(Producción_Ganadera[Financiero U$S Dólares]))</f>
        <v>0</v>
      </c>
      <c r="U129" s="104">
        <f>SUMPRODUCT((U$1=Producción_Ganadera[Mes Financiero])*(U$2=Producción_Ganadera[Año Financiero])*($C$115=Producción_Ganadera[Movimiento])*($F129=Producción_Ganadera[Cuenta Contable])*(Producción_Ganadera[Financiero U$S Dólares]))</f>
        <v>0</v>
      </c>
      <c r="V129" s="103">
        <f>SUMPRODUCT((V$1=Producción_Ganadera[Mes Financiero])*(V$2=Producción_Ganadera[Año Financiero])*($C$115=Producción_Ganadera[Movimiento])*($F129=Producción_Ganadera[Cuenta Contable])*(Producción_Ganadera[Financiero U$S Dólares]))</f>
        <v>0</v>
      </c>
      <c r="W129" s="104">
        <f>SUMPRODUCT((W$1=Producción_Ganadera[Mes Financiero])*(W$2=Producción_Ganadera[Año Financiero])*($C$115=Producción_Ganadera[Movimiento])*($F129=Producción_Ganadera[Cuenta Contable])*(Producción_Ganadera[Financiero U$S Dólares]))</f>
        <v>0</v>
      </c>
      <c r="X129" s="103">
        <f>SUMPRODUCT((X$1=Producción_Ganadera[Mes Financiero])*(X$2=Producción_Ganadera[Año Financiero])*($C$115=Producción_Ganadera[Movimiento])*($F129=Producción_Ganadera[Cuenta Contable])*(Producción_Ganadera[Financiero U$S Dólares]))</f>
        <v>0</v>
      </c>
      <c r="Y129" s="104">
        <f>SUMPRODUCT((Y$1=Producción_Ganadera[Mes Financiero])*(Y$2=Producción_Ganadera[Año Financiero])*($C$115=Producción_Ganadera[Movimiento])*($F129=Producción_Ganadera[Cuenta Contable])*(Producción_Ganadera[Financiero U$S Dólares]))</f>
        <v>0</v>
      </c>
      <c r="Z129" s="144">
        <f t="shared" si="28"/>
        <v>0</v>
      </c>
      <c r="AC129" s="174">
        <f>SUMPRODUCT((F129=Produccion_Ganadera_Cuentas[Cuenta Contable])*(Produccion_Ganadera_Cuentas[IVA]))</f>
        <v>0</v>
      </c>
      <c r="AD129" s="174">
        <f>SUMPRODUCT((G129=Produccion_Ganadera_Cuentas[Cuenta Contable])*(Produccion_Ganadera_Cuentas[IVA]))</f>
        <v>0</v>
      </c>
    </row>
    <row r="130" spans="2:30" hidden="1" outlineLevel="1" x14ac:dyDescent="0.25">
      <c r="E130" s="221">
        <f>IFERROR(MATCH(F130,Produccion_Ganadera_Cuentas[Cuenta Contable],0),0)</f>
        <v>14</v>
      </c>
      <c r="F130" s="421" t="s">
        <v>108</v>
      </c>
      <c r="H130" s="103">
        <f>SUMPRODUCT((H$1=Producción_Ganadera[Mes Financiero])*(H$2=Producción_Ganadera[Año Financiero])*($C$115=Producción_Ganadera[Movimiento])*($F130=Producción_Ganadera[Cuenta Contable])*(Producción_Ganadera[Financiero U$S Dólares]))</f>
        <v>0</v>
      </c>
      <c r="I130" s="104">
        <f>SUMPRODUCT((I$1=Producción_Ganadera[Mes Financiero])*(I$2=Producción_Ganadera[Año Financiero])*($C$115=Producción_Ganadera[Movimiento])*($F130=Producción_Ganadera[Cuenta Contable])*(Producción_Ganadera[Financiero U$S Dólares]))</f>
        <v>0</v>
      </c>
      <c r="J130" s="103">
        <f>SUMPRODUCT((J$1=Producción_Ganadera[Mes Financiero])*(J$2=Producción_Ganadera[Año Financiero])*($C$115=Producción_Ganadera[Movimiento])*($F130=Producción_Ganadera[Cuenta Contable])*(Producción_Ganadera[Financiero U$S Dólares]))</f>
        <v>0</v>
      </c>
      <c r="K130" s="104">
        <f>SUMPRODUCT((K$1=Producción_Ganadera[Mes Financiero])*(K$2=Producción_Ganadera[Año Financiero])*($C$115=Producción_Ganadera[Movimiento])*($F130=Producción_Ganadera[Cuenta Contable])*(Producción_Ganadera[Financiero U$S Dólares]))</f>
        <v>0</v>
      </c>
      <c r="L130" s="103">
        <f>SUMPRODUCT((L$1=Producción_Ganadera[Mes Financiero])*(L$2=Producción_Ganadera[Año Financiero])*($C$115=Producción_Ganadera[Movimiento])*($F130=Producción_Ganadera[Cuenta Contable])*(Producción_Ganadera[Financiero U$S Dólares]))</f>
        <v>0</v>
      </c>
      <c r="M130" s="104">
        <f>SUMPRODUCT((M$1=Producción_Ganadera[Mes Financiero])*(M$2=Producción_Ganadera[Año Financiero])*($C$115=Producción_Ganadera[Movimiento])*($F130=Producción_Ganadera[Cuenta Contable])*(Producción_Ganadera[Financiero U$S Dólares]))</f>
        <v>0</v>
      </c>
      <c r="N130" s="103">
        <f>SUMPRODUCT((N$1=Producción_Ganadera[Mes Financiero])*(N$2=Producción_Ganadera[Año Financiero])*($C$115=Producción_Ganadera[Movimiento])*($F130=Producción_Ganadera[Cuenta Contable])*(Producción_Ganadera[Financiero U$S Dólares]))</f>
        <v>0</v>
      </c>
      <c r="O130" s="104">
        <f>SUMPRODUCT((O$1=Producción_Ganadera[Mes Financiero])*(O$2=Producción_Ganadera[Año Financiero])*($C$115=Producción_Ganadera[Movimiento])*($F130=Producción_Ganadera[Cuenta Contable])*(Producción_Ganadera[Financiero U$S Dólares]))</f>
        <v>0</v>
      </c>
      <c r="P130" s="103">
        <f>SUMPRODUCT((P$1=Producción_Ganadera[Mes Financiero])*(P$2=Producción_Ganadera[Año Financiero])*($C$115=Producción_Ganadera[Movimiento])*($F130=Producción_Ganadera[Cuenta Contable])*(Producción_Ganadera[Financiero U$S Dólares]))</f>
        <v>0</v>
      </c>
      <c r="Q130" s="104">
        <f>SUMPRODUCT((Q$1=Producción_Ganadera[Mes Financiero])*(Q$2=Producción_Ganadera[Año Financiero])*($C$115=Producción_Ganadera[Movimiento])*($F130=Producción_Ganadera[Cuenta Contable])*(Producción_Ganadera[Financiero U$S Dólares]))</f>
        <v>0</v>
      </c>
      <c r="R130" s="103">
        <f>SUMPRODUCT((R$1=Producción_Ganadera[Mes Financiero])*(R$2=Producción_Ganadera[Año Financiero])*($C$115=Producción_Ganadera[Movimiento])*($F130=Producción_Ganadera[Cuenta Contable])*(Producción_Ganadera[Financiero U$S Dólares]))</f>
        <v>0</v>
      </c>
      <c r="S130" s="104">
        <f>SUMPRODUCT((S$1=Producción_Ganadera[Mes Financiero])*(S$2=Producción_Ganadera[Año Financiero])*($C$115=Producción_Ganadera[Movimiento])*($F130=Producción_Ganadera[Cuenta Contable])*(Producción_Ganadera[Financiero U$S Dólares]))</f>
        <v>0</v>
      </c>
      <c r="T130" s="103">
        <f>SUMPRODUCT((T$1=Producción_Ganadera[Mes Financiero])*(T$2=Producción_Ganadera[Año Financiero])*($C$115=Producción_Ganadera[Movimiento])*($F130=Producción_Ganadera[Cuenta Contable])*(Producción_Ganadera[Financiero U$S Dólares]))</f>
        <v>0</v>
      </c>
      <c r="U130" s="104">
        <f>SUMPRODUCT((U$1=Producción_Ganadera[Mes Financiero])*(U$2=Producción_Ganadera[Año Financiero])*($C$115=Producción_Ganadera[Movimiento])*($F130=Producción_Ganadera[Cuenta Contable])*(Producción_Ganadera[Financiero U$S Dólares]))</f>
        <v>0</v>
      </c>
      <c r="V130" s="103">
        <f>SUMPRODUCT((V$1=Producción_Ganadera[Mes Financiero])*(V$2=Producción_Ganadera[Año Financiero])*($C$115=Producción_Ganadera[Movimiento])*($F130=Producción_Ganadera[Cuenta Contable])*(Producción_Ganadera[Financiero U$S Dólares]))</f>
        <v>0</v>
      </c>
      <c r="W130" s="104">
        <f>SUMPRODUCT((W$1=Producción_Ganadera[Mes Financiero])*(W$2=Producción_Ganadera[Año Financiero])*($C$115=Producción_Ganadera[Movimiento])*($F130=Producción_Ganadera[Cuenta Contable])*(Producción_Ganadera[Financiero U$S Dólares]))</f>
        <v>0</v>
      </c>
      <c r="X130" s="103">
        <f>SUMPRODUCT((X$1=Producción_Ganadera[Mes Financiero])*(X$2=Producción_Ganadera[Año Financiero])*($C$115=Producción_Ganadera[Movimiento])*($F130=Producción_Ganadera[Cuenta Contable])*(Producción_Ganadera[Financiero U$S Dólares]))</f>
        <v>0</v>
      </c>
      <c r="Y130" s="104">
        <f>SUMPRODUCT((Y$1=Producción_Ganadera[Mes Financiero])*(Y$2=Producción_Ganadera[Año Financiero])*($C$115=Producción_Ganadera[Movimiento])*($F130=Producción_Ganadera[Cuenta Contable])*(Producción_Ganadera[Financiero U$S Dólares]))</f>
        <v>0</v>
      </c>
      <c r="Z130" s="144">
        <f t="shared" si="28"/>
        <v>0</v>
      </c>
      <c r="AC130" s="174">
        <f>SUMPRODUCT((F130=Produccion_Ganadera_Cuentas[Cuenta Contable])*(Produccion_Ganadera_Cuentas[IVA]))</f>
        <v>0</v>
      </c>
      <c r="AD130" s="174">
        <f>SUMPRODUCT((G130=Produccion_Ganadera_Cuentas[Cuenta Contable])*(Produccion_Ganadera_Cuentas[IVA]))</f>
        <v>0</v>
      </c>
    </row>
    <row r="131" spans="2:30" hidden="1" outlineLevel="1" x14ac:dyDescent="0.25">
      <c r="E131" s="221">
        <f>IFERROR(MATCH(F131,Produccion_Ganadera_Cuentas[Cuenta Contable],0),0)</f>
        <v>14</v>
      </c>
      <c r="F131" s="421" t="s">
        <v>108</v>
      </c>
      <c r="H131" s="103">
        <f>SUMPRODUCT((H$1=Producción_Ganadera[Mes Financiero])*(H$2=Producción_Ganadera[Año Financiero])*($C$115=Producción_Ganadera[Movimiento])*($F131=Producción_Ganadera[Cuenta Contable])*(Producción_Ganadera[Financiero U$S Dólares]))</f>
        <v>0</v>
      </c>
      <c r="I131" s="104">
        <f>SUMPRODUCT((I$1=Producción_Ganadera[Mes Financiero])*(I$2=Producción_Ganadera[Año Financiero])*($C$115=Producción_Ganadera[Movimiento])*($F131=Producción_Ganadera[Cuenta Contable])*(Producción_Ganadera[Financiero U$S Dólares]))</f>
        <v>0</v>
      </c>
      <c r="J131" s="103">
        <f>SUMPRODUCT((J$1=Producción_Ganadera[Mes Financiero])*(J$2=Producción_Ganadera[Año Financiero])*($C$115=Producción_Ganadera[Movimiento])*($F131=Producción_Ganadera[Cuenta Contable])*(Producción_Ganadera[Financiero U$S Dólares]))</f>
        <v>0</v>
      </c>
      <c r="K131" s="104">
        <f>SUMPRODUCT((K$1=Producción_Ganadera[Mes Financiero])*(K$2=Producción_Ganadera[Año Financiero])*($C$115=Producción_Ganadera[Movimiento])*($F131=Producción_Ganadera[Cuenta Contable])*(Producción_Ganadera[Financiero U$S Dólares]))</f>
        <v>0</v>
      </c>
      <c r="L131" s="103">
        <f>SUMPRODUCT((L$1=Producción_Ganadera[Mes Financiero])*(L$2=Producción_Ganadera[Año Financiero])*($C$115=Producción_Ganadera[Movimiento])*($F131=Producción_Ganadera[Cuenta Contable])*(Producción_Ganadera[Financiero U$S Dólares]))</f>
        <v>0</v>
      </c>
      <c r="M131" s="104">
        <f>SUMPRODUCT((M$1=Producción_Ganadera[Mes Financiero])*(M$2=Producción_Ganadera[Año Financiero])*($C$115=Producción_Ganadera[Movimiento])*($F131=Producción_Ganadera[Cuenta Contable])*(Producción_Ganadera[Financiero U$S Dólares]))</f>
        <v>0</v>
      </c>
      <c r="N131" s="103">
        <f>SUMPRODUCT((N$1=Producción_Ganadera[Mes Financiero])*(N$2=Producción_Ganadera[Año Financiero])*($C$115=Producción_Ganadera[Movimiento])*($F131=Producción_Ganadera[Cuenta Contable])*(Producción_Ganadera[Financiero U$S Dólares]))</f>
        <v>0</v>
      </c>
      <c r="O131" s="104">
        <f>SUMPRODUCT((O$1=Producción_Ganadera[Mes Financiero])*(O$2=Producción_Ganadera[Año Financiero])*($C$115=Producción_Ganadera[Movimiento])*($F131=Producción_Ganadera[Cuenta Contable])*(Producción_Ganadera[Financiero U$S Dólares]))</f>
        <v>0</v>
      </c>
      <c r="P131" s="103">
        <f>SUMPRODUCT((P$1=Producción_Ganadera[Mes Financiero])*(P$2=Producción_Ganadera[Año Financiero])*($C$115=Producción_Ganadera[Movimiento])*($F131=Producción_Ganadera[Cuenta Contable])*(Producción_Ganadera[Financiero U$S Dólares]))</f>
        <v>0</v>
      </c>
      <c r="Q131" s="104">
        <f>SUMPRODUCT((Q$1=Producción_Ganadera[Mes Financiero])*(Q$2=Producción_Ganadera[Año Financiero])*($C$115=Producción_Ganadera[Movimiento])*($F131=Producción_Ganadera[Cuenta Contable])*(Producción_Ganadera[Financiero U$S Dólares]))</f>
        <v>0</v>
      </c>
      <c r="R131" s="103">
        <f>SUMPRODUCT((R$1=Producción_Ganadera[Mes Financiero])*(R$2=Producción_Ganadera[Año Financiero])*($C$115=Producción_Ganadera[Movimiento])*($F131=Producción_Ganadera[Cuenta Contable])*(Producción_Ganadera[Financiero U$S Dólares]))</f>
        <v>0</v>
      </c>
      <c r="S131" s="104">
        <f>SUMPRODUCT((S$1=Producción_Ganadera[Mes Financiero])*(S$2=Producción_Ganadera[Año Financiero])*($C$115=Producción_Ganadera[Movimiento])*($F131=Producción_Ganadera[Cuenta Contable])*(Producción_Ganadera[Financiero U$S Dólares]))</f>
        <v>0</v>
      </c>
      <c r="T131" s="103">
        <f>SUMPRODUCT((T$1=Producción_Ganadera[Mes Financiero])*(T$2=Producción_Ganadera[Año Financiero])*($C$115=Producción_Ganadera[Movimiento])*($F131=Producción_Ganadera[Cuenta Contable])*(Producción_Ganadera[Financiero U$S Dólares]))</f>
        <v>0</v>
      </c>
      <c r="U131" s="104">
        <f>SUMPRODUCT((U$1=Producción_Ganadera[Mes Financiero])*(U$2=Producción_Ganadera[Año Financiero])*($C$115=Producción_Ganadera[Movimiento])*($F131=Producción_Ganadera[Cuenta Contable])*(Producción_Ganadera[Financiero U$S Dólares]))</f>
        <v>0</v>
      </c>
      <c r="V131" s="103">
        <f>SUMPRODUCT((V$1=Producción_Ganadera[Mes Financiero])*(V$2=Producción_Ganadera[Año Financiero])*($C$115=Producción_Ganadera[Movimiento])*($F131=Producción_Ganadera[Cuenta Contable])*(Producción_Ganadera[Financiero U$S Dólares]))</f>
        <v>0</v>
      </c>
      <c r="W131" s="104">
        <f>SUMPRODUCT((W$1=Producción_Ganadera[Mes Financiero])*(W$2=Producción_Ganadera[Año Financiero])*($C$115=Producción_Ganadera[Movimiento])*($F131=Producción_Ganadera[Cuenta Contable])*(Producción_Ganadera[Financiero U$S Dólares]))</f>
        <v>0</v>
      </c>
      <c r="X131" s="103">
        <f>SUMPRODUCT((X$1=Producción_Ganadera[Mes Financiero])*(X$2=Producción_Ganadera[Año Financiero])*($C$115=Producción_Ganadera[Movimiento])*($F131=Producción_Ganadera[Cuenta Contable])*(Producción_Ganadera[Financiero U$S Dólares]))</f>
        <v>0</v>
      </c>
      <c r="Y131" s="104">
        <f>SUMPRODUCT((Y$1=Producción_Ganadera[Mes Financiero])*(Y$2=Producción_Ganadera[Año Financiero])*($C$115=Producción_Ganadera[Movimiento])*($F131=Producción_Ganadera[Cuenta Contable])*(Producción_Ganadera[Financiero U$S Dólares]))</f>
        <v>0</v>
      </c>
      <c r="Z131" s="144">
        <f t="shared" si="28"/>
        <v>0</v>
      </c>
      <c r="AC131" s="174">
        <f>SUMPRODUCT((F131=Produccion_Ganadera_Cuentas[Cuenta Contable])*(Produccion_Ganadera_Cuentas[IVA]))</f>
        <v>0</v>
      </c>
      <c r="AD131" s="174">
        <f>SUMPRODUCT((G131=Produccion_Ganadera_Cuentas[Cuenta Contable])*(Produccion_Ganadera_Cuentas[IVA]))</f>
        <v>0</v>
      </c>
    </row>
    <row r="132" spans="2:30" hidden="1" outlineLevel="1" x14ac:dyDescent="0.25">
      <c r="E132" s="221">
        <f>IFERROR(MATCH(F132,Produccion_Ganadera_Cuentas[Cuenta Contable],0),0)</f>
        <v>16</v>
      </c>
      <c r="F132" s="421" t="s">
        <v>121</v>
      </c>
      <c r="H132" s="103">
        <f>SUMPRODUCT((H$1=Producción_Ganadera[Mes Financiero])*(H$2=Producción_Ganadera[Año Financiero])*($C$115=Producción_Ganadera[Movimiento])*($F132=Producción_Ganadera[Cuenta Contable])*(Producción_Ganadera[Financiero U$S Dólares]))</f>
        <v>0</v>
      </c>
      <c r="I132" s="104">
        <f>SUMPRODUCT((I$1=Producción_Ganadera[Mes Financiero])*(I$2=Producción_Ganadera[Año Financiero])*($C$115=Producción_Ganadera[Movimiento])*($F132=Producción_Ganadera[Cuenta Contable])*(Producción_Ganadera[Financiero U$S Dólares]))</f>
        <v>0</v>
      </c>
      <c r="J132" s="103">
        <f>SUMPRODUCT((J$1=Producción_Ganadera[Mes Financiero])*(J$2=Producción_Ganadera[Año Financiero])*($C$115=Producción_Ganadera[Movimiento])*($F132=Producción_Ganadera[Cuenta Contable])*(Producción_Ganadera[Financiero U$S Dólares]))</f>
        <v>0</v>
      </c>
      <c r="K132" s="104">
        <f>SUMPRODUCT((K$1=Producción_Ganadera[Mes Financiero])*(K$2=Producción_Ganadera[Año Financiero])*($C$115=Producción_Ganadera[Movimiento])*($F132=Producción_Ganadera[Cuenta Contable])*(Producción_Ganadera[Financiero U$S Dólares]))</f>
        <v>0</v>
      </c>
      <c r="L132" s="103">
        <f>SUMPRODUCT((L$1=Producción_Ganadera[Mes Financiero])*(L$2=Producción_Ganadera[Año Financiero])*($C$115=Producción_Ganadera[Movimiento])*($F132=Producción_Ganadera[Cuenta Contable])*(Producción_Ganadera[Financiero U$S Dólares]))</f>
        <v>0</v>
      </c>
      <c r="M132" s="104">
        <f>SUMPRODUCT((M$1=Producción_Ganadera[Mes Financiero])*(M$2=Producción_Ganadera[Año Financiero])*($C$115=Producción_Ganadera[Movimiento])*($F132=Producción_Ganadera[Cuenta Contable])*(Producción_Ganadera[Financiero U$S Dólares]))</f>
        <v>0</v>
      </c>
      <c r="N132" s="103">
        <f>SUMPRODUCT((N$1=Producción_Ganadera[Mes Financiero])*(N$2=Producción_Ganadera[Año Financiero])*($C$115=Producción_Ganadera[Movimiento])*($F132=Producción_Ganadera[Cuenta Contable])*(Producción_Ganadera[Financiero U$S Dólares]))</f>
        <v>0</v>
      </c>
      <c r="O132" s="104">
        <f>SUMPRODUCT((O$1=Producción_Ganadera[Mes Financiero])*(O$2=Producción_Ganadera[Año Financiero])*($C$115=Producción_Ganadera[Movimiento])*($F132=Producción_Ganadera[Cuenta Contable])*(Producción_Ganadera[Financiero U$S Dólares]))</f>
        <v>0</v>
      </c>
      <c r="P132" s="103">
        <f>SUMPRODUCT((P$1=Producción_Ganadera[Mes Financiero])*(P$2=Producción_Ganadera[Año Financiero])*($C$115=Producción_Ganadera[Movimiento])*($F132=Producción_Ganadera[Cuenta Contable])*(Producción_Ganadera[Financiero U$S Dólares]))</f>
        <v>0</v>
      </c>
      <c r="Q132" s="104">
        <f>SUMPRODUCT((Q$1=Producción_Ganadera[Mes Financiero])*(Q$2=Producción_Ganadera[Año Financiero])*($C$115=Producción_Ganadera[Movimiento])*($F132=Producción_Ganadera[Cuenta Contable])*(Producción_Ganadera[Financiero U$S Dólares]))</f>
        <v>0</v>
      </c>
      <c r="R132" s="103">
        <f>SUMPRODUCT((R$1=Producción_Ganadera[Mes Financiero])*(R$2=Producción_Ganadera[Año Financiero])*($C$115=Producción_Ganadera[Movimiento])*($F132=Producción_Ganadera[Cuenta Contable])*(Producción_Ganadera[Financiero U$S Dólares]))</f>
        <v>0</v>
      </c>
      <c r="S132" s="104">
        <f>SUMPRODUCT((S$1=Producción_Ganadera[Mes Financiero])*(S$2=Producción_Ganadera[Año Financiero])*($C$115=Producción_Ganadera[Movimiento])*($F132=Producción_Ganadera[Cuenta Contable])*(Producción_Ganadera[Financiero U$S Dólares]))</f>
        <v>0</v>
      </c>
      <c r="T132" s="103">
        <f>SUMPRODUCT((T$1=Producción_Ganadera[Mes Financiero])*(T$2=Producción_Ganadera[Año Financiero])*($C$115=Producción_Ganadera[Movimiento])*($F132=Producción_Ganadera[Cuenta Contable])*(Producción_Ganadera[Financiero U$S Dólares]))</f>
        <v>0</v>
      </c>
      <c r="U132" s="104">
        <f>SUMPRODUCT((U$1=Producción_Ganadera[Mes Financiero])*(U$2=Producción_Ganadera[Año Financiero])*($C$115=Producción_Ganadera[Movimiento])*($F132=Producción_Ganadera[Cuenta Contable])*(Producción_Ganadera[Financiero U$S Dólares]))</f>
        <v>0</v>
      </c>
      <c r="V132" s="103">
        <f>SUMPRODUCT((V$1=Producción_Ganadera[Mes Financiero])*(V$2=Producción_Ganadera[Año Financiero])*($C$115=Producción_Ganadera[Movimiento])*($F132=Producción_Ganadera[Cuenta Contable])*(Producción_Ganadera[Financiero U$S Dólares]))</f>
        <v>0</v>
      </c>
      <c r="W132" s="104">
        <f>SUMPRODUCT((W$1=Producción_Ganadera[Mes Financiero])*(W$2=Producción_Ganadera[Año Financiero])*($C$115=Producción_Ganadera[Movimiento])*($F132=Producción_Ganadera[Cuenta Contable])*(Producción_Ganadera[Financiero U$S Dólares]))</f>
        <v>0</v>
      </c>
      <c r="X132" s="103">
        <f>SUMPRODUCT((X$1=Producción_Ganadera[Mes Financiero])*(X$2=Producción_Ganadera[Año Financiero])*($C$115=Producción_Ganadera[Movimiento])*($F132=Producción_Ganadera[Cuenta Contable])*(Producción_Ganadera[Financiero U$S Dólares]))</f>
        <v>0</v>
      </c>
      <c r="Y132" s="104">
        <f>SUMPRODUCT((Y$1=Producción_Ganadera[Mes Financiero])*(Y$2=Producción_Ganadera[Año Financiero])*($C$115=Producción_Ganadera[Movimiento])*($F132=Producción_Ganadera[Cuenta Contable])*(Producción_Ganadera[Financiero U$S Dólares]))</f>
        <v>0</v>
      </c>
      <c r="Z132" s="144">
        <f t="shared" si="28"/>
        <v>0</v>
      </c>
      <c r="AC132" s="174">
        <f>SUMPRODUCT((F132=Produccion_Ganadera_Cuentas[Cuenta Contable])*(Produccion_Ganadera_Cuentas[IVA]))</f>
        <v>0.21</v>
      </c>
      <c r="AD132" s="174">
        <f>SUMPRODUCT((G132=Produccion_Ganadera_Cuentas[Cuenta Contable])*(Produccion_Ganadera_Cuentas[IVA]))</f>
        <v>0</v>
      </c>
    </row>
    <row r="133" spans="2:30" hidden="1" outlineLevel="1" x14ac:dyDescent="0.25">
      <c r="E133" s="221">
        <f>IFERROR(MATCH(F133,Produccion_Ganadera_Cuentas[Cuenta Contable],0),0)</f>
        <v>16</v>
      </c>
      <c r="F133" s="421" t="s">
        <v>121</v>
      </c>
      <c r="H133" s="103">
        <f>SUMPRODUCT((H$1=Producción_Ganadera[Mes Financiero])*(H$2=Producción_Ganadera[Año Financiero])*($C$115=Producción_Ganadera[Movimiento])*($F133=Producción_Ganadera[Cuenta Contable])*(Producción_Ganadera[Financiero U$S Dólares]))</f>
        <v>0</v>
      </c>
      <c r="I133" s="104">
        <f>SUMPRODUCT((I$1=Producción_Ganadera[Mes Financiero])*(I$2=Producción_Ganadera[Año Financiero])*($C$115=Producción_Ganadera[Movimiento])*($F133=Producción_Ganadera[Cuenta Contable])*(Producción_Ganadera[Financiero U$S Dólares]))</f>
        <v>0</v>
      </c>
      <c r="J133" s="103">
        <f>SUMPRODUCT((J$1=Producción_Ganadera[Mes Financiero])*(J$2=Producción_Ganadera[Año Financiero])*($C$115=Producción_Ganadera[Movimiento])*($F133=Producción_Ganadera[Cuenta Contable])*(Producción_Ganadera[Financiero U$S Dólares]))</f>
        <v>0</v>
      </c>
      <c r="K133" s="104">
        <f>SUMPRODUCT((K$1=Producción_Ganadera[Mes Financiero])*(K$2=Producción_Ganadera[Año Financiero])*($C$115=Producción_Ganadera[Movimiento])*($F133=Producción_Ganadera[Cuenta Contable])*(Producción_Ganadera[Financiero U$S Dólares]))</f>
        <v>0</v>
      </c>
      <c r="L133" s="103">
        <f>SUMPRODUCT((L$1=Producción_Ganadera[Mes Financiero])*(L$2=Producción_Ganadera[Año Financiero])*($C$115=Producción_Ganadera[Movimiento])*($F133=Producción_Ganadera[Cuenta Contable])*(Producción_Ganadera[Financiero U$S Dólares]))</f>
        <v>0</v>
      </c>
      <c r="M133" s="104">
        <f>SUMPRODUCT((M$1=Producción_Ganadera[Mes Financiero])*(M$2=Producción_Ganadera[Año Financiero])*($C$115=Producción_Ganadera[Movimiento])*($F133=Producción_Ganadera[Cuenta Contable])*(Producción_Ganadera[Financiero U$S Dólares]))</f>
        <v>0</v>
      </c>
      <c r="N133" s="103">
        <f>SUMPRODUCT((N$1=Producción_Ganadera[Mes Financiero])*(N$2=Producción_Ganadera[Año Financiero])*($C$115=Producción_Ganadera[Movimiento])*($F133=Producción_Ganadera[Cuenta Contable])*(Producción_Ganadera[Financiero U$S Dólares]))</f>
        <v>0</v>
      </c>
      <c r="O133" s="104">
        <f>SUMPRODUCT((O$1=Producción_Ganadera[Mes Financiero])*(O$2=Producción_Ganadera[Año Financiero])*($C$115=Producción_Ganadera[Movimiento])*($F133=Producción_Ganadera[Cuenta Contable])*(Producción_Ganadera[Financiero U$S Dólares]))</f>
        <v>0</v>
      </c>
      <c r="P133" s="103">
        <f>SUMPRODUCT((P$1=Producción_Ganadera[Mes Financiero])*(P$2=Producción_Ganadera[Año Financiero])*($C$115=Producción_Ganadera[Movimiento])*($F133=Producción_Ganadera[Cuenta Contable])*(Producción_Ganadera[Financiero U$S Dólares]))</f>
        <v>0</v>
      </c>
      <c r="Q133" s="104">
        <f>SUMPRODUCT((Q$1=Producción_Ganadera[Mes Financiero])*(Q$2=Producción_Ganadera[Año Financiero])*($C$115=Producción_Ganadera[Movimiento])*($F133=Producción_Ganadera[Cuenta Contable])*(Producción_Ganadera[Financiero U$S Dólares]))</f>
        <v>0</v>
      </c>
      <c r="R133" s="103">
        <f>SUMPRODUCT((R$1=Producción_Ganadera[Mes Financiero])*(R$2=Producción_Ganadera[Año Financiero])*($C$115=Producción_Ganadera[Movimiento])*($F133=Producción_Ganadera[Cuenta Contable])*(Producción_Ganadera[Financiero U$S Dólares]))</f>
        <v>0</v>
      </c>
      <c r="S133" s="104">
        <f>SUMPRODUCT((S$1=Producción_Ganadera[Mes Financiero])*(S$2=Producción_Ganadera[Año Financiero])*($C$115=Producción_Ganadera[Movimiento])*($F133=Producción_Ganadera[Cuenta Contable])*(Producción_Ganadera[Financiero U$S Dólares]))</f>
        <v>0</v>
      </c>
      <c r="T133" s="103">
        <f>SUMPRODUCT((T$1=Producción_Ganadera[Mes Financiero])*(T$2=Producción_Ganadera[Año Financiero])*($C$115=Producción_Ganadera[Movimiento])*($F133=Producción_Ganadera[Cuenta Contable])*(Producción_Ganadera[Financiero U$S Dólares]))</f>
        <v>0</v>
      </c>
      <c r="U133" s="104">
        <f>SUMPRODUCT((U$1=Producción_Ganadera[Mes Financiero])*(U$2=Producción_Ganadera[Año Financiero])*($C$115=Producción_Ganadera[Movimiento])*($F133=Producción_Ganadera[Cuenta Contable])*(Producción_Ganadera[Financiero U$S Dólares]))</f>
        <v>0</v>
      </c>
      <c r="V133" s="103">
        <f>SUMPRODUCT((V$1=Producción_Ganadera[Mes Financiero])*(V$2=Producción_Ganadera[Año Financiero])*($C$115=Producción_Ganadera[Movimiento])*($F133=Producción_Ganadera[Cuenta Contable])*(Producción_Ganadera[Financiero U$S Dólares]))</f>
        <v>0</v>
      </c>
      <c r="W133" s="104">
        <f>SUMPRODUCT((W$1=Producción_Ganadera[Mes Financiero])*(W$2=Producción_Ganadera[Año Financiero])*($C$115=Producción_Ganadera[Movimiento])*($F133=Producción_Ganadera[Cuenta Contable])*(Producción_Ganadera[Financiero U$S Dólares]))</f>
        <v>0</v>
      </c>
      <c r="X133" s="103">
        <f>SUMPRODUCT((X$1=Producción_Ganadera[Mes Financiero])*(X$2=Producción_Ganadera[Año Financiero])*($C$115=Producción_Ganadera[Movimiento])*($F133=Producción_Ganadera[Cuenta Contable])*(Producción_Ganadera[Financiero U$S Dólares]))</f>
        <v>0</v>
      </c>
      <c r="Y133" s="104">
        <f>SUMPRODUCT((Y$1=Producción_Ganadera[Mes Financiero])*(Y$2=Producción_Ganadera[Año Financiero])*($C$115=Producción_Ganadera[Movimiento])*($F133=Producción_Ganadera[Cuenta Contable])*(Producción_Ganadera[Financiero U$S Dólares]))</f>
        <v>0</v>
      </c>
      <c r="Z133" s="144">
        <f t="shared" si="28"/>
        <v>0</v>
      </c>
      <c r="AC133" s="174">
        <f>SUMPRODUCT((F133=Produccion_Ganadera_Cuentas[Cuenta Contable])*(Produccion_Ganadera_Cuentas[IVA]))</f>
        <v>0.21</v>
      </c>
      <c r="AD133" s="174">
        <f>SUMPRODUCT((G133=Produccion_Ganadera_Cuentas[Cuenta Contable])*(Produccion_Ganadera_Cuentas[IVA]))</f>
        <v>0</v>
      </c>
    </row>
    <row r="134" spans="2:30" hidden="1" outlineLevel="1" x14ac:dyDescent="0.25">
      <c r="E134" s="221">
        <f>IFERROR(MATCH(F134,Produccion_Ganadera_Cuentas[Cuenta Contable],0),0)</f>
        <v>18</v>
      </c>
      <c r="F134" s="421" t="s">
        <v>123</v>
      </c>
      <c r="H134" s="103">
        <f>SUMPRODUCT((H$1=Producción_Ganadera[Mes Financiero])*(H$2=Producción_Ganadera[Año Financiero])*($C$115=Producción_Ganadera[Movimiento])*($F134=Producción_Ganadera[Cuenta Contable])*(Producción_Ganadera[Financiero U$S Dólares]))</f>
        <v>0</v>
      </c>
      <c r="I134" s="104">
        <f>SUMPRODUCT((I$1=Producción_Ganadera[Mes Financiero])*(I$2=Producción_Ganadera[Año Financiero])*($C$115=Producción_Ganadera[Movimiento])*($F134=Producción_Ganadera[Cuenta Contable])*(Producción_Ganadera[Financiero U$S Dólares]))</f>
        <v>0</v>
      </c>
      <c r="J134" s="103">
        <f>SUMPRODUCT((J$1=Producción_Ganadera[Mes Financiero])*(J$2=Producción_Ganadera[Año Financiero])*($C$115=Producción_Ganadera[Movimiento])*($F134=Producción_Ganadera[Cuenta Contable])*(Producción_Ganadera[Financiero U$S Dólares]))</f>
        <v>0</v>
      </c>
      <c r="K134" s="104">
        <f>SUMPRODUCT((K$1=Producción_Ganadera[Mes Financiero])*(K$2=Producción_Ganadera[Año Financiero])*($C$115=Producción_Ganadera[Movimiento])*($F134=Producción_Ganadera[Cuenta Contable])*(Producción_Ganadera[Financiero U$S Dólares]))</f>
        <v>0</v>
      </c>
      <c r="L134" s="103">
        <f>SUMPRODUCT((L$1=Producción_Ganadera[Mes Financiero])*(L$2=Producción_Ganadera[Año Financiero])*($C$115=Producción_Ganadera[Movimiento])*($F134=Producción_Ganadera[Cuenta Contable])*(Producción_Ganadera[Financiero U$S Dólares]))</f>
        <v>0</v>
      </c>
      <c r="M134" s="104">
        <f>SUMPRODUCT((M$1=Producción_Ganadera[Mes Financiero])*(M$2=Producción_Ganadera[Año Financiero])*($C$115=Producción_Ganadera[Movimiento])*($F134=Producción_Ganadera[Cuenta Contable])*(Producción_Ganadera[Financiero U$S Dólares]))</f>
        <v>0</v>
      </c>
      <c r="N134" s="103">
        <f>SUMPRODUCT((N$1=Producción_Ganadera[Mes Financiero])*(N$2=Producción_Ganadera[Año Financiero])*($C$115=Producción_Ganadera[Movimiento])*($F134=Producción_Ganadera[Cuenta Contable])*(Producción_Ganadera[Financiero U$S Dólares]))</f>
        <v>0</v>
      </c>
      <c r="O134" s="104">
        <f>SUMPRODUCT((O$1=Producción_Ganadera[Mes Financiero])*(O$2=Producción_Ganadera[Año Financiero])*($C$115=Producción_Ganadera[Movimiento])*($F134=Producción_Ganadera[Cuenta Contable])*(Producción_Ganadera[Financiero U$S Dólares]))</f>
        <v>0</v>
      </c>
      <c r="P134" s="103">
        <f>SUMPRODUCT((P$1=Producción_Ganadera[Mes Financiero])*(P$2=Producción_Ganadera[Año Financiero])*($C$115=Producción_Ganadera[Movimiento])*($F134=Producción_Ganadera[Cuenta Contable])*(Producción_Ganadera[Financiero U$S Dólares]))</f>
        <v>0</v>
      </c>
      <c r="Q134" s="104">
        <f>SUMPRODUCT((Q$1=Producción_Ganadera[Mes Financiero])*(Q$2=Producción_Ganadera[Año Financiero])*($C$115=Producción_Ganadera[Movimiento])*($F134=Producción_Ganadera[Cuenta Contable])*(Producción_Ganadera[Financiero U$S Dólares]))</f>
        <v>0</v>
      </c>
      <c r="R134" s="103">
        <f>SUMPRODUCT((R$1=Producción_Ganadera[Mes Financiero])*(R$2=Producción_Ganadera[Año Financiero])*($C$115=Producción_Ganadera[Movimiento])*($F134=Producción_Ganadera[Cuenta Contable])*(Producción_Ganadera[Financiero U$S Dólares]))</f>
        <v>0</v>
      </c>
      <c r="S134" s="104">
        <f>SUMPRODUCT((S$1=Producción_Ganadera[Mes Financiero])*(S$2=Producción_Ganadera[Año Financiero])*($C$115=Producción_Ganadera[Movimiento])*($F134=Producción_Ganadera[Cuenta Contable])*(Producción_Ganadera[Financiero U$S Dólares]))</f>
        <v>0</v>
      </c>
      <c r="T134" s="103">
        <f>SUMPRODUCT((T$1=Producción_Ganadera[Mes Financiero])*(T$2=Producción_Ganadera[Año Financiero])*($C$115=Producción_Ganadera[Movimiento])*($F134=Producción_Ganadera[Cuenta Contable])*(Producción_Ganadera[Financiero U$S Dólares]))</f>
        <v>0</v>
      </c>
      <c r="U134" s="104">
        <f>SUMPRODUCT((U$1=Producción_Ganadera[Mes Financiero])*(U$2=Producción_Ganadera[Año Financiero])*($C$115=Producción_Ganadera[Movimiento])*($F134=Producción_Ganadera[Cuenta Contable])*(Producción_Ganadera[Financiero U$S Dólares]))</f>
        <v>0</v>
      </c>
      <c r="V134" s="103">
        <f>SUMPRODUCT((V$1=Producción_Ganadera[Mes Financiero])*(V$2=Producción_Ganadera[Año Financiero])*($C$115=Producción_Ganadera[Movimiento])*($F134=Producción_Ganadera[Cuenta Contable])*(Producción_Ganadera[Financiero U$S Dólares]))</f>
        <v>0</v>
      </c>
      <c r="W134" s="104">
        <f>SUMPRODUCT((W$1=Producción_Ganadera[Mes Financiero])*(W$2=Producción_Ganadera[Año Financiero])*($C$115=Producción_Ganadera[Movimiento])*($F134=Producción_Ganadera[Cuenta Contable])*(Producción_Ganadera[Financiero U$S Dólares]))</f>
        <v>0</v>
      </c>
      <c r="X134" s="103">
        <f>SUMPRODUCT((X$1=Producción_Ganadera[Mes Financiero])*(X$2=Producción_Ganadera[Año Financiero])*($C$115=Producción_Ganadera[Movimiento])*($F134=Producción_Ganadera[Cuenta Contable])*(Producción_Ganadera[Financiero U$S Dólares]))</f>
        <v>0</v>
      </c>
      <c r="Y134" s="104">
        <f>SUMPRODUCT((Y$1=Producción_Ganadera[Mes Financiero])*(Y$2=Producción_Ganadera[Año Financiero])*($C$115=Producción_Ganadera[Movimiento])*($F134=Producción_Ganadera[Cuenta Contable])*(Producción_Ganadera[Financiero U$S Dólares]))</f>
        <v>0</v>
      </c>
      <c r="Z134" s="144">
        <f t="shared" si="28"/>
        <v>0</v>
      </c>
      <c r="AC134" s="174">
        <f>SUMPRODUCT((F134=Produccion_Ganadera_Cuentas[Cuenta Contable])*(Produccion_Ganadera_Cuentas[IVA]))</f>
        <v>0.21</v>
      </c>
      <c r="AD134" s="174">
        <f>SUMPRODUCT((G134=Produccion_Ganadera_Cuentas[Cuenta Contable])*(Produccion_Ganadera_Cuentas[IVA]))</f>
        <v>0</v>
      </c>
    </row>
    <row r="135" spans="2:30" hidden="1" outlineLevel="1" x14ac:dyDescent="0.25">
      <c r="E135" s="221">
        <f>IFERROR(MATCH(F135,Produccion_Ganadera_Cuentas[Cuenta Contable],0),0)</f>
        <v>19</v>
      </c>
      <c r="F135" s="421" t="s">
        <v>124</v>
      </c>
      <c r="H135" s="103">
        <f>SUMPRODUCT((H$1=Producción_Ganadera[Mes Financiero])*(H$2=Producción_Ganadera[Año Financiero])*($C$115=Producción_Ganadera[Movimiento])*($F135=Producción_Ganadera[Cuenta Contable])*(Producción_Ganadera[Financiero U$S Dólares]))</f>
        <v>0</v>
      </c>
      <c r="I135" s="104">
        <f>SUMPRODUCT((I$1=Producción_Ganadera[Mes Financiero])*(I$2=Producción_Ganadera[Año Financiero])*($C$115=Producción_Ganadera[Movimiento])*($F135=Producción_Ganadera[Cuenta Contable])*(Producción_Ganadera[Financiero U$S Dólares]))</f>
        <v>0</v>
      </c>
      <c r="J135" s="103">
        <f>SUMPRODUCT((J$1=Producción_Ganadera[Mes Financiero])*(J$2=Producción_Ganadera[Año Financiero])*($C$115=Producción_Ganadera[Movimiento])*($F135=Producción_Ganadera[Cuenta Contable])*(Producción_Ganadera[Financiero U$S Dólares]))</f>
        <v>0</v>
      </c>
      <c r="K135" s="104">
        <f>SUMPRODUCT((K$1=Producción_Ganadera[Mes Financiero])*(K$2=Producción_Ganadera[Año Financiero])*($C$115=Producción_Ganadera[Movimiento])*($F135=Producción_Ganadera[Cuenta Contable])*(Producción_Ganadera[Financiero U$S Dólares]))</f>
        <v>0</v>
      </c>
      <c r="L135" s="103">
        <f>SUMPRODUCT((L$1=Producción_Ganadera[Mes Financiero])*(L$2=Producción_Ganadera[Año Financiero])*($C$115=Producción_Ganadera[Movimiento])*($F135=Producción_Ganadera[Cuenta Contable])*(Producción_Ganadera[Financiero U$S Dólares]))</f>
        <v>0</v>
      </c>
      <c r="M135" s="104">
        <f>SUMPRODUCT((M$1=Producción_Ganadera[Mes Financiero])*(M$2=Producción_Ganadera[Año Financiero])*($C$115=Producción_Ganadera[Movimiento])*($F135=Producción_Ganadera[Cuenta Contable])*(Producción_Ganadera[Financiero U$S Dólares]))</f>
        <v>0</v>
      </c>
      <c r="N135" s="103">
        <f>SUMPRODUCT((N$1=Producción_Ganadera[Mes Financiero])*(N$2=Producción_Ganadera[Año Financiero])*($C$115=Producción_Ganadera[Movimiento])*($F135=Producción_Ganadera[Cuenta Contable])*(Producción_Ganadera[Financiero U$S Dólares]))</f>
        <v>0</v>
      </c>
      <c r="O135" s="104">
        <f>SUMPRODUCT((O$1=Producción_Ganadera[Mes Financiero])*(O$2=Producción_Ganadera[Año Financiero])*($C$115=Producción_Ganadera[Movimiento])*($F135=Producción_Ganadera[Cuenta Contable])*(Producción_Ganadera[Financiero U$S Dólares]))</f>
        <v>0</v>
      </c>
      <c r="P135" s="103">
        <f>SUMPRODUCT((P$1=Producción_Ganadera[Mes Financiero])*(P$2=Producción_Ganadera[Año Financiero])*($C$115=Producción_Ganadera[Movimiento])*($F135=Producción_Ganadera[Cuenta Contable])*(Producción_Ganadera[Financiero U$S Dólares]))</f>
        <v>0</v>
      </c>
      <c r="Q135" s="104">
        <f>SUMPRODUCT((Q$1=Producción_Ganadera[Mes Financiero])*(Q$2=Producción_Ganadera[Año Financiero])*($C$115=Producción_Ganadera[Movimiento])*($F135=Producción_Ganadera[Cuenta Contable])*(Producción_Ganadera[Financiero U$S Dólares]))</f>
        <v>0</v>
      </c>
      <c r="R135" s="103">
        <f>SUMPRODUCT((R$1=Producción_Ganadera[Mes Financiero])*(R$2=Producción_Ganadera[Año Financiero])*($C$115=Producción_Ganadera[Movimiento])*($F135=Producción_Ganadera[Cuenta Contable])*(Producción_Ganadera[Financiero U$S Dólares]))</f>
        <v>0</v>
      </c>
      <c r="S135" s="104">
        <f>SUMPRODUCT((S$1=Producción_Ganadera[Mes Financiero])*(S$2=Producción_Ganadera[Año Financiero])*($C$115=Producción_Ganadera[Movimiento])*($F135=Producción_Ganadera[Cuenta Contable])*(Producción_Ganadera[Financiero U$S Dólares]))</f>
        <v>0</v>
      </c>
      <c r="T135" s="103">
        <f>SUMPRODUCT((T$1=Producción_Ganadera[Mes Financiero])*(T$2=Producción_Ganadera[Año Financiero])*($C$115=Producción_Ganadera[Movimiento])*($F135=Producción_Ganadera[Cuenta Contable])*(Producción_Ganadera[Financiero U$S Dólares]))</f>
        <v>0</v>
      </c>
      <c r="U135" s="104">
        <f>SUMPRODUCT((U$1=Producción_Ganadera[Mes Financiero])*(U$2=Producción_Ganadera[Año Financiero])*($C$115=Producción_Ganadera[Movimiento])*($F135=Producción_Ganadera[Cuenta Contable])*(Producción_Ganadera[Financiero U$S Dólares]))</f>
        <v>0</v>
      </c>
      <c r="V135" s="103">
        <f>SUMPRODUCT((V$1=Producción_Ganadera[Mes Financiero])*(V$2=Producción_Ganadera[Año Financiero])*($C$115=Producción_Ganadera[Movimiento])*($F135=Producción_Ganadera[Cuenta Contable])*(Producción_Ganadera[Financiero U$S Dólares]))</f>
        <v>0</v>
      </c>
      <c r="W135" s="104">
        <f>SUMPRODUCT((W$1=Producción_Ganadera[Mes Financiero])*(W$2=Producción_Ganadera[Año Financiero])*($C$115=Producción_Ganadera[Movimiento])*($F135=Producción_Ganadera[Cuenta Contable])*(Producción_Ganadera[Financiero U$S Dólares]))</f>
        <v>0</v>
      </c>
      <c r="X135" s="103">
        <f>SUMPRODUCT((X$1=Producción_Ganadera[Mes Financiero])*(X$2=Producción_Ganadera[Año Financiero])*($C$115=Producción_Ganadera[Movimiento])*($F135=Producción_Ganadera[Cuenta Contable])*(Producción_Ganadera[Financiero U$S Dólares]))</f>
        <v>0</v>
      </c>
      <c r="Y135" s="104">
        <f>SUMPRODUCT((Y$1=Producción_Ganadera[Mes Financiero])*(Y$2=Producción_Ganadera[Año Financiero])*($C$115=Producción_Ganadera[Movimiento])*($F135=Producción_Ganadera[Cuenta Contable])*(Producción_Ganadera[Financiero U$S Dólares]))</f>
        <v>0</v>
      </c>
      <c r="Z135" s="144">
        <f t="shared" si="28"/>
        <v>0</v>
      </c>
      <c r="AC135" s="174">
        <f>SUMPRODUCT((F135=Produccion_Ganadera_Cuentas[Cuenta Contable])*(Produccion_Ganadera_Cuentas[IVA]))</f>
        <v>0.21</v>
      </c>
      <c r="AD135" s="174">
        <f>SUMPRODUCT((G135=Produccion_Ganadera_Cuentas[Cuenta Contable])*(Produccion_Ganadera_Cuentas[IVA]))</f>
        <v>0</v>
      </c>
    </row>
    <row r="136" spans="2:30" hidden="1" outlineLevel="1" x14ac:dyDescent="0.25">
      <c r="E136" s="221">
        <f>IFERROR(MATCH(F136,Produccion_Ganadera_Cuentas[Cuenta Contable],0),0)</f>
        <v>22</v>
      </c>
      <c r="F136" s="421" t="s">
        <v>53</v>
      </c>
      <c r="H136" s="103">
        <f>SUMPRODUCT((H$1=Producción_Ganadera[Mes Financiero])*(H$2=Producción_Ganadera[Año Financiero])*($C$115=Producción_Ganadera[Movimiento])*($F136=Producción_Ganadera[Cuenta Contable])*(Producción_Ganadera[Financiero U$S Dólares]))</f>
        <v>0</v>
      </c>
      <c r="I136" s="104">
        <f>SUMPRODUCT((I$1=Producción_Ganadera[Mes Financiero])*(I$2=Producción_Ganadera[Año Financiero])*($C$115=Producción_Ganadera[Movimiento])*($F136=Producción_Ganadera[Cuenta Contable])*(Producción_Ganadera[Financiero U$S Dólares]))</f>
        <v>0</v>
      </c>
      <c r="J136" s="103">
        <f>SUMPRODUCT((J$1=Producción_Ganadera[Mes Financiero])*(J$2=Producción_Ganadera[Año Financiero])*($C$115=Producción_Ganadera[Movimiento])*($F136=Producción_Ganadera[Cuenta Contable])*(Producción_Ganadera[Financiero U$S Dólares]))</f>
        <v>0</v>
      </c>
      <c r="K136" s="104">
        <f>SUMPRODUCT((K$1=Producción_Ganadera[Mes Financiero])*(K$2=Producción_Ganadera[Año Financiero])*($C$115=Producción_Ganadera[Movimiento])*($F136=Producción_Ganadera[Cuenta Contable])*(Producción_Ganadera[Financiero U$S Dólares]))</f>
        <v>0</v>
      </c>
      <c r="L136" s="103">
        <f>SUMPRODUCT((L$1=Producción_Ganadera[Mes Financiero])*(L$2=Producción_Ganadera[Año Financiero])*($C$115=Producción_Ganadera[Movimiento])*($F136=Producción_Ganadera[Cuenta Contable])*(Producción_Ganadera[Financiero U$S Dólares]))</f>
        <v>0</v>
      </c>
      <c r="M136" s="104">
        <f>SUMPRODUCT((M$1=Producción_Ganadera[Mes Financiero])*(M$2=Producción_Ganadera[Año Financiero])*($C$115=Producción_Ganadera[Movimiento])*($F136=Producción_Ganadera[Cuenta Contable])*(Producción_Ganadera[Financiero U$S Dólares]))</f>
        <v>0</v>
      </c>
      <c r="N136" s="103">
        <f>SUMPRODUCT((N$1=Producción_Ganadera[Mes Financiero])*(N$2=Producción_Ganadera[Año Financiero])*($C$115=Producción_Ganadera[Movimiento])*($F136=Producción_Ganadera[Cuenta Contable])*(Producción_Ganadera[Financiero U$S Dólares]))</f>
        <v>0</v>
      </c>
      <c r="O136" s="104">
        <f>SUMPRODUCT((O$1=Producción_Ganadera[Mes Financiero])*(O$2=Producción_Ganadera[Año Financiero])*($C$115=Producción_Ganadera[Movimiento])*($F136=Producción_Ganadera[Cuenta Contable])*(Producción_Ganadera[Financiero U$S Dólares]))</f>
        <v>0</v>
      </c>
      <c r="P136" s="103">
        <f>SUMPRODUCT((P$1=Producción_Ganadera[Mes Financiero])*(P$2=Producción_Ganadera[Año Financiero])*($C$115=Producción_Ganadera[Movimiento])*($F136=Producción_Ganadera[Cuenta Contable])*(Producción_Ganadera[Financiero U$S Dólares]))</f>
        <v>0</v>
      </c>
      <c r="Q136" s="104">
        <f>SUMPRODUCT((Q$1=Producción_Ganadera[Mes Financiero])*(Q$2=Producción_Ganadera[Año Financiero])*($C$115=Producción_Ganadera[Movimiento])*($F136=Producción_Ganadera[Cuenta Contable])*(Producción_Ganadera[Financiero U$S Dólares]))</f>
        <v>0</v>
      </c>
      <c r="R136" s="103">
        <f>SUMPRODUCT((R$1=Producción_Ganadera[Mes Financiero])*(R$2=Producción_Ganadera[Año Financiero])*($C$115=Producción_Ganadera[Movimiento])*($F136=Producción_Ganadera[Cuenta Contable])*(Producción_Ganadera[Financiero U$S Dólares]))</f>
        <v>0</v>
      </c>
      <c r="S136" s="104">
        <f>SUMPRODUCT((S$1=Producción_Ganadera[Mes Financiero])*(S$2=Producción_Ganadera[Año Financiero])*($C$115=Producción_Ganadera[Movimiento])*($F136=Producción_Ganadera[Cuenta Contable])*(Producción_Ganadera[Financiero U$S Dólares]))</f>
        <v>0</v>
      </c>
      <c r="T136" s="103">
        <f>SUMPRODUCT((T$1=Producción_Ganadera[Mes Financiero])*(T$2=Producción_Ganadera[Año Financiero])*($C$115=Producción_Ganadera[Movimiento])*($F136=Producción_Ganadera[Cuenta Contable])*(Producción_Ganadera[Financiero U$S Dólares]))</f>
        <v>0</v>
      </c>
      <c r="U136" s="104">
        <f>SUMPRODUCT((U$1=Producción_Ganadera[Mes Financiero])*(U$2=Producción_Ganadera[Año Financiero])*($C$115=Producción_Ganadera[Movimiento])*($F136=Producción_Ganadera[Cuenta Contable])*(Producción_Ganadera[Financiero U$S Dólares]))</f>
        <v>0</v>
      </c>
      <c r="V136" s="103">
        <f>SUMPRODUCT((V$1=Producción_Ganadera[Mes Financiero])*(V$2=Producción_Ganadera[Año Financiero])*($C$115=Producción_Ganadera[Movimiento])*($F136=Producción_Ganadera[Cuenta Contable])*(Producción_Ganadera[Financiero U$S Dólares]))</f>
        <v>0</v>
      </c>
      <c r="W136" s="104">
        <f>SUMPRODUCT((W$1=Producción_Ganadera[Mes Financiero])*(W$2=Producción_Ganadera[Año Financiero])*($C$115=Producción_Ganadera[Movimiento])*($F136=Producción_Ganadera[Cuenta Contable])*(Producción_Ganadera[Financiero U$S Dólares]))</f>
        <v>0</v>
      </c>
      <c r="X136" s="103">
        <f>SUMPRODUCT((X$1=Producción_Ganadera[Mes Financiero])*(X$2=Producción_Ganadera[Año Financiero])*($C$115=Producción_Ganadera[Movimiento])*($F136=Producción_Ganadera[Cuenta Contable])*(Producción_Ganadera[Financiero U$S Dólares]))</f>
        <v>0</v>
      </c>
      <c r="Y136" s="104">
        <f>SUMPRODUCT((Y$1=Producción_Ganadera[Mes Financiero])*(Y$2=Producción_Ganadera[Año Financiero])*($C$115=Producción_Ganadera[Movimiento])*($F136=Producción_Ganadera[Cuenta Contable])*(Producción_Ganadera[Financiero U$S Dólares]))</f>
        <v>0</v>
      </c>
      <c r="Z136" s="144">
        <f t="shared" si="28"/>
        <v>0</v>
      </c>
      <c r="AC136" s="174">
        <f>SUMPRODUCT((F136=Produccion_Ganadera_Cuentas[Cuenta Contable])*(Produccion_Ganadera_Cuentas[IVA]))</f>
        <v>0.21</v>
      </c>
      <c r="AD136" s="174">
        <f>SUMPRODUCT((G136=Produccion_Ganadera_Cuentas[Cuenta Contable])*(Produccion_Ganadera_Cuentas[IVA]))</f>
        <v>0</v>
      </c>
    </row>
    <row r="137" spans="2:30" hidden="1" outlineLevel="1" x14ac:dyDescent="0.25">
      <c r="E137" s="221">
        <f>IFERROR(MATCH(F137,Produccion_Ganadera_Cuentas[Cuenta Contable],0),0)</f>
        <v>23</v>
      </c>
      <c r="F137" s="421" t="s">
        <v>56</v>
      </c>
      <c r="H137" s="103">
        <f>SUMPRODUCT((H$1=Producción_Ganadera[Mes Financiero])*(H$2=Producción_Ganadera[Año Financiero])*($C$115=Producción_Ganadera[Movimiento])*($F137=Producción_Ganadera[Cuenta Contable])*(Producción_Ganadera[Financiero U$S Dólares]))</f>
        <v>0</v>
      </c>
      <c r="I137" s="104">
        <f>SUMPRODUCT((I$1=Producción_Ganadera[Mes Financiero])*(I$2=Producción_Ganadera[Año Financiero])*($C$115=Producción_Ganadera[Movimiento])*($F137=Producción_Ganadera[Cuenta Contable])*(Producción_Ganadera[Financiero U$S Dólares]))</f>
        <v>0</v>
      </c>
      <c r="J137" s="103">
        <f>SUMPRODUCT((J$1=Producción_Ganadera[Mes Financiero])*(J$2=Producción_Ganadera[Año Financiero])*($C$115=Producción_Ganadera[Movimiento])*($F137=Producción_Ganadera[Cuenta Contable])*(Producción_Ganadera[Financiero U$S Dólares]))</f>
        <v>0</v>
      </c>
      <c r="K137" s="104">
        <f>SUMPRODUCT((K$1=Producción_Ganadera[Mes Financiero])*(K$2=Producción_Ganadera[Año Financiero])*($C$115=Producción_Ganadera[Movimiento])*($F137=Producción_Ganadera[Cuenta Contable])*(Producción_Ganadera[Financiero U$S Dólares]))</f>
        <v>0</v>
      </c>
      <c r="L137" s="103">
        <f>SUMPRODUCT((L$1=Producción_Ganadera[Mes Financiero])*(L$2=Producción_Ganadera[Año Financiero])*($C$115=Producción_Ganadera[Movimiento])*($F137=Producción_Ganadera[Cuenta Contable])*(Producción_Ganadera[Financiero U$S Dólares]))</f>
        <v>0</v>
      </c>
      <c r="M137" s="104">
        <f>SUMPRODUCT((M$1=Producción_Ganadera[Mes Financiero])*(M$2=Producción_Ganadera[Año Financiero])*($C$115=Producción_Ganadera[Movimiento])*($F137=Producción_Ganadera[Cuenta Contable])*(Producción_Ganadera[Financiero U$S Dólares]))</f>
        <v>0</v>
      </c>
      <c r="N137" s="103">
        <f>SUMPRODUCT((N$1=Producción_Ganadera[Mes Financiero])*(N$2=Producción_Ganadera[Año Financiero])*($C$115=Producción_Ganadera[Movimiento])*($F137=Producción_Ganadera[Cuenta Contable])*(Producción_Ganadera[Financiero U$S Dólares]))</f>
        <v>0</v>
      </c>
      <c r="O137" s="104">
        <f>SUMPRODUCT((O$1=Producción_Ganadera[Mes Financiero])*(O$2=Producción_Ganadera[Año Financiero])*($C$115=Producción_Ganadera[Movimiento])*($F137=Producción_Ganadera[Cuenta Contable])*(Producción_Ganadera[Financiero U$S Dólares]))</f>
        <v>0</v>
      </c>
      <c r="P137" s="103">
        <f>SUMPRODUCT((P$1=Producción_Ganadera[Mes Financiero])*(P$2=Producción_Ganadera[Año Financiero])*($C$115=Producción_Ganadera[Movimiento])*($F137=Producción_Ganadera[Cuenta Contable])*(Producción_Ganadera[Financiero U$S Dólares]))</f>
        <v>0</v>
      </c>
      <c r="Q137" s="104">
        <f>SUMPRODUCT((Q$1=Producción_Ganadera[Mes Financiero])*(Q$2=Producción_Ganadera[Año Financiero])*($C$115=Producción_Ganadera[Movimiento])*($F137=Producción_Ganadera[Cuenta Contable])*(Producción_Ganadera[Financiero U$S Dólares]))</f>
        <v>0</v>
      </c>
      <c r="R137" s="103">
        <f>SUMPRODUCT((R$1=Producción_Ganadera[Mes Financiero])*(R$2=Producción_Ganadera[Año Financiero])*($C$115=Producción_Ganadera[Movimiento])*($F137=Producción_Ganadera[Cuenta Contable])*(Producción_Ganadera[Financiero U$S Dólares]))</f>
        <v>0</v>
      </c>
      <c r="S137" s="104">
        <f>SUMPRODUCT((S$1=Producción_Ganadera[Mes Financiero])*(S$2=Producción_Ganadera[Año Financiero])*($C$115=Producción_Ganadera[Movimiento])*($F137=Producción_Ganadera[Cuenta Contable])*(Producción_Ganadera[Financiero U$S Dólares]))</f>
        <v>0</v>
      </c>
      <c r="T137" s="103">
        <f>SUMPRODUCT((T$1=Producción_Ganadera[Mes Financiero])*(T$2=Producción_Ganadera[Año Financiero])*($C$115=Producción_Ganadera[Movimiento])*($F137=Producción_Ganadera[Cuenta Contable])*(Producción_Ganadera[Financiero U$S Dólares]))</f>
        <v>0</v>
      </c>
      <c r="U137" s="104">
        <f>SUMPRODUCT((U$1=Producción_Ganadera[Mes Financiero])*(U$2=Producción_Ganadera[Año Financiero])*($C$115=Producción_Ganadera[Movimiento])*($F137=Producción_Ganadera[Cuenta Contable])*(Producción_Ganadera[Financiero U$S Dólares]))</f>
        <v>0</v>
      </c>
      <c r="V137" s="103">
        <f>SUMPRODUCT((V$1=Producción_Ganadera[Mes Financiero])*(V$2=Producción_Ganadera[Año Financiero])*($C$115=Producción_Ganadera[Movimiento])*($F137=Producción_Ganadera[Cuenta Contable])*(Producción_Ganadera[Financiero U$S Dólares]))</f>
        <v>0</v>
      </c>
      <c r="W137" s="104">
        <f>SUMPRODUCT((W$1=Producción_Ganadera[Mes Financiero])*(W$2=Producción_Ganadera[Año Financiero])*($C$115=Producción_Ganadera[Movimiento])*($F137=Producción_Ganadera[Cuenta Contable])*(Producción_Ganadera[Financiero U$S Dólares]))</f>
        <v>0</v>
      </c>
      <c r="X137" s="103">
        <f>SUMPRODUCT((X$1=Producción_Ganadera[Mes Financiero])*(X$2=Producción_Ganadera[Año Financiero])*($C$115=Producción_Ganadera[Movimiento])*($F137=Producción_Ganadera[Cuenta Contable])*(Producción_Ganadera[Financiero U$S Dólares]))</f>
        <v>0</v>
      </c>
      <c r="Y137" s="104">
        <f>SUMPRODUCT((Y$1=Producción_Ganadera[Mes Financiero])*(Y$2=Producción_Ganadera[Año Financiero])*($C$115=Producción_Ganadera[Movimiento])*($F137=Producción_Ganadera[Cuenta Contable])*(Producción_Ganadera[Financiero U$S Dólares]))</f>
        <v>0</v>
      </c>
      <c r="Z137" s="144">
        <f t="shared" ref="Z137:Z139" si="29">SUM(H137:Y137)</f>
        <v>0</v>
      </c>
      <c r="AC137" s="174"/>
      <c r="AD137" s="174"/>
    </row>
    <row r="138" spans="2:30" hidden="1" outlineLevel="1" x14ac:dyDescent="0.25">
      <c r="B138" s="166" t="s">
        <v>101</v>
      </c>
      <c r="E138" s="221">
        <f>IFERROR(MATCH(F138,Produccion_Ganadera_Cuentas[Cuenta Contable],0),0)</f>
        <v>0</v>
      </c>
      <c r="F138" s="421"/>
      <c r="H138" s="103">
        <f>SUMPRODUCT((H$1=Producción_Ganadera[Mes Financiero])*(H$2=Producción_Ganadera[Año Financiero])*($C$115=Producción_Ganadera[Movimiento])*($F138=Producción_Ganadera[Cuenta Contable])*(Producción_Ganadera[Financiero U$S Dólares]))</f>
        <v>0</v>
      </c>
      <c r="I138" s="104">
        <f>SUMPRODUCT((I$1=Producción_Ganadera[Mes Financiero])*(I$2=Producción_Ganadera[Año Financiero])*($C$115=Producción_Ganadera[Movimiento])*($F138=Producción_Ganadera[Cuenta Contable])*(Producción_Ganadera[Financiero U$S Dólares]))</f>
        <v>0</v>
      </c>
      <c r="J138" s="103">
        <f>SUMPRODUCT((J$1=Producción_Ganadera[Mes Financiero])*(J$2=Producción_Ganadera[Año Financiero])*($C$115=Producción_Ganadera[Movimiento])*($F138=Producción_Ganadera[Cuenta Contable])*(Producción_Ganadera[Financiero U$S Dólares]))</f>
        <v>0</v>
      </c>
      <c r="K138" s="104">
        <f>SUMPRODUCT((K$1=Producción_Ganadera[Mes Financiero])*(K$2=Producción_Ganadera[Año Financiero])*($C$115=Producción_Ganadera[Movimiento])*($F138=Producción_Ganadera[Cuenta Contable])*(Producción_Ganadera[Financiero U$S Dólares]))</f>
        <v>0</v>
      </c>
      <c r="L138" s="103">
        <f>SUMPRODUCT((L$1=Producción_Ganadera[Mes Financiero])*(L$2=Producción_Ganadera[Año Financiero])*($C$115=Producción_Ganadera[Movimiento])*($F138=Producción_Ganadera[Cuenta Contable])*(Producción_Ganadera[Financiero U$S Dólares]))</f>
        <v>0</v>
      </c>
      <c r="M138" s="104">
        <f>SUMPRODUCT((M$1=Producción_Ganadera[Mes Financiero])*(M$2=Producción_Ganadera[Año Financiero])*($C$115=Producción_Ganadera[Movimiento])*($F138=Producción_Ganadera[Cuenta Contable])*(Producción_Ganadera[Financiero U$S Dólares]))</f>
        <v>0</v>
      </c>
      <c r="N138" s="103">
        <f>SUMPRODUCT((N$1=Producción_Ganadera[Mes Financiero])*(N$2=Producción_Ganadera[Año Financiero])*($C$115=Producción_Ganadera[Movimiento])*($F138=Producción_Ganadera[Cuenta Contable])*(Producción_Ganadera[Financiero U$S Dólares]))</f>
        <v>0</v>
      </c>
      <c r="O138" s="104">
        <f>SUMPRODUCT((O$1=Producción_Ganadera[Mes Financiero])*(O$2=Producción_Ganadera[Año Financiero])*($C$115=Producción_Ganadera[Movimiento])*($F138=Producción_Ganadera[Cuenta Contable])*(Producción_Ganadera[Financiero U$S Dólares]))</f>
        <v>0</v>
      </c>
      <c r="P138" s="103">
        <f>SUMPRODUCT((P$1=Producción_Ganadera[Mes Financiero])*(P$2=Producción_Ganadera[Año Financiero])*($C$115=Producción_Ganadera[Movimiento])*($F138=Producción_Ganadera[Cuenta Contable])*(Producción_Ganadera[Financiero U$S Dólares]))</f>
        <v>0</v>
      </c>
      <c r="Q138" s="104">
        <f>SUMPRODUCT((Q$1=Producción_Ganadera[Mes Financiero])*(Q$2=Producción_Ganadera[Año Financiero])*($C$115=Producción_Ganadera[Movimiento])*($F138=Producción_Ganadera[Cuenta Contable])*(Producción_Ganadera[Financiero U$S Dólares]))</f>
        <v>0</v>
      </c>
      <c r="R138" s="103">
        <f>SUMPRODUCT((R$1=Producción_Ganadera[Mes Financiero])*(R$2=Producción_Ganadera[Año Financiero])*($C$115=Producción_Ganadera[Movimiento])*($F138=Producción_Ganadera[Cuenta Contable])*(Producción_Ganadera[Financiero U$S Dólares]))</f>
        <v>0</v>
      </c>
      <c r="S138" s="104">
        <f>SUMPRODUCT((S$1=Producción_Ganadera[Mes Financiero])*(S$2=Producción_Ganadera[Año Financiero])*($C$115=Producción_Ganadera[Movimiento])*($F138=Producción_Ganadera[Cuenta Contable])*(Producción_Ganadera[Financiero U$S Dólares]))</f>
        <v>0</v>
      </c>
      <c r="T138" s="103">
        <f>SUMPRODUCT((T$1=Producción_Ganadera[Mes Financiero])*(T$2=Producción_Ganadera[Año Financiero])*($C$115=Producción_Ganadera[Movimiento])*($F138=Producción_Ganadera[Cuenta Contable])*(Producción_Ganadera[Financiero U$S Dólares]))</f>
        <v>0</v>
      </c>
      <c r="U138" s="104">
        <f>SUMPRODUCT((U$1=Producción_Ganadera[Mes Financiero])*(U$2=Producción_Ganadera[Año Financiero])*($C$115=Producción_Ganadera[Movimiento])*($F138=Producción_Ganadera[Cuenta Contable])*(Producción_Ganadera[Financiero U$S Dólares]))</f>
        <v>0</v>
      </c>
      <c r="V138" s="103">
        <f>SUMPRODUCT((V$1=Producción_Ganadera[Mes Financiero])*(V$2=Producción_Ganadera[Año Financiero])*($C$115=Producción_Ganadera[Movimiento])*($F138=Producción_Ganadera[Cuenta Contable])*(Producción_Ganadera[Financiero U$S Dólares]))</f>
        <v>0</v>
      </c>
      <c r="W138" s="104">
        <f>SUMPRODUCT((W$1=Producción_Ganadera[Mes Financiero])*(W$2=Producción_Ganadera[Año Financiero])*($C$115=Producción_Ganadera[Movimiento])*($F138=Producción_Ganadera[Cuenta Contable])*(Producción_Ganadera[Financiero U$S Dólares]))</f>
        <v>0</v>
      </c>
      <c r="X138" s="103">
        <f>SUMPRODUCT((X$1=Producción_Ganadera[Mes Financiero])*(X$2=Producción_Ganadera[Año Financiero])*($C$115=Producción_Ganadera[Movimiento])*($F138=Producción_Ganadera[Cuenta Contable])*(Producción_Ganadera[Financiero U$S Dólares]))</f>
        <v>0</v>
      </c>
      <c r="Y138" s="104">
        <f>SUMPRODUCT((Y$1=Producción_Ganadera[Mes Financiero])*(Y$2=Producción_Ganadera[Año Financiero])*($C$115=Producción_Ganadera[Movimiento])*($F138=Producción_Ganadera[Cuenta Contable])*(Producción_Ganadera[Financiero U$S Dólares]))</f>
        <v>0</v>
      </c>
      <c r="Z138" s="144">
        <f t="shared" si="29"/>
        <v>0</v>
      </c>
      <c r="AC138" s="174"/>
      <c r="AD138" s="174"/>
    </row>
    <row r="139" spans="2:30" hidden="1" outlineLevel="1" x14ac:dyDescent="0.25">
      <c r="E139" s="222"/>
      <c r="F139" s="276" t="s">
        <v>234</v>
      </c>
      <c r="G139" s="94"/>
      <c r="H139" s="105">
        <f>SUMPRODUCT(($C$115=Producción_Ganadera[Movimiento])*(H$1=Producción_Ganadera[Mes Financiero])*(H$2=Producción_Ganadera[Año Financiero])*(Producción_Ganadera[Financiero U$S Dólares]))-SUM(H129:H138,H116)</f>
        <v>0</v>
      </c>
      <c r="I139" s="106">
        <f>SUMPRODUCT(($C$115=Producción_Ganadera[Movimiento])*(I$1=Producción_Ganadera[Mes Financiero])*(I$2=Producción_Ganadera[Año Financiero])*(Producción_Ganadera[Financiero U$S Dólares]))-SUM(I129:I138,I116)</f>
        <v>0</v>
      </c>
      <c r="J139" s="105">
        <f>SUMPRODUCT(($C$115=Producción_Ganadera[Movimiento])*(J$1=Producción_Ganadera[Mes Financiero])*(J$2=Producción_Ganadera[Año Financiero])*(Producción_Ganadera[Financiero U$S Dólares]))-SUM(J129:J138,J116)</f>
        <v>0</v>
      </c>
      <c r="K139" s="106">
        <f>SUMPRODUCT(($C$115=Producción_Ganadera[Movimiento])*(K$1=Producción_Ganadera[Mes Financiero])*(K$2=Producción_Ganadera[Año Financiero])*(Producción_Ganadera[Financiero U$S Dólares]))-SUM(K129:K138,K116)</f>
        <v>0</v>
      </c>
      <c r="L139" s="105">
        <f>SUMPRODUCT(($C$115=Producción_Ganadera[Movimiento])*(L$1=Producción_Ganadera[Mes Financiero])*(L$2=Producción_Ganadera[Año Financiero])*(Producción_Ganadera[Financiero U$S Dólares]))-SUM(L129:L138,L116)</f>
        <v>0</v>
      </c>
      <c r="M139" s="106">
        <f>SUMPRODUCT(($C$115=Producción_Ganadera[Movimiento])*(M$1=Producción_Ganadera[Mes Financiero])*(M$2=Producción_Ganadera[Año Financiero])*(Producción_Ganadera[Financiero U$S Dólares]))-SUM(M129:M138,M116)</f>
        <v>0</v>
      </c>
      <c r="N139" s="105">
        <f>SUMPRODUCT(($C$115=Producción_Ganadera[Movimiento])*(N$1=Producción_Ganadera[Mes Financiero])*(N$2=Producción_Ganadera[Año Financiero])*(Producción_Ganadera[Financiero U$S Dólares]))-SUM(N129:N138,N116)</f>
        <v>0</v>
      </c>
      <c r="O139" s="106">
        <f>SUMPRODUCT(($C$115=Producción_Ganadera[Movimiento])*(O$1=Producción_Ganadera[Mes Financiero])*(O$2=Producción_Ganadera[Año Financiero])*(Producción_Ganadera[Financiero U$S Dólares]))-SUM(O129:O138,O116)</f>
        <v>0</v>
      </c>
      <c r="P139" s="105">
        <f>SUMPRODUCT(($C$115=Producción_Ganadera[Movimiento])*(P$1=Producción_Ganadera[Mes Financiero])*(P$2=Producción_Ganadera[Año Financiero])*(Producción_Ganadera[Financiero U$S Dólares]))-SUM(P129:P138,P116)</f>
        <v>0</v>
      </c>
      <c r="Q139" s="106">
        <f>SUMPRODUCT(($C$115=Producción_Ganadera[Movimiento])*(Q$1=Producción_Ganadera[Mes Financiero])*(Q$2=Producción_Ganadera[Año Financiero])*(Producción_Ganadera[Financiero U$S Dólares]))-SUM(Q129:Q138,Q116)</f>
        <v>0</v>
      </c>
      <c r="R139" s="105">
        <f>SUMPRODUCT(($C$115=Producción_Ganadera[Movimiento])*(R$1=Producción_Ganadera[Mes Financiero])*(R$2=Producción_Ganadera[Año Financiero])*(Producción_Ganadera[Financiero U$S Dólares]))-SUM(R129:R138,R116)</f>
        <v>0</v>
      </c>
      <c r="S139" s="106">
        <f>SUMPRODUCT(($C$115=Producción_Ganadera[Movimiento])*(S$1=Producción_Ganadera[Mes Financiero])*(S$2=Producción_Ganadera[Año Financiero])*(Producción_Ganadera[Financiero U$S Dólares]))-SUM(S129:S138,S116)</f>
        <v>0</v>
      </c>
      <c r="T139" s="105">
        <f>SUMPRODUCT(($C$115=Producción_Ganadera[Movimiento])*(T$1=Producción_Ganadera[Mes Financiero])*(T$2=Producción_Ganadera[Año Financiero])*(Producción_Ganadera[Financiero U$S Dólares]))-SUM(T129:T138,T116)</f>
        <v>0</v>
      </c>
      <c r="U139" s="106">
        <f>SUMPRODUCT(($C$115=Producción_Ganadera[Movimiento])*(U$1=Producción_Ganadera[Mes Financiero])*(U$2=Producción_Ganadera[Año Financiero])*(Producción_Ganadera[Financiero U$S Dólares]))-SUM(U129:U138,U116)</f>
        <v>0</v>
      </c>
      <c r="V139" s="105">
        <f>SUMPRODUCT(($C$115=Producción_Ganadera[Movimiento])*(V$1=Producción_Ganadera[Mes Financiero])*(V$2=Producción_Ganadera[Año Financiero])*(Producción_Ganadera[Financiero U$S Dólares]))-SUM(V129:V138,V116)</f>
        <v>0</v>
      </c>
      <c r="W139" s="106">
        <f>SUMPRODUCT(($C$115=Producción_Ganadera[Movimiento])*(W$1=Producción_Ganadera[Mes Financiero])*(W$2=Producción_Ganadera[Año Financiero])*(Producción_Ganadera[Financiero U$S Dólares]))-SUM(W129:W138,W116)</f>
        <v>0</v>
      </c>
      <c r="X139" s="105">
        <f>SUMPRODUCT(($C$115=Producción_Ganadera[Movimiento])*(X$1=Producción_Ganadera[Mes Financiero])*(X$2=Producción_Ganadera[Año Financiero])*(Producción_Ganadera[Financiero U$S Dólares]))-SUM(X129:X138,X116)</f>
        <v>0</v>
      </c>
      <c r="Y139" s="106">
        <f>SUMPRODUCT(($C$115=Producción_Ganadera[Movimiento])*(Y$1=Producción_Ganadera[Mes Financiero])*(Y$2=Producción_Ganadera[Año Financiero])*(Producción_Ganadera[Financiero U$S Dólares]))-SUM(Y129:Y138,Y116)</f>
        <v>0</v>
      </c>
      <c r="Z139" s="163">
        <f t="shared" si="29"/>
        <v>0</v>
      </c>
      <c r="AC139" s="174">
        <f>SUMPRODUCT((F139=Produccion_Ganadera_Cuentas[Cuenta Contable])*(Produccion_Ganadera_Cuentas[IVA]))</f>
        <v>0</v>
      </c>
      <c r="AD139" s="174">
        <f>SUMPRODUCT((G139=Produccion_Ganadera_Cuentas[Cuenta Contable])*(Produccion_Ganadera_Cuentas[IVA]))</f>
        <v>0</v>
      </c>
    </row>
    <row r="140" spans="2:30" collapsed="1" x14ac:dyDescent="0.25">
      <c r="C140" s="210" t="s">
        <v>38</v>
      </c>
      <c r="D140" s="381" t="s">
        <v>164</v>
      </c>
      <c r="F140" s="420" t="s">
        <v>185</v>
      </c>
      <c r="G140" s="19"/>
      <c r="H140" s="112">
        <f>SUMPRODUCT(($C$140=Producción_Lecheria[Movimiento])*(H$1=Producción_Lecheria[Mes Financiero])*(H$2=Producción_Lecheria[Año Financiero])*(Producción_Lecheria[Financiero U$S Dólares]))</f>
        <v>0</v>
      </c>
      <c r="I140" s="113">
        <f>SUMPRODUCT(($C$140=Producción_Lecheria[Movimiento])*(I$1=Producción_Lecheria[Mes Financiero])*(I$2=Producción_Lecheria[Año Financiero])*(Producción_Lecheria[Financiero U$S Dólares]))</f>
        <v>0</v>
      </c>
      <c r="J140" s="112">
        <f>SUMPRODUCT(($C$140=Producción_Lecheria[Movimiento])*(J$1=Producción_Lecheria[Mes Financiero])*(J$2=Producción_Lecheria[Año Financiero])*(Producción_Lecheria[Financiero U$S Dólares]))</f>
        <v>0</v>
      </c>
      <c r="K140" s="113">
        <f>SUMPRODUCT(($C$140=Producción_Lecheria[Movimiento])*(K$1=Producción_Lecheria[Mes Financiero])*(K$2=Producción_Lecheria[Año Financiero])*(Producción_Lecheria[Financiero U$S Dólares]))</f>
        <v>0</v>
      </c>
      <c r="L140" s="112">
        <f>SUMPRODUCT(($C$140=Producción_Lecheria[Movimiento])*(L$1=Producción_Lecheria[Mes Financiero])*(L$2=Producción_Lecheria[Año Financiero])*(Producción_Lecheria[Financiero U$S Dólares]))</f>
        <v>0</v>
      </c>
      <c r="M140" s="113">
        <f>SUMPRODUCT(($C$140=Producción_Lecheria[Movimiento])*(M$1=Producción_Lecheria[Mes Financiero])*(M$2=Producción_Lecheria[Año Financiero])*(Producción_Lecheria[Financiero U$S Dólares]))</f>
        <v>0</v>
      </c>
      <c r="N140" s="112">
        <f>SUMPRODUCT(($C$140=Producción_Lecheria[Movimiento])*(N$1=Producción_Lecheria[Mes Financiero])*(N$2=Producción_Lecheria[Año Financiero])*(Producción_Lecheria[Financiero U$S Dólares]))</f>
        <v>0</v>
      </c>
      <c r="O140" s="113">
        <f>SUMPRODUCT(($C$140=Producción_Lecheria[Movimiento])*(O$1=Producción_Lecheria[Mes Financiero])*(O$2=Producción_Lecheria[Año Financiero])*(Producción_Lecheria[Financiero U$S Dólares]))</f>
        <v>0</v>
      </c>
      <c r="P140" s="112">
        <f>SUMPRODUCT(($C$140=Producción_Lecheria[Movimiento])*(P$1=Producción_Lecheria[Mes Financiero])*(P$2=Producción_Lecheria[Año Financiero])*(Producción_Lecheria[Financiero U$S Dólares]))</f>
        <v>0</v>
      </c>
      <c r="Q140" s="113">
        <f>SUMPRODUCT(($C$140=Producción_Lecheria[Movimiento])*(Q$1=Producción_Lecheria[Mes Financiero])*(Q$2=Producción_Lecheria[Año Financiero])*(Producción_Lecheria[Financiero U$S Dólares]))</f>
        <v>0</v>
      </c>
      <c r="R140" s="112">
        <f>SUMPRODUCT(($C$140=Producción_Lecheria[Movimiento])*(R$1=Producción_Lecheria[Mes Financiero])*(R$2=Producción_Lecheria[Año Financiero])*(Producción_Lecheria[Financiero U$S Dólares]))</f>
        <v>0</v>
      </c>
      <c r="S140" s="113">
        <f>SUMPRODUCT(($C$140=Producción_Lecheria[Movimiento])*(S$1=Producción_Lecheria[Mes Financiero])*(S$2=Producción_Lecheria[Año Financiero])*(Producción_Lecheria[Financiero U$S Dólares]))</f>
        <v>0</v>
      </c>
      <c r="T140" s="112">
        <f>SUMPRODUCT(($C$140=Producción_Lecheria[Movimiento])*(T$1=Producción_Lecheria[Mes Financiero])*(T$2=Producción_Lecheria[Año Financiero])*(Producción_Lecheria[Financiero U$S Dólares]))</f>
        <v>0</v>
      </c>
      <c r="U140" s="113">
        <f>SUMPRODUCT(($C$140=Producción_Lecheria[Movimiento])*(U$1=Producción_Lecheria[Mes Financiero])*(U$2=Producción_Lecheria[Año Financiero])*(Producción_Lecheria[Financiero U$S Dólares]))</f>
        <v>0</v>
      </c>
      <c r="V140" s="112">
        <f>SUMPRODUCT(($C$140=Producción_Lecheria[Movimiento])*(V$1=Producción_Lecheria[Mes Financiero])*(V$2=Producción_Lecheria[Año Financiero])*(Producción_Lecheria[Financiero U$S Dólares]))</f>
        <v>0</v>
      </c>
      <c r="W140" s="113">
        <f>SUMPRODUCT(($C$140=Producción_Lecheria[Movimiento])*(W$1=Producción_Lecheria[Mes Financiero])*(W$2=Producción_Lecheria[Año Financiero])*(Producción_Lecheria[Financiero U$S Dólares]))</f>
        <v>0</v>
      </c>
      <c r="X140" s="112">
        <f>SUMPRODUCT(($C$140=Producción_Lecheria[Movimiento])*(X$1=Producción_Lecheria[Mes Financiero])*(X$2=Producción_Lecheria[Año Financiero])*(Producción_Lecheria[Financiero U$S Dólares]))</f>
        <v>0</v>
      </c>
      <c r="Y140" s="113">
        <f>SUMPRODUCT(($C$140=Producción_Lecheria[Movimiento])*(Y$1=Producción_Lecheria[Mes Financiero])*(Y$2=Producción_Lecheria[Año Financiero])*(Producción_Lecheria[Financiero U$S Dólares]))</f>
        <v>0</v>
      </c>
      <c r="Z140" s="147">
        <f t="shared" si="28"/>
        <v>0</v>
      </c>
    </row>
    <row r="141" spans="2:30" hidden="1" outlineLevel="1" x14ac:dyDescent="0.25">
      <c r="E141" s="223">
        <f>MATCH(F141,Produccion_Lecheria_Cuentas[Cuenta Contable],0)</f>
        <v>7</v>
      </c>
      <c r="F141" s="10" t="s">
        <v>170</v>
      </c>
      <c r="H141" s="103">
        <f>SUMPRODUCT(($C$140=Producción_Lecheria[Movimiento])*($F141=Producción_Lecheria[Cuenta Contable])*(H$1=Producción_Lecheria[Mes Financiero])*(H$2=Producción_Lecheria[Año Financiero])*(Producción_Lecheria[Financiero U$S Dólares]))</f>
        <v>0</v>
      </c>
      <c r="I141" s="104">
        <f>SUMPRODUCT(($C$140=Producción_Lecheria[Movimiento])*($F141=Producción_Lecheria[Cuenta Contable])*(I$1=Producción_Lecheria[Mes Financiero])*(I$2=Producción_Lecheria[Año Financiero])*(Producción_Lecheria[Financiero U$S Dólares]))</f>
        <v>0</v>
      </c>
      <c r="J141" s="103">
        <f>SUMPRODUCT(($C$140=Producción_Lecheria[Movimiento])*($F141=Producción_Lecheria[Cuenta Contable])*(J$1=Producción_Lecheria[Mes Financiero])*(J$2=Producción_Lecheria[Año Financiero])*(Producción_Lecheria[Financiero U$S Dólares]))</f>
        <v>0</v>
      </c>
      <c r="K141" s="104">
        <f>SUMPRODUCT(($C$140=Producción_Lecheria[Movimiento])*($F141=Producción_Lecheria[Cuenta Contable])*(K$1=Producción_Lecheria[Mes Financiero])*(K$2=Producción_Lecheria[Año Financiero])*(Producción_Lecheria[Financiero U$S Dólares]))</f>
        <v>0</v>
      </c>
      <c r="L141" s="103">
        <f>SUMPRODUCT(($C$140=Producción_Lecheria[Movimiento])*($F141=Producción_Lecheria[Cuenta Contable])*(L$1=Producción_Lecheria[Mes Financiero])*(L$2=Producción_Lecheria[Año Financiero])*(Producción_Lecheria[Financiero U$S Dólares]))</f>
        <v>0</v>
      </c>
      <c r="M141" s="104">
        <f>SUMPRODUCT(($C$140=Producción_Lecheria[Movimiento])*($F141=Producción_Lecheria[Cuenta Contable])*(M$1=Producción_Lecheria[Mes Financiero])*(M$2=Producción_Lecheria[Año Financiero])*(Producción_Lecheria[Financiero U$S Dólares]))</f>
        <v>0</v>
      </c>
      <c r="N141" s="103">
        <f>SUMPRODUCT(($C$140=Producción_Lecheria[Movimiento])*($F141=Producción_Lecheria[Cuenta Contable])*(N$1=Producción_Lecheria[Mes Financiero])*(N$2=Producción_Lecheria[Año Financiero])*(Producción_Lecheria[Financiero U$S Dólares]))</f>
        <v>0</v>
      </c>
      <c r="O141" s="104">
        <f>SUMPRODUCT(($C$140=Producción_Lecheria[Movimiento])*($F141=Producción_Lecheria[Cuenta Contable])*(O$1=Producción_Lecheria[Mes Financiero])*(O$2=Producción_Lecheria[Año Financiero])*(Producción_Lecheria[Financiero U$S Dólares]))</f>
        <v>0</v>
      </c>
      <c r="P141" s="103">
        <f>SUMPRODUCT(($C$140=Producción_Lecheria[Movimiento])*($F141=Producción_Lecheria[Cuenta Contable])*(P$1=Producción_Lecheria[Mes Financiero])*(P$2=Producción_Lecheria[Año Financiero])*(Producción_Lecheria[Financiero U$S Dólares]))</f>
        <v>0</v>
      </c>
      <c r="Q141" s="104">
        <f>SUMPRODUCT(($C$140=Producción_Lecheria[Movimiento])*($F141=Producción_Lecheria[Cuenta Contable])*(Q$1=Producción_Lecheria[Mes Financiero])*(Q$2=Producción_Lecheria[Año Financiero])*(Producción_Lecheria[Financiero U$S Dólares]))</f>
        <v>0</v>
      </c>
      <c r="R141" s="103">
        <f>SUMPRODUCT(($C$140=Producción_Lecheria[Movimiento])*($F141=Producción_Lecheria[Cuenta Contable])*(R$1=Producción_Lecheria[Mes Financiero])*(R$2=Producción_Lecheria[Año Financiero])*(Producción_Lecheria[Financiero U$S Dólares]))</f>
        <v>0</v>
      </c>
      <c r="S141" s="104">
        <f>SUMPRODUCT(($C$140=Producción_Lecheria[Movimiento])*($F141=Producción_Lecheria[Cuenta Contable])*(S$1=Producción_Lecheria[Mes Financiero])*(S$2=Producción_Lecheria[Año Financiero])*(Producción_Lecheria[Financiero U$S Dólares]))</f>
        <v>0</v>
      </c>
      <c r="T141" s="103">
        <f>SUMPRODUCT(($C$140=Producción_Lecheria[Movimiento])*($F141=Producción_Lecheria[Cuenta Contable])*(T$1=Producción_Lecheria[Mes Financiero])*(T$2=Producción_Lecheria[Año Financiero])*(Producción_Lecheria[Financiero U$S Dólares]))</f>
        <v>0</v>
      </c>
      <c r="U141" s="104">
        <f>SUMPRODUCT(($C$140=Producción_Lecheria[Movimiento])*($F141=Producción_Lecheria[Cuenta Contable])*(U$1=Producción_Lecheria[Mes Financiero])*(U$2=Producción_Lecheria[Año Financiero])*(Producción_Lecheria[Financiero U$S Dólares]))</f>
        <v>0</v>
      </c>
      <c r="V141" s="103">
        <f>SUMPRODUCT(($C$140=Producción_Lecheria[Movimiento])*($F141=Producción_Lecheria[Cuenta Contable])*(V$1=Producción_Lecheria[Mes Financiero])*(V$2=Producción_Lecheria[Año Financiero])*(Producción_Lecheria[Financiero U$S Dólares]))</f>
        <v>0</v>
      </c>
      <c r="W141" s="104">
        <f>SUMPRODUCT(($C$140=Producción_Lecheria[Movimiento])*($F141=Producción_Lecheria[Cuenta Contable])*(W$1=Producción_Lecheria[Mes Financiero])*(W$2=Producción_Lecheria[Año Financiero])*(Producción_Lecheria[Financiero U$S Dólares]))</f>
        <v>0</v>
      </c>
      <c r="X141" s="103">
        <f>SUMPRODUCT(($C$140=Producción_Lecheria[Movimiento])*($F141=Producción_Lecheria[Cuenta Contable])*(X$1=Producción_Lecheria[Mes Financiero])*(X$2=Producción_Lecheria[Año Financiero])*(Producción_Lecheria[Financiero U$S Dólares]))</f>
        <v>0</v>
      </c>
      <c r="Y141" s="104">
        <f>SUMPRODUCT(($C$140=Producción_Lecheria[Movimiento])*($F141=Producción_Lecheria[Cuenta Contable])*(Y$1=Producción_Lecheria[Mes Financiero])*(Y$2=Producción_Lecheria[Año Financiero])*(Producción_Lecheria[Financiero U$S Dólares]))</f>
        <v>0</v>
      </c>
      <c r="Z141" s="139">
        <f t="shared" si="28"/>
        <v>0</v>
      </c>
    </row>
    <row r="142" spans="2:30" hidden="1" outlineLevel="2" x14ac:dyDescent="0.25">
      <c r="F142" s="215">
        <f>MATCH(G142,Produccion_Lecheria[Categoría],0)</f>
        <v>1</v>
      </c>
      <c r="G142" s="410" t="str">
        <f>Configuración!BM5</f>
        <v>Vaca Ordeñe</v>
      </c>
      <c r="H142" s="117">
        <f>SUMPRODUCT(($C$140=Producción_Lecheria[Movimiento])*($G142=Producción_Lecheria[Categoría Hacienda])*(H$1=Producción_Lecheria[Mes Financiero])*(H$2=Producción_Lecheria[Año Financiero])*(Producción_Lecheria[Financiero U$S Dólares]))</f>
        <v>0</v>
      </c>
      <c r="I142" s="118">
        <f>SUMPRODUCT(($C$140=Producción_Lecheria[Movimiento])*($G142=Producción_Lecheria[Categoría Hacienda])*(I$1=Producción_Lecheria[Mes Financiero])*(I$2=Producción_Lecheria[Año Financiero])*(Producción_Lecheria[Financiero U$S Dólares]))</f>
        <v>0</v>
      </c>
      <c r="J142" s="117">
        <f>SUMPRODUCT(($C$140=Producción_Lecheria[Movimiento])*($G142=Producción_Lecheria[Categoría Hacienda])*(J$1=Producción_Lecheria[Mes Financiero])*(J$2=Producción_Lecheria[Año Financiero])*(Producción_Lecheria[Financiero U$S Dólares]))</f>
        <v>0</v>
      </c>
      <c r="K142" s="118">
        <f>SUMPRODUCT(($C$140=Producción_Lecheria[Movimiento])*($G142=Producción_Lecheria[Categoría Hacienda])*(K$1=Producción_Lecheria[Mes Financiero])*(K$2=Producción_Lecheria[Año Financiero])*(Producción_Lecheria[Financiero U$S Dólares]))</f>
        <v>0</v>
      </c>
      <c r="L142" s="117">
        <f>SUMPRODUCT(($C$140=Producción_Lecheria[Movimiento])*($G142=Producción_Lecheria[Categoría Hacienda])*(L$1=Producción_Lecheria[Mes Financiero])*(L$2=Producción_Lecheria[Año Financiero])*(Producción_Lecheria[Financiero U$S Dólares]))</f>
        <v>0</v>
      </c>
      <c r="M142" s="118">
        <f>SUMPRODUCT(($C$140=Producción_Lecheria[Movimiento])*($G142=Producción_Lecheria[Categoría Hacienda])*(M$1=Producción_Lecheria[Mes Financiero])*(M$2=Producción_Lecheria[Año Financiero])*(Producción_Lecheria[Financiero U$S Dólares]))</f>
        <v>0</v>
      </c>
      <c r="N142" s="117">
        <f>SUMPRODUCT(($C$140=Producción_Lecheria[Movimiento])*($G142=Producción_Lecheria[Categoría Hacienda])*(N$1=Producción_Lecheria[Mes Financiero])*(N$2=Producción_Lecheria[Año Financiero])*(Producción_Lecheria[Financiero U$S Dólares]))</f>
        <v>0</v>
      </c>
      <c r="O142" s="118">
        <f>SUMPRODUCT(($C$140=Producción_Lecheria[Movimiento])*($G142=Producción_Lecheria[Categoría Hacienda])*(O$1=Producción_Lecheria[Mes Financiero])*(O$2=Producción_Lecheria[Año Financiero])*(Producción_Lecheria[Financiero U$S Dólares]))</f>
        <v>0</v>
      </c>
      <c r="P142" s="117">
        <f>SUMPRODUCT(($C$140=Producción_Lecheria[Movimiento])*($G142=Producción_Lecheria[Categoría Hacienda])*(P$1=Producción_Lecheria[Mes Financiero])*(P$2=Producción_Lecheria[Año Financiero])*(Producción_Lecheria[Financiero U$S Dólares]))</f>
        <v>0</v>
      </c>
      <c r="Q142" s="118">
        <f>SUMPRODUCT(($C$140=Producción_Lecheria[Movimiento])*($G142=Producción_Lecheria[Categoría Hacienda])*(Q$1=Producción_Lecheria[Mes Financiero])*(Q$2=Producción_Lecheria[Año Financiero])*(Producción_Lecheria[Financiero U$S Dólares]))</f>
        <v>0</v>
      </c>
      <c r="R142" s="117">
        <f>SUMPRODUCT(($C$140=Producción_Lecheria[Movimiento])*($G142=Producción_Lecheria[Categoría Hacienda])*(R$1=Producción_Lecheria[Mes Financiero])*(R$2=Producción_Lecheria[Año Financiero])*(Producción_Lecheria[Financiero U$S Dólares]))</f>
        <v>0</v>
      </c>
      <c r="S142" s="118">
        <f>SUMPRODUCT(($C$140=Producción_Lecheria[Movimiento])*($G142=Producción_Lecheria[Categoría Hacienda])*(S$1=Producción_Lecheria[Mes Financiero])*(S$2=Producción_Lecheria[Año Financiero])*(Producción_Lecheria[Financiero U$S Dólares]))</f>
        <v>0</v>
      </c>
      <c r="T142" s="117">
        <f>SUMPRODUCT(($C$140=Producción_Lecheria[Movimiento])*($G142=Producción_Lecheria[Categoría Hacienda])*(T$1=Producción_Lecheria[Mes Financiero])*(T$2=Producción_Lecheria[Año Financiero])*(Producción_Lecheria[Financiero U$S Dólares]))</f>
        <v>0</v>
      </c>
      <c r="U142" s="118">
        <f>SUMPRODUCT(($C$140=Producción_Lecheria[Movimiento])*($G142=Producción_Lecheria[Categoría Hacienda])*(U$1=Producción_Lecheria[Mes Financiero])*(U$2=Producción_Lecheria[Año Financiero])*(Producción_Lecheria[Financiero U$S Dólares]))</f>
        <v>0</v>
      </c>
      <c r="V142" s="117">
        <f>SUMPRODUCT(($C$140=Producción_Lecheria[Movimiento])*($G142=Producción_Lecheria[Categoría Hacienda])*(V$1=Producción_Lecheria[Mes Financiero])*(V$2=Producción_Lecheria[Año Financiero])*(Producción_Lecheria[Financiero U$S Dólares]))</f>
        <v>0</v>
      </c>
      <c r="W142" s="118">
        <f>SUMPRODUCT(($C$140=Producción_Lecheria[Movimiento])*($G142=Producción_Lecheria[Categoría Hacienda])*(W$1=Producción_Lecheria[Mes Financiero])*(W$2=Producción_Lecheria[Año Financiero])*(Producción_Lecheria[Financiero U$S Dólares]))</f>
        <v>0</v>
      </c>
      <c r="X142" s="117">
        <f>SUMPRODUCT(($C$140=Producción_Lecheria[Movimiento])*($G142=Producción_Lecheria[Categoría Hacienda])*(X$1=Producción_Lecheria[Mes Financiero])*(X$2=Producción_Lecheria[Año Financiero])*(Producción_Lecheria[Financiero U$S Dólares]))</f>
        <v>0</v>
      </c>
      <c r="Y142" s="118">
        <f>SUMPRODUCT(($C$140=Producción_Lecheria[Movimiento])*($G142=Producción_Lecheria[Categoría Hacienda])*(Y$1=Producción_Lecheria[Mes Financiero])*(Y$2=Producción_Lecheria[Año Financiero])*(Producción_Lecheria[Financiero U$S Dólares]))</f>
        <v>0</v>
      </c>
      <c r="Z142" s="148">
        <f t="shared" si="28"/>
        <v>0</v>
      </c>
    </row>
    <row r="143" spans="2:30" hidden="1" outlineLevel="2" x14ac:dyDescent="0.25">
      <c r="F143" s="215">
        <f>MATCH(G143,Produccion_Lecheria[Categoría],0)</f>
        <v>2</v>
      </c>
      <c r="G143" s="410" t="str">
        <f>Configuración!BM6</f>
        <v>Vaca Seca</v>
      </c>
      <c r="H143" s="117">
        <f>SUMPRODUCT(($C$140=Producción_Lecheria[Movimiento])*($G143=Producción_Lecheria[Categoría Hacienda])*(H$1=Producción_Lecheria[Mes Financiero])*(H$2=Producción_Lecheria[Año Financiero])*(Producción_Lecheria[Financiero U$S Dólares]))</f>
        <v>0</v>
      </c>
      <c r="I143" s="118">
        <f>SUMPRODUCT(($C$140=Producción_Lecheria[Movimiento])*($G143=Producción_Lecheria[Categoría Hacienda])*(I$1=Producción_Lecheria[Mes Financiero])*(I$2=Producción_Lecheria[Año Financiero])*(Producción_Lecheria[Financiero U$S Dólares]))</f>
        <v>0</v>
      </c>
      <c r="J143" s="117">
        <f>SUMPRODUCT(($C$140=Producción_Lecheria[Movimiento])*($G143=Producción_Lecheria[Categoría Hacienda])*(J$1=Producción_Lecheria[Mes Financiero])*(J$2=Producción_Lecheria[Año Financiero])*(Producción_Lecheria[Financiero U$S Dólares]))</f>
        <v>0</v>
      </c>
      <c r="K143" s="118">
        <f>SUMPRODUCT(($C$140=Producción_Lecheria[Movimiento])*($G143=Producción_Lecheria[Categoría Hacienda])*(K$1=Producción_Lecheria[Mes Financiero])*(K$2=Producción_Lecheria[Año Financiero])*(Producción_Lecheria[Financiero U$S Dólares]))</f>
        <v>0</v>
      </c>
      <c r="L143" s="117">
        <f>SUMPRODUCT(($C$140=Producción_Lecheria[Movimiento])*($G143=Producción_Lecheria[Categoría Hacienda])*(L$1=Producción_Lecheria[Mes Financiero])*(L$2=Producción_Lecheria[Año Financiero])*(Producción_Lecheria[Financiero U$S Dólares]))</f>
        <v>0</v>
      </c>
      <c r="M143" s="118">
        <f>SUMPRODUCT(($C$140=Producción_Lecheria[Movimiento])*($G143=Producción_Lecheria[Categoría Hacienda])*(M$1=Producción_Lecheria[Mes Financiero])*(M$2=Producción_Lecheria[Año Financiero])*(Producción_Lecheria[Financiero U$S Dólares]))</f>
        <v>0</v>
      </c>
      <c r="N143" s="117">
        <f>SUMPRODUCT(($C$140=Producción_Lecheria[Movimiento])*($G143=Producción_Lecheria[Categoría Hacienda])*(N$1=Producción_Lecheria[Mes Financiero])*(N$2=Producción_Lecheria[Año Financiero])*(Producción_Lecheria[Financiero U$S Dólares]))</f>
        <v>0</v>
      </c>
      <c r="O143" s="118">
        <f>SUMPRODUCT(($C$140=Producción_Lecheria[Movimiento])*($G143=Producción_Lecheria[Categoría Hacienda])*(O$1=Producción_Lecheria[Mes Financiero])*(O$2=Producción_Lecheria[Año Financiero])*(Producción_Lecheria[Financiero U$S Dólares]))</f>
        <v>0</v>
      </c>
      <c r="P143" s="117">
        <f>SUMPRODUCT(($C$140=Producción_Lecheria[Movimiento])*($G143=Producción_Lecheria[Categoría Hacienda])*(P$1=Producción_Lecheria[Mes Financiero])*(P$2=Producción_Lecheria[Año Financiero])*(Producción_Lecheria[Financiero U$S Dólares]))</f>
        <v>0</v>
      </c>
      <c r="Q143" s="118">
        <f>SUMPRODUCT(($C$140=Producción_Lecheria[Movimiento])*($G143=Producción_Lecheria[Categoría Hacienda])*(Q$1=Producción_Lecheria[Mes Financiero])*(Q$2=Producción_Lecheria[Año Financiero])*(Producción_Lecheria[Financiero U$S Dólares]))</f>
        <v>0</v>
      </c>
      <c r="R143" s="117">
        <f>SUMPRODUCT(($C$140=Producción_Lecheria[Movimiento])*($G143=Producción_Lecheria[Categoría Hacienda])*(R$1=Producción_Lecheria[Mes Financiero])*(R$2=Producción_Lecheria[Año Financiero])*(Producción_Lecheria[Financiero U$S Dólares]))</f>
        <v>0</v>
      </c>
      <c r="S143" s="118">
        <f>SUMPRODUCT(($C$140=Producción_Lecheria[Movimiento])*($G143=Producción_Lecheria[Categoría Hacienda])*(S$1=Producción_Lecheria[Mes Financiero])*(S$2=Producción_Lecheria[Año Financiero])*(Producción_Lecheria[Financiero U$S Dólares]))</f>
        <v>0</v>
      </c>
      <c r="T143" s="117">
        <f>SUMPRODUCT(($C$140=Producción_Lecheria[Movimiento])*($G143=Producción_Lecheria[Categoría Hacienda])*(T$1=Producción_Lecheria[Mes Financiero])*(T$2=Producción_Lecheria[Año Financiero])*(Producción_Lecheria[Financiero U$S Dólares]))</f>
        <v>0</v>
      </c>
      <c r="U143" s="118">
        <f>SUMPRODUCT(($C$140=Producción_Lecheria[Movimiento])*($G143=Producción_Lecheria[Categoría Hacienda])*(U$1=Producción_Lecheria[Mes Financiero])*(U$2=Producción_Lecheria[Año Financiero])*(Producción_Lecheria[Financiero U$S Dólares]))</f>
        <v>0</v>
      </c>
      <c r="V143" s="117">
        <f>SUMPRODUCT(($C$140=Producción_Lecheria[Movimiento])*($G143=Producción_Lecheria[Categoría Hacienda])*(V$1=Producción_Lecheria[Mes Financiero])*(V$2=Producción_Lecheria[Año Financiero])*(Producción_Lecheria[Financiero U$S Dólares]))</f>
        <v>0</v>
      </c>
      <c r="W143" s="118">
        <f>SUMPRODUCT(($C$140=Producción_Lecheria[Movimiento])*($G143=Producción_Lecheria[Categoría Hacienda])*(W$1=Producción_Lecheria[Mes Financiero])*(W$2=Producción_Lecheria[Año Financiero])*(Producción_Lecheria[Financiero U$S Dólares]))</f>
        <v>0</v>
      </c>
      <c r="X143" s="117">
        <f>SUMPRODUCT(($C$140=Producción_Lecheria[Movimiento])*($G143=Producción_Lecheria[Categoría Hacienda])*(X$1=Producción_Lecheria[Mes Financiero])*(X$2=Producción_Lecheria[Año Financiero])*(Producción_Lecheria[Financiero U$S Dólares]))</f>
        <v>0</v>
      </c>
      <c r="Y143" s="118">
        <f>SUMPRODUCT(($C$140=Producción_Lecheria[Movimiento])*($G143=Producción_Lecheria[Categoría Hacienda])*(Y$1=Producción_Lecheria[Mes Financiero])*(Y$2=Producción_Lecheria[Año Financiero])*(Producción_Lecheria[Financiero U$S Dólares]))</f>
        <v>0</v>
      </c>
      <c r="Z143" s="148">
        <f t="shared" si="28"/>
        <v>0</v>
      </c>
    </row>
    <row r="144" spans="2:30" hidden="1" outlineLevel="2" x14ac:dyDescent="0.25">
      <c r="F144" s="215">
        <f>MATCH(G144,Produccion_Lecheria[Categoría],0)</f>
        <v>3</v>
      </c>
      <c r="G144" s="410" t="str">
        <f>Configuración!BM7</f>
        <v>Toro</v>
      </c>
      <c r="H144" s="117">
        <f>SUMPRODUCT(($C$140=Producción_Lecheria[Movimiento])*($G144=Producción_Lecheria[Categoría Hacienda])*(H$1=Producción_Lecheria[Mes Financiero])*(H$2=Producción_Lecheria[Año Financiero])*(Producción_Lecheria[Financiero U$S Dólares]))</f>
        <v>0</v>
      </c>
      <c r="I144" s="118">
        <f>SUMPRODUCT(($C$140=Producción_Lecheria[Movimiento])*($G144=Producción_Lecheria[Categoría Hacienda])*(I$1=Producción_Lecheria[Mes Financiero])*(I$2=Producción_Lecheria[Año Financiero])*(Producción_Lecheria[Financiero U$S Dólares]))</f>
        <v>0</v>
      </c>
      <c r="J144" s="117">
        <f>SUMPRODUCT(($C$140=Producción_Lecheria[Movimiento])*($G144=Producción_Lecheria[Categoría Hacienda])*(J$1=Producción_Lecheria[Mes Financiero])*(J$2=Producción_Lecheria[Año Financiero])*(Producción_Lecheria[Financiero U$S Dólares]))</f>
        <v>0</v>
      </c>
      <c r="K144" s="118">
        <f>SUMPRODUCT(($C$140=Producción_Lecheria[Movimiento])*($G144=Producción_Lecheria[Categoría Hacienda])*(K$1=Producción_Lecheria[Mes Financiero])*(K$2=Producción_Lecheria[Año Financiero])*(Producción_Lecheria[Financiero U$S Dólares]))</f>
        <v>0</v>
      </c>
      <c r="L144" s="117">
        <f>SUMPRODUCT(($C$140=Producción_Lecheria[Movimiento])*($G144=Producción_Lecheria[Categoría Hacienda])*(L$1=Producción_Lecheria[Mes Financiero])*(L$2=Producción_Lecheria[Año Financiero])*(Producción_Lecheria[Financiero U$S Dólares]))</f>
        <v>0</v>
      </c>
      <c r="M144" s="118">
        <f>SUMPRODUCT(($C$140=Producción_Lecheria[Movimiento])*($G144=Producción_Lecheria[Categoría Hacienda])*(M$1=Producción_Lecheria[Mes Financiero])*(M$2=Producción_Lecheria[Año Financiero])*(Producción_Lecheria[Financiero U$S Dólares]))</f>
        <v>0</v>
      </c>
      <c r="N144" s="117">
        <f>SUMPRODUCT(($C$140=Producción_Lecheria[Movimiento])*($G144=Producción_Lecheria[Categoría Hacienda])*(N$1=Producción_Lecheria[Mes Financiero])*(N$2=Producción_Lecheria[Año Financiero])*(Producción_Lecheria[Financiero U$S Dólares]))</f>
        <v>0</v>
      </c>
      <c r="O144" s="118">
        <f>SUMPRODUCT(($C$140=Producción_Lecheria[Movimiento])*($G144=Producción_Lecheria[Categoría Hacienda])*(O$1=Producción_Lecheria[Mes Financiero])*(O$2=Producción_Lecheria[Año Financiero])*(Producción_Lecheria[Financiero U$S Dólares]))</f>
        <v>0</v>
      </c>
      <c r="P144" s="117">
        <f>SUMPRODUCT(($C$140=Producción_Lecheria[Movimiento])*($G144=Producción_Lecheria[Categoría Hacienda])*(P$1=Producción_Lecheria[Mes Financiero])*(P$2=Producción_Lecheria[Año Financiero])*(Producción_Lecheria[Financiero U$S Dólares]))</f>
        <v>0</v>
      </c>
      <c r="Q144" s="118">
        <f>SUMPRODUCT(($C$140=Producción_Lecheria[Movimiento])*($G144=Producción_Lecheria[Categoría Hacienda])*(Q$1=Producción_Lecheria[Mes Financiero])*(Q$2=Producción_Lecheria[Año Financiero])*(Producción_Lecheria[Financiero U$S Dólares]))</f>
        <v>0</v>
      </c>
      <c r="R144" s="117">
        <f>SUMPRODUCT(($C$140=Producción_Lecheria[Movimiento])*($G144=Producción_Lecheria[Categoría Hacienda])*(R$1=Producción_Lecheria[Mes Financiero])*(R$2=Producción_Lecheria[Año Financiero])*(Producción_Lecheria[Financiero U$S Dólares]))</f>
        <v>0</v>
      </c>
      <c r="S144" s="118">
        <f>SUMPRODUCT(($C$140=Producción_Lecheria[Movimiento])*($G144=Producción_Lecheria[Categoría Hacienda])*(S$1=Producción_Lecheria[Mes Financiero])*(S$2=Producción_Lecheria[Año Financiero])*(Producción_Lecheria[Financiero U$S Dólares]))</f>
        <v>0</v>
      </c>
      <c r="T144" s="117">
        <f>SUMPRODUCT(($C$140=Producción_Lecheria[Movimiento])*($G144=Producción_Lecheria[Categoría Hacienda])*(T$1=Producción_Lecheria[Mes Financiero])*(T$2=Producción_Lecheria[Año Financiero])*(Producción_Lecheria[Financiero U$S Dólares]))</f>
        <v>0</v>
      </c>
      <c r="U144" s="118">
        <f>SUMPRODUCT(($C$140=Producción_Lecheria[Movimiento])*($G144=Producción_Lecheria[Categoría Hacienda])*(U$1=Producción_Lecheria[Mes Financiero])*(U$2=Producción_Lecheria[Año Financiero])*(Producción_Lecheria[Financiero U$S Dólares]))</f>
        <v>0</v>
      </c>
      <c r="V144" s="117">
        <f>SUMPRODUCT(($C$140=Producción_Lecheria[Movimiento])*($G144=Producción_Lecheria[Categoría Hacienda])*(V$1=Producción_Lecheria[Mes Financiero])*(V$2=Producción_Lecheria[Año Financiero])*(Producción_Lecheria[Financiero U$S Dólares]))</f>
        <v>0</v>
      </c>
      <c r="W144" s="118">
        <f>SUMPRODUCT(($C$140=Producción_Lecheria[Movimiento])*($G144=Producción_Lecheria[Categoría Hacienda])*(W$1=Producción_Lecheria[Mes Financiero])*(W$2=Producción_Lecheria[Año Financiero])*(Producción_Lecheria[Financiero U$S Dólares]))</f>
        <v>0</v>
      </c>
      <c r="X144" s="117">
        <f>SUMPRODUCT(($C$140=Producción_Lecheria[Movimiento])*($G144=Producción_Lecheria[Categoría Hacienda])*(X$1=Producción_Lecheria[Mes Financiero])*(X$2=Producción_Lecheria[Año Financiero])*(Producción_Lecheria[Financiero U$S Dólares]))</f>
        <v>0</v>
      </c>
      <c r="Y144" s="118">
        <f>SUMPRODUCT(($C$140=Producción_Lecheria[Movimiento])*($G144=Producción_Lecheria[Categoría Hacienda])*(Y$1=Producción_Lecheria[Mes Financiero])*(Y$2=Producción_Lecheria[Año Financiero])*(Producción_Lecheria[Financiero U$S Dólares]))</f>
        <v>0</v>
      </c>
      <c r="Z144" s="148">
        <f t="shared" si="28"/>
        <v>0</v>
      </c>
    </row>
    <row r="145" spans="2:30" hidden="1" outlineLevel="2" x14ac:dyDescent="0.25">
      <c r="F145" s="215">
        <f>MATCH(G145,Produccion_Lecheria[Categoría],0)</f>
        <v>4</v>
      </c>
      <c r="G145" s="410" t="str">
        <f>Configuración!BM8</f>
        <v>Vaquillona Preñada</v>
      </c>
      <c r="H145" s="117">
        <f>SUMPRODUCT(($C$140=Producción_Lecheria[Movimiento])*($G145=Producción_Lecheria[Categoría Hacienda])*(H$1=Producción_Lecheria[Mes Financiero])*(H$2=Producción_Lecheria[Año Financiero])*(Producción_Lecheria[Financiero U$S Dólares]))</f>
        <v>0</v>
      </c>
      <c r="I145" s="118">
        <f>SUMPRODUCT(($C$140=Producción_Lecheria[Movimiento])*($G145=Producción_Lecheria[Categoría Hacienda])*(I$1=Producción_Lecheria[Mes Financiero])*(I$2=Producción_Lecheria[Año Financiero])*(Producción_Lecheria[Financiero U$S Dólares]))</f>
        <v>0</v>
      </c>
      <c r="J145" s="117">
        <f>SUMPRODUCT(($C$140=Producción_Lecheria[Movimiento])*($G145=Producción_Lecheria[Categoría Hacienda])*(J$1=Producción_Lecheria[Mes Financiero])*(J$2=Producción_Lecheria[Año Financiero])*(Producción_Lecheria[Financiero U$S Dólares]))</f>
        <v>0</v>
      </c>
      <c r="K145" s="118">
        <f>SUMPRODUCT(($C$140=Producción_Lecheria[Movimiento])*($G145=Producción_Lecheria[Categoría Hacienda])*(K$1=Producción_Lecheria[Mes Financiero])*(K$2=Producción_Lecheria[Año Financiero])*(Producción_Lecheria[Financiero U$S Dólares]))</f>
        <v>0</v>
      </c>
      <c r="L145" s="117">
        <f>SUMPRODUCT(($C$140=Producción_Lecheria[Movimiento])*($G145=Producción_Lecheria[Categoría Hacienda])*(L$1=Producción_Lecheria[Mes Financiero])*(L$2=Producción_Lecheria[Año Financiero])*(Producción_Lecheria[Financiero U$S Dólares]))</f>
        <v>0</v>
      </c>
      <c r="M145" s="118">
        <f>SUMPRODUCT(($C$140=Producción_Lecheria[Movimiento])*($G145=Producción_Lecheria[Categoría Hacienda])*(M$1=Producción_Lecheria[Mes Financiero])*(M$2=Producción_Lecheria[Año Financiero])*(Producción_Lecheria[Financiero U$S Dólares]))</f>
        <v>0</v>
      </c>
      <c r="N145" s="117">
        <f>SUMPRODUCT(($C$140=Producción_Lecheria[Movimiento])*($G145=Producción_Lecheria[Categoría Hacienda])*(N$1=Producción_Lecheria[Mes Financiero])*(N$2=Producción_Lecheria[Año Financiero])*(Producción_Lecheria[Financiero U$S Dólares]))</f>
        <v>0</v>
      </c>
      <c r="O145" s="118">
        <f>SUMPRODUCT(($C$140=Producción_Lecheria[Movimiento])*($G145=Producción_Lecheria[Categoría Hacienda])*(O$1=Producción_Lecheria[Mes Financiero])*(O$2=Producción_Lecheria[Año Financiero])*(Producción_Lecheria[Financiero U$S Dólares]))</f>
        <v>0</v>
      </c>
      <c r="P145" s="117">
        <f>SUMPRODUCT(($C$140=Producción_Lecheria[Movimiento])*($G145=Producción_Lecheria[Categoría Hacienda])*(P$1=Producción_Lecheria[Mes Financiero])*(P$2=Producción_Lecheria[Año Financiero])*(Producción_Lecheria[Financiero U$S Dólares]))</f>
        <v>0</v>
      </c>
      <c r="Q145" s="118">
        <f>SUMPRODUCT(($C$140=Producción_Lecheria[Movimiento])*($G145=Producción_Lecheria[Categoría Hacienda])*(Q$1=Producción_Lecheria[Mes Financiero])*(Q$2=Producción_Lecheria[Año Financiero])*(Producción_Lecheria[Financiero U$S Dólares]))</f>
        <v>0</v>
      </c>
      <c r="R145" s="117">
        <f>SUMPRODUCT(($C$140=Producción_Lecheria[Movimiento])*($G145=Producción_Lecheria[Categoría Hacienda])*(R$1=Producción_Lecheria[Mes Financiero])*(R$2=Producción_Lecheria[Año Financiero])*(Producción_Lecheria[Financiero U$S Dólares]))</f>
        <v>0</v>
      </c>
      <c r="S145" s="118">
        <f>SUMPRODUCT(($C$140=Producción_Lecheria[Movimiento])*($G145=Producción_Lecheria[Categoría Hacienda])*(S$1=Producción_Lecheria[Mes Financiero])*(S$2=Producción_Lecheria[Año Financiero])*(Producción_Lecheria[Financiero U$S Dólares]))</f>
        <v>0</v>
      </c>
      <c r="T145" s="117">
        <f>SUMPRODUCT(($C$140=Producción_Lecheria[Movimiento])*($G145=Producción_Lecheria[Categoría Hacienda])*(T$1=Producción_Lecheria[Mes Financiero])*(T$2=Producción_Lecheria[Año Financiero])*(Producción_Lecheria[Financiero U$S Dólares]))</f>
        <v>0</v>
      </c>
      <c r="U145" s="118">
        <f>SUMPRODUCT(($C$140=Producción_Lecheria[Movimiento])*($G145=Producción_Lecheria[Categoría Hacienda])*(U$1=Producción_Lecheria[Mes Financiero])*(U$2=Producción_Lecheria[Año Financiero])*(Producción_Lecheria[Financiero U$S Dólares]))</f>
        <v>0</v>
      </c>
      <c r="V145" s="117">
        <f>SUMPRODUCT(($C$140=Producción_Lecheria[Movimiento])*($G145=Producción_Lecheria[Categoría Hacienda])*(V$1=Producción_Lecheria[Mes Financiero])*(V$2=Producción_Lecheria[Año Financiero])*(Producción_Lecheria[Financiero U$S Dólares]))</f>
        <v>0</v>
      </c>
      <c r="W145" s="118">
        <f>SUMPRODUCT(($C$140=Producción_Lecheria[Movimiento])*($G145=Producción_Lecheria[Categoría Hacienda])*(W$1=Producción_Lecheria[Mes Financiero])*(W$2=Producción_Lecheria[Año Financiero])*(Producción_Lecheria[Financiero U$S Dólares]))</f>
        <v>0</v>
      </c>
      <c r="X145" s="117">
        <f>SUMPRODUCT(($C$140=Producción_Lecheria[Movimiento])*($G145=Producción_Lecheria[Categoría Hacienda])*(X$1=Producción_Lecheria[Mes Financiero])*(X$2=Producción_Lecheria[Año Financiero])*(Producción_Lecheria[Financiero U$S Dólares]))</f>
        <v>0</v>
      </c>
      <c r="Y145" s="118">
        <f>SUMPRODUCT(($C$140=Producción_Lecheria[Movimiento])*($G145=Producción_Lecheria[Categoría Hacienda])*(Y$1=Producción_Lecheria[Mes Financiero])*(Y$2=Producción_Lecheria[Año Financiero])*(Producción_Lecheria[Financiero U$S Dólares]))</f>
        <v>0</v>
      </c>
      <c r="Z145" s="148">
        <f t="shared" si="28"/>
        <v>0</v>
      </c>
    </row>
    <row r="146" spans="2:30" hidden="1" outlineLevel="2" x14ac:dyDescent="0.25">
      <c r="F146" s="215">
        <f>MATCH(G146,Produccion_Lecheria[Categoría],0)</f>
        <v>5</v>
      </c>
      <c r="G146" s="410" t="str">
        <f>Configuración!BM9</f>
        <v>Vaquillona 06-15</v>
      </c>
      <c r="H146" s="117">
        <f>SUMPRODUCT(($C$140=Producción_Lecheria[Movimiento])*($G146=Producción_Lecheria[Categoría Hacienda])*(H$1=Producción_Lecheria[Mes Financiero])*(H$2=Producción_Lecheria[Año Financiero])*(Producción_Lecheria[Financiero U$S Dólares]))</f>
        <v>0</v>
      </c>
      <c r="I146" s="118">
        <f>SUMPRODUCT(($C$140=Producción_Lecheria[Movimiento])*($G146=Producción_Lecheria[Categoría Hacienda])*(I$1=Producción_Lecheria[Mes Financiero])*(I$2=Producción_Lecheria[Año Financiero])*(Producción_Lecheria[Financiero U$S Dólares]))</f>
        <v>0</v>
      </c>
      <c r="J146" s="117">
        <f>SUMPRODUCT(($C$140=Producción_Lecheria[Movimiento])*($G146=Producción_Lecheria[Categoría Hacienda])*(J$1=Producción_Lecheria[Mes Financiero])*(J$2=Producción_Lecheria[Año Financiero])*(Producción_Lecheria[Financiero U$S Dólares]))</f>
        <v>0</v>
      </c>
      <c r="K146" s="118">
        <f>SUMPRODUCT(($C$140=Producción_Lecheria[Movimiento])*($G146=Producción_Lecheria[Categoría Hacienda])*(K$1=Producción_Lecheria[Mes Financiero])*(K$2=Producción_Lecheria[Año Financiero])*(Producción_Lecheria[Financiero U$S Dólares]))</f>
        <v>0</v>
      </c>
      <c r="L146" s="117">
        <f>SUMPRODUCT(($C$140=Producción_Lecheria[Movimiento])*($G146=Producción_Lecheria[Categoría Hacienda])*(L$1=Producción_Lecheria[Mes Financiero])*(L$2=Producción_Lecheria[Año Financiero])*(Producción_Lecheria[Financiero U$S Dólares]))</f>
        <v>0</v>
      </c>
      <c r="M146" s="118">
        <f>SUMPRODUCT(($C$140=Producción_Lecheria[Movimiento])*($G146=Producción_Lecheria[Categoría Hacienda])*(M$1=Producción_Lecheria[Mes Financiero])*(M$2=Producción_Lecheria[Año Financiero])*(Producción_Lecheria[Financiero U$S Dólares]))</f>
        <v>0</v>
      </c>
      <c r="N146" s="117">
        <f>SUMPRODUCT(($C$140=Producción_Lecheria[Movimiento])*($G146=Producción_Lecheria[Categoría Hacienda])*(N$1=Producción_Lecheria[Mes Financiero])*(N$2=Producción_Lecheria[Año Financiero])*(Producción_Lecheria[Financiero U$S Dólares]))</f>
        <v>0</v>
      </c>
      <c r="O146" s="118">
        <f>SUMPRODUCT(($C$140=Producción_Lecheria[Movimiento])*($G146=Producción_Lecheria[Categoría Hacienda])*(O$1=Producción_Lecheria[Mes Financiero])*(O$2=Producción_Lecheria[Año Financiero])*(Producción_Lecheria[Financiero U$S Dólares]))</f>
        <v>0</v>
      </c>
      <c r="P146" s="117">
        <f>SUMPRODUCT(($C$140=Producción_Lecheria[Movimiento])*($G146=Producción_Lecheria[Categoría Hacienda])*(P$1=Producción_Lecheria[Mes Financiero])*(P$2=Producción_Lecheria[Año Financiero])*(Producción_Lecheria[Financiero U$S Dólares]))</f>
        <v>0</v>
      </c>
      <c r="Q146" s="118">
        <f>SUMPRODUCT(($C$140=Producción_Lecheria[Movimiento])*($G146=Producción_Lecheria[Categoría Hacienda])*(Q$1=Producción_Lecheria[Mes Financiero])*(Q$2=Producción_Lecheria[Año Financiero])*(Producción_Lecheria[Financiero U$S Dólares]))</f>
        <v>0</v>
      </c>
      <c r="R146" s="117">
        <f>SUMPRODUCT(($C$140=Producción_Lecheria[Movimiento])*($G146=Producción_Lecheria[Categoría Hacienda])*(R$1=Producción_Lecheria[Mes Financiero])*(R$2=Producción_Lecheria[Año Financiero])*(Producción_Lecheria[Financiero U$S Dólares]))</f>
        <v>0</v>
      </c>
      <c r="S146" s="118">
        <f>SUMPRODUCT(($C$140=Producción_Lecheria[Movimiento])*($G146=Producción_Lecheria[Categoría Hacienda])*(S$1=Producción_Lecheria[Mes Financiero])*(S$2=Producción_Lecheria[Año Financiero])*(Producción_Lecheria[Financiero U$S Dólares]))</f>
        <v>0</v>
      </c>
      <c r="T146" s="117">
        <f>SUMPRODUCT(($C$140=Producción_Lecheria[Movimiento])*($G146=Producción_Lecheria[Categoría Hacienda])*(T$1=Producción_Lecheria[Mes Financiero])*(T$2=Producción_Lecheria[Año Financiero])*(Producción_Lecheria[Financiero U$S Dólares]))</f>
        <v>0</v>
      </c>
      <c r="U146" s="118">
        <f>SUMPRODUCT(($C$140=Producción_Lecheria[Movimiento])*($G146=Producción_Lecheria[Categoría Hacienda])*(U$1=Producción_Lecheria[Mes Financiero])*(U$2=Producción_Lecheria[Año Financiero])*(Producción_Lecheria[Financiero U$S Dólares]))</f>
        <v>0</v>
      </c>
      <c r="V146" s="117">
        <f>SUMPRODUCT(($C$140=Producción_Lecheria[Movimiento])*($G146=Producción_Lecheria[Categoría Hacienda])*(V$1=Producción_Lecheria[Mes Financiero])*(V$2=Producción_Lecheria[Año Financiero])*(Producción_Lecheria[Financiero U$S Dólares]))</f>
        <v>0</v>
      </c>
      <c r="W146" s="118">
        <f>SUMPRODUCT(($C$140=Producción_Lecheria[Movimiento])*($G146=Producción_Lecheria[Categoría Hacienda])*(W$1=Producción_Lecheria[Mes Financiero])*(W$2=Producción_Lecheria[Año Financiero])*(Producción_Lecheria[Financiero U$S Dólares]))</f>
        <v>0</v>
      </c>
      <c r="X146" s="117">
        <f>SUMPRODUCT(($C$140=Producción_Lecheria[Movimiento])*($G146=Producción_Lecheria[Categoría Hacienda])*(X$1=Producción_Lecheria[Mes Financiero])*(X$2=Producción_Lecheria[Año Financiero])*(Producción_Lecheria[Financiero U$S Dólares]))</f>
        <v>0</v>
      </c>
      <c r="Y146" s="118">
        <f>SUMPRODUCT(($C$140=Producción_Lecheria[Movimiento])*($G146=Producción_Lecheria[Categoría Hacienda])*(Y$1=Producción_Lecheria[Mes Financiero])*(Y$2=Producción_Lecheria[Año Financiero])*(Producción_Lecheria[Financiero U$S Dólares]))</f>
        <v>0</v>
      </c>
      <c r="Z146" s="148">
        <f t="shared" si="28"/>
        <v>0</v>
      </c>
    </row>
    <row r="147" spans="2:30" hidden="1" outlineLevel="2" x14ac:dyDescent="0.25">
      <c r="F147" s="215">
        <f>MATCH(G147,Produccion_Lecheria[Categoría],0)</f>
        <v>6</v>
      </c>
      <c r="G147" s="410" t="str">
        <f>Configuración!BM10</f>
        <v>Vaquillona 15-27</v>
      </c>
      <c r="H147" s="117">
        <f>SUMPRODUCT(($C$140=Producción_Lecheria[Movimiento])*($G147=Producción_Lecheria[Categoría Hacienda])*(H$1=Producción_Lecheria[Mes Financiero])*(H$2=Producción_Lecheria[Año Financiero])*(Producción_Lecheria[Financiero U$S Dólares]))</f>
        <v>0</v>
      </c>
      <c r="I147" s="118">
        <f>SUMPRODUCT(($C$140=Producción_Lecheria[Movimiento])*($G147=Producción_Lecheria[Categoría Hacienda])*(I$1=Producción_Lecheria[Mes Financiero])*(I$2=Producción_Lecheria[Año Financiero])*(Producción_Lecheria[Financiero U$S Dólares]))</f>
        <v>0</v>
      </c>
      <c r="J147" s="117">
        <f>SUMPRODUCT(($C$140=Producción_Lecheria[Movimiento])*($G147=Producción_Lecheria[Categoría Hacienda])*(J$1=Producción_Lecheria[Mes Financiero])*(J$2=Producción_Lecheria[Año Financiero])*(Producción_Lecheria[Financiero U$S Dólares]))</f>
        <v>0</v>
      </c>
      <c r="K147" s="118">
        <f>SUMPRODUCT(($C$140=Producción_Lecheria[Movimiento])*($G147=Producción_Lecheria[Categoría Hacienda])*(K$1=Producción_Lecheria[Mes Financiero])*(K$2=Producción_Lecheria[Año Financiero])*(Producción_Lecheria[Financiero U$S Dólares]))</f>
        <v>0</v>
      </c>
      <c r="L147" s="117">
        <f>SUMPRODUCT(($C$140=Producción_Lecheria[Movimiento])*($G147=Producción_Lecheria[Categoría Hacienda])*(L$1=Producción_Lecheria[Mes Financiero])*(L$2=Producción_Lecheria[Año Financiero])*(Producción_Lecheria[Financiero U$S Dólares]))</f>
        <v>0</v>
      </c>
      <c r="M147" s="118">
        <f>SUMPRODUCT(($C$140=Producción_Lecheria[Movimiento])*($G147=Producción_Lecheria[Categoría Hacienda])*(M$1=Producción_Lecheria[Mes Financiero])*(M$2=Producción_Lecheria[Año Financiero])*(Producción_Lecheria[Financiero U$S Dólares]))</f>
        <v>0</v>
      </c>
      <c r="N147" s="117">
        <f>SUMPRODUCT(($C$140=Producción_Lecheria[Movimiento])*($G147=Producción_Lecheria[Categoría Hacienda])*(N$1=Producción_Lecheria[Mes Financiero])*(N$2=Producción_Lecheria[Año Financiero])*(Producción_Lecheria[Financiero U$S Dólares]))</f>
        <v>0</v>
      </c>
      <c r="O147" s="118">
        <f>SUMPRODUCT(($C$140=Producción_Lecheria[Movimiento])*($G147=Producción_Lecheria[Categoría Hacienda])*(O$1=Producción_Lecheria[Mes Financiero])*(O$2=Producción_Lecheria[Año Financiero])*(Producción_Lecheria[Financiero U$S Dólares]))</f>
        <v>0</v>
      </c>
      <c r="P147" s="117">
        <f>SUMPRODUCT(($C$140=Producción_Lecheria[Movimiento])*($G147=Producción_Lecheria[Categoría Hacienda])*(P$1=Producción_Lecheria[Mes Financiero])*(P$2=Producción_Lecheria[Año Financiero])*(Producción_Lecheria[Financiero U$S Dólares]))</f>
        <v>0</v>
      </c>
      <c r="Q147" s="118">
        <f>SUMPRODUCT(($C$140=Producción_Lecheria[Movimiento])*($G147=Producción_Lecheria[Categoría Hacienda])*(Q$1=Producción_Lecheria[Mes Financiero])*(Q$2=Producción_Lecheria[Año Financiero])*(Producción_Lecheria[Financiero U$S Dólares]))</f>
        <v>0</v>
      </c>
      <c r="R147" s="117">
        <f>SUMPRODUCT(($C$140=Producción_Lecheria[Movimiento])*($G147=Producción_Lecheria[Categoría Hacienda])*(R$1=Producción_Lecheria[Mes Financiero])*(R$2=Producción_Lecheria[Año Financiero])*(Producción_Lecheria[Financiero U$S Dólares]))</f>
        <v>0</v>
      </c>
      <c r="S147" s="118">
        <f>SUMPRODUCT(($C$140=Producción_Lecheria[Movimiento])*($G147=Producción_Lecheria[Categoría Hacienda])*(S$1=Producción_Lecheria[Mes Financiero])*(S$2=Producción_Lecheria[Año Financiero])*(Producción_Lecheria[Financiero U$S Dólares]))</f>
        <v>0</v>
      </c>
      <c r="T147" s="117">
        <f>SUMPRODUCT(($C$140=Producción_Lecheria[Movimiento])*($G147=Producción_Lecheria[Categoría Hacienda])*(T$1=Producción_Lecheria[Mes Financiero])*(T$2=Producción_Lecheria[Año Financiero])*(Producción_Lecheria[Financiero U$S Dólares]))</f>
        <v>0</v>
      </c>
      <c r="U147" s="118">
        <f>SUMPRODUCT(($C$140=Producción_Lecheria[Movimiento])*($G147=Producción_Lecheria[Categoría Hacienda])*(U$1=Producción_Lecheria[Mes Financiero])*(U$2=Producción_Lecheria[Año Financiero])*(Producción_Lecheria[Financiero U$S Dólares]))</f>
        <v>0</v>
      </c>
      <c r="V147" s="117">
        <f>SUMPRODUCT(($C$140=Producción_Lecheria[Movimiento])*($G147=Producción_Lecheria[Categoría Hacienda])*(V$1=Producción_Lecheria[Mes Financiero])*(V$2=Producción_Lecheria[Año Financiero])*(Producción_Lecheria[Financiero U$S Dólares]))</f>
        <v>0</v>
      </c>
      <c r="W147" s="118">
        <f>SUMPRODUCT(($C$140=Producción_Lecheria[Movimiento])*($G147=Producción_Lecheria[Categoría Hacienda])*(W$1=Producción_Lecheria[Mes Financiero])*(W$2=Producción_Lecheria[Año Financiero])*(Producción_Lecheria[Financiero U$S Dólares]))</f>
        <v>0</v>
      </c>
      <c r="X147" s="117">
        <f>SUMPRODUCT(($C$140=Producción_Lecheria[Movimiento])*($G147=Producción_Lecheria[Categoría Hacienda])*(X$1=Producción_Lecheria[Mes Financiero])*(X$2=Producción_Lecheria[Año Financiero])*(Producción_Lecheria[Financiero U$S Dólares]))</f>
        <v>0</v>
      </c>
      <c r="Y147" s="118">
        <f>SUMPRODUCT(($C$140=Producción_Lecheria[Movimiento])*($G147=Producción_Lecheria[Categoría Hacienda])*(Y$1=Producción_Lecheria[Mes Financiero])*(Y$2=Producción_Lecheria[Año Financiero])*(Producción_Lecheria[Financiero U$S Dólares]))</f>
        <v>0</v>
      </c>
      <c r="Z147" s="148">
        <f t="shared" si="28"/>
        <v>0</v>
      </c>
    </row>
    <row r="148" spans="2:30" hidden="1" outlineLevel="2" x14ac:dyDescent="0.25">
      <c r="F148" s="215">
        <f>MATCH(G148,Produccion_Lecheria[Categoría],0)</f>
        <v>7</v>
      </c>
      <c r="G148" s="410" t="str">
        <f>Configuración!BM11</f>
        <v>Ternera</v>
      </c>
      <c r="H148" s="117">
        <f>SUMPRODUCT(($C$140=Producción_Lecheria[Movimiento])*($G148=Producción_Lecheria[Categoría Hacienda])*(H$1=Producción_Lecheria[Mes Financiero])*(H$2=Producción_Lecheria[Año Financiero])*(Producción_Lecheria[Financiero U$S Dólares]))</f>
        <v>0</v>
      </c>
      <c r="I148" s="118">
        <f>SUMPRODUCT(($C$140=Producción_Lecheria[Movimiento])*($G148=Producción_Lecheria[Categoría Hacienda])*(I$1=Producción_Lecheria[Mes Financiero])*(I$2=Producción_Lecheria[Año Financiero])*(Producción_Lecheria[Financiero U$S Dólares]))</f>
        <v>0</v>
      </c>
      <c r="J148" s="117">
        <f>SUMPRODUCT(($C$140=Producción_Lecheria[Movimiento])*($G148=Producción_Lecheria[Categoría Hacienda])*(J$1=Producción_Lecheria[Mes Financiero])*(J$2=Producción_Lecheria[Año Financiero])*(Producción_Lecheria[Financiero U$S Dólares]))</f>
        <v>0</v>
      </c>
      <c r="K148" s="118">
        <f>SUMPRODUCT(($C$140=Producción_Lecheria[Movimiento])*($G148=Producción_Lecheria[Categoría Hacienda])*(K$1=Producción_Lecheria[Mes Financiero])*(K$2=Producción_Lecheria[Año Financiero])*(Producción_Lecheria[Financiero U$S Dólares]))</f>
        <v>0</v>
      </c>
      <c r="L148" s="117">
        <f>SUMPRODUCT(($C$140=Producción_Lecheria[Movimiento])*($G148=Producción_Lecheria[Categoría Hacienda])*(L$1=Producción_Lecheria[Mes Financiero])*(L$2=Producción_Lecheria[Año Financiero])*(Producción_Lecheria[Financiero U$S Dólares]))</f>
        <v>0</v>
      </c>
      <c r="M148" s="118">
        <f>SUMPRODUCT(($C$140=Producción_Lecheria[Movimiento])*($G148=Producción_Lecheria[Categoría Hacienda])*(M$1=Producción_Lecheria[Mes Financiero])*(M$2=Producción_Lecheria[Año Financiero])*(Producción_Lecheria[Financiero U$S Dólares]))</f>
        <v>0</v>
      </c>
      <c r="N148" s="117">
        <f>SUMPRODUCT(($C$140=Producción_Lecheria[Movimiento])*($G148=Producción_Lecheria[Categoría Hacienda])*(N$1=Producción_Lecheria[Mes Financiero])*(N$2=Producción_Lecheria[Año Financiero])*(Producción_Lecheria[Financiero U$S Dólares]))</f>
        <v>0</v>
      </c>
      <c r="O148" s="118">
        <f>SUMPRODUCT(($C$140=Producción_Lecheria[Movimiento])*($G148=Producción_Lecheria[Categoría Hacienda])*(O$1=Producción_Lecheria[Mes Financiero])*(O$2=Producción_Lecheria[Año Financiero])*(Producción_Lecheria[Financiero U$S Dólares]))</f>
        <v>0</v>
      </c>
      <c r="P148" s="117">
        <f>SUMPRODUCT(($C$140=Producción_Lecheria[Movimiento])*($G148=Producción_Lecheria[Categoría Hacienda])*(P$1=Producción_Lecheria[Mes Financiero])*(P$2=Producción_Lecheria[Año Financiero])*(Producción_Lecheria[Financiero U$S Dólares]))</f>
        <v>0</v>
      </c>
      <c r="Q148" s="118">
        <f>SUMPRODUCT(($C$140=Producción_Lecheria[Movimiento])*($G148=Producción_Lecheria[Categoría Hacienda])*(Q$1=Producción_Lecheria[Mes Financiero])*(Q$2=Producción_Lecheria[Año Financiero])*(Producción_Lecheria[Financiero U$S Dólares]))</f>
        <v>0</v>
      </c>
      <c r="R148" s="117">
        <f>SUMPRODUCT(($C$140=Producción_Lecheria[Movimiento])*($G148=Producción_Lecheria[Categoría Hacienda])*(R$1=Producción_Lecheria[Mes Financiero])*(R$2=Producción_Lecheria[Año Financiero])*(Producción_Lecheria[Financiero U$S Dólares]))</f>
        <v>0</v>
      </c>
      <c r="S148" s="118">
        <f>SUMPRODUCT(($C$140=Producción_Lecheria[Movimiento])*($G148=Producción_Lecheria[Categoría Hacienda])*(S$1=Producción_Lecheria[Mes Financiero])*(S$2=Producción_Lecheria[Año Financiero])*(Producción_Lecheria[Financiero U$S Dólares]))</f>
        <v>0</v>
      </c>
      <c r="T148" s="117">
        <f>SUMPRODUCT(($C$140=Producción_Lecheria[Movimiento])*($G148=Producción_Lecheria[Categoría Hacienda])*(T$1=Producción_Lecheria[Mes Financiero])*(T$2=Producción_Lecheria[Año Financiero])*(Producción_Lecheria[Financiero U$S Dólares]))</f>
        <v>0</v>
      </c>
      <c r="U148" s="118">
        <f>SUMPRODUCT(($C$140=Producción_Lecheria[Movimiento])*($G148=Producción_Lecheria[Categoría Hacienda])*(U$1=Producción_Lecheria[Mes Financiero])*(U$2=Producción_Lecheria[Año Financiero])*(Producción_Lecheria[Financiero U$S Dólares]))</f>
        <v>0</v>
      </c>
      <c r="V148" s="117">
        <f>SUMPRODUCT(($C$140=Producción_Lecheria[Movimiento])*($G148=Producción_Lecheria[Categoría Hacienda])*(V$1=Producción_Lecheria[Mes Financiero])*(V$2=Producción_Lecheria[Año Financiero])*(Producción_Lecheria[Financiero U$S Dólares]))</f>
        <v>0</v>
      </c>
      <c r="W148" s="118">
        <f>SUMPRODUCT(($C$140=Producción_Lecheria[Movimiento])*($G148=Producción_Lecheria[Categoría Hacienda])*(W$1=Producción_Lecheria[Mes Financiero])*(W$2=Producción_Lecheria[Año Financiero])*(Producción_Lecheria[Financiero U$S Dólares]))</f>
        <v>0</v>
      </c>
      <c r="X148" s="117">
        <f>SUMPRODUCT(($C$140=Producción_Lecheria[Movimiento])*($G148=Producción_Lecheria[Categoría Hacienda])*(X$1=Producción_Lecheria[Mes Financiero])*(X$2=Producción_Lecheria[Año Financiero])*(Producción_Lecheria[Financiero U$S Dólares]))</f>
        <v>0</v>
      </c>
      <c r="Y148" s="118">
        <f>SUMPRODUCT(($C$140=Producción_Lecheria[Movimiento])*($G148=Producción_Lecheria[Categoría Hacienda])*(Y$1=Producción_Lecheria[Mes Financiero])*(Y$2=Producción_Lecheria[Año Financiero])*(Producción_Lecheria[Financiero U$S Dólares]))</f>
        <v>0</v>
      </c>
      <c r="Z148" s="148">
        <f t="shared" si="28"/>
        <v>0</v>
      </c>
    </row>
    <row r="149" spans="2:30" hidden="1" outlineLevel="2" x14ac:dyDescent="0.25">
      <c r="F149" s="215">
        <f>MATCH(G149,Produccion_Lecheria[Categoría],0)</f>
        <v>8</v>
      </c>
      <c r="G149" s="410" t="str">
        <f>Configuración!BM12</f>
        <v>Ternero</v>
      </c>
      <c r="H149" s="117">
        <f>SUMPRODUCT(($C$140=Producción_Lecheria[Movimiento])*($G149=Producción_Lecheria[Categoría Hacienda])*(H$1=Producción_Lecheria[Mes Financiero])*(H$2=Producción_Lecheria[Año Financiero])*(Producción_Lecheria[Financiero U$S Dólares]))</f>
        <v>0</v>
      </c>
      <c r="I149" s="118">
        <f>SUMPRODUCT(($C$140=Producción_Lecheria[Movimiento])*($G149=Producción_Lecheria[Categoría Hacienda])*(I$1=Producción_Lecheria[Mes Financiero])*(I$2=Producción_Lecheria[Año Financiero])*(Producción_Lecheria[Financiero U$S Dólares]))</f>
        <v>0</v>
      </c>
      <c r="J149" s="117">
        <f>SUMPRODUCT(($C$140=Producción_Lecheria[Movimiento])*($G149=Producción_Lecheria[Categoría Hacienda])*(J$1=Producción_Lecheria[Mes Financiero])*(J$2=Producción_Lecheria[Año Financiero])*(Producción_Lecheria[Financiero U$S Dólares]))</f>
        <v>0</v>
      </c>
      <c r="K149" s="118">
        <f>SUMPRODUCT(($C$140=Producción_Lecheria[Movimiento])*($G149=Producción_Lecheria[Categoría Hacienda])*(K$1=Producción_Lecheria[Mes Financiero])*(K$2=Producción_Lecheria[Año Financiero])*(Producción_Lecheria[Financiero U$S Dólares]))</f>
        <v>0</v>
      </c>
      <c r="L149" s="117">
        <f>SUMPRODUCT(($C$140=Producción_Lecheria[Movimiento])*($G149=Producción_Lecheria[Categoría Hacienda])*(L$1=Producción_Lecheria[Mes Financiero])*(L$2=Producción_Lecheria[Año Financiero])*(Producción_Lecheria[Financiero U$S Dólares]))</f>
        <v>0</v>
      </c>
      <c r="M149" s="118">
        <f>SUMPRODUCT(($C$140=Producción_Lecheria[Movimiento])*($G149=Producción_Lecheria[Categoría Hacienda])*(M$1=Producción_Lecheria[Mes Financiero])*(M$2=Producción_Lecheria[Año Financiero])*(Producción_Lecheria[Financiero U$S Dólares]))</f>
        <v>0</v>
      </c>
      <c r="N149" s="117">
        <f>SUMPRODUCT(($C$140=Producción_Lecheria[Movimiento])*($G149=Producción_Lecheria[Categoría Hacienda])*(N$1=Producción_Lecheria[Mes Financiero])*(N$2=Producción_Lecheria[Año Financiero])*(Producción_Lecheria[Financiero U$S Dólares]))</f>
        <v>0</v>
      </c>
      <c r="O149" s="118">
        <f>SUMPRODUCT(($C$140=Producción_Lecheria[Movimiento])*($G149=Producción_Lecheria[Categoría Hacienda])*(O$1=Producción_Lecheria[Mes Financiero])*(O$2=Producción_Lecheria[Año Financiero])*(Producción_Lecheria[Financiero U$S Dólares]))</f>
        <v>0</v>
      </c>
      <c r="P149" s="117">
        <f>SUMPRODUCT(($C$140=Producción_Lecheria[Movimiento])*($G149=Producción_Lecheria[Categoría Hacienda])*(P$1=Producción_Lecheria[Mes Financiero])*(P$2=Producción_Lecheria[Año Financiero])*(Producción_Lecheria[Financiero U$S Dólares]))</f>
        <v>0</v>
      </c>
      <c r="Q149" s="118">
        <f>SUMPRODUCT(($C$140=Producción_Lecheria[Movimiento])*($G149=Producción_Lecheria[Categoría Hacienda])*(Q$1=Producción_Lecheria[Mes Financiero])*(Q$2=Producción_Lecheria[Año Financiero])*(Producción_Lecheria[Financiero U$S Dólares]))</f>
        <v>0</v>
      </c>
      <c r="R149" s="117">
        <f>SUMPRODUCT(($C$140=Producción_Lecheria[Movimiento])*($G149=Producción_Lecheria[Categoría Hacienda])*(R$1=Producción_Lecheria[Mes Financiero])*(R$2=Producción_Lecheria[Año Financiero])*(Producción_Lecheria[Financiero U$S Dólares]))</f>
        <v>0</v>
      </c>
      <c r="S149" s="118">
        <f>SUMPRODUCT(($C$140=Producción_Lecheria[Movimiento])*($G149=Producción_Lecheria[Categoría Hacienda])*(S$1=Producción_Lecheria[Mes Financiero])*(S$2=Producción_Lecheria[Año Financiero])*(Producción_Lecheria[Financiero U$S Dólares]))</f>
        <v>0</v>
      </c>
      <c r="T149" s="117">
        <f>SUMPRODUCT(($C$140=Producción_Lecheria[Movimiento])*($G149=Producción_Lecheria[Categoría Hacienda])*(T$1=Producción_Lecheria[Mes Financiero])*(T$2=Producción_Lecheria[Año Financiero])*(Producción_Lecheria[Financiero U$S Dólares]))</f>
        <v>0</v>
      </c>
      <c r="U149" s="118">
        <f>SUMPRODUCT(($C$140=Producción_Lecheria[Movimiento])*($G149=Producción_Lecheria[Categoría Hacienda])*(U$1=Producción_Lecheria[Mes Financiero])*(U$2=Producción_Lecheria[Año Financiero])*(Producción_Lecheria[Financiero U$S Dólares]))</f>
        <v>0</v>
      </c>
      <c r="V149" s="117">
        <f>SUMPRODUCT(($C$140=Producción_Lecheria[Movimiento])*($G149=Producción_Lecheria[Categoría Hacienda])*(V$1=Producción_Lecheria[Mes Financiero])*(V$2=Producción_Lecheria[Año Financiero])*(Producción_Lecheria[Financiero U$S Dólares]))</f>
        <v>0</v>
      </c>
      <c r="W149" s="118">
        <f>SUMPRODUCT(($C$140=Producción_Lecheria[Movimiento])*($G149=Producción_Lecheria[Categoría Hacienda])*(W$1=Producción_Lecheria[Mes Financiero])*(W$2=Producción_Lecheria[Año Financiero])*(Producción_Lecheria[Financiero U$S Dólares]))</f>
        <v>0</v>
      </c>
      <c r="X149" s="117">
        <f>SUMPRODUCT(($C$140=Producción_Lecheria[Movimiento])*($G149=Producción_Lecheria[Categoría Hacienda])*(X$1=Producción_Lecheria[Mes Financiero])*(X$2=Producción_Lecheria[Año Financiero])*(Producción_Lecheria[Financiero U$S Dólares]))</f>
        <v>0</v>
      </c>
      <c r="Y149" s="118">
        <f>SUMPRODUCT(($C$140=Producción_Lecheria[Movimiento])*($G149=Producción_Lecheria[Categoría Hacienda])*(Y$1=Producción_Lecheria[Mes Financiero])*(Y$2=Producción_Lecheria[Año Financiero])*(Producción_Lecheria[Financiero U$S Dólares]))</f>
        <v>0</v>
      </c>
      <c r="Z149" s="148">
        <f t="shared" si="28"/>
        <v>0</v>
      </c>
    </row>
    <row r="150" spans="2:30" hidden="1" outlineLevel="2" x14ac:dyDescent="0.25">
      <c r="F150" s="215">
        <f>MATCH(G150,Produccion_Lecheria[Categoría],0)</f>
        <v>9</v>
      </c>
      <c r="G150" s="410" t="str">
        <f>Configuración!BM13</f>
        <v>Vaca descarte</v>
      </c>
      <c r="H150" s="117">
        <f>SUMPRODUCT(($C$140=Producción_Lecheria[Movimiento])*($G150=Producción_Lecheria[Categoría Hacienda])*(H$1=Producción_Lecheria[Mes Financiero])*(H$2=Producción_Lecheria[Año Financiero])*(Producción_Lecheria[Financiero U$S Dólares]))</f>
        <v>0</v>
      </c>
      <c r="I150" s="118">
        <f>SUMPRODUCT(($C$140=Producción_Lecheria[Movimiento])*($G150=Producción_Lecheria[Categoría Hacienda])*(I$1=Producción_Lecheria[Mes Financiero])*(I$2=Producción_Lecheria[Año Financiero])*(Producción_Lecheria[Financiero U$S Dólares]))</f>
        <v>0</v>
      </c>
      <c r="J150" s="117">
        <f>SUMPRODUCT(($C$140=Producción_Lecheria[Movimiento])*($G150=Producción_Lecheria[Categoría Hacienda])*(J$1=Producción_Lecheria[Mes Financiero])*(J$2=Producción_Lecheria[Año Financiero])*(Producción_Lecheria[Financiero U$S Dólares]))</f>
        <v>0</v>
      </c>
      <c r="K150" s="118">
        <f>SUMPRODUCT(($C$140=Producción_Lecheria[Movimiento])*($G150=Producción_Lecheria[Categoría Hacienda])*(K$1=Producción_Lecheria[Mes Financiero])*(K$2=Producción_Lecheria[Año Financiero])*(Producción_Lecheria[Financiero U$S Dólares]))</f>
        <v>0</v>
      </c>
      <c r="L150" s="117">
        <f>SUMPRODUCT(($C$140=Producción_Lecheria[Movimiento])*($G150=Producción_Lecheria[Categoría Hacienda])*(L$1=Producción_Lecheria[Mes Financiero])*(L$2=Producción_Lecheria[Año Financiero])*(Producción_Lecheria[Financiero U$S Dólares]))</f>
        <v>0</v>
      </c>
      <c r="M150" s="118">
        <f>SUMPRODUCT(($C$140=Producción_Lecheria[Movimiento])*($G150=Producción_Lecheria[Categoría Hacienda])*(M$1=Producción_Lecheria[Mes Financiero])*(M$2=Producción_Lecheria[Año Financiero])*(Producción_Lecheria[Financiero U$S Dólares]))</f>
        <v>0</v>
      </c>
      <c r="N150" s="117">
        <f>SUMPRODUCT(($C$140=Producción_Lecheria[Movimiento])*($G150=Producción_Lecheria[Categoría Hacienda])*(N$1=Producción_Lecheria[Mes Financiero])*(N$2=Producción_Lecheria[Año Financiero])*(Producción_Lecheria[Financiero U$S Dólares]))</f>
        <v>0</v>
      </c>
      <c r="O150" s="118">
        <f>SUMPRODUCT(($C$140=Producción_Lecheria[Movimiento])*($G150=Producción_Lecheria[Categoría Hacienda])*(O$1=Producción_Lecheria[Mes Financiero])*(O$2=Producción_Lecheria[Año Financiero])*(Producción_Lecheria[Financiero U$S Dólares]))</f>
        <v>0</v>
      </c>
      <c r="P150" s="117">
        <f>SUMPRODUCT(($C$140=Producción_Lecheria[Movimiento])*($G150=Producción_Lecheria[Categoría Hacienda])*(P$1=Producción_Lecheria[Mes Financiero])*(P$2=Producción_Lecheria[Año Financiero])*(Producción_Lecheria[Financiero U$S Dólares]))</f>
        <v>0</v>
      </c>
      <c r="Q150" s="118">
        <f>SUMPRODUCT(($C$140=Producción_Lecheria[Movimiento])*($G150=Producción_Lecheria[Categoría Hacienda])*(Q$1=Producción_Lecheria[Mes Financiero])*(Q$2=Producción_Lecheria[Año Financiero])*(Producción_Lecheria[Financiero U$S Dólares]))</f>
        <v>0</v>
      </c>
      <c r="R150" s="117">
        <f>SUMPRODUCT(($C$140=Producción_Lecheria[Movimiento])*($G150=Producción_Lecheria[Categoría Hacienda])*(R$1=Producción_Lecheria[Mes Financiero])*(R$2=Producción_Lecheria[Año Financiero])*(Producción_Lecheria[Financiero U$S Dólares]))</f>
        <v>0</v>
      </c>
      <c r="S150" s="118">
        <f>SUMPRODUCT(($C$140=Producción_Lecheria[Movimiento])*($G150=Producción_Lecheria[Categoría Hacienda])*(S$1=Producción_Lecheria[Mes Financiero])*(S$2=Producción_Lecheria[Año Financiero])*(Producción_Lecheria[Financiero U$S Dólares]))</f>
        <v>0</v>
      </c>
      <c r="T150" s="117">
        <f>SUMPRODUCT(($C$140=Producción_Lecheria[Movimiento])*($G150=Producción_Lecheria[Categoría Hacienda])*(T$1=Producción_Lecheria[Mes Financiero])*(T$2=Producción_Lecheria[Año Financiero])*(Producción_Lecheria[Financiero U$S Dólares]))</f>
        <v>0</v>
      </c>
      <c r="U150" s="118">
        <f>SUMPRODUCT(($C$140=Producción_Lecheria[Movimiento])*($G150=Producción_Lecheria[Categoría Hacienda])*(U$1=Producción_Lecheria[Mes Financiero])*(U$2=Producción_Lecheria[Año Financiero])*(Producción_Lecheria[Financiero U$S Dólares]))</f>
        <v>0</v>
      </c>
      <c r="V150" s="117">
        <f>SUMPRODUCT(($C$140=Producción_Lecheria[Movimiento])*($G150=Producción_Lecheria[Categoría Hacienda])*(V$1=Producción_Lecheria[Mes Financiero])*(V$2=Producción_Lecheria[Año Financiero])*(Producción_Lecheria[Financiero U$S Dólares]))</f>
        <v>0</v>
      </c>
      <c r="W150" s="118">
        <f>SUMPRODUCT(($C$140=Producción_Lecheria[Movimiento])*($G150=Producción_Lecheria[Categoría Hacienda])*(W$1=Producción_Lecheria[Mes Financiero])*(W$2=Producción_Lecheria[Año Financiero])*(Producción_Lecheria[Financiero U$S Dólares]))</f>
        <v>0</v>
      </c>
      <c r="X150" s="117">
        <f>SUMPRODUCT(($C$140=Producción_Lecheria[Movimiento])*($G150=Producción_Lecheria[Categoría Hacienda])*(X$1=Producción_Lecheria[Mes Financiero])*(X$2=Producción_Lecheria[Año Financiero])*(Producción_Lecheria[Financiero U$S Dólares]))</f>
        <v>0</v>
      </c>
      <c r="Y150" s="118">
        <f>SUMPRODUCT(($C$140=Producción_Lecheria[Movimiento])*($G150=Producción_Lecheria[Categoría Hacienda])*(Y$1=Producción_Lecheria[Mes Financiero])*(Y$2=Producción_Lecheria[Año Financiero])*(Producción_Lecheria[Financiero U$S Dólares]))</f>
        <v>0</v>
      </c>
      <c r="Z150" s="148">
        <f t="shared" si="28"/>
        <v>0</v>
      </c>
    </row>
    <row r="151" spans="2:30" hidden="1" outlineLevel="2" x14ac:dyDescent="0.25">
      <c r="F151" s="215">
        <f>MATCH(G151,Produccion_Lecheria[Categoría],0)</f>
        <v>10</v>
      </c>
      <c r="G151" s="410" t="str">
        <f>Configuración!BM14</f>
        <v>Toro Descarte</v>
      </c>
      <c r="H151" s="117">
        <f>SUMPRODUCT(($C$140=Producción_Lecheria[Movimiento])*($G151=Producción_Lecheria[Categoría Hacienda])*(H$1=Producción_Lecheria[Mes Financiero])*(H$2=Producción_Lecheria[Año Financiero])*(Producción_Lecheria[Financiero U$S Dólares]))</f>
        <v>0</v>
      </c>
      <c r="I151" s="118">
        <f>SUMPRODUCT(($C$140=Producción_Lecheria[Movimiento])*($G151=Producción_Lecheria[Categoría Hacienda])*(I$1=Producción_Lecheria[Mes Financiero])*(I$2=Producción_Lecheria[Año Financiero])*(Producción_Lecheria[Financiero U$S Dólares]))</f>
        <v>0</v>
      </c>
      <c r="J151" s="117">
        <f>SUMPRODUCT(($C$140=Producción_Lecheria[Movimiento])*($G151=Producción_Lecheria[Categoría Hacienda])*(J$1=Producción_Lecheria[Mes Financiero])*(J$2=Producción_Lecheria[Año Financiero])*(Producción_Lecheria[Financiero U$S Dólares]))</f>
        <v>0</v>
      </c>
      <c r="K151" s="118">
        <f>SUMPRODUCT(($C$140=Producción_Lecheria[Movimiento])*($G151=Producción_Lecheria[Categoría Hacienda])*(K$1=Producción_Lecheria[Mes Financiero])*(K$2=Producción_Lecheria[Año Financiero])*(Producción_Lecheria[Financiero U$S Dólares]))</f>
        <v>0</v>
      </c>
      <c r="L151" s="117">
        <f>SUMPRODUCT(($C$140=Producción_Lecheria[Movimiento])*($G151=Producción_Lecheria[Categoría Hacienda])*(L$1=Producción_Lecheria[Mes Financiero])*(L$2=Producción_Lecheria[Año Financiero])*(Producción_Lecheria[Financiero U$S Dólares]))</f>
        <v>0</v>
      </c>
      <c r="M151" s="118">
        <f>SUMPRODUCT(($C$140=Producción_Lecheria[Movimiento])*($G151=Producción_Lecheria[Categoría Hacienda])*(M$1=Producción_Lecheria[Mes Financiero])*(M$2=Producción_Lecheria[Año Financiero])*(Producción_Lecheria[Financiero U$S Dólares]))</f>
        <v>0</v>
      </c>
      <c r="N151" s="117">
        <f>SUMPRODUCT(($C$140=Producción_Lecheria[Movimiento])*($G151=Producción_Lecheria[Categoría Hacienda])*(N$1=Producción_Lecheria[Mes Financiero])*(N$2=Producción_Lecheria[Año Financiero])*(Producción_Lecheria[Financiero U$S Dólares]))</f>
        <v>0</v>
      </c>
      <c r="O151" s="118">
        <f>SUMPRODUCT(($C$140=Producción_Lecheria[Movimiento])*($G151=Producción_Lecheria[Categoría Hacienda])*(O$1=Producción_Lecheria[Mes Financiero])*(O$2=Producción_Lecheria[Año Financiero])*(Producción_Lecheria[Financiero U$S Dólares]))</f>
        <v>0</v>
      </c>
      <c r="P151" s="117">
        <f>SUMPRODUCT(($C$140=Producción_Lecheria[Movimiento])*($G151=Producción_Lecheria[Categoría Hacienda])*(P$1=Producción_Lecheria[Mes Financiero])*(P$2=Producción_Lecheria[Año Financiero])*(Producción_Lecheria[Financiero U$S Dólares]))</f>
        <v>0</v>
      </c>
      <c r="Q151" s="118">
        <f>SUMPRODUCT(($C$140=Producción_Lecheria[Movimiento])*($G151=Producción_Lecheria[Categoría Hacienda])*(Q$1=Producción_Lecheria[Mes Financiero])*(Q$2=Producción_Lecheria[Año Financiero])*(Producción_Lecheria[Financiero U$S Dólares]))</f>
        <v>0</v>
      </c>
      <c r="R151" s="117">
        <f>SUMPRODUCT(($C$140=Producción_Lecheria[Movimiento])*($G151=Producción_Lecheria[Categoría Hacienda])*(R$1=Producción_Lecheria[Mes Financiero])*(R$2=Producción_Lecheria[Año Financiero])*(Producción_Lecheria[Financiero U$S Dólares]))</f>
        <v>0</v>
      </c>
      <c r="S151" s="118">
        <f>SUMPRODUCT(($C$140=Producción_Lecheria[Movimiento])*($G151=Producción_Lecheria[Categoría Hacienda])*(S$1=Producción_Lecheria[Mes Financiero])*(S$2=Producción_Lecheria[Año Financiero])*(Producción_Lecheria[Financiero U$S Dólares]))</f>
        <v>0</v>
      </c>
      <c r="T151" s="117">
        <f>SUMPRODUCT(($C$140=Producción_Lecheria[Movimiento])*($G151=Producción_Lecheria[Categoría Hacienda])*(T$1=Producción_Lecheria[Mes Financiero])*(T$2=Producción_Lecheria[Año Financiero])*(Producción_Lecheria[Financiero U$S Dólares]))</f>
        <v>0</v>
      </c>
      <c r="U151" s="118">
        <f>SUMPRODUCT(($C$140=Producción_Lecheria[Movimiento])*($G151=Producción_Lecheria[Categoría Hacienda])*(U$1=Producción_Lecheria[Mes Financiero])*(U$2=Producción_Lecheria[Año Financiero])*(Producción_Lecheria[Financiero U$S Dólares]))</f>
        <v>0</v>
      </c>
      <c r="V151" s="117">
        <f>SUMPRODUCT(($C$140=Producción_Lecheria[Movimiento])*($G151=Producción_Lecheria[Categoría Hacienda])*(V$1=Producción_Lecheria[Mes Financiero])*(V$2=Producción_Lecheria[Año Financiero])*(Producción_Lecheria[Financiero U$S Dólares]))</f>
        <v>0</v>
      </c>
      <c r="W151" s="118">
        <f>SUMPRODUCT(($C$140=Producción_Lecheria[Movimiento])*($G151=Producción_Lecheria[Categoría Hacienda])*(W$1=Producción_Lecheria[Mes Financiero])*(W$2=Producción_Lecheria[Año Financiero])*(Producción_Lecheria[Financiero U$S Dólares]))</f>
        <v>0</v>
      </c>
      <c r="X151" s="117">
        <f>SUMPRODUCT(($C$140=Producción_Lecheria[Movimiento])*($G151=Producción_Lecheria[Categoría Hacienda])*(X$1=Producción_Lecheria[Mes Financiero])*(X$2=Producción_Lecheria[Año Financiero])*(Producción_Lecheria[Financiero U$S Dólares]))</f>
        <v>0</v>
      </c>
      <c r="Y151" s="118">
        <f>SUMPRODUCT(($C$140=Producción_Lecheria[Movimiento])*($G151=Producción_Lecheria[Categoría Hacienda])*(Y$1=Producción_Lecheria[Mes Financiero])*(Y$2=Producción_Lecheria[Año Financiero])*(Producción_Lecheria[Financiero U$S Dólares]))</f>
        <v>0</v>
      </c>
      <c r="Z151" s="148">
        <f t="shared" si="28"/>
        <v>0</v>
      </c>
    </row>
    <row r="152" spans="2:30" hidden="1" outlineLevel="2" x14ac:dyDescent="0.25">
      <c r="F152" s="215" t="e">
        <f>MATCH(G152,Produccion_Lecheria[Categoría],0)</f>
        <v>#N/A</v>
      </c>
      <c r="G152" s="410">
        <f>Configuración!BM15</f>
        <v>0</v>
      </c>
      <c r="H152" s="117">
        <f>SUMPRODUCT(($C$140=Producción_Lecheria[Movimiento])*($G152=Producción_Lecheria[Categoría Hacienda])*(H$1=Producción_Lecheria[Mes Financiero])*(H$2=Producción_Lecheria[Año Financiero])*(Producción_Lecheria[Financiero U$S Dólares]))</f>
        <v>0</v>
      </c>
      <c r="I152" s="118">
        <f>SUMPRODUCT(($C$140=Producción_Lecheria[Movimiento])*($G152=Producción_Lecheria[Categoría Hacienda])*(I$1=Producción_Lecheria[Mes Financiero])*(I$2=Producción_Lecheria[Año Financiero])*(Producción_Lecheria[Financiero U$S Dólares]))</f>
        <v>0</v>
      </c>
      <c r="J152" s="117">
        <f>SUMPRODUCT(($C$140=Producción_Lecheria[Movimiento])*($G152=Producción_Lecheria[Categoría Hacienda])*(J$1=Producción_Lecheria[Mes Financiero])*(J$2=Producción_Lecheria[Año Financiero])*(Producción_Lecheria[Financiero U$S Dólares]))</f>
        <v>0</v>
      </c>
      <c r="K152" s="118">
        <f>SUMPRODUCT(($C$140=Producción_Lecheria[Movimiento])*($G152=Producción_Lecheria[Categoría Hacienda])*(K$1=Producción_Lecheria[Mes Financiero])*(K$2=Producción_Lecheria[Año Financiero])*(Producción_Lecheria[Financiero U$S Dólares]))</f>
        <v>0</v>
      </c>
      <c r="L152" s="117">
        <f>SUMPRODUCT(($C$140=Producción_Lecheria[Movimiento])*($G152=Producción_Lecheria[Categoría Hacienda])*(L$1=Producción_Lecheria[Mes Financiero])*(L$2=Producción_Lecheria[Año Financiero])*(Producción_Lecheria[Financiero U$S Dólares]))</f>
        <v>0</v>
      </c>
      <c r="M152" s="118">
        <f>SUMPRODUCT(($C$140=Producción_Lecheria[Movimiento])*($G152=Producción_Lecheria[Categoría Hacienda])*(M$1=Producción_Lecheria[Mes Financiero])*(M$2=Producción_Lecheria[Año Financiero])*(Producción_Lecheria[Financiero U$S Dólares]))</f>
        <v>0</v>
      </c>
      <c r="N152" s="117">
        <f>SUMPRODUCT(($C$140=Producción_Lecheria[Movimiento])*($G152=Producción_Lecheria[Categoría Hacienda])*(N$1=Producción_Lecheria[Mes Financiero])*(N$2=Producción_Lecheria[Año Financiero])*(Producción_Lecheria[Financiero U$S Dólares]))</f>
        <v>0</v>
      </c>
      <c r="O152" s="118">
        <f>SUMPRODUCT(($C$140=Producción_Lecheria[Movimiento])*($G152=Producción_Lecheria[Categoría Hacienda])*(O$1=Producción_Lecheria[Mes Financiero])*(O$2=Producción_Lecheria[Año Financiero])*(Producción_Lecheria[Financiero U$S Dólares]))</f>
        <v>0</v>
      </c>
      <c r="P152" s="117">
        <f>SUMPRODUCT(($C$140=Producción_Lecheria[Movimiento])*($G152=Producción_Lecheria[Categoría Hacienda])*(P$1=Producción_Lecheria[Mes Financiero])*(P$2=Producción_Lecheria[Año Financiero])*(Producción_Lecheria[Financiero U$S Dólares]))</f>
        <v>0</v>
      </c>
      <c r="Q152" s="118">
        <f>SUMPRODUCT(($C$140=Producción_Lecheria[Movimiento])*($G152=Producción_Lecheria[Categoría Hacienda])*(Q$1=Producción_Lecheria[Mes Financiero])*(Q$2=Producción_Lecheria[Año Financiero])*(Producción_Lecheria[Financiero U$S Dólares]))</f>
        <v>0</v>
      </c>
      <c r="R152" s="117">
        <f>SUMPRODUCT(($C$140=Producción_Lecheria[Movimiento])*($G152=Producción_Lecheria[Categoría Hacienda])*(R$1=Producción_Lecheria[Mes Financiero])*(R$2=Producción_Lecheria[Año Financiero])*(Producción_Lecheria[Financiero U$S Dólares]))</f>
        <v>0</v>
      </c>
      <c r="S152" s="118">
        <f>SUMPRODUCT(($C$140=Producción_Lecheria[Movimiento])*($G152=Producción_Lecheria[Categoría Hacienda])*(S$1=Producción_Lecheria[Mes Financiero])*(S$2=Producción_Lecheria[Año Financiero])*(Producción_Lecheria[Financiero U$S Dólares]))</f>
        <v>0</v>
      </c>
      <c r="T152" s="117">
        <f>SUMPRODUCT(($C$140=Producción_Lecheria[Movimiento])*($G152=Producción_Lecheria[Categoría Hacienda])*(T$1=Producción_Lecheria[Mes Financiero])*(T$2=Producción_Lecheria[Año Financiero])*(Producción_Lecheria[Financiero U$S Dólares]))</f>
        <v>0</v>
      </c>
      <c r="U152" s="118">
        <f>SUMPRODUCT(($C$140=Producción_Lecheria[Movimiento])*($G152=Producción_Lecheria[Categoría Hacienda])*(U$1=Producción_Lecheria[Mes Financiero])*(U$2=Producción_Lecheria[Año Financiero])*(Producción_Lecheria[Financiero U$S Dólares]))</f>
        <v>0</v>
      </c>
      <c r="V152" s="117">
        <f>SUMPRODUCT(($C$140=Producción_Lecheria[Movimiento])*($G152=Producción_Lecheria[Categoría Hacienda])*(V$1=Producción_Lecheria[Mes Financiero])*(V$2=Producción_Lecheria[Año Financiero])*(Producción_Lecheria[Financiero U$S Dólares]))</f>
        <v>0</v>
      </c>
      <c r="W152" s="118">
        <f>SUMPRODUCT(($C$140=Producción_Lecheria[Movimiento])*($G152=Producción_Lecheria[Categoría Hacienda])*(W$1=Producción_Lecheria[Mes Financiero])*(W$2=Producción_Lecheria[Año Financiero])*(Producción_Lecheria[Financiero U$S Dólares]))</f>
        <v>0</v>
      </c>
      <c r="X152" s="117">
        <f>SUMPRODUCT(($C$140=Producción_Lecheria[Movimiento])*($G152=Producción_Lecheria[Categoría Hacienda])*(X$1=Producción_Lecheria[Mes Financiero])*(X$2=Producción_Lecheria[Año Financiero])*(Producción_Lecheria[Financiero U$S Dólares]))</f>
        <v>0</v>
      </c>
      <c r="Y152" s="118">
        <f>SUMPRODUCT(($C$140=Producción_Lecheria[Movimiento])*($G152=Producción_Lecheria[Categoría Hacienda])*(Y$1=Producción_Lecheria[Mes Financiero])*(Y$2=Producción_Lecheria[Año Financiero])*(Producción_Lecheria[Financiero U$S Dólares]))</f>
        <v>0</v>
      </c>
      <c r="Z152" s="148">
        <f t="shared" si="28"/>
        <v>0</v>
      </c>
    </row>
    <row r="153" spans="2:30" hidden="1" outlineLevel="2" x14ac:dyDescent="0.25">
      <c r="B153" s="166" t="s">
        <v>101</v>
      </c>
      <c r="F153" s="216" t="e">
        <f>MATCH(G153,Produccion_Lecheria[Categoría],0)</f>
        <v>#N/A</v>
      </c>
      <c r="G153" s="411">
        <f>Configuración!BM16</f>
        <v>0</v>
      </c>
      <c r="H153" s="128">
        <f>SUMPRODUCT(($C$140=Producción_Lecheria[Movimiento])*($G153=Producción_Lecheria[Categoría Hacienda])*(H$1=Producción_Lecheria[Mes Financiero])*(H$2=Producción_Lecheria[Año Financiero])*(Producción_Lecheria[Financiero U$S Dólares]))</f>
        <v>0</v>
      </c>
      <c r="I153" s="129">
        <f>SUMPRODUCT(($C$140=Producción_Lecheria[Movimiento])*($G153=Producción_Lecheria[Categoría Hacienda])*(I$1=Producción_Lecheria[Mes Financiero])*(I$2=Producción_Lecheria[Año Financiero])*(Producción_Lecheria[Financiero U$S Dólares]))</f>
        <v>0</v>
      </c>
      <c r="J153" s="128">
        <f>SUMPRODUCT(($C$140=Producción_Lecheria[Movimiento])*($G153=Producción_Lecheria[Categoría Hacienda])*(J$1=Producción_Lecheria[Mes Financiero])*(J$2=Producción_Lecheria[Año Financiero])*(Producción_Lecheria[Financiero U$S Dólares]))</f>
        <v>0</v>
      </c>
      <c r="K153" s="129">
        <f>SUMPRODUCT(($C$140=Producción_Lecheria[Movimiento])*($G153=Producción_Lecheria[Categoría Hacienda])*(K$1=Producción_Lecheria[Mes Financiero])*(K$2=Producción_Lecheria[Año Financiero])*(Producción_Lecheria[Financiero U$S Dólares]))</f>
        <v>0</v>
      </c>
      <c r="L153" s="128">
        <f>SUMPRODUCT(($C$140=Producción_Lecheria[Movimiento])*($G153=Producción_Lecheria[Categoría Hacienda])*(L$1=Producción_Lecheria[Mes Financiero])*(L$2=Producción_Lecheria[Año Financiero])*(Producción_Lecheria[Financiero U$S Dólares]))</f>
        <v>0</v>
      </c>
      <c r="M153" s="129">
        <f>SUMPRODUCT(($C$140=Producción_Lecheria[Movimiento])*($G153=Producción_Lecheria[Categoría Hacienda])*(M$1=Producción_Lecheria[Mes Financiero])*(M$2=Producción_Lecheria[Año Financiero])*(Producción_Lecheria[Financiero U$S Dólares]))</f>
        <v>0</v>
      </c>
      <c r="N153" s="128">
        <f>SUMPRODUCT(($C$140=Producción_Lecheria[Movimiento])*($G153=Producción_Lecheria[Categoría Hacienda])*(N$1=Producción_Lecheria[Mes Financiero])*(N$2=Producción_Lecheria[Año Financiero])*(Producción_Lecheria[Financiero U$S Dólares]))</f>
        <v>0</v>
      </c>
      <c r="O153" s="129">
        <f>SUMPRODUCT(($C$140=Producción_Lecheria[Movimiento])*($G153=Producción_Lecheria[Categoría Hacienda])*(O$1=Producción_Lecheria[Mes Financiero])*(O$2=Producción_Lecheria[Año Financiero])*(Producción_Lecheria[Financiero U$S Dólares]))</f>
        <v>0</v>
      </c>
      <c r="P153" s="128">
        <f>SUMPRODUCT(($C$140=Producción_Lecheria[Movimiento])*($G153=Producción_Lecheria[Categoría Hacienda])*(P$1=Producción_Lecheria[Mes Financiero])*(P$2=Producción_Lecheria[Año Financiero])*(Producción_Lecheria[Financiero U$S Dólares]))</f>
        <v>0</v>
      </c>
      <c r="Q153" s="129">
        <f>SUMPRODUCT(($C$140=Producción_Lecheria[Movimiento])*($G153=Producción_Lecheria[Categoría Hacienda])*(Q$1=Producción_Lecheria[Mes Financiero])*(Q$2=Producción_Lecheria[Año Financiero])*(Producción_Lecheria[Financiero U$S Dólares]))</f>
        <v>0</v>
      </c>
      <c r="R153" s="128">
        <f>SUMPRODUCT(($C$140=Producción_Lecheria[Movimiento])*($G153=Producción_Lecheria[Categoría Hacienda])*(R$1=Producción_Lecheria[Mes Financiero])*(R$2=Producción_Lecheria[Año Financiero])*(Producción_Lecheria[Financiero U$S Dólares]))</f>
        <v>0</v>
      </c>
      <c r="S153" s="129">
        <f>SUMPRODUCT(($C$140=Producción_Lecheria[Movimiento])*($G153=Producción_Lecheria[Categoría Hacienda])*(S$1=Producción_Lecheria[Mes Financiero])*(S$2=Producción_Lecheria[Año Financiero])*(Producción_Lecheria[Financiero U$S Dólares]))</f>
        <v>0</v>
      </c>
      <c r="T153" s="128">
        <f>SUMPRODUCT(($C$140=Producción_Lecheria[Movimiento])*($G153=Producción_Lecheria[Categoría Hacienda])*(T$1=Producción_Lecheria[Mes Financiero])*(T$2=Producción_Lecheria[Año Financiero])*(Producción_Lecheria[Financiero U$S Dólares]))</f>
        <v>0</v>
      </c>
      <c r="U153" s="129">
        <f>SUMPRODUCT(($C$140=Producción_Lecheria[Movimiento])*($G153=Producción_Lecheria[Categoría Hacienda])*(U$1=Producción_Lecheria[Mes Financiero])*(U$2=Producción_Lecheria[Año Financiero])*(Producción_Lecheria[Financiero U$S Dólares]))</f>
        <v>0</v>
      </c>
      <c r="V153" s="128">
        <f>SUMPRODUCT(($C$140=Producción_Lecheria[Movimiento])*($G153=Producción_Lecheria[Categoría Hacienda])*(V$1=Producción_Lecheria[Mes Financiero])*(V$2=Producción_Lecheria[Año Financiero])*(Producción_Lecheria[Financiero U$S Dólares]))</f>
        <v>0</v>
      </c>
      <c r="W153" s="129">
        <f>SUMPRODUCT(($C$140=Producción_Lecheria[Movimiento])*($G153=Producción_Lecheria[Categoría Hacienda])*(W$1=Producción_Lecheria[Mes Financiero])*(W$2=Producción_Lecheria[Año Financiero])*(Producción_Lecheria[Financiero U$S Dólares]))</f>
        <v>0</v>
      </c>
      <c r="X153" s="128">
        <f>SUMPRODUCT(($C$140=Producción_Lecheria[Movimiento])*($G153=Producción_Lecheria[Categoría Hacienda])*(X$1=Producción_Lecheria[Mes Financiero])*(X$2=Producción_Lecheria[Año Financiero])*(Producción_Lecheria[Financiero U$S Dólares]))</f>
        <v>0</v>
      </c>
      <c r="Y153" s="129">
        <f>SUMPRODUCT(($C$140=Producción_Lecheria[Movimiento])*($G153=Producción_Lecheria[Categoría Hacienda])*(Y$1=Producción_Lecheria[Mes Financiero])*(Y$2=Producción_Lecheria[Año Financiero])*(Producción_Lecheria[Financiero U$S Dólares]))</f>
        <v>0</v>
      </c>
      <c r="Z153" s="149">
        <f t="shared" si="28"/>
        <v>0</v>
      </c>
    </row>
    <row r="154" spans="2:30" hidden="1" outlineLevel="1" x14ac:dyDescent="0.25">
      <c r="E154" s="223">
        <f>IFERROR(MATCH(F154,Produccion_Lecheria_Cuentas[Cuenta Contable],0),0)</f>
        <v>14</v>
      </c>
      <c r="F154" s="10" t="s">
        <v>107</v>
      </c>
      <c r="H154" s="103">
        <f>SUMPRODUCT(($C$140=Producción_Lecheria[Movimiento])*($F154=Producción_Lecheria[Cuenta Contable])*(H$1=Producción_Lecheria[Mes Financiero])*(H$2=Producción_Lecheria[Año Financiero])*(Producción_Lecheria[Financiero U$S Dólares]))</f>
        <v>0</v>
      </c>
      <c r="I154" s="104">
        <f>SUMPRODUCT(($C$140=Producción_Lecheria[Movimiento])*($F154=Producción_Lecheria[Cuenta Contable])*(I$1=Producción_Lecheria[Mes Financiero])*(I$2=Producción_Lecheria[Año Financiero])*(Producción_Lecheria[Financiero U$S Dólares]))</f>
        <v>0</v>
      </c>
      <c r="J154" s="103">
        <f>SUMPRODUCT(($C$140=Producción_Lecheria[Movimiento])*($F154=Producción_Lecheria[Cuenta Contable])*(J$1=Producción_Lecheria[Mes Financiero])*(J$2=Producción_Lecheria[Año Financiero])*(Producción_Lecheria[Financiero U$S Dólares]))</f>
        <v>0</v>
      </c>
      <c r="K154" s="104">
        <f>SUMPRODUCT(($C$140=Producción_Lecheria[Movimiento])*($F154=Producción_Lecheria[Cuenta Contable])*(K$1=Producción_Lecheria[Mes Financiero])*(K$2=Producción_Lecheria[Año Financiero])*(Producción_Lecheria[Financiero U$S Dólares]))</f>
        <v>0</v>
      </c>
      <c r="L154" s="103">
        <f>SUMPRODUCT(($C$140=Producción_Lecheria[Movimiento])*($F154=Producción_Lecheria[Cuenta Contable])*(L$1=Producción_Lecheria[Mes Financiero])*(L$2=Producción_Lecheria[Año Financiero])*(Producción_Lecheria[Financiero U$S Dólares]))</f>
        <v>0</v>
      </c>
      <c r="M154" s="104">
        <f>SUMPRODUCT(($C$140=Producción_Lecheria[Movimiento])*($F154=Producción_Lecheria[Cuenta Contable])*(M$1=Producción_Lecheria[Mes Financiero])*(M$2=Producción_Lecheria[Año Financiero])*(Producción_Lecheria[Financiero U$S Dólares]))</f>
        <v>0</v>
      </c>
      <c r="N154" s="103">
        <f>SUMPRODUCT(($C$140=Producción_Lecheria[Movimiento])*($F154=Producción_Lecheria[Cuenta Contable])*(N$1=Producción_Lecheria[Mes Financiero])*(N$2=Producción_Lecheria[Año Financiero])*(Producción_Lecheria[Financiero U$S Dólares]))</f>
        <v>0</v>
      </c>
      <c r="O154" s="104">
        <f>SUMPRODUCT(($C$140=Producción_Lecheria[Movimiento])*($F154=Producción_Lecheria[Cuenta Contable])*(O$1=Producción_Lecheria[Mes Financiero])*(O$2=Producción_Lecheria[Año Financiero])*(Producción_Lecheria[Financiero U$S Dólares]))</f>
        <v>0</v>
      </c>
      <c r="P154" s="103">
        <f>SUMPRODUCT(($C$140=Producción_Lecheria[Movimiento])*($F154=Producción_Lecheria[Cuenta Contable])*(P$1=Producción_Lecheria[Mes Financiero])*(P$2=Producción_Lecheria[Año Financiero])*(Producción_Lecheria[Financiero U$S Dólares]))</f>
        <v>0</v>
      </c>
      <c r="Q154" s="104">
        <f>SUMPRODUCT(($C$140=Producción_Lecheria[Movimiento])*($F154=Producción_Lecheria[Cuenta Contable])*(Q$1=Producción_Lecheria[Mes Financiero])*(Q$2=Producción_Lecheria[Año Financiero])*(Producción_Lecheria[Financiero U$S Dólares]))</f>
        <v>0</v>
      </c>
      <c r="R154" s="103">
        <f>SUMPRODUCT(($C$140=Producción_Lecheria[Movimiento])*($F154=Producción_Lecheria[Cuenta Contable])*(R$1=Producción_Lecheria[Mes Financiero])*(R$2=Producción_Lecheria[Año Financiero])*(Producción_Lecheria[Financiero U$S Dólares]))</f>
        <v>0</v>
      </c>
      <c r="S154" s="104">
        <f>SUMPRODUCT(($C$140=Producción_Lecheria[Movimiento])*($F154=Producción_Lecheria[Cuenta Contable])*(S$1=Producción_Lecheria[Mes Financiero])*(S$2=Producción_Lecheria[Año Financiero])*(Producción_Lecheria[Financiero U$S Dólares]))</f>
        <v>0</v>
      </c>
      <c r="T154" s="103">
        <f>SUMPRODUCT(($C$140=Producción_Lecheria[Movimiento])*($F154=Producción_Lecheria[Cuenta Contable])*(T$1=Producción_Lecheria[Mes Financiero])*(T$2=Producción_Lecheria[Año Financiero])*(Producción_Lecheria[Financiero U$S Dólares]))</f>
        <v>0</v>
      </c>
      <c r="U154" s="104">
        <f>SUMPRODUCT(($C$140=Producción_Lecheria[Movimiento])*($F154=Producción_Lecheria[Cuenta Contable])*(U$1=Producción_Lecheria[Mes Financiero])*(U$2=Producción_Lecheria[Año Financiero])*(Producción_Lecheria[Financiero U$S Dólares]))</f>
        <v>0</v>
      </c>
      <c r="V154" s="103">
        <f>SUMPRODUCT(($C$140=Producción_Lecheria[Movimiento])*($F154=Producción_Lecheria[Cuenta Contable])*(V$1=Producción_Lecheria[Mes Financiero])*(V$2=Producción_Lecheria[Año Financiero])*(Producción_Lecheria[Financiero U$S Dólares]))</f>
        <v>0</v>
      </c>
      <c r="W154" s="104">
        <f>SUMPRODUCT(($C$140=Producción_Lecheria[Movimiento])*($F154=Producción_Lecheria[Cuenta Contable])*(W$1=Producción_Lecheria[Mes Financiero])*(W$2=Producción_Lecheria[Año Financiero])*(Producción_Lecheria[Financiero U$S Dólares]))</f>
        <v>0</v>
      </c>
      <c r="X154" s="103">
        <f>SUMPRODUCT(($C$140=Producción_Lecheria[Movimiento])*($F154=Producción_Lecheria[Cuenta Contable])*(X$1=Producción_Lecheria[Mes Financiero])*(X$2=Producción_Lecheria[Año Financiero])*(Producción_Lecheria[Financiero U$S Dólares]))</f>
        <v>0</v>
      </c>
      <c r="Y154" s="104">
        <f>SUMPRODUCT(($C$140=Producción_Lecheria[Movimiento])*($F154=Producción_Lecheria[Cuenta Contable])*(Y$1=Producción_Lecheria[Mes Financiero])*(Y$2=Producción_Lecheria[Año Financiero])*(Producción_Lecheria[Financiero U$S Dólares]))</f>
        <v>0</v>
      </c>
      <c r="Z154" s="144">
        <f t="shared" si="28"/>
        <v>0</v>
      </c>
      <c r="AC154" s="174">
        <f>SUMPRODUCT((F154=Produccion_Lecheria_Cuentas[Cuenta Contable])*(Produccion_Lecheria_Cuentas[IVA]))</f>
        <v>0</v>
      </c>
      <c r="AD154" s="174">
        <f>SUMPRODUCT((G154=Produccion_Lecheria_Cuentas[Cuenta Contable])*(Produccion_Lecheria_Cuentas[IVA]))</f>
        <v>0</v>
      </c>
    </row>
    <row r="155" spans="2:30" hidden="1" outlineLevel="1" x14ac:dyDescent="0.25">
      <c r="E155" s="223">
        <f>IFERROR(MATCH(F155,Produccion_Lecheria_Cuentas[Cuenta Contable],0),0)</f>
        <v>15</v>
      </c>
      <c r="F155" s="10" t="s">
        <v>108</v>
      </c>
      <c r="H155" s="103">
        <f>SUMPRODUCT(($C$140=Producción_Lecheria[Movimiento])*($F155=Producción_Lecheria[Cuenta Contable])*(H$1=Producción_Lecheria[Mes Financiero])*(H$2=Producción_Lecheria[Año Financiero])*(Producción_Lecheria[Financiero U$S Dólares]))</f>
        <v>0</v>
      </c>
      <c r="I155" s="104">
        <f>SUMPRODUCT(($C$140=Producción_Lecheria[Movimiento])*($F155=Producción_Lecheria[Cuenta Contable])*(I$1=Producción_Lecheria[Mes Financiero])*(I$2=Producción_Lecheria[Año Financiero])*(Producción_Lecheria[Financiero U$S Dólares]))</f>
        <v>0</v>
      </c>
      <c r="J155" s="103">
        <f>SUMPRODUCT(($C$140=Producción_Lecheria[Movimiento])*($F155=Producción_Lecheria[Cuenta Contable])*(J$1=Producción_Lecheria[Mes Financiero])*(J$2=Producción_Lecheria[Año Financiero])*(Producción_Lecheria[Financiero U$S Dólares]))</f>
        <v>0</v>
      </c>
      <c r="K155" s="104">
        <f>SUMPRODUCT(($C$140=Producción_Lecheria[Movimiento])*($F155=Producción_Lecheria[Cuenta Contable])*(K$1=Producción_Lecheria[Mes Financiero])*(K$2=Producción_Lecheria[Año Financiero])*(Producción_Lecheria[Financiero U$S Dólares]))</f>
        <v>0</v>
      </c>
      <c r="L155" s="103">
        <f>SUMPRODUCT(($C$140=Producción_Lecheria[Movimiento])*($F155=Producción_Lecheria[Cuenta Contable])*(L$1=Producción_Lecheria[Mes Financiero])*(L$2=Producción_Lecheria[Año Financiero])*(Producción_Lecheria[Financiero U$S Dólares]))</f>
        <v>0</v>
      </c>
      <c r="M155" s="104">
        <f>SUMPRODUCT(($C$140=Producción_Lecheria[Movimiento])*($F155=Producción_Lecheria[Cuenta Contable])*(M$1=Producción_Lecheria[Mes Financiero])*(M$2=Producción_Lecheria[Año Financiero])*(Producción_Lecheria[Financiero U$S Dólares]))</f>
        <v>0</v>
      </c>
      <c r="N155" s="103">
        <f>SUMPRODUCT(($C$140=Producción_Lecheria[Movimiento])*($F155=Producción_Lecheria[Cuenta Contable])*(N$1=Producción_Lecheria[Mes Financiero])*(N$2=Producción_Lecheria[Año Financiero])*(Producción_Lecheria[Financiero U$S Dólares]))</f>
        <v>0</v>
      </c>
      <c r="O155" s="104">
        <f>SUMPRODUCT(($C$140=Producción_Lecheria[Movimiento])*($F155=Producción_Lecheria[Cuenta Contable])*(O$1=Producción_Lecheria[Mes Financiero])*(O$2=Producción_Lecheria[Año Financiero])*(Producción_Lecheria[Financiero U$S Dólares]))</f>
        <v>0</v>
      </c>
      <c r="P155" s="103">
        <f>SUMPRODUCT(($C$140=Producción_Lecheria[Movimiento])*($F155=Producción_Lecheria[Cuenta Contable])*(P$1=Producción_Lecheria[Mes Financiero])*(P$2=Producción_Lecheria[Año Financiero])*(Producción_Lecheria[Financiero U$S Dólares]))</f>
        <v>0</v>
      </c>
      <c r="Q155" s="104">
        <f>SUMPRODUCT(($C$140=Producción_Lecheria[Movimiento])*($F155=Producción_Lecheria[Cuenta Contable])*(Q$1=Producción_Lecheria[Mes Financiero])*(Q$2=Producción_Lecheria[Año Financiero])*(Producción_Lecheria[Financiero U$S Dólares]))</f>
        <v>0</v>
      </c>
      <c r="R155" s="103">
        <f>SUMPRODUCT(($C$140=Producción_Lecheria[Movimiento])*($F155=Producción_Lecheria[Cuenta Contable])*(R$1=Producción_Lecheria[Mes Financiero])*(R$2=Producción_Lecheria[Año Financiero])*(Producción_Lecheria[Financiero U$S Dólares]))</f>
        <v>0</v>
      </c>
      <c r="S155" s="104">
        <f>SUMPRODUCT(($C$140=Producción_Lecheria[Movimiento])*($F155=Producción_Lecheria[Cuenta Contable])*(S$1=Producción_Lecheria[Mes Financiero])*(S$2=Producción_Lecheria[Año Financiero])*(Producción_Lecheria[Financiero U$S Dólares]))</f>
        <v>0</v>
      </c>
      <c r="T155" s="103">
        <f>SUMPRODUCT(($C$140=Producción_Lecheria[Movimiento])*($F155=Producción_Lecheria[Cuenta Contable])*(T$1=Producción_Lecheria[Mes Financiero])*(T$2=Producción_Lecheria[Año Financiero])*(Producción_Lecheria[Financiero U$S Dólares]))</f>
        <v>0</v>
      </c>
      <c r="U155" s="104">
        <f>SUMPRODUCT(($C$140=Producción_Lecheria[Movimiento])*($F155=Producción_Lecheria[Cuenta Contable])*(U$1=Producción_Lecheria[Mes Financiero])*(U$2=Producción_Lecheria[Año Financiero])*(Producción_Lecheria[Financiero U$S Dólares]))</f>
        <v>0</v>
      </c>
      <c r="V155" s="103">
        <f>SUMPRODUCT(($C$140=Producción_Lecheria[Movimiento])*($F155=Producción_Lecheria[Cuenta Contable])*(V$1=Producción_Lecheria[Mes Financiero])*(V$2=Producción_Lecheria[Año Financiero])*(Producción_Lecheria[Financiero U$S Dólares]))</f>
        <v>0</v>
      </c>
      <c r="W155" s="104">
        <f>SUMPRODUCT(($C$140=Producción_Lecheria[Movimiento])*($F155=Producción_Lecheria[Cuenta Contable])*(W$1=Producción_Lecheria[Mes Financiero])*(W$2=Producción_Lecheria[Año Financiero])*(Producción_Lecheria[Financiero U$S Dólares]))</f>
        <v>0</v>
      </c>
      <c r="X155" s="103">
        <f>SUMPRODUCT(($C$140=Producción_Lecheria[Movimiento])*($F155=Producción_Lecheria[Cuenta Contable])*(X$1=Producción_Lecheria[Mes Financiero])*(X$2=Producción_Lecheria[Año Financiero])*(Producción_Lecheria[Financiero U$S Dólares]))</f>
        <v>0</v>
      </c>
      <c r="Y155" s="104">
        <f>SUMPRODUCT(($C$140=Producción_Lecheria[Movimiento])*($F155=Producción_Lecheria[Cuenta Contable])*(Y$1=Producción_Lecheria[Mes Financiero])*(Y$2=Producción_Lecheria[Año Financiero])*(Producción_Lecheria[Financiero U$S Dólares]))</f>
        <v>0</v>
      </c>
      <c r="Z155" s="144">
        <f t="shared" si="28"/>
        <v>0</v>
      </c>
      <c r="AC155" s="174">
        <f>SUMPRODUCT((F155=Produccion_Lecheria_Cuentas[Cuenta Contable])*(Produccion_Lecheria_Cuentas[IVA]))</f>
        <v>0</v>
      </c>
      <c r="AD155" s="174">
        <f>SUMPRODUCT((G155=Produccion_Lecheria_Cuentas[Cuenta Contable])*(Produccion_Lecheria_Cuentas[IVA]))</f>
        <v>0</v>
      </c>
    </row>
    <row r="156" spans="2:30" hidden="1" outlineLevel="1" x14ac:dyDescent="0.25">
      <c r="E156" s="223">
        <f>IFERROR(MATCH(F156,Produccion_Lecheria_Cuentas[Cuenta Contable],0),0)</f>
        <v>16</v>
      </c>
      <c r="F156" s="10" t="s">
        <v>120</v>
      </c>
      <c r="H156" s="103">
        <f>SUMPRODUCT(($C$140=Producción_Lecheria[Movimiento])*($F156=Producción_Lecheria[Cuenta Contable])*(H$1=Producción_Lecheria[Mes Financiero])*(H$2=Producción_Lecheria[Año Financiero])*(Producción_Lecheria[Financiero U$S Dólares]))</f>
        <v>0</v>
      </c>
      <c r="I156" s="104">
        <f>SUMPRODUCT(($C$140=Producción_Lecheria[Movimiento])*($F156=Producción_Lecheria[Cuenta Contable])*(I$1=Producción_Lecheria[Mes Financiero])*(I$2=Producción_Lecheria[Año Financiero])*(Producción_Lecheria[Financiero U$S Dólares]))</f>
        <v>0</v>
      </c>
      <c r="J156" s="103">
        <f>SUMPRODUCT(($C$140=Producción_Lecheria[Movimiento])*($F156=Producción_Lecheria[Cuenta Contable])*(J$1=Producción_Lecheria[Mes Financiero])*(J$2=Producción_Lecheria[Año Financiero])*(Producción_Lecheria[Financiero U$S Dólares]))</f>
        <v>0</v>
      </c>
      <c r="K156" s="104">
        <f>SUMPRODUCT(($C$140=Producción_Lecheria[Movimiento])*($F156=Producción_Lecheria[Cuenta Contable])*(K$1=Producción_Lecheria[Mes Financiero])*(K$2=Producción_Lecheria[Año Financiero])*(Producción_Lecheria[Financiero U$S Dólares]))</f>
        <v>0</v>
      </c>
      <c r="L156" s="103">
        <f>SUMPRODUCT(($C$140=Producción_Lecheria[Movimiento])*($F156=Producción_Lecheria[Cuenta Contable])*(L$1=Producción_Lecheria[Mes Financiero])*(L$2=Producción_Lecheria[Año Financiero])*(Producción_Lecheria[Financiero U$S Dólares]))</f>
        <v>0</v>
      </c>
      <c r="M156" s="104">
        <f>SUMPRODUCT(($C$140=Producción_Lecheria[Movimiento])*($F156=Producción_Lecheria[Cuenta Contable])*(M$1=Producción_Lecheria[Mes Financiero])*(M$2=Producción_Lecheria[Año Financiero])*(Producción_Lecheria[Financiero U$S Dólares]))</f>
        <v>0</v>
      </c>
      <c r="N156" s="103">
        <f>SUMPRODUCT(($C$140=Producción_Lecheria[Movimiento])*($F156=Producción_Lecheria[Cuenta Contable])*(N$1=Producción_Lecheria[Mes Financiero])*(N$2=Producción_Lecheria[Año Financiero])*(Producción_Lecheria[Financiero U$S Dólares]))</f>
        <v>0</v>
      </c>
      <c r="O156" s="104">
        <f>SUMPRODUCT(($C$140=Producción_Lecheria[Movimiento])*($F156=Producción_Lecheria[Cuenta Contable])*(O$1=Producción_Lecheria[Mes Financiero])*(O$2=Producción_Lecheria[Año Financiero])*(Producción_Lecheria[Financiero U$S Dólares]))</f>
        <v>0</v>
      </c>
      <c r="P156" s="103">
        <f>SUMPRODUCT(($C$140=Producción_Lecheria[Movimiento])*($F156=Producción_Lecheria[Cuenta Contable])*(P$1=Producción_Lecheria[Mes Financiero])*(P$2=Producción_Lecheria[Año Financiero])*(Producción_Lecheria[Financiero U$S Dólares]))</f>
        <v>0</v>
      </c>
      <c r="Q156" s="104">
        <f>SUMPRODUCT(($C$140=Producción_Lecheria[Movimiento])*($F156=Producción_Lecheria[Cuenta Contable])*(Q$1=Producción_Lecheria[Mes Financiero])*(Q$2=Producción_Lecheria[Año Financiero])*(Producción_Lecheria[Financiero U$S Dólares]))</f>
        <v>0</v>
      </c>
      <c r="R156" s="103">
        <f>SUMPRODUCT(($C$140=Producción_Lecheria[Movimiento])*($F156=Producción_Lecheria[Cuenta Contable])*(R$1=Producción_Lecheria[Mes Financiero])*(R$2=Producción_Lecheria[Año Financiero])*(Producción_Lecheria[Financiero U$S Dólares]))</f>
        <v>0</v>
      </c>
      <c r="S156" s="104">
        <f>SUMPRODUCT(($C$140=Producción_Lecheria[Movimiento])*($F156=Producción_Lecheria[Cuenta Contable])*(S$1=Producción_Lecheria[Mes Financiero])*(S$2=Producción_Lecheria[Año Financiero])*(Producción_Lecheria[Financiero U$S Dólares]))</f>
        <v>0</v>
      </c>
      <c r="T156" s="103">
        <f>SUMPRODUCT(($C$140=Producción_Lecheria[Movimiento])*($F156=Producción_Lecheria[Cuenta Contable])*(T$1=Producción_Lecheria[Mes Financiero])*(T$2=Producción_Lecheria[Año Financiero])*(Producción_Lecheria[Financiero U$S Dólares]))</f>
        <v>0</v>
      </c>
      <c r="U156" s="104">
        <f>SUMPRODUCT(($C$140=Producción_Lecheria[Movimiento])*($F156=Producción_Lecheria[Cuenta Contable])*(U$1=Producción_Lecheria[Mes Financiero])*(U$2=Producción_Lecheria[Año Financiero])*(Producción_Lecheria[Financiero U$S Dólares]))</f>
        <v>0</v>
      </c>
      <c r="V156" s="103">
        <f>SUMPRODUCT(($C$140=Producción_Lecheria[Movimiento])*($F156=Producción_Lecheria[Cuenta Contable])*(V$1=Producción_Lecheria[Mes Financiero])*(V$2=Producción_Lecheria[Año Financiero])*(Producción_Lecheria[Financiero U$S Dólares]))</f>
        <v>0</v>
      </c>
      <c r="W156" s="104">
        <f>SUMPRODUCT(($C$140=Producción_Lecheria[Movimiento])*($F156=Producción_Lecheria[Cuenta Contable])*(W$1=Producción_Lecheria[Mes Financiero])*(W$2=Producción_Lecheria[Año Financiero])*(Producción_Lecheria[Financiero U$S Dólares]))</f>
        <v>0</v>
      </c>
      <c r="X156" s="103">
        <f>SUMPRODUCT(($C$140=Producción_Lecheria[Movimiento])*($F156=Producción_Lecheria[Cuenta Contable])*(X$1=Producción_Lecheria[Mes Financiero])*(X$2=Producción_Lecheria[Año Financiero])*(Producción_Lecheria[Financiero U$S Dólares]))</f>
        <v>0</v>
      </c>
      <c r="Y156" s="104">
        <f>SUMPRODUCT(($C$140=Producción_Lecheria[Movimiento])*($F156=Producción_Lecheria[Cuenta Contable])*(Y$1=Producción_Lecheria[Mes Financiero])*(Y$2=Producción_Lecheria[Año Financiero])*(Producción_Lecheria[Financiero U$S Dólares]))</f>
        <v>0</v>
      </c>
      <c r="Z156" s="144">
        <f t="shared" si="28"/>
        <v>0</v>
      </c>
      <c r="AC156" s="174">
        <f>SUMPRODUCT((F156=Produccion_Lecheria_Cuentas[Cuenta Contable])*(Produccion_Lecheria_Cuentas[IVA]))</f>
        <v>0</v>
      </c>
      <c r="AD156" s="174">
        <f>SUMPRODUCT((G156=Produccion_Lecheria_Cuentas[Cuenta Contable])*(Produccion_Lecheria_Cuentas[IVA]))</f>
        <v>0</v>
      </c>
    </row>
    <row r="157" spans="2:30" hidden="1" outlineLevel="1" x14ac:dyDescent="0.25">
      <c r="E157" s="223">
        <f>IFERROR(MATCH(F157,Produccion_Lecheria_Cuentas[Cuenta Contable],0),0)</f>
        <v>17</v>
      </c>
      <c r="F157" s="10" t="s">
        <v>121</v>
      </c>
      <c r="H157" s="103">
        <f>SUMPRODUCT(($C$140=Producción_Lecheria[Movimiento])*($F157=Producción_Lecheria[Cuenta Contable])*(H$1=Producción_Lecheria[Mes Financiero])*(H$2=Producción_Lecheria[Año Financiero])*(Producción_Lecheria[Financiero U$S Dólares]))</f>
        <v>0</v>
      </c>
      <c r="I157" s="104">
        <f>SUMPRODUCT(($C$140=Producción_Lecheria[Movimiento])*($F157=Producción_Lecheria[Cuenta Contable])*(I$1=Producción_Lecheria[Mes Financiero])*(I$2=Producción_Lecheria[Año Financiero])*(Producción_Lecheria[Financiero U$S Dólares]))</f>
        <v>0</v>
      </c>
      <c r="J157" s="103">
        <f>SUMPRODUCT(($C$140=Producción_Lecheria[Movimiento])*($F157=Producción_Lecheria[Cuenta Contable])*(J$1=Producción_Lecheria[Mes Financiero])*(J$2=Producción_Lecheria[Año Financiero])*(Producción_Lecheria[Financiero U$S Dólares]))</f>
        <v>0</v>
      </c>
      <c r="K157" s="104">
        <f>SUMPRODUCT(($C$140=Producción_Lecheria[Movimiento])*($F157=Producción_Lecheria[Cuenta Contable])*(K$1=Producción_Lecheria[Mes Financiero])*(K$2=Producción_Lecheria[Año Financiero])*(Producción_Lecheria[Financiero U$S Dólares]))</f>
        <v>0</v>
      </c>
      <c r="L157" s="103">
        <f>SUMPRODUCT(($C$140=Producción_Lecheria[Movimiento])*($F157=Producción_Lecheria[Cuenta Contable])*(L$1=Producción_Lecheria[Mes Financiero])*(L$2=Producción_Lecheria[Año Financiero])*(Producción_Lecheria[Financiero U$S Dólares]))</f>
        <v>0</v>
      </c>
      <c r="M157" s="104">
        <f>SUMPRODUCT(($C$140=Producción_Lecheria[Movimiento])*($F157=Producción_Lecheria[Cuenta Contable])*(M$1=Producción_Lecheria[Mes Financiero])*(M$2=Producción_Lecheria[Año Financiero])*(Producción_Lecheria[Financiero U$S Dólares]))</f>
        <v>0</v>
      </c>
      <c r="N157" s="103">
        <f>SUMPRODUCT(($C$140=Producción_Lecheria[Movimiento])*($F157=Producción_Lecheria[Cuenta Contable])*(N$1=Producción_Lecheria[Mes Financiero])*(N$2=Producción_Lecheria[Año Financiero])*(Producción_Lecheria[Financiero U$S Dólares]))</f>
        <v>0</v>
      </c>
      <c r="O157" s="104">
        <f>SUMPRODUCT(($C$140=Producción_Lecheria[Movimiento])*($F157=Producción_Lecheria[Cuenta Contable])*(O$1=Producción_Lecheria[Mes Financiero])*(O$2=Producción_Lecheria[Año Financiero])*(Producción_Lecheria[Financiero U$S Dólares]))</f>
        <v>0</v>
      </c>
      <c r="P157" s="103">
        <f>SUMPRODUCT(($C$140=Producción_Lecheria[Movimiento])*($F157=Producción_Lecheria[Cuenta Contable])*(P$1=Producción_Lecheria[Mes Financiero])*(P$2=Producción_Lecheria[Año Financiero])*(Producción_Lecheria[Financiero U$S Dólares]))</f>
        <v>0</v>
      </c>
      <c r="Q157" s="104">
        <f>SUMPRODUCT(($C$140=Producción_Lecheria[Movimiento])*($F157=Producción_Lecheria[Cuenta Contable])*(Q$1=Producción_Lecheria[Mes Financiero])*(Q$2=Producción_Lecheria[Año Financiero])*(Producción_Lecheria[Financiero U$S Dólares]))</f>
        <v>0</v>
      </c>
      <c r="R157" s="103">
        <f>SUMPRODUCT(($C$140=Producción_Lecheria[Movimiento])*($F157=Producción_Lecheria[Cuenta Contable])*(R$1=Producción_Lecheria[Mes Financiero])*(R$2=Producción_Lecheria[Año Financiero])*(Producción_Lecheria[Financiero U$S Dólares]))</f>
        <v>0</v>
      </c>
      <c r="S157" s="104">
        <f>SUMPRODUCT(($C$140=Producción_Lecheria[Movimiento])*($F157=Producción_Lecheria[Cuenta Contable])*(S$1=Producción_Lecheria[Mes Financiero])*(S$2=Producción_Lecheria[Año Financiero])*(Producción_Lecheria[Financiero U$S Dólares]))</f>
        <v>0</v>
      </c>
      <c r="T157" s="103">
        <f>SUMPRODUCT(($C$140=Producción_Lecheria[Movimiento])*($F157=Producción_Lecheria[Cuenta Contable])*(T$1=Producción_Lecheria[Mes Financiero])*(T$2=Producción_Lecheria[Año Financiero])*(Producción_Lecheria[Financiero U$S Dólares]))</f>
        <v>0</v>
      </c>
      <c r="U157" s="104">
        <f>SUMPRODUCT(($C$140=Producción_Lecheria[Movimiento])*($F157=Producción_Lecheria[Cuenta Contable])*(U$1=Producción_Lecheria[Mes Financiero])*(U$2=Producción_Lecheria[Año Financiero])*(Producción_Lecheria[Financiero U$S Dólares]))</f>
        <v>0</v>
      </c>
      <c r="V157" s="103">
        <f>SUMPRODUCT(($C$140=Producción_Lecheria[Movimiento])*($F157=Producción_Lecheria[Cuenta Contable])*(V$1=Producción_Lecheria[Mes Financiero])*(V$2=Producción_Lecheria[Año Financiero])*(Producción_Lecheria[Financiero U$S Dólares]))</f>
        <v>0</v>
      </c>
      <c r="W157" s="104">
        <f>SUMPRODUCT(($C$140=Producción_Lecheria[Movimiento])*($F157=Producción_Lecheria[Cuenta Contable])*(W$1=Producción_Lecheria[Mes Financiero])*(W$2=Producción_Lecheria[Año Financiero])*(Producción_Lecheria[Financiero U$S Dólares]))</f>
        <v>0</v>
      </c>
      <c r="X157" s="103">
        <f>SUMPRODUCT(($C$140=Producción_Lecheria[Movimiento])*($F157=Producción_Lecheria[Cuenta Contable])*(X$1=Producción_Lecheria[Mes Financiero])*(X$2=Producción_Lecheria[Año Financiero])*(Producción_Lecheria[Financiero U$S Dólares]))</f>
        <v>0</v>
      </c>
      <c r="Y157" s="104">
        <f>SUMPRODUCT(($C$140=Producción_Lecheria[Movimiento])*($F157=Producción_Lecheria[Cuenta Contable])*(Y$1=Producción_Lecheria[Mes Financiero])*(Y$2=Producción_Lecheria[Año Financiero])*(Producción_Lecheria[Financiero U$S Dólares]))</f>
        <v>0</v>
      </c>
      <c r="Z157" s="144">
        <f t="shared" si="28"/>
        <v>0</v>
      </c>
      <c r="AC157" s="174">
        <f>SUMPRODUCT((F157=Produccion_Lecheria_Cuentas[Cuenta Contable])*(Produccion_Lecheria_Cuentas[IVA]))</f>
        <v>0.21</v>
      </c>
      <c r="AD157" s="174">
        <f>SUMPRODUCT((G157=Produccion_Lecheria_Cuentas[Cuenta Contable])*(Produccion_Lecheria_Cuentas[IVA]))</f>
        <v>0</v>
      </c>
    </row>
    <row r="158" spans="2:30" hidden="1" outlineLevel="1" x14ac:dyDescent="0.25">
      <c r="E158" s="223">
        <f>IFERROR(MATCH(F158,Produccion_Lecheria_Cuentas[Cuenta Contable],0),0)</f>
        <v>18</v>
      </c>
      <c r="F158" s="10" t="s">
        <v>122</v>
      </c>
      <c r="H158" s="103">
        <f>SUMPRODUCT(($C$140=Producción_Lecheria[Movimiento])*($F158=Producción_Lecheria[Cuenta Contable])*(H$1=Producción_Lecheria[Mes Financiero])*(H$2=Producción_Lecheria[Año Financiero])*(Producción_Lecheria[Financiero U$S Dólares]))</f>
        <v>0</v>
      </c>
      <c r="I158" s="104">
        <f>SUMPRODUCT(($C$140=Producción_Lecheria[Movimiento])*($F158=Producción_Lecheria[Cuenta Contable])*(I$1=Producción_Lecheria[Mes Financiero])*(I$2=Producción_Lecheria[Año Financiero])*(Producción_Lecheria[Financiero U$S Dólares]))</f>
        <v>0</v>
      </c>
      <c r="J158" s="103">
        <f>SUMPRODUCT(($C$140=Producción_Lecheria[Movimiento])*($F158=Producción_Lecheria[Cuenta Contable])*(J$1=Producción_Lecheria[Mes Financiero])*(J$2=Producción_Lecheria[Año Financiero])*(Producción_Lecheria[Financiero U$S Dólares]))</f>
        <v>0</v>
      </c>
      <c r="K158" s="104">
        <f>SUMPRODUCT(($C$140=Producción_Lecheria[Movimiento])*($F158=Producción_Lecheria[Cuenta Contable])*(K$1=Producción_Lecheria[Mes Financiero])*(K$2=Producción_Lecheria[Año Financiero])*(Producción_Lecheria[Financiero U$S Dólares]))</f>
        <v>0</v>
      </c>
      <c r="L158" s="103">
        <f>SUMPRODUCT(($C$140=Producción_Lecheria[Movimiento])*($F158=Producción_Lecheria[Cuenta Contable])*(L$1=Producción_Lecheria[Mes Financiero])*(L$2=Producción_Lecheria[Año Financiero])*(Producción_Lecheria[Financiero U$S Dólares]))</f>
        <v>0</v>
      </c>
      <c r="M158" s="104">
        <f>SUMPRODUCT(($C$140=Producción_Lecheria[Movimiento])*($F158=Producción_Lecheria[Cuenta Contable])*(M$1=Producción_Lecheria[Mes Financiero])*(M$2=Producción_Lecheria[Año Financiero])*(Producción_Lecheria[Financiero U$S Dólares]))</f>
        <v>0</v>
      </c>
      <c r="N158" s="103">
        <f>SUMPRODUCT(($C$140=Producción_Lecheria[Movimiento])*($F158=Producción_Lecheria[Cuenta Contable])*(N$1=Producción_Lecheria[Mes Financiero])*(N$2=Producción_Lecheria[Año Financiero])*(Producción_Lecheria[Financiero U$S Dólares]))</f>
        <v>0</v>
      </c>
      <c r="O158" s="104">
        <f>SUMPRODUCT(($C$140=Producción_Lecheria[Movimiento])*($F158=Producción_Lecheria[Cuenta Contable])*(O$1=Producción_Lecheria[Mes Financiero])*(O$2=Producción_Lecheria[Año Financiero])*(Producción_Lecheria[Financiero U$S Dólares]))</f>
        <v>0</v>
      </c>
      <c r="P158" s="103">
        <f>SUMPRODUCT(($C$140=Producción_Lecheria[Movimiento])*($F158=Producción_Lecheria[Cuenta Contable])*(P$1=Producción_Lecheria[Mes Financiero])*(P$2=Producción_Lecheria[Año Financiero])*(Producción_Lecheria[Financiero U$S Dólares]))</f>
        <v>0</v>
      </c>
      <c r="Q158" s="104">
        <f>SUMPRODUCT(($C$140=Producción_Lecheria[Movimiento])*($F158=Producción_Lecheria[Cuenta Contable])*(Q$1=Producción_Lecheria[Mes Financiero])*(Q$2=Producción_Lecheria[Año Financiero])*(Producción_Lecheria[Financiero U$S Dólares]))</f>
        <v>0</v>
      </c>
      <c r="R158" s="103">
        <f>SUMPRODUCT(($C$140=Producción_Lecheria[Movimiento])*($F158=Producción_Lecheria[Cuenta Contable])*(R$1=Producción_Lecheria[Mes Financiero])*(R$2=Producción_Lecheria[Año Financiero])*(Producción_Lecheria[Financiero U$S Dólares]))</f>
        <v>0</v>
      </c>
      <c r="S158" s="104">
        <f>SUMPRODUCT(($C$140=Producción_Lecheria[Movimiento])*($F158=Producción_Lecheria[Cuenta Contable])*(S$1=Producción_Lecheria[Mes Financiero])*(S$2=Producción_Lecheria[Año Financiero])*(Producción_Lecheria[Financiero U$S Dólares]))</f>
        <v>0</v>
      </c>
      <c r="T158" s="103">
        <f>SUMPRODUCT(($C$140=Producción_Lecheria[Movimiento])*($F158=Producción_Lecheria[Cuenta Contable])*(T$1=Producción_Lecheria[Mes Financiero])*(T$2=Producción_Lecheria[Año Financiero])*(Producción_Lecheria[Financiero U$S Dólares]))</f>
        <v>0</v>
      </c>
      <c r="U158" s="104">
        <f>SUMPRODUCT(($C$140=Producción_Lecheria[Movimiento])*($F158=Producción_Lecheria[Cuenta Contable])*(U$1=Producción_Lecheria[Mes Financiero])*(U$2=Producción_Lecheria[Año Financiero])*(Producción_Lecheria[Financiero U$S Dólares]))</f>
        <v>0</v>
      </c>
      <c r="V158" s="103">
        <f>SUMPRODUCT(($C$140=Producción_Lecheria[Movimiento])*($F158=Producción_Lecheria[Cuenta Contable])*(V$1=Producción_Lecheria[Mes Financiero])*(V$2=Producción_Lecheria[Año Financiero])*(Producción_Lecheria[Financiero U$S Dólares]))</f>
        <v>0</v>
      </c>
      <c r="W158" s="104">
        <f>SUMPRODUCT(($C$140=Producción_Lecheria[Movimiento])*($F158=Producción_Lecheria[Cuenta Contable])*(W$1=Producción_Lecheria[Mes Financiero])*(W$2=Producción_Lecheria[Año Financiero])*(Producción_Lecheria[Financiero U$S Dólares]))</f>
        <v>0</v>
      </c>
      <c r="X158" s="103">
        <f>SUMPRODUCT(($C$140=Producción_Lecheria[Movimiento])*($F158=Producción_Lecheria[Cuenta Contable])*(X$1=Producción_Lecheria[Mes Financiero])*(X$2=Producción_Lecheria[Año Financiero])*(Producción_Lecheria[Financiero U$S Dólares]))</f>
        <v>0</v>
      </c>
      <c r="Y158" s="104">
        <f>SUMPRODUCT(($C$140=Producción_Lecheria[Movimiento])*($F158=Producción_Lecheria[Cuenta Contable])*(Y$1=Producción_Lecheria[Mes Financiero])*(Y$2=Producción_Lecheria[Año Financiero])*(Producción_Lecheria[Financiero U$S Dólares]))</f>
        <v>0</v>
      </c>
      <c r="Z158" s="144">
        <f t="shared" si="28"/>
        <v>0</v>
      </c>
      <c r="AC158" s="174">
        <f>SUMPRODUCT((F158=Produccion_Lecheria_Cuentas[Cuenta Contable])*(Produccion_Lecheria_Cuentas[IVA]))</f>
        <v>0.21</v>
      </c>
      <c r="AD158" s="174">
        <f>SUMPRODUCT((G158=Produccion_Lecheria_Cuentas[Cuenta Contable])*(Produccion_Lecheria_Cuentas[IVA]))</f>
        <v>0</v>
      </c>
    </row>
    <row r="159" spans="2:30" hidden="1" outlineLevel="1" x14ac:dyDescent="0.25">
      <c r="E159" s="223">
        <f>IFERROR(MATCH(F159,Produccion_Lecheria_Cuentas[Cuenta Contable],0),0)</f>
        <v>19</v>
      </c>
      <c r="F159" s="10" t="s">
        <v>123</v>
      </c>
      <c r="H159" s="103">
        <f>SUMPRODUCT(($C$140=Producción_Lecheria[Movimiento])*($F159=Producción_Lecheria[Cuenta Contable])*(H$1=Producción_Lecheria[Mes Financiero])*(H$2=Producción_Lecheria[Año Financiero])*(Producción_Lecheria[Financiero U$S Dólares]))</f>
        <v>0</v>
      </c>
      <c r="I159" s="104">
        <f>SUMPRODUCT(($C$140=Producción_Lecheria[Movimiento])*($F159=Producción_Lecheria[Cuenta Contable])*(I$1=Producción_Lecheria[Mes Financiero])*(I$2=Producción_Lecheria[Año Financiero])*(Producción_Lecheria[Financiero U$S Dólares]))</f>
        <v>0</v>
      </c>
      <c r="J159" s="103">
        <f>SUMPRODUCT(($C$140=Producción_Lecheria[Movimiento])*($F159=Producción_Lecheria[Cuenta Contable])*(J$1=Producción_Lecheria[Mes Financiero])*(J$2=Producción_Lecheria[Año Financiero])*(Producción_Lecheria[Financiero U$S Dólares]))</f>
        <v>0</v>
      </c>
      <c r="K159" s="104">
        <f>SUMPRODUCT(($C$140=Producción_Lecheria[Movimiento])*($F159=Producción_Lecheria[Cuenta Contable])*(K$1=Producción_Lecheria[Mes Financiero])*(K$2=Producción_Lecheria[Año Financiero])*(Producción_Lecheria[Financiero U$S Dólares]))</f>
        <v>0</v>
      </c>
      <c r="L159" s="103">
        <f>SUMPRODUCT(($C$140=Producción_Lecheria[Movimiento])*($F159=Producción_Lecheria[Cuenta Contable])*(L$1=Producción_Lecheria[Mes Financiero])*(L$2=Producción_Lecheria[Año Financiero])*(Producción_Lecheria[Financiero U$S Dólares]))</f>
        <v>0</v>
      </c>
      <c r="M159" s="104">
        <f>SUMPRODUCT(($C$140=Producción_Lecheria[Movimiento])*($F159=Producción_Lecheria[Cuenta Contable])*(M$1=Producción_Lecheria[Mes Financiero])*(M$2=Producción_Lecheria[Año Financiero])*(Producción_Lecheria[Financiero U$S Dólares]))</f>
        <v>0</v>
      </c>
      <c r="N159" s="103">
        <f>SUMPRODUCT(($C$140=Producción_Lecheria[Movimiento])*($F159=Producción_Lecheria[Cuenta Contable])*(N$1=Producción_Lecheria[Mes Financiero])*(N$2=Producción_Lecheria[Año Financiero])*(Producción_Lecheria[Financiero U$S Dólares]))</f>
        <v>0</v>
      </c>
      <c r="O159" s="104">
        <f>SUMPRODUCT(($C$140=Producción_Lecheria[Movimiento])*($F159=Producción_Lecheria[Cuenta Contable])*(O$1=Producción_Lecheria[Mes Financiero])*(O$2=Producción_Lecheria[Año Financiero])*(Producción_Lecheria[Financiero U$S Dólares]))</f>
        <v>0</v>
      </c>
      <c r="P159" s="103">
        <f>SUMPRODUCT(($C$140=Producción_Lecheria[Movimiento])*($F159=Producción_Lecheria[Cuenta Contable])*(P$1=Producción_Lecheria[Mes Financiero])*(P$2=Producción_Lecheria[Año Financiero])*(Producción_Lecheria[Financiero U$S Dólares]))</f>
        <v>0</v>
      </c>
      <c r="Q159" s="104">
        <f>SUMPRODUCT(($C$140=Producción_Lecheria[Movimiento])*($F159=Producción_Lecheria[Cuenta Contable])*(Q$1=Producción_Lecheria[Mes Financiero])*(Q$2=Producción_Lecheria[Año Financiero])*(Producción_Lecheria[Financiero U$S Dólares]))</f>
        <v>0</v>
      </c>
      <c r="R159" s="103">
        <f>SUMPRODUCT(($C$140=Producción_Lecheria[Movimiento])*($F159=Producción_Lecheria[Cuenta Contable])*(R$1=Producción_Lecheria[Mes Financiero])*(R$2=Producción_Lecheria[Año Financiero])*(Producción_Lecheria[Financiero U$S Dólares]))</f>
        <v>0</v>
      </c>
      <c r="S159" s="104">
        <f>SUMPRODUCT(($C$140=Producción_Lecheria[Movimiento])*($F159=Producción_Lecheria[Cuenta Contable])*(S$1=Producción_Lecheria[Mes Financiero])*(S$2=Producción_Lecheria[Año Financiero])*(Producción_Lecheria[Financiero U$S Dólares]))</f>
        <v>0</v>
      </c>
      <c r="T159" s="103">
        <f>SUMPRODUCT(($C$140=Producción_Lecheria[Movimiento])*($F159=Producción_Lecheria[Cuenta Contable])*(T$1=Producción_Lecheria[Mes Financiero])*(T$2=Producción_Lecheria[Año Financiero])*(Producción_Lecheria[Financiero U$S Dólares]))</f>
        <v>0</v>
      </c>
      <c r="U159" s="104">
        <f>SUMPRODUCT(($C$140=Producción_Lecheria[Movimiento])*($F159=Producción_Lecheria[Cuenta Contable])*(U$1=Producción_Lecheria[Mes Financiero])*(U$2=Producción_Lecheria[Año Financiero])*(Producción_Lecheria[Financiero U$S Dólares]))</f>
        <v>0</v>
      </c>
      <c r="V159" s="103">
        <f>SUMPRODUCT(($C$140=Producción_Lecheria[Movimiento])*($F159=Producción_Lecheria[Cuenta Contable])*(V$1=Producción_Lecheria[Mes Financiero])*(V$2=Producción_Lecheria[Año Financiero])*(Producción_Lecheria[Financiero U$S Dólares]))</f>
        <v>0</v>
      </c>
      <c r="W159" s="104">
        <f>SUMPRODUCT(($C$140=Producción_Lecheria[Movimiento])*($F159=Producción_Lecheria[Cuenta Contable])*(W$1=Producción_Lecheria[Mes Financiero])*(W$2=Producción_Lecheria[Año Financiero])*(Producción_Lecheria[Financiero U$S Dólares]))</f>
        <v>0</v>
      </c>
      <c r="X159" s="103">
        <f>SUMPRODUCT(($C$140=Producción_Lecheria[Movimiento])*($F159=Producción_Lecheria[Cuenta Contable])*(X$1=Producción_Lecheria[Mes Financiero])*(X$2=Producción_Lecheria[Año Financiero])*(Producción_Lecheria[Financiero U$S Dólares]))</f>
        <v>0</v>
      </c>
      <c r="Y159" s="104">
        <f>SUMPRODUCT(($C$140=Producción_Lecheria[Movimiento])*($F159=Producción_Lecheria[Cuenta Contable])*(Y$1=Producción_Lecheria[Mes Financiero])*(Y$2=Producción_Lecheria[Año Financiero])*(Producción_Lecheria[Financiero U$S Dólares]))</f>
        <v>0</v>
      </c>
      <c r="Z159" s="144">
        <f t="shared" si="28"/>
        <v>0</v>
      </c>
      <c r="AC159" s="174">
        <f>SUMPRODUCT((F159=Produccion_Lecheria_Cuentas[Cuenta Contable])*(Produccion_Lecheria_Cuentas[IVA]))</f>
        <v>0.21</v>
      </c>
      <c r="AD159" s="174">
        <f>SUMPRODUCT((G159=Produccion_Lecheria_Cuentas[Cuenta Contable])*(Produccion_Lecheria_Cuentas[IVA]))</f>
        <v>0</v>
      </c>
    </row>
    <row r="160" spans="2:30" hidden="1" outlineLevel="1" x14ac:dyDescent="0.25">
      <c r="E160" s="223">
        <f>IFERROR(MATCH(F160,Produccion_Lecheria_Cuentas[Cuenta Contable],0),0)</f>
        <v>20</v>
      </c>
      <c r="F160" s="10" t="s">
        <v>124</v>
      </c>
      <c r="H160" s="103">
        <f>SUMPRODUCT(($C$140=Producción_Lecheria[Movimiento])*($F160=Producción_Lecheria[Cuenta Contable])*(H$1=Producción_Lecheria[Mes Financiero])*(H$2=Producción_Lecheria[Año Financiero])*(Producción_Lecheria[Financiero U$S Dólares]))</f>
        <v>0</v>
      </c>
      <c r="I160" s="104">
        <f>SUMPRODUCT(($C$140=Producción_Lecheria[Movimiento])*($F160=Producción_Lecheria[Cuenta Contable])*(I$1=Producción_Lecheria[Mes Financiero])*(I$2=Producción_Lecheria[Año Financiero])*(Producción_Lecheria[Financiero U$S Dólares]))</f>
        <v>0</v>
      </c>
      <c r="J160" s="103">
        <f>SUMPRODUCT(($C$140=Producción_Lecheria[Movimiento])*($F160=Producción_Lecheria[Cuenta Contable])*(J$1=Producción_Lecheria[Mes Financiero])*(J$2=Producción_Lecheria[Año Financiero])*(Producción_Lecheria[Financiero U$S Dólares]))</f>
        <v>0</v>
      </c>
      <c r="K160" s="104">
        <f>SUMPRODUCT(($C$140=Producción_Lecheria[Movimiento])*($F160=Producción_Lecheria[Cuenta Contable])*(K$1=Producción_Lecheria[Mes Financiero])*(K$2=Producción_Lecheria[Año Financiero])*(Producción_Lecheria[Financiero U$S Dólares]))</f>
        <v>0</v>
      </c>
      <c r="L160" s="103">
        <f>SUMPRODUCT(($C$140=Producción_Lecheria[Movimiento])*($F160=Producción_Lecheria[Cuenta Contable])*(L$1=Producción_Lecheria[Mes Financiero])*(L$2=Producción_Lecheria[Año Financiero])*(Producción_Lecheria[Financiero U$S Dólares]))</f>
        <v>0</v>
      </c>
      <c r="M160" s="104">
        <f>SUMPRODUCT(($C$140=Producción_Lecheria[Movimiento])*($F160=Producción_Lecheria[Cuenta Contable])*(M$1=Producción_Lecheria[Mes Financiero])*(M$2=Producción_Lecheria[Año Financiero])*(Producción_Lecheria[Financiero U$S Dólares]))</f>
        <v>0</v>
      </c>
      <c r="N160" s="103">
        <f>SUMPRODUCT(($C$140=Producción_Lecheria[Movimiento])*($F160=Producción_Lecheria[Cuenta Contable])*(N$1=Producción_Lecheria[Mes Financiero])*(N$2=Producción_Lecheria[Año Financiero])*(Producción_Lecheria[Financiero U$S Dólares]))</f>
        <v>0</v>
      </c>
      <c r="O160" s="104">
        <f>SUMPRODUCT(($C$140=Producción_Lecheria[Movimiento])*($F160=Producción_Lecheria[Cuenta Contable])*(O$1=Producción_Lecheria[Mes Financiero])*(O$2=Producción_Lecheria[Año Financiero])*(Producción_Lecheria[Financiero U$S Dólares]))</f>
        <v>0</v>
      </c>
      <c r="P160" s="103">
        <f>SUMPRODUCT(($C$140=Producción_Lecheria[Movimiento])*($F160=Producción_Lecheria[Cuenta Contable])*(P$1=Producción_Lecheria[Mes Financiero])*(P$2=Producción_Lecheria[Año Financiero])*(Producción_Lecheria[Financiero U$S Dólares]))</f>
        <v>0</v>
      </c>
      <c r="Q160" s="104">
        <f>SUMPRODUCT(($C$140=Producción_Lecheria[Movimiento])*($F160=Producción_Lecheria[Cuenta Contable])*(Q$1=Producción_Lecheria[Mes Financiero])*(Q$2=Producción_Lecheria[Año Financiero])*(Producción_Lecheria[Financiero U$S Dólares]))</f>
        <v>0</v>
      </c>
      <c r="R160" s="103">
        <f>SUMPRODUCT(($C$140=Producción_Lecheria[Movimiento])*($F160=Producción_Lecheria[Cuenta Contable])*(R$1=Producción_Lecheria[Mes Financiero])*(R$2=Producción_Lecheria[Año Financiero])*(Producción_Lecheria[Financiero U$S Dólares]))</f>
        <v>0</v>
      </c>
      <c r="S160" s="104">
        <f>SUMPRODUCT(($C$140=Producción_Lecheria[Movimiento])*($F160=Producción_Lecheria[Cuenta Contable])*(S$1=Producción_Lecheria[Mes Financiero])*(S$2=Producción_Lecheria[Año Financiero])*(Producción_Lecheria[Financiero U$S Dólares]))</f>
        <v>0</v>
      </c>
      <c r="T160" s="103">
        <f>SUMPRODUCT(($C$140=Producción_Lecheria[Movimiento])*($F160=Producción_Lecheria[Cuenta Contable])*(T$1=Producción_Lecheria[Mes Financiero])*(T$2=Producción_Lecheria[Año Financiero])*(Producción_Lecheria[Financiero U$S Dólares]))</f>
        <v>0</v>
      </c>
      <c r="U160" s="104">
        <f>SUMPRODUCT(($C$140=Producción_Lecheria[Movimiento])*($F160=Producción_Lecheria[Cuenta Contable])*(U$1=Producción_Lecheria[Mes Financiero])*(U$2=Producción_Lecheria[Año Financiero])*(Producción_Lecheria[Financiero U$S Dólares]))</f>
        <v>0</v>
      </c>
      <c r="V160" s="103">
        <f>SUMPRODUCT(($C$140=Producción_Lecheria[Movimiento])*($F160=Producción_Lecheria[Cuenta Contable])*(V$1=Producción_Lecheria[Mes Financiero])*(V$2=Producción_Lecheria[Año Financiero])*(Producción_Lecheria[Financiero U$S Dólares]))</f>
        <v>0</v>
      </c>
      <c r="W160" s="104">
        <f>SUMPRODUCT(($C$140=Producción_Lecheria[Movimiento])*($F160=Producción_Lecheria[Cuenta Contable])*(W$1=Producción_Lecheria[Mes Financiero])*(W$2=Producción_Lecheria[Año Financiero])*(Producción_Lecheria[Financiero U$S Dólares]))</f>
        <v>0</v>
      </c>
      <c r="X160" s="103">
        <f>SUMPRODUCT(($C$140=Producción_Lecheria[Movimiento])*($F160=Producción_Lecheria[Cuenta Contable])*(X$1=Producción_Lecheria[Mes Financiero])*(X$2=Producción_Lecheria[Año Financiero])*(Producción_Lecheria[Financiero U$S Dólares]))</f>
        <v>0</v>
      </c>
      <c r="Y160" s="104">
        <f>SUMPRODUCT(($C$140=Producción_Lecheria[Movimiento])*($F160=Producción_Lecheria[Cuenta Contable])*(Y$1=Producción_Lecheria[Mes Financiero])*(Y$2=Producción_Lecheria[Año Financiero])*(Producción_Lecheria[Financiero U$S Dólares]))</f>
        <v>0</v>
      </c>
      <c r="Z160" s="144">
        <f t="shared" si="28"/>
        <v>0</v>
      </c>
      <c r="AC160" s="174">
        <f>SUMPRODUCT((F160=Produccion_Lecheria_Cuentas[Cuenta Contable])*(Produccion_Lecheria_Cuentas[IVA]))</f>
        <v>0.21</v>
      </c>
      <c r="AD160" s="174">
        <f>SUMPRODUCT((G160=Produccion_Lecheria_Cuentas[Cuenta Contable])*(Produccion_Lecheria_Cuentas[IVA]))</f>
        <v>0</v>
      </c>
    </row>
    <row r="161" spans="2:30" hidden="1" outlineLevel="1" x14ac:dyDescent="0.25">
      <c r="E161" s="223">
        <f>IFERROR(MATCH(F161,Produccion_Lecheria_Cuentas[Cuenta Contable],0),0)</f>
        <v>23</v>
      </c>
      <c r="F161" s="10" t="s">
        <v>53</v>
      </c>
      <c r="H161" s="103">
        <f>SUMPRODUCT(($C$140=Producción_Lecheria[Movimiento])*($F161=Producción_Lecheria[Cuenta Contable])*(H$1=Producción_Lecheria[Mes Financiero])*(H$2=Producción_Lecheria[Año Financiero])*(Producción_Lecheria[Financiero U$S Dólares]))</f>
        <v>0</v>
      </c>
      <c r="I161" s="104">
        <f>SUMPRODUCT(($C$140=Producción_Lecheria[Movimiento])*($F161=Producción_Lecheria[Cuenta Contable])*(I$1=Producción_Lecheria[Mes Financiero])*(I$2=Producción_Lecheria[Año Financiero])*(Producción_Lecheria[Financiero U$S Dólares]))</f>
        <v>0</v>
      </c>
      <c r="J161" s="103">
        <f>SUMPRODUCT(($C$140=Producción_Lecheria[Movimiento])*($F161=Producción_Lecheria[Cuenta Contable])*(J$1=Producción_Lecheria[Mes Financiero])*(J$2=Producción_Lecheria[Año Financiero])*(Producción_Lecheria[Financiero U$S Dólares]))</f>
        <v>0</v>
      </c>
      <c r="K161" s="104">
        <f>SUMPRODUCT(($C$140=Producción_Lecheria[Movimiento])*($F161=Producción_Lecheria[Cuenta Contable])*(K$1=Producción_Lecheria[Mes Financiero])*(K$2=Producción_Lecheria[Año Financiero])*(Producción_Lecheria[Financiero U$S Dólares]))</f>
        <v>0</v>
      </c>
      <c r="L161" s="103">
        <f>SUMPRODUCT(($C$140=Producción_Lecheria[Movimiento])*($F161=Producción_Lecheria[Cuenta Contable])*(L$1=Producción_Lecheria[Mes Financiero])*(L$2=Producción_Lecheria[Año Financiero])*(Producción_Lecheria[Financiero U$S Dólares]))</f>
        <v>0</v>
      </c>
      <c r="M161" s="104">
        <f>SUMPRODUCT(($C$140=Producción_Lecheria[Movimiento])*($F161=Producción_Lecheria[Cuenta Contable])*(M$1=Producción_Lecheria[Mes Financiero])*(M$2=Producción_Lecheria[Año Financiero])*(Producción_Lecheria[Financiero U$S Dólares]))</f>
        <v>0</v>
      </c>
      <c r="N161" s="103">
        <f>SUMPRODUCT(($C$140=Producción_Lecheria[Movimiento])*($F161=Producción_Lecheria[Cuenta Contable])*(N$1=Producción_Lecheria[Mes Financiero])*(N$2=Producción_Lecheria[Año Financiero])*(Producción_Lecheria[Financiero U$S Dólares]))</f>
        <v>0</v>
      </c>
      <c r="O161" s="104">
        <f>SUMPRODUCT(($C$140=Producción_Lecheria[Movimiento])*($F161=Producción_Lecheria[Cuenta Contable])*(O$1=Producción_Lecheria[Mes Financiero])*(O$2=Producción_Lecheria[Año Financiero])*(Producción_Lecheria[Financiero U$S Dólares]))</f>
        <v>0</v>
      </c>
      <c r="P161" s="103">
        <f>SUMPRODUCT(($C$140=Producción_Lecheria[Movimiento])*($F161=Producción_Lecheria[Cuenta Contable])*(P$1=Producción_Lecheria[Mes Financiero])*(P$2=Producción_Lecheria[Año Financiero])*(Producción_Lecheria[Financiero U$S Dólares]))</f>
        <v>0</v>
      </c>
      <c r="Q161" s="104">
        <f>SUMPRODUCT(($C$140=Producción_Lecheria[Movimiento])*($F161=Producción_Lecheria[Cuenta Contable])*(Q$1=Producción_Lecheria[Mes Financiero])*(Q$2=Producción_Lecheria[Año Financiero])*(Producción_Lecheria[Financiero U$S Dólares]))</f>
        <v>0</v>
      </c>
      <c r="R161" s="103">
        <f>SUMPRODUCT(($C$140=Producción_Lecheria[Movimiento])*($F161=Producción_Lecheria[Cuenta Contable])*(R$1=Producción_Lecheria[Mes Financiero])*(R$2=Producción_Lecheria[Año Financiero])*(Producción_Lecheria[Financiero U$S Dólares]))</f>
        <v>0</v>
      </c>
      <c r="S161" s="104">
        <f>SUMPRODUCT(($C$140=Producción_Lecheria[Movimiento])*($F161=Producción_Lecheria[Cuenta Contable])*(S$1=Producción_Lecheria[Mes Financiero])*(S$2=Producción_Lecheria[Año Financiero])*(Producción_Lecheria[Financiero U$S Dólares]))</f>
        <v>0</v>
      </c>
      <c r="T161" s="103">
        <f>SUMPRODUCT(($C$140=Producción_Lecheria[Movimiento])*($F161=Producción_Lecheria[Cuenta Contable])*(T$1=Producción_Lecheria[Mes Financiero])*(T$2=Producción_Lecheria[Año Financiero])*(Producción_Lecheria[Financiero U$S Dólares]))</f>
        <v>0</v>
      </c>
      <c r="U161" s="104">
        <f>SUMPRODUCT(($C$140=Producción_Lecheria[Movimiento])*($F161=Producción_Lecheria[Cuenta Contable])*(U$1=Producción_Lecheria[Mes Financiero])*(U$2=Producción_Lecheria[Año Financiero])*(Producción_Lecheria[Financiero U$S Dólares]))</f>
        <v>0</v>
      </c>
      <c r="V161" s="103">
        <f>SUMPRODUCT(($C$140=Producción_Lecheria[Movimiento])*($F161=Producción_Lecheria[Cuenta Contable])*(V$1=Producción_Lecheria[Mes Financiero])*(V$2=Producción_Lecheria[Año Financiero])*(Producción_Lecheria[Financiero U$S Dólares]))</f>
        <v>0</v>
      </c>
      <c r="W161" s="104">
        <f>SUMPRODUCT(($C$140=Producción_Lecheria[Movimiento])*($F161=Producción_Lecheria[Cuenta Contable])*(W$1=Producción_Lecheria[Mes Financiero])*(W$2=Producción_Lecheria[Año Financiero])*(Producción_Lecheria[Financiero U$S Dólares]))</f>
        <v>0</v>
      </c>
      <c r="X161" s="103">
        <f>SUMPRODUCT(($C$140=Producción_Lecheria[Movimiento])*($F161=Producción_Lecheria[Cuenta Contable])*(X$1=Producción_Lecheria[Mes Financiero])*(X$2=Producción_Lecheria[Año Financiero])*(Producción_Lecheria[Financiero U$S Dólares]))</f>
        <v>0</v>
      </c>
      <c r="Y161" s="104">
        <f>SUMPRODUCT(($C$140=Producción_Lecheria[Movimiento])*($F161=Producción_Lecheria[Cuenta Contable])*(Y$1=Producción_Lecheria[Mes Financiero])*(Y$2=Producción_Lecheria[Año Financiero])*(Producción_Lecheria[Financiero U$S Dólares]))</f>
        <v>0</v>
      </c>
      <c r="Z161" s="144">
        <f t="shared" si="28"/>
        <v>0</v>
      </c>
      <c r="AC161" s="174">
        <f>SUMPRODUCT((F161=Produccion_Lecheria_Cuentas[Cuenta Contable])*(Produccion_Lecheria_Cuentas[IVA]))</f>
        <v>0.21</v>
      </c>
      <c r="AD161" s="174">
        <f>SUMPRODUCT((G161=Produccion_Lecheria_Cuentas[Cuenta Contable])*(Produccion_Lecheria_Cuentas[IVA]))</f>
        <v>0</v>
      </c>
    </row>
    <row r="162" spans="2:30" hidden="1" outlineLevel="1" x14ac:dyDescent="0.25">
      <c r="E162" s="223">
        <f>IFERROR(MATCH(F162,Produccion_Lecheria_Cuentas[Cuenta Contable],0),0)</f>
        <v>24</v>
      </c>
      <c r="F162" s="10" t="s">
        <v>56</v>
      </c>
      <c r="H162" s="103">
        <f>SUMPRODUCT(($C$140=Producción_Lecheria[Movimiento])*($F162=Producción_Lecheria[Cuenta Contable])*(H$1=Producción_Lecheria[Mes Financiero])*(H$2=Producción_Lecheria[Año Financiero])*(Producción_Lecheria[Financiero U$S Dólares]))</f>
        <v>0</v>
      </c>
      <c r="I162" s="104">
        <f>SUMPRODUCT(($C$140=Producción_Lecheria[Movimiento])*($F162=Producción_Lecheria[Cuenta Contable])*(I$1=Producción_Lecheria[Mes Financiero])*(I$2=Producción_Lecheria[Año Financiero])*(Producción_Lecheria[Financiero U$S Dólares]))</f>
        <v>0</v>
      </c>
      <c r="J162" s="103">
        <f>SUMPRODUCT(($C$140=Producción_Lecheria[Movimiento])*($F162=Producción_Lecheria[Cuenta Contable])*(J$1=Producción_Lecheria[Mes Financiero])*(J$2=Producción_Lecheria[Año Financiero])*(Producción_Lecheria[Financiero U$S Dólares]))</f>
        <v>0</v>
      </c>
      <c r="K162" s="104">
        <f>SUMPRODUCT(($C$140=Producción_Lecheria[Movimiento])*($F162=Producción_Lecheria[Cuenta Contable])*(K$1=Producción_Lecheria[Mes Financiero])*(K$2=Producción_Lecheria[Año Financiero])*(Producción_Lecheria[Financiero U$S Dólares]))</f>
        <v>0</v>
      </c>
      <c r="L162" s="103">
        <f>SUMPRODUCT(($C$140=Producción_Lecheria[Movimiento])*($F162=Producción_Lecheria[Cuenta Contable])*(L$1=Producción_Lecheria[Mes Financiero])*(L$2=Producción_Lecheria[Año Financiero])*(Producción_Lecheria[Financiero U$S Dólares]))</f>
        <v>0</v>
      </c>
      <c r="M162" s="104">
        <f>SUMPRODUCT(($C$140=Producción_Lecheria[Movimiento])*($F162=Producción_Lecheria[Cuenta Contable])*(M$1=Producción_Lecheria[Mes Financiero])*(M$2=Producción_Lecheria[Año Financiero])*(Producción_Lecheria[Financiero U$S Dólares]))</f>
        <v>0</v>
      </c>
      <c r="N162" s="103">
        <f>SUMPRODUCT(($C$140=Producción_Lecheria[Movimiento])*($F162=Producción_Lecheria[Cuenta Contable])*(N$1=Producción_Lecheria[Mes Financiero])*(N$2=Producción_Lecheria[Año Financiero])*(Producción_Lecheria[Financiero U$S Dólares]))</f>
        <v>0</v>
      </c>
      <c r="O162" s="104">
        <f>SUMPRODUCT(($C$140=Producción_Lecheria[Movimiento])*($F162=Producción_Lecheria[Cuenta Contable])*(O$1=Producción_Lecheria[Mes Financiero])*(O$2=Producción_Lecheria[Año Financiero])*(Producción_Lecheria[Financiero U$S Dólares]))</f>
        <v>0</v>
      </c>
      <c r="P162" s="103">
        <f>SUMPRODUCT(($C$140=Producción_Lecheria[Movimiento])*($F162=Producción_Lecheria[Cuenta Contable])*(P$1=Producción_Lecheria[Mes Financiero])*(P$2=Producción_Lecheria[Año Financiero])*(Producción_Lecheria[Financiero U$S Dólares]))</f>
        <v>0</v>
      </c>
      <c r="Q162" s="104">
        <f>SUMPRODUCT(($C$140=Producción_Lecheria[Movimiento])*($F162=Producción_Lecheria[Cuenta Contable])*(Q$1=Producción_Lecheria[Mes Financiero])*(Q$2=Producción_Lecheria[Año Financiero])*(Producción_Lecheria[Financiero U$S Dólares]))</f>
        <v>0</v>
      </c>
      <c r="R162" s="103">
        <f>SUMPRODUCT(($C$140=Producción_Lecheria[Movimiento])*($F162=Producción_Lecheria[Cuenta Contable])*(R$1=Producción_Lecheria[Mes Financiero])*(R$2=Producción_Lecheria[Año Financiero])*(Producción_Lecheria[Financiero U$S Dólares]))</f>
        <v>0</v>
      </c>
      <c r="S162" s="104">
        <f>SUMPRODUCT(($C$140=Producción_Lecheria[Movimiento])*($F162=Producción_Lecheria[Cuenta Contable])*(S$1=Producción_Lecheria[Mes Financiero])*(S$2=Producción_Lecheria[Año Financiero])*(Producción_Lecheria[Financiero U$S Dólares]))</f>
        <v>0</v>
      </c>
      <c r="T162" s="103">
        <f>SUMPRODUCT(($C$140=Producción_Lecheria[Movimiento])*($F162=Producción_Lecheria[Cuenta Contable])*(T$1=Producción_Lecheria[Mes Financiero])*(T$2=Producción_Lecheria[Año Financiero])*(Producción_Lecheria[Financiero U$S Dólares]))</f>
        <v>0</v>
      </c>
      <c r="U162" s="104">
        <f>SUMPRODUCT(($C$140=Producción_Lecheria[Movimiento])*($F162=Producción_Lecheria[Cuenta Contable])*(U$1=Producción_Lecheria[Mes Financiero])*(U$2=Producción_Lecheria[Año Financiero])*(Producción_Lecheria[Financiero U$S Dólares]))</f>
        <v>0</v>
      </c>
      <c r="V162" s="103">
        <f>SUMPRODUCT(($C$140=Producción_Lecheria[Movimiento])*($F162=Producción_Lecheria[Cuenta Contable])*(V$1=Producción_Lecheria[Mes Financiero])*(V$2=Producción_Lecheria[Año Financiero])*(Producción_Lecheria[Financiero U$S Dólares]))</f>
        <v>0</v>
      </c>
      <c r="W162" s="104">
        <f>SUMPRODUCT(($C$140=Producción_Lecheria[Movimiento])*($F162=Producción_Lecheria[Cuenta Contable])*(W$1=Producción_Lecheria[Mes Financiero])*(W$2=Producción_Lecheria[Año Financiero])*(Producción_Lecheria[Financiero U$S Dólares]))</f>
        <v>0</v>
      </c>
      <c r="X162" s="103">
        <f>SUMPRODUCT(($C$140=Producción_Lecheria[Movimiento])*($F162=Producción_Lecheria[Cuenta Contable])*(X$1=Producción_Lecheria[Mes Financiero])*(X$2=Producción_Lecheria[Año Financiero])*(Producción_Lecheria[Financiero U$S Dólares]))</f>
        <v>0</v>
      </c>
      <c r="Y162" s="104">
        <f>SUMPRODUCT(($C$140=Producción_Lecheria[Movimiento])*($F162=Producción_Lecheria[Cuenta Contable])*(Y$1=Producción_Lecheria[Mes Financiero])*(Y$2=Producción_Lecheria[Año Financiero])*(Producción_Lecheria[Financiero U$S Dólares]))</f>
        <v>0</v>
      </c>
      <c r="Z162" s="144">
        <f t="shared" ref="Z162" si="30">SUM(H162:Y162)</f>
        <v>0</v>
      </c>
      <c r="AC162" s="174"/>
      <c r="AD162" s="174"/>
    </row>
    <row r="163" spans="2:30" hidden="1" outlineLevel="1" x14ac:dyDescent="0.25">
      <c r="B163" s="166" t="s">
        <v>101</v>
      </c>
      <c r="E163" s="223">
        <f>IFERROR(MATCH(F163,Produccion_Lecheria_Cuentas[Cuenta Contable],0),0)</f>
        <v>0</v>
      </c>
      <c r="H163" s="103">
        <f>SUMPRODUCT(($C$140=Producción_Lecheria[Movimiento])*($F163=Producción_Lecheria[Cuenta Contable])*(H$1=Producción_Lecheria[Mes Financiero])*(H$2=Producción_Lecheria[Año Financiero])*(Producción_Lecheria[Financiero U$S Dólares]))</f>
        <v>0</v>
      </c>
      <c r="I163" s="104">
        <f>SUMPRODUCT(($C$140=Producción_Lecheria[Movimiento])*($F163=Producción_Lecheria[Cuenta Contable])*(I$1=Producción_Lecheria[Mes Financiero])*(I$2=Producción_Lecheria[Año Financiero])*(Producción_Lecheria[Financiero U$S Dólares]))</f>
        <v>0</v>
      </c>
      <c r="J163" s="103">
        <f>SUMPRODUCT(($C$140=Producción_Lecheria[Movimiento])*($F163=Producción_Lecheria[Cuenta Contable])*(J$1=Producción_Lecheria[Mes Financiero])*(J$2=Producción_Lecheria[Año Financiero])*(Producción_Lecheria[Financiero U$S Dólares]))</f>
        <v>0</v>
      </c>
      <c r="K163" s="104">
        <f>SUMPRODUCT(($C$140=Producción_Lecheria[Movimiento])*($F163=Producción_Lecheria[Cuenta Contable])*(K$1=Producción_Lecheria[Mes Financiero])*(K$2=Producción_Lecheria[Año Financiero])*(Producción_Lecheria[Financiero U$S Dólares]))</f>
        <v>0</v>
      </c>
      <c r="L163" s="103">
        <f>SUMPRODUCT(($C$140=Producción_Lecheria[Movimiento])*($F163=Producción_Lecheria[Cuenta Contable])*(L$1=Producción_Lecheria[Mes Financiero])*(L$2=Producción_Lecheria[Año Financiero])*(Producción_Lecheria[Financiero U$S Dólares]))</f>
        <v>0</v>
      </c>
      <c r="M163" s="104">
        <f>SUMPRODUCT(($C$140=Producción_Lecheria[Movimiento])*($F163=Producción_Lecheria[Cuenta Contable])*(M$1=Producción_Lecheria[Mes Financiero])*(M$2=Producción_Lecheria[Año Financiero])*(Producción_Lecheria[Financiero U$S Dólares]))</f>
        <v>0</v>
      </c>
      <c r="N163" s="103">
        <f>SUMPRODUCT(($C$140=Producción_Lecheria[Movimiento])*($F163=Producción_Lecheria[Cuenta Contable])*(N$1=Producción_Lecheria[Mes Financiero])*(N$2=Producción_Lecheria[Año Financiero])*(Producción_Lecheria[Financiero U$S Dólares]))</f>
        <v>0</v>
      </c>
      <c r="O163" s="104">
        <f>SUMPRODUCT(($C$140=Producción_Lecheria[Movimiento])*($F163=Producción_Lecheria[Cuenta Contable])*(O$1=Producción_Lecheria[Mes Financiero])*(O$2=Producción_Lecheria[Año Financiero])*(Producción_Lecheria[Financiero U$S Dólares]))</f>
        <v>0</v>
      </c>
      <c r="P163" s="103">
        <f>SUMPRODUCT(($C$140=Producción_Lecheria[Movimiento])*($F163=Producción_Lecheria[Cuenta Contable])*(P$1=Producción_Lecheria[Mes Financiero])*(P$2=Producción_Lecheria[Año Financiero])*(Producción_Lecheria[Financiero U$S Dólares]))</f>
        <v>0</v>
      </c>
      <c r="Q163" s="104">
        <f>SUMPRODUCT(($C$140=Producción_Lecheria[Movimiento])*($F163=Producción_Lecheria[Cuenta Contable])*(Q$1=Producción_Lecheria[Mes Financiero])*(Q$2=Producción_Lecheria[Año Financiero])*(Producción_Lecheria[Financiero U$S Dólares]))</f>
        <v>0</v>
      </c>
      <c r="R163" s="103">
        <f>SUMPRODUCT(($C$140=Producción_Lecheria[Movimiento])*($F163=Producción_Lecheria[Cuenta Contable])*(R$1=Producción_Lecheria[Mes Financiero])*(R$2=Producción_Lecheria[Año Financiero])*(Producción_Lecheria[Financiero U$S Dólares]))</f>
        <v>0</v>
      </c>
      <c r="S163" s="104">
        <f>SUMPRODUCT(($C$140=Producción_Lecheria[Movimiento])*($F163=Producción_Lecheria[Cuenta Contable])*(S$1=Producción_Lecheria[Mes Financiero])*(S$2=Producción_Lecheria[Año Financiero])*(Producción_Lecheria[Financiero U$S Dólares]))</f>
        <v>0</v>
      </c>
      <c r="T163" s="103">
        <f>SUMPRODUCT(($C$140=Producción_Lecheria[Movimiento])*($F163=Producción_Lecheria[Cuenta Contable])*(T$1=Producción_Lecheria[Mes Financiero])*(T$2=Producción_Lecheria[Año Financiero])*(Producción_Lecheria[Financiero U$S Dólares]))</f>
        <v>0</v>
      </c>
      <c r="U163" s="104">
        <f>SUMPRODUCT(($C$140=Producción_Lecheria[Movimiento])*($F163=Producción_Lecheria[Cuenta Contable])*(U$1=Producción_Lecheria[Mes Financiero])*(U$2=Producción_Lecheria[Año Financiero])*(Producción_Lecheria[Financiero U$S Dólares]))</f>
        <v>0</v>
      </c>
      <c r="V163" s="103">
        <f>SUMPRODUCT(($C$140=Producción_Lecheria[Movimiento])*($F163=Producción_Lecheria[Cuenta Contable])*(V$1=Producción_Lecheria[Mes Financiero])*(V$2=Producción_Lecheria[Año Financiero])*(Producción_Lecheria[Financiero U$S Dólares]))</f>
        <v>0</v>
      </c>
      <c r="W163" s="104">
        <f>SUMPRODUCT(($C$140=Producción_Lecheria[Movimiento])*($F163=Producción_Lecheria[Cuenta Contable])*(W$1=Producción_Lecheria[Mes Financiero])*(W$2=Producción_Lecheria[Año Financiero])*(Producción_Lecheria[Financiero U$S Dólares]))</f>
        <v>0</v>
      </c>
      <c r="X163" s="103">
        <f>SUMPRODUCT(($C$140=Producción_Lecheria[Movimiento])*($F163=Producción_Lecheria[Cuenta Contable])*(X$1=Producción_Lecheria[Mes Financiero])*(X$2=Producción_Lecheria[Año Financiero])*(Producción_Lecheria[Financiero U$S Dólares]))</f>
        <v>0</v>
      </c>
      <c r="Y163" s="104">
        <f>SUMPRODUCT(($C$140=Producción_Lecheria[Movimiento])*($F163=Producción_Lecheria[Cuenta Contable])*(Y$1=Producción_Lecheria[Mes Financiero])*(Y$2=Producción_Lecheria[Año Financiero])*(Producción_Lecheria[Financiero U$S Dólares]))</f>
        <v>0</v>
      </c>
      <c r="Z163" s="144">
        <f t="shared" ref="Z163" si="31">SUM(H163:Y163)</f>
        <v>0</v>
      </c>
      <c r="AC163" s="174"/>
      <c r="AD163" s="174"/>
    </row>
    <row r="164" spans="2:30" hidden="1" outlineLevel="1" x14ac:dyDescent="0.25">
      <c r="E164" s="224"/>
      <c r="F164" s="276" t="s">
        <v>238</v>
      </c>
      <c r="G164" s="94"/>
      <c r="H164" s="105">
        <f>SUMPRODUCT(($C$140=Producción_Lecheria[Movimiento])*(H$1=Producción_Lecheria[Mes Financiero])*(H$2=Producción_Lecheria[Año Financiero])*(Producción_Lecheria[Financiero U$S Dólares]))-SUM(H154:H163,H141)</f>
        <v>0</v>
      </c>
      <c r="I164" s="106">
        <f>SUMPRODUCT(($C$140=Producción_Lecheria[Movimiento])*(I$1=Producción_Lecheria[Mes Financiero])*(I$2=Producción_Lecheria[Año Financiero])*(Producción_Lecheria[Financiero U$S Dólares]))-SUM(I154:I163,I141)</f>
        <v>0</v>
      </c>
      <c r="J164" s="105">
        <f>SUMPRODUCT(($C$140=Producción_Lecheria[Movimiento])*(J$1=Producción_Lecheria[Mes Financiero])*(J$2=Producción_Lecheria[Año Financiero])*(Producción_Lecheria[Financiero U$S Dólares]))-SUM(J154:J163,J141)</f>
        <v>0</v>
      </c>
      <c r="K164" s="106">
        <f>SUMPRODUCT(($C$140=Producción_Lecheria[Movimiento])*(K$1=Producción_Lecheria[Mes Financiero])*(K$2=Producción_Lecheria[Año Financiero])*(Producción_Lecheria[Financiero U$S Dólares]))-SUM(K154:K163,K141)</f>
        <v>0</v>
      </c>
      <c r="L164" s="105">
        <f>SUMPRODUCT(($C$140=Producción_Lecheria[Movimiento])*(L$1=Producción_Lecheria[Mes Financiero])*(L$2=Producción_Lecheria[Año Financiero])*(Producción_Lecheria[Financiero U$S Dólares]))-SUM(L154:L163,L141)</f>
        <v>0</v>
      </c>
      <c r="M164" s="106">
        <f>SUMPRODUCT(($C$140=Producción_Lecheria[Movimiento])*(M$1=Producción_Lecheria[Mes Financiero])*(M$2=Producción_Lecheria[Año Financiero])*(Producción_Lecheria[Financiero U$S Dólares]))-SUM(M154:M163,M141)</f>
        <v>0</v>
      </c>
      <c r="N164" s="105">
        <f>SUMPRODUCT(($C$140=Producción_Lecheria[Movimiento])*(N$1=Producción_Lecheria[Mes Financiero])*(N$2=Producción_Lecheria[Año Financiero])*(Producción_Lecheria[Financiero U$S Dólares]))-SUM(N154:N163,N141)</f>
        <v>0</v>
      </c>
      <c r="O164" s="106">
        <f>SUMPRODUCT(($C$140=Producción_Lecheria[Movimiento])*(O$1=Producción_Lecheria[Mes Financiero])*(O$2=Producción_Lecheria[Año Financiero])*(Producción_Lecheria[Financiero U$S Dólares]))-SUM(O154:O163,O141)</f>
        <v>0</v>
      </c>
      <c r="P164" s="105">
        <f>SUMPRODUCT(($C$140=Producción_Lecheria[Movimiento])*(P$1=Producción_Lecheria[Mes Financiero])*(P$2=Producción_Lecheria[Año Financiero])*(Producción_Lecheria[Financiero U$S Dólares]))-SUM(P154:P163,P141)</f>
        <v>0</v>
      </c>
      <c r="Q164" s="106">
        <f>SUMPRODUCT(($C$140=Producción_Lecheria[Movimiento])*(Q$1=Producción_Lecheria[Mes Financiero])*(Q$2=Producción_Lecheria[Año Financiero])*(Producción_Lecheria[Financiero U$S Dólares]))-SUM(Q154:Q163,Q141)</f>
        <v>0</v>
      </c>
      <c r="R164" s="105">
        <f>SUMPRODUCT(($C$140=Producción_Lecheria[Movimiento])*(R$1=Producción_Lecheria[Mes Financiero])*(R$2=Producción_Lecheria[Año Financiero])*(Producción_Lecheria[Financiero U$S Dólares]))-SUM(R154:R163,R141)</f>
        <v>0</v>
      </c>
      <c r="S164" s="106">
        <f>SUMPRODUCT(($C$140=Producción_Lecheria[Movimiento])*(S$1=Producción_Lecheria[Mes Financiero])*(S$2=Producción_Lecheria[Año Financiero])*(Producción_Lecheria[Financiero U$S Dólares]))-SUM(S154:S163,S141)</f>
        <v>0</v>
      </c>
      <c r="T164" s="105">
        <f>SUMPRODUCT(($C$140=Producción_Lecheria[Movimiento])*(T$1=Producción_Lecheria[Mes Financiero])*(T$2=Producción_Lecheria[Año Financiero])*(Producción_Lecheria[Financiero U$S Dólares]))-SUM(T154:T163,T141)</f>
        <v>0</v>
      </c>
      <c r="U164" s="106">
        <f>SUMPRODUCT(($C$140=Producción_Lecheria[Movimiento])*(U$1=Producción_Lecheria[Mes Financiero])*(U$2=Producción_Lecheria[Año Financiero])*(Producción_Lecheria[Financiero U$S Dólares]))-SUM(U154:U163,U141)</f>
        <v>0</v>
      </c>
      <c r="V164" s="105">
        <f>SUMPRODUCT(($C$140=Producción_Lecheria[Movimiento])*(V$1=Producción_Lecheria[Mes Financiero])*(V$2=Producción_Lecheria[Año Financiero])*(Producción_Lecheria[Financiero U$S Dólares]))-SUM(V154:V163,V141)</f>
        <v>0</v>
      </c>
      <c r="W164" s="106">
        <f>SUMPRODUCT(($C$140=Producción_Lecheria[Movimiento])*(W$1=Producción_Lecheria[Mes Financiero])*(W$2=Producción_Lecheria[Año Financiero])*(Producción_Lecheria[Financiero U$S Dólares]))-SUM(W154:W163,W141)</f>
        <v>0</v>
      </c>
      <c r="X164" s="105">
        <f>SUMPRODUCT(($C$140=Producción_Lecheria[Movimiento])*(X$1=Producción_Lecheria[Mes Financiero])*(X$2=Producción_Lecheria[Año Financiero])*(Producción_Lecheria[Financiero U$S Dólares]))-SUM(X154:X163,X141)</f>
        <v>0</v>
      </c>
      <c r="Y164" s="106">
        <f>SUMPRODUCT(($C$140=Producción_Lecheria[Movimiento])*(Y$1=Producción_Lecheria[Mes Financiero])*(Y$2=Producción_Lecheria[Año Financiero])*(Producción_Lecheria[Financiero U$S Dólares]))-SUM(Y154:Y163,Y141)</f>
        <v>0</v>
      </c>
      <c r="Z164" s="163">
        <f t="shared" si="28"/>
        <v>0</v>
      </c>
      <c r="AC164" s="174">
        <f>SUMPRODUCT((F164=Produccion_Lecheria_Cuentas[Cuenta Contable])*(Produccion_Lecheria_Cuentas[IVA]))</f>
        <v>0</v>
      </c>
      <c r="AD164" s="174">
        <f>SUMPRODUCT((G164=Produccion_Lecheria_Cuentas[Cuenta Contable])*(Produccion_Lecheria_Cuentas[IVA]))</f>
        <v>0</v>
      </c>
    </row>
    <row r="165" spans="2:30" collapsed="1" x14ac:dyDescent="0.25">
      <c r="C165" s="210" t="s">
        <v>38</v>
      </c>
      <c r="D165" s="381" t="s">
        <v>199</v>
      </c>
      <c r="F165" s="420" t="s">
        <v>232</v>
      </c>
      <c r="H165" s="99">
        <f>SUMPRODUCT(($C$165=Otras_Actividades_Base[Movimiento])*(H$1=Otras_Actividades_Base[Mes Financiero])*(H$2=Otras_Actividades_Base[Año Financiero])*(Otras_Actividades_Base[Financiero U$S Dólares]))</f>
        <v>0</v>
      </c>
      <c r="I165" s="100">
        <f>SUMPRODUCT(($C$165=Otras_Actividades_Base[Movimiento])*(I$1=Otras_Actividades_Base[Mes Financiero])*(I$2=Otras_Actividades_Base[Año Financiero])*(Otras_Actividades_Base[Financiero U$S Dólares]))</f>
        <v>0</v>
      </c>
      <c r="J165" s="99">
        <f>SUMPRODUCT(($C$165=Otras_Actividades_Base[Movimiento])*(J$1=Otras_Actividades_Base[Mes Financiero])*(J$2=Otras_Actividades_Base[Año Financiero])*(Otras_Actividades_Base[Financiero U$S Dólares]))</f>
        <v>0</v>
      </c>
      <c r="K165" s="100">
        <f>SUMPRODUCT(($C$165=Otras_Actividades_Base[Movimiento])*(K$1=Otras_Actividades_Base[Mes Financiero])*(K$2=Otras_Actividades_Base[Año Financiero])*(Otras_Actividades_Base[Financiero U$S Dólares]))</f>
        <v>0</v>
      </c>
      <c r="L165" s="99">
        <f>SUMPRODUCT(($C$165=Otras_Actividades_Base[Movimiento])*(L$1=Otras_Actividades_Base[Mes Financiero])*(L$2=Otras_Actividades_Base[Año Financiero])*(Otras_Actividades_Base[Financiero U$S Dólares]))</f>
        <v>0</v>
      </c>
      <c r="M165" s="100">
        <f>SUMPRODUCT(($C$165=Otras_Actividades_Base[Movimiento])*(M$1=Otras_Actividades_Base[Mes Financiero])*(M$2=Otras_Actividades_Base[Año Financiero])*(Otras_Actividades_Base[Financiero U$S Dólares]))</f>
        <v>0</v>
      </c>
      <c r="N165" s="99">
        <f>SUMPRODUCT(($C$165=Otras_Actividades_Base[Movimiento])*(N$1=Otras_Actividades_Base[Mes Financiero])*(N$2=Otras_Actividades_Base[Año Financiero])*(Otras_Actividades_Base[Financiero U$S Dólares]))</f>
        <v>0</v>
      </c>
      <c r="O165" s="100">
        <f>SUMPRODUCT(($C$165=Otras_Actividades_Base[Movimiento])*(O$1=Otras_Actividades_Base[Mes Financiero])*(O$2=Otras_Actividades_Base[Año Financiero])*(Otras_Actividades_Base[Financiero U$S Dólares]))</f>
        <v>0</v>
      </c>
      <c r="P165" s="99">
        <f>SUMPRODUCT(($C$165=Otras_Actividades_Base[Movimiento])*(P$1=Otras_Actividades_Base[Mes Financiero])*(P$2=Otras_Actividades_Base[Año Financiero])*(Otras_Actividades_Base[Financiero U$S Dólares]))</f>
        <v>0</v>
      </c>
      <c r="Q165" s="100">
        <f>SUMPRODUCT(($C$165=Otras_Actividades_Base[Movimiento])*(Q$1=Otras_Actividades_Base[Mes Financiero])*(Q$2=Otras_Actividades_Base[Año Financiero])*(Otras_Actividades_Base[Financiero U$S Dólares]))</f>
        <v>0</v>
      </c>
      <c r="R165" s="99">
        <f>SUMPRODUCT(($C$165=Otras_Actividades_Base[Movimiento])*(R$1=Otras_Actividades_Base[Mes Financiero])*(R$2=Otras_Actividades_Base[Año Financiero])*(Otras_Actividades_Base[Financiero U$S Dólares]))</f>
        <v>0</v>
      </c>
      <c r="S165" s="100">
        <f>SUMPRODUCT(($C$165=Otras_Actividades_Base[Movimiento])*(S$1=Otras_Actividades_Base[Mes Financiero])*(S$2=Otras_Actividades_Base[Año Financiero])*(Otras_Actividades_Base[Financiero U$S Dólares]))</f>
        <v>0</v>
      </c>
      <c r="T165" s="99">
        <f>SUMPRODUCT(($C$165=Otras_Actividades_Base[Movimiento])*(T$1=Otras_Actividades_Base[Mes Financiero])*(T$2=Otras_Actividades_Base[Año Financiero])*(Otras_Actividades_Base[Financiero U$S Dólares]))</f>
        <v>0</v>
      </c>
      <c r="U165" s="100">
        <f>SUMPRODUCT(($C$165=Otras_Actividades_Base[Movimiento])*(U$1=Otras_Actividades_Base[Mes Financiero])*(U$2=Otras_Actividades_Base[Año Financiero])*(Otras_Actividades_Base[Financiero U$S Dólares]))</f>
        <v>0</v>
      </c>
      <c r="V165" s="99">
        <f>SUMPRODUCT(($C$165=Otras_Actividades_Base[Movimiento])*(V$1=Otras_Actividades_Base[Mes Financiero])*(V$2=Otras_Actividades_Base[Año Financiero])*(Otras_Actividades_Base[Financiero U$S Dólares]))</f>
        <v>0</v>
      </c>
      <c r="W165" s="100">
        <f>SUMPRODUCT(($C$165=Otras_Actividades_Base[Movimiento])*(W$1=Otras_Actividades_Base[Mes Financiero])*(W$2=Otras_Actividades_Base[Año Financiero])*(Otras_Actividades_Base[Financiero U$S Dólares]))</f>
        <v>0</v>
      </c>
      <c r="X165" s="99">
        <f>SUMPRODUCT(($C$165=Otras_Actividades_Base[Movimiento])*(X$1=Otras_Actividades_Base[Mes Financiero])*(X$2=Otras_Actividades_Base[Año Financiero])*(Otras_Actividades_Base[Financiero U$S Dólares]))</f>
        <v>0</v>
      </c>
      <c r="Y165" s="100">
        <f>SUMPRODUCT(($C$165=Otras_Actividades_Base[Movimiento])*(Y$1=Otras_Actividades_Base[Mes Financiero])*(Y$2=Otras_Actividades_Base[Año Financiero])*(Otras_Actividades_Base[Financiero U$S Dólares]))</f>
        <v>0</v>
      </c>
      <c r="Z165" s="139">
        <f>SUM(H165:Y165)</f>
        <v>0</v>
      </c>
    </row>
    <row r="166" spans="2:30" hidden="1" outlineLevel="2" x14ac:dyDescent="0.25">
      <c r="E166" s="135"/>
      <c r="F166" s="215">
        <f>IFERROR(MATCH(G166,Tabla8111626[Unidades de Negocio],0),0)</f>
        <v>1</v>
      </c>
      <c r="G166" s="407" t="str">
        <f>Configuración!BW5</f>
        <v>Maquinaria</v>
      </c>
      <c r="H166" s="117">
        <f>SUMPRODUCT(($C$165=Otras_Actividades_Base[Movimiento])*($G166=Otras_Actividades_Base[Unidad de Negocio])*(H$1=Otras_Actividades_Base[Mes Financiero])*(H$2=Otras_Actividades_Base[Año Financiero])*(Otras_Actividades_Base[Financiero U$S Dólares]))</f>
        <v>0</v>
      </c>
      <c r="I166" s="118">
        <f>SUMPRODUCT(($C$165=Otras_Actividades_Base[Movimiento])*($G166=Otras_Actividades_Base[Unidad de Negocio])*(I$1=Otras_Actividades_Base[Mes Financiero])*(I$2=Otras_Actividades_Base[Año Financiero])*(Otras_Actividades_Base[Financiero U$S Dólares]))</f>
        <v>0</v>
      </c>
      <c r="J166" s="117">
        <f>SUMPRODUCT(($C$165=Otras_Actividades_Base[Movimiento])*($G166=Otras_Actividades_Base[Unidad de Negocio])*(J$1=Otras_Actividades_Base[Mes Financiero])*(J$2=Otras_Actividades_Base[Año Financiero])*(Otras_Actividades_Base[Financiero U$S Dólares]))</f>
        <v>0</v>
      </c>
      <c r="K166" s="118">
        <f>SUMPRODUCT(($C$165=Otras_Actividades_Base[Movimiento])*($G166=Otras_Actividades_Base[Unidad de Negocio])*(K$1=Otras_Actividades_Base[Mes Financiero])*(K$2=Otras_Actividades_Base[Año Financiero])*(Otras_Actividades_Base[Financiero U$S Dólares]))</f>
        <v>0</v>
      </c>
      <c r="L166" s="117">
        <f>SUMPRODUCT(($C$165=Otras_Actividades_Base[Movimiento])*($G166=Otras_Actividades_Base[Unidad de Negocio])*(L$1=Otras_Actividades_Base[Mes Financiero])*(L$2=Otras_Actividades_Base[Año Financiero])*(Otras_Actividades_Base[Financiero U$S Dólares]))</f>
        <v>0</v>
      </c>
      <c r="M166" s="118">
        <f>SUMPRODUCT(($C$165=Otras_Actividades_Base[Movimiento])*($G166=Otras_Actividades_Base[Unidad de Negocio])*(M$1=Otras_Actividades_Base[Mes Financiero])*(M$2=Otras_Actividades_Base[Año Financiero])*(Otras_Actividades_Base[Financiero U$S Dólares]))</f>
        <v>0</v>
      </c>
      <c r="N166" s="117">
        <f>SUMPRODUCT(($C$165=Otras_Actividades_Base[Movimiento])*($G166=Otras_Actividades_Base[Unidad de Negocio])*(N$1=Otras_Actividades_Base[Mes Financiero])*(N$2=Otras_Actividades_Base[Año Financiero])*(Otras_Actividades_Base[Financiero U$S Dólares]))</f>
        <v>0</v>
      </c>
      <c r="O166" s="118">
        <f>SUMPRODUCT(($C$165=Otras_Actividades_Base[Movimiento])*($G166=Otras_Actividades_Base[Unidad de Negocio])*(O$1=Otras_Actividades_Base[Mes Financiero])*(O$2=Otras_Actividades_Base[Año Financiero])*(Otras_Actividades_Base[Financiero U$S Dólares]))</f>
        <v>0</v>
      </c>
      <c r="P166" s="117">
        <f>SUMPRODUCT(($C$165=Otras_Actividades_Base[Movimiento])*($G166=Otras_Actividades_Base[Unidad de Negocio])*(P$1=Otras_Actividades_Base[Mes Financiero])*(P$2=Otras_Actividades_Base[Año Financiero])*(Otras_Actividades_Base[Financiero U$S Dólares]))</f>
        <v>0</v>
      </c>
      <c r="Q166" s="118">
        <f>SUMPRODUCT(($C$165=Otras_Actividades_Base[Movimiento])*($G166=Otras_Actividades_Base[Unidad de Negocio])*(Q$1=Otras_Actividades_Base[Mes Financiero])*(Q$2=Otras_Actividades_Base[Año Financiero])*(Otras_Actividades_Base[Financiero U$S Dólares]))</f>
        <v>0</v>
      </c>
      <c r="R166" s="117">
        <f>SUMPRODUCT(($C$165=Otras_Actividades_Base[Movimiento])*($G166=Otras_Actividades_Base[Unidad de Negocio])*(R$1=Otras_Actividades_Base[Mes Financiero])*(R$2=Otras_Actividades_Base[Año Financiero])*(Otras_Actividades_Base[Financiero U$S Dólares]))</f>
        <v>0</v>
      </c>
      <c r="S166" s="118">
        <f>SUMPRODUCT(($C$165=Otras_Actividades_Base[Movimiento])*($G166=Otras_Actividades_Base[Unidad de Negocio])*(S$1=Otras_Actividades_Base[Mes Financiero])*(S$2=Otras_Actividades_Base[Año Financiero])*(Otras_Actividades_Base[Financiero U$S Dólares]))</f>
        <v>0</v>
      </c>
      <c r="T166" s="117">
        <f>SUMPRODUCT(($C$165=Otras_Actividades_Base[Movimiento])*($G166=Otras_Actividades_Base[Unidad de Negocio])*(T$1=Otras_Actividades_Base[Mes Financiero])*(T$2=Otras_Actividades_Base[Año Financiero])*(Otras_Actividades_Base[Financiero U$S Dólares]))</f>
        <v>0</v>
      </c>
      <c r="U166" s="118">
        <f>SUMPRODUCT(($C$165=Otras_Actividades_Base[Movimiento])*($G166=Otras_Actividades_Base[Unidad de Negocio])*(U$1=Otras_Actividades_Base[Mes Financiero])*(U$2=Otras_Actividades_Base[Año Financiero])*(Otras_Actividades_Base[Financiero U$S Dólares]))</f>
        <v>0</v>
      </c>
      <c r="V166" s="117">
        <f>SUMPRODUCT(($C$165=Otras_Actividades_Base[Movimiento])*($G166=Otras_Actividades_Base[Unidad de Negocio])*(V$1=Otras_Actividades_Base[Mes Financiero])*(V$2=Otras_Actividades_Base[Año Financiero])*(Otras_Actividades_Base[Financiero U$S Dólares]))</f>
        <v>0</v>
      </c>
      <c r="W166" s="118">
        <f>SUMPRODUCT(($C$165=Otras_Actividades_Base[Movimiento])*($G166=Otras_Actividades_Base[Unidad de Negocio])*(W$1=Otras_Actividades_Base[Mes Financiero])*(W$2=Otras_Actividades_Base[Año Financiero])*(Otras_Actividades_Base[Financiero U$S Dólares]))</f>
        <v>0</v>
      </c>
      <c r="X166" s="117">
        <f>SUMPRODUCT(($C$165=Otras_Actividades_Base[Movimiento])*($G166=Otras_Actividades_Base[Unidad de Negocio])*(X$1=Otras_Actividades_Base[Mes Financiero])*(X$2=Otras_Actividades_Base[Año Financiero])*(Otras_Actividades_Base[Financiero U$S Dólares]))</f>
        <v>0</v>
      </c>
      <c r="Y166" s="118">
        <f>SUMPRODUCT(($C$165=Otras_Actividades_Base[Movimiento])*($G166=Otras_Actividades_Base[Unidad de Negocio])*(Y$1=Otras_Actividades_Base[Mes Financiero])*(Y$2=Otras_Actividades_Base[Año Financiero])*(Otras_Actividades_Base[Financiero U$S Dólares]))</f>
        <v>0</v>
      </c>
      <c r="Z166" s="140">
        <f t="shared" ref="Z166:Z184" si="32">SUM(H166:Y166)</f>
        <v>0</v>
      </c>
    </row>
    <row r="167" spans="2:30" hidden="1" outlineLevel="2" x14ac:dyDescent="0.25">
      <c r="E167" s="135"/>
      <c r="F167" s="215">
        <f>IFERROR(MATCH(G167,Tabla8111626[Unidades de Negocio],0),0)</f>
        <v>2</v>
      </c>
      <c r="G167" s="407" t="str">
        <f>Configuración!BW6</f>
        <v>Cosecha</v>
      </c>
      <c r="H167" s="117">
        <f>SUMPRODUCT(($C$165=Otras_Actividades_Base[Movimiento])*($G167=Otras_Actividades_Base[Unidad de Negocio])*(H$1=Otras_Actividades_Base[Mes Financiero])*(H$2=Otras_Actividades_Base[Año Financiero])*(Otras_Actividades_Base[Financiero U$S Dólares]))</f>
        <v>0</v>
      </c>
      <c r="I167" s="118">
        <f>SUMPRODUCT(($C$165=Otras_Actividades_Base[Movimiento])*($G167=Otras_Actividades_Base[Unidad de Negocio])*(I$1=Otras_Actividades_Base[Mes Financiero])*(I$2=Otras_Actividades_Base[Año Financiero])*(Otras_Actividades_Base[Financiero U$S Dólares]))</f>
        <v>0</v>
      </c>
      <c r="J167" s="117">
        <f>SUMPRODUCT(($C$165=Otras_Actividades_Base[Movimiento])*($G167=Otras_Actividades_Base[Unidad de Negocio])*(J$1=Otras_Actividades_Base[Mes Financiero])*(J$2=Otras_Actividades_Base[Año Financiero])*(Otras_Actividades_Base[Financiero U$S Dólares]))</f>
        <v>0</v>
      </c>
      <c r="K167" s="118">
        <f>SUMPRODUCT(($C$165=Otras_Actividades_Base[Movimiento])*($G167=Otras_Actividades_Base[Unidad de Negocio])*(K$1=Otras_Actividades_Base[Mes Financiero])*(K$2=Otras_Actividades_Base[Año Financiero])*(Otras_Actividades_Base[Financiero U$S Dólares]))</f>
        <v>0</v>
      </c>
      <c r="L167" s="117">
        <f>SUMPRODUCT(($C$165=Otras_Actividades_Base[Movimiento])*($G167=Otras_Actividades_Base[Unidad de Negocio])*(L$1=Otras_Actividades_Base[Mes Financiero])*(L$2=Otras_Actividades_Base[Año Financiero])*(Otras_Actividades_Base[Financiero U$S Dólares]))</f>
        <v>0</v>
      </c>
      <c r="M167" s="118">
        <f>SUMPRODUCT(($C$165=Otras_Actividades_Base[Movimiento])*($G167=Otras_Actividades_Base[Unidad de Negocio])*(M$1=Otras_Actividades_Base[Mes Financiero])*(M$2=Otras_Actividades_Base[Año Financiero])*(Otras_Actividades_Base[Financiero U$S Dólares]))</f>
        <v>0</v>
      </c>
      <c r="N167" s="117">
        <f>SUMPRODUCT(($C$165=Otras_Actividades_Base[Movimiento])*($G167=Otras_Actividades_Base[Unidad de Negocio])*(N$1=Otras_Actividades_Base[Mes Financiero])*(N$2=Otras_Actividades_Base[Año Financiero])*(Otras_Actividades_Base[Financiero U$S Dólares]))</f>
        <v>0</v>
      </c>
      <c r="O167" s="118">
        <f>SUMPRODUCT(($C$165=Otras_Actividades_Base[Movimiento])*($G167=Otras_Actividades_Base[Unidad de Negocio])*(O$1=Otras_Actividades_Base[Mes Financiero])*(O$2=Otras_Actividades_Base[Año Financiero])*(Otras_Actividades_Base[Financiero U$S Dólares]))</f>
        <v>0</v>
      </c>
      <c r="P167" s="117">
        <f>SUMPRODUCT(($C$165=Otras_Actividades_Base[Movimiento])*($G167=Otras_Actividades_Base[Unidad de Negocio])*(P$1=Otras_Actividades_Base[Mes Financiero])*(P$2=Otras_Actividades_Base[Año Financiero])*(Otras_Actividades_Base[Financiero U$S Dólares]))</f>
        <v>0</v>
      </c>
      <c r="Q167" s="118">
        <f>SUMPRODUCT(($C$165=Otras_Actividades_Base[Movimiento])*($G167=Otras_Actividades_Base[Unidad de Negocio])*(Q$1=Otras_Actividades_Base[Mes Financiero])*(Q$2=Otras_Actividades_Base[Año Financiero])*(Otras_Actividades_Base[Financiero U$S Dólares]))</f>
        <v>0</v>
      </c>
      <c r="R167" s="117">
        <f>SUMPRODUCT(($C$165=Otras_Actividades_Base[Movimiento])*($G167=Otras_Actividades_Base[Unidad de Negocio])*(R$1=Otras_Actividades_Base[Mes Financiero])*(R$2=Otras_Actividades_Base[Año Financiero])*(Otras_Actividades_Base[Financiero U$S Dólares]))</f>
        <v>0</v>
      </c>
      <c r="S167" s="118">
        <f>SUMPRODUCT(($C$165=Otras_Actividades_Base[Movimiento])*($G167=Otras_Actividades_Base[Unidad de Negocio])*(S$1=Otras_Actividades_Base[Mes Financiero])*(S$2=Otras_Actividades_Base[Año Financiero])*(Otras_Actividades_Base[Financiero U$S Dólares]))</f>
        <v>0</v>
      </c>
      <c r="T167" s="117">
        <f>SUMPRODUCT(($C$165=Otras_Actividades_Base[Movimiento])*($G167=Otras_Actividades_Base[Unidad de Negocio])*(T$1=Otras_Actividades_Base[Mes Financiero])*(T$2=Otras_Actividades_Base[Año Financiero])*(Otras_Actividades_Base[Financiero U$S Dólares]))</f>
        <v>0</v>
      </c>
      <c r="U167" s="118">
        <f>SUMPRODUCT(($C$165=Otras_Actividades_Base[Movimiento])*($G167=Otras_Actividades_Base[Unidad de Negocio])*(U$1=Otras_Actividades_Base[Mes Financiero])*(U$2=Otras_Actividades_Base[Año Financiero])*(Otras_Actividades_Base[Financiero U$S Dólares]))</f>
        <v>0</v>
      </c>
      <c r="V167" s="117">
        <f>SUMPRODUCT(($C$165=Otras_Actividades_Base[Movimiento])*($G167=Otras_Actividades_Base[Unidad de Negocio])*(V$1=Otras_Actividades_Base[Mes Financiero])*(V$2=Otras_Actividades_Base[Año Financiero])*(Otras_Actividades_Base[Financiero U$S Dólares]))</f>
        <v>0</v>
      </c>
      <c r="W167" s="118">
        <f>SUMPRODUCT(($C$165=Otras_Actividades_Base[Movimiento])*($G167=Otras_Actividades_Base[Unidad de Negocio])*(W$1=Otras_Actividades_Base[Mes Financiero])*(W$2=Otras_Actividades_Base[Año Financiero])*(Otras_Actividades_Base[Financiero U$S Dólares]))</f>
        <v>0</v>
      </c>
      <c r="X167" s="117">
        <f>SUMPRODUCT(($C$165=Otras_Actividades_Base[Movimiento])*($G167=Otras_Actividades_Base[Unidad de Negocio])*(X$1=Otras_Actividades_Base[Mes Financiero])*(X$2=Otras_Actividades_Base[Año Financiero])*(Otras_Actividades_Base[Financiero U$S Dólares]))</f>
        <v>0</v>
      </c>
      <c r="Y167" s="118">
        <f>SUMPRODUCT(($C$165=Otras_Actividades_Base[Movimiento])*($G167=Otras_Actividades_Base[Unidad de Negocio])*(Y$1=Otras_Actividades_Base[Mes Financiero])*(Y$2=Otras_Actividades_Base[Año Financiero])*(Otras_Actividades_Base[Financiero U$S Dólares]))</f>
        <v>0</v>
      </c>
      <c r="Z167" s="140">
        <f t="shared" si="32"/>
        <v>0</v>
      </c>
    </row>
    <row r="168" spans="2:30" hidden="1" outlineLevel="2" x14ac:dyDescent="0.25">
      <c r="E168" s="135"/>
      <c r="F168" s="215">
        <f>IFERROR(MATCH(G168,Tabla8111626[Unidades de Negocio],0),0)</f>
        <v>3</v>
      </c>
      <c r="G168" s="407" t="str">
        <f>Configuración!BW7</f>
        <v>Inmobiliario</v>
      </c>
      <c r="H168" s="117">
        <f>SUMPRODUCT(($C$165=Otras_Actividades_Base[Movimiento])*($G168=Otras_Actividades_Base[Unidad de Negocio])*(H$1=Otras_Actividades_Base[Mes Financiero])*(H$2=Otras_Actividades_Base[Año Financiero])*(Otras_Actividades_Base[Financiero U$S Dólares]))</f>
        <v>0</v>
      </c>
      <c r="I168" s="118">
        <f>SUMPRODUCT(($C$165=Otras_Actividades_Base[Movimiento])*($G168=Otras_Actividades_Base[Unidad de Negocio])*(I$1=Otras_Actividades_Base[Mes Financiero])*(I$2=Otras_Actividades_Base[Año Financiero])*(Otras_Actividades_Base[Financiero U$S Dólares]))</f>
        <v>0</v>
      </c>
      <c r="J168" s="117">
        <f>SUMPRODUCT(($C$165=Otras_Actividades_Base[Movimiento])*($G168=Otras_Actividades_Base[Unidad de Negocio])*(J$1=Otras_Actividades_Base[Mes Financiero])*(J$2=Otras_Actividades_Base[Año Financiero])*(Otras_Actividades_Base[Financiero U$S Dólares]))</f>
        <v>0</v>
      </c>
      <c r="K168" s="118">
        <f>SUMPRODUCT(($C$165=Otras_Actividades_Base[Movimiento])*($G168=Otras_Actividades_Base[Unidad de Negocio])*(K$1=Otras_Actividades_Base[Mes Financiero])*(K$2=Otras_Actividades_Base[Año Financiero])*(Otras_Actividades_Base[Financiero U$S Dólares]))</f>
        <v>0</v>
      </c>
      <c r="L168" s="117">
        <f>SUMPRODUCT(($C$165=Otras_Actividades_Base[Movimiento])*($G168=Otras_Actividades_Base[Unidad de Negocio])*(L$1=Otras_Actividades_Base[Mes Financiero])*(L$2=Otras_Actividades_Base[Año Financiero])*(Otras_Actividades_Base[Financiero U$S Dólares]))</f>
        <v>0</v>
      </c>
      <c r="M168" s="118">
        <f>SUMPRODUCT(($C$165=Otras_Actividades_Base[Movimiento])*($G168=Otras_Actividades_Base[Unidad de Negocio])*(M$1=Otras_Actividades_Base[Mes Financiero])*(M$2=Otras_Actividades_Base[Año Financiero])*(Otras_Actividades_Base[Financiero U$S Dólares]))</f>
        <v>0</v>
      </c>
      <c r="N168" s="117">
        <f>SUMPRODUCT(($C$165=Otras_Actividades_Base[Movimiento])*($G168=Otras_Actividades_Base[Unidad de Negocio])*(N$1=Otras_Actividades_Base[Mes Financiero])*(N$2=Otras_Actividades_Base[Año Financiero])*(Otras_Actividades_Base[Financiero U$S Dólares]))</f>
        <v>0</v>
      </c>
      <c r="O168" s="118">
        <f>SUMPRODUCT(($C$165=Otras_Actividades_Base[Movimiento])*($G168=Otras_Actividades_Base[Unidad de Negocio])*(O$1=Otras_Actividades_Base[Mes Financiero])*(O$2=Otras_Actividades_Base[Año Financiero])*(Otras_Actividades_Base[Financiero U$S Dólares]))</f>
        <v>0</v>
      </c>
      <c r="P168" s="117">
        <f>SUMPRODUCT(($C$165=Otras_Actividades_Base[Movimiento])*($G168=Otras_Actividades_Base[Unidad de Negocio])*(P$1=Otras_Actividades_Base[Mes Financiero])*(P$2=Otras_Actividades_Base[Año Financiero])*(Otras_Actividades_Base[Financiero U$S Dólares]))</f>
        <v>0</v>
      </c>
      <c r="Q168" s="118">
        <f>SUMPRODUCT(($C$165=Otras_Actividades_Base[Movimiento])*($G168=Otras_Actividades_Base[Unidad de Negocio])*(Q$1=Otras_Actividades_Base[Mes Financiero])*(Q$2=Otras_Actividades_Base[Año Financiero])*(Otras_Actividades_Base[Financiero U$S Dólares]))</f>
        <v>0</v>
      </c>
      <c r="R168" s="117">
        <f>SUMPRODUCT(($C$165=Otras_Actividades_Base[Movimiento])*($G168=Otras_Actividades_Base[Unidad de Negocio])*(R$1=Otras_Actividades_Base[Mes Financiero])*(R$2=Otras_Actividades_Base[Año Financiero])*(Otras_Actividades_Base[Financiero U$S Dólares]))</f>
        <v>0</v>
      </c>
      <c r="S168" s="118">
        <f>SUMPRODUCT(($C$165=Otras_Actividades_Base[Movimiento])*($G168=Otras_Actividades_Base[Unidad de Negocio])*(S$1=Otras_Actividades_Base[Mes Financiero])*(S$2=Otras_Actividades_Base[Año Financiero])*(Otras_Actividades_Base[Financiero U$S Dólares]))</f>
        <v>0</v>
      </c>
      <c r="T168" s="117">
        <f>SUMPRODUCT(($C$165=Otras_Actividades_Base[Movimiento])*($G168=Otras_Actividades_Base[Unidad de Negocio])*(T$1=Otras_Actividades_Base[Mes Financiero])*(T$2=Otras_Actividades_Base[Año Financiero])*(Otras_Actividades_Base[Financiero U$S Dólares]))</f>
        <v>0</v>
      </c>
      <c r="U168" s="118">
        <f>SUMPRODUCT(($C$165=Otras_Actividades_Base[Movimiento])*($G168=Otras_Actividades_Base[Unidad de Negocio])*(U$1=Otras_Actividades_Base[Mes Financiero])*(U$2=Otras_Actividades_Base[Año Financiero])*(Otras_Actividades_Base[Financiero U$S Dólares]))</f>
        <v>0</v>
      </c>
      <c r="V168" s="117">
        <f>SUMPRODUCT(($C$165=Otras_Actividades_Base[Movimiento])*($G168=Otras_Actividades_Base[Unidad de Negocio])*(V$1=Otras_Actividades_Base[Mes Financiero])*(V$2=Otras_Actividades_Base[Año Financiero])*(Otras_Actividades_Base[Financiero U$S Dólares]))</f>
        <v>0</v>
      </c>
      <c r="W168" s="118">
        <f>SUMPRODUCT(($C$165=Otras_Actividades_Base[Movimiento])*($G168=Otras_Actividades_Base[Unidad de Negocio])*(W$1=Otras_Actividades_Base[Mes Financiero])*(W$2=Otras_Actividades_Base[Año Financiero])*(Otras_Actividades_Base[Financiero U$S Dólares]))</f>
        <v>0</v>
      </c>
      <c r="X168" s="117">
        <f>SUMPRODUCT(($C$165=Otras_Actividades_Base[Movimiento])*($G168=Otras_Actividades_Base[Unidad de Negocio])*(X$1=Otras_Actividades_Base[Mes Financiero])*(X$2=Otras_Actividades_Base[Año Financiero])*(Otras_Actividades_Base[Financiero U$S Dólares]))</f>
        <v>0</v>
      </c>
      <c r="Y168" s="118">
        <f>SUMPRODUCT(($C$165=Otras_Actividades_Base[Movimiento])*($G168=Otras_Actividades_Base[Unidad de Negocio])*(Y$1=Otras_Actividades_Base[Mes Financiero])*(Y$2=Otras_Actividades_Base[Año Financiero])*(Otras_Actividades_Base[Financiero U$S Dólares]))</f>
        <v>0</v>
      </c>
      <c r="Z168" s="140">
        <f t="shared" si="32"/>
        <v>0</v>
      </c>
    </row>
    <row r="169" spans="2:30" hidden="1" outlineLevel="2" x14ac:dyDescent="0.25">
      <c r="E169" s="135"/>
      <c r="F169" s="215">
        <f>IFERROR(MATCH(G169,Tabla8111626[Unidades de Negocio],0),0)</f>
        <v>4</v>
      </c>
      <c r="G169" s="407" t="str">
        <f>Configuración!BW8</f>
        <v>Fletes</v>
      </c>
      <c r="H169" s="117">
        <f>SUMPRODUCT(($C$165=Otras_Actividades_Base[Movimiento])*($G169=Otras_Actividades_Base[Unidad de Negocio])*(H$1=Otras_Actividades_Base[Mes Financiero])*(H$2=Otras_Actividades_Base[Año Financiero])*(Otras_Actividades_Base[Financiero U$S Dólares]))</f>
        <v>0</v>
      </c>
      <c r="I169" s="118">
        <f>SUMPRODUCT(($C$165=Otras_Actividades_Base[Movimiento])*($G169=Otras_Actividades_Base[Unidad de Negocio])*(I$1=Otras_Actividades_Base[Mes Financiero])*(I$2=Otras_Actividades_Base[Año Financiero])*(Otras_Actividades_Base[Financiero U$S Dólares]))</f>
        <v>0</v>
      </c>
      <c r="J169" s="117">
        <f>SUMPRODUCT(($C$165=Otras_Actividades_Base[Movimiento])*($G169=Otras_Actividades_Base[Unidad de Negocio])*(J$1=Otras_Actividades_Base[Mes Financiero])*(J$2=Otras_Actividades_Base[Año Financiero])*(Otras_Actividades_Base[Financiero U$S Dólares]))</f>
        <v>0</v>
      </c>
      <c r="K169" s="118">
        <f>SUMPRODUCT(($C$165=Otras_Actividades_Base[Movimiento])*($G169=Otras_Actividades_Base[Unidad de Negocio])*(K$1=Otras_Actividades_Base[Mes Financiero])*(K$2=Otras_Actividades_Base[Año Financiero])*(Otras_Actividades_Base[Financiero U$S Dólares]))</f>
        <v>0</v>
      </c>
      <c r="L169" s="117">
        <f>SUMPRODUCT(($C$165=Otras_Actividades_Base[Movimiento])*($G169=Otras_Actividades_Base[Unidad de Negocio])*(L$1=Otras_Actividades_Base[Mes Financiero])*(L$2=Otras_Actividades_Base[Año Financiero])*(Otras_Actividades_Base[Financiero U$S Dólares]))</f>
        <v>0</v>
      </c>
      <c r="M169" s="118">
        <f>SUMPRODUCT(($C$165=Otras_Actividades_Base[Movimiento])*($G169=Otras_Actividades_Base[Unidad de Negocio])*(M$1=Otras_Actividades_Base[Mes Financiero])*(M$2=Otras_Actividades_Base[Año Financiero])*(Otras_Actividades_Base[Financiero U$S Dólares]))</f>
        <v>0</v>
      </c>
      <c r="N169" s="117">
        <f>SUMPRODUCT(($C$165=Otras_Actividades_Base[Movimiento])*($G169=Otras_Actividades_Base[Unidad de Negocio])*(N$1=Otras_Actividades_Base[Mes Financiero])*(N$2=Otras_Actividades_Base[Año Financiero])*(Otras_Actividades_Base[Financiero U$S Dólares]))</f>
        <v>0</v>
      </c>
      <c r="O169" s="118">
        <f>SUMPRODUCT(($C$165=Otras_Actividades_Base[Movimiento])*($G169=Otras_Actividades_Base[Unidad de Negocio])*(O$1=Otras_Actividades_Base[Mes Financiero])*(O$2=Otras_Actividades_Base[Año Financiero])*(Otras_Actividades_Base[Financiero U$S Dólares]))</f>
        <v>0</v>
      </c>
      <c r="P169" s="117">
        <f>SUMPRODUCT(($C$165=Otras_Actividades_Base[Movimiento])*($G169=Otras_Actividades_Base[Unidad de Negocio])*(P$1=Otras_Actividades_Base[Mes Financiero])*(P$2=Otras_Actividades_Base[Año Financiero])*(Otras_Actividades_Base[Financiero U$S Dólares]))</f>
        <v>0</v>
      </c>
      <c r="Q169" s="118">
        <f>SUMPRODUCT(($C$165=Otras_Actividades_Base[Movimiento])*($G169=Otras_Actividades_Base[Unidad de Negocio])*(Q$1=Otras_Actividades_Base[Mes Financiero])*(Q$2=Otras_Actividades_Base[Año Financiero])*(Otras_Actividades_Base[Financiero U$S Dólares]))</f>
        <v>0</v>
      </c>
      <c r="R169" s="117">
        <f>SUMPRODUCT(($C$165=Otras_Actividades_Base[Movimiento])*($G169=Otras_Actividades_Base[Unidad de Negocio])*(R$1=Otras_Actividades_Base[Mes Financiero])*(R$2=Otras_Actividades_Base[Año Financiero])*(Otras_Actividades_Base[Financiero U$S Dólares]))</f>
        <v>0</v>
      </c>
      <c r="S169" s="118">
        <f>SUMPRODUCT(($C$165=Otras_Actividades_Base[Movimiento])*($G169=Otras_Actividades_Base[Unidad de Negocio])*(S$1=Otras_Actividades_Base[Mes Financiero])*(S$2=Otras_Actividades_Base[Año Financiero])*(Otras_Actividades_Base[Financiero U$S Dólares]))</f>
        <v>0</v>
      </c>
      <c r="T169" s="117">
        <f>SUMPRODUCT(($C$165=Otras_Actividades_Base[Movimiento])*($G169=Otras_Actividades_Base[Unidad de Negocio])*(T$1=Otras_Actividades_Base[Mes Financiero])*(T$2=Otras_Actividades_Base[Año Financiero])*(Otras_Actividades_Base[Financiero U$S Dólares]))</f>
        <v>0</v>
      </c>
      <c r="U169" s="118">
        <f>SUMPRODUCT(($C$165=Otras_Actividades_Base[Movimiento])*($G169=Otras_Actividades_Base[Unidad de Negocio])*(U$1=Otras_Actividades_Base[Mes Financiero])*(U$2=Otras_Actividades_Base[Año Financiero])*(Otras_Actividades_Base[Financiero U$S Dólares]))</f>
        <v>0</v>
      </c>
      <c r="V169" s="117">
        <f>SUMPRODUCT(($C$165=Otras_Actividades_Base[Movimiento])*($G169=Otras_Actividades_Base[Unidad de Negocio])*(V$1=Otras_Actividades_Base[Mes Financiero])*(V$2=Otras_Actividades_Base[Año Financiero])*(Otras_Actividades_Base[Financiero U$S Dólares]))</f>
        <v>0</v>
      </c>
      <c r="W169" s="118">
        <f>SUMPRODUCT(($C$165=Otras_Actividades_Base[Movimiento])*($G169=Otras_Actividades_Base[Unidad de Negocio])*(W$1=Otras_Actividades_Base[Mes Financiero])*(W$2=Otras_Actividades_Base[Año Financiero])*(Otras_Actividades_Base[Financiero U$S Dólares]))</f>
        <v>0</v>
      </c>
      <c r="X169" s="117">
        <f>SUMPRODUCT(($C$165=Otras_Actividades_Base[Movimiento])*($G169=Otras_Actividades_Base[Unidad de Negocio])*(X$1=Otras_Actividades_Base[Mes Financiero])*(X$2=Otras_Actividades_Base[Año Financiero])*(Otras_Actividades_Base[Financiero U$S Dólares]))</f>
        <v>0</v>
      </c>
      <c r="Y169" s="118">
        <f>SUMPRODUCT(($C$165=Otras_Actividades_Base[Movimiento])*($G169=Otras_Actividades_Base[Unidad de Negocio])*(Y$1=Otras_Actividades_Base[Mes Financiero])*(Y$2=Otras_Actividades_Base[Año Financiero])*(Otras_Actividades_Base[Financiero U$S Dólares]))</f>
        <v>0</v>
      </c>
      <c r="Z169" s="140">
        <f t="shared" si="32"/>
        <v>0</v>
      </c>
    </row>
    <row r="170" spans="2:30" hidden="1" outlineLevel="2" x14ac:dyDescent="0.25">
      <c r="E170" s="135"/>
      <c r="F170" s="215">
        <f>IFERROR(MATCH(G170,Tabla8111626[Unidades de Negocio],0),0)</f>
        <v>5</v>
      </c>
      <c r="G170" s="407" t="str">
        <f>Configuración!BW9</f>
        <v>Financieras</v>
      </c>
      <c r="H170" s="117">
        <f>SUMPRODUCT(($C$165=Otras_Actividades_Base[Movimiento])*($G170=Otras_Actividades_Base[Unidad de Negocio])*(H$1=Otras_Actividades_Base[Mes Financiero])*(H$2=Otras_Actividades_Base[Año Financiero])*(Otras_Actividades_Base[Financiero U$S Dólares]))</f>
        <v>0</v>
      </c>
      <c r="I170" s="118">
        <f>SUMPRODUCT(($C$165=Otras_Actividades_Base[Movimiento])*($G170=Otras_Actividades_Base[Unidad de Negocio])*(I$1=Otras_Actividades_Base[Mes Financiero])*(I$2=Otras_Actividades_Base[Año Financiero])*(Otras_Actividades_Base[Financiero U$S Dólares]))</f>
        <v>0</v>
      </c>
      <c r="J170" s="117">
        <f>SUMPRODUCT(($C$165=Otras_Actividades_Base[Movimiento])*($G170=Otras_Actividades_Base[Unidad de Negocio])*(J$1=Otras_Actividades_Base[Mes Financiero])*(J$2=Otras_Actividades_Base[Año Financiero])*(Otras_Actividades_Base[Financiero U$S Dólares]))</f>
        <v>0</v>
      </c>
      <c r="K170" s="118">
        <f>SUMPRODUCT(($C$165=Otras_Actividades_Base[Movimiento])*($G170=Otras_Actividades_Base[Unidad de Negocio])*(K$1=Otras_Actividades_Base[Mes Financiero])*(K$2=Otras_Actividades_Base[Año Financiero])*(Otras_Actividades_Base[Financiero U$S Dólares]))</f>
        <v>0</v>
      </c>
      <c r="L170" s="117">
        <f>SUMPRODUCT(($C$165=Otras_Actividades_Base[Movimiento])*($G170=Otras_Actividades_Base[Unidad de Negocio])*(L$1=Otras_Actividades_Base[Mes Financiero])*(L$2=Otras_Actividades_Base[Año Financiero])*(Otras_Actividades_Base[Financiero U$S Dólares]))</f>
        <v>0</v>
      </c>
      <c r="M170" s="118">
        <f>SUMPRODUCT(($C$165=Otras_Actividades_Base[Movimiento])*($G170=Otras_Actividades_Base[Unidad de Negocio])*(M$1=Otras_Actividades_Base[Mes Financiero])*(M$2=Otras_Actividades_Base[Año Financiero])*(Otras_Actividades_Base[Financiero U$S Dólares]))</f>
        <v>0</v>
      </c>
      <c r="N170" s="117">
        <f>SUMPRODUCT(($C$165=Otras_Actividades_Base[Movimiento])*($G170=Otras_Actividades_Base[Unidad de Negocio])*(N$1=Otras_Actividades_Base[Mes Financiero])*(N$2=Otras_Actividades_Base[Año Financiero])*(Otras_Actividades_Base[Financiero U$S Dólares]))</f>
        <v>0</v>
      </c>
      <c r="O170" s="118">
        <f>SUMPRODUCT(($C$165=Otras_Actividades_Base[Movimiento])*($G170=Otras_Actividades_Base[Unidad de Negocio])*(O$1=Otras_Actividades_Base[Mes Financiero])*(O$2=Otras_Actividades_Base[Año Financiero])*(Otras_Actividades_Base[Financiero U$S Dólares]))</f>
        <v>0</v>
      </c>
      <c r="P170" s="117">
        <f>SUMPRODUCT(($C$165=Otras_Actividades_Base[Movimiento])*($G170=Otras_Actividades_Base[Unidad de Negocio])*(P$1=Otras_Actividades_Base[Mes Financiero])*(P$2=Otras_Actividades_Base[Año Financiero])*(Otras_Actividades_Base[Financiero U$S Dólares]))</f>
        <v>0</v>
      </c>
      <c r="Q170" s="118">
        <f>SUMPRODUCT(($C$165=Otras_Actividades_Base[Movimiento])*($G170=Otras_Actividades_Base[Unidad de Negocio])*(Q$1=Otras_Actividades_Base[Mes Financiero])*(Q$2=Otras_Actividades_Base[Año Financiero])*(Otras_Actividades_Base[Financiero U$S Dólares]))</f>
        <v>0</v>
      </c>
      <c r="R170" s="117">
        <f>SUMPRODUCT(($C$165=Otras_Actividades_Base[Movimiento])*($G170=Otras_Actividades_Base[Unidad de Negocio])*(R$1=Otras_Actividades_Base[Mes Financiero])*(R$2=Otras_Actividades_Base[Año Financiero])*(Otras_Actividades_Base[Financiero U$S Dólares]))</f>
        <v>0</v>
      </c>
      <c r="S170" s="118">
        <f>SUMPRODUCT(($C$165=Otras_Actividades_Base[Movimiento])*($G170=Otras_Actividades_Base[Unidad de Negocio])*(S$1=Otras_Actividades_Base[Mes Financiero])*(S$2=Otras_Actividades_Base[Año Financiero])*(Otras_Actividades_Base[Financiero U$S Dólares]))</f>
        <v>0</v>
      </c>
      <c r="T170" s="117">
        <f>SUMPRODUCT(($C$165=Otras_Actividades_Base[Movimiento])*($G170=Otras_Actividades_Base[Unidad de Negocio])*(T$1=Otras_Actividades_Base[Mes Financiero])*(T$2=Otras_Actividades_Base[Año Financiero])*(Otras_Actividades_Base[Financiero U$S Dólares]))</f>
        <v>0</v>
      </c>
      <c r="U170" s="118">
        <f>SUMPRODUCT(($C$165=Otras_Actividades_Base[Movimiento])*($G170=Otras_Actividades_Base[Unidad de Negocio])*(U$1=Otras_Actividades_Base[Mes Financiero])*(U$2=Otras_Actividades_Base[Año Financiero])*(Otras_Actividades_Base[Financiero U$S Dólares]))</f>
        <v>0</v>
      </c>
      <c r="V170" s="117">
        <f>SUMPRODUCT(($C$165=Otras_Actividades_Base[Movimiento])*($G170=Otras_Actividades_Base[Unidad de Negocio])*(V$1=Otras_Actividades_Base[Mes Financiero])*(V$2=Otras_Actividades_Base[Año Financiero])*(Otras_Actividades_Base[Financiero U$S Dólares]))</f>
        <v>0</v>
      </c>
      <c r="W170" s="118">
        <f>SUMPRODUCT(($C$165=Otras_Actividades_Base[Movimiento])*($G170=Otras_Actividades_Base[Unidad de Negocio])*(W$1=Otras_Actividades_Base[Mes Financiero])*(W$2=Otras_Actividades_Base[Año Financiero])*(Otras_Actividades_Base[Financiero U$S Dólares]))</f>
        <v>0</v>
      </c>
      <c r="X170" s="117">
        <f>SUMPRODUCT(($C$165=Otras_Actividades_Base[Movimiento])*($G170=Otras_Actividades_Base[Unidad de Negocio])*(X$1=Otras_Actividades_Base[Mes Financiero])*(X$2=Otras_Actividades_Base[Año Financiero])*(Otras_Actividades_Base[Financiero U$S Dólares]))</f>
        <v>0</v>
      </c>
      <c r="Y170" s="118">
        <f>SUMPRODUCT(($C$165=Otras_Actividades_Base[Movimiento])*($G170=Otras_Actividades_Base[Unidad de Negocio])*(Y$1=Otras_Actividades_Base[Mes Financiero])*(Y$2=Otras_Actividades_Base[Año Financiero])*(Otras_Actividades_Base[Financiero U$S Dólares]))</f>
        <v>0</v>
      </c>
      <c r="Z170" s="140">
        <f t="shared" si="32"/>
        <v>0</v>
      </c>
    </row>
    <row r="171" spans="2:30" hidden="1" outlineLevel="2" x14ac:dyDescent="0.25">
      <c r="E171" s="135"/>
      <c r="F171" s="216">
        <f>IFERROR(MATCH(G171,Tabla8111626[Unidades de Negocio],0),0)</f>
        <v>0</v>
      </c>
      <c r="G171" s="408">
        <f>Configuración!BW10</f>
        <v>0</v>
      </c>
      <c r="H171" s="128">
        <f>SUMPRODUCT(($C$165=Otras_Actividades_Base[Movimiento])*($G171=Otras_Actividades_Base[Unidad de Negocio])*(H$1=Otras_Actividades_Base[Mes Financiero])*(H$2=Otras_Actividades_Base[Año Financiero])*(Otras_Actividades_Base[Financiero U$S Dólares]))</f>
        <v>0</v>
      </c>
      <c r="I171" s="129">
        <f>SUMPRODUCT(($C$165=Otras_Actividades_Base[Movimiento])*($G171=Otras_Actividades_Base[Unidad de Negocio])*(I$1=Otras_Actividades_Base[Mes Financiero])*(I$2=Otras_Actividades_Base[Año Financiero])*(Otras_Actividades_Base[Financiero U$S Dólares]))</f>
        <v>0</v>
      </c>
      <c r="J171" s="128">
        <f>SUMPRODUCT(($C$165=Otras_Actividades_Base[Movimiento])*($G171=Otras_Actividades_Base[Unidad de Negocio])*(J$1=Otras_Actividades_Base[Mes Financiero])*(J$2=Otras_Actividades_Base[Año Financiero])*(Otras_Actividades_Base[Financiero U$S Dólares]))</f>
        <v>0</v>
      </c>
      <c r="K171" s="129">
        <f>SUMPRODUCT(($C$165=Otras_Actividades_Base[Movimiento])*($G171=Otras_Actividades_Base[Unidad de Negocio])*(K$1=Otras_Actividades_Base[Mes Financiero])*(K$2=Otras_Actividades_Base[Año Financiero])*(Otras_Actividades_Base[Financiero U$S Dólares]))</f>
        <v>0</v>
      </c>
      <c r="L171" s="128">
        <f>SUMPRODUCT(($C$165=Otras_Actividades_Base[Movimiento])*($G171=Otras_Actividades_Base[Unidad de Negocio])*(L$1=Otras_Actividades_Base[Mes Financiero])*(L$2=Otras_Actividades_Base[Año Financiero])*(Otras_Actividades_Base[Financiero U$S Dólares]))</f>
        <v>0</v>
      </c>
      <c r="M171" s="129">
        <f>SUMPRODUCT(($C$165=Otras_Actividades_Base[Movimiento])*($G171=Otras_Actividades_Base[Unidad de Negocio])*(M$1=Otras_Actividades_Base[Mes Financiero])*(M$2=Otras_Actividades_Base[Año Financiero])*(Otras_Actividades_Base[Financiero U$S Dólares]))</f>
        <v>0</v>
      </c>
      <c r="N171" s="128">
        <f>SUMPRODUCT(($C$165=Otras_Actividades_Base[Movimiento])*($G171=Otras_Actividades_Base[Unidad de Negocio])*(N$1=Otras_Actividades_Base[Mes Financiero])*(N$2=Otras_Actividades_Base[Año Financiero])*(Otras_Actividades_Base[Financiero U$S Dólares]))</f>
        <v>0</v>
      </c>
      <c r="O171" s="129">
        <f>SUMPRODUCT(($C$165=Otras_Actividades_Base[Movimiento])*($G171=Otras_Actividades_Base[Unidad de Negocio])*(O$1=Otras_Actividades_Base[Mes Financiero])*(O$2=Otras_Actividades_Base[Año Financiero])*(Otras_Actividades_Base[Financiero U$S Dólares]))</f>
        <v>0</v>
      </c>
      <c r="P171" s="128">
        <f>SUMPRODUCT(($C$165=Otras_Actividades_Base[Movimiento])*($G171=Otras_Actividades_Base[Unidad de Negocio])*(P$1=Otras_Actividades_Base[Mes Financiero])*(P$2=Otras_Actividades_Base[Año Financiero])*(Otras_Actividades_Base[Financiero U$S Dólares]))</f>
        <v>0</v>
      </c>
      <c r="Q171" s="129">
        <f>SUMPRODUCT(($C$165=Otras_Actividades_Base[Movimiento])*($G171=Otras_Actividades_Base[Unidad de Negocio])*(Q$1=Otras_Actividades_Base[Mes Financiero])*(Q$2=Otras_Actividades_Base[Año Financiero])*(Otras_Actividades_Base[Financiero U$S Dólares]))</f>
        <v>0</v>
      </c>
      <c r="R171" s="128">
        <f>SUMPRODUCT(($C$165=Otras_Actividades_Base[Movimiento])*($G171=Otras_Actividades_Base[Unidad de Negocio])*(R$1=Otras_Actividades_Base[Mes Financiero])*(R$2=Otras_Actividades_Base[Año Financiero])*(Otras_Actividades_Base[Financiero U$S Dólares]))</f>
        <v>0</v>
      </c>
      <c r="S171" s="129">
        <f>SUMPRODUCT(($C$165=Otras_Actividades_Base[Movimiento])*($G171=Otras_Actividades_Base[Unidad de Negocio])*(S$1=Otras_Actividades_Base[Mes Financiero])*(S$2=Otras_Actividades_Base[Año Financiero])*(Otras_Actividades_Base[Financiero U$S Dólares]))</f>
        <v>0</v>
      </c>
      <c r="T171" s="128">
        <f>SUMPRODUCT(($C$165=Otras_Actividades_Base[Movimiento])*($G171=Otras_Actividades_Base[Unidad de Negocio])*(T$1=Otras_Actividades_Base[Mes Financiero])*(T$2=Otras_Actividades_Base[Año Financiero])*(Otras_Actividades_Base[Financiero U$S Dólares]))</f>
        <v>0</v>
      </c>
      <c r="U171" s="129">
        <f>SUMPRODUCT(($C$165=Otras_Actividades_Base[Movimiento])*($G171=Otras_Actividades_Base[Unidad de Negocio])*(U$1=Otras_Actividades_Base[Mes Financiero])*(U$2=Otras_Actividades_Base[Año Financiero])*(Otras_Actividades_Base[Financiero U$S Dólares]))</f>
        <v>0</v>
      </c>
      <c r="V171" s="128">
        <f>SUMPRODUCT(($C$165=Otras_Actividades_Base[Movimiento])*($G171=Otras_Actividades_Base[Unidad de Negocio])*(V$1=Otras_Actividades_Base[Mes Financiero])*(V$2=Otras_Actividades_Base[Año Financiero])*(Otras_Actividades_Base[Financiero U$S Dólares]))</f>
        <v>0</v>
      </c>
      <c r="W171" s="129">
        <f>SUMPRODUCT(($C$165=Otras_Actividades_Base[Movimiento])*($G171=Otras_Actividades_Base[Unidad de Negocio])*(W$1=Otras_Actividades_Base[Mes Financiero])*(W$2=Otras_Actividades_Base[Año Financiero])*(Otras_Actividades_Base[Financiero U$S Dólares]))</f>
        <v>0</v>
      </c>
      <c r="X171" s="128">
        <f>SUMPRODUCT(($C$165=Otras_Actividades_Base[Movimiento])*($G171=Otras_Actividades_Base[Unidad de Negocio])*(X$1=Otras_Actividades_Base[Mes Financiero])*(X$2=Otras_Actividades_Base[Año Financiero])*(Otras_Actividades_Base[Financiero U$S Dólares]))</f>
        <v>0</v>
      </c>
      <c r="Y171" s="129">
        <f>SUMPRODUCT(($C$165=Otras_Actividades_Base[Movimiento])*($G171=Otras_Actividades_Base[Unidad de Negocio])*(Y$1=Otras_Actividades_Base[Mes Financiero])*(Y$2=Otras_Actividades_Base[Año Financiero])*(Otras_Actividades_Base[Financiero U$S Dólares]))</f>
        <v>0</v>
      </c>
      <c r="Z171" s="141">
        <f t="shared" si="32"/>
        <v>0</v>
      </c>
    </row>
    <row r="172" spans="2:30" hidden="1" outlineLevel="1" collapsed="1" x14ac:dyDescent="0.25">
      <c r="E172" s="221">
        <f>IFERROR(MATCH(F172,Otras_Actividades_Cuentas[Cuenta Contable],0),0)</f>
        <v>4</v>
      </c>
      <c r="F172" s="10" t="str">
        <f>Configuración!BY8</f>
        <v>Personal</v>
      </c>
      <c r="H172" s="103">
        <f>SUMPRODUCT(($C$165=Otras_Actividades_Base[Movimiento])*($F172=Otras_Actividades_Base[Cuenta Contable])*(H$1=Otras_Actividades_Base[Mes Financiero])*(H$2=Otras_Actividades_Base[Año Financiero])*(Otras_Actividades_Base[Financiero U$S Dólares]))</f>
        <v>0</v>
      </c>
      <c r="I172" s="104">
        <f>SUMPRODUCT(($C$165=Otras_Actividades_Base[Movimiento])*($F172=Otras_Actividades_Base[Cuenta Contable])*(I$1=Otras_Actividades_Base[Mes Financiero])*(I$2=Otras_Actividades_Base[Año Financiero])*(Otras_Actividades_Base[Financiero U$S Dólares]))</f>
        <v>0</v>
      </c>
      <c r="J172" s="103">
        <f>SUMPRODUCT(($C$165=Otras_Actividades_Base[Movimiento])*($F172=Otras_Actividades_Base[Cuenta Contable])*(J$1=Otras_Actividades_Base[Mes Financiero])*(J$2=Otras_Actividades_Base[Año Financiero])*(Otras_Actividades_Base[Financiero U$S Dólares]))</f>
        <v>0</v>
      </c>
      <c r="K172" s="104">
        <f>SUMPRODUCT(($C$165=Otras_Actividades_Base[Movimiento])*($F172=Otras_Actividades_Base[Cuenta Contable])*(K$1=Otras_Actividades_Base[Mes Financiero])*(K$2=Otras_Actividades_Base[Año Financiero])*(Otras_Actividades_Base[Financiero U$S Dólares]))</f>
        <v>0</v>
      </c>
      <c r="L172" s="103">
        <f>SUMPRODUCT(($C$165=Otras_Actividades_Base[Movimiento])*($F172=Otras_Actividades_Base[Cuenta Contable])*(L$1=Otras_Actividades_Base[Mes Financiero])*(L$2=Otras_Actividades_Base[Año Financiero])*(Otras_Actividades_Base[Financiero U$S Dólares]))</f>
        <v>0</v>
      </c>
      <c r="M172" s="104">
        <f>SUMPRODUCT(($C$165=Otras_Actividades_Base[Movimiento])*($F172=Otras_Actividades_Base[Cuenta Contable])*(M$1=Otras_Actividades_Base[Mes Financiero])*(M$2=Otras_Actividades_Base[Año Financiero])*(Otras_Actividades_Base[Financiero U$S Dólares]))</f>
        <v>0</v>
      </c>
      <c r="N172" s="103">
        <f>SUMPRODUCT(($C$165=Otras_Actividades_Base[Movimiento])*($F172=Otras_Actividades_Base[Cuenta Contable])*(N$1=Otras_Actividades_Base[Mes Financiero])*(N$2=Otras_Actividades_Base[Año Financiero])*(Otras_Actividades_Base[Financiero U$S Dólares]))</f>
        <v>0</v>
      </c>
      <c r="O172" s="104">
        <f>SUMPRODUCT(($C$165=Otras_Actividades_Base[Movimiento])*($F172=Otras_Actividades_Base[Cuenta Contable])*(O$1=Otras_Actividades_Base[Mes Financiero])*(O$2=Otras_Actividades_Base[Año Financiero])*(Otras_Actividades_Base[Financiero U$S Dólares]))</f>
        <v>0</v>
      </c>
      <c r="P172" s="103">
        <f>SUMPRODUCT(($C$165=Otras_Actividades_Base[Movimiento])*($F172=Otras_Actividades_Base[Cuenta Contable])*(P$1=Otras_Actividades_Base[Mes Financiero])*(P$2=Otras_Actividades_Base[Año Financiero])*(Otras_Actividades_Base[Financiero U$S Dólares]))</f>
        <v>0</v>
      </c>
      <c r="Q172" s="104">
        <f>SUMPRODUCT(($C$165=Otras_Actividades_Base[Movimiento])*($F172=Otras_Actividades_Base[Cuenta Contable])*(Q$1=Otras_Actividades_Base[Mes Financiero])*(Q$2=Otras_Actividades_Base[Año Financiero])*(Otras_Actividades_Base[Financiero U$S Dólares]))</f>
        <v>0</v>
      </c>
      <c r="R172" s="103">
        <f>SUMPRODUCT(($C$165=Otras_Actividades_Base[Movimiento])*($F172=Otras_Actividades_Base[Cuenta Contable])*(R$1=Otras_Actividades_Base[Mes Financiero])*(R$2=Otras_Actividades_Base[Año Financiero])*(Otras_Actividades_Base[Financiero U$S Dólares]))</f>
        <v>0</v>
      </c>
      <c r="S172" s="104">
        <f>SUMPRODUCT(($C$165=Otras_Actividades_Base[Movimiento])*($F172=Otras_Actividades_Base[Cuenta Contable])*(S$1=Otras_Actividades_Base[Mes Financiero])*(S$2=Otras_Actividades_Base[Año Financiero])*(Otras_Actividades_Base[Financiero U$S Dólares]))</f>
        <v>0</v>
      </c>
      <c r="T172" s="103">
        <f>SUMPRODUCT(($C$165=Otras_Actividades_Base[Movimiento])*($F172=Otras_Actividades_Base[Cuenta Contable])*(T$1=Otras_Actividades_Base[Mes Financiero])*(T$2=Otras_Actividades_Base[Año Financiero])*(Otras_Actividades_Base[Financiero U$S Dólares]))</f>
        <v>0</v>
      </c>
      <c r="U172" s="104">
        <f>SUMPRODUCT(($C$165=Otras_Actividades_Base[Movimiento])*($F172=Otras_Actividades_Base[Cuenta Contable])*(U$1=Otras_Actividades_Base[Mes Financiero])*(U$2=Otras_Actividades_Base[Año Financiero])*(Otras_Actividades_Base[Financiero U$S Dólares]))</f>
        <v>0</v>
      </c>
      <c r="V172" s="103">
        <f>SUMPRODUCT(($C$165=Otras_Actividades_Base[Movimiento])*($F172=Otras_Actividades_Base[Cuenta Contable])*(V$1=Otras_Actividades_Base[Mes Financiero])*(V$2=Otras_Actividades_Base[Año Financiero])*(Otras_Actividades_Base[Financiero U$S Dólares]))</f>
        <v>0</v>
      </c>
      <c r="W172" s="104">
        <f>SUMPRODUCT(($C$165=Otras_Actividades_Base[Movimiento])*($F172=Otras_Actividades_Base[Cuenta Contable])*(W$1=Otras_Actividades_Base[Mes Financiero])*(W$2=Otras_Actividades_Base[Año Financiero])*(Otras_Actividades_Base[Financiero U$S Dólares]))</f>
        <v>0</v>
      </c>
      <c r="X172" s="103">
        <f>SUMPRODUCT(($C$165=Otras_Actividades_Base[Movimiento])*($F172=Otras_Actividades_Base[Cuenta Contable])*(X$1=Otras_Actividades_Base[Mes Financiero])*(X$2=Otras_Actividades_Base[Año Financiero])*(Otras_Actividades_Base[Financiero U$S Dólares]))</f>
        <v>0</v>
      </c>
      <c r="Y172" s="104">
        <f>SUMPRODUCT(($C$165=Otras_Actividades_Base[Movimiento])*($F172=Otras_Actividades_Base[Cuenta Contable])*(Y$1=Otras_Actividades_Base[Mes Financiero])*(Y$2=Otras_Actividades_Base[Año Financiero])*(Otras_Actividades_Base[Financiero U$S Dólares]))</f>
        <v>0</v>
      </c>
      <c r="Z172" s="144">
        <f t="shared" si="32"/>
        <v>0</v>
      </c>
      <c r="AC172" s="174">
        <f>SUMPRODUCT((F172=Costos_Indirectos_Cuentas[Cuenta Contable])*(Costos_Indirectos_Cuentas[IVA]))</f>
        <v>0</v>
      </c>
      <c r="AD172" s="174">
        <f>SUMPRODUCT((G172=Costos_Indirectos_Cuentas[Cuenta Contable])*(Costos_Indirectos_Cuentas[IVA]))</f>
        <v>0</v>
      </c>
    </row>
    <row r="173" spans="2:30" hidden="1" outlineLevel="1" x14ac:dyDescent="0.25">
      <c r="E173" s="221">
        <f>IFERROR(MATCH(F173,Otras_Actividades_Cuentas[Cuenta Contable],0),0)</f>
        <v>5</v>
      </c>
      <c r="F173" s="10" t="str">
        <f>Configuración!BY9</f>
        <v>Cargas Sociales</v>
      </c>
      <c r="H173" s="103">
        <f>SUMPRODUCT(($C$165=Otras_Actividades_Base[Movimiento])*($F173=Otras_Actividades_Base[Cuenta Contable])*(H$1=Otras_Actividades_Base[Mes Financiero])*(H$2=Otras_Actividades_Base[Año Financiero])*(Otras_Actividades_Base[Financiero U$S Dólares]))</f>
        <v>0</v>
      </c>
      <c r="I173" s="104">
        <f>SUMPRODUCT(($C$165=Otras_Actividades_Base[Movimiento])*($F173=Otras_Actividades_Base[Cuenta Contable])*(I$1=Otras_Actividades_Base[Mes Financiero])*(I$2=Otras_Actividades_Base[Año Financiero])*(Otras_Actividades_Base[Financiero U$S Dólares]))</f>
        <v>0</v>
      </c>
      <c r="J173" s="103">
        <f>SUMPRODUCT(($C$165=Otras_Actividades_Base[Movimiento])*($F173=Otras_Actividades_Base[Cuenta Contable])*(J$1=Otras_Actividades_Base[Mes Financiero])*(J$2=Otras_Actividades_Base[Año Financiero])*(Otras_Actividades_Base[Financiero U$S Dólares]))</f>
        <v>0</v>
      </c>
      <c r="K173" s="104">
        <f>SUMPRODUCT(($C$165=Otras_Actividades_Base[Movimiento])*($F173=Otras_Actividades_Base[Cuenta Contable])*(K$1=Otras_Actividades_Base[Mes Financiero])*(K$2=Otras_Actividades_Base[Año Financiero])*(Otras_Actividades_Base[Financiero U$S Dólares]))</f>
        <v>0</v>
      </c>
      <c r="L173" s="103">
        <f>SUMPRODUCT(($C$165=Otras_Actividades_Base[Movimiento])*($F173=Otras_Actividades_Base[Cuenta Contable])*(L$1=Otras_Actividades_Base[Mes Financiero])*(L$2=Otras_Actividades_Base[Año Financiero])*(Otras_Actividades_Base[Financiero U$S Dólares]))</f>
        <v>0</v>
      </c>
      <c r="M173" s="104">
        <f>SUMPRODUCT(($C$165=Otras_Actividades_Base[Movimiento])*($F173=Otras_Actividades_Base[Cuenta Contable])*(M$1=Otras_Actividades_Base[Mes Financiero])*(M$2=Otras_Actividades_Base[Año Financiero])*(Otras_Actividades_Base[Financiero U$S Dólares]))</f>
        <v>0</v>
      </c>
      <c r="N173" s="103">
        <f>SUMPRODUCT(($C$165=Otras_Actividades_Base[Movimiento])*($F173=Otras_Actividades_Base[Cuenta Contable])*(N$1=Otras_Actividades_Base[Mes Financiero])*(N$2=Otras_Actividades_Base[Año Financiero])*(Otras_Actividades_Base[Financiero U$S Dólares]))</f>
        <v>0</v>
      </c>
      <c r="O173" s="104">
        <f>SUMPRODUCT(($C$165=Otras_Actividades_Base[Movimiento])*($F173=Otras_Actividades_Base[Cuenta Contable])*(O$1=Otras_Actividades_Base[Mes Financiero])*(O$2=Otras_Actividades_Base[Año Financiero])*(Otras_Actividades_Base[Financiero U$S Dólares]))</f>
        <v>0</v>
      </c>
      <c r="P173" s="103">
        <f>SUMPRODUCT(($C$165=Otras_Actividades_Base[Movimiento])*($F173=Otras_Actividades_Base[Cuenta Contable])*(P$1=Otras_Actividades_Base[Mes Financiero])*(P$2=Otras_Actividades_Base[Año Financiero])*(Otras_Actividades_Base[Financiero U$S Dólares]))</f>
        <v>0</v>
      </c>
      <c r="Q173" s="104">
        <f>SUMPRODUCT(($C$165=Otras_Actividades_Base[Movimiento])*($F173=Otras_Actividades_Base[Cuenta Contable])*(Q$1=Otras_Actividades_Base[Mes Financiero])*(Q$2=Otras_Actividades_Base[Año Financiero])*(Otras_Actividades_Base[Financiero U$S Dólares]))</f>
        <v>0</v>
      </c>
      <c r="R173" s="103">
        <f>SUMPRODUCT(($C$165=Otras_Actividades_Base[Movimiento])*($F173=Otras_Actividades_Base[Cuenta Contable])*(R$1=Otras_Actividades_Base[Mes Financiero])*(R$2=Otras_Actividades_Base[Año Financiero])*(Otras_Actividades_Base[Financiero U$S Dólares]))</f>
        <v>0</v>
      </c>
      <c r="S173" s="104">
        <f>SUMPRODUCT(($C$165=Otras_Actividades_Base[Movimiento])*($F173=Otras_Actividades_Base[Cuenta Contable])*(S$1=Otras_Actividades_Base[Mes Financiero])*(S$2=Otras_Actividades_Base[Año Financiero])*(Otras_Actividades_Base[Financiero U$S Dólares]))</f>
        <v>0</v>
      </c>
      <c r="T173" s="103">
        <f>SUMPRODUCT(($C$165=Otras_Actividades_Base[Movimiento])*($F173=Otras_Actividades_Base[Cuenta Contable])*(T$1=Otras_Actividades_Base[Mes Financiero])*(T$2=Otras_Actividades_Base[Año Financiero])*(Otras_Actividades_Base[Financiero U$S Dólares]))</f>
        <v>0</v>
      </c>
      <c r="U173" s="104">
        <f>SUMPRODUCT(($C$165=Otras_Actividades_Base[Movimiento])*($F173=Otras_Actividades_Base[Cuenta Contable])*(U$1=Otras_Actividades_Base[Mes Financiero])*(U$2=Otras_Actividades_Base[Año Financiero])*(Otras_Actividades_Base[Financiero U$S Dólares]))</f>
        <v>0</v>
      </c>
      <c r="V173" s="103">
        <f>SUMPRODUCT(($C$165=Otras_Actividades_Base[Movimiento])*($F173=Otras_Actividades_Base[Cuenta Contable])*(V$1=Otras_Actividades_Base[Mes Financiero])*(V$2=Otras_Actividades_Base[Año Financiero])*(Otras_Actividades_Base[Financiero U$S Dólares]))</f>
        <v>0</v>
      </c>
      <c r="W173" s="104">
        <f>SUMPRODUCT(($C$165=Otras_Actividades_Base[Movimiento])*($F173=Otras_Actividades_Base[Cuenta Contable])*(W$1=Otras_Actividades_Base[Mes Financiero])*(W$2=Otras_Actividades_Base[Año Financiero])*(Otras_Actividades_Base[Financiero U$S Dólares]))</f>
        <v>0</v>
      </c>
      <c r="X173" s="103">
        <f>SUMPRODUCT(($C$165=Otras_Actividades_Base[Movimiento])*($F173=Otras_Actividades_Base[Cuenta Contable])*(X$1=Otras_Actividades_Base[Mes Financiero])*(X$2=Otras_Actividades_Base[Año Financiero])*(Otras_Actividades_Base[Financiero U$S Dólares]))</f>
        <v>0</v>
      </c>
      <c r="Y173" s="104">
        <f>SUMPRODUCT(($C$165=Otras_Actividades_Base[Movimiento])*($F173=Otras_Actividades_Base[Cuenta Contable])*(Y$1=Otras_Actividades_Base[Mes Financiero])*(Y$2=Otras_Actividades_Base[Año Financiero])*(Otras_Actividades_Base[Financiero U$S Dólares]))</f>
        <v>0</v>
      </c>
      <c r="Z173" s="144">
        <f t="shared" si="32"/>
        <v>0</v>
      </c>
      <c r="AC173" s="174">
        <f>SUMPRODUCT((F173=Costos_Indirectos_Cuentas[Cuenta Contable])*(Costos_Indirectos_Cuentas[IVA]))</f>
        <v>0</v>
      </c>
      <c r="AD173" s="174">
        <f>SUMPRODUCT((G173=Costos_Indirectos_Cuentas[Cuenta Contable])*(Costos_Indirectos_Cuentas[IVA]))</f>
        <v>0</v>
      </c>
    </row>
    <row r="174" spans="2:30" hidden="1" outlineLevel="1" x14ac:dyDescent="0.25">
      <c r="E174" s="221">
        <f>IFERROR(MATCH(F174,Otras_Actividades_Cuentas[Cuenta Contable],0),0)</f>
        <v>6</v>
      </c>
      <c r="F174" s="10" t="str">
        <f>Configuración!BY10</f>
        <v>Honorarios</v>
      </c>
      <c r="H174" s="103">
        <f>SUMPRODUCT(($C$165=Otras_Actividades_Base[Movimiento])*($F174=Otras_Actividades_Base[Cuenta Contable])*(H$1=Otras_Actividades_Base[Mes Financiero])*(H$2=Otras_Actividades_Base[Año Financiero])*(Otras_Actividades_Base[Financiero U$S Dólares]))</f>
        <v>0</v>
      </c>
      <c r="I174" s="104">
        <f>SUMPRODUCT(($C$165=Otras_Actividades_Base[Movimiento])*($F174=Otras_Actividades_Base[Cuenta Contable])*(I$1=Otras_Actividades_Base[Mes Financiero])*(I$2=Otras_Actividades_Base[Año Financiero])*(Otras_Actividades_Base[Financiero U$S Dólares]))</f>
        <v>0</v>
      </c>
      <c r="J174" s="103">
        <f>SUMPRODUCT(($C$165=Otras_Actividades_Base[Movimiento])*($F174=Otras_Actividades_Base[Cuenta Contable])*(J$1=Otras_Actividades_Base[Mes Financiero])*(J$2=Otras_Actividades_Base[Año Financiero])*(Otras_Actividades_Base[Financiero U$S Dólares]))</f>
        <v>0</v>
      </c>
      <c r="K174" s="104">
        <f>SUMPRODUCT(($C$165=Otras_Actividades_Base[Movimiento])*($F174=Otras_Actividades_Base[Cuenta Contable])*(K$1=Otras_Actividades_Base[Mes Financiero])*(K$2=Otras_Actividades_Base[Año Financiero])*(Otras_Actividades_Base[Financiero U$S Dólares]))</f>
        <v>0</v>
      </c>
      <c r="L174" s="103">
        <f>SUMPRODUCT(($C$165=Otras_Actividades_Base[Movimiento])*($F174=Otras_Actividades_Base[Cuenta Contable])*(L$1=Otras_Actividades_Base[Mes Financiero])*(L$2=Otras_Actividades_Base[Año Financiero])*(Otras_Actividades_Base[Financiero U$S Dólares]))</f>
        <v>0</v>
      </c>
      <c r="M174" s="104">
        <f>SUMPRODUCT(($C$165=Otras_Actividades_Base[Movimiento])*($F174=Otras_Actividades_Base[Cuenta Contable])*(M$1=Otras_Actividades_Base[Mes Financiero])*(M$2=Otras_Actividades_Base[Año Financiero])*(Otras_Actividades_Base[Financiero U$S Dólares]))</f>
        <v>0</v>
      </c>
      <c r="N174" s="103">
        <f>SUMPRODUCT(($C$165=Otras_Actividades_Base[Movimiento])*($F174=Otras_Actividades_Base[Cuenta Contable])*(N$1=Otras_Actividades_Base[Mes Financiero])*(N$2=Otras_Actividades_Base[Año Financiero])*(Otras_Actividades_Base[Financiero U$S Dólares]))</f>
        <v>0</v>
      </c>
      <c r="O174" s="104">
        <f>SUMPRODUCT(($C$165=Otras_Actividades_Base[Movimiento])*($F174=Otras_Actividades_Base[Cuenta Contable])*(O$1=Otras_Actividades_Base[Mes Financiero])*(O$2=Otras_Actividades_Base[Año Financiero])*(Otras_Actividades_Base[Financiero U$S Dólares]))</f>
        <v>0</v>
      </c>
      <c r="P174" s="103">
        <f>SUMPRODUCT(($C$165=Otras_Actividades_Base[Movimiento])*($F174=Otras_Actividades_Base[Cuenta Contable])*(P$1=Otras_Actividades_Base[Mes Financiero])*(P$2=Otras_Actividades_Base[Año Financiero])*(Otras_Actividades_Base[Financiero U$S Dólares]))</f>
        <v>0</v>
      </c>
      <c r="Q174" s="104">
        <f>SUMPRODUCT(($C$165=Otras_Actividades_Base[Movimiento])*($F174=Otras_Actividades_Base[Cuenta Contable])*(Q$1=Otras_Actividades_Base[Mes Financiero])*(Q$2=Otras_Actividades_Base[Año Financiero])*(Otras_Actividades_Base[Financiero U$S Dólares]))</f>
        <v>0</v>
      </c>
      <c r="R174" s="103">
        <f>SUMPRODUCT(($C$165=Otras_Actividades_Base[Movimiento])*($F174=Otras_Actividades_Base[Cuenta Contable])*(R$1=Otras_Actividades_Base[Mes Financiero])*(R$2=Otras_Actividades_Base[Año Financiero])*(Otras_Actividades_Base[Financiero U$S Dólares]))</f>
        <v>0</v>
      </c>
      <c r="S174" s="104">
        <f>SUMPRODUCT(($C$165=Otras_Actividades_Base[Movimiento])*($F174=Otras_Actividades_Base[Cuenta Contable])*(S$1=Otras_Actividades_Base[Mes Financiero])*(S$2=Otras_Actividades_Base[Año Financiero])*(Otras_Actividades_Base[Financiero U$S Dólares]))</f>
        <v>0</v>
      </c>
      <c r="T174" s="103">
        <f>SUMPRODUCT(($C$165=Otras_Actividades_Base[Movimiento])*($F174=Otras_Actividades_Base[Cuenta Contable])*(T$1=Otras_Actividades_Base[Mes Financiero])*(T$2=Otras_Actividades_Base[Año Financiero])*(Otras_Actividades_Base[Financiero U$S Dólares]))</f>
        <v>0</v>
      </c>
      <c r="U174" s="104">
        <f>SUMPRODUCT(($C$165=Otras_Actividades_Base[Movimiento])*($F174=Otras_Actividades_Base[Cuenta Contable])*(U$1=Otras_Actividades_Base[Mes Financiero])*(U$2=Otras_Actividades_Base[Año Financiero])*(Otras_Actividades_Base[Financiero U$S Dólares]))</f>
        <v>0</v>
      </c>
      <c r="V174" s="103">
        <f>SUMPRODUCT(($C$165=Otras_Actividades_Base[Movimiento])*($F174=Otras_Actividades_Base[Cuenta Contable])*(V$1=Otras_Actividades_Base[Mes Financiero])*(V$2=Otras_Actividades_Base[Año Financiero])*(Otras_Actividades_Base[Financiero U$S Dólares]))</f>
        <v>0</v>
      </c>
      <c r="W174" s="104">
        <f>SUMPRODUCT(($C$165=Otras_Actividades_Base[Movimiento])*($F174=Otras_Actividades_Base[Cuenta Contable])*(W$1=Otras_Actividades_Base[Mes Financiero])*(W$2=Otras_Actividades_Base[Año Financiero])*(Otras_Actividades_Base[Financiero U$S Dólares]))</f>
        <v>0</v>
      </c>
      <c r="X174" s="103">
        <f>SUMPRODUCT(($C$165=Otras_Actividades_Base[Movimiento])*($F174=Otras_Actividades_Base[Cuenta Contable])*(X$1=Otras_Actividades_Base[Mes Financiero])*(X$2=Otras_Actividades_Base[Año Financiero])*(Otras_Actividades_Base[Financiero U$S Dólares]))</f>
        <v>0</v>
      </c>
      <c r="Y174" s="104">
        <f>SUMPRODUCT(($C$165=Otras_Actividades_Base[Movimiento])*($F174=Otras_Actividades_Base[Cuenta Contable])*(Y$1=Otras_Actividades_Base[Mes Financiero])*(Y$2=Otras_Actividades_Base[Año Financiero])*(Otras_Actividades_Base[Financiero U$S Dólares]))</f>
        <v>0</v>
      </c>
      <c r="Z174" s="144">
        <f t="shared" si="32"/>
        <v>0</v>
      </c>
      <c r="AC174" s="174">
        <f>SUMPRODUCT((F174=Costos_Indirectos_Cuentas[Cuenta Contable])*(Costos_Indirectos_Cuentas[IVA]))</f>
        <v>0.21</v>
      </c>
      <c r="AD174" s="174">
        <f>SUMPRODUCT((G174=Costos_Indirectos_Cuentas[Cuenta Contable])*(Costos_Indirectos_Cuentas[IVA]))</f>
        <v>0</v>
      </c>
    </row>
    <row r="175" spans="2:30" hidden="1" outlineLevel="1" x14ac:dyDescent="0.25">
      <c r="E175" s="221">
        <f>IFERROR(MATCH(F175,Otras_Actividades_Cuentas[Cuenta Contable],0),0)</f>
        <v>7</v>
      </c>
      <c r="F175" s="10" t="str">
        <f>Configuración!BY11</f>
        <v>Movilidad - Viáticos</v>
      </c>
      <c r="H175" s="103">
        <f>SUMPRODUCT(($C$165=Otras_Actividades_Base[Movimiento])*($F175=Otras_Actividades_Base[Cuenta Contable])*(H$1=Otras_Actividades_Base[Mes Financiero])*(H$2=Otras_Actividades_Base[Año Financiero])*(Otras_Actividades_Base[Financiero U$S Dólares]))</f>
        <v>0</v>
      </c>
      <c r="I175" s="104">
        <f>SUMPRODUCT(($C$165=Otras_Actividades_Base[Movimiento])*($F175=Otras_Actividades_Base[Cuenta Contable])*(I$1=Otras_Actividades_Base[Mes Financiero])*(I$2=Otras_Actividades_Base[Año Financiero])*(Otras_Actividades_Base[Financiero U$S Dólares]))</f>
        <v>0</v>
      </c>
      <c r="J175" s="103">
        <f>SUMPRODUCT(($C$165=Otras_Actividades_Base[Movimiento])*($F175=Otras_Actividades_Base[Cuenta Contable])*(J$1=Otras_Actividades_Base[Mes Financiero])*(J$2=Otras_Actividades_Base[Año Financiero])*(Otras_Actividades_Base[Financiero U$S Dólares]))</f>
        <v>0</v>
      </c>
      <c r="K175" s="104">
        <f>SUMPRODUCT(($C$165=Otras_Actividades_Base[Movimiento])*($F175=Otras_Actividades_Base[Cuenta Contable])*(K$1=Otras_Actividades_Base[Mes Financiero])*(K$2=Otras_Actividades_Base[Año Financiero])*(Otras_Actividades_Base[Financiero U$S Dólares]))</f>
        <v>0</v>
      </c>
      <c r="L175" s="103">
        <f>SUMPRODUCT(($C$165=Otras_Actividades_Base[Movimiento])*($F175=Otras_Actividades_Base[Cuenta Contable])*(L$1=Otras_Actividades_Base[Mes Financiero])*(L$2=Otras_Actividades_Base[Año Financiero])*(Otras_Actividades_Base[Financiero U$S Dólares]))</f>
        <v>0</v>
      </c>
      <c r="M175" s="104">
        <f>SUMPRODUCT(($C$165=Otras_Actividades_Base[Movimiento])*($F175=Otras_Actividades_Base[Cuenta Contable])*(M$1=Otras_Actividades_Base[Mes Financiero])*(M$2=Otras_Actividades_Base[Año Financiero])*(Otras_Actividades_Base[Financiero U$S Dólares]))</f>
        <v>0</v>
      </c>
      <c r="N175" s="103">
        <f>SUMPRODUCT(($C$165=Otras_Actividades_Base[Movimiento])*($F175=Otras_Actividades_Base[Cuenta Contable])*(N$1=Otras_Actividades_Base[Mes Financiero])*(N$2=Otras_Actividades_Base[Año Financiero])*(Otras_Actividades_Base[Financiero U$S Dólares]))</f>
        <v>0</v>
      </c>
      <c r="O175" s="104">
        <f>SUMPRODUCT(($C$165=Otras_Actividades_Base[Movimiento])*($F175=Otras_Actividades_Base[Cuenta Contable])*(O$1=Otras_Actividades_Base[Mes Financiero])*(O$2=Otras_Actividades_Base[Año Financiero])*(Otras_Actividades_Base[Financiero U$S Dólares]))</f>
        <v>0</v>
      </c>
      <c r="P175" s="103">
        <f>SUMPRODUCT(($C$165=Otras_Actividades_Base[Movimiento])*($F175=Otras_Actividades_Base[Cuenta Contable])*(P$1=Otras_Actividades_Base[Mes Financiero])*(P$2=Otras_Actividades_Base[Año Financiero])*(Otras_Actividades_Base[Financiero U$S Dólares]))</f>
        <v>0</v>
      </c>
      <c r="Q175" s="104">
        <f>SUMPRODUCT(($C$165=Otras_Actividades_Base[Movimiento])*($F175=Otras_Actividades_Base[Cuenta Contable])*(Q$1=Otras_Actividades_Base[Mes Financiero])*(Q$2=Otras_Actividades_Base[Año Financiero])*(Otras_Actividades_Base[Financiero U$S Dólares]))</f>
        <v>0</v>
      </c>
      <c r="R175" s="103">
        <f>SUMPRODUCT(($C$165=Otras_Actividades_Base[Movimiento])*($F175=Otras_Actividades_Base[Cuenta Contable])*(R$1=Otras_Actividades_Base[Mes Financiero])*(R$2=Otras_Actividades_Base[Año Financiero])*(Otras_Actividades_Base[Financiero U$S Dólares]))</f>
        <v>0</v>
      </c>
      <c r="S175" s="104">
        <f>SUMPRODUCT(($C$165=Otras_Actividades_Base[Movimiento])*($F175=Otras_Actividades_Base[Cuenta Contable])*(S$1=Otras_Actividades_Base[Mes Financiero])*(S$2=Otras_Actividades_Base[Año Financiero])*(Otras_Actividades_Base[Financiero U$S Dólares]))</f>
        <v>0</v>
      </c>
      <c r="T175" s="103">
        <f>SUMPRODUCT(($C$165=Otras_Actividades_Base[Movimiento])*($F175=Otras_Actividades_Base[Cuenta Contable])*(T$1=Otras_Actividades_Base[Mes Financiero])*(T$2=Otras_Actividades_Base[Año Financiero])*(Otras_Actividades_Base[Financiero U$S Dólares]))</f>
        <v>0</v>
      </c>
      <c r="U175" s="104">
        <f>SUMPRODUCT(($C$165=Otras_Actividades_Base[Movimiento])*($F175=Otras_Actividades_Base[Cuenta Contable])*(U$1=Otras_Actividades_Base[Mes Financiero])*(U$2=Otras_Actividades_Base[Año Financiero])*(Otras_Actividades_Base[Financiero U$S Dólares]))</f>
        <v>0</v>
      </c>
      <c r="V175" s="103">
        <f>SUMPRODUCT(($C$165=Otras_Actividades_Base[Movimiento])*($F175=Otras_Actividades_Base[Cuenta Contable])*(V$1=Otras_Actividades_Base[Mes Financiero])*(V$2=Otras_Actividades_Base[Año Financiero])*(Otras_Actividades_Base[Financiero U$S Dólares]))</f>
        <v>0</v>
      </c>
      <c r="W175" s="104">
        <f>SUMPRODUCT(($C$165=Otras_Actividades_Base[Movimiento])*($F175=Otras_Actividades_Base[Cuenta Contable])*(W$1=Otras_Actividades_Base[Mes Financiero])*(W$2=Otras_Actividades_Base[Año Financiero])*(Otras_Actividades_Base[Financiero U$S Dólares]))</f>
        <v>0</v>
      </c>
      <c r="X175" s="103">
        <f>SUMPRODUCT(($C$165=Otras_Actividades_Base[Movimiento])*($F175=Otras_Actividades_Base[Cuenta Contable])*(X$1=Otras_Actividades_Base[Mes Financiero])*(X$2=Otras_Actividades_Base[Año Financiero])*(Otras_Actividades_Base[Financiero U$S Dólares]))</f>
        <v>0</v>
      </c>
      <c r="Y175" s="104">
        <f>SUMPRODUCT(($C$165=Otras_Actividades_Base[Movimiento])*($F175=Otras_Actividades_Base[Cuenta Contable])*(Y$1=Otras_Actividades_Base[Mes Financiero])*(Y$2=Otras_Actividades_Base[Año Financiero])*(Otras_Actividades_Base[Financiero U$S Dólares]))</f>
        <v>0</v>
      </c>
      <c r="Z175" s="144">
        <f t="shared" si="32"/>
        <v>0</v>
      </c>
      <c r="AC175" s="174">
        <f>SUMPRODUCT((F175=Costos_Indirectos_Cuentas[Cuenta Contable])*(Costos_Indirectos_Cuentas[IVA]))</f>
        <v>0.21</v>
      </c>
      <c r="AD175" s="174">
        <f>SUMPRODUCT((G175=Costos_Indirectos_Cuentas[Cuenta Contable])*(Costos_Indirectos_Cuentas[IVA]))</f>
        <v>0</v>
      </c>
    </row>
    <row r="176" spans="2:30" hidden="1" outlineLevel="1" x14ac:dyDescent="0.25">
      <c r="E176" s="221">
        <f>IFERROR(MATCH(F176,Otras_Actividades_Cuentas[Cuenta Contable],0),0)</f>
        <v>8</v>
      </c>
      <c r="F176" s="10" t="str">
        <f>Configuración!BY12</f>
        <v>Repuestos y Reparaciones</v>
      </c>
      <c r="H176" s="103">
        <f>SUMPRODUCT(($C$165=Otras_Actividades_Base[Movimiento])*($F176=Otras_Actividades_Base[Cuenta Contable])*(H$1=Otras_Actividades_Base[Mes Financiero])*(H$2=Otras_Actividades_Base[Año Financiero])*(Otras_Actividades_Base[Financiero U$S Dólares]))</f>
        <v>0</v>
      </c>
      <c r="I176" s="104">
        <f>SUMPRODUCT(($C$165=Otras_Actividades_Base[Movimiento])*($F176=Otras_Actividades_Base[Cuenta Contable])*(I$1=Otras_Actividades_Base[Mes Financiero])*(I$2=Otras_Actividades_Base[Año Financiero])*(Otras_Actividades_Base[Financiero U$S Dólares]))</f>
        <v>0</v>
      </c>
      <c r="J176" s="103">
        <f>SUMPRODUCT(($C$165=Otras_Actividades_Base[Movimiento])*($F176=Otras_Actividades_Base[Cuenta Contable])*(J$1=Otras_Actividades_Base[Mes Financiero])*(J$2=Otras_Actividades_Base[Año Financiero])*(Otras_Actividades_Base[Financiero U$S Dólares]))</f>
        <v>0</v>
      </c>
      <c r="K176" s="104">
        <f>SUMPRODUCT(($C$165=Otras_Actividades_Base[Movimiento])*($F176=Otras_Actividades_Base[Cuenta Contable])*(K$1=Otras_Actividades_Base[Mes Financiero])*(K$2=Otras_Actividades_Base[Año Financiero])*(Otras_Actividades_Base[Financiero U$S Dólares]))</f>
        <v>0</v>
      </c>
      <c r="L176" s="103">
        <f>SUMPRODUCT(($C$165=Otras_Actividades_Base[Movimiento])*($F176=Otras_Actividades_Base[Cuenta Contable])*(L$1=Otras_Actividades_Base[Mes Financiero])*(L$2=Otras_Actividades_Base[Año Financiero])*(Otras_Actividades_Base[Financiero U$S Dólares]))</f>
        <v>0</v>
      </c>
      <c r="M176" s="104">
        <f>SUMPRODUCT(($C$165=Otras_Actividades_Base[Movimiento])*($F176=Otras_Actividades_Base[Cuenta Contable])*(M$1=Otras_Actividades_Base[Mes Financiero])*(M$2=Otras_Actividades_Base[Año Financiero])*(Otras_Actividades_Base[Financiero U$S Dólares]))</f>
        <v>0</v>
      </c>
      <c r="N176" s="103">
        <f>SUMPRODUCT(($C$165=Otras_Actividades_Base[Movimiento])*($F176=Otras_Actividades_Base[Cuenta Contable])*(N$1=Otras_Actividades_Base[Mes Financiero])*(N$2=Otras_Actividades_Base[Año Financiero])*(Otras_Actividades_Base[Financiero U$S Dólares]))</f>
        <v>0</v>
      </c>
      <c r="O176" s="104">
        <f>SUMPRODUCT(($C$165=Otras_Actividades_Base[Movimiento])*($F176=Otras_Actividades_Base[Cuenta Contable])*(O$1=Otras_Actividades_Base[Mes Financiero])*(O$2=Otras_Actividades_Base[Año Financiero])*(Otras_Actividades_Base[Financiero U$S Dólares]))</f>
        <v>0</v>
      </c>
      <c r="P176" s="103">
        <f>SUMPRODUCT(($C$165=Otras_Actividades_Base[Movimiento])*($F176=Otras_Actividades_Base[Cuenta Contable])*(P$1=Otras_Actividades_Base[Mes Financiero])*(P$2=Otras_Actividades_Base[Año Financiero])*(Otras_Actividades_Base[Financiero U$S Dólares]))</f>
        <v>0</v>
      </c>
      <c r="Q176" s="104">
        <f>SUMPRODUCT(($C$165=Otras_Actividades_Base[Movimiento])*($F176=Otras_Actividades_Base[Cuenta Contable])*(Q$1=Otras_Actividades_Base[Mes Financiero])*(Q$2=Otras_Actividades_Base[Año Financiero])*(Otras_Actividades_Base[Financiero U$S Dólares]))</f>
        <v>0</v>
      </c>
      <c r="R176" s="103">
        <f>SUMPRODUCT(($C$165=Otras_Actividades_Base[Movimiento])*($F176=Otras_Actividades_Base[Cuenta Contable])*(R$1=Otras_Actividades_Base[Mes Financiero])*(R$2=Otras_Actividades_Base[Año Financiero])*(Otras_Actividades_Base[Financiero U$S Dólares]))</f>
        <v>0</v>
      </c>
      <c r="S176" s="104">
        <f>SUMPRODUCT(($C$165=Otras_Actividades_Base[Movimiento])*($F176=Otras_Actividades_Base[Cuenta Contable])*(S$1=Otras_Actividades_Base[Mes Financiero])*(S$2=Otras_Actividades_Base[Año Financiero])*(Otras_Actividades_Base[Financiero U$S Dólares]))</f>
        <v>0</v>
      </c>
      <c r="T176" s="103">
        <f>SUMPRODUCT(($C$165=Otras_Actividades_Base[Movimiento])*($F176=Otras_Actividades_Base[Cuenta Contable])*(T$1=Otras_Actividades_Base[Mes Financiero])*(T$2=Otras_Actividades_Base[Año Financiero])*(Otras_Actividades_Base[Financiero U$S Dólares]))</f>
        <v>0</v>
      </c>
      <c r="U176" s="104">
        <f>SUMPRODUCT(($C$165=Otras_Actividades_Base[Movimiento])*($F176=Otras_Actividades_Base[Cuenta Contable])*(U$1=Otras_Actividades_Base[Mes Financiero])*(U$2=Otras_Actividades_Base[Año Financiero])*(Otras_Actividades_Base[Financiero U$S Dólares]))</f>
        <v>0</v>
      </c>
      <c r="V176" s="103">
        <f>SUMPRODUCT(($C$165=Otras_Actividades_Base[Movimiento])*($F176=Otras_Actividades_Base[Cuenta Contable])*(V$1=Otras_Actividades_Base[Mes Financiero])*(V$2=Otras_Actividades_Base[Año Financiero])*(Otras_Actividades_Base[Financiero U$S Dólares]))</f>
        <v>0</v>
      </c>
      <c r="W176" s="104">
        <f>SUMPRODUCT(($C$165=Otras_Actividades_Base[Movimiento])*($F176=Otras_Actividades_Base[Cuenta Contable])*(W$1=Otras_Actividades_Base[Mes Financiero])*(W$2=Otras_Actividades_Base[Año Financiero])*(Otras_Actividades_Base[Financiero U$S Dólares]))</f>
        <v>0</v>
      </c>
      <c r="X176" s="103">
        <f>SUMPRODUCT(($C$165=Otras_Actividades_Base[Movimiento])*($F176=Otras_Actividades_Base[Cuenta Contable])*(X$1=Otras_Actividades_Base[Mes Financiero])*(X$2=Otras_Actividades_Base[Año Financiero])*(Otras_Actividades_Base[Financiero U$S Dólares]))</f>
        <v>0</v>
      </c>
      <c r="Y176" s="104">
        <f>SUMPRODUCT(($C$165=Otras_Actividades_Base[Movimiento])*($F176=Otras_Actividades_Base[Cuenta Contable])*(Y$1=Otras_Actividades_Base[Mes Financiero])*(Y$2=Otras_Actividades_Base[Año Financiero])*(Otras_Actividades_Base[Financiero U$S Dólares]))</f>
        <v>0</v>
      </c>
      <c r="Z176" s="144">
        <f t="shared" si="32"/>
        <v>0</v>
      </c>
      <c r="AC176" s="174">
        <f>SUMPRODUCT((F176=Costos_Indirectos_Cuentas[Cuenta Contable])*(Costos_Indirectos_Cuentas[IVA]))</f>
        <v>0.21</v>
      </c>
      <c r="AD176" s="174">
        <f>SUMPRODUCT((G176=Costos_Indirectos_Cuentas[Cuenta Contable])*(Costos_Indirectos_Cuentas[IVA]))</f>
        <v>0</v>
      </c>
    </row>
    <row r="177" spans="2:30" hidden="1" outlineLevel="1" x14ac:dyDescent="0.25">
      <c r="E177" s="221">
        <f>IFERROR(MATCH(F177,Otras_Actividades_Cuentas[Cuenta Contable],0),0)</f>
        <v>9</v>
      </c>
      <c r="F177" s="10" t="str">
        <f>Configuración!BY13</f>
        <v>Combustibles y Lubricantes</v>
      </c>
      <c r="H177" s="103">
        <f>SUMPRODUCT(($C$165=Otras_Actividades_Base[Movimiento])*($F177=Otras_Actividades_Base[Cuenta Contable])*(H$1=Otras_Actividades_Base[Mes Financiero])*(H$2=Otras_Actividades_Base[Año Financiero])*(Otras_Actividades_Base[Financiero U$S Dólares]))</f>
        <v>0</v>
      </c>
      <c r="I177" s="104">
        <f>SUMPRODUCT(($C$165=Otras_Actividades_Base[Movimiento])*($F177=Otras_Actividades_Base[Cuenta Contable])*(I$1=Otras_Actividades_Base[Mes Financiero])*(I$2=Otras_Actividades_Base[Año Financiero])*(Otras_Actividades_Base[Financiero U$S Dólares]))</f>
        <v>0</v>
      </c>
      <c r="J177" s="103">
        <f>SUMPRODUCT(($C$165=Otras_Actividades_Base[Movimiento])*($F177=Otras_Actividades_Base[Cuenta Contable])*(J$1=Otras_Actividades_Base[Mes Financiero])*(J$2=Otras_Actividades_Base[Año Financiero])*(Otras_Actividades_Base[Financiero U$S Dólares]))</f>
        <v>0</v>
      </c>
      <c r="K177" s="104">
        <f>SUMPRODUCT(($C$165=Otras_Actividades_Base[Movimiento])*($F177=Otras_Actividades_Base[Cuenta Contable])*(K$1=Otras_Actividades_Base[Mes Financiero])*(K$2=Otras_Actividades_Base[Año Financiero])*(Otras_Actividades_Base[Financiero U$S Dólares]))</f>
        <v>0</v>
      </c>
      <c r="L177" s="103">
        <f>SUMPRODUCT(($C$165=Otras_Actividades_Base[Movimiento])*($F177=Otras_Actividades_Base[Cuenta Contable])*(L$1=Otras_Actividades_Base[Mes Financiero])*(L$2=Otras_Actividades_Base[Año Financiero])*(Otras_Actividades_Base[Financiero U$S Dólares]))</f>
        <v>0</v>
      </c>
      <c r="M177" s="104">
        <f>SUMPRODUCT(($C$165=Otras_Actividades_Base[Movimiento])*($F177=Otras_Actividades_Base[Cuenta Contable])*(M$1=Otras_Actividades_Base[Mes Financiero])*(M$2=Otras_Actividades_Base[Año Financiero])*(Otras_Actividades_Base[Financiero U$S Dólares]))</f>
        <v>0</v>
      </c>
      <c r="N177" s="103">
        <f>SUMPRODUCT(($C$165=Otras_Actividades_Base[Movimiento])*($F177=Otras_Actividades_Base[Cuenta Contable])*(N$1=Otras_Actividades_Base[Mes Financiero])*(N$2=Otras_Actividades_Base[Año Financiero])*(Otras_Actividades_Base[Financiero U$S Dólares]))</f>
        <v>0</v>
      </c>
      <c r="O177" s="104">
        <f>SUMPRODUCT(($C$165=Otras_Actividades_Base[Movimiento])*($F177=Otras_Actividades_Base[Cuenta Contable])*(O$1=Otras_Actividades_Base[Mes Financiero])*(O$2=Otras_Actividades_Base[Año Financiero])*(Otras_Actividades_Base[Financiero U$S Dólares]))</f>
        <v>0</v>
      </c>
      <c r="P177" s="103">
        <f>SUMPRODUCT(($C$165=Otras_Actividades_Base[Movimiento])*($F177=Otras_Actividades_Base[Cuenta Contable])*(P$1=Otras_Actividades_Base[Mes Financiero])*(P$2=Otras_Actividades_Base[Año Financiero])*(Otras_Actividades_Base[Financiero U$S Dólares]))</f>
        <v>0</v>
      </c>
      <c r="Q177" s="104">
        <f>SUMPRODUCT(($C$165=Otras_Actividades_Base[Movimiento])*($F177=Otras_Actividades_Base[Cuenta Contable])*(Q$1=Otras_Actividades_Base[Mes Financiero])*(Q$2=Otras_Actividades_Base[Año Financiero])*(Otras_Actividades_Base[Financiero U$S Dólares]))</f>
        <v>0</v>
      </c>
      <c r="R177" s="103">
        <f>SUMPRODUCT(($C$165=Otras_Actividades_Base[Movimiento])*($F177=Otras_Actividades_Base[Cuenta Contable])*(R$1=Otras_Actividades_Base[Mes Financiero])*(R$2=Otras_Actividades_Base[Año Financiero])*(Otras_Actividades_Base[Financiero U$S Dólares]))</f>
        <v>0</v>
      </c>
      <c r="S177" s="104">
        <f>SUMPRODUCT(($C$165=Otras_Actividades_Base[Movimiento])*($F177=Otras_Actividades_Base[Cuenta Contable])*(S$1=Otras_Actividades_Base[Mes Financiero])*(S$2=Otras_Actividades_Base[Año Financiero])*(Otras_Actividades_Base[Financiero U$S Dólares]))</f>
        <v>0</v>
      </c>
      <c r="T177" s="103">
        <f>SUMPRODUCT(($C$165=Otras_Actividades_Base[Movimiento])*($F177=Otras_Actividades_Base[Cuenta Contable])*(T$1=Otras_Actividades_Base[Mes Financiero])*(T$2=Otras_Actividades_Base[Año Financiero])*(Otras_Actividades_Base[Financiero U$S Dólares]))</f>
        <v>0</v>
      </c>
      <c r="U177" s="104">
        <f>SUMPRODUCT(($C$165=Otras_Actividades_Base[Movimiento])*($F177=Otras_Actividades_Base[Cuenta Contable])*(U$1=Otras_Actividades_Base[Mes Financiero])*(U$2=Otras_Actividades_Base[Año Financiero])*(Otras_Actividades_Base[Financiero U$S Dólares]))</f>
        <v>0</v>
      </c>
      <c r="V177" s="103">
        <f>SUMPRODUCT(($C$165=Otras_Actividades_Base[Movimiento])*($F177=Otras_Actividades_Base[Cuenta Contable])*(V$1=Otras_Actividades_Base[Mes Financiero])*(V$2=Otras_Actividades_Base[Año Financiero])*(Otras_Actividades_Base[Financiero U$S Dólares]))</f>
        <v>0</v>
      </c>
      <c r="W177" s="104">
        <f>SUMPRODUCT(($C$165=Otras_Actividades_Base[Movimiento])*($F177=Otras_Actividades_Base[Cuenta Contable])*(W$1=Otras_Actividades_Base[Mes Financiero])*(W$2=Otras_Actividades_Base[Año Financiero])*(Otras_Actividades_Base[Financiero U$S Dólares]))</f>
        <v>0</v>
      </c>
      <c r="X177" s="103">
        <f>SUMPRODUCT(($C$165=Otras_Actividades_Base[Movimiento])*($F177=Otras_Actividades_Base[Cuenta Contable])*(X$1=Otras_Actividades_Base[Mes Financiero])*(X$2=Otras_Actividades_Base[Año Financiero])*(Otras_Actividades_Base[Financiero U$S Dólares]))</f>
        <v>0</v>
      </c>
      <c r="Y177" s="104">
        <f>SUMPRODUCT(($C$165=Otras_Actividades_Base[Movimiento])*($F177=Otras_Actividades_Base[Cuenta Contable])*(Y$1=Otras_Actividades_Base[Mes Financiero])*(Y$2=Otras_Actividades_Base[Año Financiero])*(Otras_Actividades_Base[Financiero U$S Dólares]))</f>
        <v>0</v>
      </c>
      <c r="Z177" s="144">
        <f t="shared" si="32"/>
        <v>0</v>
      </c>
      <c r="AC177" s="174">
        <f>SUMPRODUCT((F177=Costos_Indirectos_Cuentas[Cuenta Contable])*(Costos_Indirectos_Cuentas[IVA]))</f>
        <v>0</v>
      </c>
      <c r="AD177" s="174">
        <f>SUMPRODUCT((G177=Costos_Indirectos_Cuentas[Cuenta Contable])*(Costos_Indirectos_Cuentas[IVA]))</f>
        <v>0</v>
      </c>
    </row>
    <row r="178" spans="2:30" hidden="1" outlineLevel="1" x14ac:dyDescent="0.25">
      <c r="E178" s="221">
        <f>IFERROR(MATCH(F178,Otras_Actividades_Cuentas[Cuenta Contable],0),0)</f>
        <v>10</v>
      </c>
      <c r="F178" s="10" t="str">
        <f>Configuración!BY14</f>
        <v>Gastos de Oficina</v>
      </c>
      <c r="H178" s="103">
        <f>SUMPRODUCT(($C$165=Otras_Actividades_Base[Movimiento])*($F178=Otras_Actividades_Base[Cuenta Contable])*(H$1=Otras_Actividades_Base[Mes Financiero])*(H$2=Otras_Actividades_Base[Año Financiero])*(Otras_Actividades_Base[Financiero U$S Dólares]))</f>
        <v>0</v>
      </c>
      <c r="I178" s="104">
        <f>SUMPRODUCT(($C$165=Otras_Actividades_Base[Movimiento])*($F178=Otras_Actividades_Base[Cuenta Contable])*(I$1=Otras_Actividades_Base[Mes Financiero])*(I$2=Otras_Actividades_Base[Año Financiero])*(Otras_Actividades_Base[Financiero U$S Dólares]))</f>
        <v>0</v>
      </c>
      <c r="J178" s="103">
        <f>SUMPRODUCT(($C$165=Otras_Actividades_Base[Movimiento])*($F178=Otras_Actividades_Base[Cuenta Contable])*(J$1=Otras_Actividades_Base[Mes Financiero])*(J$2=Otras_Actividades_Base[Año Financiero])*(Otras_Actividades_Base[Financiero U$S Dólares]))</f>
        <v>0</v>
      </c>
      <c r="K178" s="104">
        <f>SUMPRODUCT(($C$165=Otras_Actividades_Base[Movimiento])*($F178=Otras_Actividades_Base[Cuenta Contable])*(K$1=Otras_Actividades_Base[Mes Financiero])*(K$2=Otras_Actividades_Base[Año Financiero])*(Otras_Actividades_Base[Financiero U$S Dólares]))</f>
        <v>0</v>
      </c>
      <c r="L178" s="103">
        <f>SUMPRODUCT(($C$165=Otras_Actividades_Base[Movimiento])*($F178=Otras_Actividades_Base[Cuenta Contable])*(L$1=Otras_Actividades_Base[Mes Financiero])*(L$2=Otras_Actividades_Base[Año Financiero])*(Otras_Actividades_Base[Financiero U$S Dólares]))</f>
        <v>0</v>
      </c>
      <c r="M178" s="104">
        <f>SUMPRODUCT(($C$165=Otras_Actividades_Base[Movimiento])*($F178=Otras_Actividades_Base[Cuenta Contable])*(M$1=Otras_Actividades_Base[Mes Financiero])*(M$2=Otras_Actividades_Base[Año Financiero])*(Otras_Actividades_Base[Financiero U$S Dólares]))</f>
        <v>0</v>
      </c>
      <c r="N178" s="103">
        <f>SUMPRODUCT(($C$165=Otras_Actividades_Base[Movimiento])*($F178=Otras_Actividades_Base[Cuenta Contable])*(N$1=Otras_Actividades_Base[Mes Financiero])*(N$2=Otras_Actividades_Base[Año Financiero])*(Otras_Actividades_Base[Financiero U$S Dólares]))</f>
        <v>0</v>
      </c>
      <c r="O178" s="104">
        <f>SUMPRODUCT(($C$165=Otras_Actividades_Base[Movimiento])*($F178=Otras_Actividades_Base[Cuenta Contable])*(O$1=Otras_Actividades_Base[Mes Financiero])*(O$2=Otras_Actividades_Base[Año Financiero])*(Otras_Actividades_Base[Financiero U$S Dólares]))</f>
        <v>0</v>
      </c>
      <c r="P178" s="103">
        <f>SUMPRODUCT(($C$165=Otras_Actividades_Base[Movimiento])*($F178=Otras_Actividades_Base[Cuenta Contable])*(P$1=Otras_Actividades_Base[Mes Financiero])*(P$2=Otras_Actividades_Base[Año Financiero])*(Otras_Actividades_Base[Financiero U$S Dólares]))</f>
        <v>0</v>
      </c>
      <c r="Q178" s="104">
        <f>SUMPRODUCT(($C$165=Otras_Actividades_Base[Movimiento])*($F178=Otras_Actividades_Base[Cuenta Contable])*(Q$1=Otras_Actividades_Base[Mes Financiero])*(Q$2=Otras_Actividades_Base[Año Financiero])*(Otras_Actividades_Base[Financiero U$S Dólares]))</f>
        <v>0</v>
      </c>
      <c r="R178" s="103">
        <f>SUMPRODUCT(($C$165=Otras_Actividades_Base[Movimiento])*($F178=Otras_Actividades_Base[Cuenta Contable])*(R$1=Otras_Actividades_Base[Mes Financiero])*(R$2=Otras_Actividades_Base[Año Financiero])*(Otras_Actividades_Base[Financiero U$S Dólares]))</f>
        <v>0</v>
      </c>
      <c r="S178" s="104">
        <f>SUMPRODUCT(($C$165=Otras_Actividades_Base[Movimiento])*($F178=Otras_Actividades_Base[Cuenta Contable])*(S$1=Otras_Actividades_Base[Mes Financiero])*(S$2=Otras_Actividades_Base[Año Financiero])*(Otras_Actividades_Base[Financiero U$S Dólares]))</f>
        <v>0</v>
      </c>
      <c r="T178" s="103">
        <f>SUMPRODUCT(($C$165=Otras_Actividades_Base[Movimiento])*($F178=Otras_Actividades_Base[Cuenta Contable])*(T$1=Otras_Actividades_Base[Mes Financiero])*(T$2=Otras_Actividades_Base[Año Financiero])*(Otras_Actividades_Base[Financiero U$S Dólares]))</f>
        <v>0</v>
      </c>
      <c r="U178" s="104">
        <f>SUMPRODUCT(($C$165=Otras_Actividades_Base[Movimiento])*($F178=Otras_Actividades_Base[Cuenta Contable])*(U$1=Otras_Actividades_Base[Mes Financiero])*(U$2=Otras_Actividades_Base[Año Financiero])*(Otras_Actividades_Base[Financiero U$S Dólares]))</f>
        <v>0</v>
      </c>
      <c r="V178" s="103">
        <f>SUMPRODUCT(($C$165=Otras_Actividades_Base[Movimiento])*($F178=Otras_Actividades_Base[Cuenta Contable])*(V$1=Otras_Actividades_Base[Mes Financiero])*(V$2=Otras_Actividades_Base[Año Financiero])*(Otras_Actividades_Base[Financiero U$S Dólares]))</f>
        <v>0</v>
      </c>
      <c r="W178" s="104">
        <f>SUMPRODUCT(($C$165=Otras_Actividades_Base[Movimiento])*($F178=Otras_Actividades_Base[Cuenta Contable])*(W$1=Otras_Actividades_Base[Mes Financiero])*(W$2=Otras_Actividades_Base[Año Financiero])*(Otras_Actividades_Base[Financiero U$S Dólares]))</f>
        <v>0</v>
      </c>
      <c r="X178" s="103">
        <f>SUMPRODUCT(($C$165=Otras_Actividades_Base[Movimiento])*($F178=Otras_Actividades_Base[Cuenta Contable])*(X$1=Otras_Actividades_Base[Mes Financiero])*(X$2=Otras_Actividades_Base[Año Financiero])*(Otras_Actividades_Base[Financiero U$S Dólares]))</f>
        <v>0</v>
      </c>
      <c r="Y178" s="104">
        <f>SUMPRODUCT(($C$165=Otras_Actividades_Base[Movimiento])*($F178=Otras_Actividades_Base[Cuenta Contable])*(Y$1=Otras_Actividades_Base[Mes Financiero])*(Y$2=Otras_Actividades_Base[Año Financiero])*(Otras_Actividades_Base[Financiero U$S Dólares]))</f>
        <v>0</v>
      </c>
      <c r="Z178" s="144">
        <f t="shared" si="32"/>
        <v>0</v>
      </c>
      <c r="AC178" s="174">
        <f>SUMPRODUCT((F178=Costos_Indirectos_Cuentas[Cuenta Contable])*(Costos_Indirectos_Cuentas[IVA]))</f>
        <v>0.21</v>
      </c>
      <c r="AD178" s="174">
        <f>SUMPRODUCT((G178=Costos_Indirectos_Cuentas[Cuenta Contable])*(Costos_Indirectos_Cuentas[IVA]))</f>
        <v>0</v>
      </c>
    </row>
    <row r="179" spans="2:30" hidden="1" outlineLevel="1" x14ac:dyDescent="0.25">
      <c r="E179" s="221">
        <f>IFERROR(MATCH(F179,Otras_Actividades_Cuentas[Cuenta Contable],0),0)</f>
        <v>11</v>
      </c>
      <c r="F179" s="10" t="str">
        <f>Configuración!BY15</f>
        <v>Conservación de Mejoras</v>
      </c>
      <c r="H179" s="103">
        <f>SUMPRODUCT(($C$165=Otras_Actividades_Base[Movimiento])*($F179=Otras_Actividades_Base[Cuenta Contable])*(H$1=Otras_Actividades_Base[Mes Financiero])*(H$2=Otras_Actividades_Base[Año Financiero])*(Otras_Actividades_Base[Financiero U$S Dólares]))</f>
        <v>0</v>
      </c>
      <c r="I179" s="104">
        <f>SUMPRODUCT(($C$165=Otras_Actividades_Base[Movimiento])*($F179=Otras_Actividades_Base[Cuenta Contable])*(I$1=Otras_Actividades_Base[Mes Financiero])*(I$2=Otras_Actividades_Base[Año Financiero])*(Otras_Actividades_Base[Financiero U$S Dólares]))</f>
        <v>0</v>
      </c>
      <c r="J179" s="103">
        <f>SUMPRODUCT(($C$165=Otras_Actividades_Base[Movimiento])*($F179=Otras_Actividades_Base[Cuenta Contable])*(J$1=Otras_Actividades_Base[Mes Financiero])*(J$2=Otras_Actividades_Base[Año Financiero])*(Otras_Actividades_Base[Financiero U$S Dólares]))</f>
        <v>0</v>
      </c>
      <c r="K179" s="104">
        <f>SUMPRODUCT(($C$165=Otras_Actividades_Base[Movimiento])*($F179=Otras_Actividades_Base[Cuenta Contable])*(K$1=Otras_Actividades_Base[Mes Financiero])*(K$2=Otras_Actividades_Base[Año Financiero])*(Otras_Actividades_Base[Financiero U$S Dólares]))</f>
        <v>0</v>
      </c>
      <c r="L179" s="103">
        <f>SUMPRODUCT(($C$165=Otras_Actividades_Base[Movimiento])*($F179=Otras_Actividades_Base[Cuenta Contable])*(L$1=Otras_Actividades_Base[Mes Financiero])*(L$2=Otras_Actividades_Base[Año Financiero])*(Otras_Actividades_Base[Financiero U$S Dólares]))</f>
        <v>0</v>
      </c>
      <c r="M179" s="104">
        <f>SUMPRODUCT(($C$165=Otras_Actividades_Base[Movimiento])*($F179=Otras_Actividades_Base[Cuenta Contable])*(M$1=Otras_Actividades_Base[Mes Financiero])*(M$2=Otras_Actividades_Base[Año Financiero])*(Otras_Actividades_Base[Financiero U$S Dólares]))</f>
        <v>0</v>
      </c>
      <c r="N179" s="103">
        <f>SUMPRODUCT(($C$165=Otras_Actividades_Base[Movimiento])*($F179=Otras_Actividades_Base[Cuenta Contable])*(N$1=Otras_Actividades_Base[Mes Financiero])*(N$2=Otras_Actividades_Base[Año Financiero])*(Otras_Actividades_Base[Financiero U$S Dólares]))</f>
        <v>0</v>
      </c>
      <c r="O179" s="104">
        <f>SUMPRODUCT(($C$165=Otras_Actividades_Base[Movimiento])*($F179=Otras_Actividades_Base[Cuenta Contable])*(O$1=Otras_Actividades_Base[Mes Financiero])*(O$2=Otras_Actividades_Base[Año Financiero])*(Otras_Actividades_Base[Financiero U$S Dólares]))</f>
        <v>0</v>
      </c>
      <c r="P179" s="103">
        <f>SUMPRODUCT(($C$165=Otras_Actividades_Base[Movimiento])*($F179=Otras_Actividades_Base[Cuenta Contable])*(P$1=Otras_Actividades_Base[Mes Financiero])*(P$2=Otras_Actividades_Base[Año Financiero])*(Otras_Actividades_Base[Financiero U$S Dólares]))</f>
        <v>0</v>
      </c>
      <c r="Q179" s="104">
        <f>SUMPRODUCT(($C$165=Otras_Actividades_Base[Movimiento])*($F179=Otras_Actividades_Base[Cuenta Contable])*(Q$1=Otras_Actividades_Base[Mes Financiero])*(Q$2=Otras_Actividades_Base[Año Financiero])*(Otras_Actividades_Base[Financiero U$S Dólares]))</f>
        <v>0</v>
      </c>
      <c r="R179" s="103">
        <f>SUMPRODUCT(($C$165=Otras_Actividades_Base[Movimiento])*($F179=Otras_Actividades_Base[Cuenta Contable])*(R$1=Otras_Actividades_Base[Mes Financiero])*(R$2=Otras_Actividades_Base[Año Financiero])*(Otras_Actividades_Base[Financiero U$S Dólares]))</f>
        <v>0</v>
      </c>
      <c r="S179" s="104">
        <f>SUMPRODUCT(($C$165=Otras_Actividades_Base[Movimiento])*($F179=Otras_Actividades_Base[Cuenta Contable])*(S$1=Otras_Actividades_Base[Mes Financiero])*(S$2=Otras_Actividades_Base[Año Financiero])*(Otras_Actividades_Base[Financiero U$S Dólares]))</f>
        <v>0</v>
      </c>
      <c r="T179" s="103">
        <f>SUMPRODUCT(($C$165=Otras_Actividades_Base[Movimiento])*($F179=Otras_Actividades_Base[Cuenta Contable])*(T$1=Otras_Actividades_Base[Mes Financiero])*(T$2=Otras_Actividades_Base[Año Financiero])*(Otras_Actividades_Base[Financiero U$S Dólares]))</f>
        <v>0</v>
      </c>
      <c r="U179" s="104">
        <f>SUMPRODUCT(($C$165=Otras_Actividades_Base[Movimiento])*($F179=Otras_Actividades_Base[Cuenta Contable])*(U$1=Otras_Actividades_Base[Mes Financiero])*(U$2=Otras_Actividades_Base[Año Financiero])*(Otras_Actividades_Base[Financiero U$S Dólares]))</f>
        <v>0</v>
      </c>
      <c r="V179" s="103">
        <f>SUMPRODUCT(($C$165=Otras_Actividades_Base[Movimiento])*($F179=Otras_Actividades_Base[Cuenta Contable])*(V$1=Otras_Actividades_Base[Mes Financiero])*(V$2=Otras_Actividades_Base[Año Financiero])*(Otras_Actividades_Base[Financiero U$S Dólares]))</f>
        <v>0</v>
      </c>
      <c r="W179" s="104">
        <f>SUMPRODUCT(($C$165=Otras_Actividades_Base[Movimiento])*($F179=Otras_Actividades_Base[Cuenta Contable])*(W$1=Otras_Actividades_Base[Mes Financiero])*(W$2=Otras_Actividades_Base[Año Financiero])*(Otras_Actividades_Base[Financiero U$S Dólares]))</f>
        <v>0</v>
      </c>
      <c r="X179" s="103">
        <f>SUMPRODUCT(($C$165=Otras_Actividades_Base[Movimiento])*($F179=Otras_Actividades_Base[Cuenta Contable])*(X$1=Otras_Actividades_Base[Mes Financiero])*(X$2=Otras_Actividades_Base[Año Financiero])*(Otras_Actividades_Base[Financiero U$S Dólares]))</f>
        <v>0</v>
      </c>
      <c r="Y179" s="104">
        <f>SUMPRODUCT(($C$165=Otras_Actividades_Base[Movimiento])*($F179=Otras_Actividades_Base[Cuenta Contable])*(Y$1=Otras_Actividades_Base[Mes Financiero])*(Y$2=Otras_Actividades_Base[Año Financiero])*(Otras_Actividades_Base[Financiero U$S Dólares]))</f>
        <v>0</v>
      </c>
      <c r="Z179" s="144">
        <f t="shared" si="32"/>
        <v>0</v>
      </c>
      <c r="AC179" s="174">
        <f>SUMPRODUCT((F179=Costos_Indirectos_Cuentas[Cuenta Contable])*(Costos_Indirectos_Cuentas[IVA]))</f>
        <v>0.21</v>
      </c>
      <c r="AD179" s="174">
        <f>SUMPRODUCT((G179=Costos_Indirectos_Cuentas[Cuenta Contable])*(Costos_Indirectos_Cuentas[IVA]))</f>
        <v>0</v>
      </c>
    </row>
    <row r="180" spans="2:30" hidden="1" outlineLevel="1" x14ac:dyDescent="0.25">
      <c r="E180" s="221">
        <f>IFERROR(MATCH(F180,Otras_Actividades_Cuentas[Cuenta Contable],0),0)</f>
        <v>12</v>
      </c>
      <c r="F180" s="10" t="str">
        <f>Configuración!BY16</f>
        <v>Impuestos Nacionales</v>
      </c>
      <c r="H180" s="103">
        <f>SUMPRODUCT(($C$165=Otras_Actividades_Base[Movimiento])*($F180=Otras_Actividades_Base[Cuenta Contable])*(H$1=Otras_Actividades_Base[Mes Financiero])*(H$2=Otras_Actividades_Base[Año Financiero])*(Otras_Actividades_Base[Financiero U$S Dólares]))</f>
        <v>0</v>
      </c>
      <c r="I180" s="104">
        <f>SUMPRODUCT(($C$165=Otras_Actividades_Base[Movimiento])*($F180=Otras_Actividades_Base[Cuenta Contable])*(I$1=Otras_Actividades_Base[Mes Financiero])*(I$2=Otras_Actividades_Base[Año Financiero])*(Otras_Actividades_Base[Financiero U$S Dólares]))</f>
        <v>0</v>
      </c>
      <c r="J180" s="103">
        <f>SUMPRODUCT(($C$165=Otras_Actividades_Base[Movimiento])*($F180=Otras_Actividades_Base[Cuenta Contable])*(J$1=Otras_Actividades_Base[Mes Financiero])*(J$2=Otras_Actividades_Base[Año Financiero])*(Otras_Actividades_Base[Financiero U$S Dólares]))</f>
        <v>0</v>
      </c>
      <c r="K180" s="104">
        <f>SUMPRODUCT(($C$165=Otras_Actividades_Base[Movimiento])*($F180=Otras_Actividades_Base[Cuenta Contable])*(K$1=Otras_Actividades_Base[Mes Financiero])*(K$2=Otras_Actividades_Base[Año Financiero])*(Otras_Actividades_Base[Financiero U$S Dólares]))</f>
        <v>0</v>
      </c>
      <c r="L180" s="103">
        <f>SUMPRODUCT(($C$165=Otras_Actividades_Base[Movimiento])*($F180=Otras_Actividades_Base[Cuenta Contable])*(L$1=Otras_Actividades_Base[Mes Financiero])*(L$2=Otras_Actividades_Base[Año Financiero])*(Otras_Actividades_Base[Financiero U$S Dólares]))</f>
        <v>0</v>
      </c>
      <c r="M180" s="104">
        <f>SUMPRODUCT(($C$165=Otras_Actividades_Base[Movimiento])*($F180=Otras_Actividades_Base[Cuenta Contable])*(M$1=Otras_Actividades_Base[Mes Financiero])*(M$2=Otras_Actividades_Base[Año Financiero])*(Otras_Actividades_Base[Financiero U$S Dólares]))</f>
        <v>0</v>
      </c>
      <c r="N180" s="103">
        <f>SUMPRODUCT(($C$165=Otras_Actividades_Base[Movimiento])*($F180=Otras_Actividades_Base[Cuenta Contable])*(N$1=Otras_Actividades_Base[Mes Financiero])*(N$2=Otras_Actividades_Base[Año Financiero])*(Otras_Actividades_Base[Financiero U$S Dólares]))</f>
        <v>0</v>
      </c>
      <c r="O180" s="104">
        <f>SUMPRODUCT(($C$165=Otras_Actividades_Base[Movimiento])*($F180=Otras_Actividades_Base[Cuenta Contable])*(O$1=Otras_Actividades_Base[Mes Financiero])*(O$2=Otras_Actividades_Base[Año Financiero])*(Otras_Actividades_Base[Financiero U$S Dólares]))</f>
        <v>0</v>
      </c>
      <c r="P180" s="103">
        <f>SUMPRODUCT(($C$165=Otras_Actividades_Base[Movimiento])*($F180=Otras_Actividades_Base[Cuenta Contable])*(P$1=Otras_Actividades_Base[Mes Financiero])*(P$2=Otras_Actividades_Base[Año Financiero])*(Otras_Actividades_Base[Financiero U$S Dólares]))</f>
        <v>0</v>
      </c>
      <c r="Q180" s="104">
        <f>SUMPRODUCT(($C$165=Otras_Actividades_Base[Movimiento])*($F180=Otras_Actividades_Base[Cuenta Contable])*(Q$1=Otras_Actividades_Base[Mes Financiero])*(Q$2=Otras_Actividades_Base[Año Financiero])*(Otras_Actividades_Base[Financiero U$S Dólares]))</f>
        <v>0</v>
      </c>
      <c r="R180" s="103">
        <f>SUMPRODUCT(($C$165=Otras_Actividades_Base[Movimiento])*($F180=Otras_Actividades_Base[Cuenta Contable])*(R$1=Otras_Actividades_Base[Mes Financiero])*(R$2=Otras_Actividades_Base[Año Financiero])*(Otras_Actividades_Base[Financiero U$S Dólares]))</f>
        <v>0</v>
      </c>
      <c r="S180" s="104">
        <f>SUMPRODUCT(($C$165=Otras_Actividades_Base[Movimiento])*($F180=Otras_Actividades_Base[Cuenta Contable])*(S$1=Otras_Actividades_Base[Mes Financiero])*(S$2=Otras_Actividades_Base[Año Financiero])*(Otras_Actividades_Base[Financiero U$S Dólares]))</f>
        <v>0</v>
      </c>
      <c r="T180" s="103">
        <f>SUMPRODUCT(($C$165=Otras_Actividades_Base[Movimiento])*($F180=Otras_Actividades_Base[Cuenta Contable])*(T$1=Otras_Actividades_Base[Mes Financiero])*(T$2=Otras_Actividades_Base[Año Financiero])*(Otras_Actividades_Base[Financiero U$S Dólares]))</f>
        <v>0</v>
      </c>
      <c r="U180" s="104">
        <f>SUMPRODUCT(($C$165=Otras_Actividades_Base[Movimiento])*($F180=Otras_Actividades_Base[Cuenta Contable])*(U$1=Otras_Actividades_Base[Mes Financiero])*(U$2=Otras_Actividades_Base[Año Financiero])*(Otras_Actividades_Base[Financiero U$S Dólares]))</f>
        <v>0</v>
      </c>
      <c r="V180" s="103">
        <f>SUMPRODUCT(($C$165=Otras_Actividades_Base[Movimiento])*($F180=Otras_Actividades_Base[Cuenta Contable])*(V$1=Otras_Actividades_Base[Mes Financiero])*(V$2=Otras_Actividades_Base[Año Financiero])*(Otras_Actividades_Base[Financiero U$S Dólares]))</f>
        <v>0</v>
      </c>
      <c r="W180" s="104">
        <f>SUMPRODUCT(($C$165=Otras_Actividades_Base[Movimiento])*($F180=Otras_Actividades_Base[Cuenta Contable])*(W$1=Otras_Actividades_Base[Mes Financiero])*(W$2=Otras_Actividades_Base[Año Financiero])*(Otras_Actividades_Base[Financiero U$S Dólares]))</f>
        <v>0</v>
      </c>
      <c r="X180" s="103">
        <f>SUMPRODUCT(($C$165=Otras_Actividades_Base[Movimiento])*($F180=Otras_Actividades_Base[Cuenta Contable])*(X$1=Otras_Actividades_Base[Mes Financiero])*(X$2=Otras_Actividades_Base[Año Financiero])*(Otras_Actividades_Base[Financiero U$S Dólares]))</f>
        <v>0</v>
      </c>
      <c r="Y180" s="104">
        <f>SUMPRODUCT(($C$165=Otras_Actividades_Base[Movimiento])*($F180=Otras_Actividades_Base[Cuenta Contable])*(Y$1=Otras_Actividades_Base[Mes Financiero])*(Y$2=Otras_Actividades_Base[Año Financiero])*(Otras_Actividades_Base[Financiero U$S Dólares]))</f>
        <v>0</v>
      </c>
      <c r="Z180" s="144">
        <f t="shared" si="32"/>
        <v>0</v>
      </c>
      <c r="AC180" s="174">
        <f>SUMPRODUCT((F180=Costos_Indirectos_Cuentas[Cuenta Contable])*(Costos_Indirectos_Cuentas[IVA]))</f>
        <v>0</v>
      </c>
      <c r="AD180" s="174">
        <f>SUMPRODUCT((G180=Costos_Indirectos_Cuentas[Cuenta Contable])*(Costos_Indirectos_Cuentas[IVA]))</f>
        <v>0</v>
      </c>
    </row>
    <row r="181" spans="2:30" hidden="1" outlineLevel="1" x14ac:dyDescent="0.25">
      <c r="E181" s="221">
        <f>IFERROR(MATCH(F181,Otras_Actividades_Cuentas[Cuenta Contable],0),0)</f>
        <v>13</v>
      </c>
      <c r="F181" s="10" t="str">
        <f>Configuración!BY17</f>
        <v>Impuestos Provinciales</v>
      </c>
      <c r="H181" s="103">
        <f>SUMPRODUCT(($C$165=Otras_Actividades_Base[Movimiento])*($F181=Otras_Actividades_Base[Cuenta Contable])*(H$1=Otras_Actividades_Base[Mes Financiero])*(H$2=Otras_Actividades_Base[Año Financiero])*(Otras_Actividades_Base[Financiero U$S Dólares]))</f>
        <v>0</v>
      </c>
      <c r="I181" s="104">
        <f>SUMPRODUCT(($C$165=Otras_Actividades_Base[Movimiento])*($F181=Otras_Actividades_Base[Cuenta Contable])*(I$1=Otras_Actividades_Base[Mes Financiero])*(I$2=Otras_Actividades_Base[Año Financiero])*(Otras_Actividades_Base[Financiero U$S Dólares]))</f>
        <v>0</v>
      </c>
      <c r="J181" s="103">
        <f>SUMPRODUCT(($C$165=Otras_Actividades_Base[Movimiento])*($F181=Otras_Actividades_Base[Cuenta Contable])*(J$1=Otras_Actividades_Base[Mes Financiero])*(J$2=Otras_Actividades_Base[Año Financiero])*(Otras_Actividades_Base[Financiero U$S Dólares]))</f>
        <v>0</v>
      </c>
      <c r="K181" s="104">
        <f>SUMPRODUCT(($C$165=Otras_Actividades_Base[Movimiento])*($F181=Otras_Actividades_Base[Cuenta Contable])*(K$1=Otras_Actividades_Base[Mes Financiero])*(K$2=Otras_Actividades_Base[Año Financiero])*(Otras_Actividades_Base[Financiero U$S Dólares]))</f>
        <v>0</v>
      </c>
      <c r="L181" s="103">
        <f>SUMPRODUCT(($C$165=Otras_Actividades_Base[Movimiento])*($F181=Otras_Actividades_Base[Cuenta Contable])*(L$1=Otras_Actividades_Base[Mes Financiero])*(L$2=Otras_Actividades_Base[Año Financiero])*(Otras_Actividades_Base[Financiero U$S Dólares]))</f>
        <v>0</v>
      </c>
      <c r="M181" s="104">
        <f>SUMPRODUCT(($C$165=Otras_Actividades_Base[Movimiento])*($F181=Otras_Actividades_Base[Cuenta Contable])*(M$1=Otras_Actividades_Base[Mes Financiero])*(M$2=Otras_Actividades_Base[Año Financiero])*(Otras_Actividades_Base[Financiero U$S Dólares]))</f>
        <v>0</v>
      </c>
      <c r="N181" s="103">
        <f>SUMPRODUCT(($C$165=Otras_Actividades_Base[Movimiento])*($F181=Otras_Actividades_Base[Cuenta Contable])*(N$1=Otras_Actividades_Base[Mes Financiero])*(N$2=Otras_Actividades_Base[Año Financiero])*(Otras_Actividades_Base[Financiero U$S Dólares]))</f>
        <v>0</v>
      </c>
      <c r="O181" s="104">
        <f>SUMPRODUCT(($C$165=Otras_Actividades_Base[Movimiento])*($F181=Otras_Actividades_Base[Cuenta Contable])*(O$1=Otras_Actividades_Base[Mes Financiero])*(O$2=Otras_Actividades_Base[Año Financiero])*(Otras_Actividades_Base[Financiero U$S Dólares]))</f>
        <v>0</v>
      </c>
      <c r="P181" s="103">
        <f>SUMPRODUCT(($C$165=Otras_Actividades_Base[Movimiento])*($F181=Otras_Actividades_Base[Cuenta Contable])*(P$1=Otras_Actividades_Base[Mes Financiero])*(P$2=Otras_Actividades_Base[Año Financiero])*(Otras_Actividades_Base[Financiero U$S Dólares]))</f>
        <v>0</v>
      </c>
      <c r="Q181" s="104">
        <f>SUMPRODUCT(($C$165=Otras_Actividades_Base[Movimiento])*($F181=Otras_Actividades_Base[Cuenta Contable])*(Q$1=Otras_Actividades_Base[Mes Financiero])*(Q$2=Otras_Actividades_Base[Año Financiero])*(Otras_Actividades_Base[Financiero U$S Dólares]))</f>
        <v>0</v>
      </c>
      <c r="R181" s="103">
        <f>SUMPRODUCT(($C$165=Otras_Actividades_Base[Movimiento])*($F181=Otras_Actividades_Base[Cuenta Contable])*(R$1=Otras_Actividades_Base[Mes Financiero])*(R$2=Otras_Actividades_Base[Año Financiero])*(Otras_Actividades_Base[Financiero U$S Dólares]))</f>
        <v>0</v>
      </c>
      <c r="S181" s="104">
        <f>SUMPRODUCT(($C$165=Otras_Actividades_Base[Movimiento])*($F181=Otras_Actividades_Base[Cuenta Contable])*(S$1=Otras_Actividades_Base[Mes Financiero])*(S$2=Otras_Actividades_Base[Año Financiero])*(Otras_Actividades_Base[Financiero U$S Dólares]))</f>
        <v>0</v>
      </c>
      <c r="T181" s="103">
        <f>SUMPRODUCT(($C$165=Otras_Actividades_Base[Movimiento])*($F181=Otras_Actividades_Base[Cuenta Contable])*(T$1=Otras_Actividades_Base[Mes Financiero])*(T$2=Otras_Actividades_Base[Año Financiero])*(Otras_Actividades_Base[Financiero U$S Dólares]))</f>
        <v>0</v>
      </c>
      <c r="U181" s="104">
        <f>SUMPRODUCT(($C$165=Otras_Actividades_Base[Movimiento])*($F181=Otras_Actividades_Base[Cuenta Contable])*(U$1=Otras_Actividades_Base[Mes Financiero])*(U$2=Otras_Actividades_Base[Año Financiero])*(Otras_Actividades_Base[Financiero U$S Dólares]))</f>
        <v>0</v>
      </c>
      <c r="V181" s="103">
        <f>SUMPRODUCT(($C$165=Otras_Actividades_Base[Movimiento])*($F181=Otras_Actividades_Base[Cuenta Contable])*(V$1=Otras_Actividades_Base[Mes Financiero])*(V$2=Otras_Actividades_Base[Año Financiero])*(Otras_Actividades_Base[Financiero U$S Dólares]))</f>
        <v>0</v>
      </c>
      <c r="W181" s="104">
        <f>SUMPRODUCT(($C$165=Otras_Actividades_Base[Movimiento])*($F181=Otras_Actividades_Base[Cuenta Contable])*(W$1=Otras_Actividades_Base[Mes Financiero])*(W$2=Otras_Actividades_Base[Año Financiero])*(Otras_Actividades_Base[Financiero U$S Dólares]))</f>
        <v>0</v>
      </c>
      <c r="X181" s="103">
        <f>SUMPRODUCT(($C$165=Otras_Actividades_Base[Movimiento])*($F181=Otras_Actividades_Base[Cuenta Contable])*(X$1=Otras_Actividades_Base[Mes Financiero])*(X$2=Otras_Actividades_Base[Año Financiero])*(Otras_Actividades_Base[Financiero U$S Dólares]))</f>
        <v>0</v>
      </c>
      <c r="Y181" s="104">
        <f>SUMPRODUCT(($C$165=Otras_Actividades_Base[Movimiento])*($F181=Otras_Actividades_Base[Cuenta Contable])*(Y$1=Otras_Actividades_Base[Mes Financiero])*(Y$2=Otras_Actividades_Base[Año Financiero])*(Otras_Actividades_Base[Financiero U$S Dólares]))</f>
        <v>0</v>
      </c>
      <c r="Z181" s="144">
        <f t="shared" si="32"/>
        <v>0</v>
      </c>
      <c r="AC181" s="174">
        <f>SUMPRODUCT((F181=Costos_Indirectos_Cuentas[Cuenta Contable])*(Costos_Indirectos_Cuentas[IVA]))</f>
        <v>0</v>
      </c>
      <c r="AD181" s="174">
        <f>SUMPRODUCT((G181=Costos_Indirectos_Cuentas[Cuenta Contable])*(Costos_Indirectos_Cuentas[IVA]))</f>
        <v>0</v>
      </c>
    </row>
    <row r="182" spans="2:30" hidden="1" outlineLevel="1" x14ac:dyDescent="0.25">
      <c r="E182" s="221">
        <f>IFERROR(MATCH(F182,Otras_Actividades_Cuentas[Cuenta Contable],0),0)</f>
        <v>14</v>
      </c>
      <c r="F182" s="10" t="str">
        <f>Configuración!BY18</f>
        <v>Tasas y Servicios Municipales</v>
      </c>
      <c r="H182" s="103">
        <f>SUMPRODUCT(($C$165=Otras_Actividades_Base[Movimiento])*($F182=Otras_Actividades_Base[Cuenta Contable])*(H$1=Otras_Actividades_Base[Mes Financiero])*(H$2=Otras_Actividades_Base[Año Financiero])*(Otras_Actividades_Base[Financiero U$S Dólares]))</f>
        <v>0</v>
      </c>
      <c r="I182" s="104">
        <f>SUMPRODUCT(($C$165=Otras_Actividades_Base[Movimiento])*($F182=Otras_Actividades_Base[Cuenta Contable])*(I$1=Otras_Actividades_Base[Mes Financiero])*(I$2=Otras_Actividades_Base[Año Financiero])*(Otras_Actividades_Base[Financiero U$S Dólares]))</f>
        <v>0</v>
      </c>
      <c r="J182" s="103">
        <f>SUMPRODUCT(($C$165=Otras_Actividades_Base[Movimiento])*($F182=Otras_Actividades_Base[Cuenta Contable])*(J$1=Otras_Actividades_Base[Mes Financiero])*(J$2=Otras_Actividades_Base[Año Financiero])*(Otras_Actividades_Base[Financiero U$S Dólares]))</f>
        <v>0</v>
      </c>
      <c r="K182" s="104">
        <f>SUMPRODUCT(($C$165=Otras_Actividades_Base[Movimiento])*($F182=Otras_Actividades_Base[Cuenta Contable])*(K$1=Otras_Actividades_Base[Mes Financiero])*(K$2=Otras_Actividades_Base[Año Financiero])*(Otras_Actividades_Base[Financiero U$S Dólares]))</f>
        <v>0</v>
      </c>
      <c r="L182" s="103">
        <f>SUMPRODUCT(($C$165=Otras_Actividades_Base[Movimiento])*($F182=Otras_Actividades_Base[Cuenta Contable])*(L$1=Otras_Actividades_Base[Mes Financiero])*(L$2=Otras_Actividades_Base[Año Financiero])*(Otras_Actividades_Base[Financiero U$S Dólares]))</f>
        <v>0</v>
      </c>
      <c r="M182" s="104">
        <f>SUMPRODUCT(($C$165=Otras_Actividades_Base[Movimiento])*($F182=Otras_Actividades_Base[Cuenta Contable])*(M$1=Otras_Actividades_Base[Mes Financiero])*(M$2=Otras_Actividades_Base[Año Financiero])*(Otras_Actividades_Base[Financiero U$S Dólares]))</f>
        <v>0</v>
      </c>
      <c r="N182" s="103">
        <f>SUMPRODUCT(($C$165=Otras_Actividades_Base[Movimiento])*($F182=Otras_Actividades_Base[Cuenta Contable])*(N$1=Otras_Actividades_Base[Mes Financiero])*(N$2=Otras_Actividades_Base[Año Financiero])*(Otras_Actividades_Base[Financiero U$S Dólares]))</f>
        <v>0</v>
      </c>
      <c r="O182" s="104">
        <f>SUMPRODUCT(($C$165=Otras_Actividades_Base[Movimiento])*($F182=Otras_Actividades_Base[Cuenta Contable])*(O$1=Otras_Actividades_Base[Mes Financiero])*(O$2=Otras_Actividades_Base[Año Financiero])*(Otras_Actividades_Base[Financiero U$S Dólares]))</f>
        <v>0</v>
      </c>
      <c r="P182" s="103">
        <f>SUMPRODUCT(($C$165=Otras_Actividades_Base[Movimiento])*($F182=Otras_Actividades_Base[Cuenta Contable])*(P$1=Otras_Actividades_Base[Mes Financiero])*(P$2=Otras_Actividades_Base[Año Financiero])*(Otras_Actividades_Base[Financiero U$S Dólares]))</f>
        <v>0</v>
      </c>
      <c r="Q182" s="104">
        <f>SUMPRODUCT(($C$165=Otras_Actividades_Base[Movimiento])*($F182=Otras_Actividades_Base[Cuenta Contable])*(Q$1=Otras_Actividades_Base[Mes Financiero])*(Q$2=Otras_Actividades_Base[Año Financiero])*(Otras_Actividades_Base[Financiero U$S Dólares]))</f>
        <v>0</v>
      </c>
      <c r="R182" s="103">
        <f>SUMPRODUCT(($C$165=Otras_Actividades_Base[Movimiento])*($F182=Otras_Actividades_Base[Cuenta Contable])*(R$1=Otras_Actividades_Base[Mes Financiero])*(R$2=Otras_Actividades_Base[Año Financiero])*(Otras_Actividades_Base[Financiero U$S Dólares]))</f>
        <v>0</v>
      </c>
      <c r="S182" s="104">
        <f>SUMPRODUCT(($C$165=Otras_Actividades_Base[Movimiento])*($F182=Otras_Actividades_Base[Cuenta Contable])*(S$1=Otras_Actividades_Base[Mes Financiero])*(S$2=Otras_Actividades_Base[Año Financiero])*(Otras_Actividades_Base[Financiero U$S Dólares]))</f>
        <v>0</v>
      </c>
      <c r="T182" s="103">
        <f>SUMPRODUCT(($C$165=Otras_Actividades_Base[Movimiento])*($F182=Otras_Actividades_Base[Cuenta Contable])*(T$1=Otras_Actividades_Base[Mes Financiero])*(T$2=Otras_Actividades_Base[Año Financiero])*(Otras_Actividades_Base[Financiero U$S Dólares]))</f>
        <v>0</v>
      </c>
      <c r="U182" s="104">
        <f>SUMPRODUCT(($C$165=Otras_Actividades_Base[Movimiento])*($F182=Otras_Actividades_Base[Cuenta Contable])*(U$1=Otras_Actividades_Base[Mes Financiero])*(U$2=Otras_Actividades_Base[Año Financiero])*(Otras_Actividades_Base[Financiero U$S Dólares]))</f>
        <v>0</v>
      </c>
      <c r="V182" s="103">
        <f>SUMPRODUCT(($C$165=Otras_Actividades_Base[Movimiento])*($F182=Otras_Actividades_Base[Cuenta Contable])*(V$1=Otras_Actividades_Base[Mes Financiero])*(V$2=Otras_Actividades_Base[Año Financiero])*(Otras_Actividades_Base[Financiero U$S Dólares]))</f>
        <v>0</v>
      </c>
      <c r="W182" s="104">
        <f>SUMPRODUCT(($C$165=Otras_Actividades_Base[Movimiento])*($F182=Otras_Actividades_Base[Cuenta Contable])*(W$1=Otras_Actividades_Base[Mes Financiero])*(W$2=Otras_Actividades_Base[Año Financiero])*(Otras_Actividades_Base[Financiero U$S Dólares]))</f>
        <v>0</v>
      </c>
      <c r="X182" s="103">
        <f>SUMPRODUCT(($C$165=Otras_Actividades_Base[Movimiento])*($F182=Otras_Actividades_Base[Cuenta Contable])*(X$1=Otras_Actividades_Base[Mes Financiero])*(X$2=Otras_Actividades_Base[Año Financiero])*(Otras_Actividades_Base[Financiero U$S Dólares]))</f>
        <v>0</v>
      </c>
      <c r="Y182" s="104">
        <f>SUMPRODUCT(($C$165=Otras_Actividades_Base[Movimiento])*($F182=Otras_Actividades_Base[Cuenta Contable])*(Y$1=Otras_Actividades_Base[Mes Financiero])*(Y$2=Otras_Actividades_Base[Año Financiero])*(Otras_Actividades_Base[Financiero U$S Dólares]))</f>
        <v>0</v>
      </c>
      <c r="Z182" s="144">
        <f t="shared" si="32"/>
        <v>0</v>
      </c>
      <c r="AC182" s="174">
        <f>SUMPRODUCT((F182=Costos_Indirectos_Cuentas[Cuenta Contable])*(Costos_Indirectos_Cuentas[IVA]))</f>
        <v>0</v>
      </c>
      <c r="AD182" s="174">
        <f>SUMPRODUCT((G182=Costos_Indirectos_Cuentas[Cuenta Contable])*(Costos_Indirectos_Cuentas[IVA]))</f>
        <v>0</v>
      </c>
    </row>
    <row r="183" spans="2:30" hidden="1" outlineLevel="1" x14ac:dyDescent="0.25">
      <c r="B183" s="166" t="s">
        <v>101</v>
      </c>
      <c r="E183" s="221">
        <f>IFERROR(MATCH(F183,Otras_Actividades_Cuentas[Cuenta Contable],0),0)</f>
        <v>0</v>
      </c>
      <c r="H183" s="103">
        <f>SUMPRODUCT(($C$165=Otras_Actividades_Base[Movimiento])*($F183=Otras_Actividades_Base[Cuenta Contable])*(H$1=Otras_Actividades_Base[Mes Financiero])*(H$2=Otras_Actividades_Base[Año Financiero])*(Otras_Actividades_Base[Financiero U$S Dólares]))</f>
        <v>0</v>
      </c>
      <c r="I183" s="104">
        <f>SUMPRODUCT(($C$165=Otras_Actividades_Base[Movimiento])*($F183=Otras_Actividades_Base[Cuenta Contable])*(I$1=Otras_Actividades_Base[Mes Financiero])*(I$2=Otras_Actividades_Base[Año Financiero])*(Otras_Actividades_Base[Financiero U$S Dólares]))</f>
        <v>0</v>
      </c>
      <c r="J183" s="103">
        <f>SUMPRODUCT(($C$165=Otras_Actividades_Base[Movimiento])*($F183=Otras_Actividades_Base[Cuenta Contable])*(J$1=Otras_Actividades_Base[Mes Financiero])*(J$2=Otras_Actividades_Base[Año Financiero])*(Otras_Actividades_Base[Financiero U$S Dólares]))</f>
        <v>0</v>
      </c>
      <c r="K183" s="104">
        <f>SUMPRODUCT(($C$165=Otras_Actividades_Base[Movimiento])*($F183=Otras_Actividades_Base[Cuenta Contable])*(K$1=Otras_Actividades_Base[Mes Financiero])*(K$2=Otras_Actividades_Base[Año Financiero])*(Otras_Actividades_Base[Financiero U$S Dólares]))</f>
        <v>0</v>
      </c>
      <c r="L183" s="103">
        <f>SUMPRODUCT(($C$165=Otras_Actividades_Base[Movimiento])*($F183=Otras_Actividades_Base[Cuenta Contable])*(L$1=Otras_Actividades_Base[Mes Financiero])*(L$2=Otras_Actividades_Base[Año Financiero])*(Otras_Actividades_Base[Financiero U$S Dólares]))</f>
        <v>0</v>
      </c>
      <c r="M183" s="104">
        <f>SUMPRODUCT(($C$165=Otras_Actividades_Base[Movimiento])*($F183=Otras_Actividades_Base[Cuenta Contable])*(M$1=Otras_Actividades_Base[Mes Financiero])*(M$2=Otras_Actividades_Base[Año Financiero])*(Otras_Actividades_Base[Financiero U$S Dólares]))</f>
        <v>0</v>
      </c>
      <c r="N183" s="103">
        <f>SUMPRODUCT(($C$165=Otras_Actividades_Base[Movimiento])*($F183=Otras_Actividades_Base[Cuenta Contable])*(N$1=Otras_Actividades_Base[Mes Financiero])*(N$2=Otras_Actividades_Base[Año Financiero])*(Otras_Actividades_Base[Financiero U$S Dólares]))</f>
        <v>0</v>
      </c>
      <c r="O183" s="104">
        <f>SUMPRODUCT(($C$165=Otras_Actividades_Base[Movimiento])*($F183=Otras_Actividades_Base[Cuenta Contable])*(O$1=Otras_Actividades_Base[Mes Financiero])*(O$2=Otras_Actividades_Base[Año Financiero])*(Otras_Actividades_Base[Financiero U$S Dólares]))</f>
        <v>0</v>
      </c>
      <c r="P183" s="103">
        <f>SUMPRODUCT(($C$165=Otras_Actividades_Base[Movimiento])*($F183=Otras_Actividades_Base[Cuenta Contable])*(P$1=Otras_Actividades_Base[Mes Financiero])*(P$2=Otras_Actividades_Base[Año Financiero])*(Otras_Actividades_Base[Financiero U$S Dólares]))</f>
        <v>0</v>
      </c>
      <c r="Q183" s="104">
        <f>SUMPRODUCT(($C$165=Otras_Actividades_Base[Movimiento])*($F183=Otras_Actividades_Base[Cuenta Contable])*(Q$1=Otras_Actividades_Base[Mes Financiero])*(Q$2=Otras_Actividades_Base[Año Financiero])*(Otras_Actividades_Base[Financiero U$S Dólares]))</f>
        <v>0</v>
      </c>
      <c r="R183" s="103">
        <f>SUMPRODUCT(($C$165=Otras_Actividades_Base[Movimiento])*($F183=Otras_Actividades_Base[Cuenta Contable])*(R$1=Otras_Actividades_Base[Mes Financiero])*(R$2=Otras_Actividades_Base[Año Financiero])*(Otras_Actividades_Base[Financiero U$S Dólares]))</f>
        <v>0</v>
      </c>
      <c r="S183" s="104">
        <f>SUMPRODUCT(($C$165=Otras_Actividades_Base[Movimiento])*($F183=Otras_Actividades_Base[Cuenta Contable])*(S$1=Otras_Actividades_Base[Mes Financiero])*(S$2=Otras_Actividades_Base[Año Financiero])*(Otras_Actividades_Base[Financiero U$S Dólares]))</f>
        <v>0</v>
      </c>
      <c r="T183" s="103">
        <f>SUMPRODUCT(($C$165=Otras_Actividades_Base[Movimiento])*($F183=Otras_Actividades_Base[Cuenta Contable])*(T$1=Otras_Actividades_Base[Mes Financiero])*(T$2=Otras_Actividades_Base[Año Financiero])*(Otras_Actividades_Base[Financiero U$S Dólares]))</f>
        <v>0</v>
      </c>
      <c r="U183" s="104">
        <f>SUMPRODUCT(($C$165=Otras_Actividades_Base[Movimiento])*($F183=Otras_Actividades_Base[Cuenta Contable])*(U$1=Otras_Actividades_Base[Mes Financiero])*(U$2=Otras_Actividades_Base[Año Financiero])*(Otras_Actividades_Base[Financiero U$S Dólares]))</f>
        <v>0</v>
      </c>
      <c r="V183" s="103">
        <f>SUMPRODUCT(($C$165=Otras_Actividades_Base[Movimiento])*($F183=Otras_Actividades_Base[Cuenta Contable])*(V$1=Otras_Actividades_Base[Mes Financiero])*(V$2=Otras_Actividades_Base[Año Financiero])*(Otras_Actividades_Base[Financiero U$S Dólares]))</f>
        <v>0</v>
      </c>
      <c r="W183" s="104">
        <f>SUMPRODUCT(($C$165=Otras_Actividades_Base[Movimiento])*($F183=Otras_Actividades_Base[Cuenta Contable])*(W$1=Otras_Actividades_Base[Mes Financiero])*(W$2=Otras_Actividades_Base[Año Financiero])*(Otras_Actividades_Base[Financiero U$S Dólares]))</f>
        <v>0</v>
      </c>
      <c r="X183" s="103">
        <f>SUMPRODUCT(($C$165=Otras_Actividades_Base[Movimiento])*($F183=Otras_Actividades_Base[Cuenta Contable])*(X$1=Otras_Actividades_Base[Mes Financiero])*(X$2=Otras_Actividades_Base[Año Financiero])*(Otras_Actividades_Base[Financiero U$S Dólares]))</f>
        <v>0</v>
      </c>
      <c r="Y183" s="104">
        <f>SUMPRODUCT(($C$165=Otras_Actividades_Base[Movimiento])*($F183=Otras_Actividades_Base[Cuenta Contable])*(Y$1=Otras_Actividades_Base[Mes Financiero])*(Y$2=Otras_Actividades_Base[Año Financiero])*(Otras_Actividades_Base[Financiero U$S Dólares]))</f>
        <v>0</v>
      </c>
      <c r="Z183" s="144">
        <f t="shared" ref="Z183" si="33">SUM(H183:Y183)</f>
        <v>0</v>
      </c>
      <c r="AC183" s="174">
        <f>SUMPRODUCT((F183=Costos_Indirectos_Cuentas[Cuenta Contable])*(Costos_Indirectos_Cuentas[IVA]))</f>
        <v>0</v>
      </c>
      <c r="AD183" s="174">
        <f>SUMPRODUCT((G183=Costos_Indirectos_Cuentas[Cuenta Contable])*(Costos_Indirectos_Cuentas[IVA]))</f>
        <v>0</v>
      </c>
    </row>
    <row r="184" spans="2:30" hidden="1" outlineLevel="1" x14ac:dyDescent="0.25">
      <c r="E184" s="222"/>
      <c r="F184" s="276" t="s">
        <v>239</v>
      </c>
      <c r="G184" s="94"/>
      <c r="H184" s="105">
        <f>SUMPRODUCT(($C$165=Otras_Actividades_Base[Movimiento])*(H$1=Otras_Actividades_Base[Mes Financiero])*(H$2=Otras_Actividades_Base[Año Financiero])*(Otras_Actividades_Base[Financiero U$S Dólares]))-SUM(H172:H183)</f>
        <v>0</v>
      </c>
      <c r="I184" s="106">
        <f>SUMPRODUCT(($C$165=Otras_Actividades_Base[Movimiento])*(I$1=Otras_Actividades_Base[Mes Financiero])*(I$2=Otras_Actividades_Base[Año Financiero])*(Otras_Actividades_Base[Financiero U$S Dólares]))-SUM(I172:I183)</f>
        <v>0</v>
      </c>
      <c r="J184" s="105">
        <f>SUMPRODUCT(($C$165=Otras_Actividades_Base[Movimiento])*(J$1=Otras_Actividades_Base[Mes Financiero])*(J$2=Otras_Actividades_Base[Año Financiero])*(Otras_Actividades_Base[Financiero U$S Dólares]))-SUM(J172:J183)</f>
        <v>0</v>
      </c>
      <c r="K184" s="106">
        <f>SUMPRODUCT(($C$165=Otras_Actividades_Base[Movimiento])*(K$1=Otras_Actividades_Base[Mes Financiero])*(K$2=Otras_Actividades_Base[Año Financiero])*(Otras_Actividades_Base[Financiero U$S Dólares]))-SUM(K172:K183)</f>
        <v>0</v>
      </c>
      <c r="L184" s="105">
        <f>SUMPRODUCT(($C$165=Otras_Actividades_Base[Movimiento])*(L$1=Otras_Actividades_Base[Mes Financiero])*(L$2=Otras_Actividades_Base[Año Financiero])*(Otras_Actividades_Base[Financiero U$S Dólares]))-SUM(L172:L183)</f>
        <v>0</v>
      </c>
      <c r="M184" s="106">
        <f>SUMPRODUCT(($C$165=Otras_Actividades_Base[Movimiento])*(M$1=Otras_Actividades_Base[Mes Financiero])*(M$2=Otras_Actividades_Base[Año Financiero])*(Otras_Actividades_Base[Financiero U$S Dólares]))-SUM(M172:M183)</f>
        <v>0</v>
      </c>
      <c r="N184" s="105">
        <f>SUMPRODUCT(($C$165=Otras_Actividades_Base[Movimiento])*(N$1=Otras_Actividades_Base[Mes Financiero])*(N$2=Otras_Actividades_Base[Año Financiero])*(Otras_Actividades_Base[Financiero U$S Dólares]))-SUM(N172:N183)</f>
        <v>0</v>
      </c>
      <c r="O184" s="106">
        <f>SUMPRODUCT(($C$165=Otras_Actividades_Base[Movimiento])*(O$1=Otras_Actividades_Base[Mes Financiero])*(O$2=Otras_Actividades_Base[Año Financiero])*(Otras_Actividades_Base[Financiero U$S Dólares]))-SUM(O172:O183)</f>
        <v>0</v>
      </c>
      <c r="P184" s="105">
        <f>SUMPRODUCT(($C$165=Otras_Actividades_Base[Movimiento])*(P$1=Otras_Actividades_Base[Mes Financiero])*(P$2=Otras_Actividades_Base[Año Financiero])*(Otras_Actividades_Base[Financiero U$S Dólares]))-SUM(P172:P183)</f>
        <v>0</v>
      </c>
      <c r="Q184" s="106">
        <f>SUMPRODUCT(($C$165=Otras_Actividades_Base[Movimiento])*(Q$1=Otras_Actividades_Base[Mes Financiero])*(Q$2=Otras_Actividades_Base[Año Financiero])*(Otras_Actividades_Base[Financiero U$S Dólares]))-SUM(Q172:Q183)</f>
        <v>0</v>
      </c>
      <c r="R184" s="105">
        <f>SUMPRODUCT(($C$165=Otras_Actividades_Base[Movimiento])*(R$1=Otras_Actividades_Base[Mes Financiero])*(R$2=Otras_Actividades_Base[Año Financiero])*(Otras_Actividades_Base[Financiero U$S Dólares]))-SUM(R172:R183)</f>
        <v>0</v>
      </c>
      <c r="S184" s="106">
        <f>SUMPRODUCT(($C$165=Otras_Actividades_Base[Movimiento])*(S$1=Otras_Actividades_Base[Mes Financiero])*(S$2=Otras_Actividades_Base[Año Financiero])*(Otras_Actividades_Base[Financiero U$S Dólares]))-SUM(S172:S183)</f>
        <v>0</v>
      </c>
      <c r="T184" s="105">
        <f>SUMPRODUCT(($C$165=Otras_Actividades_Base[Movimiento])*(T$1=Otras_Actividades_Base[Mes Financiero])*(T$2=Otras_Actividades_Base[Año Financiero])*(Otras_Actividades_Base[Financiero U$S Dólares]))-SUM(T172:T183)</f>
        <v>0</v>
      </c>
      <c r="U184" s="106">
        <f>SUMPRODUCT(($C$165=Otras_Actividades_Base[Movimiento])*(U$1=Otras_Actividades_Base[Mes Financiero])*(U$2=Otras_Actividades_Base[Año Financiero])*(Otras_Actividades_Base[Financiero U$S Dólares]))-SUM(U172:U183)</f>
        <v>0</v>
      </c>
      <c r="V184" s="105">
        <f>SUMPRODUCT(($C$165=Otras_Actividades_Base[Movimiento])*(V$1=Otras_Actividades_Base[Mes Financiero])*(V$2=Otras_Actividades_Base[Año Financiero])*(Otras_Actividades_Base[Financiero U$S Dólares]))-SUM(V172:V183)</f>
        <v>0</v>
      </c>
      <c r="W184" s="106">
        <f>SUMPRODUCT(($C$165=Otras_Actividades_Base[Movimiento])*(W$1=Otras_Actividades_Base[Mes Financiero])*(W$2=Otras_Actividades_Base[Año Financiero])*(Otras_Actividades_Base[Financiero U$S Dólares]))-SUM(W172:W183)</f>
        <v>0</v>
      </c>
      <c r="X184" s="105">
        <f>SUMPRODUCT(($C$165=Otras_Actividades_Base[Movimiento])*(X$1=Otras_Actividades_Base[Mes Financiero])*(X$2=Otras_Actividades_Base[Año Financiero])*(Otras_Actividades_Base[Financiero U$S Dólares]))-SUM(X172:X183)</f>
        <v>0</v>
      </c>
      <c r="Y184" s="106">
        <f>SUMPRODUCT(($C$165=Otras_Actividades_Base[Movimiento])*(Y$1=Otras_Actividades_Base[Mes Financiero])*(Y$2=Otras_Actividades_Base[Año Financiero])*(Otras_Actividades_Base[Financiero U$S Dólares]))-SUM(Y172:Y183)</f>
        <v>0</v>
      </c>
      <c r="Z184" s="163">
        <f t="shared" si="32"/>
        <v>0</v>
      </c>
      <c r="AC184" s="174">
        <f>SUMPRODUCT((F184=Costos_Indirectos_Cuentas[Cuenta Contable])*(Costos_Indirectos_Cuentas[IVA]))</f>
        <v>0</v>
      </c>
      <c r="AD184" s="174">
        <f>SUMPRODUCT((G184=Costos_Indirectos_Cuentas[Cuenta Contable])*(Costos_Indirectos_Cuentas[IVA]))</f>
        <v>0</v>
      </c>
    </row>
    <row r="185" spans="2:30" collapsed="1" x14ac:dyDescent="0.25">
      <c r="C185" s="210" t="s">
        <v>38</v>
      </c>
      <c r="D185" s="438" t="s">
        <v>105</v>
      </c>
      <c r="E185" s="120"/>
      <c r="F185" s="439" t="s">
        <v>187</v>
      </c>
      <c r="G185" s="94"/>
      <c r="H185" s="208">
        <f>SUMPRODUCT(($C$185=Indirectos[Movimiento])*(H$1=Indirectos[Mes Financiero])*(H$2=Indirectos[Año Financiero])*(Indirectos[Financiero U$S Dólares]))</f>
        <v>0</v>
      </c>
      <c r="I185" s="209">
        <f>SUMPRODUCT(($C$185=Indirectos[Movimiento])*(I$1=Indirectos[Mes Financiero])*(I$2=Indirectos[Año Financiero])*(Indirectos[Financiero U$S Dólares]))</f>
        <v>0</v>
      </c>
      <c r="J185" s="208">
        <f>SUMPRODUCT(($C$185=Indirectos[Movimiento])*(J$1=Indirectos[Mes Financiero])*(J$2=Indirectos[Año Financiero])*(Indirectos[Financiero U$S Dólares]))</f>
        <v>0</v>
      </c>
      <c r="K185" s="209">
        <f>SUMPRODUCT(($C$185=Indirectos[Movimiento])*(K$1=Indirectos[Mes Financiero])*(K$2=Indirectos[Año Financiero])*(Indirectos[Financiero U$S Dólares]))</f>
        <v>0</v>
      </c>
      <c r="L185" s="208">
        <f>SUMPRODUCT(($C$185=Indirectos[Movimiento])*(L$1=Indirectos[Mes Financiero])*(L$2=Indirectos[Año Financiero])*(Indirectos[Financiero U$S Dólares]))</f>
        <v>0</v>
      </c>
      <c r="M185" s="209">
        <f>SUMPRODUCT(($C$185=Indirectos[Movimiento])*(M$1=Indirectos[Mes Financiero])*(M$2=Indirectos[Año Financiero])*(Indirectos[Financiero U$S Dólares]))</f>
        <v>0</v>
      </c>
      <c r="N185" s="208">
        <f>SUMPRODUCT(($C$185=Indirectos[Movimiento])*(N$1=Indirectos[Mes Financiero])*(N$2=Indirectos[Año Financiero])*(Indirectos[Financiero U$S Dólares]))</f>
        <v>0</v>
      </c>
      <c r="O185" s="209">
        <f>SUMPRODUCT(($C$185=Indirectos[Movimiento])*(O$1=Indirectos[Mes Financiero])*(O$2=Indirectos[Año Financiero])*(Indirectos[Financiero U$S Dólares]))</f>
        <v>0</v>
      </c>
      <c r="P185" s="208">
        <f>SUMPRODUCT(($C$185=Indirectos[Movimiento])*(P$1=Indirectos[Mes Financiero])*(P$2=Indirectos[Año Financiero])*(Indirectos[Financiero U$S Dólares]))</f>
        <v>0</v>
      </c>
      <c r="Q185" s="209">
        <f>SUMPRODUCT(($C$185=Indirectos[Movimiento])*(Q$1=Indirectos[Mes Financiero])*(Q$2=Indirectos[Año Financiero])*(Indirectos[Financiero U$S Dólares]))</f>
        <v>0</v>
      </c>
      <c r="R185" s="208">
        <f>SUMPRODUCT(($C$185=Indirectos[Movimiento])*(R$1=Indirectos[Mes Financiero])*(R$2=Indirectos[Año Financiero])*(Indirectos[Financiero U$S Dólares]))</f>
        <v>0</v>
      </c>
      <c r="S185" s="209">
        <f>SUMPRODUCT(($C$185=Indirectos[Movimiento])*(S$1=Indirectos[Mes Financiero])*(S$2=Indirectos[Año Financiero])*(Indirectos[Financiero U$S Dólares]))</f>
        <v>0</v>
      </c>
      <c r="T185" s="208">
        <f>SUMPRODUCT(($C$185=Indirectos[Movimiento])*(T$1=Indirectos[Mes Financiero])*(T$2=Indirectos[Año Financiero])*(Indirectos[Financiero U$S Dólares]))</f>
        <v>0</v>
      </c>
      <c r="U185" s="209">
        <f>SUMPRODUCT(($C$185=Indirectos[Movimiento])*(U$1=Indirectos[Mes Financiero])*(U$2=Indirectos[Año Financiero])*(Indirectos[Financiero U$S Dólares]))</f>
        <v>0</v>
      </c>
      <c r="V185" s="208">
        <f>SUMPRODUCT(($C$185=Indirectos[Movimiento])*(V$1=Indirectos[Mes Financiero])*(V$2=Indirectos[Año Financiero])*(Indirectos[Financiero U$S Dólares]))</f>
        <v>0</v>
      </c>
      <c r="W185" s="209">
        <f>SUMPRODUCT(($C$185=Indirectos[Movimiento])*(W$1=Indirectos[Mes Financiero])*(W$2=Indirectos[Año Financiero])*(Indirectos[Financiero U$S Dólares]))</f>
        <v>0</v>
      </c>
      <c r="X185" s="208">
        <f>SUMPRODUCT(($C$185=Indirectos[Movimiento])*(X$1=Indirectos[Mes Financiero])*(X$2=Indirectos[Año Financiero])*(Indirectos[Financiero U$S Dólares]))</f>
        <v>0</v>
      </c>
      <c r="Y185" s="209">
        <f>SUMPRODUCT(($C$185=Indirectos[Movimiento])*(Y$1=Indirectos[Mes Financiero])*(Y$2=Indirectos[Año Financiero])*(Indirectos[Financiero U$S Dólares]))</f>
        <v>0</v>
      </c>
      <c r="Z185" s="146">
        <f>SUM(H185:Y185)</f>
        <v>0</v>
      </c>
    </row>
    <row r="186" spans="2:30" hidden="1" outlineLevel="2" x14ac:dyDescent="0.25">
      <c r="E186" s="135"/>
      <c r="F186" s="215">
        <f>IFERROR(MATCH(G186,Tabla81116[Unidades de Negocio],0),0)</f>
        <v>1</v>
      </c>
      <c r="G186" s="407" t="str">
        <f>Configuración!CC5</f>
        <v>Estructura</v>
      </c>
      <c r="H186" s="117">
        <f>SUMPRODUCT(($C$185=Indirectos[Movimiento])*($G186=Indirectos[Unidad de Negocio])*(H$1=Indirectos[Mes Financiero])*(H$2=Indirectos[Año Financiero])*(Indirectos[Financiero U$S Dólares]))</f>
        <v>0</v>
      </c>
      <c r="I186" s="118">
        <f>SUMPRODUCT(($C$185=Indirectos[Movimiento])*($G186=Indirectos[Unidad de Negocio])*(I$1=Indirectos[Mes Financiero])*(I$2=Indirectos[Año Financiero])*(Indirectos[Financiero U$S Dólares]))</f>
        <v>0</v>
      </c>
      <c r="J186" s="117">
        <f>SUMPRODUCT(($C$185=Indirectos[Movimiento])*($G186=Indirectos[Unidad de Negocio])*(J$1=Indirectos[Mes Financiero])*(J$2=Indirectos[Año Financiero])*(Indirectos[Financiero U$S Dólares]))</f>
        <v>0</v>
      </c>
      <c r="K186" s="118">
        <f>SUMPRODUCT(($C$185=Indirectos[Movimiento])*($G186=Indirectos[Unidad de Negocio])*(K$1=Indirectos[Mes Financiero])*(K$2=Indirectos[Año Financiero])*(Indirectos[Financiero U$S Dólares]))</f>
        <v>0</v>
      </c>
      <c r="L186" s="117">
        <f>SUMPRODUCT(($C$185=Indirectos[Movimiento])*($G186=Indirectos[Unidad de Negocio])*(L$1=Indirectos[Mes Financiero])*(L$2=Indirectos[Año Financiero])*(Indirectos[Financiero U$S Dólares]))</f>
        <v>0</v>
      </c>
      <c r="M186" s="118">
        <f>SUMPRODUCT(($C$185=Indirectos[Movimiento])*($G186=Indirectos[Unidad de Negocio])*(M$1=Indirectos[Mes Financiero])*(M$2=Indirectos[Año Financiero])*(Indirectos[Financiero U$S Dólares]))</f>
        <v>0</v>
      </c>
      <c r="N186" s="117">
        <f>SUMPRODUCT(($C$185=Indirectos[Movimiento])*($G186=Indirectos[Unidad de Negocio])*(N$1=Indirectos[Mes Financiero])*(N$2=Indirectos[Año Financiero])*(Indirectos[Financiero U$S Dólares]))</f>
        <v>0</v>
      </c>
      <c r="O186" s="118">
        <f>SUMPRODUCT(($C$185=Indirectos[Movimiento])*($G186=Indirectos[Unidad de Negocio])*(O$1=Indirectos[Mes Financiero])*(O$2=Indirectos[Año Financiero])*(Indirectos[Financiero U$S Dólares]))</f>
        <v>0</v>
      </c>
      <c r="P186" s="117">
        <f>SUMPRODUCT(($C$185=Indirectos[Movimiento])*($G186=Indirectos[Unidad de Negocio])*(P$1=Indirectos[Mes Financiero])*(P$2=Indirectos[Año Financiero])*(Indirectos[Financiero U$S Dólares]))</f>
        <v>0</v>
      </c>
      <c r="Q186" s="118">
        <f>SUMPRODUCT(($C$185=Indirectos[Movimiento])*($G186=Indirectos[Unidad de Negocio])*(Q$1=Indirectos[Mes Financiero])*(Q$2=Indirectos[Año Financiero])*(Indirectos[Financiero U$S Dólares]))</f>
        <v>0</v>
      </c>
      <c r="R186" s="117">
        <f>SUMPRODUCT(($C$185=Indirectos[Movimiento])*($G186=Indirectos[Unidad de Negocio])*(R$1=Indirectos[Mes Financiero])*(R$2=Indirectos[Año Financiero])*(Indirectos[Financiero U$S Dólares]))</f>
        <v>0</v>
      </c>
      <c r="S186" s="118">
        <f>SUMPRODUCT(($C$185=Indirectos[Movimiento])*($G186=Indirectos[Unidad de Negocio])*(S$1=Indirectos[Mes Financiero])*(S$2=Indirectos[Año Financiero])*(Indirectos[Financiero U$S Dólares]))</f>
        <v>0</v>
      </c>
      <c r="T186" s="117">
        <f>SUMPRODUCT(($C$185=Indirectos[Movimiento])*($G186=Indirectos[Unidad de Negocio])*(T$1=Indirectos[Mes Financiero])*(T$2=Indirectos[Año Financiero])*(Indirectos[Financiero U$S Dólares]))</f>
        <v>0</v>
      </c>
      <c r="U186" s="118">
        <f>SUMPRODUCT(($C$185=Indirectos[Movimiento])*($G186=Indirectos[Unidad de Negocio])*(U$1=Indirectos[Mes Financiero])*(U$2=Indirectos[Año Financiero])*(Indirectos[Financiero U$S Dólares]))</f>
        <v>0</v>
      </c>
      <c r="V186" s="117">
        <f>SUMPRODUCT(($C$185=Indirectos[Movimiento])*($G186=Indirectos[Unidad de Negocio])*(V$1=Indirectos[Mes Financiero])*(V$2=Indirectos[Año Financiero])*(Indirectos[Financiero U$S Dólares]))</f>
        <v>0</v>
      </c>
      <c r="W186" s="118">
        <f>SUMPRODUCT(($C$185=Indirectos[Movimiento])*($G186=Indirectos[Unidad de Negocio])*(W$1=Indirectos[Mes Financiero])*(W$2=Indirectos[Año Financiero])*(Indirectos[Financiero U$S Dólares]))</f>
        <v>0</v>
      </c>
      <c r="X186" s="117">
        <f>SUMPRODUCT(($C$185=Indirectos[Movimiento])*($G186=Indirectos[Unidad de Negocio])*(X$1=Indirectos[Mes Financiero])*(X$2=Indirectos[Año Financiero])*(Indirectos[Financiero U$S Dólares]))</f>
        <v>0</v>
      </c>
      <c r="Y186" s="118">
        <f>SUMPRODUCT(($C$185=Indirectos[Movimiento])*($G186=Indirectos[Unidad de Negocio])*(Y$1=Indirectos[Mes Financiero])*(Y$2=Indirectos[Año Financiero])*(Indirectos[Financiero U$S Dólares]))</f>
        <v>0</v>
      </c>
      <c r="Z186" s="140">
        <f t="shared" si="28"/>
        <v>0</v>
      </c>
    </row>
    <row r="187" spans="2:30" hidden="1" outlineLevel="2" x14ac:dyDescent="0.25">
      <c r="E187" s="135"/>
      <c r="F187" s="215">
        <f>IFERROR(MATCH(G187,Tabla81116[Unidades de Negocio],0),0)</f>
        <v>2</v>
      </c>
      <c r="G187" s="407" t="str">
        <f>Configuración!CC6</f>
        <v>Administración</v>
      </c>
      <c r="H187" s="117">
        <f>SUMPRODUCT(($C$185=Indirectos[Movimiento])*($G187=Indirectos[Unidad de Negocio])*(H$1=Indirectos[Mes Financiero])*(H$2=Indirectos[Año Financiero])*(Indirectos[Financiero U$S Dólares]))</f>
        <v>0</v>
      </c>
      <c r="I187" s="118">
        <f>SUMPRODUCT(($C$185=Indirectos[Movimiento])*($G187=Indirectos[Unidad de Negocio])*(I$1=Indirectos[Mes Financiero])*(I$2=Indirectos[Año Financiero])*(Indirectos[Financiero U$S Dólares]))</f>
        <v>0</v>
      </c>
      <c r="J187" s="117">
        <f>SUMPRODUCT(($C$185=Indirectos[Movimiento])*($G187=Indirectos[Unidad de Negocio])*(J$1=Indirectos[Mes Financiero])*(J$2=Indirectos[Año Financiero])*(Indirectos[Financiero U$S Dólares]))</f>
        <v>0</v>
      </c>
      <c r="K187" s="118">
        <f>SUMPRODUCT(($C$185=Indirectos[Movimiento])*($G187=Indirectos[Unidad de Negocio])*(K$1=Indirectos[Mes Financiero])*(K$2=Indirectos[Año Financiero])*(Indirectos[Financiero U$S Dólares]))</f>
        <v>0</v>
      </c>
      <c r="L187" s="117">
        <f>SUMPRODUCT(($C$185=Indirectos[Movimiento])*($G187=Indirectos[Unidad de Negocio])*(L$1=Indirectos[Mes Financiero])*(L$2=Indirectos[Año Financiero])*(Indirectos[Financiero U$S Dólares]))</f>
        <v>0</v>
      </c>
      <c r="M187" s="118">
        <f>SUMPRODUCT(($C$185=Indirectos[Movimiento])*($G187=Indirectos[Unidad de Negocio])*(M$1=Indirectos[Mes Financiero])*(M$2=Indirectos[Año Financiero])*(Indirectos[Financiero U$S Dólares]))</f>
        <v>0</v>
      </c>
      <c r="N187" s="117">
        <f>SUMPRODUCT(($C$185=Indirectos[Movimiento])*($G187=Indirectos[Unidad de Negocio])*(N$1=Indirectos[Mes Financiero])*(N$2=Indirectos[Año Financiero])*(Indirectos[Financiero U$S Dólares]))</f>
        <v>0</v>
      </c>
      <c r="O187" s="118">
        <f>SUMPRODUCT(($C$185=Indirectos[Movimiento])*($G187=Indirectos[Unidad de Negocio])*(O$1=Indirectos[Mes Financiero])*(O$2=Indirectos[Año Financiero])*(Indirectos[Financiero U$S Dólares]))</f>
        <v>0</v>
      </c>
      <c r="P187" s="117">
        <f>SUMPRODUCT(($C$185=Indirectos[Movimiento])*($G187=Indirectos[Unidad de Negocio])*(P$1=Indirectos[Mes Financiero])*(P$2=Indirectos[Año Financiero])*(Indirectos[Financiero U$S Dólares]))</f>
        <v>0</v>
      </c>
      <c r="Q187" s="118">
        <f>SUMPRODUCT(($C$185=Indirectos[Movimiento])*($G187=Indirectos[Unidad de Negocio])*(Q$1=Indirectos[Mes Financiero])*(Q$2=Indirectos[Año Financiero])*(Indirectos[Financiero U$S Dólares]))</f>
        <v>0</v>
      </c>
      <c r="R187" s="117">
        <f>SUMPRODUCT(($C$185=Indirectos[Movimiento])*($G187=Indirectos[Unidad de Negocio])*(R$1=Indirectos[Mes Financiero])*(R$2=Indirectos[Año Financiero])*(Indirectos[Financiero U$S Dólares]))</f>
        <v>0</v>
      </c>
      <c r="S187" s="118">
        <f>SUMPRODUCT(($C$185=Indirectos[Movimiento])*($G187=Indirectos[Unidad de Negocio])*(S$1=Indirectos[Mes Financiero])*(S$2=Indirectos[Año Financiero])*(Indirectos[Financiero U$S Dólares]))</f>
        <v>0</v>
      </c>
      <c r="T187" s="117">
        <f>SUMPRODUCT(($C$185=Indirectos[Movimiento])*($G187=Indirectos[Unidad de Negocio])*(T$1=Indirectos[Mes Financiero])*(T$2=Indirectos[Año Financiero])*(Indirectos[Financiero U$S Dólares]))</f>
        <v>0</v>
      </c>
      <c r="U187" s="118">
        <f>SUMPRODUCT(($C$185=Indirectos[Movimiento])*($G187=Indirectos[Unidad de Negocio])*(U$1=Indirectos[Mes Financiero])*(U$2=Indirectos[Año Financiero])*(Indirectos[Financiero U$S Dólares]))</f>
        <v>0</v>
      </c>
      <c r="V187" s="117">
        <f>SUMPRODUCT(($C$185=Indirectos[Movimiento])*($G187=Indirectos[Unidad de Negocio])*(V$1=Indirectos[Mes Financiero])*(V$2=Indirectos[Año Financiero])*(Indirectos[Financiero U$S Dólares]))</f>
        <v>0</v>
      </c>
      <c r="W187" s="118">
        <f>SUMPRODUCT(($C$185=Indirectos[Movimiento])*($G187=Indirectos[Unidad de Negocio])*(W$1=Indirectos[Mes Financiero])*(W$2=Indirectos[Año Financiero])*(Indirectos[Financiero U$S Dólares]))</f>
        <v>0</v>
      </c>
      <c r="X187" s="117">
        <f>SUMPRODUCT(($C$185=Indirectos[Movimiento])*($G187=Indirectos[Unidad de Negocio])*(X$1=Indirectos[Mes Financiero])*(X$2=Indirectos[Año Financiero])*(Indirectos[Financiero U$S Dólares]))</f>
        <v>0</v>
      </c>
      <c r="Y187" s="118">
        <f>SUMPRODUCT(($C$185=Indirectos[Movimiento])*($G187=Indirectos[Unidad de Negocio])*(Y$1=Indirectos[Mes Financiero])*(Y$2=Indirectos[Año Financiero])*(Indirectos[Financiero U$S Dólares]))</f>
        <v>0</v>
      </c>
      <c r="Z187" s="140">
        <f t="shared" si="28"/>
        <v>0</v>
      </c>
    </row>
    <row r="188" spans="2:30" hidden="1" outlineLevel="2" x14ac:dyDescent="0.25">
      <c r="E188" s="135"/>
      <c r="F188" s="215">
        <f>IFERROR(MATCH(G188,Tabla81116[Unidades de Negocio],0),0)</f>
        <v>3</v>
      </c>
      <c r="G188" s="407" t="str">
        <f>Configuración!CC7</f>
        <v>Impuestos</v>
      </c>
      <c r="H188" s="117">
        <f>SUMPRODUCT(($C$185=Indirectos[Movimiento])*($G188=Indirectos[Unidad de Negocio])*(H$1=Indirectos[Mes Financiero])*(H$2=Indirectos[Año Financiero])*(Indirectos[Financiero U$S Dólares]))</f>
        <v>0</v>
      </c>
      <c r="I188" s="118">
        <f>SUMPRODUCT(($C$185=Indirectos[Movimiento])*($G188=Indirectos[Unidad de Negocio])*(I$1=Indirectos[Mes Financiero])*(I$2=Indirectos[Año Financiero])*(Indirectos[Financiero U$S Dólares]))</f>
        <v>0</v>
      </c>
      <c r="J188" s="117">
        <f>SUMPRODUCT(($C$185=Indirectos[Movimiento])*($G188=Indirectos[Unidad de Negocio])*(J$1=Indirectos[Mes Financiero])*(J$2=Indirectos[Año Financiero])*(Indirectos[Financiero U$S Dólares]))</f>
        <v>0</v>
      </c>
      <c r="K188" s="118">
        <f>SUMPRODUCT(($C$185=Indirectos[Movimiento])*($G188=Indirectos[Unidad de Negocio])*(K$1=Indirectos[Mes Financiero])*(K$2=Indirectos[Año Financiero])*(Indirectos[Financiero U$S Dólares]))</f>
        <v>0</v>
      </c>
      <c r="L188" s="117">
        <f>SUMPRODUCT(($C$185=Indirectos[Movimiento])*($G188=Indirectos[Unidad de Negocio])*(L$1=Indirectos[Mes Financiero])*(L$2=Indirectos[Año Financiero])*(Indirectos[Financiero U$S Dólares]))</f>
        <v>0</v>
      </c>
      <c r="M188" s="118">
        <f>SUMPRODUCT(($C$185=Indirectos[Movimiento])*($G188=Indirectos[Unidad de Negocio])*(M$1=Indirectos[Mes Financiero])*(M$2=Indirectos[Año Financiero])*(Indirectos[Financiero U$S Dólares]))</f>
        <v>0</v>
      </c>
      <c r="N188" s="117">
        <f>SUMPRODUCT(($C$185=Indirectos[Movimiento])*($G188=Indirectos[Unidad de Negocio])*(N$1=Indirectos[Mes Financiero])*(N$2=Indirectos[Año Financiero])*(Indirectos[Financiero U$S Dólares]))</f>
        <v>0</v>
      </c>
      <c r="O188" s="118">
        <f>SUMPRODUCT(($C$185=Indirectos[Movimiento])*($G188=Indirectos[Unidad de Negocio])*(O$1=Indirectos[Mes Financiero])*(O$2=Indirectos[Año Financiero])*(Indirectos[Financiero U$S Dólares]))</f>
        <v>0</v>
      </c>
      <c r="P188" s="117">
        <f>SUMPRODUCT(($C$185=Indirectos[Movimiento])*($G188=Indirectos[Unidad de Negocio])*(P$1=Indirectos[Mes Financiero])*(P$2=Indirectos[Año Financiero])*(Indirectos[Financiero U$S Dólares]))</f>
        <v>0</v>
      </c>
      <c r="Q188" s="118">
        <f>SUMPRODUCT(($C$185=Indirectos[Movimiento])*($G188=Indirectos[Unidad de Negocio])*(Q$1=Indirectos[Mes Financiero])*(Q$2=Indirectos[Año Financiero])*(Indirectos[Financiero U$S Dólares]))</f>
        <v>0</v>
      </c>
      <c r="R188" s="117">
        <f>SUMPRODUCT(($C$185=Indirectos[Movimiento])*($G188=Indirectos[Unidad de Negocio])*(R$1=Indirectos[Mes Financiero])*(R$2=Indirectos[Año Financiero])*(Indirectos[Financiero U$S Dólares]))</f>
        <v>0</v>
      </c>
      <c r="S188" s="118">
        <f>SUMPRODUCT(($C$185=Indirectos[Movimiento])*($G188=Indirectos[Unidad de Negocio])*(S$1=Indirectos[Mes Financiero])*(S$2=Indirectos[Año Financiero])*(Indirectos[Financiero U$S Dólares]))</f>
        <v>0</v>
      </c>
      <c r="T188" s="117">
        <f>SUMPRODUCT(($C$185=Indirectos[Movimiento])*($G188=Indirectos[Unidad de Negocio])*(T$1=Indirectos[Mes Financiero])*(T$2=Indirectos[Año Financiero])*(Indirectos[Financiero U$S Dólares]))</f>
        <v>0</v>
      </c>
      <c r="U188" s="118">
        <f>SUMPRODUCT(($C$185=Indirectos[Movimiento])*($G188=Indirectos[Unidad de Negocio])*(U$1=Indirectos[Mes Financiero])*(U$2=Indirectos[Año Financiero])*(Indirectos[Financiero U$S Dólares]))</f>
        <v>0</v>
      </c>
      <c r="V188" s="117">
        <f>SUMPRODUCT(($C$185=Indirectos[Movimiento])*($G188=Indirectos[Unidad de Negocio])*(V$1=Indirectos[Mes Financiero])*(V$2=Indirectos[Año Financiero])*(Indirectos[Financiero U$S Dólares]))</f>
        <v>0</v>
      </c>
      <c r="W188" s="118">
        <f>SUMPRODUCT(($C$185=Indirectos[Movimiento])*($G188=Indirectos[Unidad de Negocio])*(W$1=Indirectos[Mes Financiero])*(W$2=Indirectos[Año Financiero])*(Indirectos[Financiero U$S Dólares]))</f>
        <v>0</v>
      </c>
      <c r="X188" s="117">
        <f>SUMPRODUCT(($C$185=Indirectos[Movimiento])*($G188=Indirectos[Unidad de Negocio])*(X$1=Indirectos[Mes Financiero])*(X$2=Indirectos[Año Financiero])*(Indirectos[Financiero U$S Dólares]))</f>
        <v>0</v>
      </c>
      <c r="Y188" s="118">
        <f>SUMPRODUCT(($C$185=Indirectos[Movimiento])*($G188=Indirectos[Unidad de Negocio])*(Y$1=Indirectos[Mes Financiero])*(Y$2=Indirectos[Año Financiero])*(Indirectos[Financiero U$S Dólares]))</f>
        <v>0</v>
      </c>
      <c r="Z188" s="140">
        <f t="shared" si="28"/>
        <v>0</v>
      </c>
    </row>
    <row r="189" spans="2:30" hidden="1" outlineLevel="2" x14ac:dyDescent="0.25">
      <c r="E189" s="135"/>
      <c r="F189" s="215">
        <f>IFERROR(MATCH(G189,Tabla81116[Unidades de Negocio],0),0)</f>
        <v>5</v>
      </c>
      <c r="G189" s="407" t="str">
        <f>Configuración!CC9</f>
        <v>Inversiones</v>
      </c>
      <c r="H189" s="117">
        <f>SUMPRODUCT(($C$185=Indirectos[Movimiento])*($G189=Indirectos[Unidad de Negocio])*(H$1=Indirectos[Mes Financiero])*(H$2=Indirectos[Año Financiero])*(Indirectos[Financiero U$S Dólares]))</f>
        <v>0</v>
      </c>
      <c r="I189" s="118">
        <f>SUMPRODUCT(($C$185=Indirectos[Movimiento])*($G189=Indirectos[Unidad de Negocio])*(I$1=Indirectos[Mes Financiero])*(I$2=Indirectos[Año Financiero])*(Indirectos[Financiero U$S Dólares]))</f>
        <v>0</v>
      </c>
      <c r="J189" s="117">
        <f>SUMPRODUCT(($C$185=Indirectos[Movimiento])*($G189=Indirectos[Unidad de Negocio])*(J$1=Indirectos[Mes Financiero])*(J$2=Indirectos[Año Financiero])*(Indirectos[Financiero U$S Dólares]))</f>
        <v>0</v>
      </c>
      <c r="K189" s="118">
        <f>SUMPRODUCT(($C$185=Indirectos[Movimiento])*($G189=Indirectos[Unidad de Negocio])*(K$1=Indirectos[Mes Financiero])*(K$2=Indirectos[Año Financiero])*(Indirectos[Financiero U$S Dólares]))</f>
        <v>0</v>
      </c>
      <c r="L189" s="117">
        <f>SUMPRODUCT(($C$185=Indirectos[Movimiento])*($G189=Indirectos[Unidad de Negocio])*(L$1=Indirectos[Mes Financiero])*(L$2=Indirectos[Año Financiero])*(Indirectos[Financiero U$S Dólares]))</f>
        <v>0</v>
      </c>
      <c r="M189" s="118">
        <f>SUMPRODUCT(($C$185=Indirectos[Movimiento])*($G189=Indirectos[Unidad de Negocio])*(M$1=Indirectos[Mes Financiero])*(M$2=Indirectos[Año Financiero])*(Indirectos[Financiero U$S Dólares]))</f>
        <v>0</v>
      </c>
      <c r="N189" s="117">
        <f>SUMPRODUCT(($C$185=Indirectos[Movimiento])*($G189=Indirectos[Unidad de Negocio])*(N$1=Indirectos[Mes Financiero])*(N$2=Indirectos[Año Financiero])*(Indirectos[Financiero U$S Dólares]))</f>
        <v>0</v>
      </c>
      <c r="O189" s="118">
        <f>SUMPRODUCT(($C$185=Indirectos[Movimiento])*($G189=Indirectos[Unidad de Negocio])*(O$1=Indirectos[Mes Financiero])*(O$2=Indirectos[Año Financiero])*(Indirectos[Financiero U$S Dólares]))</f>
        <v>0</v>
      </c>
      <c r="P189" s="117">
        <f>SUMPRODUCT(($C$185=Indirectos[Movimiento])*($G189=Indirectos[Unidad de Negocio])*(P$1=Indirectos[Mes Financiero])*(P$2=Indirectos[Año Financiero])*(Indirectos[Financiero U$S Dólares]))</f>
        <v>0</v>
      </c>
      <c r="Q189" s="118">
        <f>SUMPRODUCT(($C$185=Indirectos[Movimiento])*($G189=Indirectos[Unidad de Negocio])*(Q$1=Indirectos[Mes Financiero])*(Q$2=Indirectos[Año Financiero])*(Indirectos[Financiero U$S Dólares]))</f>
        <v>0</v>
      </c>
      <c r="R189" s="117">
        <f>SUMPRODUCT(($C$185=Indirectos[Movimiento])*($G189=Indirectos[Unidad de Negocio])*(R$1=Indirectos[Mes Financiero])*(R$2=Indirectos[Año Financiero])*(Indirectos[Financiero U$S Dólares]))</f>
        <v>0</v>
      </c>
      <c r="S189" s="118">
        <f>SUMPRODUCT(($C$185=Indirectos[Movimiento])*($G189=Indirectos[Unidad de Negocio])*(S$1=Indirectos[Mes Financiero])*(S$2=Indirectos[Año Financiero])*(Indirectos[Financiero U$S Dólares]))</f>
        <v>0</v>
      </c>
      <c r="T189" s="117">
        <f>SUMPRODUCT(($C$185=Indirectos[Movimiento])*($G189=Indirectos[Unidad de Negocio])*(T$1=Indirectos[Mes Financiero])*(T$2=Indirectos[Año Financiero])*(Indirectos[Financiero U$S Dólares]))</f>
        <v>0</v>
      </c>
      <c r="U189" s="118">
        <f>SUMPRODUCT(($C$185=Indirectos[Movimiento])*($G189=Indirectos[Unidad de Negocio])*(U$1=Indirectos[Mes Financiero])*(U$2=Indirectos[Año Financiero])*(Indirectos[Financiero U$S Dólares]))</f>
        <v>0</v>
      </c>
      <c r="V189" s="117">
        <f>SUMPRODUCT(($C$185=Indirectos[Movimiento])*($G189=Indirectos[Unidad de Negocio])*(V$1=Indirectos[Mes Financiero])*(V$2=Indirectos[Año Financiero])*(Indirectos[Financiero U$S Dólares]))</f>
        <v>0</v>
      </c>
      <c r="W189" s="118">
        <f>SUMPRODUCT(($C$185=Indirectos[Movimiento])*($G189=Indirectos[Unidad de Negocio])*(W$1=Indirectos[Mes Financiero])*(W$2=Indirectos[Año Financiero])*(Indirectos[Financiero U$S Dólares]))</f>
        <v>0</v>
      </c>
      <c r="X189" s="117">
        <f>SUMPRODUCT(($C$185=Indirectos[Movimiento])*($G189=Indirectos[Unidad de Negocio])*(X$1=Indirectos[Mes Financiero])*(X$2=Indirectos[Año Financiero])*(Indirectos[Financiero U$S Dólares]))</f>
        <v>0</v>
      </c>
      <c r="Y189" s="118">
        <f>SUMPRODUCT(($C$185=Indirectos[Movimiento])*($G189=Indirectos[Unidad de Negocio])*(Y$1=Indirectos[Mes Financiero])*(Y$2=Indirectos[Año Financiero])*(Indirectos[Financiero U$S Dólares]))</f>
        <v>0</v>
      </c>
      <c r="Z189" s="140">
        <f t="shared" si="28"/>
        <v>0</v>
      </c>
    </row>
    <row r="190" spans="2:30" hidden="1" outlineLevel="2" x14ac:dyDescent="0.25">
      <c r="E190" s="135"/>
      <c r="F190" s="216">
        <f>IFERROR(MATCH(G190,Tabla81116[Unidades de Negocio],0),0)</f>
        <v>0</v>
      </c>
      <c r="G190" s="408">
        <f>Configuración!CC10</f>
        <v>0</v>
      </c>
      <c r="H190" s="128">
        <f>SUMPRODUCT(($C$185=Indirectos[Movimiento])*($G190=Indirectos[Unidad de Negocio])*(H$1=Indirectos[Mes Financiero])*(H$2=Indirectos[Año Financiero])*(Indirectos[Financiero U$S Dólares]))</f>
        <v>0</v>
      </c>
      <c r="I190" s="129">
        <f>SUMPRODUCT(($C$185=Indirectos[Movimiento])*($G190=Indirectos[Unidad de Negocio])*(I$1=Indirectos[Mes Financiero])*(I$2=Indirectos[Año Financiero])*(Indirectos[Financiero U$S Dólares]))</f>
        <v>0</v>
      </c>
      <c r="J190" s="128">
        <f>SUMPRODUCT(($C$185=Indirectos[Movimiento])*($G190=Indirectos[Unidad de Negocio])*(J$1=Indirectos[Mes Financiero])*(J$2=Indirectos[Año Financiero])*(Indirectos[Financiero U$S Dólares]))</f>
        <v>0</v>
      </c>
      <c r="K190" s="129">
        <f>SUMPRODUCT(($C$185=Indirectos[Movimiento])*($G190=Indirectos[Unidad de Negocio])*(K$1=Indirectos[Mes Financiero])*(K$2=Indirectos[Año Financiero])*(Indirectos[Financiero U$S Dólares]))</f>
        <v>0</v>
      </c>
      <c r="L190" s="128">
        <f>SUMPRODUCT(($C$185=Indirectos[Movimiento])*($G190=Indirectos[Unidad de Negocio])*(L$1=Indirectos[Mes Financiero])*(L$2=Indirectos[Año Financiero])*(Indirectos[Financiero U$S Dólares]))</f>
        <v>0</v>
      </c>
      <c r="M190" s="129">
        <f>SUMPRODUCT(($C$185=Indirectos[Movimiento])*($G190=Indirectos[Unidad de Negocio])*(M$1=Indirectos[Mes Financiero])*(M$2=Indirectos[Año Financiero])*(Indirectos[Financiero U$S Dólares]))</f>
        <v>0</v>
      </c>
      <c r="N190" s="128">
        <f>SUMPRODUCT(($C$185=Indirectos[Movimiento])*($G190=Indirectos[Unidad de Negocio])*(N$1=Indirectos[Mes Financiero])*(N$2=Indirectos[Año Financiero])*(Indirectos[Financiero U$S Dólares]))</f>
        <v>0</v>
      </c>
      <c r="O190" s="129">
        <f>SUMPRODUCT(($C$185=Indirectos[Movimiento])*($G190=Indirectos[Unidad de Negocio])*(O$1=Indirectos[Mes Financiero])*(O$2=Indirectos[Año Financiero])*(Indirectos[Financiero U$S Dólares]))</f>
        <v>0</v>
      </c>
      <c r="P190" s="128">
        <f>SUMPRODUCT(($C$185=Indirectos[Movimiento])*($G190=Indirectos[Unidad de Negocio])*(P$1=Indirectos[Mes Financiero])*(P$2=Indirectos[Año Financiero])*(Indirectos[Financiero U$S Dólares]))</f>
        <v>0</v>
      </c>
      <c r="Q190" s="129">
        <f>SUMPRODUCT(($C$185=Indirectos[Movimiento])*($G190=Indirectos[Unidad de Negocio])*(Q$1=Indirectos[Mes Financiero])*(Q$2=Indirectos[Año Financiero])*(Indirectos[Financiero U$S Dólares]))</f>
        <v>0</v>
      </c>
      <c r="R190" s="128">
        <f>SUMPRODUCT(($C$185=Indirectos[Movimiento])*($G190=Indirectos[Unidad de Negocio])*(R$1=Indirectos[Mes Financiero])*(R$2=Indirectos[Año Financiero])*(Indirectos[Financiero U$S Dólares]))</f>
        <v>0</v>
      </c>
      <c r="S190" s="129">
        <f>SUMPRODUCT(($C$185=Indirectos[Movimiento])*($G190=Indirectos[Unidad de Negocio])*(S$1=Indirectos[Mes Financiero])*(S$2=Indirectos[Año Financiero])*(Indirectos[Financiero U$S Dólares]))</f>
        <v>0</v>
      </c>
      <c r="T190" s="128">
        <f>SUMPRODUCT(($C$185=Indirectos[Movimiento])*($G190=Indirectos[Unidad de Negocio])*(T$1=Indirectos[Mes Financiero])*(T$2=Indirectos[Año Financiero])*(Indirectos[Financiero U$S Dólares]))</f>
        <v>0</v>
      </c>
      <c r="U190" s="129">
        <f>SUMPRODUCT(($C$185=Indirectos[Movimiento])*($G190=Indirectos[Unidad de Negocio])*(U$1=Indirectos[Mes Financiero])*(U$2=Indirectos[Año Financiero])*(Indirectos[Financiero U$S Dólares]))</f>
        <v>0</v>
      </c>
      <c r="V190" s="128">
        <f>SUMPRODUCT(($C$185=Indirectos[Movimiento])*($G190=Indirectos[Unidad de Negocio])*(V$1=Indirectos[Mes Financiero])*(V$2=Indirectos[Año Financiero])*(Indirectos[Financiero U$S Dólares]))</f>
        <v>0</v>
      </c>
      <c r="W190" s="129">
        <f>SUMPRODUCT(($C$185=Indirectos[Movimiento])*($G190=Indirectos[Unidad de Negocio])*(W$1=Indirectos[Mes Financiero])*(W$2=Indirectos[Año Financiero])*(Indirectos[Financiero U$S Dólares]))</f>
        <v>0</v>
      </c>
      <c r="X190" s="128">
        <f>SUMPRODUCT(($C$185=Indirectos[Movimiento])*($G190=Indirectos[Unidad de Negocio])*(X$1=Indirectos[Mes Financiero])*(X$2=Indirectos[Año Financiero])*(Indirectos[Financiero U$S Dólares]))</f>
        <v>0</v>
      </c>
      <c r="Y190" s="129">
        <f>SUMPRODUCT(($C$185=Indirectos[Movimiento])*($G190=Indirectos[Unidad de Negocio])*(Y$1=Indirectos[Mes Financiero])*(Y$2=Indirectos[Año Financiero])*(Indirectos[Financiero U$S Dólares]))</f>
        <v>0</v>
      </c>
      <c r="Z190" s="141">
        <f t="shared" si="28"/>
        <v>0</v>
      </c>
    </row>
    <row r="191" spans="2:30" hidden="1" outlineLevel="1" collapsed="1" x14ac:dyDescent="0.25">
      <c r="E191" s="221">
        <f>IFERROR(MATCH(F191,Costos_Indirectos_Cuentas[Cuenta Contable],0),0)</f>
        <v>1</v>
      </c>
      <c r="F191" s="10" t="str">
        <f>Configuración!CE5</f>
        <v>Personal</v>
      </c>
      <c r="H191" s="103">
        <f>SUMPRODUCT(($C$185=Indirectos[Movimiento])*($F191=Indirectos[Cuenta Contable])*(H$1=Indirectos[Mes Financiero])*(H$2=Indirectos[Año Financiero])*(Indirectos[Financiero U$S Dólares]))</f>
        <v>0</v>
      </c>
      <c r="I191" s="104">
        <f>SUMPRODUCT(($C$185=Indirectos[Movimiento])*($F191=Indirectos[Cuenta Contable])*(I$1=Indirectos[Mes Financiero])*(I$2=Indirectos[Año Financiero])*(Indirectos[Financiero U$S Dólares]))</f>
        <v>0</v>
      </c>
      <c r="J191" s="103">
        <f>SUMPRODUCT(($C$185=Indirectos[Movimiento])*($F191=Indirectos[Cuenta Contable])*(J$1=Indirectos[Mes Financiero])*(J$2=Indirectos[Año Financiero])*(Indirectos[Financiero U$S Dólares]))</f>
        <v>0</v>
      </c>
      <c r="K191" s="104">
        <f>SUMPRODUCT(($C$185=Indirectos[Movimiento])*($F191=Indirectos[Cuenta Contable])*(K$1=Indirectos[Mes Financiero])*(K$2=Indirectos[Año Financiero])*(Indirectos[Financiero U$S Dólares]))</f>
        <v>0</v>
      </c>
      <c r="L191" s="103">
        <f>SUMPRODUCT(($C$185=Indirectos[Movimiento])*($F191=Indirectos[Cuenta Contable])*(L$1=Indirectos[Mes Financiero])*(L$2=Indirectos[Año Financiero])*(Indirectos[Financiero U$S Dólares]))</f>
        <v>0</v>
      </c>
      <c r="M191" s="104">
        <f>SUMPRODUCT(($C$185=Indirectos[Movimiento])*($F191=Indirectos[Cuenta Contable])*(M$1=Indirectos[Mes Financiero])*(M$2=Indirectos[Año Financiero])*(Indirectos[Financiero U$S Dólares]))</f>
        <v>0</v>
      </c>
      <c r="N191" s="103">
        <f>SUMPRODUCT(($C$185=Indirectos[Movimiento])*($F191=Indirectos[Cuenta Contable])*(N$1=Indirectos[Mes Financiero])*(N$2=Indirectos[Año Financiero])*(Indirectos[Financiero U$S Dólares]))</f>
        <v>0</v>
      </c>
      <c r="O191" s="104">
        <f>SUMPRODUCT(($C$185=Indirectos[Movimiento])*($F191=Indirectos[Cuenta Contable])*(O$1=Indirectos[Mes Financiero])*(O$2=Indirectos[Año Financiero])*(Indirectos[Financiero U$S Dólares]))</f>
        <v>0</v>
      </c>
      <c r="P191" s="103">
        <f>SUMPRODUCT(($C$185=Indirectos[Movimiento])*($F191=Indirectos[Cuenta Contable])*(P$1=Indirectos[Mes Financiero])*(P$2=Indirectos[Año Financiero])*(Indirectos[Financiero U$S Dólares]))</f>
        <v>0</v>
      </c>
      <c r="Q191" s="104">
        <f>SUMPRODUCT(($C$185=Indirectos[Movimiento])*($F191=Indirectos[Cuenta Contable])*(Q$1=Indirectos[Mes Financiero])*(Q$2=Indirectos[Año Financiero])*(Indirectos[Financiero U$S Dólares]))</f>
        <v>0</v>
      </c>
      <c r="R191" s="103">
        <f>SUMPRODUCT(($C$185=Indirectos[Movimiento])*($F191=Indirectos[Cuenta Contable])*(R$1=Indirectos[Mes Financiero])*(R$2=Indirectos[Año Financiero])*(Indirectos[Financiero U$S Dólares]))</f>
        <v>0</v>
      </c>
      <c r="S191" s="104">
        <f>SUMPRODUCT(($C$185=Indirectos[Movimiento])*($F191=Indirectos[Cuenta Contable])*(S$1=Indirectos[Mes Financiero])*(S$2=Indirectos[Año Financiero])*(Indirectos[Financiero U$S Dólares]))</f>
        <v>0</v>
      </c>
      <c r="T191" s="103">
        <f>SUMPRODUCT(($C$185=Indirectos[Movimiento])*($F191=Indirectos[Cuenta Contable])*(T$1=Indirectos[Mes Financiero])*(T$2=Indirectos[Año Financiero])*(Indirectos[Financiero U$S Dólares]))</f>
        <v>0</v>
      </c>
      <c r="U191" s="104">
        <f>SUMPRODUCT(($C$185=Indirectos[Movimiento])*($F191=Indirectos[Cuenta Contable])*(U$1=Indirectos[Mes Financiero])*(U$2=Indirectos[Año Financiero])*(Indirectos[Financiero U$S Dólares]))</f>
        <v>0</v>
      </c>
      <c r="V191" s="103">
        <f>SUMPRODUCT(($C$185=Indirectos[Movimiento])*($F191=Indirectos[Cuenta Contable])*(V$1=Indirectos[Mes Financiero])*(V$2=Indirectos[Año Financiero])*(Indirectos[Financiero U$S Dólares]))</f>
        <v>0</v>
      </c>
      <c r="W191" s="104">
        <f>SUMPRODUCT(($C$185=Indirectos[Movimiento])*($F191=Indirectos[Cuenta Contable])*(W$1=Indirectos[Mes Financiero])*(W$2=Indirectos[Año Financiero])*(Indirectos[Financiero U$S Dólares]))</f>
        <v>0</v>
      </c>
      <c r="X191" s="103">
        <f>SUMPRODUCT(($C$185=Indirectos[Movimiento])*($F191=Indirectos[Cuenta Contable])*(X$1=Indirectos[Mes Financiero])*(X$2=Indirectos[Año Financiero])*(Indirectos[Financiero U$S Dólares]))</f>
        <v>0</v>
      </c>
      <c r="Y191" s="104">
        <f>SUMPRODUCT(($C$185=Indirectos[Movimiento])*($F191=Indirectos[Cuenta Contable])*(Y$1=Indirectos[Mes Financiero])*(Y$2=Indirectos[Año Financiero])*(Indirectos[Financiero U$S Dólares]))</f>
        <v>0</v>
      </c>
      <c r="Z191" s="144">
        <f t="shared" si="28"/>
        <v>0</v>
      </c>
      <c r="AC191" s="174">
        <f>SUMPRODUCT((F191=Costos_Indirectos_Cuentas[Cuenta Contable])*(Costos_Indirectos_Cuentas[IVA]))</f>
        <v>0</v>
      </c>
    </row>
    <row r="192" spans="2:30" hidden="1" outlineLevel="1" x14ac:dyDescent="0.25">
      <c r="E192" s="221">
        <f>IFERROR(MATCH(F192,Costos_Indirectos_Cuentas[Cuenta Contable],0),0)</f>
        <v>2</v>
      </c>
      <c r="F192" s="10" t="str">
        <f>Configuración!CE6</f>
        <v>Cargas Sociales</v>
      </c>
      <c r="H192" s="103">
        <f>SUMPRODUCT(($C$185=Indirectos[Movimiento])*($F192=Indirectos[Cuenta Contable])*(H$1=Indirectos[Mes Financiero])*(H$2=Indirectos[Año Financiero])*(Indirectos[Financiero U$S Dólares]))</f>
        <v>0</v>
      </c>
      <c r="I192" s="104">
        <f>SUMPRODUCT(($C$185=Indirectos[Movimiento])*($F192=Indirectos[Cuenta Contable])*(I$1=Indirectos[Mes Financiero])*(I$2=Indirectos[Año Financiero])*(Indirectos[Financiero U$S Dólares]))</f>
        <v>0</v>
      </c>
      <c r="J192" s="103">
        <f>SUMPRODUCT(($C$185=Indirectos[Movimiento])*($F192=Indirectos[Cuenta Contable])*(J$1=Indirectos[Mes Financiero])*(J$2=Indirectos[Año Financiero])*(Indirectos[Financiero U$S Dólares]))</f>
        <v>0</v>
      </c>
      <c r="K192" s="104">
        <f>SUMPRODUCT(($C$185=Indirectos[Movimiento])*($F192=Indirectos[Cuenta Contable])*(K$1=Indirectos[Mes Financiero])*(K$2=Indirectos[Año Financiero])*(Indirectos[Financiero U$S Dólares]))</f>
        <v>0</v>
      </c>
      <c r="L192" s="103">
        <f>SUMPRODUCT(($C$185=Indirectos[Movimiento])*($F192=Indirectos[Cuenta Contable])*(L$1=Indirectos[Mes Financiero])*(L$2=Indirectos[Año Financiero])*(Indirectos[Financiero U$S Dólares]))</f>
        <v>0</v>
      </c>
      <c r="M192" s="104">
        <f>SUMPRODUCT(($C$185=Indirectos[Movimiento])*($F192=Indirectos[Cuenta Contable])*(M$1=Indirectos[Mes Financiero])*(M$2=Indirectos[Año Financiero])*(Indirectos[Financiero U$S Dólares]))</f>
        <v>0</v>
      </c>
      <c r="N192" s="103">
        <f>SUMPRODUCT(($C$185=Indirectos[Movimiento])*($F192=Indirectos[Cuenta Contable])*(N$1=Indirectos[Mes Financiero])*(N$2=Indirectos[Año Financiero])*(Indirectos[Financiero U$S Dólares]))</f>
        <v>0</v>
      </c>
      <c r="O192" s="104">
        <f>SUMPRODUCT(($C$185=Indirectos[Movimiento])*($F192=Indirectos[Cuenta Contable])*(O$1=Indirectos[Mes Financiero])*(O$2=Indirectos[Año Financiero])*(Indirectos[Financiero U$S Dólares]))</f>
        <v>0</v>
      </c>
      <c r="P192" s="103">
        <f>SUMPRODUCT(($C$185=Indirectos[Movimiento])*($F192=Indirectos[Cuenta Contable])*(P$1=Indirectos[Mes Financiero])*(P$2=Indirectos[Año Financiero])*(Indirectos[Financiero U$S Dólares]))</f>
        <v>0</v>
      </c>
      <c r="Q192" s="104">
        <f>SUMPRODUCT(($C$185=Indirectos[Movimiento])*($F192=Indirectos[Cuenta Contable])*(Q$1=Indirectos[Mes Financiero])*(Q$2=Indirectos[Año Financiero])*(Indirectos[Financiero U$S Dólares]))</f>
        <v>0</v>
      </c>
      <c r="R192" s="103">
        <f>SUMPRODUCT(($C$185=Indirectos[Movimiento])*($F192=Indirectos[Cuenta Contable])*(R$1=Indirectos[Mes Financiero])*(R$2=Indirectos[Año Financiero])*(Indirectos[Financiero U$S Dólares]))</f>
        <v>0</v>
      </c>
      <c r="S192" s="104">
        <f>SUMPRODUCT(($C$185=Indirectos[Movimiento])*($F192=Indirectos[Cuenta Contable])*(S$1=Indirectos[Mes Financiero])*(S$2=Indirectos[Año Financiero])*(Indirectos[Financiero U$S Dólares]))</f>
        <v>0</v>
      </c>
      <c r="T192" s="103">
        <f>SUMPRODUCT(($C$185=Indirectos[Movimiento])*($F192=Indirectos[Cuenta Contable])*(T$1=Indirectos[Mes Financiero])*(T$2=Indirectos[Año Financiero])*(Indirectos[Financiero U$S Dólares]))</f>
        <v>0</v>
      </c>
      <c r="U192" s="104">
        <f>SUMPRODUCT(($C$185=Indirectos[Movimiento])*($F192=Indirectos[Cuenta Contable])*(U$1=Indirectos[Mes Financiero])*(U$2=Indirectos[Año Financiero])*(Indirectos[Financiero U$S Dólares]))</f>
        <v>0</v>
      </c>
      <c r="V192" s="103">
        <f>SUMPRODUCT(($C$185=Indirectos[Movimiento])*($F192=Indirectos[Cuenta Contable])*(V$1=Indirectos[Mes Financiero])*(V$2=Indirectos[Año Financiero])*(Indirectos[Financiero U$S Dólares]))</f>
        <v>0</v>
      </c>
      <c r="W192" s="104">
        <f>SUMPRODUCT(($C$185=Indirectos[Movimiento])*($F192=Indirectos[Cuenta Contable])*(W$1=Indirectos[Mes Financiero])*(W$2=Indirectos[Año Financiero])*(Indirectos[Financiero U$S Dólares]))</f>
        <v>0</v>
      </c>
      <c r="X192" s="103">
        <f>SUMPRODUCT(($C$185=Indirectos[Movimiento])*($F192=Indirectos[Cuenta Contable])*(X$1=Indirectos[Mes Financiero])*(X$2=Indirectos[Año Financiero])*(Indirectos[Financiero U$S Dólares]))</f>
        <v>0</v>
      </c>
      <c r="Y192" s="104">
        <f>SUMPRODUCT(($C$185=Indirectos[Movimiento])*($F192=Indirectos[Cuenta Contable])*(Y$1=Indirectos[Mes Financiero])*(Y$2=Indirectos[Año Financiero])*(Indirectos[Financiero U$S Dólares]))</f>
        <v>0</v>
      </c>
      <c r="Z192" s="144">
        <f t="shared" si="28"/>
        <v>0</v>
      </c>
      <c r="AC192" s="174">
        <f>SUMPRODUCT((F192=Costos_Indirectos_Cuentas[Cuenta Contable])*(Costos_Indirectos_Cuentas[IVA]))</f>
        <v>0</v>
      </c>
    </row>
    <row r="193" spans="5:29" hidden="1" outlineLevel="1" x14ac:dyDescent="0.25">
      <c r="E193" s="221">
        <f>IFERROR(MATCH(F193,Costos_Indirectos_Cuentas[Cuenta Contable],0),0)</f>
        <v>3</v>
      </c>
      <c r="F193" s="10" t="str">
        <f>Configuración!CE7</f>
        <v>Honorarios</v>
      </c>
      <c r="H193" s="103">
        <f>SUMPRODUCT(($C$185=Indirectos[Movimiento])*($F193=Indirectos[Cuenta Contable])*(H$1=Indirectos[Mes Financiero])*(H$2=Indirectos[Año Financiero])*(Indirectos[Financiero U$S Dólares]))</f>
        <v>0</v>
      </c>
      <c r="I193" s="104">
        <f>SUMPRODUCT(($C$185=Indirectos[Movimiento])*($F193=Indirectos[Cuenta Contable])*(I$1=Indirectos[Mes Financiero])*(I$2=Indirectos[Año Financiero])*(Indirectos[Financiero U$S Dólares]))</f>
        <v>0</v>
      </c>
      <c r="J193" s="103">
        <f>SUMPRODUCT(($C$185=Indirectos[Movimiento])*($F193=Indirectos[Cuenta Contable])*(J$1=Indirectos[Mes Financiero])*(J$2=Indirectos[Año Financiero])*(Indirectos[Financiero U$S Dólares]))</f>
        <v>0</v>
      </c>
      <c r="K193" s="104">
        <f>SUMPRODUCT(($C$185=Indirectos[Movimiento])*($F193=Indirectos[Cuenta Contable])*(K$1=Indirectos[Mes Financiero])*(K$2=Indirectos[Año Financiero])*(Indirectos[Financiero U$S Dólares]))</f>
        <v>0</v>
      </c>
      <c r="L193" s="103">
        <f>SUMPRODUCT(($C$185=Indirectos[Movimiento])*($F193=Indirectos[Cuenta Contable])*(L$1=Indirectos[Mes Financiero])*(L$2=Indirectos[Año Financiero])*(Indirectos[Financiero U$S Dólares]))</f>
        <v>0</v>
      </c>
      <c r="M193" s="104">
        <f>SUMPRODUCT(($C$185=Indirectos[Movimiento])*($F193=Indirectos[Cuenta Contable])*(M$1=Indirectos[Mes Financiero])*(M$2=Indirectos[Año Financiero])*(Indirectos[Financiero U$S Dólares]))</f>
        <v>0</v>
      </c>
      <c r="N193" s="103">
        <f>SUMPRODUCT(($C$185=Indirectos[Movimiento])*($F193=Indirectos[Cuenta Contable])*(N$1=Indirectos[Mes Financiero])*(N$2=Indirectos[Año Financiero])*(Indirectos[Financiero U$S Dólares]))</f>
        <v>0</v>
      </c>
      <c r="O193" s="104">
        <f>SUMPRODUCT(($C$185=Indirectos[Movimiento])*($F193=Indirectos[Cuenta Contable])*(O$1=Indirectos[Mes Financiero])*(O$2=Indirectos[Año Financiero])*(Indirectos[Financiero U$S Dólares]))</f>
        <v>0</v>
      </c>
      <c r="P193" s="103">
        <f>SUMPRODUCT(($C$185=Indirectos[Movimiento])*($F193=Indirectos[Cuenta Contable])*(P$1=Indirectos[Mes Financiero])*(P$2=Indirectos[Año Financiero])*(Indirectos[Financiero U$S Dólares]))</f>
        <v>0</v>
      </c>
      <c r="Q193" s="104">
        <f>SUMPRODUCT(($C$185=Indirectos[Movimiento])*($F193=Indirectos[Cuenta Contable])*(Q$1=Indirectos[Mes Financiero])*(Q$2=Indirectos[Año Financiero])*(Indirectos[Financiero U$S Dólares]))</f>
        <v>0</v>
      </c>
      <c r="R193" s="103">
        <f>SUMPRODUCT(($C$185=Indirectos[Movimiento])*($F193=Indirectos[Cuenta Contable])*(R$1=Indirectos[Mes Financiero])*(R$2=Indirectos[Año Financiero])*(Indirectos[Financiero U$S Dólares]))</f>
        <v>0</v>
      </c>
      <c r="S193" s="104">
        <f>SUMPRODUCT(($C$185=Indirectos[Movimiento])*($F193=Indirectos[Cuenta Contable])*(S$1=Indirectos[Mes Financiero])*(S$2=Indirectos[Año Financiero])*(Indirectos[Financiero U$S Dólares]))</f>
        <v>0</v>
      </c>
      <c r="T193" s="103">
        <f>SUMPRODUCT(($C$185=Indirectos[Movimiento])*($F193=Indirectos[Cuenta Contable])*(T$1=Indirectos[Mes Financiero])*(T$2=Indirectos[Año Financiero])*(Indirectos[Financiero U$S Dólares]))</f>
        <v>0</v>
      </c>
      <c r="U193" s="104">
        <f>SUMPRODUCT(($C$185=Indirectos[Movimiento])*($F193=Indirectos[Cuenta Contable])*(U$1=Indirectos[Mes Financiero])*(U$2=Indirectos[Año Financiero])*(Indirectos[Financiero U$S Dólares]))</f>
        <v>0</v>
      </c>
      <c r="V193" s="103">
        <f>SUMPRODUCT(($C$185=Indirectos[Movimiento])*($F193=Indirectos[Cuenta Contable])*(V$1=Indirectos[Mes Financiero])*(V$2=Indirectos[Año Financiero])*(Indirectos[Financiero U$S Dólares]))</f>
        <v>0</v>
      </c>
      <c r="W193" s="104">
        <f>SUMPRODUCT(($C$185=Indirectos[Movimiento])*($F193=Indirectos[Cuenta Contable])*(W$1=Indirectos[Mes Financiero])*(W$2=Indirectos[Año Financiero])*(Indirectos[Financiero U$S Dólares]))</f>
        <v>0</v>
      </c>
      <c r="X193" s="103">
        <f>SUMPRODUCT(($C$185=Indirectos[Movimiento])*($F193=Indirectos[Cuenta Contable])*(X$1=Indirectos[Mes Financiero])*(X$2=Indirectos[Año Financiero])*(Indirectos[Financiero U$S Dólares]))</f>
        <v>0</v>
      </c>
      <c r="Y193" s="104">
        <f>SUMPRODUCT(($C$185=Indirectos[Movimiento])*($F193=Indirectos[Cuenta Contable])*(Y$1=Indirectos[Mes Financiero])*(Y$2=Indirectos[Año Financiero])*(Indirectos[Financiero U$S Dólares]))</f>
        <v>0</v>
      </c>
      <c r="Z193" s="144">
        <f t="shared" si="28"/>
        <v>0</v>
      </c>
      <c r="AC193" s="174">
        <f>SUMPRODUCT((F193=Costos_Indirectos_Cuentas[Cuenta Contable])*(Costos_Indirectos_Cuentas[IVA]))</f>
        <v>0.21</v>
      </c>
    </row>
    <row r="194" spans="5:29" hidden="1" outlineLevel="1" x14ac:dyDescent="0.25">
      <c r="E194" s="221">
        <f>IFERROR(MATCH(F194,Costos_Indirectos_Cuentas[Cuenta Contable],0),0)</f>
        <v>4</v>
      </c>
      <c r="F194" s="10" t="str">
        <f>Configuración!CE8</f>
        <v>Movilidad - Viáticos</v>
      </c>
      <c r="H194" s="103">
        <f>SUMPRODUCT(($C$185=Indirectos[Movimiento])*($F194=Indirectos[Cuenta Contable])*(H$1=Indirectos[Mes Financiero])*(H$2=Indirectos[Año Financiero])*(Indirectos[Financiero U$S Dólares]))</f>
        <v>0</v>
      </c>
      <c r="I194" s="104">
        <f>SUMPRODUCT(($C$185=Indirectos[Movimiento])*($F194=Indirectos[Cuenta Contable])*(I$1=Indirectos[Mes Financiero])*(I$2=Indirectos[Año Financiero])*(Indirectos[Financiero U$S Dólares]))</f>
        <v>0</v>
      </c>
      <c r="J194" s="103">
        <f>SUMPRODUCT(($C$185=Indirectos[Movimiento])*($F194=Indirectos[Cuenta Contable])*(J$1=Indirectos[Mes Financiero])*(J$2=Indirectos[Año Financiero])*(Indirectos[Financiero U$S Dólares]))</f>
        <v>0</v>
      </c>
      <c r="K194" s="104">
        <f>SUMPRODUCT(($C$185=Indirectos[Movimiento])*($F194=Indirectos[Cuenta Contable])*(K$1=Indirectos[Mes Financiero])*(K$2=Indirectos[Año Financiero])*(Indirectos[Financiero U$S Dólares]))</f>
        <v>0</v>
      </c>
      <c r="L194" s="103">
        <f>SUMPRODUCT(($C$185=Indirectos[Movimiento])*($F194=Indirectos[Cuenta Contable])*(L$1=Indirectos[Mes Financiero])*(L$2=Indirectos[Año Financiero])*(Indirectos[Financiero U$S Dólares]))</f>
        <v>0</v>
      </c>
      <c r="M194" s="104">
        <f>SUMPRODUCT(($C$185=Indirectos[Movimiento])*($F194=Indirectos[Cuenta Contable])*(M$1=Indirectos[Mes Financiero])*(M$2=Indirectos[Año Financiero])*(Indirectos[Financiero U$S Dólares]))</f>
        <v>0</v>
      </c>
      <c r="N194" s="103">
        <f>SUMPRODUCT(($C$185=Indirectos[Movimiento])*($F194=Indirectos[Cuenta Contable])*(N$1=Indirectos[Mes Financiero])*(N$2=Indirectos[Año Financiero])*(Indirectos[Financiero U$S Dólares]))</f>
        <v>0</v>
      </c>
      <c r="O194" s="104">
        <f>SUMPRODUCT(($C$185=Indirectos[Movimiento])*($F194=Indirectos[Cuenta Contable])*(O$1=Indirectos[Mes Financiero])*(O$2=Indirectos[Año Financiero])*(Indirectos[Financiero U$S Dólares]))</f>
        <v>0</v>
      </c>
      <c r="P194" s="103">
        <f>SUMPRODUCT(($C$185=Indirectos[Movimiento])*($F194=Indirectos[Cuenta Contable])*(P$1=Indirectos[Mes Financiero])*(P$2=Indirectos[Año Financiero])*(Indirectos[Financiero U$S Dólares]))</f>
        <v>0</v>
      </c>
      <c r="Q194" s="104">
        <f>SUMPRODUCT(($C$185=Indirectos[Movimiento])*($F194=Indirectos[Cuenta Contable])*(Q$1=Indirectos[Mes Financiero])*(Q$2=Indirectos[Año Financiero])*(Indirectos[Financiero U$S Dólares]))</f>
        <v>0</v>
      </c>
      <c r="R194" s="103">
        <f>SUMPRODUCT(($C$185=Indirectos[Movimiento])*($F194=Indirectos[Cuenta Contable])*(R$1=Indirectos[Mes Financiero])*(R$2=Indirectos[Año Financiero])*(Indirectos[Financiero U$S Dólares]))</f>
        <v>0</v>
      </c>
      <c r="S194" s="104">
        <f>SUMPRODUCT(($C$185=Indirectos[Movimiento])*($F194=Indirectos[Cuenta Contable])*(S$1=Indirectos[Mes Financiero])*(S$2=Indirectos[Año Financiero])*(Indirectos[Financiero U$S Dólares]))</f>
        <v>0</v>
      </c>
      <c r="T194" s="103">
        <f>SUMPRODUCT(($C$185=Indirectos[Movimiento])*($F194=Indirectos[Cuenta Contable])*(T$1=Indirectos[Mes Financiero])*(T$2=Indirectos[Año Financiero])*(Indirectos[Financiero U$S Dólares]))</f>
        <v>0</v>
      </c>
      <c r="U194" s="104">
        <f>SUMPRODUCT(($C$185=Indirectos[Movimiento])*($F194=Indirectos[Cuenta Contable])*(U$1=Indirectos[Mes Financiero])*(U$2=Indirectos[Año Financiero])*(Indirectos[Financiero U$S Dólares]))</f>
        <v>0</v>
      </c>
      <c r="V194" s="103">
        <f>SUMPRODUCT(($C$185=Indirectos[Movimiento])*($F194=Indirectos[Cuenta Contable])*(V$1=Indirectos[Mes Financiero])*(V$2=Indirectos[Año Financiero])*(Indirectos[Financiero U$S Dólares]))</f>
        <v>0</v>
      </c>
      <c r="W194" s="104">
        <f>SUMPRODUCT(($C$185=Indirectos[Movimiento])*($F194=Indirectos[Cuenta Contable])*(W$1=Indirectos[Mes Financiero])*(W$2=Indirectos[Año Financiero])*(Indirectos[Financiero U$S Dólares]))</f>
        <v>0</v>
      </c>
      <c r="X194" s="103">
        <f>SUMPRODUCT(($C$185=Indirectos[Movimiento])*($F194=Indirectos[Cuenta Contable])*(X$1=Indirectos[Mes Financiero])*(X$2=Indirectos[Año Financiero])*(Indirectos[Financiero U$S Dólares]))</f>
        <v>0</v>
      </c>
      <c r="Y194" s="104">
        <f>SUMPRODUCT(($C$185=Indirectos[Movimiento])*($F194=Indirectos[Cuenta Contable])*(Y$1=Indirectos[Mes Financiero])*(Y$2=Indirectos[Año Financiero])*(Indirectos[Financiero U$S Dólares]))</f>
        <v>0</v>
      </c>
      <c r="Z194" s="144">
        <f t="shared" si="28"/>
        <v>0</v>
      </c>
      <c r="AC194" s="174">
        <f>SUMPRODUCT((F194=Costos_Indirectos_Cuentas[Cuenta Contable])*(Costos_Indirectos_Cuentas[IVA]))</f>
        <v>0.21</v>
      </c>
    </row>
    <row r="195" spans="5:29" hidden="1" outlineLevel="1" x14ac:dyDescent="0.25">
      <c r="E195" s="221">
        <f>IFERROR(MATCH(F195,Costos_Indirectos_Cuentas[Cuenta Contable],0),0)</f>
        <v>5</v>
      </c>
      <c r="F195" s="10" t="str">
        <f>Configuración!CE9</f>
        <v>Repuestos y Reparaciones</v>
      </c>
      <c r="H195" s="103">
        <f>SUMPRODUCT(($C$185=Indirectos[Movimiento])*($F195=Indirectos[Cuenta Contable])*(H$1=Indirectos[Mes Financiero])*(H$2=Indirectos[Año Financiero])*(Indirectos[Financiero U$S Dólares]))</f>
        <v>0</v>
      </c>
      <c r="I195" s="104">
        <f>SUMPRODUCT(($C$185=Indirectos[Movimiento])*($F195=Indirectos[Cuenta Contable])*(I$1=Indirectos[Mes Financiero])*(I$2=Indirectos[Año Financiero])*(Indirectos[Financiero U$S Dólares]))</f>
        <v>0</v>
      </c>
      <c r="J195" s="103">
        <f>SUMPRODUCT(($C$185=Indirectos[Movimiento])*($F195=Indirectos[Cuenta Contable])*(J$1=Indirectos[Mes Financiero])*(J$2=Indirectos[Año Financiero])*(Indirectos[Financiero U$S Dólares]))</f>
        <v>0</v>
      </c>
      <c r="K195" s="104">
        <f>SUMPRODUCT(($C$185=Indirectos[Movimiento])*($F195=Indirectos[Cuenta Contable])*(K$1=Indirectos[Mes Financiero])*(K$2=Indirectos[Año Financiero])*(Indirectos[Financiero U$S Dólares]))</f>
        <v>0</v>
      </c>
      <c r="L195" s="103">
        <f>SUMPRODUCT(($C$185=Indirectos[Movimiento])*($F195=Indirectos[Cuenta Contable])*(L$1=Indirectos[Mes Financiero])*(L$2=Indirectos[Año Financiero])*(Indirectos[Financiero U$S Dólares]))</f>
        <v>0</v>
      </c>
      <c r="M195" s="104">
        <f>SUMPRODUCT(($C$185=Indirectos[Movimiento])*($F195=Indirectos[Cuenta Contable])*(M$1=Indirectos[Mes Financiero])*(M$2=Indirectos[Año Financiero])*(Indirectos[Financiero U$S Dólares]))</f>
        <v>0</v>
      </c>
      <c r="N195" s="103">
        <f>SUMPRODUCT(($C$185=Indirectos[Movimiento])*($F195=Indirectos[Cuenta Contable])*(N$1=Indirectos[Mes Financiero])*(N$2=Indirectos[Año Financiero])*(Indirectos[Financiero U$S Dólares]))</f>
        <v>0</v>
      </c>
      <c r="O195" s="104">
        <f>SUMPRODUCT(($C$185=Indirectos[Movimiento])*($F195=Indirectos[Cuenta Contable])*(O$1=Indirectos[Mes Financiero])*(O$2=Indirectos[Año Financiero])*(Indirectos[Financiero U$S Dólares]))</f>
        <v>0</v>
      </c>
      <c r="P195" s="103">
        <f>SUMPRODUCT(($C$185=Indirectos[Movimiento])*($F195=Indirectos[Cuenta Contable])*(P$1=Indirectos[Mes Financiero])*(P$2=Indirectos[Año Financiero])*(Indirectos[Financiero U$S Dólares]))</f>
        <v>0</v>
      </c>
      <c r="Q195" s="104">
        <f>SUMPRODUCT(($C$185=Indirectos[Movimiento])*($F195=Indirectos[Cuenta Contable])*(Q$1=Indirectos[Mes Financiero])*(Q$2=Indirectos[Año Financiero])*(Indirectos[Financiero U$S Dólares]))</f>
        <v>0</v>
      </c>
      <c r="R195" s="103">
        <f>SUMPRODUCT(($C$185=Indirectos[Movimiento])*($F195=Indirectos[Cuenta Contable])*(R$1=Indirectos[Mes Financiero])*(R$2=Indirectos[Año Financiero])*(Indirectos[Financiero U$S Dólares]))</f>
        <v>0</v>
      </c>
      <c r="S195" s="104">
        <f>SUMPRODUCT(($C$185=Indirectos[Movimiento])*($F195=Indirectos[Cuenta Contable])*(S$1=Indirectos[Mes Financiero])*(S$2=Indirectos[Año Financiero])*(Indirectos[Financiero U$S Dólares]))</f>
        <v>0</v>
      </c>
      <c r="T195" s="103">
        <f>SUMPRODUCT(($C$185=Indirectos[Movimiento])*($F195=Indirectos[Cuenta Contable])*(T$1=Indirectos[Mes Financiero])*(T$2=Indirectos[Año Financiero])*(Indirectos[Financiero U$S Dólares]))</f>
        <v>0</v>
      </c>
      <c r="U195" s="104">
        <f>SUMPRODUCT(($C$185=Indirectos[Movimiento])*($F195=Indirectos[Cuenta Contable])*(U$1=Indirectos[Mes Financiero])*(U$2=Indirectos[Año Financiero])*(Indirectos[Financiero U$S Dólares]))</f>
        <v>0</v>
      </c>
      <c r="V195" s="103">
        <f>SUMPRODUCT(($C$185=Indirectos[Movimiento])*($F195=Indirectos[Cuenta Contable])*(V$1=Indirectos[Mes Financiero])*(V$2=Indirectos[Año Financiero])*(Indirectos[Financiero U$S Dólares]))</f>
        <v>0</v>
      </c>
      <c r="W195" s="104">
        <f>SUMPRODUCT(($C$185=Indirectos[Movimiento])*($F195=Indirectos[Cuenta Contable])*(W$1=Indirectos[Mes Financiero])*(W$2=Indirectos[Año Financiero])*(Indirectos[Financiero U$S Dólares]))</f>
        <v>0</v>
      </c>
      <c r="X195" s="103">
        <f>SUMPRODUCT(($C$185=Indirectos[Movimiento])*($F195=Indirectos[Cuenta Contable])*(X$1=Indirectos[Mes Financiero])*(X$2=Indirectos[Año Financiero])*(Indirectos[Financiero U$S Dólares]))</f>
        <v>0</v>
      </c>
      <c r="Y195" s="104">
        <f>SUMPRODUCT(($C$185=Indirectos[Movimiento])*($F195=Indirectos[Cuenta Contable])*(Y$1=Indirectos[Mes Financiero])*(Y$2=Indirectos[Año Financiero])*(Indirectos[Financiero U$S Dólares]))</f>
        <v>0</v>
      </c>
      <c r="Z195" s="144">
        <f t="shared" si="28"/>
        <v>0</v>
      </c>
      <c r="AC195" s="174">
        <f>SUMPRODUCT((F195=Costos_Indirectos_Cuentas[Cuenta Contable])*(Costos_Indirectos_Cuentas[IVA]))</f>
        <v>0.21</v>
      </c>
    </row>
    <row r="196" spans="5:29" hidden="1" outlineLevel="1" x14ac:dyDescent="0.25">
      <c r="E196" s="221">
        <f>IFERROR(MATCH(F196,Costos_Indirectos_Cuentas[Cuenta Contable],0),0)</f>
        <v>6</v>
      </c>
      <c r="F196" s="10" t="str">
        <f>Configuración!CE10</f>
        <v>Conservación de Mejoras</v>
      </c>
      <c r="H196" s="103">
        <f>SUMPRODUCT(($C$185=Indirectos[Movimiento])*($F196=Indirectos[Cuenta Contable])*(H$1=Indirectos[Mes Financiero])*(H$2=Indirectos[Año Financiero])*(Indirectos[Financiero U$S Dólares]))</f>
        <v>0</v>
      </c>
      <c r="I196" s="104">
        <f>SUMPRODUCT(($C$185=Indirectos[Movimiento])*($F196=Indirectos[Cuenta Contable])*(I$1=Indirectos[Mes Financiero])*(I$2=Indirectos[Año Financiero])*(Indirectos[Financiero U$S Dólares]))</f>
        <v>0</v>
      </c>
      <c r="J196" s="103">
        <f>SUMPRODUCT(($C$185=Indirectos[Movimiento])*($F196=Indirectos[Cuenta Contable])*(J$1=Indirectos[Mes Financiero])*(J$2=Indirectos[Año Financiero])*(Indirectos[Financiero U$S Dólares]))</f>
        <v>0</v>
      </c>
      <c r="K196" s="104">
        <f>SUMPRODUCT(($C$185=Indirectos[Movimiento])*($F196=Indirectos[Cuenta Contable])*(K$1=Indirectos[Mes Financiero])*(K$2=Indirectos[Año Financiero])*(Indirectos[Financiero U$S Dólares]))</f>
        <v>0</v>
      </c>
      <c r="L196" s="103">
        <f>SUMPRODUCT(($C$185=Indirectos[Movimiento])*($F196=Indirectos[Cuenta Contable])*(L$1=Indirectos[Mes Financiero])*(L$2=Indirectos[Año Financiero])*(Indirectos[Financiero U$S Dólares]))</f>
        <v>0</v>
      </c>
      <c r="M196" s="104">
        <f>SUMPRODUCT(($C$185=Indirectos[Movimiento])*($F196=Indirectos[Cuenta Contable])*(M$1=Indirectos[Mes Financiero])*(M$2=Indirectos[Año Financiero])*(Indirectos[Financiero U$S Dólares]))</f>
        <v>0</v>
      </c>
      <c r="N196" s="103">
        <f>SUMPRODUCT(($C$185=Indirectos[Movimiento])*($F196=Indirectos[Cuenta Contable])*(N$1=Indirectos[Mes Financiero])*(N$2=Indirectos[Año Financiero])*(Indirectos[Financiero U$S Dólares]))</f>
        <v>0</v>
      </c>
      <c r="O196" s="104">
        <f>SUMPRODUCT(($C$185=Indirectos[Movimiento])*($F196=Indirectos[Cuenta Contable])*(O$1=Indirectos[Mes Financiero])*(O$2=Indirectos[Año Financiero])*(Indirectos[Financiero U$S Dólares]))</f>
        <v>0</v>
      </c>
      <c r="P196" s="103">
        <f>SUMPRODUCT(($C$185=Indirectos[Movimiento])*($F196=Indirectos[Cuenta Contable])*(P$1=Indirectos[Mes Financiero])*(P$2=Indirectos[Año Financiero])*(Indirectos[Financiero U$S Dólares]))</f>
        <v>0</v>
      </c>
      <c r="Q196" s="104">
        <f>SUMPRODUCT(($C$185=Indirectos[Movimiento])*($F196=Indirectos[Cuenta Contable])*(Q$1=Indirectos[Mes Financiero])*(Q$2=Indirectos[Año Financiero])*(Indirectos[Financiero U$S Dólares]))</f>
        <v>0</v>
      </c>
      <c r="R196" s="103">
        <f>SUMPRODUCT(($C$185=Indirectos[Movimiento])*($F196=Indirectos[Cuenta Contable])*(R$1=Indirectos[Mes Financiero])*(R$2=Indirectos[Año Financiero])*(Indirectos[Financiero U$S Dólares]))</f>
        <v>0</v>
      </c>
      <c r="S196" s="104">
        <f>SUMPRODUCT(($C$185=Indirectos[Movimiento])*($F196=Indirectos[Cuenta Contable])*(S$1=Indirectos[Mes Financiero])*(S$2=Indirectos[Año Financiero])*(Indirectos[Financiero U$S Dólares]))</f>
        <v>0</v>
      </c>
      <c r="T196" s="103">
        <f>SUMPRODUCT(($C$185=Indirectos[Movimiento])*($F196=Indirectos[Cuenta Contable])*(T$1=Indirectos[Mes Financiero])*(T$2=Indirectos[Año Financiero])*(Indirectos[Financiero U$S Dólares]))</f>
        <v>0</v>
      </c>
      <c r="U196" s="104">
        <f>SUMPRODUCT(($C$185=Indirectos[Movimiento])*($F196=Indirectos[Cuenta Contable])*(U$1=Indirectos[Mes Financiero])*(U$2=Indirectos[Año Financiero])*(Indirectos[Financiero U$S Dólares]))</f>
        <v>0</v>
      </c>
      <c r="V196" s="103">
        <f>SUMPRODUCT(($C$185=Indirectos[Movimiento])*($F196=Indirectos[Cuenta Contable])*(V$1=Indirectos[Mes Financiero])*(V$2=Indirectos[Año Financiero])*(Indirectos[Financiero U$S Dólares]))</f>
        <v>0</v>
      </c>
      <c r="W196" s="104">
        <f>SUMPRODUCT(($C$185=Indirectos[Movimiento])*($F196=Indirectos[Cuenta Contable])*(W$1=Indirectos[Mes Financiero])*(W$2=Indirectos[Año Financiero])*(Indirectos[Financiero U$S Dólares]))</f>
        <v>0</v>
      </c>
      <c r="X196" s="103">
        <f>SUMPRODUCT(($C$185=Indirectos[Movimiento])*($F196=Indirectos[Cuenta Contable])*(X$1=Indirectos[Mes Financiero])*(X$2=Indirectos[Año Financiero])*(Indirectos[Financiero U$S Dólares]))</f>
        <v>0</v>
      </c>
      <c r="Y196" s="104">
        <f>SUMPRODUCT(($C$185=Indirectos[Movimiento])*($F196=Indirectos[Cuenta Contable])*(Y$1=Indirectos[Mes Financiero])*(Y$2=Indirectos[Año Financiero])*(Indirectos[Financiero U$S Dólares]))</f>
        <v>0</v>
      </c>
      <c r="Z196" s="144">
        <f t="shared" si="28"/>
        <v>0</v>
      </c>
      <c r="AC196" s="174">
        <f>SUMPRODUCT((F196=Costos_Indirectos_Cuentas[Cuenta Contable])*(Costos_Indirectos_Cuentas[IVA]))</f>
        <v>0.21</v>
      </c>
    </row>
    <row r="197" spans="5:29" hidden="1" outlineLevel="1" x14ac:dyDescent="0.25">
      <c r="E197" s="221">
        <f>IFERROR(MATCH(F197,Costos_Indirectos_Cuentas[Cuenta Contable],0),0)</f>
        <v>7</v>
      </c>
      <c r="F197" s="10" t="str">
        <f>Configuración!CE11</f>
        <v>Arrendamiento</v>
      </c>
      <c r="H197" s="103">
        <f>SUMPRODUCT(($C$185=Indirectos[Movimiento])*($F197=Indirectos[Cuenta Contable])*(H$1=Indirectos[Mes Financiero])*(H$2=Indirectos[Año Financiero])*(Indirectos[Financiero U$S Dólares]))</f>
        <v>0</v>
      </c>
      <c r="I197" s="104">
        <f>SUMPRODUCT(($C$185=Indirectos[Movimiento])*($F197=Indirectos[Cuenta Contable])*(I$1=Indirectos[Mes Financiero])*(I$2=Indirectos[Año Financiero])*(Indirectos[Financiero U$S Dólares]))</f>
        <v>0</v>
      </c>
      <c r="J197" s="103">
        <f>SUMPRODUCT(($C$185=Indirectos[Movimiento])*($F197=Indirectos[Cuenta Contable])*(J$1=Indirectos[Mes Financiero])*(J$2=Indirectos[Año Financiero])*(Indirectos[Financiero U$S Dólares]))</f>
        <v>0</v>
      </c>
      <c r="K197" s="104">
        <f>SUMPRODUCT(($C$185=Indirectos[Movimiento])*($F197=Indirectos[Cuenta Contable])*(K$1=Indirectos[Mes Financiero])*(K$2=Indirectos[Año Financiero])*(Indirectos[Financiero U$S Dólares]))</f>
        <v>0</v>
      </c>
      <c r="L197" s="103">
        <f>SUMPRODUCT(($C$185=Indirectos[Movimiento])*($F197=Indirectos[Cuenta Contable])*(L$1=Indirectos[Mes Financiero])*(L$2=Indirectos[Año Financiero])*(Indirectos[Financiero U$S Dólares]))</f>
        <v>0</v>
      </c>
      <c r="M197" s="104">
        <f>SUMPRODUCT(($C$185=Indirectos[Movimiento])*($F197=Indirectos[Cuenta Contable])*(M$1=Indirectos[Mes Financiero])*(M$2=Indirectos[Año Financiero])*(Indirectos[Financiero U$S Dólares]))</f>
        <v>0</v>
      </c>
      <c r="N197" s="103">
        <f>SUMPRODUCT(($C$185=Indirectos[Movimiento])*($F197=Indirectos[Cuenta Contable])*(N$1=Indirectos[Mes Financiero])*(N$2=Indirectos[Año Financiero])*(Indirectos[Financiero U$S Dólares]))</f>
        <v>0</v>
      </c>
      <c r="O197" s="104">
        <f>SUMPRODUCT(($C$185=Indirectos[Movimiento])*($F197=Indirectos[Cuenta Contable])*(O$1=Indirectos[Mes Financiero])*(O$2=Indirectos[Año Financiero])*(Indirectos[Financiero U$S Dólares]))</f>
        <v>0</v>
      </c>
      <c r="P197" s="103">
        <f>SUMPRODUCT(($C$185=Indirectos[Movimiento])*($F197=Indirectos[Cuenta Contable])*(P$1=Indirectos[Mes Financiero])*(P$2=Indirectos[Año Financiero])*(Indirectos[Financiero U$S Dólares]))</f>
        <v>0</v>
      </c>
      <c r="Q197" s="104">
        <f>SUMPRODUCT(($C$185=Indirectos[Movimiento])*($F197=Indirectos[Cuenta Contable])*(Q$1=Indirectos[Mes Financiero])*(Q$2=Indirectos[Año Financiero])*(Indirectos[Financiero U$S Dólares]))</f>
        <v>0</v>
      </c>
      <c r="R197" s="103">
        <f>SUMPRODUCT(($C$185=Indirectos[Movimiento])*($F197=Indirectos[Cuenta Contable])*(R$1=Indirectos[Mes Financiero])*(R$2=Indirectos[Año Financiero])*(Indirectos[Financiero U$S Dólares]))</f>
        <v>0</v>
      </c>
      <c r="S197" s="104">
        <f>SUMPRODUCT(($C$185=Indirectos[Movimiento])*($F197=Indirectos[Cuenta Contable])*(S$1=Indirectos[Mes Financiero])*(S$2=Indirectos[Año Financiero])*(Indirectos[Financiero U$S Dólares]))</f>
        <v>0</v>
      </c>
      <c r="T197" s="103">
        <f>SUMPRODUCT(($C$185=Indirectos[Movimiento])*($F197=Indirectos[Cuenta Contable])*(T$1=Indirectos[Mes Financiero])*(T$2=Indirectos[Año Financiero])*(Indirectos[Financiero U$S Dólares]))</f>
        <v>0</v>
      </c>
      <c r="U197" s="104">
        <f>SUMPRODUCT(($C$185=Indirectos[Movimiento])*($F197=Indirectos[Cuenta Contable])*(U$1=Indirectos[Mes Financiero])*(U$2=Indirectos[Año Financiero])*(Indirectos[Financiero U$S Dólares]))</f>
        <v>0</v>
      </c>
      <c r="V197" s="103">
        <f>SUMPRODUCT(($C$185=Indirectos[Movimiento])*($F197=Indirectos[Cuenta Contable])*(V$1=Indirectos[Mes Financiero])*(V$2=Indirectos[Año Financiero])*(Indirectos[Financiero U$S Dólares]))</f>
        <v>0</v>
      </c>
      <c r="W197" s="104">
        <f>SUMPRODUCT(($C$185=Indirectos[Movimiento])*($F197=Indirectos[Cuenta Contable])*(W$1=Indirectos[Mes Financiero])*(W$2=Indirectos[Año Financiero])*(Indirectos[Financiero U$S Dólares]))</f>
        <v>0</v>
      </c>
      <c r="X197" s="103">
        <f>SUMPRODUCT(($C$185=Indirectos[Movimiento])*($F197=Indirectos[Cuenta Contable])*(X$1=Indirectos[Mes Financiero])*(X$2=Indirectos[Año Financiero])*(Indirectos[Financiero U$S Dólares]))</f>
        <v>0</v>
      </c>
      <c r="Y197" s="104">
        <f>SUMPRODUCT(($C$185=Indirectos[Movimiento])*($F197=Indirectos[Cuenta Contable])*(Y$1=Indirectos[Mes Financiero])*(Y$2=Indirectos[Año Financiero])*(Indirectos[Financiero U$S Dólares]))</f>
        <v>0</v>
      </c>
      <c r="Z197" s="144">
        <f t="shared" si="28"/>
        <v>0</v>
      </c>
      <c r="AC197" s="174">
        <f>SUMPRODUCT((F197=Costos_Indirectos_Cuentas[Cuenta Contable])*(Costos_Indirectos_Cuentas[IVA]))</f>
        <v>0</v>
      </c>
    </row>
    <row r="198" spans="5:29" hidden="1" outlineLevel="1" x14ac:dyDescent="0.25">
      <c r="E198" s="221">
        <f>IFERROR(MATCH(F198,Costos_Indirectos_Cuentas[Cuenta Contable],0),0)</f>
        <v>8</v>
      </c>
      <c r="F198" s="10" t="str">
        <f>Configuración!CE12</f>
        <v>Gastos de Oficina</v>
      </c>
      <c r="H198" s="103">
        <f>SUMPRODUCT(($C$185=Indirectos[Movimiento])*($F198=Indirectos[Cuenta Contable])*(H$1=Indirectos[Mes Financiero])*(H$2=Indirectos[Año Financiero])*(Indirectos[Financiero U$S Dólares]))</f>
        <v>0</v>
      </c>
      <c r="I198" s="104">
        <f>SUMPRODUCT(($C$185=Indirectos[Movimiento])*($F198=Indirectos[Cuenta Contable])*(I$1=Indirectos[Mes Financiero])*(I$2=Indirectos[Año Financiero])*(Indirectos[Financiero U$S Dólares]))</f>
        <v>0</v>
      </c>
      <c r="J198" s="103">
        <f>SUMPRODUCT(($C$185=Indirectos[Movimiento])*($F198=Indirectos[Cuenta Contable])*(J$1=Indirectos[Mes Financiero])*(J$2=Indirectos[Año Financiero])*(Indirectos[Financiero U$S Dólares]))</f>
        <v>0</v>
      </c>
      <c r="K198" s="104">
        <f>SUMPRODUCT(($C$185=Indirectos[Movimiento])*($F198=Indirectos[Cuenta Contable])*(K$1=Indirectos[Mes Financiero])*(K$2=Indirectos[Año Financiero])*(Indirectos[Financiero U$S Dólares]))</f>
        <v>0</v>
      </c>
      <c r="L198" s="103">
        <f>SUMPRODUCT(($C$185=Indirectos[Movimiento])*($F198=Indirectos[Cuenta Contable])*(L$1=Indirectos[Mes Financiero])*(L$2=Indirectos[Año Financiero])*(Indirectos[Financiero U$S Dólares]))</f>
        <v>0</v>
      </c>
      <c r="M198" s="104">
        <f>SUMPRODUCT(($C$185=Indirectos[Movimiento])*($F198=Indirectos[Cuenta Contable])*(M$1=Indirectos[Mes Financiero])*(M$2=Indirectos[Año Financiero])*(Indirectos[Financiero U$S Dólares]))</f>
        <v>0</v>
      </c>
      <c r="N198" s="103">
        <f>SUMPRODUCT(($C$185=Indirectos[Movimiento])*($F198=Indirectos[Cuenta Contable])*(N$1=Indirectos[Mes Financiero])*(N$2=Indirectos[Año Financiero])*(Indirectos[Financiero U$S Dólares]))</f>
        <v>0</v>
      </c>
      <c r="O198" s="104">
        <f>SUMPRODUCT(($C$185=Indirectos[Movimiento])*($F198=Indirectos[Cuenta Contable])*(O$1=Indirectos[Mes Financiero])*(O$2=Indirectos[Año Financiero])*(Indirectos[Financiero U$S Dólares]))</f>
        <v>0</v>
      </c>
      <c r="P198" s="103">
        <f>SUMPRODUCT(($C$185=Indirectos[Movimiento])*($F198=Indirectos[Cuenta Contable])*(P$1=Indirectos[Mes Financiero])*(P$2=Indirectos[Año Financiero])*(Indirectos[Financiero U$S Dólares]))</f>
        <v>0</v>
      </c>
      <c r="Q198" s="104">
        <f>SUMPRODUCT(($C$185=Indirectos[Movimiento])*($F198=Indirectos[Cuenta Contable])*(Q$1=Indirectos[Mes Financiero])*(Q$2=Indirectos[Año Financiero])*(Indirectos[Financiero U$S Dólares]))</f>
        <v>0</v>
      </c>
      <c r="R198" s="103">
        <f>SUMPRODUCT(($C$185=Indirectos[Movimiento])*($F198=Indirectos[Cuenta Contable])*(R$1=Indirectos[Mes Financiero])*(R$2=Indirectos[Año Financiero])*(Indirectos[Financiero U$S Dólares]))</f>
        <v>0</v>
      </c>
      <c r="S198" s="104">
        <f>SUMPRODUCT(($C$185=Indirectos[Movimiento])*($F198=Indirectos[Cuenta Contable])*(S$1=Indirectos[Mes Financiero])*(S$2=Indirectos[Año Financiero])*(Indirectos[Financiero U$S Dólares]))</f>
        <v>0</v>
      </c>
      <c r="T198" s="103">
        <f>SUMPRODUCT(($C$185=Indirectos[Movimiento])*($F198=Indirectos[Cuenta Contable])*(T$1=Indirectos[Mes Financiero])*(T$2=Indirectos[Año Financiero])*(Indirectos[Financiero U$S Dólares]))</f>
        <v>0</v>
      </c>
      <c r="U198" s="104">
        <f>SUMPRODUCT(($C$185=Indirectos[Movimiento])*($F198=Indirectos[Cuenta Contable])*(U$1=Indirectos[Mes Financiero])*(U$2=Indirectos[Año Financiero])*(Indirectos[Financiero U$S Dólares]))</f>
        <v>0</v>
      </c>
      <c r="V198" s="103">
        <f>SUMPRODUCT(($C$185=Indirectos[Movimiento])*($F198=Indirectos[Cuenta Contable])*(V$1=Indirectos[Mes Financiero])*(V$2=Indirectos[Año Financiero])*(Indirectos[Financiero U$S Dólares]))</f>
        <v>0</v>
      </c>
      <c r="W198" s="104">
        <f>SUMPRODUCT(($C$185=Indirectos[Movimiento])*($F198=Indirectos[Cuenta Contable])*(W$1=Indirectos[Mes Financiero])*(W$2=Indirectos[Año Financiero])*(Indirectos[Financiero U$S Dólares]))</f>
        <v>0</v>
      </c>
      <c r="X198" s="103">
        <f>SUMPRODUCT(($C$185=Indirectos[Movimiento])*($F198=Indirectos[Cuenta Contable])*(X$1=Indirectos[Mes Financiero])*(X$2=Indirectos[Año Financiero])*(Indirectos[Financiero U$S Dólares]))</f>
        <v>0</v>
      </c>
      <c r="Y198" s="104">
        <f>SUMPRODUCT(($C$185=Indirectos[Movimiento])*($F198=Indirectos[Cuenta Contable])*(Y$1=Indirectos[Mes Financiero])*(Y$2=Indirectos[Año Financiero])*(Indirectos[Financiero U$S Dólares]))</f>
        <v>0</v>
      </c>
      <c r="Z198" s="144">
        <f t="shared" si="28"/>
        <v>0</v>
      </c>
      <c r="AC198" s="174">
        <f>SUMPRODUCT((F198=Costos_Indirectos_Cuentas[Cuenta Contable])*(Costos_Indirectos_Cuentas[IVA]))</f>
        <v>0.21</v>
      </c>
    </row>
    <row r="199" spans="5:29" hidden="1" outlineLevel="1" x14ac:dyDescent="0.25">
      <c r="E199" s="221">
        <f>IFERROR(MATCH(F199,Costos_Indirectos_Cuentas[Cuenta Contable],0),0)</f>
        <v>9</v>
      </c>
      <c r="F199" s="10" t="str">
        <f>Configuración!CE13</f>
        <v>Gastos Bancarios</v>
      </c>
      <c r="H199" s="103">
        <f>SUMPRODUCT(($C$185=Indirectos[Movimiento])*($F199=Indirectos[Cuenta Contable])*(H$1=Indirectos[Mes Financiero])*(H$2=Indirectos[Año Financiero])*(Indirectos[Financiero U$S Dólares]))</f>
        <v>0</v>
      </c>
      <c r="I199" s="104">
        <f>SUMPRODUCT(($C$185=Indirectos[Movimiento])*($F199=Indirectos[Cuenta Contable])*(I$1=Indirectos[Mes Financiero])*(I$2=Indirectos[Año Financiero])*(Indirectos[Financiero U$S Dólares]))</f>
        <v>0</v>
      </c>
      <c r="J199" s="103">
        <f>SUMPRODUCT(($C$185=Indirectos[Movimiento])*($F199=Indirectos[Cuenta Contable])*(J$1=Indirectos[Mes Financiero])*(J$2=Indirectos[Año Financiero])*(Indirectos[Financiero U$S Dólares]))</f>
        <v>0</v>
      </c>
      <c r="K199" s="104">
        <f>SUMPRODUCT(($C$185=Indirectos[Movimiento])*($F199=Indirectos[Cuenta Contable])*(K$1=Indirectos[Mes Financiero])*(K$2=Indirectos[Año Financiero])*(Indirectos[Financiero U$S Dólares]))</f>
        <v>0</v>
      </c>
      <c r="L199" s="103">
        <f>SUMPRODUCT(($C$185=Indirectos[Movimiento])*($F199=Indirectos[Cuenta Contable])*(L$1=Indirectos[Mes Financiero])*(L$2=Indirectos[Año Financiero])*(Indirectos[Financiero U$S Dólares]))</f>
        <v>0</v>
      </c>
      <c r="M199" s="104">
        <f>SUMPRODUCT(($C$185=Indirectos[Movimiento])*($F199=Indirectos[Cuenta Contable])*(M$1=Indirectos[Mes Financiero])*(M$2=Indirectos[Año Financiero])*(Indirectos[Financiero U$S Dólares]))</f>
        <v>0</v>
      </c>
      <c r="N199" s="103">
        <f>SUMPRODUCT(($C$185=Indirectos[Movimiento])*($F199=Indirectos[Cuenta Contable])*(N$1=Indirectos[Mes Financiero])*(N$2=Indirectos[Año Financiero])*(Indirectos[Financiero U$S Dólares]))</f>
        <v>0</v>
      </c>
      <c r="O199" s="104">
        <f>SUMPRODUCT(($C$185=Indirectos[Movimiento])*($F199=Indirectos[Cuenta Contable])*(O$1=Indirectos[Mes Financiero])*(O$2=Indirectos[Año Financiero])*(Indirectos[Financiero U$S Dólares]))</f>
        <v>0</v>
      </c>
      <c r="P199" s="103">
        <f>SUMPRODUCT(($C$185=Indirectos[Movimiento])*($F199=Indirectos[Cuenta Contable])*(P$1=Indirectos[Mes Financiero])*(P$2=Indirectos[Año Financiero])*(Indirectos[Financiero U$S Dólares]))</f>
        <v>0</v>
      </c>
      <c r="Q199" s="104">
        <f>SUMPRODUCT(($C$185=Indirectos[Movimiento])*($F199=Indirectos[Cuenta Contable])*(Q$1=Indirectos[Mes Financiero])*(Q$2=Indirectos[Año Financiero])*(Indirectos[Financiero U$S Dólares]))</f>
        <v>0</v>
      </c>
      <c r="R199" s="103">
        <f>SUMPRODUCT(($C$185=Indirectos[Movimiento])*($F199=Indirectos[Cuenta Contable])*(R$1=Indirectos[Mes Financiero])*(R$2=Indirectos[Año Financiero])*(Indirectos[Financiero U$S Dólares]))</f>
        <v>0</v>
      </c>
      <c r="S199" s="104">
        <f>SUMPRODUCT(($C$185=Indirectos[Movimiento])*($F199=Indirectos[Cuenta Contable])*(S$1=Indirectos[Mes Financiero])*(S$2=Indirectos[Año Financiero])*(Indirectos[Financiero U$S Dólares]))</f>
        <v>0</v>
      </c>
      <c r="T199" s="103">
        <f>SUMPRODUCT(($C$185=Indirectos[Movimiento])*($F199=Indirectos[Cuenta Contable])*(T$1=Indirectos[Mes Financiero])*(T$2=Indirectos[Año Financiero])*(Indirectos[Financiero U$S Dólares]))</f>
        <v>0</v>
      </c>
      <c r="U199" s="104">
        <f>SUMPRODUCT(($C$185=Indirectos[Movimiento])*($F199=Indirectos[Cuenta Contable])*(U$1=Indirectos[Mes Financiero])*(U$2=Indirectos[Año Financiero])*(Indirectos[Financiero U$S Dólares]))</f>
        <v>0</v>
      </c>
      <c r="V199" s="103">
        <f>SUMPRODUCT(($C$185=Indirectos[Movimiento])*($F199=Indirectos[Cuenta Contable])*(V$1=Indirectos[Mes Financiero])*(V$2=Indirectos[Año Financiero])*(Indirectos[Financiero U$S Dólares]))</f>
        <v>0</v>
      </c>
      <c r="W199" s="104">
        <f>SUMPRODUCT(($C$185=Indirectos[Movimiento])*($F199=Indirectos[Cuenta Contable])*(W$1=Indirectos[Mes Financiero])*(W$2=Indirectos[Año Financiero])*(Indirectos[Financiero U$S Dólares]))</f>
        <v>0</v>
      </c>
      <c r="X199" s="103">
        <f>SUMPRODUCT(($C$185=Indirectos[Movimiento])*($F199=Indirectos[Cuenta Contable])*(X$1=Indirectos[Mes Financiero])*(X$2=Indirectos[Año Financiero])*(Indirectos[Financiero U$S Dólares]))</f>
        <v>0</v>
      </c>
      <c r="Y199" s="104">
        <f>SUMPRODUCT(($C$185=Indirectos[Movimiento])*($F199=Indirectos[Cuenta Contable])*(Y$1=Indirectos[Mes Financiero])*(Y$2=Indirectos[Año Financiero])*(Indirectos[Financiero U$S Dólares]))</f>
        <v>0</v>
      </c>
      <c r="Z199" s="144">
        <f t="shared" si="28"/>
        <v>0</v>
      </c>
      <c r="AC199" s="174">
        <f>SUMPRODUCT((F199=Costos_Indirectos_Cuentas[Cuenta Contable])*(Costos_Indirectos_Cuentas[IVA]))</f>
        <v>0.21</v>
      </c>
    </row>
    <row r="200" spans="5:29" hidden="1" outlineLevel="1" x14ac:dyDescent="0.25">
      <c r="E200" s="221">
        <f>IFERROR(MATCH(F200,Costos_Indirectos_Cuentas[Cuenta Contable],0),0)</f>
        <v>10</v>
      </c>
      <c r="F200" s="10" t="str">
        <f>Configuración!CE14</f>
        <v>Amortización</v>
      </c>
      <c r="H200" s="103">
        <f>SUMPRODUCT(($C$185=Indirectos[Movimiento])*($F200=Indirectos[Cuenta Contable])*(H$1=Indirectos[Mes Financiero])*(H$2=Indirectos[Año Financiero])*(Indirectos[Financiero U$S Dólares]))</f>
        <v>0</v>
      </c>
      <c r="I200" s="104">
        <f>SUMPRODUCT(($C$185=Indirectos[Movimiento])*($F200=Indirectos[Cuenta Contable])*(I$1=Indirectos[Mes Financiero])*(I$2=Indirectos[Año Financiero])*(Indirectos[Financiero U$S Dólares]))</f>
        <v>0</v>
      </c>
      <c r="J200" s="103">
        <f>SUMPRODUCT(($C$185=Indirectos[Movimiento])*($F200=Indirectos[Cuenta Contable])*(J$1=Indirectos[Mes Financiero])*(J$2=Indirectos[Año Financiero])*(Indirectos[Financiero U$S Dólares]))</f>
        <v>0</v>
      </c>
      <c r="K200" s="104">
        <f>SUMPRODUCT(($C$185=Indirectos[Movimiento])*($F200=Indirectos[Cuenta Contable])*(K$1=Indirectos[Mes Financiero])*(K$2=Indirectos[Año Financiero])*(Indirectos[Financiero U$S Dólares]))</f>
        <v>0</v>
      </c>
      <c r="L200" s="103">
        <f>SUMPRODUCT(($C$185=Indirectos[Movimiento])*($F200=Indirectos[Cuenta Contable])*(L$1=Indirectos[Mes Financiero])*(L$2=Indirectos[Año Financiero])*(Indirectos[Financiero U$S Dólares]))</f>
        <v>0</v>
      </c>
      <c r="M200" s="104">
        <f>SUMPRODUCT(($C$185=Indirectos[Movimiento])*($F200=Indirectos[Cuenta Contable])*(M$1=Indirectos[Mes Financiero])*(M$2=Indirectos[Año Financiero])*(Indirectos[Financiero U$S Dólares]))</f>
        <v>0</v>
      </c>
      <c r="N200" s="103">
        <f>SUMPRODUCT(($C$185=Indirectos[Movimiento])*($F200=Indirectos[Cuenta Contable])*(N$1=Indirectos[Mes Financiero])*(N$2=Indirectos[Año Financiero])*(Indirectos[Financiero U$S Dólares]))</f>
        <v>0</v>
      </c>
      <c r="O200" s="104">
        <f>SUMPRODUCT(($C$185=Indirectos[Movimiento])*($F200=Indirectos[Cuenta Contable])*(O$1=Indirectos[Mes Financiero])*(O$2=Indirectos[Año Financiero])*(Indirectos[Financiero U$S Dólares]))</f>
        <v>0</v>
      </c>
      <c r="P200" s="103">
        <f>SUMPRODUCT(($C$185=Indirectos[Movimiento])*($F200=Indirectos[Cuenta Contable])*(P$1=Indirectos[Mes Financiero])*(P$2=Indirectos[Año Financiero])*(Indirectos[Financiero U$S Dólares]))</f>
        <v>0</v>
      </c>
      <c r="Q200" s="104">
        <f>SUMPRODUCT(($C$185=Indirectos[Movimiento])*($F200=Indirectos[Cuenta Contable])*(Q$1=Indirectos[Mes Financiero])*(Q$2=Indirectos[Año Financiero])*(Indirectos[Financiero U$S Dólares]))</f>
        <v>0</v>
      </c>
      <c r="R200" s="103">
        <f>SUMPRODUCT(($C$185=Indirectos[Movimiento])*($F200=Indirectos[Cuenta Contable])*(R$1=Indirectos[Mes Financiero])*(R$2=Indirectos[Año Financiero])*(Indirectos[Financiero U$S Dólares]))</f>
        <v>0</v>
      </c>
      <c r="S200" s="104">
        <f>SUMPRODUCT(($C$185=Indirectos[Movimiento])*($F200=Indirectos[Cuenta Contable])*(S$1=Indirectos[Mes Financiero])*(S$2=Indirectos[Año Financiero])*(Indirectos[Financiero U$S Dólares]))</f>
        <v>0</v>
      </c>
      <c r="T200" s="103">
        <f>SUMPRODUCT(($C$185=Indirectos[Movimiento])*($F200=Indirectos[Cuenta Contable])*(T$1=Indirectos[Mes Financiero])*(T$2=Indirectos[Año Financiero])*(Indirectos[Financiero U$S Dólares]))</f>
        <v>0</v>
      </c>
      <c r="U200" s="104">
        <f>SUMPRODUCT(($C$185=Indirectos[Movimiento])*($F200=Indirectos[Cuenta Contable])*(U$1=Indirectos[Mes Financiero])*(U$2=Indirectos[Año Financiero])*(Indirectos[Financiero U$S Dólares]))</f>
        <v>0</v>
      </c>
      <c r="V200" s="103">
        <f>SUMPRODUCT(($C$185=Indirectos[Movimiento])*($F200=Indirectos[Cuenta Contable])*(V$1=Indirectos[Mes Financiero])*(V$2=Indirectos[Año Financiero])*(Indirectos[Financiero U$S Dólares]))</f>
        <v>0</v>
      </c>
      <c r="W200" s="104">
        <f>SUMPRODUCT(($C$185=Indirectos[Movimiento])*($F200=Indirectos[Cuenta Contable])*(W$1=Indirectos[Mes Financiero])*(W$2=Indirectos[Año Financiero])*(Indirectos[Financiero U$S Dólares]))</f>
        <v>0</v>
      </c>
      <c r="X200" s="103">
        <f>SUMPRODUCT(($C$185=Indirectos[Movimiento])*($F200=Indirectos[Cuenta Contable])*(X$1=Indirectos[Mes Financiero])*(X$2=Indirectos[Año Financiero])*(Indirectos[Financiero U$S Dólares]))</f>
        <v>0</v>
      </c>
      <c r="Y200" s="104">
        <f>SUMPRODUCT(($C$185=Indirectos[Movimiento])*($F200=Indirectos[Cuenta Contable])*(Y$1=Indirectos[Mes Financiero])*(Y$2=Indirectos[Año Financiero])*(Indirectos[Financiero U$S Dólares]))</f>
        <v>0</v>
      </c>
      <c r="Z200" s="144">
        <f t="shared" si="28"/>
        <v>0</v>
      </c>
      <c r="AC200" s="174">
        <f>SUMPRODUCT((F200=Costos_Indirectos_Cuentas[Cuenta Contable])*(Costos_Indirectos_Cuentas[IVA]))</f>
        <v>0</v>
      </c>
    </row>
    <row r="201" spans="5:29" hidden="1" outlineLevel="1" x14ac:dyDescent="0.25">
      <c r="E201" s="221">
        <f>IFERROR(MATCH(F201,Costos_Indirectos_Cuentas[Cuenta Contable],0),0)</f>
        <v>0</v>
      </c>
      <c r="F201" s="10">
        <f>Configuración!CE15</f>
        <v>0</v>
      </c>
      <c r="H201" s="103">
        <f>SUMPRODUCT(($C$185=Indirectos[Movimiento])*($F201=Indirectos[Cuenta Contable])*(H$1=Indirectos[Mes Financiero])*(H$2=Indirectos[Año Financiero])*(Indirectos[Financiero U$S Dólares]))</f>
        <v>0</v>
      </c>
      <c r="I201" s="104">
        <f>SUMPRODUCT(($C$185=Indirectos[Movimiento])*($F201=Indirectos[Cuenta Contable])*(I$1=Indirectos[Mes Financiero])*(I$2=Indirectos[Año Financiero])*(Indirectos[Financiero U$S Dólares]))</f>
        <v>0</v>
      </c>
      <c r="J201" s="103">
        <f>SUMPRODUCT(($C$185=Indirectos[Movimiento])*($F201=Indirectos[Cuenta Contable])*(J$1=Indirectos[Mes Financiero])*(J$2=Indirectos[Año Financiero])*(Indirectos[Financiero U$S Dólares]))</f>
        <v>0</v>
      </c>
      <c r="K201" s="104">
        <f>SUMPRODUCT(($C$185=Indirectos[Movimiento])*($F201=Indirectos[Cuenta Contable])*(K$1=Indirectos[Mes Financiero])*(K$2=Indirectos[Año Financiero])*(Indirectos[Financiero U$S Dólares]))</f>
        <v>0</v>
      </c>
      <c r="L201" s="103">
        <f>SUMPRODUCT(($C$185=Indirectos[Movimiento])*($F201=Indirectos[Cuenta Contable])*(L$1=Indirectos[Mes Financiero])*(L$2=Indirectos[Año Financiero])*(Indirectos[Financiero U$S Dólares]))</f>
        <v>0</v>
      </c>
      <c r="M201" s="104">
        <f>SUMPRODUCT(($C$185=Indirectos[Movimiento])*($F201=Indirectos[Cuenta Contable])*(M$1=Indirectos[Mes Financiero])*(M$2=Indirectos[Año Financiero])*(Indirectos[Financiero U$S Dólares]))</f>
        <v>0</v>
      </c>
      <c r="N201" s="103">
        <f>SUMPRODUCT(($C$185=Indirectos[Movimiento])*($F201=Indirectos[Cuenta Contable])*(N$1=Indirectos[Mes Financiero])*(N$2=Indirectos[Año Financiero])*(Indirectos[Financiero U$S Dólares]))</f>
        <v>0</v>
      </c>
      <c r="O201" s="104">
        <f>SUMPRODUCT(($C$185=Indirectos[Movimiento])*($F201=Indirectos[Cuenta Contable])*(O$1=Indirectos[Mes Financiero])*(O$2=Indirectos[Año Financiero])*(Indirectos[Financiero U$S Dólares]))</f>
        <v>0</v>
      </c>
      <c r="P201" s="103">
        <f>SUMPRODUCT(($C$185=Indirectos[Movimiento])*($F201=Indirectos[Cuenta Contable])*(P$1=Indirectos[Mes Financiero])*(P$2=Indirectos[Año Financiero])*(Indirectos[Financiero U$S Dólares]))</f>
        <v>0</v>
      </c>
      <c r="Q201" s="104">
        <f>SUMPRODUCT(($C$185=Indirectos[Movimiento])*($F201=Indirectos[Cuenta Contable])*(Q$1=Indirectos[Mes Financiero])*(Q$2=Indirectos[Año Financiero])*(Indirectos[Financiero U$S Dólares]))</f>
        <v>0</v>
      </c>
      <c r="R201" s="103">
        <f>SUMPRODUCT(($C$185=Indirectos[Movimiento])*($F201=Indirectos[Cuenta Contable])*(R$1=Indirectos[Mes Financiero])*(R$2=Indirectos[Año Financiero])*(Indirectos[Financiero U$S Dólares]))</f>
        <v>0</v>
      </c>
      <c r="S201" s="104">
        <f>SUMPRODUCT(($C$185=Indirectos[Movimiento])*($F201=Indirectos[Cuenta Contable])*(S$1=Indirectos[Mes Financiero])*(S$2=Indirectos[Año Financiero])*(Indirectos[Financiero U$S Dólares]))</f>
        <v>0</v>
      </c>
      <c r="T201" s="103">
        <f>SUMPRODUCT(($C$185=Indirectos[Movimiento])*($F201=Indirectos[Cuenta Contable])*(T$1=Indirectos[Mes Financiero])*(T$2=Indirectos[Año Financiero])*(Indirectos[Financiero U$S Dólares]))</f>
        <v>0</v>
      </c>
      <c r="U201" s="104">
        <f>SUMPRODUCT(($C$185=Indirectos[Movimiento])*($F201=Indirectos[Cuenta Contable])*(U$1=Indirectos[Mes Financiero])*(U$2=Indirectos[Año Financiero])*(Indirectos[Financiero U$S Dólares]))</f>
        <v>0</v>
      </c>
      <c r="V201" s="103">
        <f>SUMPRODUCT(($C$185=Indirectos[Movimiento])*($F201=Indirectos[Cuenta Contable])*(V$1=Indirectos[Mes Financiero])*(V$2=Indirectos[Año Financiero])*(Indirectos[Financiero U$S Dólares]))</f>
        <v>0</v>
      </c>
      <c r="W201" s="104">
        <f>SUMPRODUCT(($C$185=Indirectos[Movimiento])*($F201=Indirectos[Cuenta Contable])*(W$1=Indirectos[Mes Financiero])*(W$2=Indirectos[Año Financiero])*(Indirectos[Financiero U$S Dólares]))</f>
        <v>0</v>
      </c>
      <c r="X201" s="103">
        <f>SUMPRODUCT(($C$185=Indirectos[Movimiento])*($F201=Indirectos[Cuenta Contable])*(X$1=Indirectos[Mes Financiero])*(X$2=Indirectos[Año Financiero])*(Indirectos[Financiero U$S Dólares]))</f>
        <v>0</v>
      </c>
      <c r="Y201" s="104">
        <f>SUMPRODUCT(($C$185=Indirectos[Movimiento])*($F201=Indirectos[Cuenta Contable])*(Y$1=Indirectos[Mes Financiero])*(Y$2=Indirectos[Año Financiero])*(Indirectos[Financiero U$S Dólares]))</f>
        <v>0</v>
      </c>
      <c r="Z201" s="144">
        <f t="shared" si="28"/>
        <v>0</v>
      </c>
      <c r="AC201" s="174">
        <f>SUMPRODUCT((F201=Costos_Indirectos_Cuentas[Cuenta Contable])*(Costos_Indirectos_Cuentas[IVA]))</f>
        <v>0</v>
      </c>
    </row>
    <row r="202" spans="5:29" hidden="1" outlineLevel="1" x14ac:dyDescent="0.25">
      <c r="E202" s="221">
        <f>IFERROR(MATCH(F202,Costos_Indirectos_Cuentas[Cuenta Contable],0),0)</f>
        <v>0</v>
      </c>
      <c r="F202" s="10">
        <f>Configuración!CE16</f>
        <v>0</v>
      </c>
      <c r="H202" s="103">
        <f>SUMPRODUCT(($C$185=Indirectos[Movimiento])*($F202=Indirectos[Cuenta Contable])*(H$1=Indirectos[Mes Financiero])*(H$2=Indirectos[Año Financiero])*(Indirectos[Financiero U$S Dólares]))</f>
        <v>0</v>
      </c>
      <c r="I202" s="104">
        <f>SUMPRODUCT(($C$185=Indirectos[Movimiento])*($F202=Indirectos[Cuenta Contable])*(I$1=Indirectos[Mes Financiero])*(I$2=Indirectos[Año Financiero])*(Indirectos[Financiero U$S Dólares]))</f>
        <v>0</v>
      </c>
      <c r="J202" s="103">
        <f>SUMPRODUCT(($C$185=Indirectos[Movimiento])*($F202=Indirectos[Cuenta Contable])*(J$1=Indirectos[Mes Financiero])*(J$2=Indirectos[Año Financiero])*(Indirectos[Financiero U$S Dólares]))</f>
        <v>0</v>
      </c>
      <c r="K202" s="104">
        <f>SUMPRODUCT(($C$185=Indirectos[Movimiento])*($F202=Indirectos[Cuenta Contable])*(K$1=Indirectos[Mes Financiero])*(K$2=Indirectos[Año Financiero])*(Indirectos[Financiero U$S Dólares]))</f>
        <v>0</v>
      </c>
      <c r="L202" s="103">
        <f>SUMPRODUCT(($C$185=Indirectos[Movimiento])*($F202=Indirectos[Cuenta Contable])*(L$1=Indirectos[Mes Financiero])*(L$2=Indirectos[Año Financiero])*(Indirectos[Financiero U$S Dólares]))</f>
        <v>0</v>
      </c>
      <c r="M202" s="104">
        <f>SUMPRODUCT(($C$185=Indirectos[Movimiento])*($F202=Indirectos[Cuenta Contable])*(M$1=Indirectos[Mes Financiero])*(M$2=Indirectos[Año Financiero])*(Indirectos[Financiero U$S Dólares]))</f>
        <v>0</v>
      </c>
      <c r="N202" s="103">
        <f>SUMPRODUCT(($C$185=Indirectos[Movimiento])*($F202=Indirectos[Cuenta Contable])*(N$1=Indirectos[Mes Financiero])*(N$2=Indirectos[Año Financiero])*(Indirectos[Financiero U$S Dólares]))</f>
        <v>0</v>
      </c>
      <c r="O202" s="104">
        <f>SUMPRODUCT(($C$185=Indirectos[Movimiento])*($F202=Indirectos[Cuenta Contable])*(O$1=Indirectos[Mes Financiero])*(O$2=Indirectos[Año Financiero])*(Indirectos[Financiero U$S Dólares]))</f>
        <v>0</v>
      </c>
      <c r="P202" s="103">
        <f>SUMPRODUCT(($C$185=Indirectos[Movimiento])*($F202=Indirectos[Cuenta Contable])*(P$1=Indirectos[Mes Financiero])*(P$2=Indirectos[Año Financiero])*(Indirectos[Financiero U$S Dólares]))</f>
        <v>0</v>
      </c>
      <c r="Q202" s="104">
        <f>SUMPRODUCT(($C$185=Indirectos[Movimiento])*($F202=Indirectos[Cuenta Contable])*(Q$1=Indirectos[Mes Financiero])*(Q$2=Indirectos[Año Financiero])*(Indirectos[Financiero U$S Dólares]))</f>
        <v>0</v>
      </c>
      <c r="R202" s="103">
        <f>SUMPRODUCT(($C$185=Indirectos[Movimiento])*($F202=Indirectos[Cuenta Contable])*(R$1=Indirectos[Mes Financiero])*(R$2=Indirectos[Año Financiero])*(Indirectos[Financiero U$S Dólares]))</f>
        <v>0</v>
      </c>
      <c r="S202" s="104">
        <f>SUMPRODUCT(($C$185=Indirectos[Movimiento])*($F202=Indirectos[Cuenta Contable])*(S$1=Indirectos[Mes Financiero])*(S$2=Indirectos[Año Financiero])*(Indirectos[Financiero U$S Dólares]))</f>
        <v>0</v>
      </c>
      <c r="T202" s="103">
        <f>SUMPRODUCT(($C$185=Indirectos[Movimiento])*($F202=Indirectos[Cuenta Contable])*(T$1=Indirectos[Mes Financiero])*(T$2=Indirectos[Año Financiero])*(Indirectos[Financiero U$S Dólares]))</f>
        <v>0</v>
      </c>
      <c r="U202" s="104">
        <f>SUMPRODUCT(($C$185=Indirectos[Movimiento])*($F202=Indirectos[Cuenta Contable])*(U$1=Indirectos[Mes Financiero])*(U$2=Indirectos[Año Financiero])*(Indirectos[Financiero U$S Dólares]))</f>
        <v>0</v>
      </c>
      <c r="V202" s="103">
        <f>SUMPRODUCT(($C$185=Indirectos[Movimiento])*($F202=Indirectos[Cuenta Contable])*(V$1=Indirectos[Mes Financiero])*(V$2=Indirectos[Año Financiero])*(Indirectos[Financiero U$S Dólares]))</f>
        <v>0</v>
      </c>
      <c r="W202" s="104">
        <f>SUMPRODUCT(($C$185=Indirectos[Movimiento])*($F202=Indirectos[Cuenta Contable])*(W$1=Indirectos[Mes Financiero])*(W$2=Indirectos[Año Financiero])*(Indirectos[Financiero U$S Dólares]))</f>
        <v>0</v>
      </c>
      <c r="X202" s="103">
        <f>SUMPRODUCT(($C$185=Indirectos[Movimiento])*($F202=Indirectos[Cuenta Contable])*(X$1=Indirectos[Mes Financiero])*(X$2=Indirectos[Año Financiero])*(Indirectos[Financiero U$S Dólares]))</f>
        <v>0</v>
      </c>
      <c r="Y202" s="104">
        <f>SUMPRODUCT(($C$185=Indirectos[Movimiento])*($F202=Indirectos[Cuenta Contable])*(Y$1=Indirectos[Mes Financiero])*(Y$2=Indirectos[Año Financiero])*(Indirectos[Financiero U$S Dólares]))</f>
        <v>0</v>
      </c>
      <c r="Z202" s="144">
        <f t="shared" ref="Z202" si="34">SUM(H202:Y202)</f>
        <v>0</v>
      </c>
      <c r="AC202" s="174">
        <f>SUMPRODUCT((F202=Costos_Indirectos_Cuentas[Cuenta Contable])*(Costos_Indirectos_Cuentas[IVA]))</f>
        <v>0</v>
      </c>
    </row>
    <row r="203" spans="5:29" hidden="1" outlineLevel="1" x14ac:dyDescent="0.25">
      <c r="E203" s="221">
        <f>IFERROR(MATCH(F203,Costos_Indirectos_Cuentas[Cuenta Contable],0),0)</f>
        <v>13</v>
      </c>
      <c r="F203" s="10" t="str">
        <f>Configuración!CE17</f>
        <v>Impuestos Provinciales</v>
      </c>
      <c r="H203" s="103">
        <f>SUMPRODUCT(($C$185=Indirectos[Movimiento])*($F203=Indirectos[Cuenta Contable])*(H$1=Indirectos[Mes Financiero])*(H$2=Indirectos[Año Financiero])*(Indirectos[Financiero U$S Dólares]))</f>
        <v>0</v>
      </c>
      <c r="I203" s="104">
        <f>SUMPRODUCT(($C$185=Indirectos[Movimiento])*($F203=Indirectos[Cuenta Contable])*(I$1=Indirectos[Mes Financiero])*(I$2=Indirectos[Año Financiero])*(Indirectos[Financiero U$S Dólares]))</f>
        <v>0</v>
      </c>
      <c r="J203" s="103">
        <f>SUMPRODUCT(($C$185=Indirectos[Movimiento])*($F203=Indirectos[Cuenta Contable])*(J$1=Indirectos[Mes Financiero])*(J$2=Indirectos[Año Financiero])*(Indirectos[Financiero U$S Dólares]))</f>
        <v>0</v>
      </c>
      <c r="K203" s="104">
        <f>SUMPRODUCT(($C$185=Indirectos[Movimiento])*($F203=Indirectos[Cuenta Contable])*(K$1=Indirectos[Mes Financiero])*(K$2=Indirectos[Año Financiero])*(Indirectos[Financiero U$S Dólares]))</f>
        <v>0</v>
      </c>
      <c r="L203" s="103">
        <f>SUMPRODUCT(($C$185=Indirectos[Movimiento])*($F203=Indirectos[Cuenta Contable])*(L$1=Indirectos[Mes Financiero])*(L$2=Indirectos[Año Financiero])*(Indirectos[Financiero U$S Dólares]))</f>
        <v>0</v>
      </c>
      <c r="M203" s="104">
        <f>SUMPRODUCT(($C$185=Indirectos[Movimiento])*($F203=Indirectos[Cuenta Contable])*(M$1=Indirectos[Mes Financiero])*(M$2=Indirectos[Año Financiero])*(Indirectos[Financiero U$S Dólares]))</f>
        <v>0</v>
      </c>
      <c r="N203" s="103">
        <f>SUMPRODUCT(($C$185=Indirectos[Movimiento])*($F203=Indirectos[Cuenta Contable])*(N$1=Indirectos[Mes Financiero])*(N$2=Indirectos[Año Financiero])*(Indirectos[Financiero U$S Dólares]))</f>
        <v>0</v>
      </c>
      <c r="O203" s="104">
        <f>SUMPRODUCT(($C$185=Indirectos[Movimiento])*($F203=Indirectos[Cuenta Contable])*(O$1=Indirectos[Mes Financiero])*(O$2=Indirectos[Año Financiero])*(Indirectos[Financiero U$S Dólares]))</f>
        <v>0</v>
      </c>
      <c r="P203" s="103">
        <f>SUMPRODUCT(($C$185=Indirectos[Movimiento])*($F203=Indirectos[Cuenta Contable])*(P$1=Indirectos[Mes Financiero])*(P$2=Indirectos[Año Financiero])*(Indirectos[Financiero U$S Dólares]))</f>
        <v>0</v>
      </c>
      <c r="Q203" s="104">
        <f>SUMPRODUCT(($C$185=Indirectos[Movimiento])*($F203=Indirectos[Cuenta Contable])*(Q$1=Indirectos[Mes Financiero])*(Q$2=Indirectos[Año Financiero])*(Indirectos[Financiero U$S Dólares]))</f>
        <v>0</v>
      </c>
      <c r="R203" s="103">
        <f>SUMPRODUCT(($C$185=Indirectos[Movimiento])*($F203=Indirectos[Cuenta Contable])*(R$1=Indirectos[Mes Financiero])*(R$2=Indirectos[Año Financiero])*(Indirectos[Financiero U$S Dólares]))</f>
        <v>0</v>
      </c>
      <c r="S203" s="104">
        <f>SUMPRODUCT(($C$185=Indirectos[Movimiento])*($F203=Indirectos[Cuenta Contable])*(S$1=Indirectos[Mes Financiero])*(S$2=Indirectos[Año Financiero])*(Indirectos[Financiero U$S Dólares]))</f>
        <v>0</v>
      </c>
      <c r="T203" s="103">
        <f>SUMPRODUCT(($C$185=Indirectos[Movimiento])*($F203=Indirectos[Cuenta Contable])*(T$1=Indirectos[Mes Financiero])*(T$2=Indirectos[Año Financiero])*(Indirectos[Financiero U$S Dólares]))</f>
        <v>0</v>
      </c>
      <c r="U203" s="104">
        <f>SUMPRODUCT(($C$185=Indirectos[Movimiento])*($F203=Indirectos[Cuenta Contable])*(U$1=Indirectos[Mes Financiero])*(U$2=Indirectos[Año Financiero])*(Indirectos[Financiero U$S Dólares]))</f>
        <v>0</v>
      </c>
      <c r="V203" s="103">
        <f>SUMPRODUCT(($C$185=Indirectos[Movimiento])*($F203=Indirectos[Cuenta Contable])*(V$1=Indirectos[Mes Financiero])*(V$2=Indirectos[Año Financiero])*(Indirectos[Financiero U$S Dólares]))</f>
        <v>0</v>
      </c>
      <c r="W203" s="104">
        <f>SUMPRODUCT(($C$185=Indirectos[Movimiento])*($F203=Indirectos[Cuenta Contable])*(W$1=Indirectos[Mes Financiero])*(W$2=Indirectos[Año Financiero])*(Indirectos[Financiero U$S Dólares]))</f>
        <v>0</v>
      </c>
      <c r="X203" s="103">
        <f>SUMPRODUCT(($C$185=Indirectos[Movimiento])*($F203=Indirectos[Cuenta Contable])*(X$1=Indirectos[Mes Financiero])*(X$2=Indirectos[Año Financiero])*(Indirectos[Financiero U$S Dólares]))</f>
        <v>0</v>
      </c>
      <c r="Y203" s="104">
        <f>SUMPRODUCT(($C$185=Indirectos[Movimiento])*($F203=Indirectos[Cuenta Contable])*(Y$1=Indirectos[Mes Financiero])*(Y$2=Indirectos[Año Financiero])*(Indirectos[Financiero U$S Dólares]))</f>
        <v>0</v>
      </c>
      <c r="Z203" s="144">
        <f t="shared" ref="Z203" si="35">SUM(H203:Y203)</f>
        <v>0</v>
      </c>
      <c r="AC203" s="174">
        <f>SUMPRODUCT((F203=Costos_Indirectos_Cuentas[Cuenta Contable])*(Costos_Indirectos_Cuentas[IVA]))</f>
        <v>0</v>
      </c>
    </row>
    <row r="204" spans="5:29" hidden="1" outlineLevel="1" x14ac:dyDescent="0.25">
      <c r="E204" s="221">
        <f>IFERROR(MATCH(F204,Costos_Indirectos_Cuentas[Cuenta Contable],0),0)</f>
        <v>14</v>
      </c>
      <c r="F204" s="10" t="str">
        <f>Configuración!CE18</f>
        <v>Tasas y Servicios Municipales</v>
      </c>
      <c r="H204" s="103">
        <f>SUMPRODUCT(($C$185=Indirectos[Movimiento])*($F204=Indirectos[Cuenta Contable])*(H$1=Indirectos[Mes Financiero])*(H$2=Indirectos[Año Financiero])*(Indirectos[Financiero U$S Dólares]))</f>
        <v>0</v>
      </c>
      <c r="I204" s="104">
        <f>SUMPRODUCT(($C$185=Indirectos[Movimiento])*($F204=Indirectos[Cuenta Contable])*(I$1=Indirectos[Mes Financiero])*(I$2=Indirectos[Año Financiero])*(Indirectos[Financiero U$S Dólares]))</f>
        <v>0</v>
      </c>
      <c r="J204" s="103">
        <f>SUMPRODUCT(($C$185=Indirectos[Movimiento])*($F204=Indirectos[Cuenta Contable])*(J$1=Indirectos[Mes Financiero])*(J$2=Indirectos[Año Financiero])*(Indirectos[Financiero U$S Dólares]))</f>
        <v>0</v>
      </c>
      <c r="K204" s="104">
        <f>SUMPRODUCT(($C$185=Indirectos[Movimiento])*($F204=Indirectos[Cuenta Contable])*(K$1=Indirectos[Mes Financiero])*(K$2=Indirectos[Año Financiero])*(Indirectos[Financiero U$S Dólares]))</f>
        <v>0</v>
      </c>
      <c r="L204" s="103">
        <f>SUMPRODUCT(($C$185=Indirectos[Movimiento])*($F204=Indirectos[Cuenta Contable])*(L$1=Indirectos[Mes Financiero])*(L$2=Indirectos[Año Financiero])*(Indirectos[Financiero U$S Dólares]))</f>
        <v>0</v>
      </c>
      <c r="M204" s="104">
        <f>SUMPRODUCT(($C$185=Indirectos[Movimiento])*($F204=Indirectos[Cuenta Contable])*(M$1=Indirectos[Mes Financiero])*(M$2=Indirectos[Año Financiero])*(Indirectos[Financiero U$S Dólares]))</f>
        <v>0</v>
      </c>
      <c r="N204" s="103">
        <f>SUMPRODUCT(($C$185=Indirectos[Movimiento])*($F204=Indirectos[Cuenta Contable])*(N$1=Indirectos[Mes Financiero])*(N$2=Indirectos[Año Financiero])*(Indirectos[Financiero U$S Dólares]))</f>
        <v>0</v>
      </c>
      <c r="O204" s="104">
        <f>SUMPRODUCT(($C$185=Indirectos[Movimiento])*($F204=Indirectos[Cuenta Contable])*(O$1=Indirectos[Mes Financiero])*(O$2=Indirectos[Año Financiero])*(Indirectos[Financiero U$S Dólares]))</f>
        <v>0</v>
      </c>
      <c r="P204" s="103">
        <f>SUMPRODUCT(($C$185=Indirectos[Movimiento])*($F204=Indirectos[Cuenta Contable])*(P$1=Indirectos[Mes Financiero])*(P$2=Indirectos[Año Financiero])*(Indirectos[Financiero U$S Dólares]))</f>
        <v>0</v>
      </c>
      <c r="Q204" s="104">
        <f>SUMPRODUCT(($C$185=Indirectos[Movimiento])*($F204=Indirectos[Cuenta Contable])*(Q$1=Indirectos[Mes Financiero])*(Q$2=Indirectos[Año Financiero])*(Indirectos[Financiero U$S Dólares]))</f>
        <v>0</v>
      </c>
      <c r="R204" s="103">
        <f>SUMPRODUCT(($C$185=Indirectos[Movimiento])*($F204=Indirectos[Cuenta Contable])*(R$1=Indirectos[Mes Financiero])*(R$2=Indirectos[Año Financiero])*(Indirectos[Financiero U$S Dólares]))</f>
        <v>0</v>
      </c>
      <c r="S204" s="104">
        <f>SUMPRODUCT(($C$185=Indirectos[Movimiento])*($F204=Indirectos[Cuenta Contable])*(S$1=Indirectos[Mes Financiero])*(S$2=Indirectos[Año Financiero])*(Indirectos[Financiero U$S Dólares]))</f>
        <v>0</v>
      </c>
      <c r="T204" s="103">
        <f>SUMPRODUCT(($C$185=Indirectos[Movimiento])*($F204=Indirectos[Cuenta Contable])*(T$1=Indirectos[Mes Financiero])*(T$2=Indirectos[Año Financiero])*(Indirectos[Financiero U$S Dólares]))</f>
        <v>0</v>
      </c>
      <c r="U204" s="104">
        <f>SUMPRODUCT(($C$185=Indirectos[Movimiento])*($F204=Indirectos[Cuenta Contable])*(U$1=Indirectos[Mes Financiero])*(U$2=Indirectos[Año Financiero])*(Indirectos[Financiero U$S Dólares]))</f>
        <v>0</v>
      </c>
      <c r="V204" s="103">
        <f>SUMPRODUCT(($C$185=Indirectos[Movimiento])*($F204=Indirectos[Cuenta Contable])*(V$1=Indirectos[Mes Financiero])*(V$2=Indirectos[Año Financiero])*(Indirectos[Financiero U$S Dólares]))</f>
        <v>0</v>
      </c>
      <c r="W204" s="104">
        <f>SUMPRODUCT(($C$185=Indirectos[Movimiento])*($F204=Indirectos[Cuenta Contable])*(W$1=Indirectos[Mes Financiero])*(W$2=Indirectos[Año Financiero])*(Indirectos[Financiero U$S Dólares]))</f>
        <v>0</v>
      </c>
      <c r="X204" s="103">
        <f>SUMPRODUCT(($C$185=Indirectos[Movimiento])*($F204=Indirectos[Cuenta Contable])*(X$1=Indirectos[Mes Financiero])*(X$2=Indirectos[Año Financiero])*(Indirectos[Financiero U$S Dólares]))</f>
        <v>0</v>
      </c>
      <c r="Y204" s="104">
        <f>SUMPRODUCT(($C$185=Indirectos[Movimiento])*($F204=Indirectos[Cuenta Contable])*(Y$1=Indirectos[Mes Financiero])*(Y$2=Indirectos[Año Financiero])*(Indirectos[Financiero U$S Dólares]))</f>
        <v>0</v>
      </c>
      <c r="Z204" s="144">
        <f t="shared" ref="Z204:Z215" si="36">SUM(H204:Y204)</f>
        <v>0</v>
      </c>
      <c r="AC204" s="174"/>
    </row>
    <row r="205" spans="5:29" hidden="1" outlineLevel="1" x14ac:dyDescent="0.25">
      <c r="E205" s="221">
        <f>IFERROR(MATCH(F205,Costos_Indirectos_Cuentas[Cuenta Contable],0),0)</f>
        <v>15</v>
      </c>
      <c r="F205" s="10" t="str">
        <f>Configuración!CE19</f>
        <v>Impuesto Determinado IIGG</v>
      </c>
      <c r="H205" s="103">
        <f>SUMPRODUCT(($C$185=Indirectos[Movimiento])*($F205=Indirectos[Cuenta Contable])*(H$1=Indirectos[Mes Financiero])*(H$2=Indirectos[Año Financiero])*(Indirectos[Financiero U$S Dólares]))</f>
        <v>0</v>
      </c>
      <c r="I205" s="104">
        <f>SUMPRODUCT(($C$185=Indirectos[Movimiento])*($F205=Indirectos[Cuenta Contable])*(I$1=Indirectos[Mes Financiero])*(I$2=Indirectos[Año Financiero])*(Indirectos[Financiero U$S Dólares]))</f>
        <v>0</v>
      </c>
      <c r="J205" s="103">
        <f>SUMPRODUCT(($C$185=Indirectos[Movimiento])*($F205=Indirectos[Cuenta Contable])*(J$1=Indirectos[Mes Financiero])*(J$2=Indirectos[Año Financiero])*(Indirectos[Financiero U$S Dólares]))</f>
        <v>0</v>
      </c>
      <c r="K205" s="104">
        <f>SUMPRODUCT(($C$185=Indirectos[Movimiento])*($F205=Indirectos[Cuenta Contable])*(K$1=Indirectos[Mes Financiero])*(K$2=Indirectos[Año Financiero])*(Indirectos[Financiero U$S Dólares]))</f>
        <v>0</v>
      </c>
      <c r="L205" s="103">
        <f>SUMPRODUCT(($C$185=Indirectos[Movimiento])*($F205=Indirectos[Cuenta Contable])*(L$1=Indirectos[Mes Financiero])*(L$2=Indirectos[Año Financiero])*(Indirectos[Financiero U$S Dólares]))</f>
        <v>0</v>
      </c>
      <c r="M205" s="104">
        <f>SUMPRODUCT(($C$185=Indirectos[Movimiento])*($F205=Indirectos[Cuenta Contable])*(M$1=Indirectos[Mes Financiero])*(M$2=Indirectos[Año Financiero])*(Indirectos[Financiero U$S Dólares]))</f>
        <v>0</v>
      </c>
      <c r="N205" s="103">
        <f>SUMPRODUCT(($C$185=Indirectos[Movimiento])*($F205=Indirectos[Cuenta Contable])*(N$1=Indirectos[Mes Financiero])*(N$2=Indirectos[Año Financiero])*(Indirectos[Financiero U$S Dólares]))</f>
        <v>0</v>
      </c>
      <c r="O205" s="104">
        <f>SUMPRODUCT(($C$185=Indirectos[Movimiento])*($F205=Indirectos[Cuenta Contable])*(O$1=Indirectos[Mes Financiero])*(O$2=Indirectos[Año Financiero])*(Indirectos[Financiero U$S Dólares]))</f>
        <v>0</v>
      </c>
      <c r="P205" s="103">
        <f>SUMPRODUCT(($C$185=Indirectos[Movimiento])*($F205=Indirectos[Cuenta Contable])*(P$1=Indirectos[Mes Financiero])*(P$2=Indirectos[Año Financiero])*(Indirectos[Financiero U$S Dólares]))</f>
        <v>0</v>
      </c>
      <c r="Q205" s="104">
        <f>SUMPRODUCT(($C$185=Indirectos[Movimiento])*($F205=Indirectos[Cuenta Contable])*(Q$1=Indirectos[Mes Financiero])*(Q$2=Indirectos[Año Financiero])*(Indirectos[Financiero U$S Dólares]))</f>
        <v>0</v>
      </c>
      <c r="R205" s="103">
        <f>SUMPRODUCT(($C$185=Indirectos[Movimiento])*($F205=Indirectos[Cuenta Contable])*(R$1=Indirectos[Mes Financiero])*(R$2=Indirectos[Año Financiero])*(Indirectos[Financiero U$S Dólares]))</f>
        <v>0</v>
      </c>
      <c r="S205" s="104">
        <f>SUMPRODUCT(($C$185=Indirectos[Movimiento])*($F205=Indirectos[Cuenta Contable])*(S$1=Indirectos[Mes Financiero])*(S$2=Indirectos[Año Financiero])*(Indirectos[Financiero U$S Dólares]))</f>
        <v>0</v>
      </c>
      <c r="T205" s="103">
        <f>SUMPRODUCT(($C$185=Indirectos[Movimiento])*($F205=Indirectos[Cuenta Contable])*(T$1=Indirectos[Mes Financiero])*(T$2=Indirectos[Año Financiero])*(Indirectos[Financiero U$S Dólares]))</f>
        <v>0</v>
      </c>
      <c r="U205" s="104">
        <f>SUMPRODUCT(($C$185=Indirectos[Movimiento])*($F205=Indirectos[Cuenta Contable])*(U$1=Indirectos[Mes Financiero])*(U$2=Indirectos[Año Financiero])*(Indirectos[Financiero U$S Dólares]))</f>
        <v>0</v>
      </c>
      <c r="V205" s="103">
        <f>SUMPRODUCT(($C$185=Indirectos[Movimiento])*($F205=Indirectos[Cuenta Contable])*(V$1=Indirectos[Mes Financiero])*(V$2=Indirectos[Año Financiero])*(Indirectos[Financiero U$S Dólares]))</f>
        <v>0</v>
      </c>
      <c r="W205" s="104">
        <f>SUMPRODUCT(($C$185=Indirectos[Movimiento])*($F205=Indirectos[Cuenta Contable])*(W$1=Indirectos[Mes Financiero])*(W$2=Indirectos[Año Financiero])*(Indirectos[Financiero U$S Dólares]))</f>
        <v>0</v>
      </c>
      <c r="X205" s="103">
        <f>SUMPRODUCT(($C$185=Indirectos[Movimiento])*($F205=Indirectos[Cuenta Contable])*(X$1=Indirectos[Mes Financiero])*(X$2=Indirectos[Año Financiero])*(Indirectos[Financiero U$S Dólares]))</f>
        <v>0</v>
      </c>
      <c r="Y205" s="104">
        <f>SUMPRODUCT(($C$185=Indirectos[Movimiento])*($F205=Indirectos[Cuenta Contable])*(Y$1=Indirectos[Mes Financiero])*(Y$2=Indirectos[Año Financiero])*(Indirectos[Financiero U$S Dólares]))</f>
        <v>0</v>
      </c>
      <c r="Z205" s="144">
        <f t="shared" si="36"/>
        <v>0</v>
      </c>
      <c r="AC205" s="174"/>
    </row>
    <row r="206" spans="5:29" hidden="1" outlineLevel="1" x14ac:dyDescent="0.25">
      <c r="E206" s="221">
        <f>IFERROR(MATCH(F206,Costos_Indirectos_Cuentas[Cuenta Contable],0),0)</f>
        <v>16</v>
      </c>
      <c r="F206" s="10" t="str">
        <f>Configuración!CE20</f>
        <v>Anticipo IIGG</v>
      </c>
      <c r="H206" s="103">
        <f>SUMPRODUCT(($C$185=Indirectos[Movimiento])*($F206=Indirectos[Cuenta Contable])*(H$1=Indirectos[Mes Financiero])*(H$2=Indirectos[Año Financiero])*(Indirectos[Financiero U$S Dólares]))</f>
        <v>0</v>
      </c>
      <c r="I206" s="104">
        <f>SUMPRODUCT(($C$185=Indirectos[Movimiento])*($F206=Indirectos[Cuenta Contable])*(I$1=Indirectos[Mes Financiero])*(I$2=Indirectos[Año Financiero])*(Indirectos[Financiero U$S Dólares]))</f>
        <v>0</v>
      </c>
      <c r="J206" s="103">
        <f>SUMPRODUCT(($C$185=Indirectos[Movimiento])*($F206=Indirectos[Cuenta Contable])*(J$1=Indirectos[Mes Financiero])*(J$2=Indirectos[Año Financiero])*(Indirectos[Financiero U$S Dólares]))</f>
        <v>0</v>
      </c>
      <c r="K206" s="104">
        <f>SUMPRODUCT(($C$185=Indirectos[Movimiento])*($F206=Indirectos[Cuenta Contable])*(K$1=Indirectos[Mes Financiero])*(K$2=Indirectos[Año Financiero])*(Indirectos[Financiero U$S Dólares]))</f>
        <v>0</v>
      </c>
      <c r="L206" s="103">
        <f>SUMPRODUCT(($C$185=Indirectos[Movimiento])*($F206=Indirectos[Cuenta Contable])*(L$1=Indirectos[Mes Financiero])*(L$2=Indirectos[Año Financiero])*(Indirectos[Financiero U$S Dólares]))</f>
        <v>0</v>
      </c>
      <c r="M206" s="104">
        <f>SUMPRODUCT(($C$185=Indirectos[Movimiento])*($F206=Indirectos[Cuenta Contable])*(M$1=Indirectos[Mes Financiero])*(M$2=Indirectos[Año Financiero])*(Indirectos[Financiero U$S Dólares]))</f>
        <v>0</v>
      </c>
      <c r="N206" s="103">
        <f>SUMPRODUCT(($C$185=Indirectos[Movimiento])*($F206=Indirectos[Cuenta Contable])*(N$1=Indirectos[Mes Financiero])*(N$2=Indirectos[Año Financiero])*(Indirectos[Financiero U$S Dólares]))</f>
        <v>0</v>
      </c>
      <c r="O206" s="104">
        <f>SUMPRODUCT(($C$185=Indirectos[Movimiento])*($F206=Indirectos[Cuenta Contable])*(O$1=Indirectos[Mes Financiero])*(O$2=Indirectos[Año Financiero])*(Indirectos[Financiero U$S Dólares]))</f>
        <v>0</v>
      </c>
      <c r="P206" s="103">
        <f>SUMPRODUCT(($C$185=Indirectos[Movimiento])*($F206=Indirectos[Cuenta Contable])*(P$1=Indirectos[Mes Financiero])*(P$2=Indirectos[Año Financiero])*(Indirectos[Financiero U$S Dólares]))</f>
        <v>0</v>
      </c>
      <c r="Q206" s="104">
        <f>SUMPRODUCT(($C$185=Indirectos[Movimiento])*($F206=Indirectos[Cuenta Contable])*(Q$1=Indirectos[Mes Financiero])*(Q$2=Indirectos[Año Financiero])*(Indirectos[Financiero U$S Dólares]))</f>
        <v>0</v>
      </c>
      <c r="R206" s="103">
        <f>SUMPRODUCT(($C$185=Indirectos[Movimiento])*($F206=Indirectos[Cuenta Contable])*(R$1=Indirectos[Mes Financiero])*(R$2=Indirectos[Año Financiero])*(Indirectos[Financiero U$S Dólares]))</f>
        <v>0</v>
      </c>
      <c r="S206" s="104">
        <f>SUMPRODUCT(($C$185=Indirectos[Movimiento])*($F206=Indirectos[Cuenta Contable])*(S$1=Indirectos[Mes Financiero])*(S$2=Indirectos[Año Financiero])*(Indirectos[Financiero U$S Dólares]))</f>
        <v>0</v>
      </c>
      <c r="T206" s="103">
        <f>SUMPRODUCT(($C$185=Indirectos[Movimiento])*($F206=Indirectos[Cuenta Contable])*(T$1=Indirectos[Mes Financiero])*(T$2=Indirectos[Año Financiero])*(Indirectos[Financiero U$S Dólares]))</f>
        <v>0</v>
      </c>
      <c r="U206" s="104">
        <f>SUMPRODUCT(($C$185=Indirectos[Movimiento])*($F206=Indirectos[Cuenta Contable])*(U$1=Indirectos[Mes Financiero])*(U$2=Indirectos[Año Financiero])*(Indirectos[Financiero U$S Dólares]))</f>
        <v>0</v>
      </c>
      <c r="V206" s="103">
        <f>SUMPRODUCT(($C$185=Indirectos[Movimiento])*($F206=Indirectos[Cuenta Contable])*(V$1=Indirectos[Mes Financiero])*(V$2=Indirectos[Año Financiero])*(Indirectos[Financiero U$S Dólares]))</f>
        <v>0</v>
      </c>
      <c r="W206" s="104">
        <f>SUMPRODUCT(($C$185=Indirectos[Movimiento])*($F206=Indirectos[Cuenta Contable])*(W$1=Indirectos[Mes Financiero])*(W$2=Indirectos[Año Financiero])*(Indirectos[Financiero U$S Dólares]))</f>
        <v>0</v>
      </c>
      <c r="X206" s="103">
        <f>SUMPRODUCT(($C$185=Indirectos[Movimiento])*($F206=Indirectos[Cuenta Contable])*(X$1=Indirectos[Mes Financiero])*(X$2=Indirectos[Año Financiero])*(Indirectos[Financiero U$S Dólares]))</f>
        <v>0</v>
      </c>
      <c r="Y206" s="104">
        <f>SUMPRODUCT(($C$185=Indirectos[Movimiento])*($F206=Indirectos[Cuenta Contable])*(Y$1=Indirectos[Mes Financiero])*(Y$2=Indirectos[Año Financiero])*(Indirectos[Financiero U$S Dólares]))</f>
        <v>0</v>
      </c>
      <c r="Z206" s="144">
        <f t="shared" si="36"/>
        <v>0</v>
      </c>
      <c r="AC206" s="174"/>
    </row>
    <row r="207" spans="5:29" hidden="1" outlineLevel="1" x14ac:dyDescent="0.25">
      <c r="E207" s="221">
        <f>IFERROR(MATCH(F207,Costos_Indirectos_Cuentas[Cuenta Contable],0),0)</f>
        <v>17</v>
      </c>
      <c r="F207" s="10" t="str">
        <f>Configuración!CE21</f>
        <v>Pago IIGG</v>
      </c>
      <c r="H207" s="103">
        <f>SUMPRODUCT(($C$185=Indirectos[Movimiento])*($F207=Indirectos[Cuenta Contable])*(H$1=Indirectos[Mes Financiero])*(H$2=Indirectos[Año Financiero])*(Indirectos[Financiero U$S Dólares]))</f>
        <v>0</v>
      </c>
      <c r="I207" s="104">
        <f>SUMPRODUCT(($C$185=Indirectos[Movimiento])*($F207=Indirectos[Cuenta Contable])*(I$1=Indirectos[Mes Financiero])*(I$2=Indirectos[Año Financiero])*(Indirectos[Financiero U$S Dólares]))</f>
        <v>0</v>
      </c>
      <c r="J207" s="103">
        <f>SUMPRODUCT(($C$185=Indirectos[Movimiento])*($F207=Indirectos[Cuenta Contable])*(J$1=Indirectos[Mes Financiero])*(J$2=Indirectos[Año Financiero])*(Indirectos[Financiero U$S Dólares]))</f>
        <v>0</v>
      </c>
      <c r="K207" s="104">
        <f>SUMPRODUCT(($C$185=Indirectos[Movimiento])*($F207=Indirectos[Cuenta Contable])*(K$1=Indirectos[Mes Financiero])*(K$2=Indirectos[Año Financiero])*(Indirectos[Financiero U$S Dólares]))</f>
        <v>0</v>
      </c>
      <c r="L207" s="103">
        <f>SUMPRODUCT(($C$185=Indirectos[Movimiento])*($F207=Indirectos[Cuenta Contable])*(L$1=Indirectos[Mes Financiero])*(L$2=Indirectos[Año Financiero])*(Indirectos[Financiero U$S Dólares]))</f>
        <v>0</v>
      </c>
      <c r="M207" s="104">
        <f>SUMPRODUCT(($C$185=Indirectos[Movimiento])*($F207=Indirectos[Cuenta Contable])*(M$1=Indirectos[Mes Financiero])*(M$2=Indirectos[Año Financiero])*(Indirectos[Financiero U$S Dólares]))</f>
        <v>0</v>
      </c>
      <c r="N207" s="103">
        <f>SUMPRODUCT(($C$185=Indirectos[Movimiento])*($F207=Indirectos[Cuenta Contable])*(N$1=Indirectos[Mes Financiero])*(N$2=Indirectos[Año Financiero])*(Indirectos[Financiero U$S Dólares]))</f>
        <v>0</v>
      </c>
      <c r="O207" s="104">
        <f>SUMPRODUCT(($C$185=Indirectos[Movimiento])*($F207=Indirectos[Cuenta Contable])*(O$1=Indirectos[Mes Financiero])*(O$2=Indirectos[Año Financiero])*(Indirectos[Financiero U$S Dólares]))</f>
        <v>0</v>
      </c>
      <c r="P207" s="103">
        <f>SUMPRODUCT(($C$185=Indirectos[Movimiento])*($F207=Indirectos[Cuenta Contable])*(P$1=Indirectos[Mes Financiero])*(P$2=Indirectos[Año Financiero])*(Indirectos[Financiero U$S Dólares]))</f>
        <v>0</v>
      </c>
      <c r="Q207" s="104">
        <f>SUMPRODUCT(($C$185=Indirectos[Movimiento])*($F207=Indirectos[Cuenta Contable])*(Q$1=Indirectos[Mes Financiero])*(Q$2=Indirectos[Año Financiero])*(Indirectos[Financiero U$S Dólares]))</f>
        <v>0</v>
      </c>
      <c r="R207" s="103">
        <f>SUMPRODUCT(($C$185=Indirectos[Movimiento])*($F207=Indirectos[Cuenta Contable])*(R$1=Indirectos[Mes Financiero])*(R$2=Indirectos[Año Financiero])*(Indirectos[Financiero U$S Dólares]))</f>
        <v>0</v>
      </c>
      <c r="S207" s="104">
        <f>SUMPRODUCT(($C$185=Indirectos[Movimiento])*($F207=Indirectos[Cuenta Contable])*(S$1=Indirectos[Mes Financiero])*(S$2=Indirectos[Año Financiero])*(Indirectos[Financiero U$S Dólares]))</f>
        <v>0</v>
      </c>
      <c r="T207" s="103">
        <f>SUMPRODUCT(($C$185=Indirectos[Movimiento])*($F207=Indirectos[Cuenta Contable])*(T$1=Indirectos[Mes Financiero])*(T$2=Indirectos[Año Financiero])*(Indirectos[Financiero U$S Dólares]))</f>
        <v>0</v>
      </c>
      <c r="U207" s="104">
        <f>SUMPRODUCT(($C$185=Indirectos[Movimiento])*($F207=Indirectos[Cuenta Contable])*(U$1=Indirectos[Mes Financiero])*(U$2=Indirectos[Año Financiero])*(Indirectos[Financiero U$S Dólares]))</f>
        <v>0</v>
      </c>
      <c r="V207" s="103">
        <f>SUMPRODUCT(($C$185=Indirectos[Movimiento])*($F207=Indirectos[Cuenta Contable])*(V$1=Indirectos[Mes Financiero])*(V$2=Indirectos[Año Financiero])*(Indirectos[Financiero U$S Dólares]))</f>
        <v>0</v>
      </c>
      <c r="W207" s="104">
        <f>SUMPRODUCT(($C$185=Indirectos[Movimiento])*($F207=Indirectos[Cuenta Contable])*(W$1=Indirectos[Mes Financiero])*(W$2=Indirectos[Año Financiero])*(Indirectos[Financiero U$S Dólares]))</f>
        <v>0</v>
      </c>
      <c r="X207" s="103">
        <f>SUMPRODUCT(($C$185=Indirectos[Movimiento])*($F207=Indirectos[Cuenta Contable])*(X$1=Indirectos[Mes Financiero])*(X$2=Indirectos[Año Financiero])*(Indirectos[Financiero U$S Dólares]))</f>
        <v>0</v>
      </c>
      <c r="Y207" s="104">
        <f>SUMPRODUCT(($C$185=Indirectos[Movimiento])*($F207=Indirectos[Cuenta Contable])*(Y$1=Indirectos[Mes Financiero])*(Y$2=Indirectos[Año Financiero])*(Indirectos[Financiero U$S Dólares]))</f>
        <v>0</v>
      </c>
      <c r="Z207" s="144">
        <f t="shared" si="36"/>
        <v>0</v>
      </c>
      <c r="AC207" s="174"/>
    </row>
    <row r="208" spans="5:29" hidden="1" outlineLevel="1" x14ac:dyDescent="0.25">
      <c r="E208" s="221">
        <f>IFERROR(MATCH(F208,Costos_Indirectos_Cuentas[Cuenta Contable],0),0)</f>
        <v>0</v>
      </c>
      <c r="F208" s="10">
        <f>Configuración!CE22</f>
        <v>0</v>
      </c>
      <c r="H208" s="103">
        <f>SUMPRODUCT(($C$185=Indirectos[Movimiento])*($F208=Indirectos[Cuenta Contable])*(H$1=Indirectos[Mes Financiero])*(H$2=Indirectos[Año Financiero])*(Indirectos[Financiero U$S Dólares]))</f>
        <v>0</v>
      </c>
      <c r="I208" s="104">
        <f>SUMPRODUCT(($C$185=Indirectos[Movimiento])*($F208=Indirectos[Cuenta Contable])*(I$1=Indirectos[Mes Financiero])*(I$2=Indirectos[Año Financiero])*(Indirectos[Financiero U$S Dólares]))</f>
        <v>0</v>
      </c>
      <c r="J208" s="103">
        <f>SUMPRODUCT(($C$185=Indirectos[Movimiento])*($F208=Indirectos[Cuenta Contable])*(J$1=Indirectos[Mes Financiero])*(J$2=Indirectos[Año Financiero])*(Indirectos[Financiero U$S Dólares]))</f>
        <v>0</v>
      </c>
      <c r="K208" s="104">
        <f>SUMPRODUCT(($C$185=Indirectos[Movimiento])*($F208=Indirectos[Cuenta Contable])*(K$1=Indirectos[Mes Financiero])*(K$2=Indirectos[Año Financiero])*(Indirectos[Financiero U$S Dólares]))</f>
        <v>0</v>
      </c>
      <c r="L208" s="103">
        <f>SUMPRODUCT(($C$185=Indirectos[Movimiento])*($F208=Indirectos[Cuenta Contable])*(L$1=Indirectos[Mes Financiero])*(L$2=Indirectos[Año Financiero])*(Indirectos[Financiero U$S Dólares]))</f>
        <v>0</v>
      </c>
      <c r="M208" s="104">
        <f>SUMPRODUCT(($C$185=Indirectos[Movimiento])*($F208=Indirectos[Cuenta Contable])*(M$1=Indirectos[Mes Financiero])*(M$2=Indirectos[Año Financiero])*(Indirectos[Financiero U$S Dólares]))</f>
        <v>0</v>
      </c>
      <c r="N208" s="103">
        <f>SUMPRODUCT(($C$185=Indirectos[Movimiento])*($F208=Indirectos[Cuenta Contable])*(N$1=Indirectos[Mes Financiero])*(N$2=Indirectos[Año Financiero])*(Indirectos[Financiero U$S Dólares]))</f>
        <v>0</v>
      </c>
      <c r="O208" s="104">
        <f>SUMPRODUCT(($C$185=Indirectos[Movimiento])*($F208=Indirectos[Cuenta Contable])*(O$1=Indirectos[Mes Financiero])*(O$2=Indirectos[Año Financiero])*(Indirectos[Financiero U$S Dólares]))</f>
        <v>0</v>
      </c>
      <c r="P208" s="103">
        <f>SUMPRODUCT(($C$185=Indirectos[Movimiento])*($F208=Indirectos[Cuenta Contable])*(P$1=Indirectos[Mes Financiero])*(P$2=Indirectos[Año Financiero])*(Indirectos[Financiero U$S Dólares]))</f>
        <v>0</v>
      </c>
      <c r="Q208" s="104">
        <f>SUMPRODUCT(($C$185=Indirectos[Movimiento])*($F208=Indirectos[Cuenta Contable])*(Q$1=Indirectos[Mes Financiero])*(Q$2=Indirectos[Año Financiero])*(Indirectos[Financiero U$S Dólares]))</f>
        <v>0</v>
      </c>
      <c r="R208" s="103">
        <f>SUMPRODUCT(($C$185=Indirectos[Movimiento])*($F208=Indirectos[Cuenta Contable])*(R$1=Indirectos[Mes Financiero])*(R$2=Indirectos[Año Financiero])*(Indirectos[Financiero U$S Dólares]))</f>
        <v>0</v>
      </c>
      <c r="S208" s="104">
        <f>SUMPRODUCT(($C$185=Indirectos[Movimiento])*($F208=Indirectos[Cuenta Contable])*(S$1=Indirectos[Mes Financiero])*(S$2=Indirectos[Año Financiero])*(Indirectos[Financiero U$S Dólares]))</f>
        <v>0</v>
      </c>
      <c r="T208" s="103">
        <f>SUMPRODUCT(($C$185=Indirectos[Movimiento])*($F208=Indirectos[Cuenta Contable])*(T$1=Indirectos[Mes Financiero])*(T$2=Indirectos[Año Financiero])*(Indirectos[Financiero U$S Dólares]))</f>
        <v>0</v>
      </c>
      <c r="U208" s="104">
        <f>SUMPRODUCT(($C$185=Indirectos[Movimiento])*($F208=Indirectos[Cuenta Contable])*(U$1=Indirectos[Mes Financiero])*(U$2=Indirectos[Año Financiero])*(Indirectos[Financiero U$S Dólares]))</f>
        <v>0</v>
      </c>
      <c r="V208" s="103">
        <f>SUMPRODUCT(($C$185=Indirectos[Movimiento])*($F208=Indirectos[Cuenta Contable])*(V$1=Indirectos[Mes Financiero])*(V$2=Indirectos[Año Financiero])*(Indirectos[Financiero U$S Dólares]))</f>
        <v>0</v>
      </c>
      <c r="W208" s="104">
        <f>SUMPRODUCT(($C$185=Indirectos[Movimiento])*($F208=Indirectos[Cuenta Contable])*(W$1=Indirectos[Mes Financiero])*(W$2=Indirectos[Año Financiero])*(Indirectos[Financiero U$S Dólares]))</f>
        <v>0</v>
      </c>
      <c r="X208" s="103">
        <f>SUMPRODUCT(($C$185=Indirectos[Movimiento])*($F208=Indirectos[Cuenta Contable])*(X$1=Indirectos[Mes Financiero])*(X$2=Indirectos[Año Financiero])*(Indirectos[Financiero U$S Dólares]))</f>
        <v>0</v>
      </c>
      <c r="Y208" s="104">
        <f>SUMPRODUCT(($C$185=Indirectos[Movimiento])*($F208=Indirectos[Cuenta Contable])*(Y$1=Indirectos[Mes Financiero])*(Y$2=Indirectos[Año Financiero])*(Indirectos[Financiero U$S Dólares]))</f>
        <v>0</v>
      </c>
      <c r="Z208" s="144">
        <f t="shared" si="36"/>
        <v>0</v>
      </c>
      <c r="AC208" s="174"/>
    </row>
    <row r="209" spans="2:29" hidden="1" outlineLevel="1" x14ac:dyDescent="0.25">
      <c r="E209" s="221">
        <f>IFERROR(MATCH(F209,Costos_Indirectos_Cuentas[Cuenta Contable],0),0)</f>
        <v>0</v>
      </c>
      <c r="F209" s="10">
        <f>Configuración!CE23</f>
        <v>0</v>
      </c>
      <c r="H209" s="103">
        <f>SUMPRODUCT(($C$185=Indirectos[Movimiento])*($F209=Indirectos[Cuenta Contable])*(H$1=Indirectos[Mes Financiero])*(H$2=Indirectos[Año Financiero])*(Indirectos[Financiero U$S Dólares]))</f>
        <v>0</v>
      </c>
      <c r="I209" s="104">
        <f>SUMPRODUCT(($C$185=Indirectos[Movimiento])*($F209=Indirectos[Cuenta Contable])*(I$1=Indirectos[Mes Financiero])*(I$2=Indirectos[Año Financiero])*(Indirectos[Financiero U$S Dólares]))</f>
        <v>0</v>
      </c>
      <c r="J209" s="103">
        <f>SUMPRODUCT(($C$185=Indirectos[Movimiento])*($F209=Indirectos[Cuenta Contable])*(J$1=Indirectos[Mes Financiero])*(J$2=Indirectos[Año Financiero])*(Indirectos[Financiero U$S Dólares]))</f>
        <v>0</v>
      </c>
      <c r="K209" s="104">
        <f>SUMPRODUCT(($C$185=Indirectos[Movimiento])*($F209=Indirectos[Cuenta Contable])*(K$1=Indirectos[Mes Financiero])*(K$2=Indirectos[Año Financiero])*(Indirectos[Financiero U$S Dólares]))</f>
        <v>0</v>
      </c>
      <c r="L209" s="103">
        <f>SUMPRODUCT(($C$185=Indirectos[Movimiento])*($F209=Indirectos[Cuenta Contable])*(L$1=Indirectos[Mes Financiero])*(L$2=Indirectos[Año Financiero])*(Indirectos[Financiero U$S Dólares]))</f>
        <v>0</v>
      </c>
      <c r="M209" s="104">
        <f>SUMPRODUCT(($C$185=Indirectos[Movimiento])*($F209=Indirectos[Cuenta Contable])*(M$1=Indirectos[Mes Financiero])*(M$2=Indirectos[Año Financiero])*(Indirectos[Financiero U$S Dólares]))</f>
        <v>0</v>
      </c>
      <c r="N209" s="103">
        <f>SUMPRODUCT(($C$185=Indirectos[Movimiento])*($F209=Indirectos[Cuenta Contable])*(N$1=Indirectos[Mes Financiero])*(N$2=Indirectos[Año Financiero])*(Indirectos[Financiero U$S Dólares]))</f>
        <v>0</v>
      </c>
      <c r="O209" s="104">
        <f>SUMPRODUCT(($C$185=Indirectos[Movimiento])*($F209=Indirectos[Cuenta Contable])*(O$1=Indirectos[Mes Financiero])*(O$2=Indirectos[Año Financiero])*(Indirectos[Financiero U$S Dólares]))</f>
        <v>0</v>
      </c>
      <c r="P209" s="103">
        <f>SUMPRODUCT(($C$185=Indirectos[Movimiento])*($F209=Indirectos[Cuenta Contable])*(P$1=Indirectos[Mes Financiero])*(P$2=Indirectos[Año Financiero])*(Indirectos[Financiero U$S Dólares]))</f>
        <v>0</v>
      </c>
      <c r="Q209" s="104">
        <f>SUMPRODUCT(($C$185=Indirectos[Movimiento])*($F209=Indirectos[Cuenta Contable])*(Q$1=Indirectos[Mes Financiero])*(Q$2=Indirectos[Año Financiero])*(Indirectos[Financiero U$S Dólares]))</f>
        <v>0</v>
      </c>
      <c r="R209" s="103">
        <f>SUMPRODUCT(($C$185=Indirectos[Movimiento])*($F209=Indirectos[Cuenta Contable])*(R$1=Indirectos[Mes Financiero])*(R$2=Indirectos[Año Financiero])*(Indirectos[Financiero U$S Dólares]))</f>
        <v>0</v>
      </c>
      <c r="S209" s="104">
        <f>SUMPRODUCT(($C$185=Indirectos[Movimiento])*($F209=Indirectos[Cuenta Contable])*(S$1=Indirectos[Mes Financiero])*(S$2=Indirectos[Año Financiero])*(Indirectos[Financiero U$S Dólares]))</f>
        <v>0</v>
      </c>
      <c r="T209" s="103">
        <f>SUMPRODUCT(($C$185=Indirectos[Movimiento])*($F209=Indirectos[Cuenta Contable])*(T$1=Indirectos[Mes Financiero])*(T$2=Indirectos[Año Financiero])*(Indirectos[Financiero U$S Dólares]))</f>
        <v>0</v>
      </c>
      <c r="U209" s="104">
        <f>SUMPRODUCT(($C$185=Indirectos[Movimiento])*($F209=Indirectos[Cuenta Contable])*(U$1=Indirectos[Mes Financiero])*(U$2=Indirectos[Año Financiero])*(Indirectos[Financiero U$S Dólares]))</f>
        <v>0</v>
      </c>
      <c r="V209" s="103">
        <f>SUMPRODUCT(($C$185=Indirectos[Movimiento])*($F209=Indirectos[Cuenta Contable])*(V$1=Indirectos[Mes Financiero])*(V$2=Indirectos[Año Financiero])*(Indirectos[Financiero U$S Dólares]))</f>
        <v>0</v>
      </c>
      <c r="W209" s="104">
        <f>SUMPRODUCT(($C$185=Indirectos[Movimiento])*($F209=Indirectos[Cuenta Contable])*(W$1=Indirectos[Mes Financiero])*(W$2=Indirectos[Año Financiero])*(Indirectos[Financiero U$S Dólares]))</f>
        <v>0</v>
      </c>
      <c r="X209" s="103">
        <f>SUMPRODUCT(($C$185=Indirectos[Movimiento])*($F209=Indirectos[Cuenta Contable])*(X$1=Indirectos[Mes Financiero])*(X$2=Indirectos[Año Financiero])*(Indirectos[Financiero U$S Dólares]))</f>
        <v>0</v>
      </c>
      <c r="Y209" s="104">
        <f>SUMPRODUCT(($C$185=Indirectos[Movimiento])*($F209=Indirectos[Cuenta Contable])*(Y$1=Indirectos[Mes Financiero])*(Y$2=Indirectos[Año Financiero])*(Indirectos[Financiero U$S Dólares]))</f>
        <v>0</v>
      </c>
      <c r="Z209" s="144">
        <f t="shared" si="36"/>
        <v>0</v>
      </c>
      <c r="AC209" s="174"/>
    </row>
    <row r="210" spans="2:29" hidden="1" outlineLevel="1" x14ac:dyDescent="0.25">
      <c r="E210" s="221">
        <f>IFERROR(MATCH(F210,Costos_Indirectos_Cuentas[Cuenta Contable],0),0)</f>
        <v>20</v>
      </c>
      <c r="F210" s="10" t="str">
        <f>Configuración!CE24</f>
        <v>Compra Bienes de Uso</v>
      </c>
      <c r="H210" s="103">
        <f>SUMPRODUCT(($C$185=Indirectos[Movimiento])*($F210=Indirectos[Cuenta Contable])*(H$1=Indirectos[Mes Financiero])*(H$2=Indirectos[Año Financiero])*(Indirectos[Financiero U$S Dólares]))</f>
        <v>0</v>
      </c>
      <c r="I210" s="104">
        <f>SUMPRODUCT(($C$185=Indirectos[Movimiento])*($F210=Indirectos[Cuenta Contable])*(I$1=Indirectos[Mes Financiero])*(I$2=Indirectos[Año Financiero])*(Indirectos[Financiero U$S Dólares]))</f>
        <v>0</v>
      </c>
      <c r="J210" s="103">
        <f>SUMPRODUCT(($C$185=Indirectos[Movimiento])*($F210=Indirectos[Cuenta Contable])*(J$1=Indirectos[Mes Financiero])*(J$2=Indirectos[Año Financiero])*(Indirectos[Financiero U$S Dólares]))</f>
        <v>0</v>
      </c>
      <c r="K210" s="104">
        <f>SUMPRODUCT(($C$185=Indirectos[Movimiento])*($F210=Indirectos[Cuenta Contable])*(K$1=Indirectos[Mes Financiero])*(K$2=Indirectos[Año Financiero])*(Indirectos[Financiero U$S Dólares]))</f>
        <v>0</v>
      </c>
      <c r="L210" s="103">
        <f>SUMPRODUCT(($C$185=Indirectos[Movimiento])*($F210=Indirectos[Cuenta Contable])*(L$1=Indirectos[Mes Financiero])*(L$2=Indirectos[Año Financiero])*(Indirectos[Financiero U$S Dólares]))</f>
        <v>0</v>
      </c>
      <c r="M210" s="104">
        <f>SUMPRODUCT(($C$185=Indirectos[Movimiento])*($F210=Indirectos[Cuenta Contable])*(M$1=Indirectos[Mes Financiero])*(M$2=Indirectos[Año Financiero])*(Indirectos[Financiero U$S Dólares]))</f>
        <v>0</v>
      </c>
      <c r="N210" s="103">
        <f>SUMPRODUCT(($C$185=Indirectos[Movimiento])*($F210=Indirectos[Cuenta Contable])*(N$1=Indirectos[Mes Financiero])*(N$2=Indirectos[Año Financiero])*(Indirectos[Financiero U$S Dólares]))</f>
        <v>0</v>
      </c>
      <c r="O210" s="104">
        <f>SUMPRODUCT(($C$185=Indirectos[Movimiento])*($F210=Indirectos[Cuenta Contable])*(O$1=Indirectos[Mes Financiero])*(O$2=Indirectos[Año Financiero])*(Indirectos[Financiero U$S Dólares]))</f>
        <v>0</v>
      </c>
      <c r="P210" s="103">
        <f>SUMPRODUCT(($C$185=Indirectos[Movimiento])*($F210=Indirectos[Cuenta Contable])*(P$1=Indirectos[Mes Financiero])*(P$2=Indirectos[Año Financiero])*(Indirectos[Financiero U$S Dólares]))</f>
        <v>0</v>
      </c>
      <c r="Q210" s="104">
        <f>SUMPRODUCT(($C$185=Indirectos[Movimiento])*($F210=Indirectos[Cuenta Contable])*(Q$1=Indirectos[Mes Financiero])*(Q$2=Indirectos[Año Financiero])*(Indirectos[Financiero U$S Dólares]))</f>
        <v>0</v>
      </c>
      <c r="R210" s="103">
        <f>SUMPRODUCT(($C$185=Indirectos[Movimiento])*($F210=Indirectos[Cuenta Contable])*(R$1=Indirectos[Mes Financiero])*(R$2=Indirectos[Año Financiero])*(Indirectos[Financiero U$S Dólares]))</f>
        <v>0</v>
      </c>
      <c r="S210" s="104">
        <f>SUMPRODUCT(($C$185=Indirectos[Movimiento])*($F210=Indirectos[Cuenta Contable])*(S$1=Indirectos[Mes Financiero])*(S$2=Indirectos[Año Financiero])*(Indirectos[Financiero U$S Dólares]))</f>
        <v>0</v>
      </c>
      <c r="T210" s="103">
        <f>SUMPRODUCT(($C$185=Indirectos[Movimiento])*($F210=Indirectos[Cuenta Contable])*(T$1=Indirectos[Mes Financiero])*(T$2=Indirectos[Año Financiero])*(Indirectos[Financiero U$S Dólares]))</f>
        <v>0</v>
      </c>
      <c r="U210" s="104">
        <f>SUMPRODUCT(($C$185=Indirectos[Movimiento])*($F210=Indirectos[Cuenta Contable])*(U$1=Indirectos[Mes Financiero])*(U$2=Indirectos[Año Financiero])*(Indirectos[Financiero U$S Dólares]))</f>
        <v>0</v>
      </c>
      <c r="V210" s="103">
        <f>SUMPRODUCT(($C$185=Indirectos[Movimiento])*($F210=Indirectos[Cuenta Contable])*(V$1=Indirectos[Mes Financiero])*(V$2=Indirectos[Año Financiero])*(Indirectos[Financiero U$S Dólares]))</f>
        <v>0</v>
      </c>
      <c r="W210" s="104">
        <f>SUMPRODUCT(($C$185=Indirectos[Movimiento])*($F210=Indirectos[Cuenta Contable])*(W$1=Indirectos[Mes Financiero])*(W$2=Indirectos[Año Financiero])*(Indirectos[Financiero U$S Dólares]))</f>
        <v>0</v>
      </c>
      <c r="X210" s="103">
        <f>SUMPRODUCT(($C$185=Indirectos[Movimiento])*($F210=Indirectos[Cuenta Contable])*(X$1=Indirectos[Mes Financiero])*(X$2=Indirectos[Año Financiero])*(Indirectos[Financiero U$S Dólares]))</f>
        <v>0</v>
      </c>
      <c r="Y210" s="104">
        <f>SUMPRODUCT(($C$185=Indirectos[Movimiento])*($F210=Indirectos[Cuenta Contable])*(Y$1=Indirectos[Mes Financiero])*(Y$2=Indirectos[Año Financiero])*(Indirectos[Financiero U$S Dólares]))</f>
        <v>0</v>
      </c>
      <c r="Z210" s="144">
        <f t="shared" si="36"/>
        <v>0</v>
      </c>
      <c r="AC210" s="174"/>
    </row>
    <row r="211" spans="2:29" hidden="1" outlineLevel="1" x14ac:dyDescent="0.25">
      <c r="E211" s="221">
        <f>IFERROR(MATCH(F211,Costos_Indirectos_Cuentas[Cuenta Contable],0),0)</f>
        <v>21</v>
      </c>
      <c r="F211" s="10" t="str">
        <f>Configuración!CE25</f>
        <v>Venta Bienes de Uso</v>
      </c>
      <c r="H211" s="103">
        <f>SUMPRODUCT(($C$185=Indirectos[Movimiento])*($F211=Indirectos[Cuenta Contable])*(H$1=Indirectos[Mes Financiero])*(H$2=Indirectos[Año Financiero])*(Indirectos[Financiero U$S Dólares]))</f>
        <v>0</v>
      </c>
      <c r="I211" s="104">
        <f>SUMPRODUCT(($C$185=Indirectos[Movimiento])*($F211=Indirectos[Cuenta Contable])*(I$1=Indirectos[Mes Financiero])*(I$2=Indirectos[Año Financiero])*(Indirectos[Financiero U$S Dólares]))</f>
        <v>0</v>
      </c>
      <c r="J211" s="103">
        <f>SUMPRODUCT(($C$185=Indirectos[Movimiento])*($F211=Indirectos[Cuenta Contable])*(J$1=Indirectos[Mes Financiero])*(J$2=Indirectos[Año Financiero])*(Indirectos[Financiero U$S Dólares]))</f>
        <v>0</v>
      </c>
      <c r="K211" s="104">
        <f>SUMPRODUCT(($C$185=Indirectos[Movimiento])*($F211=Indirectos[Cuenta Contable])*(K$1=Indirectos[Mes Financiero])*(K$2=Indirectos[Año Financiero])*(Indirectos[Financiero U$S Dólares]))</f>
        <v>0</v>
      </c>
      <c r="L211" s="103">
        <f>SUMPRODUCT(($C$185=Indirectos[Movimiento])*($F211=Indirectos[Cuenta Contable])*(L$1=Indirectos[Mes Financiero])*(L$2=Indirectos[Año Financiero])*(Indirectos[Financiero U$S Dólares]))</f>
        <v>0</v>
      </c>
      <c r="M211" s="104">
        <f>SUMPRODUCT(($C$185=Indirectos[Movimiento])*($F211=Indirectos[Cuenta Contable])*(M$1=Indirectos[Mes Financiero])*(M$2=Indirectos[Año Financiero])*(Indirectos[Financiero U$S Dólares]))</f>
        <v>0</v>
      </c>
      <c r="N211" s="103">
        <f>SUMPRODUCT(($C$185=Indirectos[Movimiento])*($F211=Indirectos[Cuenta Contable])*(N$1=Indirectos[Mes Financiero])*(N$2=Indirectos[Año Financiero])*(Indirectos[Financiero U$S Dólares]))</f>
        <v>0</v>
      </c>
      <c r="O211" s="104">
        <f>SUMPRODUCT(($C$185=Indirectos[Movimiento])*($F211=Indirectos[Cuenta Contable])*(O$1=Indirectos[Mes Financiero])*(O$2=Indirectos[Año Financiero])*(Indirectos[Financiero U$S Dólares]))</f>
        <v>0</v>
      </c>
      <c r="P211" s="103">
        <f>SUMPRODUCT(($C$185=Indirectos[Movimiento])*($F211=Indirectos[Cuenta Contable])*(P$1=Indirectos[Mes Financiero])*(P$2=Indirectos[Año Financiero])*(Indirectos[Financiero U$S Dólares]))</f>
        <v>0</v>
      </c>
      <c r="Q211" s="104">
        <f>SUMPRODUCT(($C$185=Indirectos[Movimiento])*($F211=Indirectos[Cuenta Contable])*(Q$1=Indirectos[Mes Financiero])*(Q$2=Indirectos[Año Financiero])*(Indirectos[Financiero U$S Dólares]))</f>
        <v>0</v>
      </c>
      <c r="R211" s="103">
        <f>SUMPRODUCT(($C$185=Indirectos[Movimiento])*($F211=Indirectos[Cuenta Contable])*(R$1=Indirectos[Mes Financiero])*(R$2=Indirectos[Año Financiero])*(Indirectos[Financiero U$S Dólares]))</f>
        <v>0</v>
      </c>
      <c r="S211" s="104">
        <f>SUMPRODUCT(($C$185=Indirectos[Movimiento])*($F211=Indirectos[Cuenta Contable])*(S$1=Indirectos[Mes Financiero])*(S$2=Indirectos[Año Financiero])*(Indirectos[Financiero U$S Dólares]))</f>
        <v>0</v>
      </c>
      <c r="T211" s="103">
        <f>SUMPRODUCT(($C$185=Indirectos[Movimiento])*($F211=Indirectos[Cuenta Contable])*(T$1=Indirectos[Mes Financiero])*(T$2=Indirectos[Año Financiero])*(Indirectos[Financiero U$S Dólares]))</f>
        <v>0</v>
      </c>
      <c r="U211" s="104">
        <f>SUMPRODUCT(($C$185=Indirectos[Movimiento])*($F211=Indirectos[Cuenta Contable])*(U$1=Indirectos[Mes Financiero])*(U$2=Indirectos[Año Financiero])*(Indirectos[Financiero U$S Dólares]))</f>
        <v>0</v>
      </c>
      <c r="V211" s="103">
        <f>SUMPRODUCT(($C$185=Indirectos[Movimiento])*($F211=Indirectos[Cuenta Contable])*(V$1=Indirectos[Mes Financiero])*(V$2=Indirectos[Año Financiero])*(Indirectos[Financiero U$S Dólares]))</f>
        <v>0</v>
      </c>
      <c r="W211" s="104">
        <f>SUMPRODUCT(($C$185=Indirectos[Movimiento])*($F211=Indirectos[Cuenta Contable])*(W$1=Indirectos[Mes Financiero])*(W$2=Indirectos[Año Financiero])*(Indirectos[Financiero U$S Dólares]))</f>
        <v>0</v>
      </c>
      <c r="X211" s="103">
        <f>SUMPRODUCT(($C$185=Indirectos[Movimiento])*($F211=Indirectos[Cuenta Contable])*(X$1=Indirectos[Mes Financiero])*(X$2=Indirectos[Año Financiero])*(Indirectos[Financiero U$S Dólares]))</f>
        <v>0</v>
      </c>
      <c r="Y211" s="104">
        <f>SUMPRODUCT(($C$185=Indirectos[Movimiento])*($F211=Indirectos[Cuenta Contable])*(Y$1=Indirectos[Mes Financiero])*(Y$2=Indirectos[Año Financiero])*(Indirectos[Financiero U$S Dólares]))</f>
        <v>0</v>
      </c>
      <c r="Z211" s="144">
        <f t="shared" si="36"/>
        <v>0</v>
      </c>
      <c r="AC211" s="174"/>
    </row>
    <row r="212" spans="2:29" hidden="1" outlineLevel="1" x14ac:dyDescent="0.25">
      <c r="E212" s="221">
        <f>IFERROR(MATCH(F212,Costos_Indirectos_Cuentas[Cuenta Contable],0),0)</f>
        <v>0</v>
      </c>
      <c r="F212" s="10">
        <f>Configuración!CE26</f>
        <v>0</v>
      </c>
      <c r="H212" s="103">
        <f>SUMPRODUCT(($C$185=Indirectos[Movimiento])*($F212=Indirectos[Cuenta Contable])*(H$1=Indirectos[Mes Financiero])*(H$2=Indirectos[Año Financiero])*(Indirectos[Financiero U$S Dólares]))</f>
        <v>0</v>
      </c>
      <c r="I212" s="104">
        <f>SUMPRODUCT(($C$185=Indirectos[Movimiento])*($F212=Indirectos[Cuenta Contable])*(I$1=Indirectos[Mes Financiero])*(I$2=Indirectos[Año Financiero])*(Indirectos[Financiero U$S Dólares]))</f>
        <v>0</v>
      </c>
      <c r="J212" s="103">
        <f>SUMPRODUCT(($C$185=Indirectos[Movimiento])*($F212=Indirectos[Cuenta Contable])*(J$1=Indirectos[Mes Financiero])*(J$2=Indirectos[Año Financiero])*(Indirectos[Financiero U$S Dólares]))</f>
        <v>0</v>
      </c>
      <c r="K212" s="104">
        <f>SUMPRODUCT(($C$185=Indirectos[Movimiento])*($F212=Indirectos[Cuenta Contable])*(K$1=Indirectos[Mes Financiero])*(K$2=Indirectos[Año Financiero])*(Indirectos[Financiero U$S Dólares]))</f>
        <v>0</v>
      </c>
      <c r="L212" s="103">
        <f>SUMPRODUCT(($C$185=Indirectos[Movimiento])*($F212=Indirectos[Cuenta Contable])*(L$1=Indirectos[Mes Financiero])*(L$2=Indirectos[Año Financiero])*(Indirectos[Financiero U$S Dólares]))</f>
        <v>0</v>
      </c>
      <c r="M212" s="104">
        <f>SUMPRODUCT(($C$185=Indirectos[Movimiento])*($F212=Indirectos[Cuenta Contable])*(M$1=Indirectos[Mes Financiero])*(M$2=Indirectos[Año Financiero])*(Indirectos[Financiero U$S Dólares]))</f>
        <v>0</v>
      </c>
      <c r="N212" s="103">
        <f>SUMPRODUCT(($C$185=Indirectos[Movimiento])*($F212=Indirectos[Cuenta Contable])*(N$1=Indirectos[Mes Financiero])*(N$2=Indirectos[Año Financiero])*(Indirectos[Financiero U$S Dólares]))</f>
        <v>0</v>
      </c>
      <c r="O212" s="104">
        <f>SUMPRODUCT(($C$185=Indirectos[Movimiento])*($F212=Indirectos[Cuenta Contable])*(O$1=Indirectos[Mes Financiero])*(O$2=Indirectos[Año Financiero])*(Indirectos[Financiero U$S Dólares]))</f>
        <v>0</v>
      </c>
      <c r="P212" s="103">
        <f>SUMPRODUCT(($C$185=Indirectos[Movimiento])*($F212=Indirectos[Cuenta Contable])*(P$1=Indirectos[Mes Financiero])*(P$2=Indirectos[Año Financiero])*(Indirectos[Financiero U$S Dólares]))</f>
        <v>0</v>
      </c>
      <c r="Q212" s="104">
        <f>SUMPRODUCT(($C$185=Indirectos[Movimiento])*($F212=Indirectos[Cuenta Contable])*(Q$1=Indirectos[Mes Financiero])*(Q$2=Indirectos[Año Financiero])*(Indirectos[Financiero U$S Dólares]))</f>
        <v>0</v>
      </c>
      <c r="R212" s="103">
        <f>SUMPRODUCT(($C$185=Indirectos[Movimiento])*($F212=Indirectos[Cuenta Contable])*(R$1=Indirectos[Mes Financiero])*(R$2=Indirectos[Año Financiero])*(Indirectos[Financiero U$S Dólares]))</f>
        <v>0</v>
      </c>
      <c r="S212" s="104">
        <f>SUMPRODUCT(($C$185=Indirectos[Movimiento])*($F212=Indirectos[Cuenta Contable])*(S$1=Indirectos[Mes Financiero])*(S$2=Indirectos[Año Financiero])*(Indirectos[Financiero U$S Dólares]))</f>
        <v>0</v>
      </c>
      <c r="T212" s="103">
        <f>SUMPRODUCT(($C$185=Indirectos[Movimiento])*($F212=Indirectos[Cuenta Contable])*(T$1=Indirectos[Mes Financiero])*(T$2=Indirectos[Año Financiero])*(Indirectos[Financiero U$S Dólares]))</f>
        <v>0</v>
      </c>
      <c r="U212" s="104">
        <f>SUMPRODUCT(($C$185=Indirectos[Movimiento])*($F212=Indirectos[Cuenta Contable])*(U$1=Indirectos[Mes Financiero])*(U$2=Indirectos[Año Financiero])*(Indirectos[Financiero U$S Dólares]))</f>
        <v>0</v>
      </c>
      <c r="V212" s="103">
        <f>SUMPRODUCT(($C$185=Indirectos[Movimiento])*($F212=Indirectos[Cuenta Contable])*(V$1=Indirectos[Mes Financiero])*(V$2=Indirectos[Año Financiero])*(Indirectos[Financiero U$S Dólares]))</f>
        <v>0</v>
      </c>
      <c r="W212" s="104">
        <f>SUMPRODUCT(($C$185=Indirectos[Movimiento])*($F212=Indirectos[Cuenta Contable])*(W$1=Indirectos[Mes Financiero])*(W$2=Indirectos[Año Financiero])*(Indirectos[Financiero U$S Dólares]))</f>
        <v>0</v>
      </c>
      <c r="X212" s="103">
        <f>SUMPRODUCT(($C$185=Indirectos[Movimiento])*($F212=Indirectos[Cuenta Contable])*(X$1=Indirectos[Mes Financiero])*(X$2=Indirectos[Año Financiero])*(Indirectos[Financiero U$S Dólares]))</f>
        <v>0</v>
      </c>
      <c r="Y212" s="104">
        <f>SUMPRODUCT(($C$185=Indirectos[Movimiento])*($F212=Indirectos[Cuenta Contable])*(Y$1=Indirectos[Mes Financiero])*(Y$2=Indirectos[Año Financiero])*(Indirectos[Financiero U$S Dólares]))</f>
        <v>0</v>
      </c>
      <c r="Z212" s="144">
        <f t="shared" si="36"/>
        <v>0</v>
      </c>
      <c r="AC212" s="174"/>
    </row>
    <row r="213" spans="2:29" hidden="1" outlineLevel="1" x14ac:dyDescent="0.25">
      <c r="E213" s="221">
        <f>IFERROR(MATCH(F213,Costos_Indirectos_Cuentas[Cuenta Contable],0),0)</f>
        <v>0</v>
      </c>
      <c r="F213" s="10">
        <f>Configuración!CE27</f>
        <v>0</v>
      </c>
      <c r="H213" s="103">
        <f>SUMPRODUCT(($C$185=Indirectos[Movimiento])*($F213=Indirectos[Cuenta Contable])*(H$1=Indirectos[Mes Financiero])*(H$2=Indirectos[Año Financiero])*(Indirectos[Financiero U$S Dólares]))</f>
        <v>0</v>
      </c>
      <c r="I213" s="104">
        <f>SUMPRODUCT(($C$185=Indirectos[Movimiento])*($F213=Indirectos[Cuenta Contable])*(I$1=Indirectos[Mes Financiero])*(I$2=Indirectos[Año Financiero])*(Indirectos[Financiero U$S Dólares]))</f>
        <v>0</v>
      </c>
      <c r="J213" s="103">
        <f>SUMPRODUCT(($C$185=Indirectos[Movimiento])*($F213=Indirectos[Cuenta Contable])*(J$1=Indirectos[Mes Financiero])*(J$2=Indirectos[Año Financiero])*(Indirectos[Financiero U$S Dólares]))</f>
        <v>0</v>
      </c>
      <c r="K213" s="104">
        <f>SUMPRODUCT(($C$185=Indirectos[Movimiento])*($F213=Indirectos[Cuenta Contable])*(K$1=Indirectos[Mes Financiero])*(K$2=Indirectos[Año Financiero])*(Indirectos[Financiero U$S Dólares]))</f>
        <v>0</v>
      </c>
      <c r="L213" s="103">
        <f>SUMPRODUCT(($C$185=Indirectos[Movimiento])*($F213=Indirectos[Cuenta Contable])*(L$1=Indirectos[Mes Financiero])*(L$2=Indirectos[Año Financiero])*(Indirectos[Financiero U$S Dólares]))</f>
        <v>0</v>
      </c>
      <c r="M213" s="104">
        <f>SUMPRODUCT(($C$185=Indirectos[Movimiento])*($F213=Indirectos[Cuenta Contable])*(M$1=Indirectos[Mes Financiero])*(M$2=Indirectos[Año Financiero])*(Indirectos[Financiero U$S Dólares]))</f>
        <v>0</v>
      </c>
      <c r="N213" s="103">
        <f>SUMPRODUCT(($C$185=Indirectos[Movimiento])*($F213=Indirectos[Cuenta Contable])*(N$1=Indirectos[Mes Financiero])*(N$2=Indirectos[Año Financiero])*(Indirectos[Financiero U$S Dólares]))</f>
        <v>0</v>
      </c>
      <c r="O213" s="104">
        <f>SUMPRODUCT(($C$185=Indirectos[Movimiento])*($F213=Indirectos[Cuenta Contable])*(O$1=Indirectos[Mes Financiero])*(O$2=Indirectos[Año Financiero])*(Indirectos[Financiero U$S Dólares]))</f>
        <v>0</v>
      </c>
      <c r="P213" s="103">
        <f>SUMPRODUCT(($C$185=Indirectos[Movimiento])*($F213=Indirectos[Cuenta Contable])*(P$1=Indirectos[Mes Financiero])*(P$2=Indirectos[Año Financiero])*(Indirectos[Financiero U$S Dólares]))</f>
        <v>0</v>
      </c>
      <c r="Q213" s="104">
        <f>SUMPRODUCT(($C$185=Indirectos[Movimiento])*($F213=Indirectos[Cuenta Contable])*(Q$1=Indirectos[Mes Financiero])*(Q$2=Indirectos[Año Financiero])*(Indirectos[Financiero U$S Dólares]))</f>
        <v>0</v>
      </c>
      <c r="R213" s="103">
        <f>SUMPRODUCT(($C$185=Indirectos[Movimiento])*($F213=Indirectos[Cuenta Contable])*(R$1=Indirectos[Mes Financiero])*(R$2=Indirectos[Año Financiero])*(Indirectos[Financiero U$S Dólares]))</f>
        <v>0</v>
      </c>
      <c r="S213" s="104">
        <f>SUMPRODUCT(($C$185=Indirectos[Movimiento])*($F213=Indirectos[Cuenta Contable])*(S$1=Indirectos[Mes Financiero])*(S$2=Indirectos[Año Financiero])*(Indirectos[Financiero U$S Dólares]))</f>
        <v>0</v>
      </c>
      <c r="T213" s="103">
        <f>SUMPRODUCT(($C$185=Indirectos[Movimiento])*($F213=Indirectos[Cuenta Contable])*(T$1=Indirectos[Mes Financiero])*(T$2=Indirectos[Año Financiero])*(Indirectos[Financiero U$S Dólares]))</f>
        <v>0</v>
      </c>
      <c r="U213" s="104">
        <f>SUMPRODUCT(($C$185=Indirectos[Movimiento])*($F213=Indirectos[Cuenta Contable])*(U$1=Indirectos[Mes Financiero])*(U$2=Indirectos[Año Financiero])*(Indirectos[Financiero U$S Dólares]))</f>
        <v>0</v>
      </c>
      <c r="V213" s="103">
        <f>SUMPRODUCT(($C$185=Indirectos[Movimiento])*($F213=Indirectos[Cuenta Contable])*(V$1=Indirectos[Mes Financiero])*(V$2=Indirectos[Año Financiero])*(Indirectos[Financiero U$S Dólares]))</f>
        <v>0</v>
      </c>
      <c r="W213" s="104">
        <f>SUMPRODUCT(($C$185=Indirectos[Movimiento])*($F213=Indirectos[Cuenta Contable])*(W$1=Indirectos[Mes Financiero])*(W$2=Indirectos[Año Financiero])*(Indirectos[Financiero U$S Dólares]))</f>
        <v>0</v>
      </c>
      <c r="X213" s="103">
        <f>SUMPRODUCT(($C$185=Indirectos[Movimiento])*($F213=Indirectos[Cuenta Contable])*(X$1=Indirectos[Mes Financiero])*(X$2=Indirectos[Año Financiero])*(Indirectos[Financiero U$S Dólares]))</f>
        <v>0</v>
      </c>
      <c r="Y213" s="104">
        <f>SUMPRODUCT(($C$185=Indirectos[Movimiento])*($F213=Indirectos[Cuenta Contable])*(Y$1=Indirectos[Mes Financiero])*(Y$2=Indirectos[Año Financiero])*(Indirectos[Financiero U$S Dólares]))</f>
        <v>0</v>
      </c>
      <c r="Z213" s="144">
        <f t="shared" si="36"/>
        <v>0</v>
      </c>
      <c r="AC213" s="174"/>
    </row>
    <row r="214" spans="2:29" hidden="1" outlineLevel="1" x14ac:dyDescent="0.25">
      <c r="E214" s="221">
        <f>IFERROR(MATCH(F214,Costos_Indirectos_Cuentas[Cuenta Contable],0),0)</f>
        <v>24</v>
      </c>
      <c r="F214" s="10" t="str">
        <f>Configuración!CE28</f>
        <v>Aporte Accionistas</v>
      </c>
      <c r="H214" s="103">
        <f>SUMPRODUCT(($C$185=Indirectos[Movimiento])*($F214=Indirectos[Cuenta Contable])*(H$1=Indirectos[Mes Financiero])*(H$2=Indirectos[Año Financiero])*(Indirectos[Financiero U$S Dólares]))</f>
        <v>0</v>
      </c>
      <c r="I214" s="104">
        <f>SUMPRODUCT(($C$185=Indirectos[Movimiento])*($F214=Indirectos[Cuenta Contable])*(I$1=Indirectos[Mes Financiero])*(I$2=Indirectos[Año Financiero])*(Indirectos[Financiero U$S Dólares]))</f>
        <v>0</v>
      </c>
      <c r="J214" s="103">
        <f>SUMPRODUCT(($C$185=Indirectos[Movimiento])*($F214=Indirectos[Cuenta Contable])*(J$1=Indirectos[Mes Financiero])*(J$2=Indirectos[Año Financiero])*(Indirectos[Financiero U$S Dólares]))</f>
        <v>0</v>
      </c>
      <c r="K214" s="104">
        <f>SUMPRODUCT(($C$185=Indirectos[Movimiento])*($F214=Indirectos[Cuenta Contable])*(K$1=Indirectos[Mes Financiero])*(K$2=Indirectos[Año Financiero])*(Indirectos[Financiero U$S Dólares]))</f>
        <v>0</v>
      </c>
      <c r="L214" s="103">
        <f>SUMPRODUCT(($C$185=Indirectos[Movimiento])*($F214=Indirectos[Cuenta Contable])*(L$1=Indirectos[Mes Financiero])*(L$2=Indirectos[Año Financiero])*(Indirectos[Financiero U$S Dólares]))</f>
        <v>0</v>
      </c>
      <c r="M214" s="104">
        <f>SUMPRODUCT(($C$185=Indirectos[Movimiento])*($F214=Indirectos[Cuenta Contable])*(M$1=Indirectos[Mes Financiero])*(M$2=Indirectos[Año Financiero])*(Indirectos[Financiero U$S Dólares]))</f>
        <v>0</v>
      </c>
      <c r="N214" s="103">
        <f>SUMPRODUCT(($C$185=Indirectos[Movimiento])*($F214=Indirectos[Cuenta Contable])*(N$1=Indirectos[Mes Financiero])*(N$2=Indirectos[Año Financiero])*(Indirectos[Financiero U$S Dólares]))</f>
        <v>0</v>
      </c>
      <c r="O214" s="104">
        <f>SUMPRODUCT(($C$185=Indirectos[Movimiento])*($F214=Indirectos[Cuenta Contable])*(O$1=Indirectos[Mes Financiero])*(O$2=Indirectos[Año Financiero])*(Indirectos[Financiero U$S Dólares]))</f>
        <v>0</v>
      </c>
      <c r="P214" s="103">
        <f>SUMPRODUCT(($C$185=Indirectos[Movimiento])*($F214=Indirectos[Cuenta Contable])*(P$1=Indirectos[Mes Financiero])*(P$2=Indirectos[Año Financiero])*(Indirectos[Financiero U$S Dólares]))</f>
        <v>0</v>
      </c>
      <c r="Q214" s="104">
        <f>SUMPRODUCT(($C$185=Indirectos[Movimiento])*($F214=Indirectos[Cuenta Contable])*(Q$1=Indirectos[Mes Financiero])*(Q$2=Indirectos[Año Financiero])*(Indirectos[Financiero U$S Dólares]))</f>
        <v>0</v>
      </c>
      <c r="R214" s="103">
        <f>SUMPRODUCT(($C$185=Indirectos[Movimiento])*($F214=Indirectos[Cuenta Contable])*(R$1=Indirectos[Mes Financiero])*(R$2=Indirectos[Año Financiero])*(Indirectos[Financiero U$S Dólares]))</f>
        <v>0</v>
      </c>
      <c r="S214" s="104">
        <f>SUMPRODUCT(($C$185=Indirectos[Movimiento])*($F214=Indirectos[Cuenta Contable])*(S$1=Indirectos[Mes Financiero])*(S$2=Indirectos[Año Financiero])*(Indirectos[Financiero U$S Dólares]))</f>
        <v>0</v>
      </c>
      <c r="T214" s="103">
        <f>SUMPRODUCT(($C$185=Indirectos[Movimiento])*($F214=Indirectos[Cuenta Contable])*(T$1=Indirectos[Mes Financiero])*(T$2=Indirectos[Año Financiero])*(Indirectos[Financiero U$S Dólares]))</f>
        <v>0</v>
      </c>
      <c r="U214" s="104">
        <f>SUMPRODUCT(($C$185=Indirectos[Movimiento])*($F214=Indirectos[Cuenta Contable])*(U$1=Indirectos[Mes Financiero])*(U$2=Indirectos[Año Financiero])*(Indirectos[Financiero U$S Dólares]))</f>
        <v>0</v>
      </c>
      <c r="V214" s="103">
        <f>SUMPRODUCT(($C$185=Indirectos[Movimiento])*($F214=Indirectos[Cuenta Contable])*(V$1=Indirectos[Mes Financiero])*(V$2=Indirectos[Año Financiero])*(Indirectos[Financiero U$S Dólares]))</f>
        <v>0</v>
      </c>
      <c r="W214" s="104">
        <f>SUMPRODUCT(($C$185=Indirectos[Movimiento])*($F214=Indirectos[Cuenta Contable])*(W$1=Indirectos[Mes Financiero])*(W$2=Indirectos[Año Financiero])*(Indirectos[Financiero U$S Dólares]))</f>
        <v>0</v>
      </c>
      <c r="X214" s="103">
        <f>SUMPRODUCT(($C$185=Indirectos[Movimiento])*($F214=Indirectos[Cuenta Contable])*(X$1=Indirectos[Mes Financiero])*(X$2=Indirectos[Año Financiero])*(Indirectos[Financiero U$S Dólares]))</f>
        <v>0</v>
      </c>
      <c r="Y214" s="104">
        <f>SUMPRODUCT(($C$185=Indirectos[Movimiento])*($F214=Indirectos[Cuenta Contable])*(Y$1=Indirectos[Mes Financiero])*(Y$2=Indirectos[Año Financiero])*(Indirectos[Financiero U$S Dólares]))</f>
        <v>0</v>
      </c>
      <c r="Z214" s="144">
        <f t="shared" si="36"/>
        <v>0</v>
      </c>
      <c r="AC214" s="174"/>
    </row>
    <row r="215" spans="2:29" hidden="1" outlineLevel="1" x14ac:dyDescent="0.25">
      <c r="B215" s="166" t="s">
        <v>101</v>
      </c>
      <c r="E215" s="221">
        <f>IFERROR(MATCH(F215,Costos_Indirectos_Cuentas[Cuenta Contable],0),0)</f>
        <v>25</v>
      </c>
      <c r="F215" s="10" t="str">
        <f>Configuración!CE29</f>
        <v>Dividendos</v>
      </c>
      <c r="H215" s="103">
        <f>SUMPRODUCT(($C$185=Indirectos[Movimiento])*($F215=Indirectos[Cuenta Contable])*(H$1=Indirectos[Mes Financiero])*(H$2=Indirectos[Año Financiero])*(Indirectos[Financiero U$S Dólares]))</f>
        <v>0</v>
      </c>
      <c r="I215" s="104">
        <f>SUMPRODUCT(($C$185=Indirectos[Movimiento])*($F215=Indirectos[Cuenta Contable])*(I$1=Indirectos[Mes Financiero])*(I$2=Indirectos[Año Financiero])*(Indirectos[Financiero U$S Dólares]))</f>
        <v>0</v>
      </c>
      <c r="J215" s="103">
        <f>SUMPRODUCT(($C$185=Indirectos[Movimiento])*($F215=Indirectos[Cuenta Contable])*(J$1=Indirectos[Mes Financiero])*(J$2=Indirectos[Año Financiero])*(Indirectos[Financiero U$S Dólares]))</f>
        <v>0</v>
      </c>
      <c r="K215" s="104">
        <f>SUMPRODUCT(($C$185=Indirectos[Movimiento])*($F215=Indirectos[Cuenta Contable])*(K$1=Indirectos[Mes Financiero])*(K$2=Indirectos[Año Financiero])*(Indirectos[Financiero U$S Dólares]))</f>
        <v>0</v>
      </c>
      <c r="L215" s="103">
        <f>SUMPRODUCT(($C$185=Indirectos[Movimiento])*($F215=Indirectos[Cuenta Contable])*(L$1=Indirectos[Mes Financiero])*(L$2=Indirectos[Año Financiero])*(Indirectos[Financiero U$S Dólares]))</f>
        <v>0</v>
      </c>
      <c r="M215" s="104">
        <f>SUMPRODUCT(($C$185=Indirectos[Movimiento])*($F215=Indirectos[Cuenta Contable])*(M$1=Indirectos[Mes Financiero])*(M$2=Indirectos[Año Financiero])*(Indirectos[Financiero U$S Dólares]))</f>
        <v>0</v>
      </c>
      <c r="N215" s="103">
        <f>SUMPRODUCT(($C$185=Indirectos[Movimiento])*($F215=Indirectos[Cuenta Contable])*(N$1=Indirectos[Mes Financiero])*(N$2=Indirectos[Año Financiero])*(Indirectos[Financiero U$S Dólares]))</f>
        <v>0</v>
      </c>
      <c r="O215" s="104">
        <f>SUMPRODUCT(($C$185=Indirectos[Movimiento])*($F215=Indirectos[Cuenta Contable])*(O$1=Indirectos[Mes Financiero])*(O$2=Indirectos[Año Financiero])*(Indirectos[Financiero U$S Dólares]))</f>
        <v>0</v>
      </c>
      <c r="P215" s="103">
        <f>SUMPRODUCT(($C$185=Indirectos[Movimiento])*($F215=Indirectos[Cuenta Contable])*(P$1=Indirectos[Mes Financiero])*(P$2=Indirectos[Año Financiero])*(Indirectos[Financiero U$S Dólares]))</f>
        <v>0</v>
      </c>
      <c r="Q215" s="104">
        <f>SUMPRODUCT(($C$185=Indirectos[Movimiento])*($F215=Indirectos[Cuenta Contable])*(Q$1=Indirectos[Mes Financiero])*(Q$2=Indirectos[Año Financiero])*(Indirectos[Financiero U$S Dólares]))</f>
        <v>0</v>
      </c>
      <c r="R215" s="103">
        <f>SUMPRODUCT(($C$185=Indirectos[Movimiento])*($F215=Indirectos[Cuenta Contable])*(R$1=Indirectos[Mes Financiero])*(R$2=Indirectos[Año Financiero])*(Indirectos[Financiero U$S Dólares]))</f>
        <v>0</v>
      </c>
      <c r="S215" s="104">
        <f>SUMPRODUCT(($C$185=Indirectos[Movimiento])*($F215=Indirectos[Cuenta Contable])*(S$1=Indirectos[Mes Financiero])*(S$2=Indirectos[Año Financiero])*(Indirectos[Financiero U$S Dólares]))</f>
        <v>0</v>
      </c>
      <c r="T215" s="103">
        <f>SUMPRODUCT(($C$185=Indirectos[Movimiento])*($F215=Indirectos[Cuenta Contable])*(T$1=Indirectos[Mes Financiero])*(T$2=Indirectos[Año Financiero])*(Indirectos[Financiero U$S Dólares]))</f>
        <v>0</v>
      </c>
      <c r="U215" s="104">
        <f>SUMPRODUCT(($C$185=Indirectos[Movimiento])*($F215=Indirectos[Cuenta Contable])*(U$1=Indirectos[Mes Financiero])*(U$2=Indirectos[Año Financiero])*(Indirectos[Financiero U$S Dólares]))</f>
        <v>0</v>
      </c>
      <c r="V215" s="103">
        <f>SUMPRODUCT(($C$185=Indirectos[Movimiento])*($F215=Indirectos[Cuenta Contable])*(V$1=Indirectos[Mes Financiero])*(V$2=Indirectos[Año Financiero])*(Indirectos[Financiero U$S Dólares]))</f>
        <v>0</v>
      </c>
      <c r="W215" s="104">
        <f>SUMPRODUCT(($C$185=Indirectos[Movimiento])*($F215=Indirectos[Cuenta Contable])*(W$1=Indirectos[Mes Financiero])*(W$2=Indirectos[Año Financiero])*(Indirectos[Financiero U$S Dólares]))</f>
        <v>0</v>
      </c>
      <c r="X215" s="103">
        <f>SUMPRODUCT(($C$185=Indirectos[Movimiento])*($F215=Indirectos[Cuenta Contable])*(X$1=Indirectos[Mes Financiero])*(X$2=Indirectos[Año Financiero])*(Indirectos[Financiero U$S Dólares]))</f>
        <v>0</v>
      </c>
      <c r="Y215" s="104">
        <f>SUMPRODUCT(($C$185=Indirectos[Movimiento])*($F215=Indirectos[Cuenta Contable])*(Y$1=Indirectos[Mes Financiero])*(Y$2=Indirectos[Año Financiero])*(Indirectos[Financiero U$S Dólares]))</f>
        <v>0</v>
      </c>
      <c r="Z215" s="144">
        <f t="shared" si="36"/>
        <v>0</v>
      </c>
      <c r="AC215" s="174">
        <f>SUMPRODUCT((F215=Costos_Indirectos_Cuentas[Cuenta Contable])*(Costos_Indirectos_Cuentas[IVA]))</f>
        <v>0</v>
      </c>
    </row>
    <row r="216" spans="2:29" hidden="1" outlineLevel="1" x14ac:dyDescent="0.25">
      <c r="E216" s="222">
        <f>IFERROR(MATCH(F216,Costos_Indirectos_Cuentas[Cuenta Contable],0),0)</f>
        <v>0</v>
      </c>
      <c r="F216" s="276" t="s">
        <v>240</v>
      </c>
      <c r="G216" s="94"/>
      <c r="H216" s="105">
        <f>SUMPRODUCT(($C$185=Indirectos[Movimiento])*(H$1=Indirectos[Mes Financiero])*(H$2=Indirectos[Año Financiero])*(Indirectos[Financiero U$S Dólares]))-SUM(H191:H215)</f>
        <v>0</v>
      </c>
      <c r="I216" s="106">
        <f>SUMPRODUCT(($C$185=Indirectos[Movimiento])*(I$1=Indirectos[Mes Financiero])*(I$2=Indirectos[Año Financiero])*(Indirectos[Financiero U$S Dólares]))-SUM(I191:I215)</f>
        <v>0</v>
      </c>
      <c r="J216" s="105">
        <f>SUMPRODUCT(($C$185=Indirectos[Movimiento])*(J$1=Indirectos[Mes Financiero])*(J$2=Indirectos[Año Financiero])*(Indirectos[Financiero U$S Dólares]))-SUM(J191:J215)</f>
        <v>0</v>
      </c>
      <c r="K216" s="106">
        <f>SUMPRODUCT(($C$185=Indirectos[Movimiento])*(K$1=Indirectos[Mes Financiero])*(K$2=Indirectos[Año Financiero])*(Indirectos[Financiero U$S Dólares]))-SUM(K191:K215)</f>
        <v>0</v>
      </c>
      <c r="L216" s="105">
        <f>SUMPRODUCT(($C$185=Indirectos[Movimiento])*(L$1=Indirectos[Mes Financiero])*(L$2=Indirectos[Año Financiero])*(Indirectos[Financiero U$S Dólares]))-SUM(L191:L215)</f>
        <v>0</v>
      </c>
      <c r="M216" s="106">
        <f>SUMPRODUCT(($C$185=Indirectos[Movimiento])*(M$1=Indirectos[Mes Financiero])*(M$2=Indirectos[Año Financiero])*(Indirectos[Financiero U$S Dólares]))-SUM(M191:M215)</f>
        <v>0</v>
      </c>
      <c r="N216" s="105">
        <f>SUMPRODUCT(($C$185=Indirectos[Movimiento])*(N$1=Indirectos[Mes Financiero])*(N$2=Indirectos[Año Financiero])*(Indirectos[Financiero U$S Dólares]))-SUM(N191:N215)</f>
        <v>0</v>
      </c>
      <c r="O216" s="106">
        <f>SUMPRODUCT(($C$185=Indirectos[Movimiento])*(O$1=Indirectos[Mes Financiero])*(O$2=Indirectos[Año Financiero])*(Indirectos[Financiero U$S Dólares]))-SUM(O191:O215)</f>
        <v>0</v>
      </c>
      <c r="P216" s="105">
        <f>SUMPRODUCT(($C$185=Indirectos[Movimiento])*(P$1=Indirectos[Mes Financiero])*(P$2=Indirectos[Año Financiero])*(Indirectos[Financiero U$S Dólares]))-SUM(P191:P215)</f>
        <v>0</v>
      </c>
      <c r="Q216" s="106">
        <f>SUMPRODUCT(($C$185=Indirectos[Movimiento])*(Q$1=Indirectos[Mes Financiero])*(Q$2=Indirectos[Año Financiero])*(Indirectos[Financiero U$S Dólares]))-SUM(Q191:Q215)</f>
        <v>0</v>
      </c>
      <c r="R216" s="105">
        <f>SUMPRODUCT(($C$185=Indirectos[Movimiento])*(R$1=Indirectos[Mes Financiero])*(R$2=Indirectos[Año Financiero])*(Indirectos[Financiero U$S Dólares]))-SUM(R191:R215)</f>
        <v>0</v>
      </c>
      <c r="S216" s="106">
        <f>SUMPRODUCT(($C$185=Indirectos[Movimiento])*(S$1=Indirectos[Mes Financiero])*(S$2=Indirectos[Año Financiero])*(Indirectos[Financiero U$S Dólares]))-SUM(S191:S215)</f>
        <v>0</v>
      </c>
      <c r="T216" s="105">
        <f>SUMPRODUCT(($C$185=Indirectos[Movimiento])*(T$1=Indirectos[Mes Financiero])*(T$2=Indirectos[Año Financiero])*(Indirectos[Financiero U$S Dólares]))-SUM(T191:T215)</f>
        <v>0</v>
      </c>
      <c r="U216" s="106">
        <f>SUMPRODUCT(($C$185=Indirectos[Movimiento])*(U$1=Indirectos[Mes Financiero])*(U$2=Indirectos[Año Financiero])*(Indirectos[Financiero U$S Dólares]))-SUM(U191:U215)</f>
        <v>0</v>
      </c>
      <c r="V216" s="105">
        <f>SUMPRODUCT(($C$185=Indirectos[Movimiento])*(V$1=Indirectos[Mes Financiero])*(V$2=Indirectos[Año Financiero])*(Indirectos[Financiero U$S Dólares]))-SUM(V191:V215)</f>
        <v>0</v>
      </c>
      <c r="W216" s="106">
        <f>SUMPRODUCT(($C$185=Indirectos[Movimiento])*(W$1=Indirectos[Mes Financiero])*(W$2=Indirectos[Año Financiero])*(Indirectos[Financiero U$S Dólares]))-SUM(W191:W215)</f>
        <v>0</v>
      </c>
      <c r="X216" s="105">
        <f>SUMPRODUCT(($C$185=Indirectos[Movimiento])*(X$1=Indirectos[Mes Financiero])*(X$2=Indirectos[Año Financiero])*(Indirectos[Financiero U$S Dólares]))-SUM(X191:X215)</f>
        <v>0</v>
      </c>
      <c r="Y216" s="106">
        <f>SUMPRODUCT(($C$185=Indirectos[Movimiento])*(Y$1=Indirectos[Mes Financiero])*(Y$2=Indirectos[Año Financiero])*(Indirectos[Financiero U$S Dólares]))-SUM(Y191:Y215)</f>
        <v>0</v>
      </c>
      <c r="Z216" s="163">
        <f t="shared" ref="Z216:Z220" si="37">SUM(H216:Y216)</f>
        <v>0</v>
      </c>
      <c r="AC216" s="174">
        <f>SUMPRODUCT((F216=Costos_Indirectos_Cuentas[Cuenta Contable])*(Costos_Indirectos_Cuentas[IVA]))</f>
        <v>0</v>
      </c>
    </row>
    <row r="217" spans="2:29" collapsed="1" x14ac:dyDescent="0.25">
      <c r="C217" s="210" t="s">
        <v>38</v>
      </c>
      <c r="D217" s="101" t="s">
        <v>189</v>
      </c>
      <c r="E217" s="135"/>
      <c r="F217" s="10" t="s">
        <v>191</v>
      </c>
      <c r="H217" s="103"/>
      <c r="I217" s="104"/>
      <c r="J217" s="103"/>
      <c r="K217" s="104"/>
      <c r="L217" s="103"/>
      <c r="M217" s="104"/>
      <c r="N217" s="103"/>
      <c r="O217" s="104"/>
      <c r="P217" s="103"/>
      <c r="Q217" s="104"/>
      <c r="R217" s="103"/>
      <c r="S217" s="104"/>
      <c r="T217" s="103"/>
      <c r="U217" s="104"/>
      <c r="V217" s="103"/>
      <c r="W217" s="104"/>
      <c r="X217" s="103"/>
      <c r="Y217" s="104"/>
      <c r="Z217" s="144">
        <f t="shared" si="37"/>
        <v>0</v>
      </c>
      <c r="AC217" s="174">
        <v>0</v>
      </c>
    </row>
    <row r="218" spans="2:29" x14ac:dyDescent="0.25">
      <c r="E218" s="135"/>
      <c r="F218" s="10" t="s">
        <v>192</v>
      </c>
      <c r="H218" s="103"/>
      <c r="I218" s="104"/>
      <c r="J218" s="103"/>
      <c r="K218" s="104"/>
      <c r="L218" s="103"/>
      <c r="M218" s="104"/>
      <c r="N218" s="103"/>
      <c r="O218" s="104"/>
      <c r="P218" s="103"/>
      <c r="Q218" s="104"/>
      <c r="R218" s="103"/>
      <c r="S218" s="104"/>
      <c r="T218" s="103"/>
      <c r="U218" s="104"/>
      <c r="V218" s="103"/>
      <c r="W218" s="104"/>
      <c r="X218" s="103"/>
      <c r="Y218" s="104"/>
      <c r="Z218" s="144">
        <f t="shared" si="37"/>
        <v>0</v>
      </c>
      <c r="AC218" s="174">
        <v>0.105</v>
      </c>
    </row>
    <row r="219" spans="2:29" x14ac:dyDescent="0.25">
      <c r="E219" s="135"/>
      <c r="F219" s="10" t="s">
        <v>193</v>
      </c>
      <c r="H219" s="103"/>
      <c r="I219" s="104"/>
      <c r="J219" s="103"/>
      <c r="K219" s="104"/>
      <c r="L219" s="103"/>
      <c r="M219" s="104"/>
      <c r="N219" s="103"/>
      <c r="O219" s="104"/>
      <c r="P219" s="103"/>
      <c r="Q219" s="104"/>
      <c r="R219" s="103"/>
      <c r="S219" s="104"/>
      <c r="T219" s="103"/>
      <c r="U219" s="104"/>
      <c r="V219" s="103"/>
      <c r="W219" s="104"/>
      <c r="X219" s="103"/>
      <c r="Y219" s="104"/>
      <c r="Z219" s="144">
        <f t="shared" si="37"/>
        <v>0</v>
      </c>
      <c r="AC219" s="174">
        <v>0.21</v>
      </c>
    </row>
    <row r="220" spans="2:29" x14ac:dyDescent="0.25">
      <c r="E220" s="135"/>
      <c r="F220" s="10" t="s">
        <v>194</v>
      </c>
      <c r="H220" s="103"/>
      <c r="I220" s="104"/>
      <c r="J220" s="103"/>
      <c r="K220" s="104"/>
      <c r="L220" s="103"/>
      <c r="M220" s="104"/>
      <c r="N220" s="103"/>
      <c r="O220" s="104"/>
      <c r="P220" s="103"/>
      <c r="Q220" s="104"/>
      <c r="R220" s="103"/>
      <c r="S220" s="104"/>
      <c r="T220" s="103"/>
      <c r="U220" s="104"/>
      <c r="V220" s="103"/>
      <c r="W220" s="104"/>
      <c r="X220" s="103"/>
      <c r="Y220" s="104"/>
      <c r="Z220" s="144">
        <f t="shared" si="37"/>
        <v>0</v>
      </c>
      <c r="AC220" s="174">
        <v>0.27</v>
      </c>
    </row>
    <row r="221" spans="2:29" x14ac:dyDescent="0.25">
      <c r="C221" s="210" t="s">
        <v>38</v>
      </c>
      <c r="D221" s="151" t="s">
        <v>188</v>
      </c>
      <c r="E221" s="152"/>
      <c r="F221" s="418" t="s">
        <v>178</v>
      </c>
      <c r="G221" s="154"/>
      <c r="H221" s="155">
        <f>SUM(H67,H88,H115,H140,H165,H185,H217,H218,H219,H220)</f>
        <v>0</v>
      </c>
      <c r="I221" s="155">
        <f t="shared" ref="I221:Z221" si="38">SUM(I67,I88,I115,I140,I165,I185,I217,I218,I219,I220)</f>
        <v>0</v>
      </c>
      <c r="J221" s="155">
        <f t="shared" si="38"/>
        <v>0</v>
      </c>
      <c r="K221" s="155">
        <f t="shared" si="38"/>
        <v>0</v>
      </c>
      <c r="L221" s="155">
        <f t="shared" si="38"/>
        <v>0</v>
      </c>
      <c r="M221" s="155">
        <f t="shared" si="38"/>
        <v>0</v>
      </c>
      <c r="N221" s="155">
        <f t="shared" si="38"/>
        <v>0</v>
      </c>
      <c r="O221" s="155">
        <f t="shared" si="38"/>
        <v>0</v>
      </c>
      <c r="P221" s="155">
        <f t="shared" si="38"/>
        <v>0</v>
      </c>
      <c r="Q221" s="155">
        <f t="shared" si="38"/>
        <v>0</v>
      </c>
      <c r="R221" s="155">
        <f t="shared" si="38"/>
        <v>0</v>
      </c>
      <c r="S221" s="155">
        <f t="shared" si="38"/>
        <v>0</v>
      </c>
      <c r="T221" s="155">
        <f t="shared" si="38"/>
        <v>0</v>
      </c>
      <c r="U221" s="155">
        <f t="shared" si="38"/>
        <v>0</v>
      </c>
      <c r="V221" s="155">
        <f t="shared" si="38"/>
        <v>0</v>
      </c>
      <c r="W221" s="155">
        <f t="shared" si="38"/>
        <v>0</v>
      </c>
      <c r="X221" s="155">
        <f t="shared" si="38"/>
        <v>0</v>
      </c>
      <c r="Y221" s="155">
        <f t="shared" si="38"/>
        <v>0</v>
      </c>
      <c r="Z221" s="156">
        <f t="shared" si="38"/>
        <v>0</v>
      </c>
    </row>
    <row r="222" spans="2:29" x14ac:dyDescent="0.25">
      <c r="D222" s="108" t="s">
        <v>190</v>
      </c>
      <c r="E222" s="164"/>
      <c r="F222" s="424">
        <v>0.105</v>
      </c>
      <c r="H222" s="103">
        <f t="shared" ref="H222:Q224" si="39">SUMPRODUCT((H$67:H$221)*($AC$67:$AC$221=$F222))*$F222</f>
        <v>0</v>
      </c>
      <c r="I222" s="104">
        <f t="shared" si="39"/>
        <v>0</v>
      </c>
      <c r="J222" s="103">
        <f t="shared" si="39"/>
        <v>0</v>
      </c>
      <c r="K222" s="104">
        <f t="shared" si="39"/>
        <v>0</v>
      </c>
      <c r="L222" s="103">
        <f t="shared" si="39"/>
        <v>0</v>
      </c>
      <c r="M222" s="104">
        <f t="shared" si="39"/>
        <v>0</v>
      </c>
      <c r="N222" s="103">
        <f t="shared" si="39"/>
        <v>0</v>
      </c>
      <c r="O222" s="104">
        <f t="shared" si="39"/>
        <v>0</v>
      </c>
      <c r="P222" s="103">
        <f t="shared" si="39"/>
        <v>0</v>
      </c>
      <c r="Q222" s="104">
        <f t="shared" si="39"/>
        <v>0</v>
      </c>
      <c r="R222" s="103">
        <f t="shared" ref="R222:Y224" si="40">SUMPRODUCT((R$67:R$221)*($AC$67:$AC$221=$F222))*$F222</f>
        <v>0</v>
      </c>
      <c r="S222" s="104">
        <f t="shared" si="40"/>
        <v>0</v>
      </c>
      <c r="T222" s="103">
        <f t="shared" si="40"/>
        <v>0</v>
      </c>
      <c r="U222" s="104">
        <f t="shared" si="40"/>
        <v>0</v>
      </c>
      <c r="V222" s="103">
        <f t="shared" si="40"/>
        <v>0</v>
      </c>
      <c r="W222" s="104">
        <f t="shared" si="40"/>
        <v>0</v>
      </c>
      <c r="X222" s="103">
        <f t="shared" si="40"/>
        <v>0</v>
      </c>
      <c r="Y222" s="104">
        <f t="shared" si="40"/>
        <v>0</v>
      </c>
      <c r="Z222" s="167">
        <f>SUM(H222:Y222)</f>
        <v>0</v>
      </c>
    </row>
    <row r="223" spans="2:29" x14ac:dyDescent="0.25">
      <c r="D223" s="108" t="s">
        <v>190</v>
      </c>
      <c r="F223" s="424">
        <v>0.21</v>
      </c>
      <c r="H223" s="103">
        <f t="shared" si="39"/>
        <v>0</v>
      </c>
      <c r="I223" s="104">
        <f t="shared" si="39"/>
        <v>0</v>
      </c>
      <c r="J223" s="103">
        <f t="shared" si="39"/>
        <v>0</v>
      </c>
      <c r="K223" s="104">
        <f t="shared" si="39"/>
        <v>0</v>
      </c>
      <c r="L223" s="103">
        <f t="shared" si="39"/>
        <v>0</v>
      </c>
      <c r="M223" s="104">
        <f t="shared" si="39"/>
        <v>0</v>
      </c>
      <c r="N223" s="103">
        <f t="shared" si="39"/>
        <v>0</v>
      </c>
      <c r="O223" s="104">
        <f t="shared" si="39"/>
        <v>0</v>
      </c>
      <c r="P223" s="103">
        <f t="shared" si="39"/>
        <v>0</v>
      </c>
      <c r="Q223" s="104">
        <f t="shared" si="39"/>
        <v>0</v>
      </c>
      <c r="R223" s="103">
        <f t="shared" si="40"/>
        <v>0</v>
      </c>
      <c r="S223" s="104">
        <f t="shared" si="40"/>
        <v>0</v>
      </c>
      <c r="T223" s="103">
        <f t="shared" si="40"/>
        <v>0</v>
      </c>
      <c r="U223" s="104">
        <f t="shared" si="40"/>
        <v>0</v>
      </c>
      <c r="V223" s="103">
        <f t="shared" si="40"/>
        <v>0</v>
      </c>
      <c r="W223" s="104">
        <f t="shared" si="40"/>
        <v>0</v>
      </c>
      <c r="X223" s="103">
        <f t="shared" si="40"/>
        <v>0</v>
      </c>
      <c r="Y223" s="104">
        <f t="shared" si="40"/>
        <v>0</v>
      </c>
      <c r="Z223" s="167">
        <f t="shared" ref="Z223:Z227" si="41">SUM(H223:Y223)</f>
        <v>0</v>
      </c>
    </row>
    <row r="224" spans="2:29" x14ac:dyDescent="0.25">
      <c r="D224" s="108" t="s">
        <v>190</v>
      </c>
      <c r="F224" s="424">
        <v>0.27</v>
      </c>
      <c r="H224" s="103">
        <f t="shared" si="39"/>
        <v>0</v>
      </c>
      <c r="I224" s="104">
        <f t="shared" si="39"/>
        <v>0</v>
      </c>
      <c r="J224" s="103">
        <f t="shared" si="39"/>
        <v>0</v>
      </c>
      <c r="K224" s="104">
        <f t="shared" si="39"/>
        <v>0</v>
      </c>
      <c r="L224" s="103">
        <f t="shared" si="39"/>
        <v>0</v>
      </c>
      <c r="M224" s="104">
        <f t="shared" si="39"/>
        <v>0</v>
      </c>
      <c r="N224" s="103">
        <f t="shared" si="39"/>
        <v>0</v>
      </c>
      <c r="O224" s="104">
        <f t="shared" si="39"/>
        <v>0</v>
      </c>
      <c r="P224" s="103">
        <f t="shared" si="39"/>
        <v>0</v>
      </c>
      <c r="Q224" s="104">
        <f t="shared" si="39"/>
        <v>0</v>
      </c>
      <c r="R224" s="103">
        <f t="shared" si="40"/>
        <v>0</v>
      </c>
      <c r="S224" s="104">
        <f t="shared" si="40"/>
        <v>0</v>
      </c>
      <c r="T224" s="103">
        <f t="shared" si="40"/>
        <v>0</v>
      </c>
      <c r="U224" s="104">
        <f t="shared" si="40"/>
        <v>0</v>
      </c>
      <c r="V224" s="103">
        <f t="shared" si="40"/>
        <v>0</v>
      </c>
      <c r="W224" s="104">
        <f t="shared" si="40"/>
        <v>0</v>
      </c>
      <c r="X224" s="103">
        <f t="shared" si="40"/>
        <v>0</v>
      </c>
      <c r="Y224" s="104">
        <f t="shared" si="40"/>
        <v>0</v>
      </c>
      <c r="Z224" s="167">
        <f t="shared" si="41"/>
        <v>0</v>
      </c>
    </row>
    <row r="225" spans="3:26" x14ac:dyDescent="0.25">
      <c r="C225" s="210" t="s">
        <v>38</v>
      </c>
      <c r="D225" s="157" t="s">
        <v>188</v>
      </c>
      <c r="E225" s="158"/>
      <c r="F225" s="419" t="s">
        <v>181</v>
      </c>
      <c r="G225" s="160"/>
      <c r="H225" s="285">
        <f>SUM(H221:H224)</f>
        <v>0</v>
      </c>
      <c r="I225" s="285">
        <f t="shared" ref="I225:Y225" si="42">SUM(I221:I224)</f>
        <v>0</v>
      </c>
      <c r="J225" s="285">
        <f t="shared" si="42"/>
        <v>0</v>
      </c>
      <c r="K225" s="285">
        <f t="shared" si="42"/>
        <v>0</v>
      </c>
      <c r="L225" s="285">
        <f t="shared" si="42"/>
        <v>0</v>
      </c>
      <c r="M225" s="285">
        <f t="shared" si="42"/>
        <v>0</v>
      </c>
      <c r="N225" s="285">
        <f t="shared" si="42"/>
        <v>0</v>
      </c>
      <c r="O225" s="285">
        <f t="shared" si="42"/>
        <v>0</v>
      </c>
      <c r="P225" s="285">
        <f t="shared" si="42"/>
        <v>0</v>
      </c>
      <c r="Q225" s="285">
        <f t="shared" si="42"/>
        <v>0</v>
      </c>
      <c r="R225" s="285">
        <f t="shared" si="42"/>
        <v>0</v>
      </c>
      <c r="S225" s="285">
        <f t="shared" si="42"/>
        <v>0</v>
      </c>
      <c r="T225" s="285">
        <f t="shared" si="42"/>
        <v>0</v>
      </c>
      <c r="U225" s="285">
        <f t="shared" si="42"/>
        <v>0</v>
      </c>
      <c r="V225" s="285">
        <f t="shared" si="42"/>
        <v>0</v>
      </c>
      <c r="W225" s="285">
        <f t="shared" si="42"/>
        <v>0</v>
      </c>
      <c r="X225" s="285">
        <f t="shared" si="42"/>
        <v>0</v>
      </c>
      <c r="Y225" s="285">
        <f t="shared" si="42"/>
        <v>0</v>
      </c>
      <c r="Z225" s="162">
        <f t="shared" si="41"/>
        <v>0</v>
      </c>
    </row>
    <row r="227" spans="3:26" x14ac:dyDescent="0.25">
      <c r="D227" s="101" t="s">
        <v>106</v>
      </c>
      <c r="F227" s="422" t="s">
        <v>294</v>
      </c>
      <c r="H227" s="284">
        <f>-MAX(0,SUM($H$55:H60)+SUM($H$222:H224))</f>
        <v>0</v>
      </c>
      <c r="I227" s="10">
        <f>-MAX(0,(SUM($H$55:I60)+SUM($H$222:I224))+SUM($H$227:H227))</f>
        <v>0</v>
      </c>
      <c r="J227" s="284">
        <f>-MAX(0,(SUM($H$55:J60)+SUM($H$222:J224))+SUM($H$227:I227))</f>
        <v>0</v>
      </c>
      <c r="K227" s="10">
        <f>-MAX(0,(SUM($H$55:K60)+SUM($H$222:K224))+SUM($H$227:J227))</f>
        <v>0</v>
      </c>
      <c r="L227" s="284">
        <f>-MAX(0,(SUM($H$55:L60)+SUM($H$222:L224))+SUM($H$227:K227))</f>
        <v>0</v>
      </c>
      <c r="M227" s="10">
        <f>-MAX(0,(SUM($H$55:M60)+SUM($H$222:M224))+SUM($H$227:L227))</f>
        <v>0</v>
      </c>
      <c r="N227" s="284">
        <f>-MAX(0,(SUM($H$55:N60)+SUM($H$222:N224))+SUM($H$227:M227))</f>
        <v>0</v>
      </c>
      <c r="O227" s="10">
        <f>-MAX(0,(SUM($H$55:O60)+SUM($H$222:O224))+SUM($H$227:N227))</f>
        <v>0</v>
      </c>
      <c r="P227" s="284">
        <f>-MAX(0,(SUM($H$55:P60)+SUM($H$222:P224))+SUM($H$227:O227))</f>
        <v>0</v>
      </c>
      <c r="Q227" s="10">
        <f>-MAX(0,(SUM($H$55:Q60)+SUM($H$222:Q224))+SUM($H$227:P227))</f>
        <v>0</v>
      </c>
      <c r="R227" s="284">
        <f>-MAX(0,(SUM($H$55:R60)+SUM($H$222:R224))+SUM($H$227:Q227))</f>
        <v>0</v>
      </c>
      <c r="S227" s="10">
        <f>-MAX(0,(SUM($H$55:S60)+SUM($H$222:S224))+SUM($H$227:R227))</f>
        <v>0</v>
      </c>
      <c r="T227" s="284">
        <f>-MAX(0,(SUM($H$55:T60)+SUM($H$222:T224))+SUM($H$227:S227))</f>
        <v>0</v>
      </c>
      <c r="U227" s="10">
        <f>-MAX(0,(SUM($H$55:U60)+SUM($H$222:U224))+SUM($H$227:T227))</f>
        <v>0</v>
      </c>
      <c r="V227" s="284">
        <f>-MAX(0,(SUM($H$55:V60)+SUM($H$222:V224))+SUM($H$227:U227))</f>
        <v>0</v>
      </c>
      <c r="W227" s="10">
        <f>-MAX(0,(SUM($H$55:W60)+SUM($H$222:W224))+SUM($H$227:V227))</f>
        <v>0</v>
      </c>
      <c r="X227" s="284">
        <f>-MAX(0,(SUM($H$55:X60)+SUM($H$222:X224))+SUM($H$227:W227))</f>
        <v>0</v>
      </c>
      <c r="Y227" s="10">
        <f>-MAX(0,(SUM($H$55:Y60)+SUM($H$222:Y224))+SUM($H$227:X227))</f>
        <v>0</v>
      </c>
      <c r="Z227" s="144">
        <f t="shared" si="41"/>
        <v>0</v>
      </c>
    </row>
    <row r="229" spans="3:26" x14ac:dyDescent="0.25">
      <c r="D229" s="157" t="s">
        <v>295</v>
      </c>
      <c r="E229" s="158"/>
      <c r="F229" s="419"/>
      <c r="G229" s="160"/>
      <c r="H229" s="161">
        <f>H65+H225+H227</f>
        <v>0</v>
      </c>
      <c r="I229" s="161">
        <f t="shared" ref="I229:Z229" si="43">I65+I225+I227</f>
        <v>0</v>
      </c>
      <c r="J229" s="161">
        <f t="shared" si="43"/>
        <v>0</v>
      </c>
      <c r="K229" s="161">
        <f t="shared" si="43"/>
        <v>0</v>
      </c>
      <c r="L229" s="161">
        <f t="shared" si="43"/>
        <v>0</v>
      </c>
      <c r="M229" s="161">
        <f t="shared" si="43"/>
        <v>0</v>
      </c>
      <c r="N229" s="161">
        <f t="shared" si="43"/>
        <v>0</v>
      </c>
      <c r="O229" s="161">
        <f t="shared" si="43"/>
        <v>0</v>
      </c>
      <c r="P229" s="161">
        <f t="shared" si="43"/>
        <v>0</v>
      </c>
      <c r="Q229" s="161">
        <f t="shared" si="43"/>
        <v>0</v>
      </c>
      <c r="R229" s="161">
        <f t="shared" si="43"/>
        <v>0</v>
      </c>
      <c r="S229" s="161">
        <f t="shared" si="43"/>
        <v>0</v>
      </c>
      <c r="T229" s="161">
        <f t="shared" si="43"/>
        <v>0</v>
      </c>
      <c r="U229" s="161">
        <f t="shared" si="43"/>
        <v>0</v>
      </c>
      <c r="V229" s="161">
        <f t="shared" si="43"/>
        <v>0</v>
      </c>
      <c r="W229" s="161">
        <f t="shared" si="43"/>
        <v>0</v>
      </c>
      <c r="X229" s="161">
        <f t="shared" si="43"/>
        <v>0</v>
      </c>
      <c r="Y229" s="161">
        <f t="shared" si="43"/>
        <v>0</v>
      </c>
      <c r="Z229" s="162">
        <f t="shared" si="43"/>
        <v>0</v>
      </c>
    </row>
    <row r="230" spans="3:26" x14ac:dyDescent="0.25">
      <c r="D230" s="157" t="s">
        <v>296</v>
      </c>
      <c r="E230" s="158"/>
      <c r="F230" s="419"/>
      <c r="G230" s="160"/>
      <c r="H230" s="161">
        <f>H229</f>
        <v>0</v>
      </c>
      <c r="I230" s="161">
        <f>H230+I229</f>
        <v>0</v>
      </c>
      <c r="J230" s="161">
        <f t="shared" ref="J230:Y230" si="44">I230+J229</f>
        <v>0</v>
      </c>
      <c r="K230" s="161">
        <f t="shared" si="44"/>
        <v>0</v>
      </c>
      <c r="L230" s="161">
        <f t="shared" si="44"/>
        <v>0</v>
      </c>
      <c r="M230" s="161">
        <f t="shared" si="44"/>
        <v>0</v>
      </c>
      <c r="N230" s="161">
        <f t="shared" si="44"/>
        <v>0</v>
      </c>
      <c r="O230" s="161">
        <f t="shared" si="44"/>
        <v>0</v>
      </c>
      <c r="P230" s="161">
        <f t="shared" si="44"/>
        <v>0</v>
      </c>
      <c r="Q230" s="161">
        <f t="shared" si="44"/>
        <v>0</v>
      </c>
      <c r="R230" s="161">
        <f t="shared" si="44"/>
        <v>0</v>
      </c>
      <c r="S230" s="161">
        <f t="shared" si="44"/>
        <v>0</v>
      </c>
      <c r="T230" s="161">
        <f t="shared" si="44"/>
        <v>0</v>
      </c>
      <c r="U230" s="161">
        <f t="shared" si="44"/>
        <v>0</v>
      </c>
      <c r="V230" s="161">
        <f t="shared" si="44"/>
        <v>0</v>
      </c>
      <c r="W230" s="161">
        <f t="shared" si="44"/>
        <v>0</v>
      </c>
      <c r="X230" s="161">
        <f t="shared" si="44"/>
        <v>0</v>
      </c>
      <c r="Y230" s="161">
        <f t="shared" si="44"/>
        <v>0</v>
      </c>
      <c r="Z230" s="162"/>
    </row>
    <row r="232" spans="3:26" x14ac:dyDescent="0.25">
      <c r="C232" s="210" t="s">
        <v>37</v>
      </c>
      <c r="D232" s="381" t="s">
        <v>282</v>
      </c>
      <c r="E232" s="221">
        <f>IFERROR(MATCH(F232,Cuentas_FIDI[Cuenta Contable],0),0)</f>
        <v>1</v>
      </c>
      <c r="F232" s="421" t="str">
        <f>Configuración!CJ5</f>
        <v>Bancos - Saldo Inicial</v>
      </c>
      <c r="H232" s="284">
        <f>SUMPRODUCT(($C232=Finanzas[Movimiento])*($F232=Finanzas[Cuenta Contable])*(H$1=Finanzas[Mes Financiero])*(H$2=Finanzas[Año Financiero])*(Finanzas[Financiero U$S Dólares]))</f>
        <v>0</v>
      </c>
      <c r="I232" s="10">
        <f>SUMPRODUCT(($C232=Finanzas[Movimiento])*($F232=Finanzas[Cuenta Contable])*(I$1=Finanzas[Mes Financiero])*(I$2=Finanzas[Año Financiero])*(Finanzas[Financiero U$S Dólares]))</f>
        <v>0</v>
      </c>
      <c r="J232" s="284">
        <f>SUMPRODUCT(($C232=Finanzas[Movimiento])*($F232=Finanzas[Cuenta Contable])*(J$1=Finanzas[Mes Financiero])*(J$2=Finanzas[Año Financiero])*(Finanzas[Financiero U$S Dólares]))</f>
        <v>0</v>
      </c>
      <c r="K232" s="10">
        <f>SUMPRODUCT(($C232=Finanzas[Movimiento])*($F232=Finanzas[Cuenta Contable])*(K$1=Finanzas[Mes Financiero])*(K$2=Finanzas[Año Financiero])*(Finanzas[Financiero U$S Dólares]))</f>
        <v>35909.090909090912</v>
      </c>
      <c r="L232" s="284">
        <f>SUMPRODUCT(($C232=Finanzas[Movimiento])*($F232=Finanzas[Cuenta Contable])*(L$1=Finanzas[Mes Financiero])*(L$2=Finanzas[Año Financiero])*(Finanzas[Financiero U$S Dólares]))</f>
        <v>0</v>
      </c>
      <c r="M232" s="10">
        <f>SUMPRODUCT(($C232=Finanzas[Movimiento])*($F232=Finanzas[Cuenta Contable])*(M$1=Finanzas[Mes Financiero])*(M$2=Finanzas[Año Financiero])*(Finanzas[Financiero U$S Dólares]))</f>
        <v>0</v>
      </c>
      <c r="N232" s="284">
        <f>SUMPRODUCT(($C232=Finanzas[Movimiento])*($F232=Finanzas[Cuenta Contable])*(N$1=Finanzas[Mes Financiero])*(N$2=Finanzas[Año Financiero])*(Finanzas[Financiero U$S Dólares]))</f>
        <v>0</v>
      </c>
      <c r="O232" s="10">
        <f>SUMPRODUCT(($C232=Finanzas[Movimiento])*($F232=Finanzas[Cuenta Contable])*(O$1=Finanzas[Mes Financiero])*(O$2=Finanzas[Año Financiero])*(Finanzas[Financiero U$S Dólares]))</f>
        <v>0</v>
      </c>
      <c r="P232" s="284">
        <f>SUMPRODUCT(($C232=Finanzas[Movimiento])*($F232=Finanzas[Cuenta Contable])*(P$1=Finanzas[Mes Financiero])*(P$2=Finanzas[Año Financiero])*(Finanzas[Financiero U$S Dólares]))</f>
        <v>0</v>
      </c>
      <c r="Q232" s="10">
        <f>SUMPRODUCT(($C232=Finanzas[Movimiento])*($F232=Finanzas[Cuenta Contable])*(Q$1=Finanzas[Mes Financiero])*(Q$2=Finanzas[Año Financiero])*(Finanzas[Financiero U$S Dólares]))</f>
        <v>0</v>
      </c>
      <c r="R232" s="284">
        <f>SUMPRODUCT(($C232=Finanzas[Movimiento])*($F232=Finanzas[Cuenta Contable])*(R$1=Finanzas[Mes Financiero])*(R$2=Finanzas[Año Financiero])*(Finanzas[Financiero U$S Dólares]))</f>
        <v>0</v>
      </c>
      <c r="S232" s="10">
        <f>SUMPRODUCT(($C232=Finanzas[Movimiento])*($F232=Finanzas[Cuenta Contable])*(S$1=Finanzas[Mes Financiero])*(S$2=Finanzas[Año Financiero])*(Finanzas[Financiero U$S Dólares]))</f>
        <v>0</v>
      </c>
      <c r="T232" s="284">
        <f>SUMPRODUCT(($C232=Finanzas[Movimiento])*($F232=Finanzas[Cuenta Contable])*(T$1=Finanzas[Mes Financiero])*(T$2=Finanzas[Año Financiero])*(Finanzas[Financiero U$S Dólares]))</f>
        <v>0</v>
      </c>
      <c r="U232" s="10">
        <f>SUMPRODUCT(($C232=Finanzas[Movimiento])*($F232=Finanzas[Cuenta Contable])*(U$1=Finanzas[Mes Financiero])*(U$2=Finanzas[Año Financiero])*(Finanzas[Financiero U$S Dólares]))</f>
        <v>0</v>
      </c>
      <c r="V232" s="284">
        <f>SUMPRODUCT(($C232=Finanzas[Movimiento])*($F232=Finanzas[Cuenta Contable])*(V$1=Finanzas[Mes Financiero])*(V$2=Finanzas[Año Financiero])*(Finanzas[Financiero U$S Dólares]))</f>
        <v>0</v>
      </c>
      <c r="W232" s="10">
        <f>SUMPRODUCT(($C232=Finanzas[Movimiento])*($F232=Finanzas[Cuenta Contable])*(W$1=Finanzas[Mes Financiero])*(W$2=Finanzas[Año Financiero])*(Finanzas[Financiero U$S Dólares]))</f>
        <v>0</v>
      </c>
      <c r="X232" s="284">
        <f>SUMPRODUCT(($C232=Finanzas[Movimiento])*($F232=Finanzas[Cuenta Contable])*(X$1=Finanzas[Mes Financiero])*(X$2=Finanzas[Año Financiero])*(Finanzas[Financiero U$S Dólares]))</f>
        <v>0</v>
      </c>
      <c r="Y232" s="10">
        <f>SUMPRODUCT(($C232=Finanzas[Movimiento])*($F232=Finanzas[Cuenta Contable])*(Y$1=Finanzas[Mes Financiero])*(Y$2=Finanzas[Año Financiero])*(Finanzas[Financiero U$S Dólares]))</f>
        <v>0</v>
      </c>
      <c r="Z232" s="144">
        <f t="shared" ref="Z232:Z249" si="45">SUM(H232:Y232)</f>
        <v>35909.090909090912</v>
      </c>
    </row>
    <row r="233" spans="3:26" x14ac:dyDescent="0.25">
      <c r="C233" s="210" t="s">
        <v>37</v>
      </c>
      <c r="E233" s="221">
        <f>IFERROR(MATCH(F233,Cuentas_FIDI[Cuenta Contable],0),0)</f>
        <v>2</v>
      </c>
      <c r="F233" s="421" t="str">
        <f>Configuración!CJ6</f>
        <v>Caja - Saldo Inicial</v>
      </c>
      <c r="H233" s="284">
        <f>SUMPRODUCT(($C233=Finanzas[Movimiento])*($F233=Finanzas[Cuenta Contable])*(H$1=Finanzas[Mes Financiero])*(H$2=Finanzas[Año Financiero])*(Finanzas[Financiero U$S Dólares]))</f>
        <v>0</v>
      </c>
      <c r="I233" s="10">
        <f>SUMPRODUCT(($C233=Finanzas[Movimiento])*($F233=Finanzas[Cuenta Contable])*(I$1=Finanzas[Mes Financiero])*(I$2=Finanzas[Año Financiero])*(Finanzas[Financiero U$S Dólares]))</f>
        <v>0</v>
      </c>
      <c r="J233" s="284">
        <f>SUMPRODUCT(($C233=Finanzas[Movimiento])*($F233=Finanzas[Cuenta Contable])*(J$1=Finanzas[Mes Financiero])*(J$2=Finanzas[Año Financiero])*(Finanzas[Financiero U$S Dólares]))</f>
        <v>0</v>
      </c>
      <c r="K233" s="10">
        <f>SUMPRODUCT(($C233=Finanzas[Movimiento])*($F233=Finanzas[Cuenta Contable])*(K$1=Finanzas[Mes Financiero])*(K$2=Finanzas[Año Financiero])*(Finanzas[Financiero U$S Dólares]))</f>
        <v>0</v>
      </c>
      <c r="L233" s="284">
        <f>SUMPRODUCT(($C233=Finanzas[Movimiento])*($F233=Finanzas[Cuenta Contable])*(L$1=Finanzas[Mes Financiero])*(L$2=Finanzas[Año Financiero])*(Finanzas[Financiero U$S Dólares]))</f>
        <v>0</v>
      </c>
      <c r="M233" s="10">
        <f>SUMPRODUCT(($C233=Finanzas[Movimiento])*($F233=Finanzas[Cuenta Contable])*(M$1=Finanzas[Mes Financiero])*(M$2=Finanzas[Año Financiero])*(Finanzas[Financiero U$S Dólares]))</f>
        <v>0</v>
      </c>
      <c r="N233" s="284">
        <f>SUMPRODUCT(($C233=Finanzas[Movimiento])*($F233=Finanzas[Cuenta Contable])*(N$1=Finanzas[Mes Financiero])*(N$2=Finanzas[Año Financiero])*(Finanzas[Financiero U$S Dólares]))</f>
        <v>0</v>
      </c>
      <c r="O233" s="10">
        <f>SUMPRODUCT(($C233=Finanzas[Movimiento])*($F233=Finanzas[Cuenta Contable])*(O$1=Finanzas[Mes Financiero])*(O$2=Finanzas[Año Financiero])*(Finanzas[Financiero U$S Dólares]))</f>
        <v>0</v>
      </c>
      <c r="P233" s="284">
        <f>SUMPRODUCT(($C233=Finanzas[Movimiento])*($F233=Finanzas[Cuenta Contable])*(P$1=Finanzas[Mes Financiero])*(P$2=Finanzas[Año Financiero])*(Finanzas[Financiero U$S Dólares]))</f>
        <v>0</v>
      </c>
      <c r="Q233" s="10">
        <f>SUMPRODUCT(($C233=Finanzas[Movimiento])*($F233=Finanzas[Cuenta Contable])*(Q$1=Finanzas[Mes Financiero])*(Q$2=Finanzas[Año Financiero])*(Finanzas[Financiero U$S Dólares]))</f>
        <v>0</v>
      </c>
      <c r="R233" s="284">
        <f>SUMPRODUCT(($C233=Finanzas[Movimiento])*($F233=Finanzas[Cuenta Contable])*(R$1=Finanzas[Mes Financiero])*(R$2=Finanzas[Año Financiero])*(Finanzas[Financiero U$S Dólares]))</f>
        <v>0</v>
      </c>
      <c r="S233" s="10">
        <f>SUMPRODUCT(($C233=Finanzas[Movimiento])*($F233=Finanzas[Cuenta Contable])*(S$1=Finanzas[Mes Financiero])*(S$2=Finanzas[Año Financiero])*(Finanzas[Financiero U$S Dólares]))</f>
        <v>0</v>
      </c>
      <c r="T233" s="284">
        <f>SUMPRODUCT(($C233=Finanzas[Movimiento])*($F233=Finanzas[Cuenta Contable])*(T$1=Finanzas[Mes Financiero])*(T$2=Finanzas[Año Financiero])*(Finanzas[Financiero U$S Dólares]))</f>
        <v>0</v>
      </c>
      <c r="U233" s="10">
        <f>SUMPRODUCT(($C233=Finanzas[Movimiento])*($F233=Finanzas[Cuenta Contable])*(U$1=Finanzas[Mes Financiero])*(U$2=Finanzas[Año Financiero])*(Finanzas[Financiero U$S Dólares]))</f>
        <v>0</v>
      </c>
      <c r="V233" s="284">
        <f>SUMPRODUCT(($C233=Finanzas[Movimiento])*($F233=Finanzas[Cuenta Contable])*(V$1=Finanzas[Mes Financiero])*(V$2=Finanzas[Año Financiero])*(Finanzas[Financiero U$S Dólares]))</f>
        <v>0</v>
      </c>
      <c r="W233" s="10">
        <f>SUMPRODUCT(($C233=Finanzas[Movimiento])*($F233=Finanzas[Cuenta Contable])*(W$1=Finanzas[Mes Financiero])*(W$2=Finanzas[Año Financiero])*(Finanzas[Financiero U$S Dólares]))</f>
        <v>0</v>
      </c>
      <c r="X233" s="284">
        <f>SUMPRODUCT(($C233=Finanzas[Movimiento])*($F233=Finanzas[Cuenta Contable])*(X$1=Finanzas[Mes Financiero])*(X$2=Finanzas[Año Financiero])*(Finanzas[Financiero U$S Dólares]))</f>
        <v>0</v>
      </c>
      <c r="Y233" s="10">
        <f>SUMPRODUCT(($C233=Finanzas[Movimiento])*($F233=Finanzas[Cuenta Contable])*(Y$1=Finanzas[Mes Financiero])*(Y$2=Finanzas[Año Financiero])*(Finanzas[Financiero U$S Dólares]))</f>
        <v>0</v>
      </c>
      <c r="Z233" s="144">
        <f t="shared" si="45"/>
        <v>0</v>
      </c>
    </row>
    <row r="234" spans="3:26" x14ac:dyDescent="0.25">
      <c r="C234" s="210" t="s">
        <v>37</v>
      </c>
      <c r="E234" s="221">
        <f>IFERROR(MATCH(F234,Cuentas_FIDI[Cuenta Contable],0),0)</f>
        <v>3</v>
      </c>
      <c r="F234" s="421" t="str">
        <f>Configuración!CJ7</f>
        <v>Cheques en Cartera</v>
      </c>
      <c r="H234" s="284">
        <f>SUMPRODUCT(($C234=Finanzas[Movimiento])*($F234=Finanzas[Cuenta Contable])*(H$1=Finanzas[Mes Financiero])*(H$2=Finanzas[Año Financiero])*(Finanzas[Financiero U$S Dólares]))</f>
        <v>0</v>
      </c>
      <c r="I234" s="10">
        <f>SUMPRODUCT(($C234=Finanzas[Movimiento])*($F234=Finanzas[Cuenta Contable])*(I$1=Finanzas[Mes Financiero])*(I$2=Finanzas[Año Financiero])*(Finanzas[Financiero U$S Dólares]))</f>
        <v>0</v>
      </c>
      <c r="J234" s="284">
        <f>SUMPRODUCT(($C234=Finanzas[Movimiento])*($F234=Finanzas[Cuenta Contable])*(J$1=Finanzas[Mes Financiero])*(J$2=Finanzas[Año Financiero])*(Finanzas[Financiero U$S Dólares]))</f>
        <v>0</v>
      </c>
      <c r="K234" s="10">
        <f>SUMPRODUCT(($C234=Finanzas[Movimiento])*($F234=Finanzas[Cuenta Contable])*(K$1=Finanzas[Mes Financiero])*(K$2=Finanzas[Año Financiero])*(Finanzas[Financiero U$S Dólares]))</f>
        <v>0</v>
      </c>
      <c r="L234" s="284">
        <f>SUMPRODUCT(($C234=Finanzas[Movimiento])*($F234=Finanzas[Cuenta Contable])*(L$1=Finanzas[Mes Financiero])*(L$2=Finanzas[Año Financiero])*(Finanzas[Financiero U$S Dólares]))</f>
        <v>0</v>
      </c>
      <c r="M234" s="10">
        <f>SUMPRODUCT(($C234=Finanzas[Movimiento])*($F234=Finanzas[Cuenta Contable])*(M$1=Finanzas[Mes Financiero])*(M$2=Finanzas[Año Financiero])*(Finanzas[Financiero U$S Dólares]))</f>
        <v>0</v>
      </c>
      <c r="N234" s="284">
        <f>SUMPRODUCT(($C234=Finanzas[Movimiento])*($F234=Finanzas[Cuenta Contable])*(N$1=Finanzas[Mes Financiero])*(N$2=Finanzas[Año Financiero])*(Finanzas[Financiero U$S Dólares]))</f>
        <v>0</v>
      </c>
      <c r="O234" s="10">
        <f>SUMPRODUCT(($C234=Finanzas[Movimiento])*($F234=Finanzas[Cuenta Contable])*(O$1=Finanzas[Mes Financiero])*(O$2=Finanzas[Año Financiero])*(Finanzas[Financiero U$S Dólares]))</f>
        <v>0</v>
      </c>
      <c r="P234" s="284">
        <f>SUMPRODUCT(($C234=Finanzas[Movimiento])*($F234=Finanzas[Cuenta Contable])*(P$1=Finanzas[Mes Financiero])*(P$2=Finanzas[Año Financiero])*(Finanzas[Financiero U$S Dólares]))</f>
        <v>0</v>
      </c>
      <c r="Q234" s="10">
        <f>SUMPRODUCT(($C234=Finanzas[Movimiento])*($F234=Finanzas[Cuenta Contable])*(Q$1=Finanzas[Mes Financiero])*(Q$2=Finanzas[Año Financiero])*(Finanzas[Financiero U$S Dólares]))</f>
        <v>0</v>
      </c>
      <c r="R234" s="284">
        <f>SUMPRODUCT(($C234=Finanzas[Movimiento])*($F234=Finanzas[Cuenta Contable])*(R$1=Finanzas[Mes Financiero])*(R$2=Finanzas[Año Financiero])*(Finanzas[Financiero U$S Dólares]))</f>
        <v>0</v>
      </c>
      <c r="S234" s="10">
        <f>SUMPRODUCT(($C234=Finanzas[Movimiento])*($F234=Finanzas[Cuenta Contable])*(S$1=Finanzas[Mes Financiero])*(S$2=Finanzas[Año Financiero])*(Finanzas[Financiero U$S Dólares]))</f>
        <v>0</v>
      </c>
      <c r="T234" s="284">
        <f>SUMPRODUCT(($C234=Finanzas[Movimiento])*($F234=Finanzas[Cuenta Contable])*(T$1=Finanzas[Mes Financiero])*(T$2=Finanzas[Año Financiero])*(Finanzas[Financiero U$S Dólares]))</f>
        <v>0</v>
      </c>
      <c r="U234" s="10">
        <f>SUMPRODUCT(($C234=Finanzas[Movimiento])*($F234=Finanzas[Cuenta Contable])*(U$1=Finanzas[Mes Financiero])*(U$2=Finanzas[Año Financiero])*(Finanzas[Financiero U$S Dólares]))</f>
        <v>0</v>
      </c>
      <c r="V234" s="284">
        <f>SUMPRODUCT(($C234=Finanzas[Movimiento])*($F234=Finanzas[Cuenta Contable])*(V$1=Finanzas[Mes Financiero])*(V$2=Finanzas[Año Financiero])*(Finanzas[Financiero U$S Dólares]))</f>
        <v>0</v>
      </c>
      <c r="W234" s="10">
        <f>SUMPRODUCT(($C234=Finanzas[Movimiento])*($F234=Finanzas[Cuenta Contable])*(W$1=Finanzas[Mes Financiero])*(W$2=Finanzas[Año Financiero])*(Finanzas[Financiero U$S Dólares]))</f>
        <v>0</v>
      </c>
      <c r="X234" s="284">
        <f>SUMPRODUCT(($C234=Finanzas[Movimiento])*($F234=Finanzas[Cuenta Contable])*(X$1=Finanzas[Mes Financiero])*(X$2=Finanzas[Año Financiero])*(Finanzas[Financiero U$S Dólares]))</f>
        <v>0</v>
      </c>
      <c r="Y234" s="10">
        <f>SUMPRODUCT(($C234=Finanzas[Movimiento])*($F234=Finanzas[Cuenta Contable])*(Y$1=Finanzas[Mes Financiero])*(Y$2=Finanzas[Año Financiero])*(Finanzas[Financiero U$S Dólares]))</f>
        <v>0</v>
      </c>
      <c r="Z234" s="144">
        <f t="shared" si="45"/>
        <v>0</v>
      </c>
    </row>
    <row r="235" spans="3:26" x14ac:dyDescent="0.25">
      <c r="C235" s="210" t="s">
        <v>37</v>
      </c>
      <c r="E235" s="221">
        <f>IFERROR(MATCH(F235,Cuentas_FIDI[Cuenta Contable],0),0)</f>
        <v>4</v>
      </c>
      <c r="F235" s="421" t="str">
        <f>Configuración!CJ8</f>
        <v>Ingreso Créditos</v>
      </c>
      <c r="H235" s="284">
        <f>SUMPRODUCT(($C235=Finanzas[Movimiento])*($F235=Finanzas[Cuenta Contable])*(H$1=Finanzas[Mes Financiero])*(H$2=Finanzas[Año Financiero])*(Finanzas[Financiero U$S Dólares]))</f>
        <v>0</v>
      </c>
      <c r="I235" s="10">
        <f>SUMPRODUCT(($C235=Finanzas[Movimiento])*($F235=Finanzas[Cuenta Contable])*(I$1=Finanzas[Mes Financiero])*(I$2=Finanzas[Año Financiero])*(Finanzas[Financiero U$S Dólares]))</f>
        <v>0</v>
      </c>
      <c r="J235" s="284">
        <f>SUMPRODUCT(($C235=Finanzas[Movimiento])*($F235=Finanzas[Cuenta Contable])*(J$1=Finanzas[Mes Financiero])*(J$2=Finanzas[Año Financiero])*(Finanzas[Financiero U$S Dólares]))</f>
        <v>0</v>
      </c>
      <c r="K235" s="10">
        <f>SUMPRODUCT(($C235=Finanzas[Movimiento])*($F235=Finanzas[Cuenta Contable])*(K$1=Finanzas[Mes Financiero])*(K$2=Finanzas[Año Financiero])*(Finanzas[Financiero U$S Dólares]))</f>
        <v>0</v>
      </c>
      <c r="L235" s="284">
        <f>SUMPRODUCT(($C235=Finanzas[Movimiento])*($F235=Finanzas[Cuenta Contable])*(L$1=Finanzas[Mes Financiero])*(L$2=Finanzas[Año Financiero])*(Finanzas[Financiero U$S Dólares]))</f>
        <v>0</v>
      </c>
      <c r="M235" s="10">
        <f>SUMPRODUCT(($C235=Finanzas[Movimiento])*($F235=Finanzas[Cuenta Contable])*(M$1=Finanzas[Mes Financiero])*(M$2=Finanzas[Año Financiero])*(Finanzas[Financiero U$S Dólares]))</f>
        <v>0</v>
      </c>
      <c r="N235" s="284">
        <f>SUMPRODUCT(($C235=Finanzas[Movimiento])*($F235=Finanzas[Cuenta Contable])*(N$1=Finanzas[Mes Financiero])*(N$2=Finanzas[Año Financiero])*(Finanzas[Financiero U$S Dólares]))</f>
        <v>0</v>
      </c>
      <c r="O235" s="10">
        <f>SUMPRODUCT(($C235=Finanzas[Movimiento])*($F235=Finanzas[Cuenta Contable])*(O$1=Finanzas[Mes Financiero])*(O$2=Finanzas[Año Financiero])*(Finanzas[Financiero U$S Dólares]))</f>
        <v>0</v>
      </c>
      <c r="P235" s="284">
        <f>SUMPRODUCT(($C235=Finanzas[Movimiento])*($F235=Finanzas[Cuenta Contable])*(P$1=Finanzas[Mes Financiero])*(P$2=Finanzas[Año Financiero])*(Finanzas[Financiero U$S Dólares]))</f>
        <v>0</v>
      </c>
      <c r="Q235" s="10">
        <f>SUMPRODUCT(($C235=Finanzas[Movimiento])*($F235=Finanzas[Cuenta Contable])*(Q$1=Finanzas[Mes Financiero])*(Q$2=Finanzas[Año Financiero])*(Finanzas[Financiero U$S Dólares]))</f>
        <v>0</v>
      </c>
      <c r="R235" s="284">
        <f>SUMPRODUCT(($C235=Finanzas[Movimiento])*($F235=Finanzas[Cuenta Contable])*(R$1=Finanzas[Mes Financiero])*(R$2=Finanzas[Año Financiero])*(Finanzas[Financiero U$S Dólares]))</f>
        <v>0</v>
      </c>
      <c r="S235" s="10">
        <f>SUMPRODUCT(($C235=Finanzas[Movimiento])*($F235=Finanzas[Cuenta Contable])*(S$1=Finanzas[Mes Financiero])*(S$2=Finanzas[Año Financiero])*(Finanzas[Financiero U$S Dólares]))</f>
        <v>0</v>
      </c>
      <c r="T235" s="284">
        <f>SUMPRODUCT(($C235=Finanzas[Movimiento])*($F235=Finanzas[Cuenta Contable])*(T$1=Finanzas[Mes Financiero])*(T$2=Finanzas[Año Financiero])*(Finanzas[Financiero U$S Dólares]))</f>
        <v>0</v>
      </c>
      <c r="U235" s="10">
        <f>SUMPRODUCT(($C235=Finanzas[Movimiento])*($F235=Finanzas[Cuenta Contable])*(U$1=Finanzas[Mes Financiero])*(U$2=Finanzas[Año Financiero])*(Finanzas[Financiero U$S Dólares]))</f>
        <v>0</v>
      </c>
      <c r="V235" s="284">
        <f>SUMPRODUCT(($C235=Finanzas[Movimiento])*($F235=Finanzas[Cuenta Contable])*(V$1=Finanzas[Mes Financiero])*(V$2=Finanzas[Año Financiero])*(Finanzas[Financiero U$S Dólares]))</f>
        <v>0</v>
      </c>
      <c r="W235" s="10">
        <f>SUMPRODUCT(($C235=Finanzas[Movimiento])*($F235=Finanzas[Cuenta Contable])*(W$1=Finanzas[Mes Financiero])*(W$2=Finanzas[Año Financiero])*(Finanzas[Financiero U$S Dólares]))</f>
        <v>0</v>
      </c>
      <c r="X235" s="284">
        <f>SUMPRODUCT(($C235=Finanzas[Movimiento])*($F235=Finanzas[Cuenta Contable])*(X$1=Finanzas[Mes Financiero])*(X$2=Finanzas[Año Financiero])*(Finanzas[Financiero U$S Dólares]))</f>
        <v>0</v>
      </c>
      <c r="Y235" s="10">
        <f>SUMPRODUCT(($C235=Finanzas[Movimiento])*($F235=Finanzas[Cuenta Contable])*(Y$1=Finanzas[Mes Financiero])*(Y$2=Finanzas[Año Financiero])*(Finanzas[Financiero U$S Dólares]))</f>
        <v>0</v>
      </c>
      <c r="Z235" s="144">
        <f t="shared" si="45"/>
        <v>0</v>
      </c>
    </row>
    <row r="236" spans="3:26" x14ac:dyDescent="0.25">
      <c r="C236" s="210" t="s">
        <v>37</v>
      </c>
      <c r="E236" s="221">
        <f>IFERROR(MATCH(F236,Cuentas_FIDI[Cuenta Contable],0),0)</f>
        <v>5</v>
      </c>
      <c r="F236" s="421" t="str">
        <f>Configuración!CJ9</f>
        <v>Ingreso Colocaciones Financieras</v>
      </c>
      <c r="H236" s="284">
        <f>SUMPRODUCT(($C236=Finanzas[Movimiento])*($F236=Finanzas[Cuenta Contable])*(H$1=Finanzas[Mes Financiero])*(H$2=Finanzas[Año Financiero])*(Finanzas[Financiero U$S Dólares]))</f>
        <v>0</v>
      </c>
      <c r="I236" s="10">
        <f>SUMPRODUCT(($C236=Finanzas[Movimiento])*($F236=Finanzas[Cuenta Contable])*(I$1=Finanzas[Mes Financiero])*(I$2=Finanzas[Año Financiero])*(Finanzas[Financiero U$S Dólares]))</f>
        <v>0</v>
      </c>
      <c r="J236" s="284">
        <f>SUMPRODUCT(($C236=Finanzas[Movimiento])*($F236=Finanzas[Cuenta Contable])*(J$1=Finanzas[Mes Financiero])*(J$2=Finanzas[Año Financiero])*(Finanzas[Financiero U$S Dólares]))</f>
        <v>0</v>
      </c>
      <c r="K236" s="10">
        <f>SUMPRODUCT(($C236=Finanzas[Movimiento])*($F236=Finanzas[Cuenta Contable])*(K$1=Finanzas[Mes Financiero])*(K$2=Finanzas[Año Financiero])*(Finanzas[Financiero U$S Dólares]))</f>
        <v>0</v>
      </c>
      <c r="L236" s="284">
        <f>SUMPRODUCT(($C236=Finanzas[Movimiento])*($F236=Finanzas[Cuenta Contable])*(L$1=Finanzas[Mes Financiero])*(L$2=Finanzas[Año Financiero])*(Finanzas[Financiero U$S Dólares]))</f>
        <v>0</v>
      </c>
      <c r="M236" s="10">
        <f>SUMPRODUCT(($C236=Finanzas[Movimiento])*($F236=Finanzas[Cuenta Contable])*(M$1=Finanzas[Mes Financiero])*(M$2=Finanzas[Año Financiero])*(Finanzas[Financiero U$S Dólares]))</f>
        <v>0</v>
      </c>
      <c r="N236" s="284">
        <f>SUMPRODUCT(($C236=Finanzas[Movimiento])*($F236=Finanzas[Cuenta Contable])*(N$1=Finanzas[Mes Financiero])*(N$2=Finanzas[Año Financiero])*(Finanzas[Financiero U$S Dólares]))</f>
        <v>0</v>
      </c>
      <c r="O236" s="10">
        <f>SUMPRODUCT(($C236=Finanzas[Movimiento])*($F236=Finanzas[Cuenta Contable])*(O$1=Finanzas[Mes Financiero])*(O$2=Finanzas[Año Financiero])*(Finanzas[Financiero U$S Dólares]))</f>
        <v>0</v>
      </c>
      <c r="P236" s="284">
        <f>SUMPRODUCT(($C236=Finanzas[Movimiento])*($F236=Finanzas[Cuenta Contable])*(P$1=Finanzas[Mes Financiero])*(P$2=Finanzas[Año Financiero])*(Finanzas[Financiero U$S Dólares]))</f>
        <v>0</v>
      </c>
      <c r="Q236" s="10">
        <f>SUMPRODUCT(($C236=Finanzas[Movimiento])*($F236=Finanzas[Cuenta Contable])*(Q$1=Finanzas[Mes Financiero])*(Q$2=Finanzas[Año Financiero])*(Finanzas[Financiero U$S Dólares]))</f>
        <v>0</v>
      </c>
      <c r="R236" s="284">
        <f>SUMPRODUCT(($C236=Finanzas[Movimiento])*($F236=Finanzas[Cuenta Contable])*(R$1=Finanzas[Mes Financiero])*(R$2=Finanzas[Año Financiero])*(Finanzas[Financiero U$S Dólares]))</f>
        <v>0</v>
      </c>
      <c r="S236" s="10">
        <f>SUMPRODUCT(($C236=Finanzas[Movimiento])*($F236=Finanzas[Cuenta Contable])*(S$1=Finanzas[Mes Financiero])*(S$2=Finanzas[Año Financiero])*(Finanzas[Financiero U$S Dólares]))</f>
        <v>0</v>
      </c>
      <c r="T236" s="284">
        <f>SUMPRODUCT(($C236=Finanzas[Movimiento])*($F236=Finanzas[Cuenta Contable])*(T$1=Finanzas[Mes Financiero])*(T$2=Finanzas[Año Financiero])*(Finanzas[Financiero U$S Dólares]))</f>
        <v>0</v>
      </c>
      <c r="U236" s="10">
        <f>SUMPRODUCT(($C236=Finanzas[Movimiento])*($F236=Finanzas[Cuenta Contable])*(U$1=Finanzas[Mes Financiero])*(U$2=Finanzas[Año Financiero])*(Finanzas[Financiero U$S Dólares]))</f>
        <v>0</v>
      </c>
      <c r="V236" s="284">
        <f>SUMPRODUCT(($C236=Finanzas[Movimiento])*($F236=Finanzas[Cuenta Contable])*(V$1=Finanzas[Mes Financiero])*(V$2=Finanzas[Año Financiero])*(Finanzas[Financiero U$S Dólares]))</f>
        <v>0</v>
      </c>
      <c r="W236" s="10">
        <f>SUMPRODUCT(($C236=Finanzas[Movimiento])*($F236=Finanzas[Cuenta Contable])*(W$1=Finanzas[Mes Financiero])*(W$2=Finanzas[Año Financiero])*(Finanzas[Financiero U$S Dólares]))</f>
        <v>0</v>
      </c>
      <c r="X236" s="284">
        <f>SUMPRODUCT(($C236=Finanzas[Movimiento])*($F236=Finanzas[Cuenta Contable])*(X$1=Finanzas[Mes Financiero])*(X$2=Finanzas[Año Financiero])*(Finanzas[Financiero U$S Dólares]))</f>
        <v>0</v>
      </c>
      <c r="Y236" s="10">
        <f>SUMPRODUCT(($C236=Finanzas[Movimiento])*($F236=Finanzas[Cuenta Contable])*(Y$1=Finanzas[Mes Financiero])*(Y$2=Finanzas[Año Financiero])*(Finanzas[Financiero U$S Dólares]))</f>
        <v>0</v>
      </c>
      <c r="Z236" s="144">
        <f t="shared" si="45"/>
        <v>0</v>
      </c>
    </row>
    <row r="237" spans="3:26" x14ac:dyDescent="0.25">
      <c r="C237" s="210" t="s">
        <v>37</v>
      </c>
      <c r="E237" s="221">
        <f>IFERROR(MATCH(F237,Cuentas_FIDI[Cuenta Contable],0),0)</f>
        <v>6</v>
      </c>
      <c r="F237" s="421" t="str">
        <f>Configuración!CJ10</f>
        <v>Intereses Cobrados</v>
      </c>
      <c r="H237" s="284">
        <f>SUMPRODUCT(($C237=Finanzas[Movimiento])*($F237=Finanzas[Cuenta Contable])*(H$1=Finanzas[Mes Financiero])*(H$2=Finanzas[Año Financiero])*(Finanzas[Financiero U$S Dólares]))</f>
        <v>0</v>
      </c>
      <c r="I237" s="10">
        <f>SUMPRODUCT(($C237=Finanzas[Movimiento])*($F237=Finanzas[Cuenta Contable])*(I$1=Finanzas[Mes Financiero])*(I$2=Finanzas[Año Financiero])*(Finanzas[Financiero U$S Dólares]))</f>
        <v>0</v>
      </c>
      <c r="J237" s="284">
        <f>SUMPRODUCT(($C237=Finanzas[Movimiento])*($F237=Finanzas[Cuenta Contable])*(J$1=Finanzas[Mes Financiero])*(J$2=Finanzas[Año Financiero])*(Finanzas[Financiero U$S Dólares]))</f>
        <v>0</v>
      </c>
      <c r="K237" s="10">
        <f>SUMPRODUCT(($C237=Finanzas[Movimiento])*($F237=Finanzas[Cuenta Contable])*(K$1=Finanzas[Mes Financiero])*(K$2=Finanzas[Año Financiero])*(Finanzas[Financiero U$S Dólares]))</f>
        <v>0</v>
      </c>
      <c r="L237" s="284">
        <f>SUMPRODUCT(($C237=Finanzas[Movimiento])*($F237=Finanzas[Cuenta Contable])*(L$1=Finanzas[Mes Financiero])*(L$2=Finanzas[Año Financiero])*(Finanzas[Financiero U$S Dólares]))</f>
        <v>0</v>
      </c>
      <c r="M237" s="10">
        <f>SUMPRODUCT(($C237=Finanzas[Movimiento])*($F237=Finanzas[Cuenta Contable])*(M$1=Finanzas[Mes Financiero])*(M$2=Finanzas[Año Financiero])*(Finanzas[Financiero U$S Dólares]))</f>
        <v>0</v>
      </c>
      <c r="N237" s="284">
        <f>SUMPRODUCT(($C237=Finanzas[Movimiento])*($F237=Finanzas[Cuenta Contable])*(N$1=Finanzas[Mes Financiero])*(N$2=Finanzas[Año Financiero])*(Finanzas[Financiero U$S Dólares]))</f>
        <v>0</v>
      </c>
      <c r="O237" s="10">
        <f>SUMPRODUCT(($C237=Finanzas[Movimiento])*($F237=Finanzas[Cuenta Contable])*(O$1=Finanzas[Mes Financiero])*(O$2=Finanzas[Año Financiero])*(Finanzas[Financiero U$S Dólares]))</f>
        <v>0</v>
      </c>
      <c r="P237" s="284">
        <f>SUMPRODUCT(($C237=Finanzas[Movimiento])*($F237=Finanzas[Cuenta Contable])*(P$1=Finanzas[Mes Financiero])*(P$2=Finanzas[Año Financiero])*(Finanzas[Financiero U$S Dólares]))</f>
        <v>0</v>
      </c>
      <c r="Q237" s="10">
        <f>SUMPRODUCT(($C237=Finanzas[Movimiento])*($F237=Finanzas[Cuenta Contable])*(Q$1=Finanzas[Mes Financiero])*(Q$2=Finanzas[Año Financiero])*(Finanzas[Financiero U$S Dólares]))</f>
        <v>0</v>
      </c>
      <c r="R237" s="284">
        <f>SUMPRODUCT(($C237=Finanzas[Movimiento])*($F237=Finanzas[Cuenta Contable])*(R$1=Finanzas[Mes Financiero])*(R$2=Finanzas[Año Financiero])*(Finanzas[Financiero U$S Dólares]))</f>
        <v>0</v>
      </c>
      <c r="S237" s="10">
        <f>SUMPRODUCT(($C237=Finanzas[Movimiento])*($F237=Finanzas[Cuenta Contable])*(S$1=Finanzas[Mes Financiero])*(S$2=Finanzas[Año Financiero])*(Finanzas[Financiero U$S Dólares]))</f>
        <v>0</v>
      </c>
      <c r="T237" s="284">
        <f>SUMPRODUCT(($C237=Finanzas[Movimiento])*($F237=Finanzas[Cuenta Contable])*(T$1=Finanzas[Mes Financiero])*(T$2=Finanzas[Año Financiero])*(Finanzas[Financiero U$S Dólares]))</f>
        <v>0</v>
      </c>
      <c r="U237" s="10">
        <f>SUMPRODUCT(($C237=Finanzas[Movimiento])*($F237=Finanzas[Cuenta Contable])*(U$1=Finanzas[Mes Financiero])*(U$2=Finanzas[Año Financiero])*(Finanzas[Financiero U$S Dólares]))</f>
        <v>0</v>
      </c>
      <c r="V237" s="284">
        <f>SUMPRODUCT(($C237=Finanzas[Movimiento])*($F237=Finanzas[Cuenta Contable])*(V$1=Finanzas[Mes Financiero])*(V$2=Finanzas[Año Financiero])*(Finanzas[Financiero U$S Dólares]))</f>
        <v>0</v>
      </c>
      <c r="W237" s="10">
        <f>SUMPRODUCT(($C237=Finanzas[Movimiento])*($F237=Finanzas[Cuenta Contable])*(W$1=Finanzas[Mes Financiero])*(W$2=Finanzas[Año Financiero])*(Finanzas[Financiero U$S Dólares]))</f>
        <v>0</v>
      </c>
      <c r="X237" s="284">
        <f>SUMPRODUCT(($C237=Finanzas[Movimiento])*($F237=Finanzas[Cuenta Contable])*(X$1=Finanzas[Mes Financiero])*(X$2=Finanzas[Año Financiero])*(Finanzas[Financiero U$S Dólares]))</f>
        <v>0</v>
      </c>
      <c r="Y237" s="10">
        <f>SUMPRODUCT(($C237=Finanzas[Movimiento])*($F237=Finanzas[Cuenta Contable])*(Y$1=Finanzas[Mes Financiero])*(Y$2=Finanzas[Año Financiero])*(Finanzas[Financiero U$S Dólares]))</f>
        <v>0</v>
      </c>
      <c r="Z237" s="144">
        <f t="shared" si="45"/>
        <v>0</v>
      </c>
    </row>
    <row r="238" spans="3:26" x14ac:dyDescent="0.25">
      <c r="C238" s="210" t="s">
        <v>38</v>
      </c>
      <c r="E238" s="221">
        <f>IFERROR(MATCH(F238,Cuentas_FIDI[Cuenta Contable],0),0)</f>
        <v>7</v>
      </c>
      <c r="F238" s="421" t="str">
        <f>Configuración!CJ11</f>
        <v>Cheques Emitidos</v>
      </c>
      <c r="H238" s="284">
        <f>SUMPRODUCT(($C238=Finanzas[Movimiento])*($F238=Finanzas[Cuenta Contable])*(H$1=Finanzas[Mes Financiero])*(H$2=Finanzas[Año Financiero])*(Finanzas[Financiero U$S Dólares]))</f>
        <v>0</v>
      </c>
      <c r="I238" s="10">
        <f>SUMPRODUCT(($C238=Finanzas[Movimiento])*($F238=Finanzas[Cuenta Contable])*(I$1=Finanzas[Mes Financiero])*(I$2=Finanzas[Año Financiero])*(Finanzas[Financiero U$S Dólares]))</f>
        <v>0</v>
      </c>
      <c r="J238" s="284">
        <f>SUMPRODUCT(($C238=Finanzas[Movimiento])*($F238=Finanzas[Cuenta Contable])*(J$1=Finanzas[Mes Financiero])*(J$2=Finanzas[Año Financiero])*(Finanzas[Financiero U$S Dólares]))</f>
        <v>0</v>
      </c>
      <c r="K238" s="10">
        <f>SUMPRODUCT(($C238=Finanzas[Movimiento])*($F238=Finanzas[Cuenta Contable])*(K$1=Finanzas[Mes Financiero])*(K$2=Finanzas[Año Financiero])*(Finanzas[Financiero U$S Dólares]))</f>
        <v>0</v>
      </c>
      <c r="L238" s="284">
        <f>SUMPRODUCT(($C238=Finanzas[Movimiento])*($F238=Finanzas[Cuenta Contable])*(L$1=Finanzas[Mes Financiero])*(L$2=Finanzas[Año Financiero])*(Finanzas[Financiero U$S Dólares]))</f>
        <v>0</v>
      </c>
      <c r="M238" s="10">
        <f>SUMPRODUCT(($C238=Finanzas[Movimiento])*($F238=Finanzas[Cuenta Contable])*(M$1=Finanzas[Mes Financiero])*(M$2=Finanzas[Año Financiero])*(Finanzas[Financiero U$S Dólares]))</f>
        <v>0</v>
      </c>
      <c r="N238" s="284">
        <f>SUMPRODUCT(($C238=Finanzas[Movimiento])*($F238=Finanzas[Cuenta Contable])*(N$1=Finanzas[Mes Financiero])*(N$2=Finanzas[Año Financiero])*(Finanzas[Financiero U$S Dólares]))</f>
        <v>0</v>
      </c>
      <c r="O238" s="10">
        <f>SUMPRODUCT(($C238=Finanzas[Movimiento])*($F238=Finanzas[Cuenta Contable])*(O$1=Finanzas[Mes Financiero])*(O$2=Finanzas[Año Financiero])*(Finanzas[Financiero U$S Dólares]))</f>
        <v>0</v>
      </c>
      <c r="P238" s="284">
        <f>SUMPRODUCT(($C238=Finanzas[Movimiento])*($F238=Finanzas[Cuenta Contable])*(P$1=Finanzas[Mes Financiero])*(P$2=Finanzas[Año Financiero])*(Finanzas[Financiero U$S Dólares]))</f>
        <v>0</v>
      </c>
      <c r="Q238" s="10">
        <f>SUMPRODUCT(($C238=Finanzas[Movimiento])*($F238=Finanzas[Cuenta Contable])*(Q$1=Finanzas[Mes Financiero])*(Q$2=Finanzas[Año Financiero])*(Finanzas[Financiero U$S Dólares]))</f>
        <v>0</v>
      </c>
      <c r="R238" s="284">
        <f>SUMPRODUCT(($C238=Finanzas[Movimiento])*($F238=Finanzas[Cuenta Contable])*(R$1=Finanzas[Mes Financiero])*(R$2=Finanzas[Año Financiero])*(Finanzas[Financiero U$S Dólares]))</f>
        <v>0</v>
      </c>
      <c r="S238" s="10">
        <f>SUMPRODUCT(($C238=Finanzas[Movimiento])*($F238=Finanzas[Cuenta Contable])*(S$1=Finanzas[Mes Financiero])*(S$2=Finanzas[Año Financiero])*(Finanzas[Financiero U$S Dólares]))</f>
        <v>0</v>
      </c>
      <c r="T238" s="284">
        <f>SUMPRODUCT(($C238=Finanzas[Movimiento])*($F238=Finanzas[Cuenta Contable])*(T$1=Finanzas[Mes Financiero])*(T$2=Finanzas[Año Financiero])*(Finanzas[Financiero U$S Dólares]))</f>
        <v>0</v>
      </c>
      <c r="U238" s="10">
        <f>SUMPRODUCT(($C238=Finanzas[Movimiento])*($F238=Finanzas[Cuenta Contable])*(U$1=Finanzas[Mes Financiero])*(U$2=Finanzas[Año Financiero])*(Finanzas[Financiero U$S Dólares]))</f>
        <v>0</v>
      </c>
      <c r="V238" s="284">
        <f>SUMPRODUCT(($C238=Finanzas[Movimiento])*($F238=Finanzas[Cuenta Contable])*(V$1=Finanzas[Mes Financiero])*(V$2=Finanzas[Año Financiero])*(Finanzas[Financiero U$S Dólares]))</f>
        <v>0</v>
      </c>
      <c r="W238" s="10">
        <f>SUMPRODUCT(($C238=Finanzas[Movimiento])*($F238=Finanzas[Cuenta Contable])*(W$1=Finanzas[Mes Financiero])*(W$2=Finanzas[Año Financiero])*(Finanzas[Financiero U$S Dólares]))</f>
        <v>0</v>
      </c>
      <c r="X238" s="284">
        <f>SUMPRODUCT(($C238=Finanzas[Movimiento])*($F238=Finanzas[Cuenta Contable])*(X$1=Finanzas[Mes Financiero])*(X$2=Finanzas[Año Financiero])*(Finanzas[Financiero U$S Dólares]))</f>
        <v>0</v>
      </c>
      <c r="Y238" s="10">
        <f>SUMPRODUCT(($C238=Finanzas[Movimiento])*($F238=Finanzas[Cuenta Contable])*(Y$1=Finanzas[Mes Financiero])*(Y$2=Finanzas[Año Financiero])*(Finanzas[Financiero U$S Dólares]))</f>
        <v>0</v>
      </c>
      <c r="Z238" s="144">
        <f t="shared" si="45"/>
        <v>0</v>
      </c>
    </row>
    <row r="239" spans="3:26" x14ac:dyDescent="0.25">
      <c r="C239" s="210" t="s">
        <v>38</v>
      </c>
      <c r="E239" s="221">
        <f>IFERROR(MATCH(F239,Cuentas_FIDI[Cuenta Contable],0),0)</f>
        <v>8</v>
      </c>
      <c r="F239" s="421" t="str">
        <f>Configuración!CJ12</f>
        <v>Amortización Capital - Créditos</v>
      </c>
      <c r="H239" s="284">
        <f>SUMPRODUCT(($C239=Finanzas[Movimiento])*($F239=Finanzas[Cuenta Contable])*(H$1=Finanzas[Mes Financiero])*(H$2=Finanzas[Año Financiero])*(Finanzas[Financiero U$S Dólares]))</f>
        <v>0</v>
      </c>
      <c r="I239" s="10">
        <f>SUMPRODUCT(($C239=Finanzas[Movimiento])*($F239=Finanzas[Cuenta Contable])*(I$1=Finanzas[Mes Financiero])*(I$2=Finanzas[Año Financiero])*(Finanzas[Financiero U$S Dólares]))</f>
        <v>0</v>
      </c>
      <c r="J239" s="284">
        <f>SUMPRODUCT(($C239=Finanzas[Movimiento])*($F239=Finanzas[Cuenta Contable])*(J$1=Finanzas[Mes Financiero])*(J$2=Finanzas[Año Financiero])*(Finanzas[Financiero U$S Dólares]))</f>
        <v>0</v>
      </c>
      <c r="K239" s="10">
        <f>SUMPRODUCT(($C239=Finanzas[Movimiento])*($F239=Finanzas[Cuenta Contable])*(K$1=Finanzas[Mes Financiero])*(K$2=Finanzas[Año Financiero])*(Finanzas[Financiero U$S Dólares]))</f>
        <v>0</v>
      </c>
      <c r="L239" s="284">
        <f>SUMPRODUCT(($C239=Finanzas[Movimiento])*($F239=Finanzas[Cuenta Contable])*(L$1=Finanzas[Mes Financiero])*(L$2=Finanzas[Año Financiero])*(Finanzas[Financiero U$S Dólares]))</f>
        <v>0</v>
      </c>
      <c r="M239" s="10">
        <f>SUMPRODUCT(($C239=Finanzas[Movimiento])*($F239=Finanzas[Cuenta Contable])*(M$1=Finanzas[Mes Financiero])*(M$2=Finanzas[Año Financiero])*(Finanzas[Financiero U$S Dólares]))</f>
        <v>0</v>
      </c>
      <c r="N239" s="284">
        <f>SUMPRODUCT(($C239=Finanzas[Movimiento])*($F239=Finanzas[Cuenta Contable])*(N$1=Finanzas[Mes Financiero])*(N$2=Finanzas[Año Financiero])*(Finanzas[Financiero U$S Dólares]))</f>
        <v>0</v>
      </c>
      <c r="O239" s="10">
        <f>SUMPRODUCT(($C239=Finanzas[Movimiento])*($F239=Finanzas[Cuenta Contable])*(O$1=Finanzas[Mes Financiero])*(O$2=Finanzas[Año Financiero])*(Finanzas[Financiero U$S Dólares]))</f>
        <v>0</v>
      </c>
      <c r="P239" s="284">
        <f>SUMPRODUCT(($C239=Finanzas[Movimiento])*($F239=Finanzas[Cuenta Contable])*(P$1=Finanzas[Mes Financiero])*(P$2=Finanzas[Año Financiero])*(Finanzas[Financiero U$S Dólares]))</f>
        <v>0</v>
      </c>
      <c r="Q239" s="10">
        <f>SUMPRODUCT(($C239=Finanzas[Movimiento])*($F239=Finanzas[Cuenta Contable])*(Q$1=Finanzas[Mes Financiero])*(Q$2=Finanzas[Año Financiero])*(Finanzas[Financiero U$S Dólares]))</f>
        <v>0</v>
      </c>
      <c r="R239" s="284">
        <f>SUMPRODUCT(($C239=Finanzas[Movimiento])*($F239=Finanzas[Cuenta Contable])*(R$1=Finanzas[Mes Financiero])*(R$2=Finanzas[Año Financiero])*(Finanzas[Financiero U$S Dólares]))</f>
        <v>0</v>
      </c>
      <c r="S239" s="10">
        <f>SUMPRODUCT(($C239=Finanzas[Movimiento])*($F239=Finanzas[Cuenta Contable])*(S$1=Finanzas[Mes Financiero])*(S$2=Finanzas[Año Financiero])*(Finanzas[Financiero U$S Dólares]))</f>
        <v>0</v>
      </c>
      <c r="T239" s="284">
        <f>SUMPRODUCT(($C239=Finanzas[Movimiento])*($F239=Finanzas[Cuenta Contable])*(T$1=Finanzas[Mes Financiero])*(T$2=Finanzas[Año Financiero])*(Finanzas[Financiero U$S Dólares]))</f>
        <v>0</v>
      </c>
      <c r="U239" s="10">
        <f>SUMPRODUCT(($C239=Finanzas[Movimiento])*($F239=Finanzas[Cuenta Contable])*(U$1=Finanzas[Mes Financiero])*(U$2=Finanzas[Año Financiero])*(Finanzas[Financiero U$S Dólares]))</f>
        <v>0</v>
      </c>
      <c r="V239" s="284">
        <f>SUMPRODUCT(($C239=Finanzas[Movimiento])*($F239=Finanzas[Cuenta Contable])*(V$1=Finanzas[Mes Financiero])*(V$2=Finanzas[Año Financiero])*(Finanzas[Financiero U$S Dólares]))</f>
        <v>0</v>
      </c>
      <c r="W239" s="10">
        <f>SUMPRODUCT(($C239=Finanzas[Movimiento])*($F239=Finanzas[Cuenta Contable])*(W$1=Finanzas[Mes Financiero])*(W$2=Finanzas[Año Financiero])*(Finanzas[Financiero U$S Dólares]))</f>
        <v>0</v>
      </c>
      <c r="X239" s="284">
        <f>SUMPRODUCT(($C239=Finanzas[Movimiento])*($F239=Finanzas[Cuenta Contable])*(X$1=Finanzas[Mes Financiero])*(X$2=Finanzas[Año Financiero])*(Finanzas[Financiero U$S Dólares]))</f>
        <v>0</v>
      </c>
      <c r="Y239" s="10">
        <f>SUMPRODUCT(($C239=Finanzas[Movimiento])*($F239=Finanzas[Cuenta Contable])*(Y$1=Finanzas[Mes Financiero])*(Y$2=Finanzas[Año Financiero])*(Finanzas[Financiero U$S Dólares]))</f>
        <v>0</v>
      </c>
      <c r="Z239" s="144">
        <f t="shared" si="45"/>
        <v>0</v>
      </c>
    </row>
    <row r="240" spans="3:26" x14ac:dyDescent="0.25">
      <c r="C240" s="210" t="s">
        <v>38</v>
      </c>
      <c r="E240" s="221">
        <f>IFERROR(MATCH(F240,Cuentas_FIDI[Cuenta Contable],0),0)</f>
        <v>9</v>
      </c>
      <c r="F240" s="421" t="str">
        <f>Configuración!CJ13</f>
        <v>Intereses Pagados - Créditos</v>
      </c>
      <c r="H240" s="284">
        <f>SUMPRODUCT(($C240=Finanzas[Movimiento])*($F240=Finanzas[Cuenta Contable])*(H$1=Finanzas[Mes Financiero])*(H$2=Finanzas[Año Financiero])*(Finanzas[Financiero U$S Dólares]))</f>
        <v>0</v>
      </c>
      <c r="I240" s="10">
        <f>SUMPRODUCT(($C240=Finanzas[Movimiento])*($F240=Finanzas[Cuenta Contable])*(I$1=Finanzas[Mes Financiero])*(I$2=Finanzas[Año Financiero])*(Finanzas[Financiero U$S Dólares]))</f>
        <v>0</v>
      </c>
      <c r="J240" s="284">
        <f>SUMPRODUCT(($C240=Finanzas[Movimiento])*($F240=Finanzas[Cuenta Contable])*(J$1=Finanzas[Mes Financiero])*(J$2=Finanzas[Año Financiero])*(Finanzas[Financiero U$S Dólares]))</f>
        <v>0</v>
      </c>
      <c r="K240" s="10">
        <f>SUMPRODUCT(($C240=Finanzas[Movimiento])*($F240=Finanzas[Cuenta Contable])*(K$1=Finanzas[Mes Financiero])*(K$2=Finanzas[Año Financiero])*(Finanzas[Financiero U$S Dólares]))</f>
        <v>0</v>
      </c>
      <c r="L240" s="284">
        <f>SUMPRODUCT(($C240=Finanzas[Movimiento])*($F240=Finanzas[Cuenta Contable])*(L$1=Finanzas[Mes Financiero])*(L$2=Finanzas[Año Financiero])*(Finanzas[Financiero U$S Dólares]))</f>
        <v>0</v>
      </c>
      <c r="M240" s="10">
        <f>SUMPRODUCT(($C240=Finanzas[Movimiento])*($F240=Finanzas[Cuenta Contable])*(M$1=Finanzas[Mes Financiero])*(M$2=Finanzas[Año Financiero])*(Finanzas[Financiero U$S Dólares]))</f>
        <v>0</v>
      </c>
      <c r="N240" s="284">
        <f>SUMPRODUCT(($C240=Finanzas[Movimiento])*($F240=Finanzas[Cuenta Contable])*(N$1=Finanzas[Mes Financiero])*(N$2=Finanzas[Año Financiero])*(Finanzas[Financiero U$S Dólares]))</f>
        <v>0</v>
      </c>
      <c r="O240" s="10">
        <f>SUMPRODUCT(($C240=Finanzas[Movimiento])*($F240=Finanzas[Cuenta Contable])*(O$1=Finanzas[Mes Financiero])*(O$2=Finanzas[Año Financiero])*(Finanzas[Financiero U$S Dólares]))</f>
        <v>0</v>
      </c>
      <c r="P240" s="284">
        <f>SUMPRODUCT(($C240=Finanzas[Movimiento])*($F240=Finanzas[Cuenta Contable])*(P$1=Finanzas[Mes Financiero])*(P$2=Finanzas[Año Financiero])*(Finanzas[Financiero U$S Dólares]))</f>
        <v>0</v>
      </c>
      <c r="Q240" s="10">
        <f>SUMPRODUCT(($C240=Finanzas[Movimiento])*($F240=Finanzas[Cuenta Contable])*(Q$1=Finanzas[Mes Financiero])*(Q$2=Finanzas[Año Financiero])*(Finanzas[Financiero U$S Dólares]))</f>
        <v>0</v>
      </c>
      <c r="R240" s="284">
        <f>SUMPRODUCT(($C240=Finanzas[Movimiento])*($F240=Finanzas[Cuenta Contable])*(R$1=Finanzas[Mes Financiero])*(R$2=Finanzas[Año Financiero])*(Finanzas[Financiero U$S Dólares]))</f>
        <v>0</v>
      </c>
      <c r="S240" s="10">
        <f>SUMPRODUCT(($C240=Finanzas[Movimiento])*($F240=Finanzas[Cuenta Contable])*(S$1=Finanzas[Mes Financiero])*(S$2=Finanzas[Año Financiero])*(Finanzas[Financiero U$S Dólares]))</f>
        <v>0</v>
      </c>
      <c r="T240" s="284">
        <f>SUMPRODUCT(($C240=Finanzas[Movimiento])*($F240=Finanzas[Cuenta Contable])*(T$1=Finanzas[Mes Financiero])*(T$2=Finanzas[Año Financiero])*(Finanzas[Financiero U$S Dólares]))</f>
        <v>0</v>
      </c>
      <c r="U240" s="10">
        <f>SUMPRODUCT(($C240=Finanzas[Movimiento])*($F240=Finanzas[Cuenta Contable])*(U$1=Finanzas[Mes Financiero])*(U$2=Finanzas[Año Financiero])*(Finanzas[Financiero U$S Dólares]))</f>
        <v>0</v>
      </c>
      <c r="V240" s="284">
        <f>SUMPRODUCT(($C240=Finanzas[Movimiento])*($F240=Finanzas[Cuenta Contable])*(V$1=Finanzas[Mes Financiero])*(V$2=Finanzas[Año Financiero])*(Finanzas[Financiero U$S Dólares]))</f>
        <v>0</v>
      </c>
      <c r="W240" s="10">
        <f>SUMPRODUCT(($C240=Finanzas[Movimiento])*($F240=Finanzas[Cuenta Contable])*(W$1=Finanzas[Mes Financiero])*(W$2=Finanzas[Año Financiero])*(Finanzas[Financiero U$S Dólares]))</f>
        <v>0</v>
      </c>
      <c r="X240" s="284">
        <f>SUMPRODUCT(($C240=Finanzas[Movimiento])*($F240=Finanzas[Cuenta Contable])*(X$1=Finanzas[Mes Financiero])*(X$2=Finanzas[Año Financiero])*(Finanzas[Financiero U$S Dólares]))</f>
        <v>0</v>
      </c>
      <c r="Y240" s="10">
        <f>SUMPRODUCT(($C240=Finanzas[Movimiento])*($F240=Finanzas[Cuenta Contable])*(Y$1=Finanzas[Mes Financiero])*(Y$2=Finanzas[Año Financiero])*(Finanzas[Financiero U$S Dólares]))</f>
        <v>0</v>
      </c>
      <c r="Z240" s="144">
        <f t="shared" ref="Z240:Z242" si="46">SUM(H240:Y240)</f>
        <v>0</v>
      </c>
    </row>
    <row r="241" spans="2:26" x14ac:dyDescent="0.25">
      <c r="C241" s="210" t="s">
        <v>38</v>
      </c>
      <c r="E241" s="221">
        <f>IFERROR(MATCH(F241,Cuentas_FIDI[Cuenta Contable],0),0)</f>
        <v>10</v>
      </c>
      <c r="F241" s="421" t="str">
        <f>Configuración!CJ14</f>
        <v>Egreso Colocaciones Financieras</v>
      </c>
      <c r="H241" s="284">
        <f>SUMPRODUCT(($C241=Finanzas[Movimiento])*($F241=Finanzas[Cuenta Contable])*(H$1=Finanzas[Mes Financiero])*(H$2=Finanzas[Año Financiero])*(Finanzas[Financiero U$S Dólares]))</f>
        <v>0</v>
      </c>
      <c r="I241" s="10">
        <f>SUMPRODUCT(($C241=Finanzas[Movimiento])*($F241=Finanzas[Cuenta Contable])*(I$1=Finanzas[Mes Financiero])*(I$2=Finanzas[Año Financiero])*(Finanzas[Financiero U$S Dólares]))</f>
        <v>0</v>
      </c>
      <c r="J241" s="284">
        <f>SUMPRODUCT(($C241=Finanzas[Movimiento])*($F241=Finanzas[Cuenta Contable])*(J$1=Finanzas[Mes Financiero])*(J$2=Finanzas[Año Financiero])*(Finanzas[Financiero U$S Dólares]))</f>
        <v>0</v>
      </c>
      <c r="K241" s="10">
        <f>SUMPRODUCT(($C241=Finanzas[Movimiento])*($F241=Finanzas[Cuenta Contable])*(K$1=Finanzas[Mes Financiero])*(K$2=Finanzas[Año Financiero])*(Finanzas[Financiero U$S Dólares]))</f>
        <v>0</v>
      </c>
      <c r="L241" s="284">
        <f>SUMPRODUCT(($C241=Finanzas[Movimiento])*($F241=Finanzas[Cuenta Contable])*(L$1=Finanzas[Mes Financiero])*(L$2=Finanzas[Año Financiero])*(Finanzas[Financiero U$S Dólares]))</f>
        <v>0</v>
      </c>
      <c r="M241" s="10">
        <f>SUMPRODUCT(($C241=Finanzas[Movimiento])*($F241=Finanzas[Cuenta Contable])*(M$1=Finanzas[Mes Financiero])*(M$2=Finanzas[Año Financiero])*(Finanzas[Financiero U$S Dólares]))</f>
        <v>0</v>
      </c>
      <c r="N241" s="284">
        <f>SUMPRODUCT(($C241=Finanzas[Movimiento])*($F241=Finanzas[Cuenta Contable])*(N$1=Finanzas[Mes Financiero])*(N$2=Finanzas[Año Financiero])*(Finanzas[Financiero U$S Dólares]))</f>
        <v>0</v>
      </c>
      <c r="O241" s="10">
        <f>SUMPRODUCT(($C241=Finanzas[Movimiento])*($F241=Finanzas[Cuenta Contable])*(O$1=Finanzas[Mes Financiero])*(O$2=Finanzas[Año Financiero])*(Finanzas[Financiero U$S Dólares]))</f>
        <v>0</v>
      </c>
      <c r="P241" s="284">
        <f>SUMPRODUCT(($C241=Finanzas[Movimiento])*($F241=Finanzas[Cuenta Contable])*(P$1=Finanzas[Mes Financiero])*(P$2=Finanzas[Año Financiero])*(Finanzas[Financiero U$S Dólares]))</f>
        <v>0</v>
      </c>
      <c r="Q241" s="10">
        <f>SUMPRODUCT(($C241=Finanzas[Movimiento])*($F241=Finanzas[Cuenta Contable])*(Q$1=Finanzas[Mes Financiero])*(Q$2=Finanzas[Año Financiero])*(Finanzas[Financiero U$S Dólares]))</f>
        <v>0</v>
      </c>
      <c r="R241" s="284">
        <f>SUMPRODUCT(($C241=Finanzas[Movimiento])*($F241=Finanzas[Cuenta Contable])*(R$1=Finanzas[Mes Financiero])*(R$2=Finanzas[Año Financiero])*(Finanzas[Financiero U$S Dólares]))</f>
        <v>0</v>
      </c>
      <c r="S241" s="10">
        <f>SUMPRODUCT(($C241=Finanzas[Movimiento])*($F241=Finanzas[Cuenta Contable])*(S$1=Finanzas[Mes Financiero])*(S$2=Finanzas[Año Financiero])*(Finanzas[Financiero U$S Dólares]))</f>
        <v>0</v>
      </c>
      <c r="T241" s="284">
        <f>SUMPRODUCT(($C241=Finanzas[Movimiento])*($F241=Finanzas[Cuenta Contable])*(T$1=Finanzas[Mes Financiero])*(T$2=Finanzas[Año Financiero])*(Finanzas[Financiero U$S Dólares]))</f>
        <v>0</v>
      </c>
      <c r="U241" s="10">
        <f>SUMPRODUCT(($C241=Finanzas[Movimiento])*($F241=Finanzas[Cuenta Contable])*(U$1=Finanzas[Mes Financiero])*(U$2=Finanzas[Año Financiero])*(Finanzas[Financiero U$S Dólares]))</f>
        <v>0</v>
      </c>
      <c r="V241" s="284">
        <f>SUMPRODUCT(($C241=Finanzas[Movimiento])*($F241=Finanzas[Cuenta Contable])*(V$1=Finanzas[Mes Financiero])*(V$2=Finanzas[Año Financiero])*(Finanzas[Financiero U$S Dólares]))</f>
        <v>0</v>
      </c>
      <c r="W241" s="10">
        <f>SUMPRODUCT(($C241=Finanzas[Movimiento])*($F241=Finanzas[Cuenta Contable])*(W$1=Finanzas[Mes Financiero])*(W$2=Finanzas[Año Financiero])*(Finanzas[Financiero U$S Dólares]))</f>
        <v>0</v>
      </c>
      <c r="X241" s="284">
        <f>SUMPRODUCT(($C241=Finanzas[Movimiento])*($F241=Finanzas[Cuenta Contable])*(X$1=Finanzas[Mes Financiero])*(X$2=Finanzas[Año Financiero])*(Finanzas[Financiero U$S Dólares]))</f>
        <v>0</v>
      </c>
      <c r="Y241" s="10">
        <f>SUMPRODUCT(($C241=Finanzas[Movimiento])*($F241=Finanzas[Cuenta Contable])*(Y$1=Finanzas[Mes Financiero])*(Y$2=Finanzas[Año Financiero])*(Finanzas[Financiero U$S Dólares]))</f>
        <v>0</v>
      </c>
      <c r="Z241" s="144">
        <f t="shared" si="46"/>
        <v>0</v>
      </c>
    </row>
    <row r="242" spans="2:26" x14ac:dyDescent="0.25">
      <c r="E242" s="221">
        <f>IFERROR(MATCH(F242,Cuentas_FIDI[Cuenta Contable],0),0)</f>
        <v>0</v>
      </c>
      <c r="F242" s="423">
        <f>Configuración!CJ15</f>
        <v>0</v>
      </c>
      <c r="G242" s="243"/>
      <c r="H242" s="386">
        <f>SUMPRODUCT(($C242=Finanzas[Movimiento])*($F242=Finanzas[Cuenta Contable])*(H$1=Finanzas[Mes Financiero])*(H$2=Finanzas[Año Financiero])*(Finanzas[Financiero U$S Dólares]))</f>
        <v>0</v>
      </c>
      <c r="I242" s="387">
        <f>SUMPRODUCT(($C242=Finanzas[Movimiento])*($F242=Finanzas[Cuenta Contable])*(I$1=Finanzas[Mes Financiero])*(I$2=Finanzas[Año Financiero])*(Finanzas[Financiero U$S Dólares]))</f>
        <v>0</v>
      </c>
      <c r="J242" s="386">
        <f>SUMPRODUCT(($C242=Finanzas[Movimiento])*($F242=Finanzas[Cuenta Contable])*(J$1=Finanzas[Mes Financiero])*(J$2=Finanzas[Año Financiero])*(Finanzas[Financiero U$S Dólares]))</f>
        <v>0</v>
      </c>
      <c r="K242" s="387">
        <f>SUMPRODUCT(($C242=Finanzas[Movimiento])*($F242=Finanzas[Cuenta Contable])*(K$1=Finanzas[Mes Financiero])*(K$2=Finanzas[Año Financiero])*(Finanzas[Financiero U$S Dólares]))</f>
        <v>0</v>
      </c>
      <c r="L242" s="386">
        <f>SUMPRODUCT(($C242=Finanzas[Movimiento])*($F242=Finanzas[Cuenta Contable])*(L$1=Finanzas[Mes Financiero])*(L$2=Finanzas[Año Financiero])*(Finanzas[Financiero U$S Dólares]))</f>
        <v>0</v>
      </c>
      <c r="M242" s="387">
        <f>SUMPRODUCT(($C242=Finanzas[Movimiento])*($F242=Finanzas[Cuenta Contable])*(M$1=Finanzas[Mes Financiero])*(M$2=Finanzas[Año Financiero])*(Finanzas[Financiero U$S Dólares]))</f>
        <v>0</v>
      </c>
      <c r="N242" s="386">
        <f>SUMPRODUCT(($C242=Finanzas[Movimiento])*($F242=Finanzas[Cuenta Contable])*(N$1=Finanzas[Mes Financiero])*(N$2=Finanzas[Año Financiero])*(Finanzas[Financiero U$S Dólares]))</f>
        <v>0</v>
      </c>
      <c r="O242" s="387">
        <f>SUMPRODUCT(($C242=Finanzas[Movimiento])*($F242=Finanzas[Cuenta Contable])*(O$1=Finanzas[Mes Financiero])*(O$2=Finanzas[Año Financiero])*(Finanzas[Financiero U$S Dólares]))</f>
        <v>0</v>
      </c>
      <c r="P242" s="386">
        <f>SUMPRODUCT(($C242=Finanzas[Movimiento])*($F242=Finanzas[Cuenta Contable])*(P$1=Finanzas[Mes Financiero])*(P$2=Finanzas[Año Financiero])*(Finanzas[Financiero U$S Dólares]))</f>
        <v>0</v>
      </c>
      <c r="Q242" s="387">
        <f>SUMPRODUCT(($C242=Finanzas[Movimiento])*($F242=Finanzas[Cuenta Contable])*(Q$1=Finanzas[Mes Financiero])*(Q$2=Finanzas[Año Financiero])*(Finanzas[Financiero U$S Dólares]))</f>
        <v>0</v>
      </c>
      <c r="R242" s="386">
        <f>SUMPRODUCT(($C242=Finanzas[Movimiento])*($F242=Finanzas[Cuenta Contable])*(R$1=Finanzas[Mes Financiero])*(R$2=Finanzas[Año Financiero])*(Finanzas[Financiero U$S Dólares]))</f>
        <v>0</v>
      </c>
      <c r="S242" s="387">
        <f>SUMPRODUCT(($C242=Finanzas[Movimiento])*($F242=Finanzas[Cuenta Contable])*(S$1=Finanzas[Mes Financiero])*(S$2=Finanzas[Año Financiero])*(Finanzas[Financiero U$S Dólares]))</f>
        <v>0</v>
      </c>
      <c r="T242" s="386">
        <f>SUMPRODUCT(($C242=Finanzas[Movimiento])*($F242=Finanzas[Cuenta Contable])*(T$1=Finanzas[Mes Financiero])*(T$2=Finanzas[Año Financiero])*(Finanzas[Financiero U$S Dólares]))</f>
        <v>0</v>
      </c>
      <c r="U242" s="387">
        <f>SUMPRODUCT(($C242=Finanzas[Movimiento])*($F242=Finanzas[Cuenta Contable])*(U$1=Finanzas[Mes Financiero])*(U$2=Finanzas[Año Financiero])*(Finanzas[Financiero U$S Dólares]))</f>
        <v>0</v>
      </c>
      <c r="V242" s="386">
        <f>SUMPRODUCT(($C242=Finanzas[Movimiento])*($F242=Finanzas[Cuenta Contable])*(V$1=Finanzas[Mes Financiero])*(V$2=Finanzas[Año Financiero])*(Finanzas[Financiero U$S Dólares]))</f>
        <v>0</v>
      </c>
      <c r="W242" s="387">
        <f>SUMPRODUCT(($C242=Finanzas[Movimiento])*($F242=Finanzas[Cuenta Contable])*(W$1=Finanzas[Mes Financiero])*(W$2=Finanzas[Año Financiero])*(Finanzas[Financiero U$S Dólares]))</f>
        <v>0</v>
      </c>
      <c r="X242" s="386">
        <f>SUMPRODUCT(($C242=Finanzas[Movimiento])*($F242=Finanzas[Cuenta Contable])*(X$1=Finanzas[Mes Financiero])*(X$2=Finanzas[Año Financiero])*(Finanzas[Financiero U$S Dólares]))</f>
        <v>0</v>
      </c>
      <c r="Y242" s="387">
        <f>SUMPRODUCT(($C242=Finanzas[Movimiento])*($F242=Finanzas[Cuenta Contable])*(Y$1=Finanzas[Mes Financiero])*(Y$2=Finanzas[Año Financiero])*(Finanzas[Financiero U$S Dólares]))</f>
        <v>0</v>
      </c>
      <c r="Z242" s="388">
        <f t="shared" si="46"/>
        <v>0</v>
      </c>
    </row>
    <row r="243" spans="2:26" x14ac:dyDescent="0.25">
      <c r="B243" s="166" t="s">
        <v>101</v>
      </c>
      <c r="C243" s="210" t="s">
        <v>38</v>
      </c>
      <c r="E243" s="221"/>
      <c r="F243" s="10" t="s">
        <v>299</v>
      </c>
      <c r="H243" s="284">
        <f>SUMPRODUCT((H$1=Producción_Agricola[Mes Financiero])*('Financiero U$S'!H$2=Producción_Agricola[Año Financiero])*(Producción_Agricola[Intereses U$S Dólares]))</f>
        <v>0</v>
      </c>
      <c r="I243" s="10">
        <f>SUMPRODUCT((I$1=Producción_Agricola[Mes Financiero])*('Financiero U$S'!I$2=Producción_Agricola[Año Financiero])*(Producción_Agricola[Intereses U$S Dólares]))</f>
        <v>0</v>
      </c>
      <c r="J243" s="284">
        <f>SUMPRODUCT((J$1=Producción_Agricola[Mes Financiero])*('Financiero U$S'!J$2=Producción_Agricola[Año Financiero])*(Producción_Agricola[Intereses U$S Dólares]))</f>
        <v>0</v>
      </c>
      <c r="K243" s="10">
        <f>SUMPRODUCT((K$1=Producción_Agricola[Mes Financiero])*('Financiero U$S'!K$2=Producción_Agricola[Año Financiero])*(Producción_Agricola[Intereses U$S Dólares]))</f>
        <v>0</v>
      </c>
      <c r="L243" s="284">
        <f>SUMPRODUCT((L$1=Producción_Agricola[Mes Financiero])*('Financiero U$S'!L$2=Producción_Agricola[Año Financiero])*(Producción_Agricola[Intereses U$S Dólares]))</f>
        <v>0</v>
      </c>
      <c r="M243" s="10">
        <f>SUMPRODUCT((M$1=Producción_Agricola[Mes Financiero])*('Financiero U$S'!M$2=Producción_Agricola[Año Financiero])*(Producción_Agricola[Intereses U$S Dólares]))</f>
        <v>0</v>
      </c>
      <c r="N243" s="284">
        <f>SUMPRODUCT((N$1=Producción_Agricola[Mes Financiero])*('Financiero U$S'!N$2=Producción_Agricola[Año Financiero])*(Producción_Agricola[Intereses U$S Dólares]))</f>
        <v>0</v>
      </c>
      <c r="O243" s="10">
        <f>SUMPRODUCT((O$1=Producción_Agricola[Mes Financiero])*('Financiero U$S'!O$2=Producción_Agricola[Año Financiero])*(Producción_Agricola[Intereses U$S Dólares]))</f>
        <v>0</v>
      </c>
      <c r="P243" s="284">
        <f>SUMPRODUCT((P$1=Producción_Agricola[Mes Financiero])*('Financiero U$S'!P$2=Producción_Agricola[Año Financiero])*(Producción_Agricola[Intereses U$S Dólares]))</f>
        <v>0</v>
      </c>
      <c r="Q243" s="10">
        <f>SUMPRODUCT((Q$1=Producción_Agricola[Mes Financiero])*('Financiero U$S'!Q$2=Producción_Agricola[Año Financiero])*(Producción_Agricola[Intereses U$S Dólares]))</f>
        <v>0</v>
      </c>
      <c r="R243" s="284">
        <f>SUMPRODUCT((R$1=Producción_Agricola[Mes Financiero])*('Financiero U$S'!R$2=Producción_Agricola[Año Financiero])*(Producción_Agricola[Intereses U$S Dólares]))</f>
        <v>0</v>
      </c>
      <c r="S243" s="10">
        <f>SUMPRODUCT((S$1=Producción_Agricola[Mes Financiero])*('Financiero U$S'!S$2=Producción_Agricola[Año Financiero])*(Producción_Agricola[Intereses U$S Dólares]))</f>
        <v>0</v>
      </c>
      <c r="T243" s="284">
        <f>SUMPRODUCT((T$1=Producción_Agricola[Mes Financiero])*('Financiero U$S'!T$2=Producción_Agricola[Año Financiero])*(Producción_Agricola[Intereses U$S Dólares]))</f>
        <v>0</v>
      </c>
      <c r="U243" s="10">
        <f>SUMPRODUCT((U$1=Producción_Agricola[Mes Financiero])*('Financiero U$S'!U$2=Producción_Agricola[Año Financiero])*(Producción_Agricola[Intereses U$S Dólares]))</f>
        <v>0</v>
      </c>
      <c r="V243" s="284">
        <f>SUMPRODUCT((V$1=Producción_Agricola[Mes Financiero])*('Financiero U$S'!V$2=Producción_Agricola[Año Financiero])*(Producción_Agricola[Intereses U$S Dólares]))</f>
        <v>0</v>
      </c>
      <c r="W243" s="10">
        <f>SUMPRODUCT((W$1=Producción_Agricola[Mes Financiero])*('Financiero U$S'!W$2=Producción_Agricola[Año Financiero])*(Producción_Agricola[Intereses U$S Dólares]))</f>
        <v>0</v>
      </c>
      <c r="X243" s="284">
        <f>SUMPRODUCT((X$1=Producción_Agricola[Mes Financiero])*('Financiero U$S'!X$2=Producción_Agricola[Año Financiero])*(Producción_Agricola[Intereses U$S Dólares]))</f>
        <v>0</v>
      </c>
      <c r="Y243" s="10">
        <f>SUMPRODUCT((Y$1=Producción_Agricola[Mes Financiero])*('Financiero U$S'!Y$2=Producción_Agricola[Año Financiero])*(Producción_Agricola[Intereses U$S Dólares]))</f>
        <v>0</v>
      </c>
      <c r="Z243" s="144">
        <f t="shared" si="45"/>
        <v>0</v>
      </c>
    </row>
    <row r="244" spans="2:26" x14ac:dyDescent="0.25">
      <c r="B244" s="175"/>
      <c r="C244" s="210" t="s">
        <v>38</v>
      </c>
      <c r="E244" s="221"/>
      <c r="F244" s="10" t="s">
        <v>300</v>
      </c>
      <c r="H244" s="284"/>
      <c r="I244" s="10"/>
      <c r="J244" s="284"/>
      <c r="K244" s="10"/>
      <c r="L244" s="284"/>
      <c r="M244" s="10"/>
      <c r="N244" s="284"/>
      <c r="O244" s="10"/>
      <c r="P244" s="284"/>
      <c r="Q244" s="10"/>
      <c r="R244" s="284"/>
      <c r="S244" s="10"/>
      <c r="T244" s="284"/>
      <c r="U244" s="10"/>
      <c r="V244" s="284"/>
      <c r="W244" s="10"/>
      <c r="X244" s="284"/>
      <c r="Y244" s="10"/>
      <c r="Z244" s="144">
        <f t="shared" si="45"/>
        <v>0</v>
      </c>
    </row>
    <row r="245" spans="2:26" x14ac:dyDescent="0.25">
      <c r="B245" s="175"/>
      <c r="C245" s="210" t="s">
        <v>38</v>
      </c>
      <c r="E245" s="221"/>
      <c r="F245" s="10" t="s">
        <v>342</v>
      </c>
      <c r="H245" s="284">
        <f>SUMPRODUCT((H$1=Producción_Ganadera[Mes Financiero])*('Financiero U$S'!H$2=Producción_Ganadera[Año Financiero])*(Producción_Ganadera[Intereses U$S Dólares]))</f>
        <v>0</v>
      </c>
      <c r="I245" s="10">
        <f>SUMPRODUCT((I$1=Producción_Ganadera[Mes Financiero])*('Financiero U$S'!I$2=Producción_Ganadera[Año Financiero])*(Producción_Ganadera[Intereses U$S Dólares]))</f>
        <v>0</v>
      </c>
      <c r="J245" s="284">
        <f>SUMPRODUCT((J$1=Producción_Ganadera[Mes Financiero])*('Financiero U$S'!J$2=Producción_Ganadera[Año Financiero])*(Producción_Ganadera[Intereses U$S Dólares]))</f>
        <v>0</v>
      </c>
      <c r="K245" s="10">
        <f>SUMPRODUCT((K$1=Producción_Ganadera[Mes Financiero])*('Financiero U$S'!K$2=Producción_Ganadera[Año Financiero])*(Producción_Ganadera[Intereses U$S Dólares]))</f>
        <v>0</v>
      </c>
      <c r="L245" s="284">
        <f>SUMPRODUCT((L$1=Producción_Ganadera[Mes Financiero])*('Financiero U$S'!L$2=Producción_Ganadera[Año Financiero])*(Producción_Ganadera[Intereses U$S Dólares]))</f>
        <v>0</v>
      </c>
      <c r="M245" s="10">
        <f>SUMPRODUCT((M$1=Producción_Ganadera[Mes Financiero])*('Financiero U$S'!M$2=Producción_Ganadera[Año Financiero])*(Producción_Ganadera[Intereses U$S Dólares]))</f>
        <v>0</v>
      </c>
      <c r="N245" s="284">
        <f>SUMPRODUCT((N$1=Producción_Ganadera[Mes Financiero])*('Financiero U$S'!N$2=Producción_Ganadera[Año Financiero])*(Producción_Ganadera[Intereses U$S Dólares]))</f>
        <v>0</v>
      </c>
      <c r="O245" s="10">
        <f>SUMPRODUCT((O$1=Producción_Ganadera[Mes Financiero])*('Financiero U$S'!O$2=Producción_Ganadera[Año Financiero])*(Producción_Ganadera[Intereses U$S Dólares]))</f>
        <v>0</v>
      </c>
      <c r="P245" s="284">
        <f>SUMPRODUCT((P$1=Producción_Ganadera[Mes Financiero])*('Financiero U$S'!P$2=Producción_Ganadera[Año Financiero])*(Producción_Ganadera[Intereses U$S Dólares]))</f>
        <v>0</v>
      </c>
      <c r="Q245" s="10">
        <f>SUMPRODUCT((Q$1=Producción_Ganadera[Mes Financiero])*('Financiero U$S'!Q$2=Producción_Ganadera[Año Financiero])*(Producción_Ganadera[Intereses U$S Dólares]))</f>
        <v>0</v>
      </c>
      <c r="R245" s="284">
        <f>SUMPRODUCT((R$1=Producción_Ganadera[Mes Financiero])*('Financiero U$S'!R$2=Producción_Ganadera[Año Financiero])*(Producción_Ganadera[Intereses U$S Dólares]))</f>
        <v>0</v>
      </c>
      <c r="S245" s="10">
        <f>SUMPRODUCT((S$1=Producción_Ganadera[Mes Financiero])*('Financiero U$S'!S$2=Producción_Ganadera[Año Financiero])*(Producción_Ganadera[Intereses U$S Dólares]))</f>
        <v>0</v>
      </c>
      <c r="T245" s="284">
        <f>SUMPRODUCT((T$1=Producción_Ganadera[Mes Financiero])*('Financiero U$S'!T$2=Producción_Ganadera[Año Financiero])*(Producción_Ganadera[Intereses U$S Dólares]))</f>
        <v>0</v>
      </c>
      <c r="U245" s="10">
        <f>SUMPRODUCT((U$1=Producción_Ganadera[Mes Financiero])*('Financiero U$S'!U$2=Producción_Ganadera[Año Financiero])*(Producción_Ganadera[Intereses U$S Dólares]))</f>
        <v>0</v>
      </c>
      <c r="V245" s="284">
        <f>SUMPRODUCT((V$1=Producción_Ganadera[Mes Financiero])*('Financiero U$S'!V$2=Producción_Ganadera[Año Financiero])*(Producción_Ganadera[Intereses U$S Dólares]))</f>
        <v>0</v>
      </c>
      <c r="W245" s="10">
        <f>SUMPRODUCT((W$1=Producción_Ganadera[Mes Financiero])*('Financiero U$S'!W$2=Producción_Ganadera[Año Financiero])*(Producción_Ganadera[Intereses U$S Dólares]))</f>
        <v>0</v>
      </c>
      <c r="X245" s="284">
        <f>SUMPRODUCT((X$1=Producción_Ganadera[Mes Financiero])*('Financiero U$S'!X$2=Producción_Ganadera[Año Financiero])*(Producción_Ganadera[Intereses U$S Dólares]))</f>
        <v>0</v>
      </c>
      <c r="Y245" s="10">
        <f>SUMPRODUCT((Y$1=Producción_Ganadera[Mes Financiero])*('Financiero U$S'!Y$2=Producción_Ganadera[Año Financiero])*(Producción_Ganadera[Intereses U$S Dólares]))</f>
        <v>0</v>
      </c>
      <c r="Z245" s="144">
        <f t="shared" si="45"/>
        <v>0</v>
      </c>
    </row>
    <row r="246" spans="2:26" x14ac:dyDescent="0.25">
      <c r="B246" s="175"/>
      <c r="C246" s="210" t="s">
        <v>38</v>
      </c>
      <c r="E246" s="221"/>
      <c r="F246" s="10" t="s">
        <v>343</v>
      </c>
      <c r="H246" s="284">
        <f>SUMPRODUCT((H$1=Producción_Lecheria[Mes Financiero])*('Financiero U$S'!H$2=Producción_Lecheria[Año Financiero])*(Producción_Lecheria[Intereses U$S Dólares]))</f>
        <v>0</v>
      </c>
      <c r="I246" s="10">
        <f>SUMPRODUCT((I$1=Producción_Lecheria[Mes Financiero])*('Financiero U$S'!I$2=Producción_Lecheria[Año Financiero])*(Producción_Lecheria[Intereses U$S Dólares]))</f>
        <v>0</v>
      </c>
      <c r="J246" s="284">
        <f>SUMPRODUCT((J$1=Producción_Lecheria[Mes Financiero])*('Financiero U$S'!J$2=Producción_Lecheria[Año Financiero])*(Producción_Lecheria[Intereses U$S Dólares]))</f>
        <v>0</v>
      </c>
      <c r="K246" s="10">
        <f>SUMPRODUCT((K$1=Producción_Lecheria[Mes Financiero])*('Financiero U$S'!K$2=Producción_Lecheria[Año Financiero])*(Producción_Lecheria[Intereses U$S Dólares]))</f>
        <v>0</v>
      </c>
      <c r="L246" s="284">
        <f>SUMPRODUCT((L$1=Producción_Lecheria[Mes Financiero])*('Financiero U$S'!L$2=Producción_Lecheria[Año Financiero])*(Producción_Lecheria[Intereses U$S Dólares]))</f>
        <v>0</v>
      </c>
      <c r="M246" s="10">
        <f>SUMPRODUCT((M$1=Producción_Lecheria[Mes Financiero])*('Financiero U$S'!M$2=Producción_Lecheria[Año Financiero])*(Producción_Lecheria[Intereses U$S Dólares]))</f>
        <v>0</v>
      </c>
      <c r="N246" s="284">
        <f>SUMPRODUCT((N$1=Producción_Lecheria[Mes Financiero])*('Financiero U$S'!N$2=Producción_Lecheria[Año Financiero])*(Producción_Lecheria[Intereses U$S Dólares]))</f>
        <v>0</v>
      </c>
      <c r="O246" s="10">
        <f>SUMPRODUCT((O$1=Producción_Lecheria[Mes Financiero])*('Financiero U$S'!O$2=Producción_Lecheria[Año Financiero])*(Producción_Lecheria[Intereses U$S Dólares]))</f>
        <v>0</v>
      </c>
      <c r="P246" s="284">
        <f>SUMPRODUCT((P$1=Producción_Lecheria[Mes Financiero])*('Financiero U$S'!P$2=Producción_Lecheria[Año Financiero])*(Producción_Lecheria[Intereses U$S Dólares]))</f>
        <v>0</v>
      </c>
      <c r="Q246" s="10">
        <f>SUMPRODUCT((Q$1=Producción_Lecheria[Mes Financiero])*('Financiero U$S'!Q$2=Producción_Lecheria[Año Financiero])*(Producción_Lecheria[Intereses U$S Dólares]))</f>
        <v>0</v>
      </c>
      <c r="R246" s="284">
        <f>SUMPRODUCT((R$1=Producción_Lecheria[Mes Financiero])*('Financiero U$S'!R$2=Producción_Lecheria[Año Financiero])*(Producción_Lecheria[Intereses U$S Dólares]))</f>
        <v>0</v>
      </c>
      <c r="S246" s="10">
        <f>SUMPRODUCT((S$1=Producción_Lecheria[Mes Financiero])*('Financiero U$S'!S$2=Producción_Lecheria[Año Financiero])*(Producción_Lecheria[Intereses U$S Dólares]))</f>
        <v>0</v>
      </c>
      <c r="T246" s="284">
        <f>SUMPRODUCT((T$1=Producción_Lecheria[Mes Financiero])*('Financiero U$S'!T$2=Producción_Lecheria[Año Financiero])*(Producción_Lecheria[Intereses U$S Dólares]))</f>
        <v>0</v>
      </c>
      <c r="U246" s="10">
        <f>SUMPRODUCT((U$1=Producción_Lecheria[Mes Financiero])*('Financiero U$S'!U$2=Producción_Lecheria[Año Financiero])*(Producción_Lecheria[Intereses U$S Dólares]))</f>
        <v>0</v>
      </c>
      <c r="V246" s="284">
        <f>SUMPRODUCT((V$1=Producción_Lecheria[Mes Financiero])*('Financiero U$S'!V$2=Producción_Lecheria[Año Financiero])*(Producción_Lecheria[Intereses U$S Dólares]))</f>
        <v>0</v>
      </c>
      <c r="W246" s="10">
        <f>SUMPRODUCT((W$1=Producción_Lecheria[Mes Financiero])*('Financiero U$S'!W$2=Producción_Lecheria[Año Financiero])*(Producción_Lecheria[Intereses U$S Dólares]))</f>
        <v>0</v>
      </c>
      <c r="X246" s="284">
        <f>SUMPRODUCT((X$1=Producción_Lecheria[Mes Financiero])*('Financiero U$S'!X$2=Producción_Lecheria[Año Financiero])*(Producción_Lecheria[Intereses U$S Dólares]))</f>
        <v>0</v>
      </c>
      <c r="Y246" s="10">
        <f>SUMPRODUCT((Y$1=Producción_Lecheria[Mes Financiero])*('Financiero U$S'!Y$2=Producción_Lecheria[Año Financiero])*(Producción_Lecheria[Intereses U$S Dólares]))</f>
        <v>0</v>
      </c>
      <c r="Z246" s="144">
        <f t="shared" si="45"/>
        <v>0</v>
      </c>
    </row>
    <row r="247" spans="2:26" x14ac:dyDescent="0.25">
      <c r="C247" s="210" t="s">
        <v>38</v>
      </c>
      <c r="E247" s="221"/>
      <c r="F247" s="10" t="s">
        <v>301</v>
      </c>
      <c r="H247" s="284">
        <f>SUMPRODUCT((H$1=Otras_Actividades_Base[Mes Financiero])*('Financiero U$S'!H$2=Otras_Actividades_Base[Año Financiero])*(Otras_Actividades_Base[Intereses U$S Dólares]))</f>
        <v>0</v>
      </c>
      <c r="I247" s="10">
        <f>SUMPRODUCT((I$1=Otras_Actividades_Base[Mes Financiero])*('Financiero U$S'!I$2=Otras_Actividades_Base[Año Financiero])*(Otras_Actividades_Base[Intereses U$S Dólares]))</f>
        <v>0</v>
      </c>
      <c r="J247" s="284">
        <f>SUMPRODUCT((J$1=Otras_Actividades_Base[Mes Financiero])*('Financiero U$S'!J$2=Otras_Actividades_Base[Año Financiero])*(Otras_Actividades_Base[Intereses U$S Dólares]))</f>
        <v>0</v>
      </c>
      <c r="K247" s="10">
        <f>SUMPRODUCT((K$1=Otras_Actividades_Base[Mes Financiero])*('Financiero U$S'!K$2=Otras_Actividades_Base[Año Financiero])*(Otras_Actividades_Base[Intereses U$S Dólares]))</f>
        <v>0</v>
      </c>
      <c r="L247" s="284">
        <f>SUMPRODUCT((L$1=Otras_Actividades_Base[Mes Financiero])*('Financiero U$S'!L$2=Otras_Actividades_Base[Año Financiero])*(Otras_Actividades_Base[Intereses U$S Dólares]))</f>
        <v>0</v>
      </c>
      <c r="M247" s="10">
        <f>SUMPRODUCT((M$1=Otras_Actividades_Base[Mes Financiero])*('Financiero U$S'!M$2=Otras_Actividades_Base[Año Financiero])*(Otras_Actividades_Base[Intereses U$S Dólares]))</f>
        <v>0</v>
      </c>
      <c r="N247" s="284">
        <f>SUMPRODUCT((N$1=Otras_Actividades_Base[Mes Financiero])*('Financiero U$S'!N$2=Otras_Actividades_Base[Año Financiero])*(Otras_Actividades_Base[Intereses U$S Dólares]))</f>
        <v>0</v>
      </c>
      <c r="O247" s="10">
        <f>SUMPRODUCT((O$1=Otras_Actividades_Base[Mes Financiero])*('Financiero U$S'!O$2=Otras_Actividades_Base[Año Financiero])*(Otras_Actividades_Base[Intereses U$S Dólares]))</f>
        <v>0</v>
      </c>
      <c r="P247" s="284">
        <f>SUMPRODUCT((P$1=Otras_Actividades_Base[Mes Financiero])*('Financiero U$S'!P$2=Otras_Actividades_Base[Año Financiero])*(Otras_Actividades_Base[Intereses U$S Dólares]))</f>
        <v>0</v>
      </c>
      <c r="Q247" s="10">
        <f>SUMPRODUCT((Q$1=Otras_Actividades_Base[Mes Financiero])*('Financiero U$S'!Q$2=Otras_Actividades_Base[Año Financiero])*(Otras_Actividades_Base[Intereses U$S Dólares]))</f>
        <v>0</v>
      </c>
      <c r="R247" s="284">
        <f>SUMPRODUCT((R$1=Otras_Actividades_Base[Mes Financiero])*('Financiero U$S'!R$2=Otras_Actividades_Base[Año Financiero])*(Otras_Actividades_Base[Intereses U$S Dólares]))</f>
        <v>0</v>
      </c>
      <c r="S247" s="10">
        <f>SUMPRODUCT((S$1=Otras_Actividades_Base[Mes Financiero])*('Financiero U$S'!S$2=Otras_Actividades_Base[Año Financiero])*(Otras_Actividades_Base[Intereses U$S Dólares]))</f>
        <v>0</v>
      </c>
      <c r="T247" s="284">
        <f>SUMPRODUCT((T$1=Otras_Actividades_Base[Mes Financiero])*('Financiero U$S'!T$2=Otras_Actividades_Base[Año Financiero])*(Otras_Actividades_Base[Intereses U$S Dólares]))</f>
        <v>0</v>
      </c>
      <c r="U247" s="10">
        <f>SUMPRODUCT((U$1=Otras_Actividades_Base[Mes Financiero])*('Financiero U$S'!U$2=Otras_Actividades_Base[Año Financiero])*(Otras_Actividades_Base[Intereses U$S Dólares]))</f>
        <v>0</v>
      </c>
      <c r="V247" s="284">
        <f>SUMPRODUCT((V$1=Otras_Actividades_Base[Mes Financiero])*('Financiero U$S'!V$2=Otras_Actividades_Base[Año Financiero])*(Otras_Actividades_Base[Intereses U$S Dólares]))</f>
        <v>0</v>
      </c>
      <c r="W247" s="10">
        <f>SUMPRODUCT((W$1=Otras_Actividades_Base[Mes Financiero])*('Financiero U$S'!W$2=Otras_Actividades_Base[Año Financiero])*(Otras_Actividades_Base[Intereses U$S Dólares]))</f>
        <v>0</v>
      </c>
      <c r="X247" s="284">
        <f>SUMPRODUCT((X$1=Otras_Actividades_Base[Mes Financiero])*('Financiero U$S'!X$2=Otras_Actividades_Base[Año Financiero])*(Otras_Actividades_Base[Intereses U$S Dólares]))</f>
        <v>0</v>
      </c>
      <c r="Y247" s="10">
        <f>SUMPRODUCT((Y$1=Otras_Actividades_Base[Mes Financiero])*('Financiero U$S'!Y$2=Otras_Actividades_Base[Año Financiero])*(Otras_Actividades_Base[Intereses U$S Dólares]))</f>
        <v>0</v>
      </c>
      <c r="Z247" s="144">
        <f t="shared" si="45"/>
        <v>0</v>
      </c>
    </row>
    <row r="248" spans="2:26" x14ac:dyDescent="0.25">
      <c r="C248" s="210" t="s">
        <v>38</v>
      </c>
      <c r="E248" s="221"/>
      <c r="F248" s="10" t="s">
        <v>302</v>
      </c>
      <c r="H248" s="284">
        <f>SUMPRODUCT((H$1=Indirectos[Mes Financiero])*('Financiero U$S'!H$2=Indirectos[Año Financiero])*(Indirectos[Intereses U$S Dólares]))</f>
        <v>0</v>
      </c>
      <c r="I248" s="10">
        <f>SUMPRODUCT((I$1=Indirectos[Mes Financiero])*('Financiero U$S'!I$2=Indirectos[Año Financiero])*(Indirectos[Intereses U$S Dólares]))</f>
        <v>0</v>
      </c>
      <c r="J248" s="284">
        <f>SUMPRODUCT((J$1=Indirectos[Mes Financiero])*('Financiero U$S'!J$2=Indirectos[Año Financiero])*(Indirectos[Intereses U$S Dólares]))</f>
        <v>0</v>
      </c>
      <c r="K248" s="10">
        <f>SUMPRODUCT((K$1=Indirectos[Mes Financiero])*('Financiero U$S'!K$2=Indirectos[Año Financiero])*(Indirectos[Intereses U$S Dólares]))</f>
        <v>0</v>
      </c>
      <c r="L248" s="284">
        <f>SUMPRODUCT((L$1=Indirectos[Mes Financiero])*('Financiero U$S'!L$2=Indirectos[Año Financiero])*(Indirectos[Intereses U$S Dólares]))</f>
        <v>0</v>
      </c>
      <c r="M248" s="10">
        <f>SUMPRODUCT((M$1=Indirectos[Mes Financiero])*('Financiero U$S'!M$2=Indirectos[Año Financiero])*(Indirectos[Intereses U$S Dólares]))</f>
        <v>0</v>
      </c>
      <c r="N248" s="284">
        <f>SUMPRODUCT((N$1=Indirectos[Mes Financiero])*('Financiero U$S'!N$2=Indirectos[Año Financiero])*(Indirectos[Intereses U$S Dólares]))</f>
        <v>0</v>
      </c>
      <c r="O248" s="10">
        <f>SUMPRODUCT((O$1=Indirectos[Mes Financiero])*('Financiero U$S'!O$2=Indirectos[Año Financiero])*(Indirectos[Intereses U$S Dólares]))</f>
        <v>0</v>
      </c>
      <c r="P248" s="284">
        <f>SUMPRODUCT((P$1=Indirectos[Mes Financiero])*('Financiero U$S'!P$2=Indirectos[Año Financiero])*(Indirectos[Intereses U$S Dólares]))</f>
        <v>0</v>
      </c>
      <c r="Q248" s="10">
        <f>SUMPRODUCT((Q$1=Indirectos[Mes Financiero])*('Financiero U$S'!Q$2=Indirectos[Año Financiero])*(Indirectos[Intereses U$S Dólares]))</f>
        <v>0</v>
      </c>
      <c r="R248" s="284">
        <f>SUMPRODUCT((R$1=Indirectos[Mes Financiero])*('Financiero U$S'!R$2=Indirectos[Año Financiero])*(Indirectos[Intereses U$S Dólares]))</f>
        <v>0</v>
      </c>
      <c r="S248" s="10">
        <f>SUMPRODUCT((S$1=Indirectos[Mes Financiero])*('Financiero U$S'!S$2=Indirectos[Año Financiero])*(Indirectos[Intereses U$S Dólares]))</f>
        <v>0</v>
      </c>
      <c r="T248" s="284">
        <f>SUMPRODUCT((T$1=Indirectos[Mes Financiero])*('Financiero U$S'!T$2=Indirectos[Año Financiero])*(Indirectos[Intereses U$S Dólares]))</f>
        <v>0</v>
      </c>
      <c r="U248" s="10">
        <f>SUMPRODUCT((U$1=Indirectos[Mes Financiero])*('Financiero U$S'!U$2=Indirectos[Año Financiero])*(Indirectos[Intereses U$S Dólares]))</f>
        <v>0</v>
      </c>
      <c r="V248" s="284">
        <f>SUMPRODUCT((V$1=Indirectos[Mes Financiero])*('Financiero U$S'!V$2=Indirectos[Año Financiero])*(Indirectos[Intereses U$S Dólares]))</f>
        <v>0</v>
      </c>
      <c r="W248" s="10">
        <f>SUMPRODUCT((W$1=Indirectos[Mes Financiero])*('Financiero U$S'!W$2=Indirectos[Año Financiero])*(Indirectos[Intereses U$S Dólares]))</f>
        <v>0</v>
      </c>
      <c r="X248" s="284">
        <f>SUMPRODUCT((X$1=Indirectos[Mes Financiero])*('Financiero U$S'!X$2=Indirectos[Año Financiero])*(Indirectos[Intereses U$S Dólares]))</f>
        <v>0</v>
      </c>
      <c r="Y248" s="10">
        <f>SUMPRODUCT((Y$1=Indirectos[Mes Financiero])*('Financiero U$S'!Y$2=Indirectos[Año Financiero])*(Indirectos[Intereses U$S Dólares]))</f>
        <v>0</v>
      </c>
      <c r="Z248" s="144">
        <f t="shared" si="45"/>
        <v>0</v>
      </c>
    </row>
    <row r="249" spans="2:26" x14ac:dyDescent="0.25">
      <c r="C249" s="210" t="s">
        <v>38</v>
      </c>
      <c r="E249" s="221"/>
      <c r="F249" s="10" t="s">
        <v>303</v>
      </c>
      <c r="H249" s="284">
        <f>SUMPRODUCT((H$1=Finanzas[Mes Financiero])*(H$2=Finanzas[Año Financiero])*(Finanzas[Financiero U$S Dólares]))-SUM(H232:H242)</f>
        <v>0</v>
      </c>
      <c r="I249" s="10">
        <f>SUMPRODUCT((I$1=Finanzas[Mes Financiero])*(I$2=Finanzas[Año Financiero])*(Finanzas[Financiero U$S Dólares]))-SUM(I232:I242)</f>
        <v>0</v>
      </c>
      <c r="J249" s="284">
        <f>SUMPRODUCT((J$1=Finanzas[Mes Financiero])*(J$2=Finanzas[Año Financiero])*(Finanzas[Financiero U$S Dólares]))-SUM(J232:J242)</f>
        <v>0</v>
      </c>
      <c r="K249" s="10">
        <f>SUMPRODUCT((K$1=Finanzas[Mes Financiero])*(K$2=Finanzas[Año Financiero])*(Finanzas[Financiero U$S Dólares]))-SUM(K232:K242)</f>
        <v>0</v>
      </c>
      <c r="L249" s="284">
        <f>SUMPRODUCT((L$1=Finanzas[Mes Financiero])*(L$2=Finanzas[Año Financiero])*(Finanzas[Financiero U$S Dólares]))-SUM(L232:L242)</f>
        <v>0</v>
      </c>
      <c r="M249" s="10">
        <f>SUMPRODUCT((M$1=Finanzas[Mes Financiero])*(M$2=Finanzas[Año Financiero])*(Finanzas[Financiero U$S Dólares]))-SUM(M232:M242)</f>
        <v>0</v>
      </c>
      <c r="N249" s="284">
        <f>SUMPRODUCT((N$1=Finanzas[Mes Financiero])*(N$2=Finanzas[Año Financiero])*(Finanzas[Financiero U$S Dólares]))-SUM(N232:N242)</f>
        <v>0</v>
      </c>
      <c r="O249" s="10">
        <f>SUMPRODUCT((O$1=Finanzas[Mes Financiero])*(O$2=Finanzas[Año Financiero])*(Finanzas[Financiero U$S Dólares]))-SUM(O232:O242)</f>
        <v>0</v>
      </c>
      <c r="P249" s="284">
        <f>SUMPRODUCT((P$1=Finanzas[Mes Financiero])*(P$2=Finanzas[Año Financiero])*(Finanzas[Financiero U$S Dólares]))-SUM(P232:P242)</f>
        <v>0</v>
      </c>
      <c r="Q249" s="10">
        <f>SUMPRODUCT((Q$1=Finanzas[Mes Financiero])*(Q$2=Finanzas[Año Financiero])*(Finanzas[Financiero U$S Dólares]))-SUM(Q232:Q242)</f>
        <v>0</v>
      </c>
      <c r="R249" s="284">
        <f>SUMPRODUCT((R$1=Finanzas[Mes Financiero])*(R$2=Finanzas[Año Financiero])*(Finanzas[Financiero U$S Dólares]))-SUM(R232:R242)</f>
        <v>0</v>
      </c>
      <c r="S249" s="10">
        <f>SUMPRODUCT((S$1=Finanzas[Mes Financiero])*(S$2=Finanzas[Año Financiero])*(Finanzas[Financiero U$S Dólares]))-SUM(S232:S242)</f>
        <v>0</v>
      </c>
      <c r="T249" s="284">
        <f>SUMPRODUCT((T$1=Finanzas[Mes Financiero])*(T$2=Finanzas[Año Financiero])*(Finanzas[Financiero U$S Dólares]))-SUM(T232:T242)</f>
        <v>0</v>
      </c>
      <c r="U249" s="10">
        <f>SUMPRODUCT((U$1=Finanzas[Mes Financiero])*(U$2=Finanzas[Año Financiero])*(Finanzas[Financiero U$S Dólares]))-SUM(U232:U242)</f>
        <v>0</v>
      </c>
      <c r="V249" s="284">
        <f>SUMPRODUCT((V$1=Finanzas[Mes Financiero])*(V$2=Finanzas[Año Financiero])*(Finanzas[Financiero U$S Dólares]))-SUM(V232:V242)</f>
        <v>0</v>
      </c>
      <c r="W249" s="10">
        <f>SUMPRODUCT((W$1=Finanzas[Mes Financiero])*(W$2=Finanzas[Año Financiero])*(Finanzas[Financiero U$S Dólares]))-SUM(W232:W242)</f>
        <v>0</v>
      </c>
      <c r="X249" s="284">
        <f>SUMPRODUCT((X$1=Finanzas[Mes Financiero])*(X$2=Finanzas[Año Financiero])*(Finanzas[Financiero U$S Dólares]))-SUM(X232:X242)</f>
        <v>0</v>
      </c>
      <c r="Y249" s="10">
        <f>SUMPRODUCT((Y$1=Finanzas[Mes Financiero])*(Y$2=Finanzas[Año Financiero])*(Finanzas[Financiero U$S Dólares]))-SUM(Y232:Y242)</f>
        <v>0</v>
      </c>
      <c r="Z249" s="144">
        <f t="shared" si="45"/>
        <v>0</v>
      </c>
    </row>
    <row r="250" spans="2:26" x14ac:dyDescent="0.25">
      <c r="D250" s="157" t="s">
        <v>297</v>
      </c>
      <c r="E250" s="158"/>
      <c r="F250" s="419"/>
      <c r="G250" s="160"/>
      <c r="H250" s="161">
        <f t="shared" ref="H250:Z250" si="47">H229+SUM(H232:H249)</f>
        <v>0</v>
      </c>
      <c r="I250" s="161">
        <f t="shared" si="47"/>
        <v>0</v>
      </c>
      <c r="J250" s="161">
        <f t="shared" si="47"/>
        <v>0</v>
      </c>
      <c r="K250" s="161">
        <f t="shared" si="47"/>
        <v>35909.090909090912</v>
      </c>
      <c r="L250" s="161">
        <f t="shared" si="47"/>
        <v>0</v>
      </c>
      <c r="M250" s="161">
        <f t="shared" si="47"/>
        <v>0</v>
      </c>
      <c r="N250" s="161">
        <f t="shared" si="47"/>
        <v>0</v>
      </c>
      <c r="O250" s="161">
        <f t="shared" si="47"/>
        <v>0</v>
      </c>
      <c r="P250" s="161">
        <f t="shared" si="47"/>
        <v>0</v>
      </c>
      <c r="Q250" s="161">
        <f t="shared" si="47"/>
        <v>0</v>
      </c>
      <c r="R250" s="161">
        <f t="shared" si="47"/>
        <v>0</v>
      </c>
      <c r="S250" s="161">
        <f t="shared" si="47"/>
        <v>0</v>
      </c>
      <c r="T250" s="161">
        <f t="shared" si="47"/>
        <v>0</v>
      </c>
      <c r="U250" s="161">
        <f t="shared" si="47"/>
        <v>0</v>
      </c>
      <c r="V250" s="161">
        <f t="shared" si="47"/>
        <v>0</v>
      </c>
      <c r="W250" s="161">
        <f t="shared" si="47"/>
        <v>0</v>
      </c>
      <c r="X250" s="161">
        <f t="shared" si="47"/>
        <v>0</v>
      </c>
      <c r="Y250" s="161">
        <f t="shared" si="47"/>
        <v>0</v>
      </c>
      <c r="Z250" s="161">
        <f t="shared" si="47"/>
        <v>35909.090909090912</v>
      </c>
    </row>
    <row r="251" spans="2:26" x14ac:dyDescent="0.25">
      <c r="D251" s="157" t="s">
        <v>298</v>
      </c>
      <c r="E251" s="158"/>
      <c r="F251" s="419"/>
      <c r="G251" s="160"/>
      <c r="H251" s="161">
        <f>H250</f>
        <v>0</v>
      </c>
      <c r="I251" s="161">
        <f>H251+I250</f>
        <v>0</v>
      </c>
      <c r="J251" s="161">
        <f t="shared" ref="J251" si="48">I251+J250</f>
        <v>0</v>
      </c>
      <c r="K251" s="161">
        <f t="shared" ref="K251" si="49">J251+K250</f>
        <v>35909.090909090912</v>
      </c>
      <c r="L251" s="161">
        <f t="shared" ref="L251" si="50">K251+L250</f>
        <v>35909.090909090912</v>
      </c>
      <c r="M251" s="161">
        <f t="shared" ref="M251" si="51">L251+M250</f>
        <v>35909.090909090912</v>
      </c>
      <c r="N251" s="161">
        <f t="shared" ref="N251" si="52">M251+N250</f>
        <v>35909.090909090912</v>
      </c>
      <c r="O251" s="161">
        <f t="shared" ref="O251" si="53">N251+O250</f>
        <v>35909.090909090912</v>
      </c>
      <c r="P251" s="161">
        <f t="shared" ref="P251" si="54">O251+P250</f>
        <v>35909.090909090912</v>
      </c>
      <c r="Q251" s="161">
        <f t="shared" ref="Q251" si="55">P251+Q250</f>
        <v>35909.090909090912</v>
      </c>
      <c r="R251" s="161">
        <f t="shared" ref="R251" si="56">Q251+R250</f>
        <v>35909.090909090912</v>
      </c>
      <c r="S251" s="161">
        <f t="shared" ref="S251" si="57">R251+S250</f>
        <v>35909.090909090912</v>
      </c>
      <c r="T251" s="161">
        <f t="shared" ref="T251" si="58">S251+T250</f>
        <v>35909.090909090912</v>
      </c>
      <c r="U251" s="161">
        <f t="shared" ref="U251" si="59">T251+U250</f>
        <v>35909.090909090912</v>
      </c>
      <c r="V251" s="161">
        <f t="shared" ref="V251" si="60">U251+V250</f>
        <v>35909.090909090912</v>
      </c>
      <c r="W251" s="161">
        <f t="shared" ref="W251" si="61">V251+W250</f>
        <v>35909.090909090912</v>
      </c>
      <c r="X251" s="161">
        <f t="shared" ref="X251" si="62">W251+X250</f>
        <v>35909.090909090912</v>
      </c>
      <c r="Y251" s="161">
        <f t="shared" ref="Y251" si="63">X251+Y250</f>
        <v>35909.090909090912</v>
      </c>
      <c r="Z251" s="162"/>
    </row>
  </sheetData>
  <mergeCells count="1">
    <mergeCell ref="Z1:Z2"/>
  </mergeCells>
  <conditionalFormatting sqref="AB4">
    <cfRule type="cellIs" dxfId="1162" priority="33" operator="equal">
      <formula>FALSE</formula>
    </cfRule>
    <cfRule type="cellIs" dxfId="1161" priority="34" operator="equal">
      <formula>TRUE</formula>
    </cfRule>
  </conditionalFormatting>
  <conditionalFormatting sqref="AB16">
    <cfRule type="cellIs" dxfId="1160" priority="31" operator="equal">
      <formula>FALSE</formula>
    </cfRule>
    <cfRule type="cellIs" dxfId="1159" priority="32" operator="equal">
      <formula>TRUE</formula>
    </cfRule>
  </conditionalFormatting>
  <conditionalFormatting sqref="AB31">
    <cfRule type="cellIs" dxfId="1158" priority="29" operator="equal">
      <formula>FALSE</formula>
    </cfRule>
    <cfRule type="cellIs" dxfId="1157" priority="30" operator="equal">
      <formula>TRUE</formula>
    </cfRule>
  </conditionalFormatting>
  <conditionalFormatting sqref="AB116">
    <cfRule type="cellIs" dxfId="1156" priority="27" operator="equal">
      <formula>FALSE</formula>
    </cfRule>
    <cfRule type="cellIs" dxfId="1155" priority="28" operator="equal">
      <formula>TRUE</formula>
    </cfRule>
  </conditionalFormatting>
  <conditionalFormatting sqref="C1:C13 C192:C201 C16:C27 C30:C42 C102:C115 C142:C164 C117:C140 C222:C224 C226:C228 C50:C77 C185:C190 C79:C100 C216 C203:C214 C231 C252:C1048576">
    <cfRule type="cellIs" dxfId="1154" priority="26" operator="equal">
      <formula>"""Ingreso"""</formula>
    </cfRule>
  </conditionalFormatting>
  <conditionalFormatting sqref="C14:C15">
    <cfRule type="cellIs" dxfId="1153" priority="24" operator="equal">
      <formula>"""Ingreso"""</formula>
    </cfRule>
  </conditionalFormatting>
  <conditionalFormatting sqref="C28:C29">
    <cfRule type="cellIs" dxfId="1152" priority="23" operator="equal">
      <formula>"""Ingreso"""</formula>
    </cfRule>
  </conditionalFormatting>
  <conditionalFormatting sqref="C43:C44">
    <cfRule type="cellIs" dxfId="1151" priority="22" operator="equal">
      <formula>"""Ingreso"""</formula>
    </cfRule>
  </conditionalFormatting>
  <conditionalFormatting sqref="C221">
    <cfRule type="cellIs" dxfId="1150" priority="21" operator="equal">
      <formula>"""Ingreso"""</formula>
    </cfRule>
  </conditionalFormatting>
  <conditionalFormatting sqref="C225">
    <cfRule type="cellIs" dxfId="1149" priority="20" operator="equal">
      <formula>"""Ingreso"""</formula>
    </cfRule>
  </conditionalFormatting>
  <conditionalFormatting sqref="C217:C220">
    <cfRule type="cellIs" dxfId="1148" priority="19" operator="equal">
      <formula>"""Ingreso"""</formula>
    </cfRule>
  </conditionalFormatting>
  <conditionalFormatting sqref="C45:C48">
    <cfRule type="cellIs" dxfId="1147" priority="18" operator="equal">
      <formula>"""Ingreso"""</formula>
    </cfRule>
  </conditionalFormatting>
  <conditionalFormatting sqref="C49">
    <cfRule type="cellIs" dxfId="1146" priority="17" operator="equal">
      <formula>"""Ingreso"""</formula>
    </cfRule>
  </conditionalFormatting>
  <conditionalFormatting sqref="C173:C182 C184">
    <cfRule type="cellIs" dxfId="1145" priority="16" operator="equal">
      <formula>"""Ingreso"""</formula>
    </cfRule>
  </conditionalFormatting>
  <conditionalFormatting sqref="C165:C171">
    <cfRule type="cellIs" dxfId="1144" priority="15" operator="equal">
      <formula>"""Ingreso"""</formula>
    </cfRule>
  </conditionalFormatting>
  <conditionalFormatting sqref="C183">
    <cfRule type="cellIs" dxfId="1143" priority="14" operator="equal">
      <formula>"""Ingreso"""</formula>
    </cfRule>
  </conditionalFormatting>
  <conditionalFormatting sqref="C202">
    <cfRule type="cellIs" dxfId="1142" priority="13" operator="equal">
      <formula>"""Ingreso"""</formula>
    </cfRule>
  </conditionalFormatting>
  <conditionalFormatting sqref="C215">
    <cfRule type="cellIs" dxfId="1141" priority="11" operator="equal">
      <formula>"""Ingreso"""</formula>
    </cfRule>
  </conditionalFormatting>
  <conditionalFormatting sqref="C229">
    <cfRule type="cellIs" dxfId="1140" priority="10" operator="equal">
      <formula>"""Ingreso"""</formula>
    </cfRule>
  </conditionalFormatting>
  <conditionalFormatting sqref="C230">
    <cfRule type="cellIs" dxfId="1139" priority="9" operator="equal">
      <formula>"""Ingreso"""</formula>
    </cfRule>
  </conditionalFormatting>
  <conditionalFormatting sqref="C250">
    <cfRule type="cellIs" dxfId="1138" priority="8" operator="equal">
      <formula>"""Ingreso"""</formula>
    </cfRule>
  </conditionalFormatting>
  <conditionalFormatting sqref="C251">
    <cfRule type="cellIs" dxfId="1137" priority="7" operator="equal">
      <formula>"""Ingreso"""</formula>
    </cfRule>
  </conditionalFormatting>
  <conditionalFormatting sqref="C232">
    <cfRule type="cellIs" dxfId="1136" priority="6" operator="equal">
      <formula>"""Ingreso"""</formula>
    </cfRule>
  </conditionalFormatting>
  <conditionalFormatting sqref="C233">
    <cfRule type="cellIs" dxfId="1135" priority="5" operator="equal">
      <formula>"""Ingreso"""</formula>
    </cfRule>
  </conditionalFormatting>
  <conditionalFormatting sqref="C238:C242">
    <cfRule type="cellIs" dxfId="1134" priority="3" operator="equal">
      <formula>"""Ingreso"""</formula>
    </cfRule>
  </conditionalFormatting>
  <conditionalFormatting sqref="C243:C249">
    <cfRule type="cellIs" dxfId="1133" priority="2" operator="equal">
      <formula>"""Ingreso"""</formula>
    </cfRule>
  </conditionalFormatting>
  <conditionalFormatting sqref="C234:C237">
    <cfRule type="cellIs" dxfId="1132" priority="1" operator="equal">
      <formula>"""Ingreso"""</formula>
    </cfRule>
  </conditionalFormatting>
  <dataValidations count="12">
    <dataValidation type="list" allowBlank="1" showInputMessage="1" showErrorMessage="1" sqref="H1">
      <formula1>"1,2,3,4,5,6,7,8,9,10,11,12"</formula1>
    </dataValidation>
    <dataValidation type="list" allowBlank="1" showInputMessage="1" showErrorMessage="1" sqref="G68:G77 G5:G14">
      <formula1>Producto_Agricola</formula1>
    </dataValidation>
    <dataValidation type="list" allowBlank="1" showInputMessage="1" showErrorMessage="1" sqref="F164 E217:E220 F78:F87 F114 E186:E190 E89:E100 F139 E166:E171">
      <formula1>Cuentas_Comerciales_Granos</formula1>
    </dataValidation>
    <dataValidation type="list" allowBlank="1" showInputMessage="1" showErrorMessage="1" sqref="C102:C115 C117:C140 C1:C77 C173:C190 C142:C171 C79:C100 C192:C1048576">
      <formula1>Movimiento</formula1>
    </dataValidation>
    <dataValidation type="list" allowBlank="1" showInputMessage="1" showErrorMessage="1" sqref="F16 F116 F129:F138">
      <formula1>Cuentas_Ganaderas</formula1>
    </dataValidation>
    <dataValidation type="list" allowBlank="1" showInputMessage="1" showErrorMessage="1" sqref="G154:G165 G117:G129 G141 G185 G17:G28">
      <formula1>Categoria_Hacienda</formula1>
    </dataValidation>
    <dataValidation type="list" allowBlank="1" showInputMessage="1" showErrorMessage="1" sqref="F30:F31 F141 F154:F163">
      <formula1>Cuentas_Lecheria</formula1>
    </dataValidation>
    <dataValidation type="list" allowBlank="1" showInputMessage="1" showErrorMessage="1" sqref="G221 G225 G32:G43">
      <formula1>Categorias_Hacienda_Lecheria</formula1>
    </dataValidation>
    <dataValidation type="list" allowBlank="1" showInputMessage="1" showErrorMessage="1" sqref="F101:F113">
      <formula1>Cuentas_Agricolas</formula1>
    </dataValidation>
    <dataValidation type="list" allowBlank="1" showInputMessage="1" showErrorMessage="1" sqref="F191:F216">
      <formula1>Indirectos_Cuentas</formula1>
    </dataValidation>
    <dataValidation type="list" allowBlank="1" showInputMessage="1" showErrorMessage="1" sqref="G186:G190">
      <formula1>Actividades_Indirectos</formula1>
    </dataValidation>
    <dataValidation type="list" allowBlank="1" showInputMessage="1" showErrorMessage="1" sqref="F45:F48">
      <formula1>Otras_Cuentas</formula1>
    </dataValidation>
  </dataValidations>
  <hyperlinks>
    <hyperlink ref="F4" location="COM_AGR_Ventas" display="Venta de Granos"/>
    <hyperlink ref="F16" location="GAN_Ventas" display="GAN_Ventas"/>
    <hyperlink ref="F116" location="GAN_Compra_Hacienda" display="Compra Hacienda"/>
    <hyperlink ref="F129" location="GAN_Personal" display="Personal"/>
    <hyperlink ref="F130" location="GAN_Personal" display="Cargas Sociales"/>
    <hyperlink ref="F131" location="GAN_Personal" display="Cargas Sociales"/>
    <hyperlink ref="F132" location="GAN_Sanidad" display="Sanidad Productos"/>
    <hyperlink ref="F133" location="GAN_Sanidad" display="Sanidad Productos"/>
    <hyperlink ref="F134" location="GAN_Alimentacion" display="Alimentación"/>
    <hyperlink ref="F135" location="GAN_Suplementacion" display="Suplementación"/>
    <hyperlink ref="F136" location="GAN_Gerenciamiento" display="Gerenciamiento"/>
    <hyperlink ref="F137" location="GAN_Arrendamientos" display="Arrendamiento"/>
    <hyperlink ref="F232" location="FIN_A" display="FIN_A"/>
    <hyperlink ref="F233:F238" location="FIN_A" display="FIN_A"/>
    <hyperlink ref="F233" location="FIN_B" display="FIN_B"/>
    <hyperlink ref="F234" location="FIN_C" display="FIN_C"/>
    <hyperlink ref="F238" location="FIN_D" display="FIN_D"/>
    <hyperlink ref="D232" location="Finanzas!A1" display="Finanzas"/>
    <hyperlink ref="D4" location="'Com. Agrícola'!A1" display="Com. Agrícola"/>
    <hyperlink ref="D16" location="Ganadería!A1" display="Ganadería"/>
    <hyperlink ref="D30" location="Lechería!A1" display="Lechería"/>
    <hyperlink ref="D45" location="'Otras Actividades'!A1" display="Otras Actividades"/>
    <hyperlink ref="D67" location="'Com. Agrícola'!A1" display="Com. Agrícola"/>
    <hyperlink ref="D88" location="'Prod. Agrícola'!A1" display="Prod. Agrícola"/>
    <hyperlink ref="D115" location="Ganadería!A1" display="Ganadería"/>
    <hyperlink ref="D140" location="Lechería!A1" display="Lechería"/>
    <hyperlink ref="D165" location="'Otras Actividades'!A1" display="Otras Actividades"/>
    <hyperlink ref="D185" location="Indirectos!A1" display="Indirectos"/>
  </hyperlink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Configuración!$AC$8</xm:f>
          </x14:formula1>
          <xm:sqref>F4</xm:sqref>
        </x14:dataValidation>
        <x14:dataValidation type="list" allowBlank="1" showInputMessage="1" showErrorMessage="1">
          <x14:formula1>
            <xm:f>Configuración!$BW$5:$BW$9</xm:f>
          </x14:formula1>
          <xm:sqref>G166 G167 G168 G169 G170 G171</xm:sqref>
        </x14:dataValidation>
        <x14:dataValidation type="list" allowBlank="1" showInputMessage="1" showErrorMessage="1">
          <x14:formula1>
            <xm:f>Configuración!$BY$5:$BY$25</xm:f>
          </x14:formula1>
          <xm:sqref>F172 F173:F184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254"/>
  <sheetViews>
    <sheetView showGridLines="0" zoomScale="80" zoomScaleNormal="80" workbookViewId="0">
      <pane ySplit="6" topLeftCell="A7" activePane="bottomLeft" state="frozen"/>
      <selection pane="bottomLeft" activeCell="J185" sqref="J185"/>
    </sheetView>
  </sheetViews>
  <sheetFormatPr baseColWidth="10" defaultRowHeight="15" x14ac:dyDescent="0.25"/>
  <cols>
    <col min="1" max="1" width="1.28515625" customWidth="1"/>
    <col min="2" max="2" width="3" style="183" customWidth="1"/>
    <col min="3" max="3" width="0.85546875" customWidth="1"/>
    <col min="4" max="4" width="4.28515625" bestFit="1" customWidth="1"/>
    <col min="5" max="5" width="32.5703125" customWidth="1"/>
    <col min="6" max="9" width="11.5703125" style="124" customWidth="1"/>
    <col min="10" max="14" width="11" style="124" customWidth="1"/>
    <col min="15" max="15" width="11.7109375" style="124" customWidth="1"/>
    <col min="16" max="16" width="11" style="124" customWidth="1"/>
    <col min="17" max="17" width="11" customWidth="1"/>
    <col min="18" max="18" width="12.28515625" customWidth="1"/>
    <col min="21" max="21" width="6.7109375" customWidth="1"/>
    <col min="22" max="22" width="4.42578125" style="98" customWidth="1"/>
    <col min="23" max="23" width="2.28515625" customWidth="1"/>
    <col min="24" max="24" width="3" style="406" customWidth="1"/>
    <col min="25" max="25" width="0.85546875" customWidth="1"/>
    <col min="26" max="26" width="4.28515625" bestFit="1" customWidth="1"/>
    <col min="27" max="27" width="32.5703125" style="32" customWidth="1"/>
    <col min="28" max="31" width="11.5703125" style="124" customWidth="1"/>
    <col min="32" max="35" width="11" style="124" customWidth="1"/>
    <col min="36" max="36" width="12.7109375" style="124" customWidth="1"/>
    <col min="37" max="37" width="11.7109375" style="124" customWidth="1"/>
    <col min="38" max="38" width="12.28515625" style="124" bestFit="1" customWidth="1"/>
    <col min="39" max="39" width="11" customWidth="1"/>
    <col min="40" max="40" width="12.28515625" customWidth="1"/>
    <col min="43" max="43" width="6.7109375" customWidth="1"/>
    <col min="44" max="44" width="4.42578125" style="98" customWidth="1"/>
    <col min="45" max="45" width="2.28515625" customWidth="1"/>
    <col min="46" max="46" width="3" style="463" customWidth="1"/>
    <col min="47" max="47" width="0.85546875" customWidth="1"/>
    <col min="48" max="48" width="4.28515625" bestFit="1" customWidth="1"/>
    <col min="49" max="49" width="32.5703125" style="32" customWidth="1"/>
    <col min="50" max="53" width="11.5703125" style="124" customWidth="1"/>
    <col min="54" max="57" width="11" style="124" customWidth="1"/>
    <col min="58" max="58" width="12.7109375" style="124" customWidth="1"/>
    <col min="59" max="59" width="11.7109375" style="124" customWidth="1"/>
    <col min="60" max="60" width="12.28515625" style="124" bestFit="1" customWidth="1"/>
    <col min="61" max="61" width="11" customWidth="1"/>
    <col min="62" max="62" width="12.28515625" customWidth="1"/>
    <col min="65" max="65" width="6.7109375" customWidth="1"/>
  </cols>
  <sheetData>
    <row r="1" spans="2:64" x14ac:dyDescent="0.25">
      <c r="B1" s="192"/>
    </row>
    <row r="2" spans="2:64" ht="18.75" x14ac:dyDescent="0.3">
      <c r="B2" s="406"/>
      <c r="D2" s="451" t="s">
        <v>432</v>
      </c>
      <c r="Z2" s="451" t="s">
        <v>433</v>
      </c>
      <c r="AV2" s="451" t="s">
        <v>519</v>
      </c>
    </row>
    <row r="3" spans="2:64" x14ac:dyDescent="0.25">
      <c r="B3" s="406"/>
    </row>
    <row r="4" spans="2:64" x14ac:dyDescent="0.25">
      <c r="D4" s="70" t="s">
        <v>315</v>
      </c>
      <c r="E4" s="239" t="s">
        <v>0</v>
      </c>
      <c r="F4" s="193" t="s">
        <v>2</v>
      </c>
      <c r="Z4" s="70" t="s">
        <v>315</v>
      </c>
      <c r="AA4" s="452" t="s">
        <v>0</v>
      </c>
      <c r="AB4" s="193"/>
      <c r="AV4" s="70" t="s">
        <v>315</v>
      </c>
      <c r="AW4" s="452" t="s">
        <v>0</v>
      </c>
      <c r="AX4" s="193"/>
    </row>
    <row r="5" spans="2:64" x14ac:dyDescent="0.25">
      <c r="D5" s="70" t="s">
        <v>315</v>
      </c>
      <c r="E5" s="240" t="s">
        <v>4</v>
      </c>
      <c r="F5" s="235" t="s">
        <v>11</v>
      </c>
      <c r="Z5" s="70" t="s">
        <v>315</v>
      </c>
      <c r="AA5" s="453" t="s">
        <v>4</v>
      </c>
      <c r="AB5" s="235" t="s">
        <v>11</v>
      </c>
      <c r="AV5" s="70" t="s">
        <v>315</v>
      </c>
      <c r="AW5" s="453" t="s">
        <v>4</v>
      </c>
      <c r="AX5" s="235" t="s">
        <v>11</v>
      </c>
    </row>
    <row r="8" spans="2:64" x14ac:dyDescent="0.25">
      <c r="B8" s="192"/>
      <c r="D8" s="311" t="s">
        <v>325</v>
      </c>
      <c r="E8" s="311"/>
      <c r="F8" s="312"/>
      <c r="G8" s="288"/>
      <c r="H8" s="314" t="s">
        <v>250</v>
      </c>
      <c r="I8" s="315"/>
      <c r="J8" s="313" t="s">
        <v>52</v>
      </c>
      <c r="K8" s="306" t="s">
        <v>323</v>
      </c>
      <c r="L8" s="307" t="s">
        <v>88</v>
      </c>
      <c r="N8" s="314" t="s">
        <v>165</v>
      </c>
      <c r="O8" s="314"/>
      <c r="R8" s="314" t="s">
        <v>164</v>
      </c>
      <c r="S8" s="314"/>
      <c r="T8" s="124"/>
      <c r="Z8" s="311" t="s">
        <v>325</v>
      </c>
      <c r="AA8" s="454"/>
      <c r="AB8" s="312"/>
      <c r="AC8" s="288"/>
      <c r="AD8" s="314" t="s">
        <v>250</v>
      </c>
      <c r="AE8" s="315"/>
      <c r="AF8" s="313" t="s">
        <v>52</v>
      </c>
      <c r="AG8" s="306" t="s">
        <v>323</v>
      </c>
      <c r="AH8" s="307" t="s">
        <v>88</v>
      </c>
      <c r="AJ8" s="314" t="s">
        <v>165</v>
      </c>
      <c r="AK8" s="314"/>
      <c r="AN8" s="314" t="s">
        <v>164</v>
      </c>
      <c r="AO8" s="314"/>
      <c r="AP8" s="124"/>
      <c r="AV8" s="311" t="s">
        <v>325</v>
      </c>
      <c r="AW8" s="454"/>
      <c r="AX8" s="312"/>
      <c r="AY8" s="288"/>
      <c r="AZ8" s="314" t="s">
        <v>250</v>
      </c>
      <c r="BA8" s="315"/>
      <c r="BB8" s="313" t="s">
        <v>52</v>
      </c>
      <c r="BC8" s="306" t="s">
        <v>323</v>
      </c>
      <c r="BD8" s="307" t="s">
        <v>88</v>
      </c>
      <c r="BF8" s="314" t="s">
        <v>165</v>
      </c>
      <c r="BG8" s="314"/>
      <c r="BJ8" s="314" t="s">
        <v>164</v>
      </c>
      <c r="BK8" s="314"/>
      <c r="BL8" s="124"/>
    </row>
    <row r="9" spans="2:64" x14ac:dyDescent="0.25">
      <c r="B9" s="192"/>
      <c r="D9" s="289" t="s">
        <v>250</v>
      </c>
      <c r="E9" s="290"/>
      <c r="F9" s="297">
        <f>SUMPRODUCT(($F$4=Producción_Agricola[C. Costo Reporte])*(Producción_Agricola[Campaña]=Económico!$F$5)*(Producción_Agricola[Económico U$S Dólares]))</f>
        <v>0</v>
      </c>
      <c r="G9" s="288"/>
      <c r="H9" s="305" t="s">
        <v>321</v>
      </c>
      <c r="I9" s="302"/>
      <c r="J9" s="308">
        <f>SUM(F64:Q64)</f>
        <v>0</v>
      </c>
      <c r="K9" s="308">
        <f>IFERROR(J9/SUM($F$61:$Q$61),0)</f>
        <v>0</v>
      </c>
      <c r="L9" s="309">
        <f>IFERROR(J9/SUM($F$62:$Q$62),0)</f>
        <v>0</v>
      </c>
      <c r="N9" s="304" t="str">
        <f>Tabla283132[[#Headers],[Stock Inicio]]</f>
        <v>Stock Inicio</v>
      </c>
      <c r="O9" s="301"/>
      <c r="P9" s="442">
        <f>Tabla283132[[#Totals],[Stock Inicio]]</f>
        <v>0</v>
      </c>
      <c r="R9" s="304" t="str">
        <f>Tabla283132[[#Headers],[Stock Inicio]]</f>
        <v>Stock Inicio</v>
      </c>
      <c r="S9" s="301"/>
      <c r="T9" s="442">
        <f>Tabla28313234[[#Totals],[Stock Inicio]]</f>
        <v>0</v>
      </c>
      <c r="Z9" s="289" t="s">
        <v>250</v>
      </c>
      <c r="AA9" s="455"/>
      <c r="AB9" s="297">
        <f>SUMPRODUCT(($F$4=Producción_Agricola[C. Costo Reporte])*(Producción_Agricola[Campaña]=Económico!$F$5)*(Producción_Agricola[Económico $Corrientes]))</f>
        <v>0</v>
      </c>
      <c r="AC9" s="288"/>
      <c r="AD9" s="305" t="s">
        <v>321</v>
      </c>
      <c r="AE9" s="302"/>
      <c r="AF9" s="308">
        <f>SUM(AB64:AM64)</f>
        <v>0</v>
      </c>
      <c r="AG9" s="308">
        <f>IFERROR(AF9/SUM($F$61:$Q$61),0)</f>
        <v>0</v>
      </c>
      <c r="AH9" s="309">
        <f>IFERROR(AF9/SUM($F$62:$Q$62),0)</f>
        <v>0</v>
      </c>
      <c r="AJ9" s="304" t="str">
        <f>Tabla28313243[[#Headers],[Stock Inicio]]</f>
        <v>Stock Inicio</v>
      </c>
      <c r="AK9" s="301"/>
      <c r="AL9" s="442">
        <f>Tabla28313243[[#Totals],[Stock Inicio]]</f>
        <v>0</v>
      </c>
      <c r="AN9" s="304" t="str">
        <f>Tabla28313243[[#Headers],[Stock Inicio]]</f>
        <v>Stock Inicio</v>
      </c>
      <c r="AO9" s="301"/>
      <c r="AP9" s="442">
        <f>Tabla2831323445[[#Totals],[Stock Inicio]]</f>
        <v>0</v>
      </c>
      <c r="AV9" s="289" t="s">
        <v>250</v>
      </c>
      <c r="AW9" s="455"/>
      <c r="AX9" s="297">
        <f>SUMPRODUCT(($F$4=Producción_Agricola[C. Costo Reporte])*(Producción_Agricola[Campaña]=Económico!$F$5)*(Producción_Agricola[Económico $Constantes]))</f>
        <v>0</v>
      </c>
      <c r="AY9" s="288"/>
      <c r="AZ9" s="305" t="s">
        <v>321</v>
      </c>
      <c r="BA9" s="302"/>
      <c r="BB9" s="308">
        <f>SUM(AX64:BI64)</f>
        <v>0</v>
      </c>
      <c r="BC9" s="308">
        <f>IFERROR(BB9/SUM($F$61:$Q$61),0)</f>
        <v>0</v>
      </c>
      <c r="BD9" s="309">
        <f>IFERROR(BB9/SUM($F$62:$Q$62),0)</f>
        <v>0</v>
      </c>
      <c r="BF9" s="304" t="str">
        <f>Tabla2831324352[[#Headers],[Stock Inicio]]</f>
        <v>Stock Inicio</v>
      </c>
      <c r="BG9" s="301"/>
      <c r="BH9" s="442">
        <f>Tabla2831324352[[#Totals],[Stock Inicio]]</f>
        <v>0</v>
      </c>
      <c r="BJ9" s="304" t="str">
        <f>Tabla2831324352[[#Headers],[Stock Inicio]]</f>
        <v>Stock Inicio</v>
      </c>
      <c r="BK9" s="301"/>
      <c r="BL9" s="442">
        <f>Tabla283132344554[[#Totals],[Stock Inicio]]</f>
        <v>0</v>
      </c>
    </row>
    <row r="10" spans="2:64" x14ac:dyDescent="0.25">
      <c r="B10" s="192"/>
      <c r="D10" s="291" t="s">
        <v>308</v>
      </c>
      <c r="E10" s="19"/>
      <c r="F10" s="298">
        <f>IF(ISTEXT(F4)=TRUE,0,SUMPRODUCT((Comercial_Agricola[Campaña]=Económico!$F$5)*(Comercial_Agricola[Económico U$S Dólares])))</f>
        <v>0</v>
      </c>
      <c r="G10" s="288"/>
      <c r="H10" s="305" t="s">
        <v>305</v>
      </c>
      <c r="I10" s="302"/>
      <c r="J10" s="308">
        <f>-SUM(F65:Q65)</f>
        <v>0</v>
      </c>
      <c r="K10" s="308">
        <f>IFERROR(J10/SUM($F$61:$Q$61),0)</f>
        <v>0</v>
      </c>
      <c r="L10" s="309">
        <f>IFERROR(J10/SUM($F$62:$Q$62),0)</f>
        <v>0</v>
      </c>
      <c r="N10" s="303" t="str">
        <f>Tabla283132[[#Headers],[Stock Inicio (Cierre)]]</f>
        <v>Stock Inicio (Cierre)</v>
      </c>
      <c r="O10" s="302"/>
      <c r="P10" s="443">
        <f>Tabla283132[[#Totals],[Stock Inicio (Cierre)]]</f>
        <v>0</v>
      </c>
      <c r="R10" s="303" t="str">
        <f>Tabla283132[[#Headers],[Stock Inicio (Cierre)]]</f>
        <v>Stock Inicio (Cierre)</v>
      </c>
      <c r="S10" s="302"/>
      <c r="T10" s="443">
        <f>Tabla28313234[[#Totals],[Stock Inicio (Cierre)]]</f>
        <v>0</v>
      </c>
      <c r="Z10" s="291" t="s">
        <v>308</v>
      </c>
      <c r="AA10" s="41"/>
      <c r="AB10" s="298">
        <f>IF(ISTEXT(AB4)=TRUE,0,SUMPRODUCT((Comercial_Agricola[Campaña]=Económico!$F$5)*(Comercial_Agricola[Económico $Corrientes])))</f>
        <v>0</v>
      </c>
      <c r="AC10" s="288"/>
      <c r="AD10" s="305" t="s">
        <v>305</v>
      </c>
      <c r="AE10" s="302"/>
      <c r="AF10" s="308">
        <f>-SUM(AB65:AM65)</f>
        <v>0</v>
      </c>
      <c r="AG10" s="308">
        <f>IFERROR(AF10/SUM($F$61:$Q$61),0)</f>
        <v>0</v>
      </c>
      <c r="AH10" s="309">
        <f>IFERROR(AF10/SUM($F$62:$Q$62),0)</f>
        <v>0</v>
      </c>
      <c r="AJ10" s="303" t="str">
        <f>Tabla28313243[[#Headers],[Stock Inicio (Cierre)]]</f>
        <v>Stock Inicio (Cierre)</v>
      </c>
      <c r="AK10" s="302"/>
      <c r="AL10" s="443">
        <f>Tabla28313243[[#Totals],[Stock Inicio (Cierre)]]</f>
        <v>0</v>
      </c>
      <c r="AN10" s="303" t="str">
        <f>Tabla28313243[[#Headers],[Stock Inicio (Cierre)]]</f>
        <v>Stock Inicio (Cierre)</v>
      </c>
      <c r="AO10" s="302"/>
      <c r="AP10" s="443">
        <f>Tabla2831323445[[#Totals],[Stock Inicio (Cierre)]]</f>
        <v>0</v>
      </c>
      <c r="AV10" s="291" t="s">
        <v>308</v>
      </c>
      <c r="AW10" s="41"/>
      <c r="AX10" s="298">
        <f>IF(ISTEXT(AX4)=TRUE,0,SUMPRODUCT((Comercial_Agricola[Campaña]=Económico!$F$5)*(Comercial_Agricola[Económico $Constantes])))</f>
        <v>0</v>
      </c>
      <c r="AY10" s="288"/>
      <c r="AZ10" s="305" t="s">
        <v>305</v>
      </c>
      <c r="BA10" s="302"/>
      <c r="BB10" s="308">
        <f>-SUM(AX65:BI65)</f>
        <v>0</v>
      </c>
      <c r="BC10" s="308">
        <f>IFERROR(BB10/SUM($F$61:$Q$61),0)</f>
        <v>0</v>
      </c>
      <c r="BD10" s="309">
        <f>IFERROR(BB10/SUM($F$62:$Q$62),0)</f>
        <v>0</v>
      </c>
      <c r="BF10" s="303" t="str">
        <f>Tabla2831324352[[#Headers],[Stock Inicio (Cierre)]]</f>
        <v>Stock Inicio (Cierre)</v>
      </c>
      <c r="BG10" s="302"/>
      <c r="BH10" s="443">
        <f>Tabla2831324352[[#Totals],[Stock Inicio (Cierre)]]</f>
        <v>0</v>
      </c>
      <c r="BJ10" s="303" t="str">
        <f>Tabla2831324352[[#Headers],[Stock Inicio (Cierre)]]</f>
        <v>Stock Inicio (Cierre)</v>
      </c>
      <c r="BK10" s="302"/>
      <c r="BL10" s="443">
        <f>Tabla283132344554[[#Totals],[Stock Inicio (Cierre)]]</f>
        <v>0</v>
      </c>
    </row>
    <row r="11" spans="2:64" x14ac:dyDescent="0.25">
      <c r="B11" s="192"/>
      <c r="D11" s="291" t="s">
        <v>165</v>
      </c>
      <c r="E11" s="19"/>
      <c r="F11" s="298">
        <f>Tabla32[[#Totals],[U$S Total]]</f>
        <v>0</v>
      </c>
      <c r="G11" s="288"/>
      <c r="H11" s="305" t="s">
        <v>306</v>
      </c>
      <c r="I11" s="302"/>
      <c r="J11" s="308">
        <f>-SUM(F66:Q66)</f>
        <v>0</v>
      </c>
      <c r="K11" s="308">
        <f>IFERROR(J11/SUM($F$61:$Q$61),0)</f>
        <v>0</v>
      </c>
      <c r="L11" s="309">
        <f>IFERROR(J11/SUM($F$62:$Q$62),0)</f>
        <v>0</v>
      </c>
      <c r="N11" s="323" t="s">
        <v>266</v>
      </c>
      <c r="O11" s="324"/>
      <c r="P11" s="441">
        <f>Tabla283132[[#Totals],[Tenencia]]</f>
        <v>0</v>
      </c>
      <c r="R11" s="323" t="s">
        <v>266</v>
      </c>
      <c r="S11" s="324"/>
      <c r="T11" s="441">
        <f>Tabla28313234[[#Totals],[Tenencia]]</f>
        <v>0</v>
      </c>
      <c r="Z11" s="291" t="s">
        <v>165</v>
      </c>
      <c r="AA11" s="41"/>
      <c r="AB11" s="298">
        <f>Tabla3244[[#Totals],[U$S Total]]</f>
        <v>0</v>
      </c>
      <c r="AC11" s="288"/>
      <c r="AD11" s="305" t="s">
        <v>306</v>
      </c>
      <c r="AE11" s="302"/>
      <c r="AF11" s="308">
        <f>-SUM(AB66:AM66)</f>
        <v>0</v>
      </c>
      <c r="AG11" s="308">
        <f>IFERROR(AF11/SUM($F$61:$Q$61),0)</f>
        <v>0</v>
      </c>
      <c r="AH11" s="309">
        <f>IFERROR(AF11/SUM($F$62:$Q$62),0)</f>
        <v>0</v>
      </c>
      <c r="AJ11" s="323" t="s">
        <v>266</v>
      </c>
      <c r="AK11" s="324"/>
      <c r="AL11" s="441">
        <f>Tabla28313243[[#Totals],[Tenencia]]</f>
        <v>0</v>
      </c>
      <c r="AN11" s="323" t="s">
        <v>266</v>
      </c>
      <c r="AO11" s="324"/>
      <c r="AP11" s="441">
        <f>Tabla2831323445[[#Totals],[Tenencia]]</f>
        <v>0</v>
      </c>
      <c r="AV11" s="291" t="s">
        <v>165</v>
      </c>
      <c r="AW11" s="41"/>
      <c r="AX11" s="298">
        <f>Tabla324453[[#Totals],[U$S Total]]</f>
        <v>0</v>
      </c>
      <c r="AY11" s="288"/>
      <c r="AZ11" s="305" t="s">
        <v>306</v>
      </c>
      <c r="BA11" s="302"/>
      <c r="BB11" s="308">
        <f>-SUM(AX66:BI66)</f>
        <v>0</v>
      </c>
      <c r="BC11" s="308">
        <f>IFERROR(BB11/SUM($F$61:$Q$61),0)</f>
        <v>0</v>
      </c>
      <c r="BD11" s="309">
        <f>IFERROR(BB11/SUM($F$62:$Q$62),0)</f>
        <v>0</v>
      </c>
      <c r="BF11" s="323" t="s">
        <v>266</v>
      </c>
      <c r="BG11" s="324"/>
      <c r="BH11" s="441">
        <f>Tabla2831324352[[#Totals],[Tenencia]]</f>
        <v>0</v>
      </c>
      <c r="BJ11" s="323" t="s">
        <v>266</v>
      </c>
      <c r="BK11" s="324"/>
      <c r="BL11" s="441">
        <f>Tabla283132344554[[#Totals],[Tenencia]]</f>
        <v>0</v>
      </c>
    </row>
    <row r="12" spans="2:64" x14ac:dyDescent="0.25">
      <c r="B12" s="192"/>
      <c r="D12" s="291" t="s">
        <v>164</v>
      </c>
      <c r="E12" s="19"/>
      <c r="F12" s="298">
        <f>Tabla3235[[#Totals],[U$S Total]]</f>
        <v>0</v>
      </c>
      <c r="G12" s="288"/>
      <c r="H12" s="319" t="s">
        <v>322</v>
      </c>
      <c r="I12" s="320"/>
      <c r="J12" s="321">
        <f>J9+J10+J11</f>
        <v>0</v>
      </c>
      <c r="K12" s="321">
        <f>IFERROR(J12/SUM($F$61:$Q$61),0)</f>
        <v>0</v>
      </c>
      <c r="L12" s="322">
        <f>IFERROR(J12/SUM($F$62:$Q$62),0)</f>
        <v>0</v>
      </c>
      <c r="N12" s="303" t="str">
        <f>Tabla283132[[#Headers],[Stock Cierre]]</f>
        <v>Stock Cierre</v>
      </c>
      <c r="O12" s="302"/>
      <c r="P12" s="443">
        <f>Tabla283132[[#Totals],[Stock Cierre]]</f>
        <v>0</v>
      </c>
      <c r="R12" s="303" t="str">
        <f>Tabla283132[[#Headers],[Stock Cierre]]</f>
        <v>Stock Cierre</v>
      </c>
      <c r="S12" s="302"/>
      <c r="T12" s="443">
        <f>Tabla28313234[[#Totals],[Stock Cierre]]</f>
        <v>0</v>
      </c>
      <c r="Z12" s="291" t="s">
        <v>164</v>
      </c>
      <c r="AA12" s="41"/>
      <c r="AB12" s="298">
        <f>Tabla323546[[#Totals],[U$S Total]]</f>
        <v>0</v>
      </c>
      <c r="AC12" s="288"/>
      <c r="AD12" s="319" t="s">
        <v>322</v>
      </c>
      <c r="AE12" s="320"/>
      <c r="AF12" s="321">
        <f>AF9+AF10+AF11</f>
        <v>0</v>
      </c>
      <c r="AG12" s="321">
        <f>IFERROR(AF12/SUM($F$61:$Q$61),0)</f>
        <v>0</v>
      </c>
      <c r="AH12" s="322">
        <f>IFERROR(AF12/SUM($F$62:$Q$62),0)</f>
        <v>0</v>
      </c>
      <c r="AJ12" s="303" t="str">
        <f>Tabla28313243[[#Headers],[Stock Cierre]]</f>
        <v>Stock Cierre</v>
      </c>
      <c r="AK12" s="302"/>
      <c r="AL12" s="443">
        <f>Tabla28313243[[#Totals],[Stock Cierre]]</f>
        <v>0</v>
      </c>
      <c r="AN12" s="303" t="str">
        <f>Tabla28313243[[#Headers],[Stock Cierre]]</f>
        <v>Stock Cierre</v>
      </c>
      <c r="AO12" s="302"/>
      <c r="AP12" s="443">
        <f>Tabla2831323445[[#Totals],[Stock Cierre]]</f>
        <v>0</v>
      </c>
      <c r="AV12" s="291" t="s">
        <v>164</v>
      </c>
      <c r="AW12" s="41"/>
      <c r="AX12" s="298">
        <f>Tabla32354655[[#Totals],[U$S Total]]</f>
        <v>0</v>
      </c>
      <c r="AY12" s="288"/>
      <c r="AZ12" s="319" t="s">
        <v>322</v>
      </c>
      <c r="BA12" s="320"/>
      <c r="BB12" s="321">
        <f>BB9+BB10+BB11</f>
        <v>0</v>
      </c>
      <c r="BC12" s="321">
        <f>IFERROR(BB12/SUM($F$61:$Q$61),0)</f>
        <v>0</v>
      </c>
      <c r="BD12" s="322">
        <f>IFERROR(BB12/SUM($F$62:$Q$62),0)</f>
        <v>0</v>
      </c>
      <c r="BF12" s="303" t="str">
        <f>Tabla2831324352[[#Headers],[Stock Cierre]]</f>
        <v>Stock Cierre</v>
      </c>
      <c r="BG12" s="302"/>
      <c r="BH12" s="443">
        <f>Tabla2831324352[[#Totals],[Stock Cierre]]</f>
        <v>0</v>
      </c>
      <c r="BJ12" s="303" t="str">
        <f>Tabla2831324352[[#Headers],[Stock Cierre]]</f>
        <v>Stock Cierre</v>
      </c>
      <c r="BK12" s="302"/>
      <c r="BL12" s="443">
        <f>Tabla283132344554[[#Totals],[Stock Cierre]]</f>
        <v>0</v>
      </c>
    </row>
    <row r="13" spans="2:64" x14ac:dyDescent="0.25">
      <c r="B13" s="192"/>
      <c r="D13" s="291" t="s">
        <v>199</v>
      </c>
      <c r="E13" s="19"/>
      <c r="F13" s="298">
        <f>SUMPRODUCT((F4=Otras_Actividades_Base[C. Costo Reporte])*(Económico!F5=Otras_Actividades_Base[Campaña])*(Otras_Actividades_Base[Económico U$S Dólares]))</f>
        <v>0</v>
      </c>
      <c r="H13" s="319" t="s">
        <v>258</v>
      </c>
      <c r="I13" s="320"/>
      <c r="J13" s="1130" t="e">
        <f>J12/(-J11)</f>
        <v>#DIV/0!</v>
      </c>
      <c r="K13" s="1131"/>
      <c r="L13" s="1132"/>
      <c r="N13" s="323" t="s">
        <v>316</v>
      </c>
      <c r="O13" s="324"/>
      <c r="P13" s="444">
        <f>Tabla283132[[#Totals],[Dif. Inventario]]</f>
        <v>0</v>
      </c>
      <c r="R13" s="323" t="s">
        <v>316</v>
      </c>
      <c r="S13" s="324"/>
      <c r="T13" s="444">
        <f>Tabla28313234[[#Totals],[Dif. Inventario]]</f>
        <v>0</v>
      </c>
      <c r="Z13" s="291" t="s">
        <v>199</v>
      </c>
      <c r="AA13" s="41"/>
      <c r="AB13" s="298">
        <f>SUMPRODUCT((AB4=Otras_Actividades_Base[C. Costo Reporte])*(Económico!AB5=Otras_Actividades_Base[Campaña])*(Otras_Actividades_Base[Económico $Corrientes]))</f>
        <v>0</v>
      </c>
      <c r="AD13" s="319" t="s">
        <v>258</v>
      </c>
      <c r="AE13" s="320"/>
      <c r="AF13" s="1130" t="e">
        <f>AF12/(-AF11)</f>
        <v>#DIV/0!</v>
      </c>
      <c r="AG13" s="1131"/>
      <c r="AH13" s="1132"/>
      <c r="AJ13" s="323" t="s">
        <v>316</v>
      </c>
      <c r="AK13" s="324"/>
      <c r="AL13" s="444">
        <f>Tabla28313243[[#Totals],[Dif. Inventario]]</f>
        <v>0</v>
      </c>
      <c r="AN13" s="323" t="s">
        <v>316</v>
      </c>
      <c r="AO13" s="324"/>
      <c r="AP13" s="444">
        <f>Tabla2831323445[[#Totals],[Dif. Inventario]]</f>
        <v>0</v>
      </c>
      <c r="AV13" s="291" t="s">
        <v>199</v>
      </c>
      <c r="AW13" s="41"/>
      <c r="AX13" s="298">
        <f>SUMPRODUCT((AX4=Otras_Actividades_Base[C. Costo Reporte])*(Económico!AX5=Otras_Actividades_Base[Campaña])*(Otras_Actividades_Base[Económico $Constantes]))</f>
        <v>0</v>
      </c>
      <c r="AZ13" s="319" t="s">
        <v>258</v>
      </c>
      <c r="BA13" s="320"/>
      <c r="BB13" s="1130" t="e">
        <f>BB12/(-BB11)</f>
        <v>#DIV/0!</v>
      </c>
      <c r="BC13" s="1131"/>
      <c r="BD13" s="1132"/>
      <c r="BF13" s="323" t="s">
        <v>316</v>
      </c>
      <c r="BG13" s="324"/>
      <c r="BH13" s="444">
        <f>Tabla2831324352[[#Totals],[Dif. Inventario]]</f>
        <v>0</v>
      </c>
      <c r="BJ13" s="323" t="s">
        <v>316</v>
      </c>
      <c r="BK13" s="324"/>
      <c r="BL13" s="444">
        <f>Tabla283132344554[[#Totals],[Dif. Inventario]]</f>
        <v>0</v>
      </c>
    </row>
    <row r="14" spans="2:64" x14ac:dyDescent="0.25">
      <c r="B14" s="192"/>
      <c r="D14" s="293" t="s">
        <v>309</v>
      </c>
      <c r="E14" s="294"/>
      <c r="F14" s="299">
        <f>SUM(F9:F13)</f>
        <v>0</v>
      </c>
      <c r="H14" s="319" t="s">
        <v>307</v>
      </c>
      <c r="I14" s="320"/>
      <c r="J14" s="1130" t="e">
        <f>J12/J9</f>
        <v>#DIV/0!</v>
      </c>
      <c r="K14" s="1131"/>
      <c r="L14" s="1132"/>
      <c r="N14" s="323" t="s">
        <v>317</v>
      </c>
      <c r="O14" s="324"/>
      <c r="P14" s="325">
        <f>Tabla32[[#Totals],[Prod. Carne]]</f>
        <v>0</v>
      </c>
      <c r="R14" s="323" t="s">
        <v>326</v>
      </c>
      <c r="S14" s="324"/>
      <c r="T14" s="325">
        <f>Tabla3235[[#Totals],[Litros]]</f>
        <v>0</v>
      </c>
      <c r="Z14" s="293" t="s">
        <v>309</v>
      </c>
      <c r="AA14" s="456"/>
      <c r="AB14" s="299">
        <f>SUM(AB9:AB13)</f>
        <v>0</v>
      </c>
      <c r="AD14" s="319" t="s">
        <v>307</v>
      </c>
      <c r="AE14" s="320"/>
      <c r="AF14" s="1130" t="e">
        <f>AF12/AF9</f>
        <v>#DIV/0!</v>
      </c>
      <c r="AG14" s="1131"/>
      <c r="AH14" s="1132"/>
      <c r="AJ14" s="323" t="s">
        <v>317</v>
      </c>
      <c r="AK14" s="324"/>
      <c r="AL14" s="325">
        <f>Tabla3244[[#Totals],[Prod. Carne]]</f>
        <v>0</v>
      </c>
      <c r="AN14" s="323" t="s">
        <v>326</v>
      </c>
      <c r="AO14" s="324"/>
      <c r="AP14" s="325">
        <f>Tabla323546[[#Totals],[Litros]]</f>
        <v>0</v>
      </c>
      <c r="AV14" s="293" t="s">
        <v>309</v>
      </c>
      <c r="AW14" s="456"/>
      <c r="AX14" s="299">
        <f>SUM(AX9:AX13)</f>
        <v>0</v>
      </c>
      <c r="AZ14" s="319" t="s">
        <v>307</v>
      </c>
      <c r="BA14" s="320"/>
      <c r="BB14" s="1130" t="e">
        <f>BB12/BB9</f>
        <v>#DIV/0!</v>
      </c>
      <c r="BC14" s="1131"/>
      <c r="BD14" s="1132"/>
      <c r="BF14" s="323" t="s">
        <v>317</v>
      </c>
      <c r="BG14" s="324"/>
      <c r="BH14" s="325">
        <f>Tabla324453[[#Totals],[Prod. Carne]]</f>
        <v>0</v>
      </c>
      <c r="BJ14" s="323" t="s">
        <v>326</v>
      </c>
      <c r="BK14" s="324"/>
      <c r="BL14" s="325">
        <f>Tabla32354655[[#Totals],[Litros]]</f>
        <v>0</v>
      </c>
    </row>
    <row r="15" spans="2:64" x14ac:dyDescent="0.25">
      <c r="B15" s="192"/>
      <c r="D15" s="291" t="s">
        <v>6</v>
      </c>
      <c r="E15" s="19"/>
      <c r="F15" s="298">
        <f>SUMPRODUCT((D15=Indirectos[Unidad de Negocio])*(Económico!$F$4=Indirectos[C. Costo Reporte])*(Económico!$F$5=Indirectos[Campaña])*(Indirectos[Económico U$S Dólares]))</f>
        <v>0</v>
      </c>
      <c r="H15" s="319" t="s">
        <v>324</v>
      </c>
      <c r="I15" s="320"/>
      <c r="J15" s="1130" t="e">
        <f>J9/(-J11)</f>
        <v>#DIV/0!</v>
      </c>
      <c r="K15" s="1131"/>
      <c r="L15" s="1132"/>
      <c r="M15" s="310"/>
      <c r="N15" s="323" t="s">
        <v>318</v>
      </c>
      <c r="O15" s="324"/>
      <c r="P15" s="325">
        <f>Tabla32[[#Totals],[U$S Total]]</f>
        <v>0</v>
      </c>
      <c r="R15" s="323" t="s">
        <v>318</v>
      </c>
      <c r="S15" s="324"/>
      <c r="T15" s="325">
        <f>Tabla3235[[#Totals],[U$S Total]]</f>
        <v>0</v>
      </c>
      <c r="Z15" s="291" t="s">
        <v>6</v>
      </c>
      <c r="AA15" s="41"/>
      <c r="AB15" s="298">
        <f>SUMPRODUCT((Z15=Indirectos[Unidad de Negocio])*(Económico!$F$4=Indirectos[C. Costo Reporte])*(Económico!$F$5=Indirectos[Campaña])*(Indirectos[Económico $Corrientes]))</f>
        <v>0</v>
      </c>
      <c r="AD15" s="319" t="s">
        <v>324</v>
      </c>
      <c r="AE15" s="320"/>
      <c r="AF15" s="1130" t="e">
        <f>AF9/(-AF11)</f>
        <v>#DIV/0!</v>
      </c>
      <c r="AG15" s="1131"/>
      <c r="AH15" s="1132"/>
      <c r="AI15" s="310"/>
      <c r="AJ15" s="323" t="s">
        <v>318</v>
      </c>
      <c r="AK15" s="324"/>
      <c r="AL15" s="325">
        <f>Tabla3244[[#Totals],[U$S Total]]</f>
        <v>0</v>
      </c>
      <c r="AN15" s="323" t="s">
        <v>318</v>
      </c>
      <c r="AO15" s="324"/>
      <c r="AP15" s="325">
        <f>Tabla323546[[#Totals],[U$S Total]]</f>
        <v>0</v>
      </c>
      <c r="AV15" s="291" t="s">
        <v>6</v>
      </c>
      <c r="AW15" s="41"/>
      <c r="AX15" s="298">
        <f>SUMPRODUCT((AV15=Indirectos[Unidad de Negocio])*(Económico!$F$4=Indirectos[C. Costo Reporte])*(Económico!$F$5=Indirectos[Campaña])*(Indirectos[Económico $Constantes]))</f>
        <v>0</v>
      </c>
      <c r="AZ15" s="319" t="s">
        <v>324</v>
      </c>
      <c r="BA15" s="320"/>
      <c r="BB15" s="1130" t="e">
        <f>BB9/(-BB11)</f>
        <v>#DIV/0!</v>
      </c>
      <c r="BC15" s="1131"/>
      <c r="BD15" s="1132"/>
      <c r="BE15" s="310"/>
      <c r="BF15" s="323" t="s">
        <v>318</v>
      </c>
      <c r="BG15" s="324"/>
      <c r="BH15" s="325">
        <f>Tabla324453[[#Totals],[U$S Total]]</f>
        <v>0</v>
      </c>
      <c r="BJ15" s="323" t="s">
        <v>318</v>
      </c>
      <c r="BK15" s="324"/>
      <c r="BL15" s="325">
        <f>Tabla32354655[[#Totals],[U$S Total]]</f>
        <v>0</v>
      </c>
    </row>
    <row r="16" spans="2:64" x14ac:dyDescent="0.25">
      <c r="B16" s="192"/>
      <c r="D16" s="291" t="s">
        <v>5</v>
      </c>
      <c r="E16" s="19"/>
      <c r="F16" s="298">
        <f>SUMPRODUCT((D16=Indirectos[Unidad de Negocio])*(Económico!$F$4=Indirectos[C. Costo Reporte])*(Económico!$F$5=Indirectos[Campaña])*(Indirectos[Económico U$S Dólares]))</f>
        <v>0</v>
      </c>
      <c r="N16" s="323" t="s">
        <v>319</v>
      </c>
      <c r="O16" s="324"/>
      <c r="P16" s="325">
        <f>Tabla32[[#Totals],[U$S/ha]]</f>
        <v>0</v>
      </c>
      <c r="R16" s="323" t="s">
        <v>319</v>
      </c>
      <c r="S16" s="324"/>
      <c r="T16" s="325">
        <f>Tabla3235[[#Totals],[U$S/ha]]</f>
        <v>0</v>
      </c>
      <c r="Z16" s="291" t="s">
        <v>5</v>
      </c>
      <c r="AA16" s="41"/>
      <c r="AB16" s="298">
        <f>SUMPRODUCT((Z16=Indirectos[Unidad de Negocio])*(Económico!$F$4=Indirectos[C. Costo Reporte])*(Económico!$F$5=Indirectos[Campaña])*(Indirectos[Económico $Corrientes]))</f>
        <v>0</v>
      </c>
      <c r="AJ16" s="323" t="s">
        <v>319</v>
      </c>
      <c r="AK16" s="324"/>
      <c r="AL16" s="325">
        <f>Tabla3244[[#Totals],[U$S/ha]]</f>
        <v>0</v>
      </c>
      <c r="AN16" s="323" t="s">
        <v>319</v>
      </c>
      <c r="AO16" s="324"/>
      <c r="AP16" s="325">
        <f>Tabla323546[[#Totals],[U$S/ha]]</f>
        <v>0</v>
      </c>
      <c r="AV16" s="291" t="s">
        <v>5</v>
      </c>
      <c r="AW16" s="41"/>
      <c r="AX16" s="298">
        <f>SUMPRODUCT((AV16=Indirectos[Unidad de Negocio])*(Económico!$F$4=Indirectos[C. Costo Reporte])*(Económico!$F$5=Indirectos[Campaña])*(Indirectos[Económico $Constantes]))</f>
        <v>0</v>
      </c>
      <c r="BF16" s="323" t="s">
        <v>319</v>
      </c>
      <c r="BG16" s="324"/>
      <c r="BH16" s="325">
        <f>Tabla324453[[#Totals],[U$S/ha]]</f>
        <v>0</v>
      </c>
      <c r="BJ16" s="323" t="s">
        <v>319</v>
      </c>
      <c r="BK16" s="324"/>
      <c r="BL16" s="325">
        <f>Tabla32354655[[#Totals],[U$S/ha]]</f>
        <v>0</v>
      </c>
    </row>
    <row r="17" spans="2:64" x14ac:dyDescent="0.25">
      <c r="B17" s="192"/>
      <c r="D17" s="291" t="s">
        <v>114</v>
      </c>
      <c r="E17" s="19"/>
      <c r="F17" s="298">
        <f>SUMPRODUCT((D17=Indirectos[Unidad de Negocio])*(Económico!$F$4=Indirectos[C. Costo Reporte])*(Económico!$F$5=Indirectos[Campaña])*(Indirectos[Económico U$S Dólares]))-F21</f>
        <v>0</v>
      </c>
      <c r="N17" s="326" t="s">
        <v>320</v>
      </c>
      <c r="O17" s="327"/>
      <c r="P17" s="328">
        <f>Tabla32[[#Totals],[U$S/Kg]]</f>
        <v>0</v>
      </c>
      <c r="R17" s="323" t="s">
        <v>327</v>
      </c>
      <c r="S17" s="324"/>
      <c r="T17" s="325">
        <f>Tabla32[[#Totals],[U$S/Kg]]</f>
        <v>0</v>
      </c>
      <c r="Z17" s="291" t="s">
        <v>114</v>
      </c>
      <c r="AA17" s="41"/>
      <c r="AB17" s="298">
        <f>SUMPRODUCT((Z17=Indirectos[Unidad de Negocio])*(Económico!$F$4=Indirectos[C. Costo Reporte])*(Económico!$F$5=Indirectos[Campaña])*(Indirectos[Económico $Corrientes]))-AB21</f>
        <v>0</v>
      </c>
      <c r="AJ17" s="326" t="s">
        <v>320</v>
      </c>
      <c r="AK17" s="327"/>
      <c r="AL17" s="328">
        <f>Tabla3244[[#Totals],[U$S/Kg]]</f>
        <v>0</v>
      </c>
      <c r="AN17" s="323" t="s">
        <v>327</v>
      </c>
      <c r="AO17" s="324"/>
      <c r="AP17" s="325">
        <f>Tabla3244[[#Totals],[U$S/Kg]]</f>
        <v>0</v>
      </c>
      <c r="AV17" s="291" t="s">
        <v>114</v>
      </c>
      <c r="AW17" s="41"/>
      <c r="AX17" s="298">
        <f>SUMPRODUCT((AV17=Indirectos[Unidad de Negocio])*(Económico!$F$4=Indirectos[C. Costo Reporte])*(Económico!$F$5=Indirectos[Campaña])*(Indirectos[Económico $Constantes]))-AX21</f>
        <v>0</v>
      </c>
      <c r="BF17" s="326" t="s">
        <v>320</v>
      </c>
      <c r="BG17" s="327"/>
      <c r="BH17" s="328">
        <f>Tabla324453[[#Totals],[U$S/Kg]]</f>
        <v>0</v>
      </c>
      <c r="BJ17" s="323" t="s">
        <v>327</v>
      </c>
      <c r="BK17" s="324"/>
      <c r="BL17" s="325">
        <f>Tabla324453[[#Totals],[U$S/Kg]]</f>
        <v>0</v>
      </c>
    </row>
    <row r="18" spans="2:64" x14ac:dyDescent="0.25">
      <c r="B18" s="192"/>
      <c r="D18" s="293" t="s">
        <v>313</v>
      </c>
      <c r="E18" s="294"/>
      <c r="F18" s="299">
        <f>F14+SUM(F15:F17)</f>
        <v>0</v>
      </c>
      <c r="N18"/>
      <c r="O18"/>
      <c r="P18"/>
      <c r="R18" s="326" t="s">
        <v>328</v>
      </c>
      <c r="S18" s="327"/>
      <c r="T18" s="328">
        <f>Tabla3235[[#Totals],[U$S/V. O.]]</f>
        <v>0</v>
      </c>
      <c r="Z18" s="293" t="s">
        <v>313</v>
      </c>
      <c r="AA18" s="456"/>
      <c r="AB18" s="299">
        <f>AB14-SUM(AB15:AB17)</f>
        <v>0</v>
      </c>
      <c r="AJ18"/>
      <c r="AK18"/>
      <c r="AL18"/>
      <c r="AN18" s="326" t="s">
        <v>328</v>
      </c>
      <c r="AO18" s="327"/>
      <c r="AP18" s="328">
        <f>Tabla323546[[#Totals],[U$S/V. O.]]</f>
        <v>0</v>
      </c>
      <c r="AV18" s="293" t="s">
        <v>313</v>
      </c>
      <c r="AW18" s="456"/>
      <c r="AX18" s="299">
        <f>AX14-SUM(AX15:AX17)</f>
        <v>0</v>
      </c>
      <c r="BF18"/>
      <c r="BG18"/>
      <c r="BH18"/>
      <c r="BJ18" s="326" t="s">
        <v>328</v>
      </c>
      <c r="BK18" s="327"/>
      <c r="BL18" s="328">
        <f>Tabla32354655[[#Totals],[U$S/V. O.]]</f>
        <v>0</v>
      </c>
    </row>
    <row r="19" spans="2:64" x14ac:dyDescent="0.25">
      <c r="B19" s="192"/>
      <c r="D19" s="292" t="s">
        <v>310</v>
      </c>
      <c r="E19" s="19"/>
      <c r="F19" s="298">
        <f>IF(ISTEXT(F4)=TRUE,0,Tabla2831363740[[#Totals],[Finanzas]])</f>
        <v>0</v>
      </c>
      <c r="Z19" s="292" t="s">
        <v>310</v>
      </c>
      <c r="AA19" s="41"/>
      <c r="AB19" s="298">
        <f>IF(ISTEXT(AB4)=TRUE,0,Tabla283136374049[[#Totals],[Finanzas]])</f>
        <v>0</v>
      </c>
      <c r="AV19" s="292" t="s">
        <v>310</v>
      </c>
      <c r="AW19" s="41"/>
      <c r="AX19" s="298">
        <f>IF(ISTEXT(AX4)=TRUE,0,Tabla28313637404958[[#Totals],[Finanzas]])</f>
        <v>0</v>
      </c>
    </row>
    <row r="20" spans="2:64" x14ac:dyDescent="0.25">
      <c r="B20" s="192"/>
      <c r="D20" s="293" t="s">
        <v>311</v>
      </c>
      <c r="E20" s="294"/>
      <c r="F20" s="299">
        <f>F18+F19</f>
        <v>0</v>
      </c>
      <c r="Z20" s="293" t="s">
        <v>311</v>
      </c>
      <c r="AA20" s="456"/>
      <c r="AB20" s="299">
        <f>AB18+AB19</f>
        <v>0</v>
      </c>
      <c r="AV20" s="293" t="s">
        <v>311</v>
      </c>
      <c r="AW20" s="456"/>
      <c r="AX20" s="299">
        <f>AX18+AX19</f>
        <v>0</v>
      </c>
    </row>
    <row r="21" spans="2:64" x14ac:dyDescent="0.25">
      <c r="B21" s="192"/>
      <c r="D21" s="291" t="s">
        <v>286</v>
      </c>
      <c r="E21" s="19"/>
      <c r="F21" s="298">
        <f>SUMPRODUCT((D21=Indirectos[Cuenta Contable])*(Económico!$F$4=Indirectos[C. Costo Reporte])*(Económico!$F$5=Indirectos[Campaña])*(Indirectos[Económico U$S Dólares]))</f>
        <v>0</v>
      </c>
      <c r="Z21" s="291" t="s">
        <v>286</v>
      </c>
      <c r="AA21" s="41"/>
      <c r="AB21" s="298">
        <f>SUMPRODUCT((Z21=Indirectos[Cuenta Contable])*(Económico!$F$4=Indirectos[C. Costo Reporte])*(Económico!$F$5=Indirectos[Campaña])*(Indirectos[Económico $Corrientes]))</f>
        <v>0</v>
      </c>
      <c r="AV21" s="291" t="s">
        <v>286</v>
      </c>
      <c r="AW21" s="41"/>
      <c r="AX21" s="298">
        <f>SUMPRODUCT((AV21=Indirectos[Cuenta Contable])*(Económico!$F$4=Indirectos[C. Costo Reporte])*(Económico!$F$5=Indirectos[Campaña])*(Indirectos[Económico $Constantes]))</f>
        <v>0</v>
      </c>
    </row>
    <row r="22" spans="2:64" x14ac:dyDescent="0.25">
      <c r="B22" s="192"/>
      <c r="D22" s="291" t="s">
        <v>335</v>
      </c>
      <c r="E22" s="19"/>
      <c r="F22" s="298">
        <f>Tabla283132[[#Totals],[Tenencia]]</f>
        <v>0</v>
      </c>
      <c r="Z22" s="291" t="s">
        <v>335</v>
      </c>
      <c r="AA22" s="41"/>
      <c r="AB22" s="298">
        <f>Tabla28313243[[#Totals],[Tenencia]]</f>
        <v>0</v>
      </c>
      <c r="AV22" s="291" t="s">
        <v>335</v>
      </c>
      <c r="AW22" s="41"/>
      <c r="AX22" s="298">
        <f>Tabla2831324352[[#Totals],[Tenencia]]</f>
        <v>0</v>
      </c>
    </row>
    <row r="23" spans="2:64" x14ac:dyDescent="0.25">
      <c r="B23" s="192"/>
      <c r="D23" s="291" t="s">
        <v>336</v>
      </c>
      <c r="E23" s="19"/>
      <c r="F23" s="298">
        <f>Tabla28313234[[#Totals],[Tenencia]]</f>
        <v>0</v>
      </c>
      <c r="Z23" s="291" t="s">
        <v>336</v>
      </c>
      <c r="AA23" s="41"/>
      <c r="AB23" s="298">
        <f>Tabla2831323445[[#Totals],[Tenencia]]</f>
        <v>0</v>
      </c>
      <c r="AV23" s="291" t="s">
        <v>336</v>
      </c>
      <c r="AW23" s="41"/>
      <c r="AX23" s="298">
        <f>Tabla283132344554[[#Totals],[Tenencia]]</f>
        <v>0</v>
      </c>
    </row>
    <row r="24" spans="2:64" x14ac:dyDescent="0.25">
      <c r="B24" s="192"/>
      <c r="D24" s="293" t="s">
        <v>312</v>
      </c>
      <c r="E24" s="294"/>
      <c r="F24" s="299">
        <f>F20+F21+F22+F23</f>
        <v>0</v>
      </c>
      <c r="Z24" s="293" t="s">
        <v>312</v>
      </c>
      <c r="AA24" s="456"/>
      <c r="AB24" s="299">
        <f>AB20+AB21+AB22+AB23</f>
        <v>0</v>
      </c>
      <c r="AV24" s="293" t="s">
        <v>312</v>
      </c>
      <c r="AW24" s="456"/>
      <c r="AX24" s="299">
        <f>AX20+AX21+AX22+AX23</f>
        <v>0</v>
      </c>
    </row>
    <row r="25" spans="2:64" x14ac:dyDescent="0.25">
      <c r="B25" s="192"/>
      <c r="D25" s="291" t="s">
        <v>283</v>
      </c>
      <c r="E25" s="19"/>
      <c r="F25" s="298">
        <f>SUMPRODUCT((D25=Indirectos[Unidad de Negocio])*(Económico!$F$4=Indirectos[C. Costo Reporte])*(Económico!$F$5=Indirectos[Campaña])*(Indirectos[Económico U$S Dólares]))</f>
        <v>0</v>
      </c>
      <c r="Z25" s="291" t="s">
        <v>283</v>
      </c>
      <c r="AA25" s="41"/>
      <c r="AB25" s="298">
        <f>SUMPRODUCT((Z25=Indirectos[Unidad de Negocio])*(Económico!$F$4=Indirectos[C. Costo Reporte])*(Económico!$F$5=Indirectos[Campaña])*(Indirectos[Económico $Corrientes]))</f>
        <v>0</v>
      </c>
      <c r="AV25" s="291" t="s">
        <v>283</v>
      </c>
      <c r="AW25" s="41"/>
      <c r="AX25" s="298">
        <f>SUMPRODUCT((AV25=Indirectos[Unidad de Negocio])*(Económico!$F$4=Indirectos[C. Costo Reporte])*(Económico!$F$5=Indirectos[Campaña])*(Indirectos[Económico $Constantes]))</f>
        <v>0</v>
      </c>
    </row>
    <row r="26" spans="2:64" x14ac:dyDescent="0.25">
      <c r="B26" s="192"/>
      <c r="D26" s="295" t="s">
        <v>314</v>
      </c>
      <c r="E26" s="296"/>
      <c r="F26" s="300">
        <f>F24+F25</f>
        <v>0</v>
      </c>
      <c r="Z26" s="295" t="s">
        <v>314</v>
      </c>
      <c r="AA26" s="457"/>
      <c r="AB26" s="300">
        <f>AB24+AB25</f>
        <v>0</v>
      </c>
      <c r="AV26" s="295" t="s">
        <v>314</v>
      </c>
      <c r="AW26" s="457"/>
      <c r="AX26" s="300">
        <f>AX24+AX25</f>
        <v>0</v>
      </c>
    </row>
    <row r="27" spans="2:64" x14ac:dyDescent="0.25">
      <c r="B27" s="192"/>
    </row>
    <row r="28" spans="2:64" x14ac:dyDescent="0.25">
      <c r="B28" s="192"/>
    </row>
    <row r="29" spans="2:64" x14ac:dyDescent="0.25">
      <c r="B29" s="192"/>
    </row>
    <row r="30" spans="2:64" x14ac:dyDescent="0.25">
      <c r="B30" s="192"/>
    </row>
    <row r="31" spans="2:64" x14ac:dyDescent="0.25">
      <c r="B31" s="192"/>
    </row>
    <row r="32" spans="2:64" x14ac:dyDescent="0.25">
      <c r="B32" s="192"/>
    </row>
    <row r="33" spans="2:62" x14ac:dyDescent="0.25">
      <c r="B33" s="192"/>
    </row>
    <row r="34" spans="2:62" x14ac:dyDescent="0.25">
      <c r="B34" s="192"/>
    </row>
    <row r="35" spans="2:62" x14ac:dyDescent="0.25">
      <c r="B35" s="192"/>
    </row>
    <row r="36" spans="2:62" x14ac:dyDescent="0.25">
      <c r="B36" s="192"/>
    </row>
    <row r="37" spans="2:62" s="317" customFormat="1" x14ac:dyDescent="0.25">
      <c r="B37" s="316"/>
      <c r="F37" s="318"/>
      <c r="G37" s="318"/>
      <c r="H37" s="318"/>
      <c r="I37" s="318"/>
      <c r="J37" s="318"/>
      <c r="K37" s="318"/>
      <c r="L37" s="318"/>
      <c r="M37" s="318"/>
      <c r="N37" s="318"/>
      <c r="O37" s="318"/>
      <c r="P37" s="318"/>
      <c r="V37" s="445"/>
      <c r="X37" s="316"/>
      <c r="AA37" s="458"/>
      <c r="AB37" s="318"/>
      <c r="AC37" s="318"/>
      <c r="AD37" s="318"/>
      <c r="AE37" s="318"/>
      <c r="AF37" s="318"/>
      <c r="AG37" s="318"/>
      <c r="AH37" s="318"/>
      <c r="AI37" s="318"/>
      <c r="AJ37" s="318"/>
      <c r="AK37" s="318"/>
      <c r="AL37" s="318"/>
      <c r="AR37" s="445"/>
      <c r="AT37" s="316"/>
      <c r="AW37" s="458"/>
      <c r="AX37" s="318"/>
      <c r="AY37" s="318"/>
      <c r="AZ37" s="318"/>
      <c r="BA37" s="318"/>
      <c r="BB37" s="318"/>
      <c r="BC37" s="318"/>
      <c r="BD37" s="318"/>
      <c r="BE37" s="318"/>
      <c r="BF37" s="318"/>
      <c r="BG37" s="318"/>
      <c r="BH37" s="318"/>
    </row>
    <row r="38" spans="2:62" x14ac:dyDescent="0.25">
      <c r="E38" s="239" t="s">
        <v>86</v>
      </c>
      <c r="F38" s="193" t="s">
        <v>250</v>
      </c>
      <c r="AA38" s="452" t="s">
        <v>86</v>
      </c>
      <c r="AB38" s="193" t="s">
        <v>250</v>
      </c>
      <c r="AW38" s="452" t="s">
        <v>86</v>
      </c>
      <c r="AX38" s="193" t="s">
        <v>250</v>
      </c>
    </row>
    <row r="39" spans="2:62" x14ac:dyDescent="0.25">
      <c r="E39" s="240" t="s">
        <v>249</v>
      </c>
      <c r="F39" s="235" t="s">
        <v>52</v>
      </c>
      <c r="AA39" s="453" t="s">
        <v>249</v>
      </c>
      <c r="AB39" s="235" t="s">
        <v>52</v>
      </c>
      <c r="AW39" s="453" t="s">
        <v>249</v>
      </c>
      <c r="AX39" s="235" t="s">
        <v>52</v>
      </c>
    </row>
    <row r="41" spans="2:62" s="231" customFormat="1" ht="30" x14ac:dyDescent="0.25">
      <c r="B41" s="2"/>
      <c r="E41" s="232" t="s">
        <v>227</v>
      </c>
      <c r="F41" s="233" t="s">
        <v>241</v>
      </c>
      <c r="G41" s="233" t="s">
        <v>242</v>
      </c>
      <c r="H41" s="233" t="s">
        <v>243</v>
      </c>
      <c r="I41" s="233" t="s">
        <v>244</v>
      </c>
      <c r="J41" s="233" t="s">
        <v>245</v>
      </c>
      <c r="K41" s="233" t="s">
        <v>246</v>
      </c>
      <c r="L41" s="233" t="s">
        <v>82</v>
      </c>
      <c r="M41" s="233" t="s">
        <v>247</v>
      </c>
      <c r="N41" s="233" t="s">
        <v>248</v>
      </c>
      <c r="O41" s="233" t="s">
        <v>84</v>
      </c>
      <c r="P41" s="233" t="s">
        <v>85</v>
      </c>
      <c r="Q41" s="233" t="s">
        <v>504</v>
      </c>
      <c r="R41" s="233" t="s">
        <v>255</v>
      </c>
      <c r="V41" s="446"/>
      <c r="X41" s="2"/>
      <c r="AA41" s="459" t="s">
        <v>227</v>
      </c>
      <c r="AB41" s="233" t="s">
        <v>241</v>
      </c>
      <c r="AC41" s="233" t="s">
        <v>242</v>
      </c>
      <c r="AD41" s="233" t="s">
        <v>243</v>
      </c>
      <c r="AE41" s="233" t="s">
        <v>244</v>
      </c>
      <c r="AF41" s="233" t="s">
        <v>245</v>
      </c>
      <c r="AG41" s="233" t="s">
        <v>246</v>
      </c>
      <c r="AH41" s="233" t="s">
        <v>82</v>
      </c>
      <c r="AI41" s="233" t="s">
        <v>247</v>
      </c>
      <c r="AJ41" s="233" t="s">
        <v>248</v>
      </c>
      <c r="AK41" s="233" t="s">
        <v>84</v>
      </c>
      <c r="AL41" s="233" t="s">
        <v>85</v>
      </c>
      <c r="AM41" s="233" t="s">
        <v>504</v>
      </c>
      <c r="AN41" s="233" t="s">
        <v>255</v>
      </c>
      <c r="AR41" s="446"/>
      <c r="AT41" s="2"/>
      <c r="AW41" s="459" t="s">
        <v>227</v>
      </c>
      <c r="AX41" s="233" t="s">
        <v>241</v>
      </c>
      <c r="AY41" s="233" t="s">
        <v>242</v>
      </c>
      <c r="AZ41" s="233" t="s">
        <v>243</v>
      </c>
      <c r="BA41" s="233" t="s">
        <v>244</v>
      </c>
      <c r="BB41" s="233" t="s">
        <v>245</v>
      </c>
      <c r="BC41" s="233" t="s">
        <v>246</v>
      </c>
      <c r="BD41" s="233" t="s">
        <v>82</v>
      </c>
      <c r="BE41" s="233" t="s">
        <v>247</v>
      </c>
      <c r="BF41" s="233" t="s">
        <v>248</v>
      </c>
      <c r="BG41" s="233" t="s">
        <v>84</v>
      </c>
      <c r="BH41" s="233" t="s">
        <v>85</v>
      </c>
      <c r="BI41" s="233" t="s">
        <v>504</v>
      </c>
      <c r="BJ41" s="233" t="s">
        <v>255</v>
      </c>
    </row>
    <row r="42" spans="2:62" x14ac:dyDescent="0.25">
      <c r="D42" s="245">
        <f>MATCH(Tabla28[[#This Row],[Cuentas Contables]],Produccion_Agricola_Cuentas[Cuenta Contable],0)</f>
        <v>1</v>
      </c>
      <c r="E42" s="116" t="str">
        <f>Configuración!P5</f>
        <v>Producción Agrícola</v>
      </c>
      <c r="F42" s="10">
        <f>IFERROR(SUMPRODUCT(($F$4=Producción_Agricola[C. Costo Reporte])*(Económico!F$41=Producción_Agricola[Unidad de Negocio])*(Económico!$E42=Producción_Agricola[Cuenta Contable])*($F$5=Producción_Agricola[Campaña])*(Producción_Agricola[Económico U$S Dólares]))*(IF($F$39="Hectárea",1/F$61,IF($F$39="Tonelada",1/F$62,1))),0)</f>
        <v>0</v>
      </c>
      <c r="G42" s="10">
        <f>IFERROR(SUMPRODUCT(($F$4=Producción_Agricola[C. Costo Reporte])*(Económico!G$41=Producción_Agricola[Unidad de Negocio])*(Económico!$E42=Producción_Agricola[Cuenta Contable])*($F$5=Producción_Agricola[Campaña])*(Producción_Agricola[Económico U$S Dólares]))*(IF($F$39="Hectárea",1/G$61,IF($F$39="Tonelada",1/G$62,1))),0)</f>
        <v>0</v>
      </c>
      <c r="H42" s="10">
        <f>IFERROR(SUMPRODUCT(($F$4=Producción_Agricola[C. Costo Reporte])*(Económico!H$41=Producción_Agricola[Unidad de Negocio])*(Económico!$E42=Producción_Agricola[Cuenta Contable])*($F$5=Producción_Agricola[Campaña])*(Producción_Agricola[Económico U$S Dólares]))*(IF($F$39="Hectárea",1/H$61,IF($F$39="Tonelada",1/H$62,1))),0)</f>
        <v>0</v>
      </c>
      <c r="I42" s="10">
        <f>IFERROR(SUMPRODUCT(($F$4=Producción_Agricola[C. Costo Reporte])*(Económico!I$41=Producción_Agricola[Unidad de Negocio])*(Económico!$E42=Producción_Agricola[Cuenta Contable])*($F$5=Producción_Agricola[Campaña])*(Producción_Agricola[Económico U$S Dólares]))*(IF($F$39="Hectárea",1/I$61,IF($F$39="Tonelada",1/I$62,1))),0)</f>
        <v>0</v>
      </c>
      <c r="J42" s="10">
        <f>IFERROR(SUMPRODUCT(($F$4=Producción_Agricola[C. Costo Reporte])*(Económico!J$41=Producción_Agricola[Unidad de Negocio])*(Económico!$E42=Producción_Agricola[Cuenta Contable])*($F$5=Producción_Agricola[Campaña])*(Producción_Agricola[Económico U$S Dólares]))*(IF($F$39="Hectárea",1/J$61,IF($F$39="Tonelada",1/J$62,1))),0)</f>
        <v>0</v>
      </c>
      <c r="K42" s="10">
        <f>IFERROR(SUMPRODUCT(($F$4=Producción_Agricola[C. Costo Reporte])*(Económico!K$41=Producción_Agricola[Unidad de Negocio])*(Económico!$E42=Producción_Agricola[Cuenta Contable])*($F$5=Producción_Agricola[Campaña])*(Producción_Agricola[Económico U$S Dólares]))*(IF($F$39="Hectárea",1/K$61,IF($F$39="Tonelada",1/K$62,1))),0)</f>
        <v>0</v>
      </c>
      <c r="L42" s="10">
        <f>IFERROR(SUMPRODUCT(($F$4=Producción_Agricola[C. Costo Reporte])*(Económico!L$41=Producción_Agricola[Unidad de Negocio])*(Económico!$E42=Producción_Agricola[Cuenta Contable])*($F$5=Producción_Agricola[Campaña])*(Producción_Agricola[Económico U$S Dólares]))*(IF($F$39="Hectárea",1/L$61,IF($F$39="Tonelada",1/L$62,1))),0)</f>
        <v>0</v>
      </c>
      <c r="M42" s="10">
        <f>IFERROR(SUMPRODUCT(($F$4=Producción_Agricola[C. Costo Reporte])*(Económico!M$41=Producción_Agricola[Unidad de Negocio])*(Económico!$E42=Producción_Agricola[Cuenta Contable])*($F$5=Producción_Agricola[Campaña])*(Producción_Agricola[Económico U$S Dólares]))*(IF($F$39="Hectárea",1/M$61,IF($F$39="Tonelada",1/M$62,1))),0)</f>
        <v>0</v>
      </c>
      <c r="N42" s="10">
        <f>IFERROR(SUMPRODUCT(($F$4=Producción_Agricola[C. Costo Reporte])*(Económico!N$41=Producción_Agricola[Unidad de Negocio])*(Económico!$E42=Producción_Agricola[Cuenta Contable])*($F$5=Producción_Agricola[Campaña])*(Producción_Agricola[Económico U$S Dólares]))*(IF($F$39="Hectárea",1/N$61,IF($F$39="Tonelada",1/N$62,1))),0)</f>
        <v>0</v>
      </c>
      <c r="O42" s="10">
        <f>IFERROR(SUMPRODUCT(($F$4=Producción_Agricola[C. Costo Reporte])*(Económico!O$41=Producción_Agricola[Unidad de Negocio])*(Económico!$E42=Producción_Agricola[Cuenta Contable])*($F$5=Producción_Agricola[Campaña])*(Producción_Agricola[Económico U$S Dólares]))*(IF($F$39="Hectárea",1/O$61,IF($F$39="Tonelada",1/O$62,1))),0)</f>
        <v>0</v>
      </c>
      <c r="P42" s="10">
        <f>IFERROR(SUMPRODUCT(($F$4=Producción_Agricola[C. Costo Reporte])*(Económico!P$41=Producción_Agricola[Unidad de Negocio])*(Económico!$E42=Producción_Agricola[Cuenta Contable])*($F$5=Producción_Agricola[Campaña])*(Producción_Agricola[Económico U$S Dólares]))*(IF($F$39="Hectárea",1/P$61,IF($F$39="Tonelada",1/P$62,1))),0)</f>
        <v>0</v>
      </c>
      <c r="Q42" s="10">
        <f>IFERROR(SUMPRODUCT(($F$4=Producción_Agricola[C. Costo Reporte])*(Económico!Q$41=Producción_Agricola[Unidad de Negocio])*(Económico!$E42=Producción_Agricola[Cuenta Contable])*($F$5=Producción_Agricola[Campaña])*(Producción_Agricola[Económico U$S Dólares]))*(IF($F$39="Hectárea",1/Q$61,IF($F$39="Tonelada",1/Q$62,1))),0)</f>
        <v>0</v>
      </c>
      <c r="R42" s="249" t="str">
        <f>INDEX(Produccion_Agricola_Cuentas[],MATCH(Tabla28[[#This Row],[Cuentas Contables]],Produccion_Agricola_Cuentas[Cuenta Contable],0),3)</f>
        <v>Ingreso</v>
      </c>
      <c r="Z42" s="245">
        <f>MATCH(Tabla2841[[#This Row],[Cuentas Contables]],Produccion_Agricola_Cuentas[Cuenta Contable],0)</f>
        <v>1</v>
      </c>
      <c r="AA42" s="32" t="str">
        <f>Tabla28[[#This Row],[Cuentas Contables]]</f>
        <v>Producción Agrícola</v>
      </c>
      <c r="AB42" s="10">
        <f>IFERROR(SUMPRODUCT(($F$4=Producción_Agricola[C. Costo Reporte])*(Económico!AB$41=Producción_Agricola[Unidad de Negocio])*(Económico!$E42=Producción_Agricola[Cuenta Contable])*($F$5=Producción_Agricola[Campaña])*(Producción_Agricola[Económico $Corrientes]))*(IF($F$39="Hectárea",1/AB$61,IF($F$39="Tonelada",1/AB$62,1))),0)</f>
        <v>0</v>
      </c>
      <c r="AC42" s="10">
        <f>IFERROR(SUMPRODUCT(($F$4=Producción_Agricola[C. Costo Reporte])*(Económico!AC$41=Producción_Agricola[Unidad de Negocio])*(Económico!$E42=Producción_Agricola[Cuenta Contable])*($F$5=Producción_Agricola[Campaña])*(Producción_Agricola[Económico $Corrientes]))*(IF($F$39="Hectárea",1/AC$61,IF($F$39="Tonelada",1/AC$62,1))),0)</f>
        <v>0</v>
      </c>
      <c r="AD42" s="10">
        <f>IFERROR(SUMPRODUCT(($F$4=Producción_Agricola[C. Costo Reporte])*(Económico!AD$41=Producción_Agricola[Unidad de Negocio])*(Económico!$E42=Producción_Agricola[Cuenta Contable])*($F$5=Producción_Agricola[Campaña])*(Producción_Agricola[Económico $Corrientes]))*(IF($F$39="Hectárea",1/AD$61,IF($F$39="Tonelada",1/AD$62,1))),0)</f>
        <v>0</v>
      </c>
      <c r="AE42" s="10">
        <f>IFERROR(SUMPRODUCT(($F$4=Producción_Agricola[C. Costo Reporte])*(Económico!AE$41=Producción_Agricola[Unidad de Negocio])*(Económico!$E42=Producción_Agricola[Cuenta Contable])*($F$5=Producción_Agricola[Campaña])*(Producción_Agricola[Económico $Corrientes]))*(IF($F$39="Hectárea",1/AE$61,IF($F$39="Tonelada",1/AE$62,1))),0)</f>
        <v>0</v>
      </c>
      <c r="AF42" s="10">
        <f>IFERROR(SUMPRODUCT(($F$4=Producción_Agricola[C. Costo Reporte])*(Económico!AF$41=Producción_Agricola[Unidad de Negocio])*(Económico!$E42=Producción_Agricola[Cuenta Contable])*($F$5=Producción_Agricola[Campaña])*(Producción_Agricola[Económico $Corrientes]))*(IF($F$39="Hectárea",1/AF$61,IF($F$39="Tonelada",1/AF$62,1))),0)</f>
        <v>0</v>
      </c>
      <c r="AG42" s="10">
        <f>IFERROR(SUMPRODUCT(($F$4=Producción_Agricola[C. Costo Reporte])*(Económico!AG$41=Producción_Agricola[Unidad de Negocio])*(Económico!$E42=Producción_Agricola[Cuenta Contable])*($F$5=Producción_Agricola[Campaña])*(Producción_Agricola[Económico $Corrientes]))*(IF($F$39="Hectárea",1/AG$61,IF($F$39="Tonelada",1/AG$62,1))),0)</f>
        <v>0</v>
      </c>
      <c r="AH42" s="10">
        <f>IFERROR(SUMPRODUCT(($F$4=Producción_Agricola[C. Costo Reporte])*(Económico!AH$41=Producción_Agricola[Unidad de Negocio])*(Económico!$E42=Producción_Agricola[Cuenta Contable])*($F$5=Producción_Agricola[Campaña])*(Producción_Agricola[Económico $Corrientes]))*(IF($F$39="Hectárea",1/AH$61,IF($F$39="Tonelada",1/AH$62,1))),0)</f>
        <v>0</v>
      </c>
      <c r="AI42" s="10">
        <f>IFERROR(SUMPRODUCT(($F$4=Producción_Agricola[C. Costo Reporte])*(Económico!AI$41=Producción_Agricola[Unidad de Negocio])*(Económico!$E42=Producción_Agricola[Cuenta Contable])*($F$5=Producción_Agricola[Campaña])*(Producción_Agricola[Económico $Corrientes]))*(IF($F$39="Hectárea",1/AI$61,IF($F$39="Tonelada",1/AI$62,1))),0)</f>
        <v>0</v>
      </c>
      <c r="AJ42" s="10">
        <f>IFERROR(SUMPRODUCT(($F$4=Producción_Agricola[C. Costo Reporte])*(Económico!AJ$41=Producción_Agricola[Unidad de Negocio])*(Económico!$E42=Producción_Agricola[Cuenta Contable])*($F$5=Producción_Agricola[Campaña])*(Producción_Agricola[Económico $Corrientes]))*(IF($F$39="Hectárea",1/AJ$61,IF($F$39="Tonelada",1/AJ$62,1))),0)</f>
        <v>0</v>
      </c>
      <c r="AK42" s="10">
        <f>IFERROR(SUMPRODUCT(($F$4=Producción_Agricola[C. Costo Reporte])*(Económico!AK$41=Producción_Agricola[Unidad de Negocio])*(Económico!$E42=Producción_Agricola[Cuenta Contable])*($F$5=Producción_Agricola[Campaña])*(Producción_Agricola[Económico $Corrientes]))*(IF($F$39="Hectárea",1/AK$61,IF($F$39="Tonelada",1/AK$62,1))),0)</f>
        <v>0</v>
      </c>
      <c r="AL42" s="10">
        <f>IFERROR(SUMPRODUCT(($F$4=Producción_Agricola[C. Costo Reporte])*(Económico!AL$41=Producción_Agricola[Unidad de Negocio])*(Económico!$E42=Producción_Agricola[Cuenta Contable])*($F$5=Producción_Agricola[Campaña])*(Producción_Agricola[Económico $Corrientes]))*(IF($F$39="Hectárea",1/AL$61,IF($F$39="Tonelada",1/AL$62,1))),0)</f>
        <v>0</v>
      </c>
      <c r="AM42" s="10">
        <f>IFERROR(SUMPRODUCT(($F$4=Producción_Agricola[C. Costo Reporte])*(Económico!AM$41=Producción_Agricola[Unidad de Negocio])*(Económico!$E42=Producción_Agricola[Cuenta Contable])*($F$5=Producción_Agricola[Campaña])*(Producción_Agricola[Económico $Corrientes]))*(IF($F$39="Hectárea",1/AM$61,IF($F$39="Tonelada",1/AM$62,1))),0)</f>
        <v>0</v>
      </c>
      <c r="AN42" s="249" t="str">
        <f>INDEX(Produccion_Agricola_Cuentas[],MATCH(Tabla2841[[#This Row],[Cuentas Contables]],Produccion_Agricola_Cuentas[Cuenta Contable],0),3)</f>
        <v>Ingreso</v>
      </c>
      <c r="AV42" s="245">
        <f>MATCH(Tabla284150[[#This Row],[Cuentas Contables]],Produccion_Agricola_Cuentas[Cuenta Contable],0)</f>
        <v>1</v>
      </c>
      <c r="AW42" s="32" t="str">
        <f>Tabla28[[#This Row],[Cuentas Contables]]</f>
        <v>Producción Agrícola</v>
      </c>
      <c r="AX42" s="10">
        <f>IFERROR(SUMPRODUCT(($F$4=Producción_Agricola[C. Costo Reporte])*(Económico!AX$41=Producción_Agricola[Unidad de Negocio])*(Económico!$E42=Producción_Agricola[Cuenta Contable])*($F$5=Producción_Agricola[Campaña])*(Producción_Agricola[Económico $Constantes]))*(IF($F$39="Hectárea",1/AX$61,IF($F$39="Tonelada",1/AX$62,1))),0)</f>
        <v>0</v>
      </c>
      <c r="AY42" s="10">
        <f>IFERROR(SUMPRODUCT(($F$4=Producción_Agricola[C. Costo Reporte])*(Económico!AY$41=Producción_Agricola[Unidad de Negocio])*(Económico!$E42=Producción_Agricola[Cuenta Contable])*($F$5=Producción_Agricola[Campaña])*(Producción_Agricola[Económico $Constantes]))*(IF($F$39="Hectárea",1/AY$61,IF($F$39="Tonelada",1/AY$62,1))),0)</f>
        <v>0</v>
      </c>
      <c r="AZ42" s="10">
        <f>IFERROR(SUMPRODUCT(($F$4=Producción_Agricola[C. Costo Reporte])*(Económico!AZ$41=Producción_Agricola[Unidad de Negocio])*(Económico!$E42=Producción_Agricola[Cuenta Contable])*($F$5=Producción_Agricola[Campaña])*(Producción_Agricola[Económico $Constantes]))*(IF($F$39="Hectárea",1/AZ$61,IF($F$39="Tonelada",1/AZ$62,1))),0)</f>
        <v>0</v>
      </c>
      <c r="BA42" s="10">
        <f>IFERROR(SUMPRODUCT(($F$4=Producción_Agricola[C. Costo Reporte])*(Económico!BA$41=Producción_Agricola[Unidad de Negocio])*(Económico!$E42=Producción_Agricola[Cuenta Contable])*($F$5=Producción_Agricola[Campaña])*(Producción_Agricola[Económico $Constantes]))*(IF($F$39="Hectárea",1/BA$61,IF($F$39="Tonelada",1/BA$62,1))),0)</f>
        <v>0</v>
      </c>
      <c r="BB42" s="10">
        <f>IFERROR(SUMPRODUCT(($F$4=Producción_Agricola[C. Costo Reporte])*(Económico!BB$41=Producción_Agricola[Unidad de Negocio])*(Económico!$E42=Producción_Agricola[Cuenta Contable])*($F$5=Producción_Agricola[Campaña])*(Producción_Agricola[Económico $Constantes]))*(IF($F$39="Hectárea",1/BB$61,IF($F$39="Tonelada",1/BB$62,1))),0)</f>
        <v>0</v>
      </c>
      <c r="BC42" s="10">
        <f>IFERROR(SUMPRODUCT(($F$4=Producción_Agricola[C. Costo Reporte])*(Económico!BC$41=Producción_Agricola[Unidad de Negocio])*(Económico!$E42=Producción_Agricola[Cuenta Contable])*($F$5=Producción_Agricola[Campaña])*(Producción_Agricola[Económico $Constantes]))*(IF($F$39="Hectárea",1/BC$61,IF($F$39="Tonelada",1/BC$62,1))),0)</f>
        <v>0</v>
      </c>
      <c r="BD42" s="10">
        <f>IFERROR(SUMPRODUCT(($F$4=Producción_Agricola[C. Costo Reporte])*(Económico!BD$41=Producción_Agricola[Unidad de Negocio])*(Económico!$E42=Producción_Agricola[Cuenta Contable])*($F$5=Producción_Agricola[Campaña])*(Producción_Agricola[Económico $Constantes]))*(IF($F$39="Hectárea",1/BD$61,IF($F$39="Tonelada",1/BD$62,1))),0)</f>
        <v>0</v>
      </c>
      <c r="BE42" s="10">
        <f>IFERROR(SUMPRODUCT(($F$4=Producción_Agricola[C. Costo Reporte])*(Económico!BE$41=Producción_Agricola[Unidad de Negocio])*(Económico!$E42=Producción_Agricola[Cuenta Contable])*($F$5=Producción_Agricola[Campaña])*(Producción_Agricola[Económico $Constantes]))*(IF($F$39="Hectárea",1/BE$61,IF($F$39="Tonelada",1/BE$62,1))),0)</f>
        <v>0</v>
      </c>
      <c r="BF42" s="10">
        <f>IFERROR(SUMPRODUCT(($F$4=Producción_Agricola[C. Costo Reporte])*(Económico!BF$41=Producción_Agricola[Unidad de Negocio])*(Económico!$E42=Producción_Agricola[Cuenta Contable])*($F$5=Producción_Agricola[Campaña])*(Producción_Agricola[Económico $Constantes]))*(IF($F$39="Hectárea",1/BF$61,IF($F$39="Tonelada",1/BF$62,1))),0)</f>
        <v>0</v>
      </c>
      <c r="BG42" s="10">
        <f>IFERROR(SUMPRODUCT(($F$4=Producción_Agricola[C. Costo Reporte])*(Económico!BG$41=Producción_Agricola[Unidad de Negocio])*(Económico!$E42=Producción_Agricola[Cuenta Contable])*($F$5=Producción_Agricola[Campaña])*(Producción_Agricola[Económico $Constantes]))*(IF($F$39="Hectárea",1/BG$61,IF($F$39="Tonelada",1/BG$62,1))),0)</f>
        <v>0</v>
      </c>
      <c r="BH42" s="10">
        <f>IFERROR(SUMPRODUCT(($F$4=Producción_Agricola[C. Costo Reporte])*(Económico!BH$41=Producción_Agricola[Unidad de Negocio])*(Económico!$E42=Producción_Agricola[Cuenta Contable])*($F$5=Producción_Agricola[Campaña])*(Producción_Agricola[Económico $Constantes]))*(IF($F$39="Hectárea",1/BH$61,IF($F$39="Tonelada",1/BH$62,1))),0)</f>
        <v>0</v>
      </c>
      <c r="BI42" s="10">
        <f>IFERROR(SUMPRODUCT(($F$4=Producción_Agricola[C. Costo Reporte])*(Económico!BI$41=Producción_Agricola[Unidad de Negocio])*(Económico!$E42=Producción_Agricola[Cuenta Contable])*($F$5=Producción_Agricola[Campaña])*(Producción_Agricola[Económico $Constantes]))*(IF($F$39="Hectárea",1/BI$61,IF($F$39="Tonelada",1/BI$62,1))),0)</f>
        <v>0</v>
      </c>
      <c r="BJ42" s="249" t="str">
        <f>INDEX(Produccion_Agricola_Cuentas[],MATCH(Tabla284150[[#This Row],[Cuentas Contables]],Produccion_Agricola_Cuentas[Cuenta Contable],0),3)</f>
        <v>Ingreso</v>
      </c>
    </row>
    <row r="43" spans="2:62" x14ac:dyDescent="0.25">
      <c r="D43" s="245">
        <f>MATCH(Tabla28[[#This Row],[Cuentas Contables]],Produccion_Agricola_Cuentas[Cuenta Contable],0)</f>
        <v>12</v>
      </c>
      <c r="E43" s="116" t="s">
        <v>43</v>
      </c>
      <c r="F43" s="10">
        <f>IFERROR(SUMPRODUCT(($F$4=Producción_Agricola[C. Costo Reporte])*(Económico!F$41=Producción_Agricola[Unidad de Negocio])*(Económico!$E43=Producción_Agricola[Cuenta Contable])*($F$5=Producción_Agricola[Campaña])*(Producción_Agricola[Económico U$S Dólares]))*(IF($F$39="Hectárea",1/F$61,IF($F$39="Tonelada",1/F$62,1))),0)</f>
        <v>0</v>
      </c>
      <c r="G43" s="10">
        <f>IFERROR(SUMPRODUCT(($F$4=Producción_Agricola[C. Costo Reporte])*(Económico!G$41=Producción_Agricola[Unidad de Negocio])*(Económico!$E43=Producción_Agricola[Cuenta Contable])*($F$5=Producción_Agricola[Campaña])*(Producción_Agricola[Económico U$S Dólares]))*(IF($F$39="Hectárea",1/G$61,IF($F$39="Tonelada",1/G$62,1))),0)</f>
        <v>0</v>
      </c>
      <c r="H43" s="10">
        <f>IFERROR(SUMPRODUCT(($F$4=Producción_Agricola[C. Costo Reporte])*(Económico!H$41=Producción_Agricola[Unidad de Negocio])*(Económico!$E43=Producción_Agricola[Cuenta Contable])*($F$5=Producción_Agricola[Campaña])*(Producción_Agricola[Económico U$S Dólares]))*(IF($F$39="Hectárea",1/H$61,IF($F$39="Tonelada",1/H$62,1))),0)</f>
        <v>0</v>
      </c>
      <c r="I43" s="10">
        <f>IFERROR(SUMPRODUCT(($F$4=Producción_Agricola[C. Costo Reporte])*(Económico!I$41=Producción_Agricola[Unidad de Negocio])*(Económico!$E43=Producción_Agricola[Cuenta Contable])*($F$5=Producción_Agricola[Campaña])*(Producción_Agricola[Económico U$S Dólares]))*(IF($F$39="Hectárea",1/I$61,IF($F$39="Tonelada",1/I$62,1))),0)</f>
        <v>0</v>
      </c>
      <c r="J43" s="10">
        <f>IFERROR(SUMPRODUCT(($F$4=Producción_Agricola[C. Costo Reporte])*(Económico!J$41=Producción_Agricola[Unidad de Negocio])*(Económico!$E43=Producción_Agricola[Cuenta Contable])*($F$5=Producción_Agricola[Campaña])*(Producción_Agricola[Económico U$S Dólares]))*(IF($F$39="Hectárea",1/J$61,IF($F$39="Tonelada",1/J$62,1))),0)</f>
        <v>0</v>
      </c>
      <c r="K43" s="10">
        <f>IFERROR(SUMPRODUCT(($F$4=Producción_Agricola[C. Costo Reporte])*(Económico!K$41=Producción_Agricola[Unidad de Negocio])*(Económico!$E43=Producción_Agricola[Cuenta Contable])*($F$5=Producción_Agricola[Campaña])*(Producción_Agricola[Económico U$S Dólares]))*(IF($F$39="Hectárea",1/K$61,IF($F$39="Tonelada",1/K$62,1))),0)</f>
        <v>0</v>
      </c>
      <c r="L43" s="10">
        <f>IFERROR(SUMPRODUCT(($F$4=Producción_Agricola[C. Costo Reporte])*(Económico!L$41=Producción_Agricola[Unidad de Negocio])*(Económico!$E43=Producción_Agricola[Cuenta Contable])*($F$5=Producción_Agricola[Campaña])*(Producción_Agricola[Económico U$S Dólares]))*(IF($F$39="Hectárea",1/L$61,IF($F$39="Tonelada",1/L$62,1))),0)</f>
        <v>0</v>
      </c>
      <c r="M43" s="10">
        <f>IFERROR(SUMPRODUCT(($F$4=Producción_Agricola[C. Costo Reporte])*(Económico!M$41=Producción_Agricola[Unidad de Negocio])*(Económico!$E43=Producción_Agricola[Cuenta Contable])*($F$5=Producción_Agricola[Campaña])*(Producción_Agricola[Económico U$S Dólares]))*(IF($F$39="Hectárea",1/M$61,IF($F$39="Tonelada",1/M$62,1))),0)</f>
        <v>0</v>
      </c>
      <c r="N43" s="10">
        <f>IFERROR(SUMPRODUCT(($F$4=Producción_Agricola[C. Costo Reporte])*(Económico!N$41=Producción_Agricola[Unidad de Negocio])*(Económico!$E43=Producción_Agricola[Cuenta Contable])*($F$5=Producción_Agricola[Campaña])*(Producción_Agricola[Económico U$S Dólares]))*(IF($F$39="Hectárea",1/N$61,IF($F$39="Tonelada",1/N$62,1))),0)</f>
        <v>0</v>
      </c>
      <c r="O43" s="10">
        <f>IFERROR(SUMPRODUCT(($F$4=Producción_Agricola[C. Costo Reporte])*(Económico!O$41=Producción_Agricola[Unidad de Negocio])*(Económico!$E43=Producción_Agricola[Cuenta Contable])*($F$5=Producción_Agricola[Campaña])*(Producción_Agricola[Económico U$S Dólares]))*(IF($F$39="Hectárea",1/O$61,IF($F$39="Tonelada",1/O$62,1))),0)</f>
        <v>0</v>
      </c>
      <c r="P43" s="10">
        <f>IFERROR(SUMPRODUCT(($F$4=Producción_Agricola[C. Costo Reporte])*(Económico!P$41=Producción_Agricola[Unidad de Negocio])*(Económico!$E43=Producción_Agricola[Cuenta Contable])*($F$5=Producción_Agricola[Campaña])*(Producción_Agricola[Económico U$S Dólares]))*(IF($F$39="Hectárea",1/P$61,IF($F$39="Tonelada",1/P$62,1))),0)</f>
        <v>0</v>
      </c>
      <c r="Q43" s="10">
        <f>IFERROR(SUMPRODUCT(($F$4=Producción_Agricola[C. Costo Reporte])*(Económico!Q$41=Producción_Agricola[Unidad de Negocio])*(Económico!$E43=Producción_Agricola[Cuenta Contable])*($F$5=Producción_Agricola[Campaña])*(Producción_Agricola[Económico U$S Dólares]))*(IF($F$39="Hectárea",1/Q$61,IF($F$39="Tonelada",1/Q$62,1))),0)</f>
        <v>0</v>
      </c>
      <c r="R43" s="249" t="str">
        <f>INDEX(Produccion_Agricola_Cuentas[],MATCH(Tabla28[[#This Row],[Cuentas Contables]],Produccion_Agricola_Cuentas[Cuenta Contable],0),3)</f>
        <v>Gasto Variable</v>
      </c>
      <c r="Z43" s="245">
        <f>MATCH(Tabla2841[[#This Row],[Cuentas Contables]],Produccion_Agricola_Cuentas[Cuenta Contable],0)</f>
        <v>12</v>
      </c>
      <c r="AA43" s="32" t="str">
        <f>Tabla28[[#This Row],[Cuentas Contables]]</f>
        <v>Cosecha</v>
      </c>
      <c r="AB43" s="10">
        <f>IFERROR(SUMPRODUCT(($F$4=Producción_Agricola[C. Costo Reporte])*(Económico!AB$41=Producción_Agricola[Unidad de Negocio])*(Económico!$E43=Producción_Agricola[Cuenta Contable])*($F$5=Producción_Agricola[Campaña])*(Producción_Agricola[Económico $Corrientes]))*(IF($F$39="Hectárea",1/AB$61,IF($F$39="Tonelada",1/AB$62,1))),0)</f>
        <v>0</v>
      </c>
      <c r="AC43" s="10">
        <f>IFERROR(SUMPRODUCT(($F$4=Producción_Agricola[C. Costo Reporte])*(Económico!AC$41=Producción_Agricola[Unidad de Negocio])*(Económico!$E43=Producción_Agricola[Cuenta Contable])*($F$5=Producción_Agricola[Campaña])*(Producción_Agricola[Económico $Corrientes]))*(IF($F$39="Hectárea",1/AC$61,IF($F$39="Tonelada",1/AC$62,1))),0)</f>
        <v>0</v>
      </c>
      <c r="AD43" s="10">
        <f>IFERROR(SUMPRODUCT(($F$4=Producción_Agricola[C. Costo Reporte])*(Económico!AD$41=Producción_Agricola[Unidad de Negocio])*(Económico!$E43=Producción_Agricola[Cuenta Contable])*($F$5=Producción_Agricola[Campaña])*(Producción_Agricola[Económico $Corrientes]))*(IF($F$39="Hectárea",1/AD$61,IF($F$39="Tonelada",1/AD$62,1))),0)</f>
        <v>0</v>
      </c>
      <c r="AE43" s="10">
        <f>IFERROR(SUMPRODUCT(($F$4=Producción_Agricola[C. Costo Reporte])*(Económico!AE$41=Producción_Agricola[Unidad de Negocio])*(Económico!$E43=Producción_Agricola[Cuenta Contable])*($F$5=Producción_Agricola[Campaña])*(Producción_Agricola[Económico $Corrientes]))*(IF($F$39="Hectárea",1/AE$61,IF($F$39="Tonelada",1/AE$62,1))),0)</f>
        <v>0</v>
      </c>
      <c r="AF43" s="10">
        <f>IFERROR(SUMPRODUCT(($F$4=Producción_Agricola[C. Costo Reporte])*(Económico!AF$41=Producción_Agricola[Unidad de Negocio])*(Económico!$E43=Producción_Agricola[Cuenta Contable])*($F$5=Producción_Agricola[Campaña])*(Producción_Agricola[Económico $Corrientes]))*(IF($F$39="Hectárea",1/AF$61,IF($F$39="Tonelada",1/AF$62,1))),0)</f>
        <v>0</v>
      </c>
      <c r="AG43" s="10">
        <f>IFERROR(SUMPRODUCT(($F$4=Producción_Agricola[C. Costo Reporte])*(Económico!AG$41=Producción_Agricola[Unidad de Negocio])*(Económico!$E43=Producción_Agricola[Cuenta Contable])*($F$5=Producción_Agricola[Campaña])*(Producción_Agricola[Económico $Corrientes]))*(IF($F$39="Hectárea",1/AG$61,IF($F$39="Tonelada",1/AG$62,1))),0)</f>
        <v>0</v>
      </c>
      <c r="AH43" s="10">
        <f>IFERROR(SUMPRODUCT(($F$4=Producción_Agricola[C. Costo Reporte])*(Económico!AH$41=Producción_Agricola[Unidad de Negocio])*(Económico!$E43=Producción_Agricola[Cuenta Contable])*($F$5=Producción_Agricola[Campaña])*(Producción_Agricola[Económico $Corrientes]))*(IF($F$39="Hectárea",1/AH$61,IF($F$39="Tonelada",1/AH$62,1))),0)</f>
        <v>0</v>
      </c>
      <c r="AI43" s="10">
        <f>IFERROR(SUMPRODUCT(($F$4=Producción_Agricola[C. Costo Reporte])*(Económico!AI$41=Producción_Agricola[Unidad de Negocio])*(Económico!$E43=Producción_Agricola[Cuenta Contable])*($F$5=Producción_Agricola[Campaña])*(Producción_Agricola[Económico $Corrientes]))*(IF($F$39="Hectárea",1/AI$61,IF($F$39="Tonelada",1/AI$62,1))),0)</f>
        <v>0</v>
      </c>
      <c r="AJ43" s="10">
        <f>IFERROR(SUMPRODUCT(($F$4=Producción_Agricola[C. Costo Reporte])*(Económico!AJ$41=Producción_Agricola[Unidad de Negocio])*(Económico!$E43=Producción_Agricola[Cuenta Contable])*($F$5=Producción_Agricola[Campaña])*(Producción_Agricola[Económico $Corrientes]))*(IF($F$39="Hectárea",1/AJ$61,IF($F$39="Tonelada",1/AJ$62,1))),0)</f>
        <v>0</v>
      </c>
      <c r="AK43" s="10">
        <f>IFERROR(SUMPRODUCT(($F$4=Producción_Agricola[C. Costo Reporte])*(Económico!AK$41=Producción_Agricola[Unidad de Negocio])*(Económico!$E43=Producción_Agricola[Cuenta Contable])*($F$5=Producción_Agricola[Campaña])*(Producción_Agricola[Económico $Corrientes]))*(IF($F$39="Hectárea",1/AK$61,IF($F$39="Tonelada",1/AK$62,1))),0)</f>
        <v>0</v>
      </c>
      <c r="AL43" s="10">
        <f>IFERROR(SUMPRODUCT(($F$4=Producción_Agricola[C. Costo Reporte])*(Económico!AL$41=Producción_Agricola[Unidad de Negocio])*(Económico!$E43=Producción_Agricola[Cuenta Contable])*($F$5=Producción_Agricola[Campaña])*(Producción_Agricola[Económico $Corrientes]))*(IF($F$39="Hectárea",1/AL$61,IF($F$39="Tonelada",1/AL$62,1))),0)</f>
        <v>0</v>
      </c>
      <c r="AM43" s="10">
        <f>IFERROR(SUMPRODUCT(($F$4=Producción_Agricola[C. Costo Reporte])*(Económico!AM$41=Producción_Agricola[Unidad de Negocio])*(Económico!$E43=Producción_Agricola[Cuenta Contable])*($F$5=Producción_Agricola[Campaña])*(Producción_Agricola[Económico $Corrientes]))*(IF($F$39="Hectárea",1/AM$61,IF($F$39="Tonelada",1/AM$62,1))),0)</f>
        <v>0</v>
      </c>
      <c r="AN43" s="249" t="str">
        <f>INDEX(Produccion_Agricola_Cuentas[],MATCH(Tabla2841[[#This Row],[Cuentas Contables]],Produccion_Agricola_Cuentas[Cuenta Contable],0),3)</f>
        <v>Gasto Variable</v>
      </c>
      <c r="AV43" s="245">
        <f>MATCH(Tabla284150[[#This Row],[Cuentas Contables]],Produccion_Agricola_Cuentas[Cuenta Contable],0)</f>
        <v>12</v>
      </c>
      <c r="AW43" s="32" t="str">
        <f>Tabla28[[#This Row],[Cuentas Contables]]</f>
        <v>Cosecha</v>
      </c>
      <c r="AX43" s="10">
        <f>IFERROR(SUMPRODUCT(($F$4=Producción_Agricola[C. Costo Reporte])*(Económico!AX$41=Producción_Agricola[Unidad de Negocio])*(Económico!$E43=Producción_Agricola[Cuenta Contable])*($F$5=Producción_Agricola[Campaña])*(Producción_Agricola[Económico $Constantes]))*(IF($F$39="Hectárea",1/AX$61,IF($F$39="Tonelada",1/AX$62,1))),0)</f>
        <v>0</v>
      </c>
      <c r="AY43" s="10">
        <f>IFERROR(SUMPRODUCT(($F$4=Producción_Agricola[C. Costo Reporte])*(Económico!AY$41=Producción_Agricola[Unidad de Negocio])*(Económico!$E43=Producción_Agricola[Cuenta Contable])*($F$5=Producción_Agricola[Campaña])*(Producción_Agricola[Económico $Constantes]))*(IF($F$39="Hectárea",1/AY$61,IF($F$39="Tonelada",1/AY$62,1))),0)</f>
        <v>0</v>
      </c>
      <c r="AZ43" s="10">
        <f>IFERROR(SUMPRODUCT(($F$4=Producción_Agricola[C. Costo Reporte])*(Económico!AZ$41=Producción_Agricola[Unidad de Negocio])*(Económico!$E43=Producción_Agricola[Cuenta Contable])*($F$5=Producción_Agricola[Campaña])*(Producción_Agricola[Económico $Constantes]))*(IF($F$39="Hectárea",1/AZ$61,IF($F$39="Tonelada",1/AZ$62,1))),0)</f>
        <v>0</v>
      </c>
      <c r="BA43" s="10">
        <f>IFERROR(SUMPRODUCT(($F$4=Producción_Agricola[C. Costo Reporte])*(Económico!BA$41=Producción_Agricola[Unidad de Negocio])*(Económico!$E43=Producción_Agricola[Cuenta Contable])*($F$5=Producción_Agricola[Campaña])*(Producción_Agricola[Económico $Constantes]))*(IF($F$39="Hectárea",1/BA$61,IF($F$39="Tonelada",1/BA$62,1))),0)</f>
        <v>0</v>
      </c>
      <c r="BB43" s="10">
        <f>IFERROR(SUMPRODUCT(($F$4=Producción_Agricola[C. Costo Reporte])*(Económico!BB$41=Producción_Agricola[Unidad de Negocio])*(Económico!$E43=Producción_Agricola[Cuenta Contable])*($F$5=Producción_Agricola[Campaña])*(Producción_Agricola[Económico $Constantes]))*(IF($F$39="Hectárea",1/BB$61,IF($F$39="Tonelada",1/BB$62,1))),0)</f>
        <v>0</v>
      </c>
      <c r="BC43" s="10">
        <f>IFERROR(SUMPRODUCT(($F$4=Producción_Agricola[C. Costo Reporte])*(Económico!BC$41=Producción_Agricola[Unidad de Negocio])*(Económico!$E43=Producción_Agricola[Cuenta Contable])*($F$5=Producción_Agricola[Campaña])*(Producción_Agricola[Económico $Constantes]))*(IF($F$39="Hectárea",1/BC$61,IF($F$39="Tonelada",1/BC$62,1))),0)</f>
        <v>0</v>
      </c>
      <c r="BD43" s="10">
        <f>IFERROR(SUMPRODUCT(($F$4=Producción_Agricola[C. Costo Reporte])*(Económico!BD$41=Producción_Agricola[Unidad de Negocio])*(Económico!$E43=Producción_Agricola[Cuenta Contable])*($F$5=Producción_Agricola[Campaña])*(Producción_Agricola[Económico $Constantes]))*(IF($F$39="Hectárea",1/BD$61,IF($F$39="Tonelada",1/BD$62,1))),0)</f>
        <v>0</v>
      </c>
      <c r="BE43" s="10">
        <f>IFERROR(SUMPRODUCT(($F$4=Producción_Agricola[C. Costo Reporte])*(Económico!BE$41=Producción_Agricola[Unidad de Negocio])*(Económico!$E43=Producción_Agricola[Cuenta Contable])*($F$5=Producción_Agricola[Campaña])*(Producción_Agricola[Económico $Constantes]))*(IF($F$39="Hectárea",1/BE$61,IF($F$39="Tonelada",1/BE$62,1))),0)</f>
        <v>0</v>
      </c>
      <c r="BF43" s="10">
        <f>IFERROR(SUMPRODUCT(($F$4=Producción_Agricola[C. Costo Reporte])*(Económico!BF$41=Producción_Agricola[Unidad de Negocio])*(Económico!$E43=Producción_Agricola[Cuenta Contable])*($F$5=Producción_Agricola[Campaña])*(Producción_Agricola[Económico $Constantes]))*(IF($F$39="Hectárea",1/BF$61,IF($F$39="Tonelada",1/BF$62,1))),0)</f>
        <v>0</v>
      </c>
      <c r="BG43" s="10">
        <f>IFERROR(SUMPRODUCT(($F$4=Producción_Agricola[C. Costo Reporte])*(Económico!BG$41=Producción_Agricola[Unidad de Negocio])*(Económico!$E43=Producción_Agricola[Cuenta Contable])*($F$5=Producción_Agricola[Campaña])*(Producción_Agricola[Económico $Constantes]))*(IF($F$39="Hectárea",1/BG$61,IF($F$39="Tonelada",1/BG$62,1))),0)</f>
        <v>0</v>
      </c>
      <c r="BH43" s="10">
        <f>IFERROR(SUMPRODUCT(($F$4=Producción_Agricola[C. Costo Reporte])*(Económico!BH$41=Producción_Agricola[Unidad de Negocio])*(Económico!$E43=Producción_Agricola[Cuenta Contable])*($F$5=Producción_Agricola[Campaña])*(Producción_Agricola[Económico $Constantes]))*(IF($F$39="Hectárea",1/BH$61,IF($F$39="Tonelada",1/BH$62,1))),0)</f>
        <v>0</v>
      </c>
      <c r="BI43" s="10">
        <f>IFERROR(SUMPRODUCT(($F$4=Producción_Agricola[C. Costo Reporte])*(Económico!BI$41=Producción_Agricola[Unidad de Negocio])*(Económico!$E43=Producción_Agricola[Cuenta Contable])*($F$5=Producción_Agricola[Campaña])*(Producción_Agricola[Económico $Constantes]))*(IF($F$39="Hectárea",1/BI$61,IF($F$39="Tonelada",1/BI$62,1))),0)</f>
        <v>0</v>
      </c>
      <c r="BJ43" s="249" t="str">
        <f>INDEX(Produccion_Agricola_Cuentas[],MATCH(Tabla284150[[#This Row],[Cuentas Contables]],Produccion_Agricola_Cuentas[Cuenta Contable],0),3)</f>
        <v>Gasto Variable</v>
      </c>
    </row>
    <row r="44" spans="2:62" x14ac:dyDescent="0.25">
      <c r="D44" s="245">
        <f>MATCH(Tabla28[[#This Row],[Cuentas Contables]],Produccion_Agricola_Cuentas[Cuenta Contable],0)</f>
        <v>16</v>
      </c>
      <c r="E44" s="116" t="s">
        <v>204</v>
      </c>
      <c r="F44" s="10">
        <f>IFERROR(SUMPRODUCT(($F$4=Producción_Agricola[C. Costo Reporte])*(Económico!F$41=Producción_Agricola[Unidad de Negocio])*(Económico!$E44=Producción_Agricola[Cuenta Contable])*($F$5=Producción_Agricola[Campaña])*(Producción_Agricola[Económico U$S Dólares]))*(IF($F$39="Hectárea",1/F$61,IF($F$39="Tonelada",1/F$62,1))),0)</f>
        <v>0</v>
      </c>
      <c r="G44" s="10">
        <f>IFERROR(SUMPRODUCT(($F$4=Producción_Agricola[C. Costo Reporte])*(Económico!G$41=Producción_Agricola[Unidad de Negocio])*(Económico!$E44=Producción_Agricola[Cuenta Contable])*($F$5=Producción_Agricola[Campaña])*(Producción_Agricola[Económico U$S Dólares]))*(IF($F$39="Hectárea",1/G$61,IF($F$39="Tonelada",1/G$62,1))),0)</f>
        <v>0</v>
      </c>
      <c r="H44" s="10">
        <f>IFERROR(SUMPRODUCT(($F$4=Producción_Agricola[C. Costo Reporte])*(Económico!H$41=Producción_Agricola[Unidad de Negocio])*(Económico!$E44=Producción_Agricola[Cuenta Contable])*($F$5=Producción_Agricola[Campaña])*(Producción_Agricola[Económico U$S Dólares]))*(IF($F$39="Hectárea",1/H$61,IF($F$39="Tonelada",1/H$62,1))),0)</f>
        <v>0</v>
      </c>
      <c r="I44" s="10">
        <f>IFERROR(SUMPRODUCT(($F$4=Producción_Agricola[C. Costo Reporte])*(Económico!I$41=Producción_Agricola[Unidad de Negocio])*(Económico!$E44=Producción_Agricola[Cuenta Contable])*($F$5=Producción_Agricola[Campaña])*(Producción_Agricola[Económico U$S Dólares]))*(IF($F$39="Hectárea",1/I$61,IF($F$39="Tonelada",1/I$62,1))),0)</f>
        <v>0</v>
      </c>
      <c r="J44" s="10">
        <f>IFERROR(SUMPRODUCT(($F$4=Producción_Agricola[C. Costo Reporte])*(Económico!J$41=Producción_Agricola[Unidad de Negocio])*(Económico!$E44=Producción_Agricola[Cuenta Contable])*($F$5=Producción_Agricola[Campaña])*(Producción_Agricola[Económico U$S Dólares]))*(IF($F$39="Hectárea",1/J$61,IF($F$39="Tonelada",1/J$62,1))),0)</f>
        <v>0</v>
      </c>
      <c r="K44" s="10">
        <f>IFERROR(SUMPRODUCT(($F$4=Producción_Agricola[C. Costo Reporte])*(Económico!K$41=Producción_Agricola[Unidad de Negocio])*(Económico!$E44=Producción_Agricola[Cuenta Contable])*($F$5=Producción_Agricola[Campaña])*(Producción_Agricola[Económico U$S Dólares]))*(IF($F$39="Hectárea",1/K$61,IF($F$39="Tonelada",1/K$62,1))),0)</f>
        <v>0</v>
      </c>
      <c r="L44" s="10">
        <f>IFERROR(SUMPRODUCT(($F$4=Producción_Agricola[C. Costo Reporte])*(Económico!L$41=Producción_Agricola[Unidad de Negocio])*(Económico!$E44=Producción_Agricola[Cuenta Contable])*($F$5=Producción_Agricola[Campaña])*(Producción_Agricola[Económico U$S Dólares]))*(IF($F$39="Hectárea",1/L$61,IF($F$39="Tonelada",1/L$62,1))),0)</f>
        <v>0</v>
      </c>
      <c r="M44" s="10">
        <f>IFERROR(SUMPRODUCT(($F$4=Producción_Agricola[C. Costo Reporte])*(Económico!M$41=Producción_Agricola[Unidad de Negocio])*(Económico!$E44=Producción_Agricola[Cuenta Contable])*($F$5=Producción_Agricola[Campaña])*(Producción_Agricola[Económico U$S Dólares]))*(IF($F$39="Hectárea",1/M$61,IF($F$39="Tonelada",1/M$62,1))),0)</f>
        <v>0</v>
      </c>
      <c r="N44" s="10">
        <f>IFERROR(SUMPRODUCT(($F$4=Producción_Agricola[C. Costo Reporte])*(Económico!N$41=Producción_Agricola[Unidad de Negocio])*(Económico!$E44=Producción_Agricola[Cuenta Contable])*($F$5=Producción_Agricola[Campaña])*(Producción_Agricola[Económico U$S Dólares]))*(IF($F$39="Hectárea",1/N$61,IF($F$39="Tonelada",1/N$62,1))),0)</f>
        <v>0</v>
      </c>
      <c r="O44" s="10">
        <f>IFERROR(SUMPRODUCT(($F$4=Producción_Agricola[C. Costo Reporte])*(Económico!O$41=Producción_Agricola[Unidad de Negocio])*(Económico!$E44=Producción_Agricola[Cuenta Contable])*($F$5=Producción_Agricola[Campaña])*(Producción_Agricola[Económico U$S Dólares]))*(IF($F$39="Hectárea",1/O$61,IF($F$39="Tonelada",1/O$62,1))),0)</f>
        <v>0</v>
      </c>
      <c r="P44" s="10">
        <f>IFERROR(SUMPRODUCT(($F$4=Producción_Agricola[C. Costo Reporte])*(Económico!P$41=Producción_Agricola[Unidad de Negocio])*(Económico!$E44=Producción_Agricola[Cuenta Contable])*($F$5=Producción_Agricola[Campaña])*(Producción_Agricola[Económico U$S Dólares]))*(IF($F$39="Hectárea",1/P$61,IF($F$39="Tonelada",1/P$62,1))),0)</f>
        <v>0</v>
      </c>
      <c r="Q44" s="10">
        <f>IFERROR(SUMPRODUCT(($F$4=Producción_Agricola[C. Costo Reporte])*(Económico!Q$41=Producción_Agricola[Unidad de Negocio])*(Económico!$E44=Producción_Agricola[Cuenta Contable])*($F$5=Producción_Agricola[Campaña])*(Producción_Agricola[Económico U$S Dólares]))*(IF($F$39="Hectárea",1/Q$61,IF($F$39="Tonelada",1/Q$62,1))),0)</f>
        <v>0</v>
      </c>
      <c r="R44" s="249" t="str">
        <f>INDEX(Produccion_Agricola_Cuentas[],MATCH(Tabla28[[#This Row],[Cuentas Contables]],Produccion_Agricola_Cuentas[Cuenta Contable],0),3)</f>
        <v>Gasto Variable</v>
      </c>
      <c r="Z44" s="245">
        <f>MATCH(Tabla2841[[#This Row],[Cuentas Contables]],Produccion_Agricola_Cuentas[Cuenta Contable],0)</f>
        <v>16</v>
      </c>
      <c r="AA44" s="32" t="str">
        <f>Tabla28[[#This Row],[Cuentas Contables]]</f>
        <v>Cosecha Propia</v>
      </c>
      <c r="AB44" s="10">
        <f>IFERROR(SUMPRODUCT(($F$4=Producción_Agricola[C. Costo Reporte])*(Económico!AB$41=Producción_Agricola[Unidad de Negocio])*(Económico!$E44=Producción_Agricola[Cuenta Contable])*($F$5=Producción_Agricola[Campaña])*(Producción_Agricola[Económico $Corrientes]))*(IF($F$39="Hectárea",1/AB$61,IF($F$39="Tonelada",1/AB$62,1))),0)</f>
        <v>0</v>
      </c>
      <c r="AC44" s="10">
        <f>IFERROR(SUMPRODUCT(($F$4=Producción_Agricola[C. Costo Reporte])*(Económico!AC$41=Producción_Agricola[Unidad de Negocio])*(Económico!$E44=Producción_Agricola[Cuenta Contable])*($F$5=Producción_Agricola[Campaña])*(Producción_Agricola[Económico $Corrientes]))*(IF($F$39="Hectárea",1/AC$61,IF($F$39="Tonelada",1/AC$62,1))),0)</f>
        <v>0</v>
      </c>
      <c r="AD44" s="10">
        <f>IFERROR(SUMPRODUCT(($F$4=Producción_Agricola[C. Costo Reporte])*(Económico!AD$41=Producción_Agricola[Unidad de Negocio])*(Económico!$E44=Producción_Agricola[Cuenta Contable])*($F$5=Producción_Agricola[Campaña])*(Producción_Agricola[Económico $Corrientes]))*(IF($F$39="Hectárea",1/AD$61,IF($F$39="Tonelada",1/AD$62,1))),0)</f>
        <v>0</v>
      </c>
      <c r="AE44" s="10">
        <f>IFERROR(SUMPRODUCT(($F$4=Producción_Agricola[C. Costo Reporte])*(Económico!AE$41=Producción_Agricola[Unidad de Negocio])*(Económico!$E44=Producción_Agricola[Cuenta Contable])*($F$5=Producción_Agricola[Campaña])*(Producción_Agricola[Económico $Corrientes]))*(IF($F$39="Hectárea",1/AE$61,IF($F$39="Tonelada",1/AE$62,1))),0)</f>
        <v>0</v>
      </c>
      <c r="AF44" s="10">
        <f>IFERROR(SUMPRODUCT(($F$4=Producción_Agricola[C. Costo Reporte])*(Económico!AF$41=Producción_Agricola[Unidad de Negocio])*(Económico!$E44=Producción_Agricola[Cuenta Contable])*($F$5=Producción_Agricola[Campaña])*(Producción_Agricola[Económico $Corrientes]))*(IF($F$39="Hectárea",1/AF$61,IF($F$39="Tonelada",1/AF$62,1))),0)</f>
        <v>0</v>
      </c>
      <c r="AG44" s="10">
        <f>IFERROR(SUMPRODUCT(($F$4=Producción_Agricola[C. Costo Reporte])*(Económico!AG$41=Producción_Agricola[Unidad de Negocio])*(Económico!$E44=Producción_Agricola[Cuenta Contable])*($F$5=Producción_Agricola[Campaña])*(Producción_Agricola[Económico $Corrientes]))*(IF($F$39="Hectárea",1/AG$61,IF($F$39="Tonelada",1/AG$62,1))),0)</f>
        <v>0</v>
      </c>
      <c r="AH44" s="10">
        <f>IFERROR(SUMPRODUCT(($F$4=Producción_Agricola[C. Costo Reporte])*(Económico!AH$41=Producción_Agricola[Unidad de Negocio])*(Económico!$E44=Producción_Agricola[Cuenta Contable])*($F$5=Producción_Agricola[Campaña])*(Producción_Agricola[Económico $Corrientes]))*(IF($F$39="Hectárea",1/AH$61,IF($F$39="Tonelada",1/AH$62,1))),0)</f>
        <v>0</v>
      </c>
      <c r="AI44" s="10">
        <f>IFERROR(SUMPRODUCT(($F$4=Producción_Agricola[C. Costo Reporte])*(Económico!AI$41=Producción_Agricola[Unidad de Negocio])*(Económico!$E44=Producción_Agricola[Cuenta Contable])*($F$5=Producción_Agricola[Campaña])*(Producción_Agricola[Económico $Corrientes]))*(IF($F$39="Hectárea",1/AI$61,IF($F$39="Tonelada",1/AI$62,1))),0)</f>
        <v>0</v>
      </c>
      <c r="AJ44" s="10">
        <f>IFERROR(SUMPRODUCT(($F$4=Producción_Agricola[C. Costo Reporte])*(Económico!AJ$41=Producción_Agricola[Unidad de Negocio])*(Económico!$E44=Producción_Agricola[Cuenta Contable])*($F$5=Producción_Agricola[Campaña])*(Producción_Agricola[Económico $Corrientes]))*(IF($F$39="Hectárea",1/AJ$61,IF($F$39="Tonelada",1/AJ$62,1))),0)</f>
        <v>0</v>
      </c>
      <c r="AK44" s="10">
        <f>IFERROR(SUMPRODUCT(($F$4=Producción_Agricola[C. Costo Reporte])*(Económico!AK$41=Producción_Agricola[Unidad de Negocio])*(Económico!$E44=Producción_Agricola[Cuenta Contable])*($F$5=Producción_Agricola[Campaña])*(Producción_Agricola[Económico $Corrientes]))*(IF($F$39="Hectárea",1/AK$61,IF($F$39="Tonelada",1/AK$62,1))),0)</f>
        <v>0</v>
      </c>
      <c r="AL44" s="10">
        <f>IFERROR(SUMPRODUCT(($F$4=Producción_Agricola[C. Costo Reporte])*(Económico!AL$41=Producción_Agricola[Unidad de Negocio])*(Económico!$E44=Producción_Agricola[Cuenta Contable])*($F$5=Producción_Agricola[Campaña])*(Producción_Agricola[Económico $Corrientes]))*(IF($F$39="Hectárea",1/AL$61,IF($F$39="Tonelada",1/AL$62,1))),0)</f>
        <v>0</v>
      </c>
      <c r="AM44" s="10">
        <f>IFERROR(SUMPRODUCT(($F$4=Producción_Agricola[C. Costo Reporte])*(Económico!AM$41=Producción_Agricola[Unidad de Negocio])*(Económico!$E44=Producción_Agricola[Cuenta Contable])*($F$5=Producción_Agricola[Campaña])*(Producción_Agricola[Económico $Corrientes]))*(IF($F$39="Hectárea",1/AM$61,IF($F$39="Tonelada",1/AM$62,1))),0)</f>
        <v>0</v>
      </c>
      <c r="AN44" s="249" t="str">
        <f>INDEX(Produccion_Agricola_Cuentas[],MATCH(Tabla2841[[#This Row],[Cuentas Contables]],Produccion_Agricola_Cuentas[Cuenta Contable],0),3)</f>
        <v>Gasto Variable</v>
      </c>
      <c r="AV44" s="245">
        <f>MATCH(Tabla284150[[#This Row],[Cuentas Contables]],Produccion_Agricola_Cuentas[Cuenta Contable],0)</f>
        <v>16</v>
      </c>
      <c r="AW44" s="32" t="str">
        <f>Tabla28[[#This Row],[Cuentas Contables]]</f>
        <v>Cosecha Propia</v>
      </c>
      <c r="AX44" s="10">
        <f>IFERROR(SUMPRODUCT(($F$4=Producción_Agricola[C. Costo Reporte])*(Económico!AX$41=Producción_Agricola[Unidad de Negocio])*(Económico!$E44=Producción_Agricola[Cuenta Contable])*($F$5=Producción_Agricola[Campaña])*(Producción_Agricola[Económico $Constantes]))*(IF($F$39="Hectárea",1/AX$61,IF($F$39="Tonelada",1/AX$62,1))),0)</f>
        <v>0</v>
      </c>
      <c r="AY44" s="10">
        <f>IFERROR(SUMPRODUCT(($F$4=Producción_Agricola[C. Costo Reporte])*(Económico!AY$41=Producción_Agricola[Unidad de Negocio])*(Económico!$E44=Producción_Agricola[Cuenta Contable])*($F$5=Producción_Agricola[Campaña])*(Producción_Agricola[Económico $Constantes]))*(IF($F$39="Hectárea",1/AY$61,IF($F$39="Tonelada",1/AY$62,1))),0)</f>
        <v>0</v>
      </c>
      <c r="AZ44" s="10">
        <f>IFERROR(SUMPRODUCT(($F$4=Producción_Agricola[C. Costo Reporte])*(Económico!AZ$41=Producción_Agricola[Unidad de Negocio])*(Económico!$E44=Producción_Agricola[Cuenta Contable])*($F$5=Producción_Agricola[Campaña])*(Producción_Agricola[Económico $Constantes]))*(IF($F$39="Hectárea",1/AZ$61,IF($F$39="Tonelada",1/AZ$62,1))),0)</f>
        <v>0</v>
      </c>
      <c r="BA44" s="10">
        <f>IFERROR(SUMPRODUCT(($F$4=Producción_Agricola[C. Costo Reporte])*(Económico!BA$41=Producción_Agricola[Unidad de Negocio])*(Económico!$E44=Producción_Agricola[Cuenta Contable])*($F$5=Producción_Agricola[Campaña])*(Producción_Agricola[Económico $Constantes]))*(IF($F$39="Hectárea",1/BA$61,IF($F$39="Tonelada",1/BA$62,1))),0)</f>
        <v>0</v>
      </c>
      <c r="BB44" s="10">
        <f>IFERROR(SUMPRODUCT(($F$4=Producción_Agricola[C. Costo Reporte])*(Económico!BB$41=Producción_Agricola[Unidad de Negocio])*(Económico!$E44=Producción_Agricola[Cuenta Contable])*($F$5=Producción_Agricola[Campaña])*(Producción_Agricola[Económico $Constantes]))*(IF($F$39="Hectárea",1/BB$61,IF($F$39="Tonelada",1/BB$62,1))),0)</f>
        <v>0</v>
      </c>
      <c r="BC44" s="10">
        <f>IFERROR(SUMPRODUCT(($F$4=Producción_Agricola[C. Costo Reporte])*(Económico!BC$41=Producción_Agricola[Unidad de Negocio])*(Económico!$E44=Producción_Agricola[Cuenta Contable])*($F$5=Producción_Agricola[Campaña])*(Producción_Agricola[Económico $Constantes]))*(IF($F$39="Hectárea",1/BC$61,IF($F$39="Tonelada",1/BC$62,1))),0)</f>
        <v>0</v>
      </c>
      <c r="BD44" s="10">
        <f>IFERROR(SUMPRODUCT(($F$4=Producción_Agricola[C. Costo Reporte])*(Económico!BD$41=Producción_Agricola[Unidad de Negocio])*(Económico!$E44=Producción_Agricola[Cuenta Contable])*($F$5=Producción_Agricola[Campaña])*(Producción_Agricola[Económico $Constantes]))*(IF($F$39="Hectárea",1/BD$61,IF($F$39="Tonelada",1/BD$62,1))),0)</f>
        <v>0</v>
      </c>
      <c r="BE44" s="10">
        <f>IFERROR(SUMPRODUCT(($F$4=Producción_Agricola[C. Costo Reporte])*(Económico!BE$41=Producción_Agricola[Unidad de Negocio])*(Económico!$E44=Producción_Agricola[Cuenta Contable])*($F$5=Producción_Agricola[Campaña])*(Producción_Agricola[Económico $Constantes]))*(IF($F$39="Hectárea",1/BE$61,IF($F$39="Tonelada",1/BE$62,1))),0)</f>
        <v>0</v>
      </c>
      <c r="BF44" s="10">
        <f>IFERROR(SUMPRODUCT(($F$4=Producción_Agricola[C. Costo Reporte])*(Económico!BF$41=Producción_Agricola[Unidad de Negocio])*(Económico!$E44=Producción_Agricola[Cuenta Contable])*($F$5=Producción_Agricola[Campaña])*(Producción_Agricola[Económico $Constantes]))*(IF($F$39="Hectárea",1/BF$61,IF($F$39="Tonelada",1/BF$62,1))),0)</f>
        <v>0</v>
      </c>
      <c r="BG44" s="10">
        <f>IFERROR(SUMPRODUCT(($F$4=Producción_Agricola[C. Costo Reporte])*(Económico!BG$41=Producción_Agricola[Unidad de Negocio])*(Económico!$E44=Producción_Agricola[Cuenta Contable])*($F$5=Producción_Agricola[Campaña])*(Producción_Agricola[Económico $Constantes]))*(IF($F$39="Hectárea",1/BG$61,IF($F$39="Tonelada",1/BG$62,1))),0)</f>
        <v>0</v>
      </c>
      <c r="BH44" s="10">
        <f>IFERROR(SUMPRODUCT(($F$4=Producción_Agricola[C. Costo Reporte])*(Económico!BH$41=Producción_Agricola[Unidad de Negocio])*(Económico!$E44=Producción_Agricola[Cuenta Contable])*($F$5=Producción_Agricola[Campaña])*(Producción_Agricola[Económico $Constantes]))*(IF($F$39="Hectárea",1/BH$61,IF($F$39="Tonelada",1/BH$62,1))),0)</f>
        <v>0</v>
      </c>
      <c r="BI44" s="10">
        <f>IFERROR(SUMPRODUCT(($F$4=Producción_Agricola[C. Costo Reporte])*(Económico!BI$41=Producción_Agricola[Unidad de Negocio])*(Económico!$E44=Producción_Agricola[Cuenta Contable])*($F$5=Producción_Agricola[Campaña])*(Producción_Agricola[Económico $Constantes]))*(IF($F$39="Hectárea",1/BI$61,IF($F$39="Tonelada",1/BI$62,1))),0)</f>
        <v>0</v>
      </c>
      <c r="BJ44" s="249" t="str">
        <f>INDEX(Produccion_Agricola_Cuentas[],MATCH(Tabla284150[[#This Row],[Cuentas Contables]],Produccion_Agricola_Cuentas[Cuenta Contable],0),3)</f>
        <v>Gasto Variable</v>
      </c>
    </row>
    <row r="45" spans="2:62" x14ac:dyDescent="0.25">
      <c r="D45" s="245">
        <f>MATCH(Tabla28[[#This Row],[Cuentas Contables]],Produccion_Agricola_Cuentas[Cuenta Contable],0)</f>
        <v>10</v>
      </c>
      <c r="E45" s="116" t="s">
        <v>25</v>
      </c>
      <c r="F45" s="10">
        <f>IFERROR(SUMPRODUCT(($F$4=Producción_Agricola[C. Costo Reporte])*(Económico!F$41=Producción_Agricola[Unidad de Negocio])*(Económico!$E45=Producción_Agricola[Cuenta Contable])*($F$5=Producción_Agricola[Campaña])*(Producción_Agricola[Económico U$S Dólares]))*(IF($F$39="Hectárea",1/F$61,IF($F$39="Tonelada",1/F$62,1))),0)</f>
        <v>0</v>
      </c>
      <c r="G45" s="10">
        <f>IFERROR(SUMPRODUCT(($F$4=Producción_Agricola[C. Costo Reporte])*(Económico!G$41=Producción_Agricola[Unidad de Negocio])*(Económico!$E45=Producción_Agricola[Cuenta Contable])*($F$5=Producción_Agricola[Campaña])*(Producción_Agricola[Económico U$S Dólares]))*(IF($F$39="Hectárea",1/G$61,IF($F$39="Tonelada",1/G$62,1))),0)</f>
        <v>0</v>
      </c>
      <c r="H45" s="10">
        <f>IFERROR(SUMPRODUCT(($F$4=Producción_Agricola[C. Costo Reporte])*(Económico!H$41=Producción_Agricola[Unidad de Negocio])*(Económico!$E45=Producción_Agricola[Cuenta Contable])*($F$5=Producción_Agricola[Campaña])*(Producción_Agricola[Económico U$S Dólares]))*(IF($F$39="Hectárea",1/H$61,IF($F$39="Tonelada",1/H$62,1))),0)</f>
        <v>0</v>
      </c>
      <c r="I45" s="10">
        <f>IFERROR(SUMPRODUCT(($F$4=Producción_Agricola[C. Costo Reporte])*(Económico!I$41=Producción_Agricola[Unidad de Negocio])*(Económico!$E45=Producción_Agricola[Cuenta Contable])*($F$5=Producción_Agricola[Campaña])*(Producción_Agricola[Económico U$S Dólares]))*(IF($F$39="Hectárea",1/I$61,IF($F$39="Tonelada",1/I$62,1))),0)</f>
        <v>0</v>
      </c>
      <c r="J45" s="10">
        <f>IFERROR(SUMPRODUCT(($F$4=Producción_Agricola[C. Costo Reporte])*(Económico!J$41=Producción_Agricola[Unidad de Negocio])*(Económico!$E45=Producción_Agricola[Cuenta Contable])*($F$5=Producción_Agricola[Campaña])*(Producción_Agricola[Económico U$S Dólares]))*(IF($F$39="Hectárea",1/J$61,IF($F$39="Tonelada",1/J$62,1))),0)</f>
        <v>0</v>
      </c>
      <c r="K45" s="10">
        <f>IFERROR(SUMPRODUCT(($F$4=Producción_Agricola[C. Costo Reporte])*(Económico!K$41=Producción_Agricola[Unidad de Negocio])*(Económico!$E45=Producción_Agricola[Cuenta Contable])*($F$5=Producción_Agricola[Campaña])*(Producción_Agricola[Económico U$S Dólares]))*(IF($F$39="Hectárea",1/K$61,IF($F$39="Tonelada",1/K$62,1))),0)</f>
        <v>0</v>
      </c>
      <c r="L45" s="10">
        <f>IFERROR(SUMPRODUCT(($F$4=Producción_Agricola[C. Costo Reporte])*(Económico!L$41=Producción_Agricola[Unidad de Negocio])*(Económico!$E45=Producción_Agricola[Cuenta Contable])*($F$5=Producción_Agricola[Campaña])*(Producción_Agricola[Económico U$S Dólares]))*(IF($F$39="Hectárea",1/L$61,IF($F$39="Tonelada",1/L$62,1))),0)</f>
        <v>0</v>
      </c>
      <c r="M45" s="10">
        <f>IFERROR(SUMPRODUCT(($F$4=Producción_Agricola[C. Costo Reporte])*(Económico!M$41=Producción_Agricola[Unidad de Negocio])*(Económico!$E45=Producción_Agricola[Cuenta Contable])*($F$5=Producción_Agricola[Campaña])*(Producción_Agricola[Económico U$S Dólares]))*(IF($F$39="Hectárea",1/M$61,IF($F$39="Tonelada",1/M$62,1))),0)</f>
        <v>0</v>
      </c>
      <c r="N45" s="10">
        <f>IFERROR(SUMPRODUCT(($F$4=Producción_Agricola[C. Costo Reporte])*(Económico!N$41=Producción_Agricola[Unidad de Negocio])*(Económico!$E45=Producción_Agricola[Cuenta Contable])*($F$5=Producción_Agricola[Campaña])*(Producción_Agricola[Económico U$S Dólares]))*(IF($F$39="Hectárea",1/N$61,IF($F$39="Tonelada",1/N$62,1))),0)</f>
        <v>0</v>
      </c>
      <c r="O45" s="10">
        <f>IFERROR(SUMPRODUCT(($F$4=Producción_Agricola[C. Costo Reporte])*(Económico!O$41=Producción_Agricola[Unidad de Negocio])*(Económico!$E45=Producción_Agricola[Cuenta Contable])*($F$5=Producción_Agricola[Campaña])*(Producción_Agricola[Económico U$S Dólares]))*(IF($F$39="Hectárea",1/O$61,IF($F$39="Tonelada",1/O$62,1))),0)</f>
        <v>0</v>
      </c>
      <c r="P45" s="10">
        <f>IFERROR(SUMPRODUCT(($F$4=Producción_Agricola[C. Costo Reporte])*(Económico!P$41=Producción_Agricola[Unidad de Negocio])*(Económico!$E45=Producción_Agricola[Cuenta Contable])*($F$5=Producción_Agricola[Campaña])*(Producción_Agricola[Económico U$S Dólares]))*(IF($F$39="Hectárea",1/P$61,IF($F$39="Tonelada",1/P$62,1))),0)</f>
        <v>0</v>
      </c>
      <c r="Q45" s="10">
        <f>IFERROR(SUMPRODUCT(($F$4=Producción_Agricola[C. Costo Reporte])*(Económico!Q$41=Producción_Agricola[Unidad de Negocio])*(Económico!$E45=Producción_Agricola[Cuenta Contable])*($F$5=Producción_Agricola[Campaña])*(Producción_Agricola[Económico U$S Dólares]))*(IF($F$39="Hectárea",1/Q$61,IF($F$39="Tonelada",1/Q$62,1))),0)</f>
        <v>0</v>
      </c>
      <c r="R45" s="249" t="str">
        <f>INDEX(Produccion_Agricola_Cuentas[],MATCH(Tabla28[[#This Row],[Cuentas Contables]],Produccion_Agricola_Cuentas[Cuenta Contable],0),3)</f>
        <v>Gasto Fijo</v>
      </c>
      <c r="Z45" s="245">
        <f>MATCH(Tabla2841[[#This Row],[Cuentas Contables]],Produccion_Agricola_Cuentas[Cuenta Contable],0)</f>
        <v>10</v>
      </c>
      <c r="AA45" s="32" t="str">
        <f>Tabla28[[#This Row],[Cuentas Contables]]</f>
        <v>Labores</v>
      </c>
      <c r="AB45" s="10">
        <f>IFERROR(SUMPRODUCT(($F$4=Producción_Agricola[C. Costo Reporte])*(Económico!AB$41=Producción_Agricola[Unidad de Negocio])*(Económico!$E45=Producción_Agricola[Cuenta Contable])*($F$5=Producción_Agricola[Campaña])*(Producción_Agricola[Económico $Corrientes]))*(IF($F$39="Hectárea",1/AB$61,IF($F$39="Tonelada",1/AB$62,1))),0)</f>
        <v>0</v>
      </c>
      <c r="AC45" s="10">
        <f>IFERROR(SUMPRODUCT(($F$4=Producción_Agricola[C. Costo Reporte])*(Económico!AC$41=Producción_Agricola[Unidad de Negocio])*(Económico!$E45=Producción_Agricola[Cuenta Contable])*($F$5=Producción_Agricola[Campaña])*(Producción_Agricola[Económico $Corrientes]))*(IF($F$39="Hectárea",1/AC$61,IF($F$39="Tonelada",1/AC$62,1))),0)</f>
        <v>0</v>
      </c>
      <c r="AD45" s="10">
        <f>IFERROR(SUMPRODUCT(($F$4=Producción_Agricola[C. Costo Reporte])*(Económico!AD$41=Producción_Agricola[Unidad de Negocio])*(Económico!$E45=Producción_Agricola[Cuenta Contable])*($F$5=Producción_Agricola[Campaña])*(Producción_Agricola[Económico $Corrientes]))*(IF($F$39="Hectárea",1/AD$61,IF($F$39="Tonelada",1/AD$62,1))),0)</f>
        <v>0</v>
      </c>
      <c r="AE45" s="10">
        <f>IFERROR(SUMPRODUCT(($F$4=Producción_Agricola[C. Costo Reporte])*(Económico!AE$41=Producción_Agricola[Unidad de Negocio])*(Económico!$E45=Producción_Agricola[Cuenta Contable])*($F$5=Producción_Agricola[Campaña])*(Producción_Agricola[Económico $Corrientes]))*(IF($F$39="Hectárea",1/AE$61,IF($F$39="Tonelada",1/AE$62,1))),0)</f>
        <v>0</v>
      </c>
      <c r="AF45" s="10">
        <f>IFERROR(SUMPRODUCT(($F$4=Producción_Agricola[C. Costo Reporte])*(Económico!AF$41=Producción_Agricola[Unidad de Negocio])*(Económico!$E45=Producción_Agricola[Cuenta Contable])*($F$5=Producción_Agricola[Campaña])*(Producción_Agricola[Económico $Corrientes]))*(IF($F$39="Hectárea",1/AF$61,IF($F$39="Tonelada",1/AF$62,1))),0)</f>
        <v>0</v>
      </c>
      <c r="AG45" s="10">
        <f>IFERROR(SUMPRODUCT(($F$4=Producción_Agricola[C. Costo Reporte])*(Económico!AG$41=Producción_Agricola[Unidad de Negocio])*(Económico!$E45=Producción_Agricola[Cuenta Contable])*($F$5=Producción_Agricola[Campaña])*(Producción_Agricola[Económico $Corrientes]))*(IF($F$39="Hectárea",1/AG$61,IF($F$39="Tonelada",1/AG$62,1))),0)</f>
        <v>0</v>
      </c>
      <c r="AH45" s="10">
        <f>IFERROR(SUMPRODUCT(($F$4=Producción_Agricola[C. Costo Reporte])*(Económico!AH$41=Producción_Agricola[Unidad de Negocio])*(Económico!$E45=Producción_Agricola[Cuenta Contable])*($F$5=Producción_Agricola[Campaña])*(Producción_Agricola[Económico $Corrientes]))*(IF($F$39="Hectárea",1/AH$61,IF($F$39="Tonelada",1/AH$62,1))),0)</f>
        <v>0</v>
      </c>
      <c r="AI45" s="10">
        <f>IFERROR(SUMPRODUCT(($F$4=Producción_Agricola[C. Costo Reporte])*(Económico!AI$41=Producción_Agricola[Unidad de Negocio])*(Económico!$E45=Producción_Agricola[Cuenta Contable])*($F$5=Producción_Agricola[Campaña])*(Producción_Agricola[Económico $Corrientes]))*(IF($F$39="Hectárea",1/AI$61,IF($F$39="Tonelada",1/AI$62,1))),0)</f>
        <v>0</v>
      </c>
      <c r="AJ45" s="10">
        <f>IFERROR(SUMPRODUCT(($F$4=Producción_Agricola[C. Costo Reporte])*(Económico!AJ$41=Producción_Agricola[Unidad de Negocio])*(Económico!$E45=Producción_Agricola[Cuenta Contable])*($F$5=Producción_Agricola[Campaña])*(Producción_Agricola[Económico $Corrientes]))*(IF($F$39="Hectárea",1/AJ$61,IF($F$39="Tonelada",1/AJ$62,1))),0)</f>
        <v>0</v>
      </c>
      <c r="AK45" s="10">
        <f>IFERROR(SUMPRODUCT(($F$4=Producción_Agricola[C. Costo Reporte])*(Económico!AK$41=Producción_Agricola[Unidad de Negocio])*(Económico!$E45=Producción_Agricola[Cuenta Contable])*($F$5=Producción_Agricola[Campaña])*(Producción_Agricola[Económico $Corrientes]))*(IF($F$39="Hectárea",1/AK$61,IF($F$39="Tonelada",1/AK$62,1))),0)</f>
        <v>0</v>
      </c>
      <c r="AL45" s="10">
        <f>IFERROR(SUMPRODUCT(($F$4=Producción_Agricola[C. Costo Reporte])*(Económico!AL$41=Producción_Agricola[Unidad de Negocio])*(Económico!$E45=Producción_Agricola[Cuenta Contable])*($F$5=Producción_Agricola[Campaña])*(Producción_Agricola[Económico $Corrientes]))*(IF($F$39="Hectárea",1/AL$61,IF($F$39="Tonelada",1/AL$62,1))),0)</f>
        <v>0</v>
      </c>
      <c r="AM45" s="10">
        <f>IFERROR(SUMPRODUCT(($F$4=Producción_Agricola[C. Costo Reporte])*(Económico!AM$41=Producción_Agricola[Unidad de Negocio])*(Económico!$E45=Producción_Agricola[Cuenta Contable])*($F$5=Producción_Agricola[Campaña])*(Producción_Agricola[Económico $Corrientes]))*(IF($F$39="Hectárea",1/AM$61,IF($F$39="Tonelada",1/AM$62,1))),0)</f>
        <v>0</v>
      </c>
      <c r="AN45" s="249" t="str">
        <f>INDEX(Produccion_Agricola_Cuentas[],MATCH(Tabla2841[[#This Row],[Cuentas Contables]],Produccion_Agricola_Cuentas[Cuenta Contable],0),3)</f>
        <v>Gasto Fijo</v>
      </c>
      <c r="AV45" s="245">
        <f>MATCH(Tabla284150[[#This Row],[Cuentas Contables]],Produccion_Agricola_Cuentas[Cuenta Contable],0)</f>
        <v>10</v>
      </c>
      <c r="AW45" s="32" t="str">
        <f>Tabla28[[#This Row],[Cuentas Contables]]</f>
        <v>Labores</v>
      </c>
      <c r="AX45" s="10">
        <f>IFERROR(SUMPRODUCT(($F$4=Producción_Agricola[C. Costo Reporte])*(Económico!AX$41=Producción_Agricola[Unidad de Negocio])*(Económico!$E45=Producción_Agricola[Cuenta Contable])*($F$5=Producción_Agricola[Campaña])*(Producción_Agricola[Económico $Constantes]))*(IF($F$39="Hectárea",1/AX$61,IF($F$39="Tonelada",1/AX$62,1))),0)</f>
        <v>0</v>
      </c>
      <c r="AY45" s="10">
        <f>IFERROR(SUMPRODUCT(($F$4=Producción_Agricola[C. Costo Reporte])*(Económico!AY$41=Producción_Agricola[Unidad de Negocio])*(Económico!$E45=Producción_Agricola[Cuenta Contable])*($F$5=Producción_Agricola[Campaña])*(Producción_Agricola[Económico $Constantes]))*(IF($F$39="Hectárea",1/AY$61,IF($F$39="Tonelada",1/AY$62,1))),0)</f>
        <v>0</v>
      </c>
      <c r="AZ45" s="10">
        <f>IFERROR(SUMPRODUCT(($F$4=Producción_Agricola[C. Costo Reporte])*(Económico!AZ$41=Producción_Agricola[Unidad de Negocio])*(Económico!$E45=Producción_Agricola[Cuenta Contable])*($F$5=Producción_Agricola[Campaña])*(Producción_Agricola[Económico $Constantes]))*(IF($F$39="Hectárea",1/AZ$61,IF($F$39="Tonelada",1/AZ$62,1))),0)</f>
        <v>0</v>
      </c>
      <c r="BA45" s="10">
        <f>IFERROR(SUMPRODUCT(($F$4=Producción_Agricola[C. Costo Reporte])*(Económico!BA$41=Producción_Agricola[Unidad de Negocio])*(Económico!$E45=Producción_Agricola[Cuenta Contable])*($F$5=Producción_Agricola[Campaña])*(Producción_Agricola[Económico $Constantes]))*(IF($F$39="Hectárea",1/BA$61,IF($F$39="Tonelada",1/BA$62,1))),0)</f>
        <v>0</v>
      </c>
      <c r="BB45" s="10">
        <f>IFERROR(SUMPRODUCT(($F$4=Producción_Agricola[C. Costo Reporte])*(Económico!BB$41=Producción_Agricola[Unidad de Negocio])*(Económico!$E45=Producción_Agricola[Cuenta Contable])*($F$5=Producción_Agricola[Campaña])*(Producción_Agricola[Económico $Constantes]))*(IF($F$39="Hectárea",1/BB$61,IF($F$39="Tonelada",1/BB$62,1))),0)</f>
        <v>0</v>
      </c>
      <c r="BC45" s="10">
        <f>IFERROR(SUMPRODUCT(($F$4=Producción_Agricola[C. Costo Reporte])*(Económico!BC$41=Producción_Agricola[Unidad de Negocio])*(Económico!$E45=Producción_Agricola[Cuenta Contable])*($F$5=Producción_Agricola[Campaña])*(Producción_Agricola[Económico $Constantes]))*(IF($F$39="Hectárea",1/BC$61,IF($F$39="Tonelada",1/BC$62,1))),0)</f>
        <v>0</v>
      </c>
      <c r="BD45" s="10">
        <f>IFERROR(SUMPRODUCT(($F$4=Producción_Agricola[C. Costo Reporte])*(Económico!BD$41=Producción_Agricola[Unidad de Negocio])*(Económico!$E45=Producción_Agricola[Cuenta Contable])*($F$5=Producción_Agricola[Campaña])*(Producción_Agricola[Económico $Constantes]))*(IF($F$39="Hectárea",1/BD$61,IF($F$39="Tonelada",1/BD$62,1))),0)</f>
        <v>0</v>
      </c>
      <c r="BE45" s="10">
        <f>IFERROR(SUMPRODUCT(($F$4=Producción_Agricola[C. Costo Reporte])*(Económico!BE$41=Producción_Agricola[Unidad de Negocio])*(Económico!$E45=Producción_Agricola[Cuenta Contable])*($F$5=Producción_Agricola[Campaña])*(Producción_Agricola[Económico $Constantes]))*(IF($F$39="Hectárea",1/BE$61,IF($F$39="Tonelada",1/BE$62,1))),0)</f>
        <v>0</v>
      </c>
      <c r="BF45" s="10">
        <f>IFERROR(SUMPRODUCT(($F$4=Producción_Agricola[C. Costo Reporte])*(Económico!BF$41=Producción_Agricola[Unidad de Negocio])*(Económico!$E45=Producción_Agricola[Cuenta Contable])*($F$5=Producción_Agricola[Campaña])*(Producción_Agricola[Económico $Constantes]))*(IF($F$39="Hectárea",1/BF$61,IF($F$39="Tonelada",1/BF$62,1))),0)</f>
        <v>0</v>
      </c>
      <c r="BG45" s="10">
        <f>IFERROR(SUMPRODUCT(($F$4=Producción_Agricola[C. Costo Reporte])*(Económico!BG$41=Producción_Agricola[Unidad de Negocio])*(Económico!$E45=Producción_Agricola[Cuenta Contable])*($F$5=Producción_Agricola[Campaña])*(Producción_Agricola[Económico $Constantes]))*(IF($F$39="Hectárea",1/BG$61,IF($F$39="Tonelada",1/BG$62,1))),0)</f>
        <v>0</v>
      </c>
      <c r="BH45" s="10">
        <f>IFERROR(SUMPRODUCT(($F$4=Producción_Agricola[C. Costo Reporte])*(Económico!BH$41=Producción_Agricola[Unidad de Negocio])*(Económico!$E45=Producción_Agricola[Cuenta Contable])*($F$5=Producción_Agricola[Campaña])*(Producción_Agricola[Económico $Constantes]))*(IF($F$39="Hectárea",1/BH$61,IF($F$39="Tonelada",1/BH$62,1))),0)</f>
        <v>0</v>
      </c>
      <c r="BI45" s="10">
        <f>IFERROR(SUMPRODUCT(($F$4=Producción_Agricola[C. Costo Reporte])*(Económico!BI$41=Producción_Agricola[Unidad de Negocio])*(Económico!$E45=Producción_Agricola[Cuenta Contable])*($F$5=Producción_Agricola[Campaña])*(Producción_Agricola[Económico $Constantes]))*(IF($F$39="Hectárea",1/BI$61,IF($F$39="Tonelada",1/BI$62,1))),0)</f>
        <v>0</v>
      </c>
      <c r="BJ45" s="249" t="str">
        <f>INDEX(Produccion_Agricola_Cuentas[],MATCH(Tabla284150[[#This Row],[Cuentas Contables]],Produccion_Agricola_Cuentas[Cuenta Contable],0),3)</f>
        <v>Gasto Fijo</v>
      </c>
    </row>
    <row r="46" spans="2:62" x14ac:dyDescent="0.25">
      <c r="D46" s="245">
        <f>MATCH(Tabla28[[#This Row],[Cuentas Contables]],Produccion_Agricola_Cuentas[Cuenta Contable],0)</f>
        <v>15</v>
      </c>
      <c r="E46" s="116" t="s">
        <v>201</v>
      </c>
      <c r="F46" s="10">
        <f>IFERROR(SUMPRODUCT(($F$4=Producción_Agricola[C. Costo Reporte])*(Económico!F$41=Producción_Agricola[Unidad de Negocio])*(Económico!$E46=Producción_Agricola[Cuenta Contable])*($F$5=Producción_Agricola[Campaña])*(Producción_Agricola[Económico U$S Dólares]))*(IF($F$39="Hectárea",1/F$61,IF($F$39="Tonelada",1/F$62,1))),0)</f>
        <v>0</v>
      </c>
      <c r="G46" s="10">
        <f>IFERROR(SUMPRODUCT(($F$4=Producción_Agricola[C. Costo Reporte])*(Económico!G$41=Producción_Agricola[Unidad de Negocio])*(Económico!$E46=Producción_Agricola[Cuenta Contable])*($F$5=Producción_Agricola[Campaña])*(Producción_Agricola[Económico U$S Dólares]))*(IF($F$39="Hectárea",1/G$61,IF($F$39="Tonelada",1/G$62,1))),0)</f>
        <v>0</v>
      </c>
      <c r="H46" s="10">
        <f>IFERROR(SUMPRODUCT(($F$4=Producción_Agricola[C. Costo Reporte])*(Económico!H$41=Producción_Agricola[Unidad de Negocio])*(Económico!$E46=Producción_Agricola[Cuenta Contable])*($F$5=Producción_Agricola[Campaña])*(Producción_Agricola[Económico U$S Dólares]))*(IF($F$39="Hectárea",1/H$61,IF($F$39="Tonelada",1/H$62,1))),0)</f>
        <v>0</v>
      </c>
      <c r="I46" s="10">
        <f>IFERROR(SUMPRODUCT(($F$4=Producción_Agricola[C. Costo Reporte])*(Económico!I$41=Producción_Agricola[Unidad de Negocio])*(Económico!$E46=Producción_Agricola[Cuenta Contable])*($F$5=Producción_Agricola[Campaña])*(Producción_Agricola[Económico U$S Dólares]))*(IF($F$39="Hectárea",1/I$61,IF($F$39="Tonelada",1/I$62,1))),0)</f>
        <v>0</v>
      </c>
      <c r="J46" s="10">
        <f>IFERROR(SUMPRODUCT(($F$4=Producción_Agricola[C. Costo Reporte])*(Económico!J$41=Producción_Agricola[Unidad de Negocio])*(Económico!$E46=Producción_Agricola[Cuenta Contable])*($F$5=Producción_Agricola[Campaña])*(Producción_Agricola[Económico U$S Dólares]))*(IF($F$39="Hectárea",1/J$61,IF($F$39="Tonelada",1/J$62,1))),0)</f>
        <v>0</v>
      </c>
      <c r="K46" s="10">
        <f>IFERROR(SUMPRODUCT(($F$4=Producción_Agricola[C. Costo Reporte])*(Económico!K$41=Producción_Agricola[Unidad de Negocio])*(Económico!$E46=Producción_Agricola[Cuenta Contable])*($F$5=Producción_Agricola[Campaña])*(Producción_Agricola[Económico U$S Dólares]))*(IF($F$39="Hectárea",1/K$61,IF($F$39="Tonelada",1/K$62,1))),0)</f>
        <v>0</v>
      </c>
      <c r="L46" s="10">
        <f>IFERROR(SUMPRODUCT(($F$4=Producción_Agricola[C. Costo Reporte])*(Económico!L$41=Producción_Agricola[Unidad de Negocio])*(Económico!$E46=Producción_Agricola[Cuenta Contable])*($F$5=Producción_Agricola[Campaña])*(Producción_Agricola[Económico U$S Dólares]))*(IF($F$39="Hectárea",1/L$61,IF($F$39="Tonelada",1/L$62,1))),0)</f>
        <v>0</v>
      </c>
      <c r="M46" s="10">
        <f>IFERROR(SUMPRODUCT(($F$4=Producción_Agricola[C. Costo Reporte])*(Económico!M$41=Producción_Agricola[Unidad de Negocio])*(Económico!$E46=Producción_Agricola[Cuenta Contable])*($F$5=Producción_Agricola[Campaña])*(Producción_Agricola[Económico U$S Dólares]))*(IF($F$39="Hectárea",1/M$61,IF($F$39="Tonelada",1/M$62,1))),0)</f>
        <v>0</v>
      </c>
      <c r="N46" s="10">
        <f>IFERROR(SUMPRODUCT(($F$4=Producción_Agricola[C. Costo Reporte])*(Económico!N$41=Producción_Agricola[Unidad de Negocio])*(Económico!$E46=Producción_Agricola[Cuenta Contable])*($F$5=Producción_Agricola[Campaña])*(Producción_Agricola[Económico U$S Dólares]))*(IF($F$39="Hectárea",1/N$61,IF($F$39="Tonelada",1/N$62,1))),0)</f>
        <v>0</v>
      </c>
      <c r="O46" s="10">
        <f>IFERROR(SUMPRODUCT(($F$4=Producción_Agricola[C. Costo Reporte])*(Económico!O$41=Producción_Agricola[Unidad de Negocio])*(Económico!$E46=Producción_Agricola[Cuenta Contable])*($F$5=Producción_Agricola[Campaña])*(Producción_Agricola[Económico U$S Dólares]))*(IF($F$39="Hectárea",1/O$61,IF($F$39="Tonelada",1/O$62,1))),0)</f>
        <v>0</v>
      </c>
      <c r="P46" s="10">
        <f>IFERROR(SUMPRODUCT(($F$4=Producción_Agricola[C. Costo Reporte])*(Económico!P$41=Producción_Agricola[Unidad de Negocio])*(Económico!$E46=Producción_Agricola[Cuenta Contable])*($F$5=Producción_Agricola[Campaña])*(Producción_Agricola[Económico U$S Dólares]))*(IF($F$39="Hectárea",1/P$61,IF($F$39="Tonelada",1/P$62,1))),0)</f>
        <v>0</v>
      </c>
      <c r="Q46" s="10">
        <f>IFERROR(SUMPRODUCT(($F$4=Producción_Agricola[C. Costo Reporte])*(Económico!Q$41=Producción_Agricola[Unidad de Negocio])*(Económico!$E46=Producción_Agricola[Cuenta Contable])*($F$5=Producción_Agricola[Campaña])*(Producción_Agricola[Económico U$S Dólares]))*(IF($F$39="Hectárea",1/Q$61,IF($F$39="Tonelada",1/Q$62,1))),0)</f>
        <v>0</v>
      </c>
      <c r="R46" s="249" t="str">
        <f>INDEX(Produccion_Agricola_Cuentas[],MATCH(Tabla28[[#This Row],[Cuentas Contables]],Produccion_Agricola_Cuentas[Cuenta Contable],0),3)</f>
        <v>Gasto Fijo</v>
      </c>
      <c r="Z46" s="245">
        <f>MATCH(Tabla2841[[#This Row],[Cuentas Contables]],Produccion_Agricola_Cuentas[Cuenta Contable],0)</f>
        <v>15</v>
      </c>
      <c r="AA46" s="32" t="str">
        <f>Tabla28[[#This Row],[Cuentas Contables]]</f>
        <v>Labores Propias</v>
      </c>
      <c r="AB46" s="10">
        <f>IFERROR(SUMPRODUCT(($F$4=Producción_Agricola[C. Costo Reporte])*(Económico!AB$41=Producción_Agricola[Unidad de Negocio])*(Económico!$E46=Producción_Agricola[Cuenta Contable])*($F$5=Producción_Agricola[Campaña])*(Producción_Agricola[Económico $Corrientes]))*(IF($F$39="Hectárea",1/AB$61,IF($F$39="Tonelada",1/AB$62,1))),0)</f>
        <v>0</v>
      </c>
      <c r="AC46" s="10">
        <f>IFERROR(SUMPRODUCT(($F$4=Producción_Agricola[C. Costo Reporte])*(Económico!AC$41=Producción_Agricola[Unidad de Negocio])*(Económico!$E46=Producción_Agricola[Cuenta Contable])*($F$5=Producción_Agricola[Campaña])*(Producción_Agricola[Económico $Corrientes]))*(IF($F$39="Hectárea",1/AC$61,IF($F$39="Tonelada",1/AC$62,1))),0)</f>
        <v>0</v>
      </c>
      <c r="AD46" s="10">
        <f>IFERROR(SUMPRODUCT(($F$4=Producción_Agricola[C. Costo Reporte])*(Económico!AD$41=Producción_Agricola[Unidad de Negocio])*(Económico!$E46=Producción_Agricola[Cuenta Contable])*($F$5=Producción_Agricola[Campaña])*(Producción_Agricola[Económico $Corrientes]))*(IF($F$39="Hectárea",1/AD$61,IF($F$39="Tonelada",1/AD$62,1))),0)</f>
        <v>0</v>
      </c>
      <c r="AE46" s="10">
        <f>IFERROR(SUMPRODUCT(($F$4=Producción_Agricola[C. Costo Reporte])*(Económico!AE$41=Producción_Agricola[Unidad de Negocio])*(Económico!$E46=Producción_Agricola[Cuenta Contable])*($F$5=Producción_Agricola[Campaña])*(Producción_Agricola[Económico $Corrientes]))*(IF($F$39="Hectárea",1/AE$61,IF($F$39="Tonelada",1/AE$62,1))),0)</f>
        <v>0</v>
      </c>
      <c r="AF46" s="10">
        <f>IFERROR(SUMPRODUCT(($F$4=Producción_Agricola[C. Costo Reporte])*(Económico!AF$41=Producción_Agricola[Unidad de Negocio])*(Económico!$E46=Producción_Agricola[Cuenta Contable])*($F$5=Producción_Agricola[Campaña])*(Producción_Agricola[Económico $Corrientes]))*(IF($F$39="Hectárea",1/AF$61,IF($F$39="Tonelada",1/AF$62,1))),0)</f>
        <v>0</v>
      </c>
      <c r="AG46" s="10">
        <f>IFERROR(SUMPRODUCT(($F$4=Producción_Agricola[C. Costo Reporte])*(Económico!AG$41=Producción_Agricola[Unidad de Negocio])*(Económico!$E46=Producción_Agricola[Cuenta Contable])*($F$5=Producción_Agricola[Campaña])*(Producción_Agricola[Económico $Corrientes]))*(IF($F$39="Hectárea",1/AG$61,IF($F$39="Tonelada",1/AG$62,1))),0)</f>
        <v>0</v>
      </c>
      <c r="AH46" s="10">
        <f>IFERROR(SUMPRODUCT(($F$4=Producción_Agricola[C. Costo Reporte])*(Económico!AH$41=Producción_Agricola[Unidad de Negocio])*(Económico!$E46=Producción_Agricola[Cuenta Contable])*($F$5=Producción_Agricola[Campaña])*(Producción_Agricola[Económico $Corrientes]))*(IF($F$39="Hectárea",1/AH$61,IF($F$39="Tonelada",1/AH$62,1))),0)</f>
        <v>0</v>
      </c>
      <c r="AI46" s="10">
        <f>IFERROR(SUMPRODUCT(($F$4=Producción_Agricola[C. Costo Reporte])*(Económico!AI$41=Producción_Agricola[Unidad de Negocio])*(Económico!$E46=Producción_Agricola[Cuenta Contable])*($F$5=Producción_Agricola[Campaña])*(Producción_Agricola[Económico $Corrientes]))*(IF($F$39="Hectárea",1/AI$61,IF($F$39="Tonelada",1/AI$62,1))),0)</f>
        <v>0</v>
      </c>
      <c r="AJ46" s="10">
        <f>IFERROR(SUMPRODUCT(($F$4=Producción_Agricola[C. Costo Reporte])*(Económico!AJ$41=Producción_Agricola[Unidad de Negocio])*(Económico!$E46=Producción_Agricola[Cuenta Contable])*($F$5=Producción_Agricola[Campaña])*(Producción_Agricola[Económico $Corrientes]))*(IF($F$39="Hectárea",1/AJ$61,IF($F$39="Tonelada",1/AJ$62,1))),0)</f>
        <v>0</v>
      </c>
      <c r="AK46" s="10">
        <f>IFERROR(SUMPRODUCT(($F$4=Producción_Agricola[C. Costo Reporte])*(Económico!AK$41=Producción_Agricola[Unidad de Negocio])*(Económico!$E46=Producción_Agricola[Cuenta Contable])*($F$5=Producción_Agricola[Campaña])*(Producción_Agricola[Económico $Corrientes]))*(IF($F$39="Hectárea",1/AK$61,IF($F$39="Tonelada",1/AK$62,1))),0)</f>
        <v>0</v>
      </c>
      <c r="AL46" s="10">
        <f>IFERROR(SUMPRODUCT(($F$4=Producción_Agricola[C. Costo Reporte])*(Económico!AL$41=Producción_Agricola[Unidad de Negocio])*(Económico!$E46=Producción_Agricola[Cuenta Contable])*($F$5=Producción_Agricola[Campaña])*(Producción_Agricola[Económico $Corrientes]))*(IF($F$39="Hectárea",1/AL$61,IF($F$39="Tonelada",1/AL$62,1))),0)</f>
        <v>0</v>
      </c>
      <c r="AM46" s="10">
        <f>IFERROR(SUMPRODUCT(($F$4=Producción_Agricola[C. Costo Reporte])*(Económico!AM$41=Producción_Agricola[Unidad de Negocio])*(Económico!$E46=Producción_Agricola[Cuenta Contable])*($F$5=Producción_Agricola[Campaña])*(Producción_Agricola[Económico $Corrientes]))*(IF($F$39="Hectárea",1/AM$61,IF($F$39="Tonelada",1/AM$62,1))),0)</f>
        <v>0</v>
      </c>
      <c r="AN46" s="249" t="str">
        <f>INDEX(Produccion_Agricola_Cuentas[],MATCH(Tabla2841[[#This Row],[Cuentas Contables]],Produccion_Agricola_Cuentas[Cuenta Contable],0),3)</f>
        <v>Gasto Fijo</v>
      </c>
      <c r="AV46" s="245">
        <f>MATCH(Tabla284150[[#This Row],[Cuentas Contables]],Produccion_Agricola_Cuentas[Cuenta Contable],0)</f>
        <v>15</v>
      </c>
      <c r="AW46" s="32" t="str">
        <f>Tabla28[[#This Row],[Cuentas Contables]]</f>
        <v>Labores Propias</v>
      </c>
      <c r="AX46" s="10">
        <f>IFERROR(SUMPRODUCT(($F$4=Producción_Agricola[C. Costo Reporte])*(Económico!AX$41=Producción_Agricola[Unidad de Negocio])*(Económico!$E46=Producción_Agricola[Cuenta Contable])*($F$5=Producción_Agricola[Campaña])*(Producción_Agricola[Económico $Constantes]))*(IF($F$39="Hectárea",1/AX$61,IF($F$39="Tonelada",1/AX$62,1))),0)</f>
        <v>0</v>
      </c>
      <c r="AY46" s="10">
        <f>IFERROR(SUMPRODUCT(($F$4=Producción_Agricola[C. Costo Reporte])*(Económico!AY$41=Producción_Agricola[Unidad de Negocio])*(Económico!$E46=Producción_Agricola[Cuenta Contable])*($F$5=Producción_Agricola[Campaña])*(Producción_Agricola[Económico $Constantes]))*(IF($F$39="Hectárea",1/AY$61,IF($F$39="Tonelada",1/AY$62,1))),0)</f>
        <v>0</v>
      </c>
      <c r="AZ46" s="10">
        <f>IFERROR(SUMPRODUCT(($F$4=Producción_Agricola[C. Costo Reporte])*(Económico!AZ$41=Producción_Agricola[Unidad de Negocio])*(Económico!$E46=Producción_Agricola[Cuenta Contable])*($F$5=Producción_Agricola[Campaña])*(Producción_Agricola[Económico $Constantes]))*(IF($F$39="Hectárea",1/AZ$61,IF($F$39="Tonelada",1/AZ$62,1))),0)</f>
        <v>0</v>
      </c>
      <c r="BA46" s="10">
        <f>IFERROR(SUMPRODUCT(($F$4=Producción_Agricola[C. Costo Reporte])*(Económico!BA$41=Producción_Agricola[Unidad de Negocio])*(Económico!$E46=Producción_Agricola[Cuenta Contable])*($F$5=Producción_Agricola[Campaña])*(Producción_Agricola[Económico $Constantes]))*(IF($F$39="Hectárea",1/BA$61,IF($F$39="Tonelada",1/BA$62,1))),0)</f>
        <v>0</v>
      </c>
      <c r="BB46" s="10">
        <f>IFERROR(SUMPRODUCT(($F$4=Producción_Agricola[C. Costo Reporte])*(Económico!BB$41=Producción_Agricola[Unidad de Negocio])*(Económico!$E46=Producción_Agricola[Cuenta Contable])*($F$5=Producción_Agricola[Campaña])*(Producción_Agricola[Económico $Constantes]))*(IF($F$39="Hectárea",1/BB$61,IF($F$39="Tonelada",1/BB$62,1))),0)</f>
        <v>0</v>
      </c>
      <c r="BC46" s="10">
        <f>IFERROR(SUMPRODUCT(($F$4=Producción_Agricola[C. Costo Reporte])*(Económico!BC$41=Producción_Agricola[Unidad de Negocio])*(Económico!$E46=Producción_Agricola[Cuenta Contable])*($F$5=Producción_Agricola[Campaña])*(Producción_Agricola[Económico $Constantes]))*(IF($F$39="Hectárea",1/BC$61,IF($F$39="Tonelada",1/BC$62,1))),0)</f>
        <v>0</v>
      </c>
      <c r="BD46" s="10">
        <f>IFERROR(SUMPRODUCT(($F$4=Producción_Agricola[C. Costo Reporte])*(Económico!BD$41=Producción_Agricola[Unidad de Negocio])*(Económico!$E46=Producción_Agricola[Cuenta Contable])*($F$5=Producción_Agricola[Campaña])*(Producción_Agricola[Económico $Constantes]))*(IF($F$39="Hectárea",1/BD$61,IF($F$39="Tonelada",1/BD$62,1))),0)</f>
        <v>0</v>
      </c>
      <c r="BE46" s="10">
        <f>IFERROR(SUMPRODUCT(($F$4=Producción_Agricola[C. Costo Reporte])*(Económico!BE$41=Producción_Agricola[Unidad de Negocio])*(Económico!$E46=Producción_Agricola[Cuenta Contable])*($F$5=Producción_Agricola[Campaña])*(Producción_Agricola[Económico $Constantes]))*(IF($F$39="Hectárea",1/BE$61,IF($F$39="Tonelada",1/BE$62,1))),0)</f>
        <v>0</v>
      </c>
      <c r="BF46" s="10">
        <f>IFERROR(SUMPRODUCT(($F$4=Producción_Agricola[C. Costo Reporte])*(Económico!BF$41=Producción_Agricola[Unidad de Negocio])*(Económico!$E46=Producción_Agricola[Cuenta Contable])*($F$5=Producción_Agricola[Campaña])*(Producción_Agricola[Económico $Constantes]))*(IF($F$39="Hectárea",1/BF$61,IF($F$39="Tonelada",1/BF$62,1))),0)</f>
        <v>0</v>
      </c>
      <c r="BG46" s="10">
        <f>IFERROR(SUMPRODUCT(($F$4=Producción_Agricola[C. Costo Reporte])*(Económico!BG$41=Producción_Agricola[Unidad de Negocio])*(Económico!$E46=Producción_Agricola[Cuenta Contable])*($F$5=Producción_Agricola[Campaña])*(Producción_Agricola[Económico $Constantes]))*(IF($F$39="Hectárea",1/BG$61,IF($F$39="Tonelada",1/BG$62,1))),0)</f>
        <v>0</v>
      </c>
      <c r="BH46" s="10">
        <f>IFERROR(SUMPRODUCT(($F$4=Producción_Agricola[C. Costo Reporte])*(Económico!BH$41=Producción_Agricola[Unidad de Negocio])*(Económico!$E46=Producción_Agricola[Cuenta Contable])*($F$5=Producción_Agricola[Campaña])*(Producción_Agricola[Económico $Constantes]))*(IF($F$39="Hectárea",1/BH$61,IF($F$39="Tonelada",1/BH$62,1))),0)</f>
        <v>0</v>
      </c>
      <c r="BI46" s="10">
        <f>IFERROR(SUMPRODUCT(($F$4=Producción_Agricola[C. Costo Reporte])*(Económico!BI$41=Producción_Agricola[Unidad de Negocio])*(Económico!$E46=Producción_Agricola[Cuenta Contable])*($F$5=Producción_Agricola[Campaña])*(Producción_Agricola[Económico $Constantes]))*(IF($F$39="Hectárea",1/BI$61,IF($F$39="Tonelada",1/BI$62,1))),0)</f>
        <v>0</v>
      </c>
      <c r="BJ46" s="249" t="str">
        <f>INDEX(Produccion_Agricola_Cuentas[],MATCH(Tabla284150[[#This Row],[Cuentas Contables]],Produccion_Agricola_Cuentas[Cuenta Contable],0),3)</f>
        <v>Gasto Fijo</v>
      </c>
    </row>
    <row r="47" spans="2:62" x14ac:dyDescent="0.25">
      <c r="D47" s="245">
        <f>MATCH(Tabla28[[#This Row],[Cuentas Contables]],Produccion_Agricola_Cuentas[Cuenta Contable],0)</f>
        <v>2</v>
      </c>
      <c r="E47" s="116" t="str">
        <f>Configuración!P6</f>
        <v>Semillas</v>
      </c>
      <c r="F47" s="10">
        <f>IFERROR(SUMPRODUCT(($F$4=Producción_Agricola[C. Costo Reporte])*(Económico!F$41=Producción_Agricola[Unidad de Negocio])*(Económico!$E47=Producción_Agricola[Cuenta Contable])*($F$5=Producción_Agricola[Campaña])*(Producción_Agricola[Económico U$S Dólares]))*(IF($F$39="Hectárea",1/F$61,IF($F$39="Tonelada",1/F$62,1))),0)</f>
        <v>0</v>
      </c>
      <c r="G47" s="10">
        <f>IFERROR(SUMPRODUCT(($F$4=Producción_Agricola[C. Costo Reporte])*(Económico!G$41=Producción_Agricola[Unidad de Negocio])*(Económico!$E47=Producción_Agricola[Cuenta Contable])*($F$5=Producción_Agricola[Campaña])*(Producción_Agricola[Económico U$S Dólares]))*(IF($F$39="Hectárea",1/G$61,IF($F$39="Tonelada",1/G$62,1))),0)</f>
        <v>0</v>
      </c>
      <c r="H47" s="10">
        <f>IFERROR(SUMPRODUCT(($F$4=Producción_Agricola[C. Costo Reporte])*(Económico!H$41=Producción_Agricola[Unidad de Negocio])*(Económico!$E47=Producción_Agricola[Cuenta Contable])*($F$5=Producción_Agricola[Campaña])*(Producción_Agricola[Económico U$S Dólares]))*(IF($F$39="Hectárea",1/H$61,IF($F$39="Tonelada",1/H$62,1))),0)</f>
        <v>0</v>
      </c>
      <c r="I47" s="10">
        <f>IFERROR(SUMPRODUCT(($F$4=Producción_Agricola[C. Costo Reporte])*(Económico!I$41=Producción_Agricola[Unidad de Negocio])*(Económico!$E47=Producción_Agricola[Cuenta Contable])*($F$5=Producción_Agricola[Campaña])*(Producción_Agricola[Económico U$S Dólares]))*(IF($F$39="Hectárea",1/I$61,IF($F$39="Tonelada",1/I$62,1))),0)</f>
        <v>0</v>
      </c>
      <c r="J47" s="10">
        <f>IFERROR(SUMPRODUCT(($F$4=Producción_Agricola[C. Costo Reporte])*(Económico!J$41=Producción_Agricola[Unidad de Negocio])*(Económico!$E47=Producción_Agricola[Cuenta Contable])*($F$5=Producción_Agricola[Campaña])*(Producción_Agricola[Económico U$S Dólares]))*(IF($F$39="Hectárea",1/J$61,IF($F$39="Tonelada",1/J$62,1))),0)</f>
        <v>0</v>
      </c>
      <c r="K47" s="10">
        <f>IFERROR(SUMPRODUCT(($F$4=Producción_Agricola[C. Costo Reporte])*(Económico!K$41=Producción_Agricola[Unidad de Negocio])*(Económico!$E47=Producción_Agricola[Cuenta Contable])*($F$5=Producción_Agricola[Campaña])*(Producción_Agricola[Económico U$S Dólares]))*(IF($F$39="Hectárea",1/K$61,IF($F$39="Tonelada",1/K$62,1))),0)</f>
        <v>0</v>
      </c>
      <c r="L47" s="10">
        <f>IFERROR(SUMPRODUCT(($F$4=Producción_Agricola[C. Costo Reporte])*(Económico!L$41=Producción_Agricola[Unidad de Negocio])*(Económico!$E47=Producción_Agricola[Cuenta Contable])*($F$5=Producción_Agricola[Campaña])*(Producción_Agricola[Económico U$S Dólares]))*(IF($F$39="Hectárea",1/L$61,IF($F$39="Tonelada",1/L$62,1))),0)</f>
        <v>0</v>
      </c>
      <c r="M47" s="10">
        <f>IFERROR(SUMPRODUCT(($F$4=Producción_Agricola[C. Costo Reporte])*(Económico!M$41=Producción_Agricola[Unidad de Negocio])*(Económico!$E47=Producción_Agricola[Cuenta Contable])*($F$5=Producción_Agricola[Campaña])*(Producción_Agricola[Económico U$S Dólares]))*(IF($F$39="Hectárea",1/M$61,IF($F$39="Tonelada",1/M$62,1))),0)</f>
        <v>0</v>
      </c>
      <c r="N47" s="10">
        <f>IFERROR(SUMPRODUCT(($F$4=Producción_Agricola[C. Costo Reporte])*(Económico!N$41=Producción_Agricola[Unidad de Negocio])*(Económico!$E47=Producción_Agricola[Cuenta Contable])*($F$5=Producción_Agricola[Campaña])*(Producción_Agricola[Económico U$S Dólares]))*(IF($F$39="Hectárea",1/N$61,IF($F$39="Tonelada",1/N$62,1))),0)</f>
        <v>0</v>
      </c>
      <c r="O47" s="10">
        <f>IFERROR(SUMPRODUCT(($F$4=Producción_Agricola[C. Costo Reporte])*(Económico!O$41=Producción_Agricola[Unidad de Negocio])*(Económico!$E47=Producción_Agricola[Cuenta Contable])*($F$5=Producción_Agricola[Campaña])*(Producción_Agricola[Económico U$S Dólares]))*(IF($F$39="Hectárea",1/O$61,IF($F$39="Tonelada",1/O$62,1))),0)</f>
        <v>0</v>
      </c>
      <c r="P47" s="10">
        <f>IFERROR(SUMPRODUCT(($F$4=Producción_Agricola[C. Costo Reporte])*(Económico!P$41=Producción_Agricola[Unidad de Negocio])*(Económico!$E47=Producción_Agricola[Cuenta Contable])*($F$5=Producción_Agricola[Campaña])*(Producción_Agricola[Económico U$S Dólares]))*(IF($F$39="Hectárea",1/P$61,IF($F$39="Tonelada",1/P$62,1))),0)</f>
        <v>0</v>
      </c>
      <c r="Q47" s="10">
        <f>IFERROR(SUMPRODUCT(($F$4=Producción_Agricola[C. Costo Reporte])*(Económico!Q$41=Producción_Agricola[Unidad de Negocio])*(Económico!$E47=Producción_Agricola[Cuenta Contable])*($F$5=Producción_Agricola[Campaña])*(Producción_Agricola[Económico U$S Dólares]))*(IF($F$39="Hectárea",1/Q$61,IF($F$39="Tonelada",1/Q$62,1))),0)</f>
        <v>0</v>
      </c>
      <c r="R47" s="249" t="str">
        <f>INDEX(Produccion_Agricola_Cuentas[],MATCH(Tabla28[[#This Row],[Cuentas Contables]],Produccion_Agricola_Cuentas[Cuenta Contable],0),3)</f>
        <v>Gasto Fijo</v>
      </c>
      <c r="Z47" s="245">
        <f>MATCH(Tabla2841[[#This Row],[Cuentas Contables]],Produccion_Agricola_Cuentas[Cuenta Contable],0)</f>
        <v>2</v>
      </c>
      <c r="AA47" s="32" t="str">
        <f>Tabla28[[#This Row],[Cuentas Contables]]</f>
        <v>Semillas</v>
      </c>
      <c r="AB47" s="10">
        <f>IFERROR(SUMPRODUCT(($F$4=Producción_Agricola[C. Costo Reporte])*(Económico!AB$41=Producción_Agricola[Unidad de Negocio])*(Económico!$E47=Producción_Agricola[Cuenta Contable])*($F$5=Producción_Agricola[Campaña])*(Producción_Agricola[Económico $Corrientes]))*(IF($F$39="Hectárea",1/AB$61,IF($F$39="Tonelada",1/AB$62,1))),0)</f>
        <v>0</v>
      </c>
      <c r="AC47" s="10">
        <f>IFERROR(SUMPRODUCT(($F$4=Producción_Agricola[C. Costo Reporte])*(Económico!AC$41=Producción_Agricola[Unidad de Negocio])*(Económico!$E47=Producción_Agricola[Cuenta Contable])*($F$5=Producción_Agricola[Campaña])*(Producción_Agricola[Económico $Corrientes]))*(IF($F$39="Hectárea",1/AC$61,IF($F$39="Tonelada",1/AC$62,1))),0)</f>
        <v>0</v>
      </c>
      <c r="AD47" s="10">
        <f>IFERROR(SUMPRODUCT(($F$4=Producción_Agricola[C. Costo Reporte])*(Económico!AD$41=Producción_Agricola[Unidad de Negocio])*(Económico!$E47=Producción_Agricola[Cuenta Contable])*($F$5=Producción_Agricola[Campaña])*(Producción_Agricola[Económico $Corrientes]))*(IF($F$39="Hectárea",1/AD$61,IF($F$39="Tonelada",1/AD$62,1))),0)</f>
        <v>0</v>
      </c>
      <c r="AE47" s="10">
        <f>IFERROR(SUMPRODUCT(($F$4=Producción_Agricola[C. Costo Reporte])*(Económico!AE$41=Producción_Agricola[Unidad de Negocio])*(Económico!$E47=Producción_Agricola[Cuenta Contable])*($F$5=Producción_Agricola[Campaña])*(Producción_Agricola[Económico $Corrientes]))*(IF($F$39="Hectárea",1/AE$61,IF($F$39="Tonelada",1/AE$62,1))),0)</f>
        <v>0</v>
      </c>
      <c r="AF47" s="10">
        <f>IFERROR(SUMPRODUCT(($F$4=Producción_Agricola[C. Costo Reporte])*(Económico!AF$41=Producción_Agricola[Unidad de Negocio])*(Económico!$E47=Producción_Agricola[Cuenta Contable])*($F$5=Producción_Agricola[Campaña])*(Producción_Agricola[Económico $Corrientes]))*(IF($F$39="Hectárea",1/AF$61,IF($F$39="Tonelada",1/AF$62,1))),0)</f>
        <v>0</v>
      </c>
      <c r="AG47" s="10">
        <f>IFERROR(SUMPRODUCT(($F$4=Producción_Agricola[C. Costo Reporte])*(Económico!AG$41=Producción_Agricola[Unidad de Negocio])*(Económico!$E47=Producción_Agricola[Cuenta Contable])*($F$5=Producción_Agricola[Campaña])*(Producción_Agricola[Económico $Corrientes]))*(IF($F$39="Hectárea",1/AG$61,IF($F$39="Tonelada",1/AG$62,1))),0)</f>
        <v>0</v>
      </c>
      <c r="AH47" s="10">
        <f>IFERROR(SUMPRODUCT(($F$4=Producción_Agricola[C. Costo Reporte])*(Económico!AH$41=Producción_Agricola[Unidad de Negocio])*(Económico!$E47=Producción_Agricola[Cuenta Contable])*($F$5=Producción_Agricola[Campaña])*(Producción_Agricola[Económico $Corrientes]))*(IF($F$39="Hectárea",1/AH$61,IF($F$39="Tonelada",1/AH$62,1))),0)</f>
        <v>0</v>
      </c>
      <c r="AI47" s="10">
        <f>IFERROR(SUMPRODUCT(($F$4=Producción_Agricola[C. Costo Reporte])*(Económico!AI$41=Producción_Agricola[Unidad de Negocio])*(Económico!$E47=Producción_Agricola[Cuenta Contable])*($F$5=Producción_Agricola[Campaña])*(Producción_Agricola[Económico $Corrientes]))*(IF($F$39="Hectárea",1/AI$61,IF($F$39="Tonelada",1/AI$62,1))),0)</f>
        <v>0</v>
      </c>
      <c r="AJ47" s="10">
        <f>IFERROR(SUMPRODUCT(($F$4=Producción_Agricola[C. Costo Reporte])*(Económico!AJ$41=Producción_Agricola[Unidad de Negocio])*(Económico!$E47=Producción_Agricola[Cuenta Contable])*($F$5=Producción_Agricola[Campaña])*(Producción_Agricola[Económico $Corrientes]))*(IF($F$39="Hectárea",1/AJ$61,IF($F$39="Tonelada",1/AJ$62,1))),0)</f>
        <v>0</v>
      </c>
      <c r="AK47" s="10">
        <f>IFERROR(SUMPRODUCT(($F$4=Producción_Agricola[C. Costo Reporte])*(Económico!AK$41=Producción_Agricola[Unidad de Negocio])*(Económico!$E47=Producción_Agricola[Cuenta Contable])*($F$5=Producción_Agricola[Campaña])*(Producción_Agricola[Económico $Corrientes]))*(IF($F$39="Hectárea",1/AK$61,IF($F$39="Tonelada",1/AK$62,1))),0)</f>
        <v>0</v>
      </c>
      <c r="AL47" s="10">
        <f>IFERROR(SUMPRODUCT(($F$4=Producción_Agricola[C. Costo Reporte])*(Económico!AL$41=Producción_Agricola[Unidad de Negocio])*(Económico!$E47=Producción_Agricola[Cuenta Contable])*($F$5=Producción_Agricola[Campaña])*(Producción_Agricola[Económico $Corrientes]))*(IF($F$39="Hectárea",1/AL$61,IF($F$39="Tonelada",1/AL$62,1))),0)</f>
        <v>0</v>
      </c>
      <c r="AM47" s="10">
        <f>IFERROR(SUMPRODUCT(($F$4=Producción_Agricola[C. Costo Reporte])*(Económico!AM$41=Producción_Agricola[Unidad de Negocio])*(Económico!$E47=Producción_Agricola[Cuenta Contable])*($F$5=Producción_Agricola[Campaña])*(Producción_Agricola[Económico $Corrientes]))*(IF($F$39="Hectárea",1/AM$61,IF($F$39="Tonelada",1/AM$62,1))),0)</f>
        <v>0</v>
      </c>
      <c r="AN47" s="249" t="str">
        <f>INDEX(Produccion_Agricola_Cuentas[],MATCH(Tabla2841[[#This Row],[Cuentas Contables]],Produccion_Agricola_Cuentas[Cuenta Contable],0),3)</f>
        <v>Gasto Fijo</v>
      </c>
      <c r="AV47" s="245">
        <f>MATCH(Tabla284150[[#This Row],[Cuentas Contables]],Produccion_Agricola_Cuentas[Cuenta Contable],0)</f>
        <v>2</v>
      </c>
      <c r="AW47" s="32" t="str">
        <f>Tabla28[[#This Row],[Cuentas Contables]]</f>
        <v>Semillas</v>
      </c>
      <c r="AX47" s="10">
        <f>IFERROR(SUMPRODUCT(($F$4=Producción_Agricola[C. Costo Reporte])*(Económico!AX$41=Producción_Agricola[Unidad de Negocio])*(Económico!$E47=Producción_Agricola[Cuenta Contable])*($F$5=Producción_Agricola[Campaña])*(Producción_Agricola[Económico $Constantes]))*(IF($F$39="Hectárea",1/AX$61,IF($F$39="Tonelada",1/AX$62,1))),0)</f>
        <v>0</v>
      </c>
      <c r="AY47" s="10">
        <f>IFERROR(SUMPRODUCT(($F$4=Producción_Agricola[C. Costo Reporte])*(Económico!AY$41=Producción_Agricola[Unidad de Negocio])*(Económico!$E47=Producción_Agricola[Cuenta Contable])*($F$5=Producción_Agricola[Campaña])*(Producción_Agricola[Económico $Constantes]))*(IF($F$39="Hectárea",1/AY$61,IF($F$39="Tonelada",1/AY$62,1))),0)</f>
        <v>0</v>
      </c>
      <c r="AZ47" s="10">
        <f>IFERROR(SUMPRODUCT(($F$4=Producción_Agricola[C. Costo Reporte])*(Económico!AZ$41=Producción_Agricola[Unidad de Negocio])*(Económico!$E47=Producción_Agricola[Cuenta Contable])*($F$5=Producción_Agricola[Campaña])*(Producción_Agricola[Económico $Constantes]))*(IF($F$39="Hectárea",1/AZ$61,IF($F$39="Tonelada",1/AZ$62,1))),0)</f>
        <v>0</v>
      </c>
      <c r="BA47" s="10">
        <f>IFERROR(SUMPRODUCT(($F$4=Producción_Agricola[C. Costo Reporte])*(Económico!BA$41=Producción_Agricola[Unidad de Negocio])*(Económico!$E47=Producción_Agricola[Cuenta Contable])*($F$5=Producción_Agricola[Campaña])*(Producción_Agricola[Económico $Constantes]))*(IF($F$39="Hectárea",1/BA$61,IF($F$39="Tonelada",1/BA$62,1))),0)</f>
        <v>0</v>
      </c>
      <c r="BB47" s="10">
        <f>IFERROR(SUMPRODUCT(($F$4=Producción_Agricola[C. Costo Reporte])*(Económico!BB$41=Producción_Agricola[Unidad de Negocio])*(Económico!$E47=Producción_Agricola[Cuenta Contable])*($F$5=Producción_Agricola[Campaña])*(Producción_Agricola[Económico $Constantes]))*(IF($F$39="Hectárea",1/BB$61,IF($F$39="Tonelada",1/BB$62,1))),0)</f>
        <v>0</v>
      </c>
      <c r="BC47" s="10">
        <f>IFERROR(SUMPRODUCT(($F$4=Producción_Agricola[C. Costo Reporte])*(Económico!BC$41=Producción_Agricola[Unidad de Negocio])*(Económico!$E47=Producción_Agricola[Cuenta Contable])*($F$5=Producción_Agricola[Campaña])*(Producción_Agricola[Económico $Constantes]))*(IF($F$39="Hectárea",1/BC$61,IF($F$39="Tonelada",1/BC$62,1))),0)</f>
        <v>0</v>
      </c>
      <c r="BD47" s="10">
        <f>IFERROR(SUMPRODUCT(($F$4=Producción_Agricola[C. Costo Reporte])*(Económico!BD$41=Producción_Agricola[Unidad de Negocio])*(Económico!$E47=Producción_Agricola[Cuenta Contable])*($F$5=Producción_Agricola[Campaña])*(Producción_Agricola[Económico $Constantes]))*(IF($F$39="Hectárea",1/BD$61,IF($F$39="Tonelada",1/BD$62,1))),0)</f>
        <v>0</v>
      </c>
      <c r="BE47" s="10">
        <f>IFERROR(SUMPRODUCT(($F$4=Producción_Agricola[C. Costo Reporte])*(Económico!BE$41=Producción_Agricola[Unidad de Negocio])*(Económico!$E47=Producción_Agricola[Cuenta Contable])*($F$5=Producción_Agricola[Campaña])*(Producción_Agricola[Económico $Constantes]))*(IF($F$39="Hectárea",1/BE$61,IF($F$39="Tonelada",1/BE$62,1))),0)</f>
        <v>0</v>
      </c>
      <c r="BF47" s="10">
        <f>IFERROR(SUMPRODUCT(($F$4=Producción_Agricola[C. Costo Reporte])*(Económico!BF$41=Producción_Agricola[Unidad de Negocio])*(Económico!$E47=Producción_Agricola[Cuenta Contable])*($F$5=Producción_Agricola[Campaña])*(Producción_Agricola[Económico $Constantes]))*(IF($F$39="Hectárea",1/BF$61,IF($F$39="Tonelada",1/BF$62,1))),0)</f>
        <v>0</v>
      </c>
      <c r="BG47" s="10">
        <f>IFERROR(SUMPRODUCT(($F$4=Producción_Agricola[C. Costo Reporte])*(Económico!BG$41=Producción_Agricola[Unidad de Negocio])*(Económico!$E47=Producción_Agricola[Cuenta Contable])*($F$5=Producción_Agricola[Campaña])*(Producción_Agricola[Económico $Constantes]))*(IF($F$39="Hectárea",1/BG$61,IF($F$39="Tonelada",1/BG$62,1))),0)</f>
        <v>0</v>
      </c>
      <c r="BH47" s="10">
        <f>IFERROR(SUMPRODUCT(($F$4=Producción_Agricola[C. Costo Reporte])*(Económico!BH$41=Producción_Agricola[Unidad de Negocio])*(Económico!$E47=Producción_Agricola[Cuenta Contable])*($F$5=Producción_Agricola[Campaña])*(Producción_Agricola[Económico $Constantes]))*(IF($F$39="Hectárea",1/BH$61,IF($F$39="Tonelada",1/BH$62,1))),0)</f>
        <v>0</v>
      </c>
      <c r="BI47" s="10">
        <f>IFERROR(SUMPRODUCT(($F$4=Producción_Agricola[C. Costo Reporte])*(Económico!BI$41=Producción_Agricola[Unidad de Negocio])*(Económico!$E47=Producción_Agricola[Cuenta Contable])*($F$5=Producción_Agricola[Campaña])*(Producción_Agricola[Económico $Constantes]))*(IF($F$39="Hectárea",1/BI$61,IF($F$39="Tonelada",1/BI$62,1))),0)</f>
        <v>0</v>
      </c>
      <c r="BJ47" s="249" t="str">
        <f>INDEX(Produccion_Agricola_Cuentas[],MATCH(Tabla284150[[#This Row],[Cuentas Contables]],Produccion_Agricola_Cuentas[Cuenta Contable],0),3)</f>
        <v>Gasto Fijo</v>
      </c>
    </row>
    <row r="48" spans="2:62" x14ac:dyDescent="0.25">
      <c r="D48" s="245">
        <f>MATCH(Tabla28[[#This Row],[Cuentas Contables]],Produccion_Agricola_Cuentas[Cuenta Contable],0)</f>
        <v>3</v>
      </c>
      <c r="E48" s="116" t="str">
        <f>Configuración!P7</f>
        <v>Inoculantes</v>
      </c>
      <c r="F48" s="10">
        <f>IFERROR(SUMPRODUCT(($F$4=Producción_Agricola[C. Costo Reporte])*(Económico!F$41=Producción_Agricola[Unidad de Negocio])*(Económico!$E48=Producción_Agricola[Cuenta Contable])*($F$5=Producción_Agricola[Campaña])*(Producción_Agricola[Económico U$S Dólares]))*(IF($F$39="Hectárea",1/F$61,IF($F$39="Tonelada",1/F$62,1))),0)</f>
        <v>0</v>
      </c>
      <c r="G48" s="10">
        <f>IFERROR(SUMPRODUCT(($F$4=Producción_Agricola[C. Costo Reporte])*(Económico!G$41=Producción_Agricola[Unidad de Negocio])*(Económico!$E48=Producción_Agricola[Cuenta Contable])*($F$5=Producción_Agricola[Campaña])*(Producción_Agricola[Económico U$S Dólares]))*(IF($F$39="Hectárea",1/G$61,IF($F$39="Tonelada",1/G$62,1))),0)</f>
        <v>0</v>
      </c>
      <c r="H48" s="10">
        <f>IFERROR(SUMPRODUCT(($F$4=Producción_Agricola[C. Costo Reporte])*(Económico!H$41=Producción_Agricola[Unidad de Negocio])*(Económico!$E48=Producción_Agricola[Cuenta Contable])*($F$5=Producción_Agricola[Campaña])*(Producción_Agricola[Económico U$S Dólares]))*(IF($F$39="Hectárea",1/H$61,IF($F$39="Tonelada",1/H$62,1))),0)</f>
        <v>0</v>
      </c>
      <c r="I48" s="10">
        <f>IFERROR(SUMPRODUCT(($F$4=Producción_Agricola[C. Costo Reporte])*(Económico!I$41=Producción_Agricola[Unidad de Negocio])*(Económico!$E48=Producción_Agricola[Cuenta Contable])*($F$5=Producción_Agricola[Campaña])*(Producción_Agricola[Económico U$S Dólares]))*(IF($F$39="Hectárea",1/I$61,IF($F$39="Tonelada",1/I$62,1))),0)</f>
        <v>0</v>
      </c>
      <c r="J48" s="10">
        <f>IFERROR(SUMPRODUCT(($F$4=Producción_Agricola[C. Costo Reporte])*(Económico!J$41=Producción_Agricola[Unidad de Negocio])*(Económico!$E48=Producción_Agricola[Cuenta Contable])*($F$5=Producción_Agricola[Campaña])*(Producción_Agricola[Económico U$S Dólares]))*(IF($F$39="Hectárea",1/J$61,IF($F$39="Tonelada",1/J$62,1))),0)</f>
        <v>0</v>
      </c>
      <c r="K48" s="10">
        <f>IFERROR(SUMPRODUCT(($F$4=Producción_Agricola[C. Costo Reporte])*(Económico!K$41=Producción_Agricola[Unidad de Negocio])*(Económico!$E48=Producción_Agricola[Cuenta Contable])*($F$5=Producción_Agricola[Campaña])*(Producción_Agricola[Económico U$S Dólares]))*(IF($F$39="Hectárea",1/K$61,IF($F$39="Tonelada",1/K$62,1))),0)</f>
        <v>0</v>
      </c>
      <c r="L48" s="10">
        <f>IFERROR(SUMPRODUCT(($F$4=Producción_Agricola[C. Costo Reporte])*(Económico!L$41=Producción_Agricola[Unidad de Negocio])*(Económico!$E48=Producción_Agricola[Cuenta Contable])*($F$5=Producción_Agricola[Campaña])*(Producción_Agricola[Económico U$S Dólares]))*(IF($F$39="Hectárea",1/L$61,IF($F$39="Tonelada",1/L$62,1))),0)</f>
        <v>0</v>
      </c>
      <c r="M48" s="10">
        <f>IFERROR(SUMPRODUCT(($F$4=Producción_Agricola[C. Costo Reporte])*(Económico!M$41=Producción_Agricola[Unidad de Negocio])*(Económico!$E48=Producción_Agricola[Cuenta Contable])*($F$5=Producción_Agricola[Campaña])*(Producción_Agricola[Económico U$S Dólares]))*(IF($F$39="Hectárea",1/M$61,IF($F$39="Tonelada",1/M$62,1))),0)</f>
        <v>0</v>
      </c>
      <c r="N48" s="10">
        <f>IFERROR(SUMPRODUCT(($F$4=Producción_Agricola[C. Costo Reporte])*(Económico!N$41=Producción_Agricola[Unidad de Negocio])*(Económico!$E48=Producción_Agricola[Cuenta Contable])*($F$5=Producción_Agricola[Campaña])*(Producción_Agricola[Económico U$S Dólares]))*(IF($F$39="Hectárea",1/N$61,IF($F$39="Tonelada",1/N$62,1))),0)</f>
        <v>0</v>
      </c>
      <c r="O48" s="10">
        <f>IFERROR(SUMPRODUCT(($F$4=Producción_Agricola[C. Costo Reporte])*(Económico!O$41=Producción_Agricola[Unidad de Negocio])*(Económico!$E48=Producción_Agricola[Cuenta Contable])*($F$5=Producción_Agricola[Campaña])*(Producción_Agricola[Económico U$S Dólares]))*(IF($F$39="Hectárea",1/O$61,IF($F$39="Tonelada",1/O$62,1))),0)</f>
        <v>0</v>
      </c>
      <c r="P48" s="10">
        <f>IFERROR(SUMPRODUCT(($F$4=Producción_Agricola[C. Costo Reporte])*(Económico!P$41=Producción_Agricola[Unidad de Negocio])*(Económico!$E48=Producción_Agricola[Cuenta Contable])*($F$5=Producción_Agricola[Campaña])*(Producción_Agricola[Económico U$S Dólares]))*(IF($F$39="Hectárea",1/P$61,IF($F$39="Tonelada",1/P$62,1))),0)</f>
        <v>0</v>
      </c>
      <c r="Q48" s="10">
        <f>IFERROR(SUMPRODUCT(($F$4=Producción_Agricola[C. Costo Reporte])*(Económico!Q$41=Producción_Agricola[Unidad de Negocio])*(Económico!$E48=Producción_Agricola[Cuenta Contable])*($F$5=Producción_Agricola[Campaña])*(Producción_Agricola[Económico U$S Dólares]))*(IF($F$39="Hectárea",1/Q$61,IF($F$39="Tonelada",1/Q$62,1))),0)</f>
        <v>0</v>
      </c>
      <c r="R48" s="249" t="str">
        <f>INDEX(Produccion_Agricola_Cuentas[],MATCH(Tabla28[[#This Row],[Cuentas Contables]],Produccion_Agricola_Cuentas[Cuenta Contable],0),3)</f>
        <v>Gasto Fijo</v>
      </c>
      <c r="Z48" s="245">
        <f>MATCH(Tabla2841[[#This Row],[Cuentas Contables]],Produccion_Agricola_Cuentas[Cuenta Contable],0)</f>
        <v>3</v>
      </c>
      <c r="AA48" s="32" t="str">
        <f>Tabla28[[#This Row],[Cuentas Contables]]</f>
        <v>Inoculantes</v>
      </c>
      <c r="AB48" s="10">
        <f>IFERROR(SUMPRODUCT(($F$4=Producción_Agricola[C. Costo Reporte])*(Económico!AB$41=Producción_Agricola[Unidad de Negocio])*(Económico!$E48=Producción_Agricola[Cuenta Contable])*($F$5=Producción_Agricola[Campaña])*(Producción_Agricola[Económico $Corrientes]))*(IF($F$39="Hectárea",1/AB$61,IF($F$39="Tonelada",1/AB$62,1))),0)</f>
        <v>0</v>
      </c>
      <c r="AC48" s="10">
        <f>IFERROR(SUMPRODUCT(($F$4=Producción_Agricola[C. Costo Reporte])*(Económico!AC$41=Producción_Agricola[Unidad de Negocio])*(Económico!$E48=Producción_Agricola[Cuenta Contable])*($F$5=Producción_Agricola[Campaña])*(Producción_Agricola[Económico $Corrientes]))*(IF($F$39="Hectárea",1/AC$61,IF($F$39="Tonelada",1/AC$62,1))),0)</f>
        <v>0</v>
      </c>
      <c r="AD48" s="10">
        <f>IFERROR(SUMPRODUCT(($F$4=Producción_Agricola[C. Costo Reporte])*(Económico!AD$41=Producción_Agricola[Unidad de Negocio])*(Económico!$E48=Producción_Agricola[Cuenta Contable])*($F$5=Producción_Agricola[Campaña])*(Producción_Agricola[Económico $Corrientes]))*(IF($F$39="Hectárea",1/AD$61,IF($F$39="Tonelada",1/AD$62,1))),0)</f>
        <v>0</v>
      </c>
      <c r="AE48" s="10">
        <f>IFERROR(SUMPRODUCT(($F$4=Producción_Agricola[C. Costo Reporte])*(Económico!AE$41=Producción_Agricola[Unidad de Negocio])*(Económico!$E48=Producción_Agricola[Cuenta Contable])*($F$5=Producción_Agricola[Campaña])*(Producción_Agricola[Económico $Corrientes]))*(IF($F$39="Hectárea",1/AE$61,IF($F$39="Tonelada",1/AE$62,1))),0)</f>
        <v>0</v>
      </c>
      <c r="AF48" s="10">
        <f>IFERROR(SUMPRODUCT(($F$4=Producción_Agricola[C. Costo Reporte])*(Económico!AF$41=Producción_Agricola[Unidad de Negocio])*(Económico!$E48=Producción_Agricola[Cuenta Contable])*($F$5=Producción_Agricola[Campaña])*(Producción_Agricola[Económico $Corrientes]))*(IF($F$39="Hectárea",1/AF$61,IF($F$39="Tonelada",1/AF$62,1))),0)</f>
        <v>0</v>
      </c>
      <c r="AG48" s="10">
        <f>IFERROR(SUMPRODUCT(($F$4=Producción_Agricola[C. Costo Reporte])*(Económico!AG$41=Producción_Agricola[Unidad de Negocio])*(Económico!$E48=Producción_Agricola[Cuenta Contable])*($F$5=Producción_Agricola[Campaña])*(Producción_Agricola[Económico $Corrientes]))*(IF($F$39="Hectárea",1/AG$61,IF($F$39="Tonelada",1/AG$62,1))),0)</f>
        <v>0</v>
      </c>
      <c r="AH48" s="10">
        <f>IFERROR(SUMPRODUCT(($F$4=Producción_Agricola[C. Costo Reporte])*(Económico!AH$41=Producción_Agricola[Unidad de Negocio])*(Económico!$E48=Producción_Agricola[Cuenta Contable])*($F$5=Producción_Agricola[Campaña])*(Producción_Agricola[Económico $Corrientes]))*(IF($F$39="Hectárea",1/AH$61,IF($F$39="Tonelada",1/AH$62,1))),0)</f>
        <v>0</v>
      </c>
      <c r="AI48" s="10">
        <f>IFERROR(SUMPRODUCT(($F$4=Producción_Agricola[C. Costo Reporte])*(Económico!AI$41=Producción_Agricola[Unidad de Negocio])*(Económico!$E48=Producción_Agricola[Cuenta Contable])*($F$5=Producción_Agricola[Campaña])*(Producción_Agricola[Económico $Corrientes]))*(IF($F$39="Hectárea",1/AI$61,IF($F$39="Tonelada",1/AI$62,1))),0)</f>
        <v>0</v>
      </c>
      <c r="AJ48" s="10">
        <f>IFERROR(SUMPRODUCT(($F$4=Producción_Agricola[C. Costo Reporte])*(Económico!AJ$41=Producción_Agricola[Unidad de Negocio])*(Económico!$E48=Producción_Agricola[Cuenta Contable])*($F$5=Producción_Agricola[Campaña])*(Producción_Agricola[Económico $Corrientes]))*(IF($F$39="Hectárea",1/AJ$61,IF($F$39="Tonelada",1/AJ$62,1))),0)</f>
        <v>0</v>
      </c>
      <c r="AK48" s="10">
        <f>IFERROR(SUMPRODUCT(($F$4=Producción_Agricola[C. Costo Reporte])*(Económico!AK$41=Producción_Agricola[Unidad de Negocio])*(Económico!$E48=Producción_Agricola[Cuenta Contable])*($F$5=Producción_Agricola[Campaña])*(Producción_Agricola[Económico $Corrientes]))*(IF($F$39="Hectárea",1/AK$61,IF($F$39="Tonelada",1/AK$62,1))),0)</f>
        <v>0</v>
      </c>
      <c r="AL48" s="10">
        <f>IFERROR(SUMPRODUCT(($F$4=Producción_Agricola[C. Costo Reporte])*(Económico!AL$41=Producción_Agricola[Unidad de Negocio])*(Económico!$E48=Producción_Agricola[Cuenta Contable])*($F$5=Producción_Agricola[Campaña])*(Producción_Agricola[Económico $Corrientes]))*(IF($F$39="Hectárea",1/AL$61,IF($F$39="Tonelada",1/AL$62,1))),0)</f>
        <v>0</v>
      </c>
      <c r="AM48" s="10">
        <f>IFERROR(SUMPRODUCT(($F$4=Producción_Agricola[C. Costo Reporte])*(Económico!AM$41=Producción_Agricola[Unidad de Negocio])*(Económico!$E48=Producción_Agricola[Cuenta Contable])*($F$5=Producción_Agricola[Campaña])*(Producción_Agricola[Económico $Corrientes]))*(IF($F$39="Hectárea",1/AM$61,IF($F$39="Tonelada",1/AM$62,1))),0)</f>
        <v>0</v>
      </c>
      <c r="AN48" s="249" t="str">
        <f>INDEX(Produccion_Agricola_Cuentas[],MATCH(Tabla2841[[#This Row],[Cuentas Contables]],Produccion_Agricola_Cuentas[Cuenta Contable],0),3)</f>
        <v>Gasto Fijo</v>
      </c>
      <c r="AV48" s="245">
        <f>MATCH(Tabla284150[[#This Row],[Cuentas Contables]],Produccion_Agricola_Cuentas[Cuenta Contable],0)</f>
        <v>3</v>
      </c>
      <c r="AW48" s="32" t="str">
        <f>Tabla28[[#This Row],[Cuentas Contables]]</f>
        <v>Inoculantes</v>
      </c>
      <c r="AX48" s="10">
        <f>IFERROR(SUMPRODUCT(($F$4=Producción_Agricola[C. Costo Reporte])*(Económico!AX$41=Producción_Agricola[Unidad de Negocio])*(Económico!$E48=Producción_Agricola[Cuenta Contable])*($F$5=Producción_Agricola[Campaña])*(Producción_Agricola[Económico $Constantes]))*(IF($F$39="Hectárea",1/AX$61,IF($F$39="Tonelada",1/AX$62,1))),0)</f>
        <v>0</v>
      </c>
      <c r="AY48" s="10">
        <f>IFERROR(SUMPRODUCT(($F$4=Producción_Agricola[C. Costo Reporte])*(Económico!AY$41=Producción_Agricola[Unidad de Negocio])*(Económico!$E48=Producción_Agricola[Cuenta Contable])*($F$5=Producción_Agricola[Campaña])*(Producción_Agricola[Económico $Constantes]))*(IF($F$39="Hectárea",1/AY$61,IF($F$39="Tonelada",1/AY$62,1))),0)</f>
        <v>0</v>
      </c>
      <c r="AZ48" s="10">
        <f>IFERROR(SUMPRODUCT(($F$4=Producción_Agricola[C. Costo Reporte])*(Económico!AZ$41=Producción_Agricola[Unidad de Negocio])*(Económico!$E48=Producción_Agricola[Cuenta Contable])*($F$5=Producción_Agricola[Campaña])*(Producción_Agricola[Económico $Constantes]))*(IF($F$39="Hectárea",1/AZ$61,IF($F$39="Tonelada",1/AZ$62,1))),0)</f>
        <v>0</v>
      </c>
      <c r="BA48" s="10">
        <f>IFERROR(SUMPRODUCT(($F$4=Producción_Agricola[C. Costo Reporte])*(Económico!BA$41=Producción_Agricola[Unidad de Negocio])*(Económico!$E48=Producción_Agricola[Cuenta Contable])*($F$5=Producción_Agricola[Campaña])*(Producción_Agricola[Económico $Constantes]))*(IF($F$39="Hectárea",1/BA$61,IF($F$39="Tonelada",1/BA$62,1))),0)</f>
        <v>0</v>
      </c>
      <c r="BB48" s="10">
        <f>IFERROR(SUMPRODUCT(($F$4=Producción_Agricola[C. Costo Reporte])*(Económico!BB$41=Producción_Agricola[Unidad de Negocio])*(Económico!$E48=Producción_Agricola[Cuenta Contable])*($F$5=Producción_Agricola[Campaña])*(Producción_Agricola[Económico $Constantes]))*(IF($F$39="Hectárea",1/BB$61,IF($F$39="Tonelada",1/BB$62,1))),0)</f>
        <v>0</v>
      </c>
      <c r="BC48" s="10">
        <f>IFERROR(SUMPRODUCT(($F$4=Producción_Agricola[C. Costo Reporte])*(Económico!BC$41=Producción_Agricola[Unidad de Negocio])*(Económico!$E48=Producción_Agricola[Cuenta Contable])*($F$5=Producción_Agricola[Campaña])*(Producción_Agricola[Económico $Constantes]))*(IF($F$39="Hectárea",1/BC$61,IF($F$39="Tonelada",1/BC$62,1))),0)</f>
        <v>0</v>
      </c>
      <c r="BD48" s="10">
        <f>IFERROR(SUMPRODUCT(($F$4=Producción_Agricola[C. Costo Reporte])*(Económico!BD$41=Producción_Agricola[Unidad de Negocio])*(Económico!$E48=Producción_Agricola[Cuenta Contable])*($F$5=Producción_Agricola[Campaña])*(Producción_Agricola[Económico $Constantes]))*(IF($F$39="Hectárea",1/BD$61,IF($F$39="Tonelada",1/BD$62,1))),0)</f>
        <v>0</v>
      </c>
      <c r="BE48" s="10">
        <f>IFERROR(SUMPRODUCT(($F$4=Producción_Agricola[C. Costo Reporte])*(Económico!BE$41=Producción_Agricola[Unidad de Negocio])*(Económico!$E48=Producción_Agricola[Cuenta Contable])*($F$5=Producción_Agricola[Campaña])*(Producción_Agricola[Económico $Constantes]))*(IF($F$39="Hectárea",1/BE$61,IF($F$39="Tonelada",1/BE$62,1))),0)</f>
        <v>0</v>
      </c>
      <c r="BF48" s="10">
        <f>IFERROR(SUMPRODUCT(($F$4=Producción_Agricola[C. Costo Reporte])*(Económico!BF$41=Producción_Agricola[Unidad de Negocio])*(Económico!$E48=Producción_Agricola[Cuenta Contable])*($F$5=Producción_Agricola[Campaña])*(Producción_Agricola[Económico $Constantes]))*(IF($F$39="Hectárea",1/BF$61,IF($F$39="Tonelada",1/BF$62,1))),0)</f>
        <v>0</v>
      </c>
      <c r="BG48" s="10">
        <f>IFERROR(SUMPRODUCT(($F$4=Producción_Agricola[C. Costo Reporte])*(Económico!BG$41=Producción_Agricola[Unidad de Negocio])*(Económico!$E48=Producción_Agricola[Cuenta Contable])*($F$5=Producción_Agricola[Campaña])*(Producción_Agricola[Económico $Constantes]))*(IF($F$39="Hectárea",1/BG$61,IF($F$39="Tonelada",1/BG$62,1))),0)</f>
        <v>0</v>
      </c>
      <c r="BH48" s="10">
        <f>IFERROR(SUMPRODUCT(($F$4=Producción_Agricola[C. Costo Reporte])*(Económico!BH$41=Producción_Agricola[Unidad de Negocio])*(Económico!$E48=Producción_Agricola[Cuenta Contable])*($F$5=Producción_Agricola[Campaña])*(Producción_Agricola[Económico $Constantes]))*(IF($F$39="Hectárea",1/BH$61,IF($F$39="Tonelada",1/BH$62,1))),0)</f>
        <v>0</v>
      </c>
      <c r="BI48" s="10">
        <f>IFERROR(SUMPRODUCT(($F$4=Producción_Agricola[C. Costo Reporte])*(Económico!BI$41=Producción_Agricola[Unidad de Negocio])*(Económico!$E48=Producción_Agricola[Cuenta Contable])*($F$5=Producción_Agricola[Campaña])*(Producción_Agricola[Económico $Constantes]))*(IF($F$39="Hectárea",1/BI$61,IF($F$39="Tonelada",1/BI$62,1))),0)</f>
        <v>0</v>
      </c>
      <c r="BJ48" s="249" t="str">
        <f>INDEX(Produccion_Agricola_Cuentas[],MATCH(Tabla284150[[#This Row],[Cuentas Contables]],Produccion_Agricola_Cuentas[Cuenta Contable],0),3)</f>
        <v>Gasto Fijo</v>
      </c>
    </row>
    <row r="49" spans="2:62" x14ac:dyDescent="0.25">
      <c r="D49" s="245">
        <f>MATCH(Tabla28[[#This Row],[Cuentas Contables]],Produccion_Agricola_Cuentas[Cuenta Contable],0)</f>
        <v>4</v>
      </c>
      <c r="E49" s="116" t="str">
        <f>Configuración!P8</f>
        <v>Curasemillas</v>
      </c>
      <c r="F49" s="10">
        <f>IFERROR(SUMPRODUCT(($F$4=Producción_Agricola[C. Costo Reporte])*(Económico!F$41=Producción_Agricola[Unidad de Negocio])*(Económico!$E49=Producción_Agricola[Cuenta Contable])*($F$5=Producción_Agricola[Campaña])*(Producción_Agricola[Económico U$S Dólares]))*(IF($F$39="Hectárea",1/F$61,IF($F$39="Tonelada",1/F$62,1))),0)</f>
        <v>0</v>
      </c>
      <c r="G49" s="10">
        <f>IFERROR(SUMPRODUCT(($F$4=Producción_Agricola[C. Costo Reporte])*(Económico!G$41=Producción_Agricola[Unidad de Negocio])*(Económico!$E49=Producción_Agricola[Cuenta Contable])*($F$5=Producción_Agricola[Campaña])*(Producción_Agricola[Económico U$S Dólares]))*(IF($F$39="Hectárea",1/G$61,IF($F$39="Tonelada",1/G$62,1))),0)</f>
        <v>0</v>
      </c>
      <c r="H49" s="10">
        <f>IFERROR(SUMPRODUCT(($F$4=Producción_Agricola[C. Costo Reporte])*(Económico!H$41=Producción_Agricola[Unidad de Negocio])*(Económico!$E49=Producción_Agricola[Cuenta Contable])*($F$5=Producción_Agricola[Campaña])*(Producción_Agricola[Económico U$S Dólares]))*(IF($F$39="Hectárea",1/H$61,IF($F$39="Tonelada",1/H$62,1))),0)</f>
        <v>0</v>
      </c>
      <c r="I49" s="10">
        <f>IFERROR(SUMPRODUCT(($F$4=Producción_Agricola[C. Costo Reporte])*(Económico!I$41=Producción_Agricola[Unidad de Negocio])*(Económico!$E49=Producción_Agricola[Cuenta Contable])*($F$5=Producción_Agricola[Campaña])*(Producción_Agricola[Económico U$S Dólares]))*(IF($F$39="Hectárea",1/I$61,IF($F$39="Tonelada",1/I$62,1))),0)</f>
        <v>0</v>
      </c>
      <c r="J49" s="10">
        <f>IFERROR(SUMPRODUCT(($F$4=Producción_Agricola[C. Costo Reporte])*(Económico!J$41=Producción_Agricola[Unidad de Negocio])*(Económico!$E49=Producción_Agricola[Cuenta Contable])*($F$5=Producción_Agricola[Campaña])*(Producción_Agricola[Económico U$S Dólares]))*(IF($F$39="Hectárea",1/J$61,IF($F$39="Tonelada",1/J$62,1))),0)</f>
        <v>0</v>
      </c>
      <c r="K49" s="10">
        <f>IFERROR(SUMPRODUCT(($F$4=Producción_Agricola[C. Costo Reporte])*(Económico!K$41=Producción_Agricola[Unidad de Negocio])*(Económico!$E49=Producción_Agricola[Cuenta Contable])*($F$5=Producción_Agricola[Campaña])*(Producción_Agricola[Económico U$S Dólares]))*(IF($F$39="Hectárea",1/K$61,IF($F$39="Tonelada",1/K$62,1))),0)</f>
        <v>0</v>
      </c>
      <c r="L49" s="10">
        <f>IFERROR(SUMPRODUCT(($F$4=Producción_Agricola[C. Costo Reporte])*(Económico!L$41=Producción_Agricola[Unidad de Negocio])*(Económico!$E49=Producción_Agricola[Cuenta Contable])*($F$5=Producción_Agricola[Campaña])*(Producción_Agricola[Económico U$S Dólares]))*(IF($F$39="Hectárea",1/L$61,IF($F$39="Tonelada",1/L$62,1))),0)</f>
        <v>0</v>
      </c>
      <c r="M49" s="10">
        <f>IFERROR(SUMPRODUCT(($F$4=Producción_Agricola[C. Costo Reporte])*(Económico!M$41=Producción_Agricola[Unidad de Negocio])*(Económico!$E49=Producción_Agricola[Cuenta Contable])*($F$5=Producción_Agricola[Campaña])*(Producción_Agricola[Económico U$S Dólares]))*(IF($F$39="Hectárea",1/M$61,IF($F$39="Tonelada",1/M$62,1))),0)</f>
        <v>0</v>
      </c>
      <c r="N49" s="10">
        <f>IFERROR(SUMPRODUCT(($F$4=Producción_Agricola[C. Costo Reporte])*(Económico!N$41=Producción_Agricola[Unidad de Negocio])*(Económico!$E49=Producción_Agricola[Cuenta Contable])*($F$5=Producción_Agricola[Campaña])*(Producción_Agricola[Económico U$S Dólares]))*(IF($F$39="Hectárea",1/N$61,IF($F$39="Tonelada",1/N$62,1))),0)</f>
        <v>0</v>
      </c>
      <c r="O49" s="10">
        <f>IFERROR(SUMPRODUCT(($F$4=Producción_Agricola[C. Costo Reporte])*(Económico!O$41=Producción_Agricola[Unidad de Negocio])*(Económico!$E49=Producción_Agricola[Cuenta Contable])*($F$5=Producción_Agricola[Campaña])*(Producción_Agricola[Económico U$S Dólares]))*(IF($F$39="Hectárea",1/O$61,IF($F$39="Tonelada",1/O$62,1))),0)</f>
        <v>0</v>
      </c>
      <c r="P49" s="10">
        <f>IFERROR(SUMPRODUCT(($F$4=Producción_Agricola[C. Costo Reporte])*(Económico!P$41=Producción_Agricola[Unidad de Negocio])*(Económico!$E49=Producción_Agricola[Cuenta Contable])*($F$5=Producción_Agricola[Campaña])*(Producción_Agricola[Económico U$S Dólares]))*(IF($F$39="Hectárea",1/P$61,IF($F$39="Tonelada",1/P$62,1))),0)</f>
        <v>0</v>
      </c>
      <c r="Q49" s="10">
        <f>IFERROR(SUMPRODUCT(($F$4=Producción_Agricola[C. Costo Reporte])*(Económico!Q$41=Producción_Agricola[Unidad de Negocio])*(Económico!$E49=Producción_Agricola[Cuenta Contable])*($F$5=Producción_Agricola[Campaña])*(Producción_Agricola[Económico U$S Dólares]))*(IF($F$39="Hectárea",1/Q$61,IF($F$39="Tonelada",1/Q$62,1))),0)</f>
        <v>0</v>
      </c>
      <c r="R49" s="249" t="str">
        <f>INDEX(Produccion_Agricola_Cuentas[],MATCH(Tabla28[[#This Row],[Cuentas Contables]],Produccion_Agricola_Cuentas[Cuenta Contable],0),3)</f>
        <v>Gasto Fijo</v>
      </c>
      <c r="Z49" s="245">
        <f>MATCH(Tabla2841[[#This Row],[Cuentas Contables]],Produccion_Agricola_Cuentas[Cuenta Contable],0)</f>
        <v>4</v>
      </c>
      <c r="AA49" s="32" t="str">
        <f>Tabla28[[#This Row],[Cuentas Contables]]</f>
        <v>Curasemillas</v>
      </c>
      <c r="AB49" s="10">
        <f>IFERROR(SUMPRODUCT(($F$4=Producción_Agricola[C. Costo Reporte])*(Económico!AB$41=Producción_Agricola[Unidad de Negocio])*(Económico!$E49=Producción_Agricola[Cuenta Contable])*($F$5=Producción_Agricola[Campaña])*(Producción_Agricola[Económico $Corrientes]))*(IF($F$39="Hectárea",1/AB$61,IF($F$39="Tonelada",1/AB$62,1))),0)</f>
        <v>0</v>
      </c>
      <c r="AC49" s="10">
        <f>IFERROR(SUMPRODUCT(($F$4=Producción_Agricola[C. Costo Reporte])*(Económico!AC$41=Producción_Agricola[Unidad de Negocio])*(Económico!$E49=Producción_Agricola[Cuenta Contable])*($F$5=Producción_Agricola[Campaña])*(Producción_Agricola[Económico $Corrientes]))*(IF($F$39="Hectárea",1/AC$61,IF($F$39="Tonelada",1/AC$62,1))),0)</f>
        <v>0</v>
      </c>
      <c r="AD49" s="10">
        <f>IFERROR(SUMPRODUCT(($F$4=Producción_Agricola[C. Costo Reporte])*(Económico!AD$41=Producción_Agricola[Unidad de Negocio])*(Económico!$E49=Producción_Agricola[Cuenta Contable])*($F$5=Producción_Agricola[Campaña])*(Producción_Agricola[Económico $Corrientes]))*(IF($F$39="Hectárea",1/AD$61,IF($F$39="Tonelada",1/AD$62,1))),0)</f>
        <v>0</v>
      </c>
      <c r="AE49" s="10">
        <f>IFERROR(SUMPRODUCT(($F$4=Producción_Agricola[C. Costo Reporte])*(Económico!AE$41=Producción_Agricola[Unidad de Negocio])*(Económico!$E49=Producción_Agricola[Cuenta Contable])*($F$5=Producción_Agricola[Campaña])*(Producción_Agricola[Económico $Corrientes]))*(IF($F$39="Hectárea",1/AE$61,IF($F$39="Tonelada",1/AE$62,1))),0)</f>
        <v>0</v>
      </c>
      <c r="AF49" s="10">
        <f>IFERROR(SUMPRODUCT(($F$4=Producción_Agricola[C. Costo Reporte])*(Económico!AF$41=Producción_Agricola[Unidad de Negocio])*(Económico!$E49=Producción_Agricola[Cuenta Contable])*($F$5=Producción_Agricola[Campaña])*(Producción_Agricola[Económico $Corrientes]))*(IF($F$39="Hectárea",1/AF$61,IF($F$39="Tonelada",1/AF$62,1))),0)</f>
        <v>0</v>
      </c>
      <c r="AG49" s="10">
        <f>IFERROR(SUMPRODUCT(($F$4=Producción_Agricola[C. Costo Reporte])*(Económico!AG$41=Producción_Agricola[Unidad de Negocio])*(Económico!$E49=Producción_Agricola[Cuenta Contable])*($F$5=Producción_Agricola[Campaña])*(Producción_Agricola[Económico $Corrientes]))*(IF($F$39="Hectárea",1/AG$61,IF($F$39="Tonelada",1/AG$62,1))),0)</f>
        <v>0</v>
      </c>
      <c r="AH49" s="10">
        <f>IFERROR(SUMPRODUCT(($F$4=Producción_Agricola[C. Costo Reporte])*(Económico!AH$41=Producción_Agricola[Unidad de Negocio])*(Económico!$E49=Producción_Agricola[Cuenta Contable])*($F$5=Producción_Agricola[Campaña])*(Producción_Agricola[Económico $Corrientes]))*(IF($F$39="Hectárea",1/AH$61,IF($F$39="Tonelada",1/AH$62,1))),0)</f>
        <v>0</v>
      </c>
      <c r="AI49" s="10">
        <f>IFERROR(SUMPRODUCT(($F$4=Producción_Agricola[C. Costo Reporte])*(Económico!AI$41=Producción_Agricola[Unidad de Negocio])*(Económico!$E49=Producción_Agricola[Cuenta Contable])*($F$5=Producción_Agricola[Campaña])*(Producción_Agricola[Económico $Corrientes]))*(IF($F$39="Hectárea",1/AI$61,IF($F$39="Tonelada",1/AI$62,1))),0)</f>
        <v>0</v>
      </c>
      <c r="AJ49" s="10">
        <f>IFERROR(SUMPRODUCT(($F$4=Producción_Agricola[C. Costo Reporte])*(Económico!AJ$41=Producción_Agricola[Unidad de Negocio])*(Económico!$E49=Producción_Agricola[Cuenta Contable])*($F$5=Producción_Agricola[Campaña])*(Producción_Agricola[Económico $Corrientes]))*(IF($F$39="Hectárea",1/AJ$61,IF($F$39="Tonelada",1/AJ$62,1))),0)</f>
        <v>0</v>
      </c>
      <c r="AK49" s="10">
        <f>IFERROR(SUMPRODUCT(($F$4=Producción_Agricola[C. Costo Reporte])*(Económico!AK$41=Producción_Agricola[Unidad de Negocio])*(Económico!$E49=Producción_Agricola[Cuenta Contable])*($F$5=Producción_Agricola[Campaña])*(Producción_Agricola[Económico $Corrientes]))*(IF($F$39="Hectárea",1/AK$61,IF($F$39="Tonelada",1/AK$62,1))),0)</f>
        <v>0</v>
      </c>
      <c r="AL49" s="10">
        <f>IFERROR(SUMPRODUCT(($F$4=Producción_Agricola[C. Costo Reporte])*(Económico!AL$41=Producción_Agricola[Unidad de Negocio])*(Económico!$E49=Producción_Agricola[Cuenta Contable])*($F$5=Producción_Agricola[Campaña])*(Producción_Agricola[Económico $Corrientes]))*(IF($F$39="Hectárea",1/AL$61,IF($F$39="Tonelada",1/AL$62,1))),0)</f>
        <v>0</v>
      </c>
      <c r="AM49" s="10">
        <f>IFERROR(SUMPRODUCT(($F$4=Producción_Agricola[C. Costo Reporte])*(Económico!AM$41=Producción_Agricola[Unidad de Negocio])*(Económico!$E49=Producción_Agricola[Cuenta Contable])*($F$5=Producción_Agricola[Campaña])*(Producción_Agricola[Económico $Corrientes]))*(IF($F$39="Hectárea",1/AM$61,IF($F$39="Tonelada",1/AM$62,1))),0)</f>
        <v>0</v>
      </c>
      <c r="AN49" s="249" t="str">
        <f>INDEX(Produccion_Agricola_Cuentas[],MATCH(Tabla2841[[#This Row],[Cuentas Contables]],Produccion_Agricola_Cuentas[Cuenta Contable],0),3)</f>
        <v>Gasto Fijo</v>
      </c>
      <c r="AV49" s="245">
        <f>MATCH(Tabla284150[[#This Row],[Cuentas Contables]],Produccion_Agricola_Cuentas[Cuenta Contable],0)</f>
        <v>4</v>
      </c>
      <c r="AW49" s="32" t="str">
        <f>Tabla28[[#This Row],[Cuentas Contables]]</f>
        <v>Curasemillas</v>
      </c>
      <c r="AX49" s="10">
        <f>IFERROR(SUMPRODUCT(($F$4=Producción_Agricola[C. Costo Reporte])*(Económico!AX$41=Producción_Agricola[Unidad de Negocio])*(Económico!$E49=Producción_Agricola[Cuenta Contable])*($F$5=Producción_Agricola[Campaña])*(Producción_Agricola[Económico $Constantes]))*(IF($F$39="Hectárea",1/AX$61,IF($F$39="Tonelada",1/AX$62,1))),0)</f>
        <v>0</v>
      </c>
      <c r="AY49" s="10">
        <f>IFERROR(SUMPRODUCT(($F$4=Producción_Agricola[C. Costo Reporte])*(Económico!AY$41=Producción_Agricola[Unidad de Negocio])*(Económico!$E49=Producción_Agricola[Cuenta Contable])*($F$5=Producción_Agricola[Campaña])*(Producción_Agricola[Económico $Constantes]))*(IF($F$39="Hectárea",1/AY$61,IF($F$39="Tonelada",1/AY$62,1))),0)</f>
        <v>0</v>
      </c>
      <c r="AZ49" s="10">
        <f>IFERROR(SUMPRODUCT(($F$4=Producción_Agricola[C. Costo Reporte])*(Económico!AZ$41=Producción_Agricola[Unidad de Negocio])*(Económico!$E49=Producción_Agricola[Cuenta Contable])*($F$5=Producción_Agricola[Campaña])*(Producción_Agricola[Económico $Constantes]))*(IF($F$39="Hectárea",1/AZ$61,IF($F$39="Tonelada",1/AZ$62,1))),0)</f>
        <v>0</v>
      </c>
      <c r="BA49" s="10">
        <f>IFERROR(SUMPRODUCT(($F$4=Producción_Agricola[C. Costo Reporte])*(Económico!BA$41=Producción_Agricola[Unidad de Negocio])*(Económico!$E49=Producción_Agricola[Cuenta Contable])*($F$5=Producción_Agricola[Campaña])*(Producción_Agricola[Económico $Constantes]))*(IF($F$39="Hectárea",1/BA$61,IF($F$39="Tonelada",1/BA$62,1))),0)</f>
        <v>0</v>
      </c>
      <c r="BB49" s="10">
        <f>IFERROR(SUMPRODUCT(($F$4=Producción_Agricola[C. Costo Reporte])*(Económico!BB$41=Producción_Agricola[Unidad de Negocio])*(Económico!$E49=Producción_Agricola[Cuenta Contable])*($F$5=Producción_Agricola[Campaña])*(Producción_Agricola[Económico $Constantes]))*(IF($F$39="Hectárea",1/BB$61,IF($F$39="Tonelada",1/BB$62,1))),0)</f>
        <v>0</v>
      </c>
      <c r="BC49" s="10">
        <f>IFERROR(SUMPRODUCT(($F$4=Producción_Agricola[C. Costo Reporte])*(Económico!BC$41=Producción_Agricola[Unidad de Negocio])*(Económico!$E49=Producción_Agricola[Cuenta Contable])*($F$5=Producción_Agricola[Campaña])*(Producción_Agricola[Económico $Constantes]))*(IF($F$39="Hectárea",1/BC$61,IF($F$39="Tonelada",1/BC$62,1))),0)</f>
        <v>0</v>
      </c>
      <c r="BD49" s="10">
        <f>IFERROR(SUMPRODUCT(($F$4=Producción_Agricola[C. Costo Reporte])*(Económico!BD$41=Producción_Agricola[Unidad de Negocio])*(Económico!$E49=Producción_Agricola[Cuenta Contable])*($F$5=Producción_Agricola[Campaña])*(Producción_Agricola[Económico $Constantes]))*(IF($F$39="Hectárea",1/BD$61,IF($F$39="Tonelada",1/BD$62,1))),0)</f>
        <v>0</v>
      </c>
      <c r="BE49" s="10">
        <f>IFERROR(SUMPRODUCT(($F$4=Producción_Agricola[C. Costo Reporte])*(Económico!BE$41=Producción_Agricola[Unidad de Negocio])*(Económico!$E49=Producción_Agricola[Cuenta Contable])*($F$5=Producción_Agricola[Campaña])*(Producción_Agricola[Económico $Constantes]))*(IF($F$39="Hectárea",1/BE$61,IF($F$39="Tonelada",1/BE$62,1))),0)</f>
        <v>0</v>
      </c>
      <c r="BF49" s="10">
        <f>IFERROR(SUMPRODUCT(($F$4=Producción_Agricola[C. Costo Reporte])*(Económico!BF$41=Producción_Agricola[Unidad de Negocio])*(Económico!$E49=Producción_Agricola[Cuenta Contable])*($F$5=Producción_Agricola[Campaña])*(Producción_Agricola[Económico $Constantes]))*(IF($F$39="Hectárea",1/BF$61,IF($F$39="Tonelada",1/BF$62,1))),0)</f>
        <v>0</v>
      </c>
      <c r="BG49" s="10">
        <f>IFERROR(SUMPRODUCT(($F$4=Producción_Agricola[C. Costo Reporte])*(Económico!BG$41=Producción_Agricola[Unidad de Negocio])*(Económico!$E49=Producción_Agricola[Cuenta Contable])*($F$5=Producción_Agricola[Campaña])*(Producción_Agricola[Económico $Constantes]))*(IF($F$39="Hectárea",1/BG$61,IF($F$39="Tonelada",1/BG$62,1))),0)</f>
        <v>0</v>
      </c>
      <c r="BH49" s="10">
        <f>IFERROR(SUMPRODUCT(($F$4=Producción_Agricola[C. Costo Reporte])*(Económico!BH$41=Producción_Agricola[Unidad de Negocio])*(Económico!$E49=Producción_Agricola[Cuenta Contable])*($F$5=Producción_Agricola[Campaña])*(Producción_Agricola[Económico $Constantes]))*(IF($F$39="Hectárea",1/BH$61,IF($F$39="Tonelada",1/BH$62,1))),0)</f>
        <v>0</v>
      </c>
      <c r="BI49" s="10">
        <f>IFERROR(SUMPRODUCT(($F$4=Producción_Agricola[C. Costo Reporte])*(Económico!BI$41=Producción_Agricola[Unidad de Negocio])*(Económico!$E49=Producción_Agricola[Cuenta Contable])*($F$5=Producción_Agricola[Campaña])*(Producción_Agricola[Económico $Constantes]))*(IF($F$39="Hectárea",1/BI$61,IF($F$39="Tonelada",1/BI$62,1))),0)</f>
        <v>0</v>
      </c>
      <c r="BJ49" s="249" t="str">
        <f>INDEX(Produccion_Agricola_Cuentas[],MATCH(Tabla284150[[#This Row],[Cuentas Contables]],Produccion_Agricola_Cuentas[Cuenta Contable],0),3)</f>
        <v>Gasto Fijo</v>
      </c>
    </row>
    <row r="50" spans="2:62" x14ac:dyDescent="0.25">
      <c r="D50" s="245">
        <f>MATCH(Tabla28[[#This Row],[Cuentas Contables]],Produccion_Agricola_Cuentas[Cuenta Contable],0)</f>
        <v>5</v>
      </c>
      <c r="E50" s="116" t="str">
        <f>Configuración!P9</f>
        <v>Fertilizantes</v>
      </c>
      <c r="F50" s="10">
        <f>IFERROR(SUMPRODUCT(($F$4=Producción_Agricola[C. Costo Reporte])*(Económico!F$41=Producción_Agricola[Unidad de Negocio])*(Económico!$E50=Producción_Agricola[Cuenta Contable])*($F$5=Producción_Agricola[Campaña])*(Producción_Agricola[Económico U$S Dólares]))*(IF($F$39="Hectárea",1/F$61,IF($F$39="Tonelada",1/F$62,1))),0)</f>
        <v>0</v>
      </c>
      <c r="G50" s="10">
        <f>IFERROR(SUMPRODUCT(($F$4=Producción_Agricola[C. Costo Reporte])*(Económico!G$41=Producción_Agricola[Unidad de Negocio])*(Económico!$E50=Producción_Agricola[Cuenta Contable])*($F$5=Producción_Agricola[Campaña])*(Producción_Agricola[Económico U$S Dólares]))*(IF($F$39="Hectárea",1/G$61,IF($F$39="Tonelada",1/G$62,1))),0)</f>
        <v>0</v>
      </c>
      <c r="H50" s="10">
        <f>IFERROR(SUMPRODUCT(($F$4=Producción_Agricola[C. Costo Reporte])*(Económico!H$41=Producción_Agricola[Unidad de Negocio])*(Económico!$E50=Producción_Agricola[Cuenta Contable])*($F$5=Producción_Agricola[Campaña])*(Producción_Agricola[Económico U$S Dólares]))*(IF($F$39="Hectárea",1/H$61,IF($F$39="Tonelada",1/H$62,1))),0)</f>
        <v>0</v>
      </c>
      <c r="I50" s="10">
        <f>IFERROR(SUMPRODUCT(($F$4=Producción_Agricola[C. Costo Reporte])*(Económico!I$41=Producción_Agricola[Unidad de Negocio])*(Económico!$E50=Producción_Agricola[Cuenta Contable])*($F$5=Producción_Agricola[Campaña])*(Producción_Agricola[Económico U$S Dólares]))*(IF($F$39="Hectárea",1/I$61,IF($F$39="Tonelada",1/I$62,1))),0)</f>
        <v>0</v>
      </c>
      <c r="J50" s="10">
        <f>IFERROR(SUMPRODUCT(($F$4=Producción_Agricola[C. Costo Reporte])*(Económico!J$41=Producción_Agricola[Unidad de Negocio])*(Económico!$E50=Producción_Agricola[Cuenta Contable])*($F$5=Producción_Agricola[Campaña])*(Producción_Agricola[Económico U$S Dólares]))*(IF($F$39="Hectárea",1/J$61,IF($F$39="Tonelada",1/J$62,1))),0)</f>
        <v>0</v>
      </c>
      <c r="K50" s="10">
        <f>IFERROR(SUMPRODUCT(($F$4=Producción_Agricola[C. Costo Reporte])*(Económico!K$41=Producción_Agricola[Unidad de Negocio])*(Económico!$E50=Producción_Agricola[Cuenta Contable])*($F$5=Producción_Agricola[Campaña])*(Producción_Agricola[Económico U$S Dólares]))*(IF($F$39="Hectárea",1/K$61,IF($F$39="Tonelada",1/K$62,1))),0)</f>
        <v>0</v>
      </c>
      <c r="L50" s="10">
        <f>IFERROR(SUMPRODUCT(($F$4=Producción_Agricola[C. Costo Reporte])*(Económico!L$41=Producción_Agricola[Unidad de Negocio])*(Económico!$E50=Producción_Agricola[Cuenta Contable])*($F$5=Producción_Agricola[Campaña])*(Producción_Agricola[Económico U$S Dólares]))*(IF($F$39="Hectárea",1/L$61,IF($F$39="Tonelada",1/L$62,1))),0)</f>
        <v>0</v>
      </c>
      <c r="M50" s="10">
        <f>IFERROR(SUMPRODUCT(($F$4=Producción_Agricola[C. Costo Reporte])*(Económico!M$41=Producción_Agricola[Unidad de Negocio])*(Económico!$E50=Producción_Agricola[Cuenta Contable])*($F$5=Producción_Agricola[Campaña])*(Producción_Agricola[Económico U$S Dólares]))*(IF($F$39="Hectárea",1/M$61,IF($F$39="Tonelada",1/M$62,1))),0)</f>
        <v>0</v>
      </c>
      <c r="N50" s="10">
        <f>IFERROR(SUMPRODUCT(($F$4=Producción_Agricola[C. Costo Reporte])*(Económico!N$41=Producción_Agricola[Unidad de Negocio])*(Económico!$E50=Producción_Agricola[Cuenta Contable])*($F$5=Producción_Agricola[Campaña])*(Producción_Agricola[Económico U$S Dólares]))*(IF($F$39="Hectárea",1/N$61,IF($F$39="Tonelada",1/N$62,1))),0)</f>
        <v>0</v>
      </c>
      <c r="O50" s="10">
        <f>IFERROR(SUMPRODUCT(($F$4=Producción_Agricola[C. Costo Reporte])*(Económico!O$41=Producción_Agricola[Unidad de Negocio])*(Económico!$E50=Producción_Agricola[Cuenta Contable])*($F$5=Producción_Agricola[Campaña])*(Producción_Agricola[Económico U$S Dólares]))*(IF($F$39="Hectárea",1/O$61,IF($F$39="Tonelada",1/O$62,1))),0)</f>
        <v>0</v>
      </c>
      <c r="P50" s="10">
        <f>IFERROR(SUMPRODUCT(($F$4=Producción_Agricola[C. Costo Reporte])*(Económico!P$41=Producción_Agricola[Unidad de Negocio])*(Económico!$E50=Producción_Agricola[Cuenta Contable])*($F$5=Producción_Agricola[Campaña])*(Producción_Agricola[Económico U$S Dólares]))*(IF($F$39="Hectárea",1/P$61,IF($F$39="Tonelada",1/P$62,1))),0)</f>
        <v>0</v>
      </c>
      <c r="Q50" s="10">
        <f>IFERROR(SUMPRODUCT(($F$4=Producción_Agricola[C. Costo Reporte])*(Económico!Q$41=Producción_Agricola[Unidad de Negocio])*(Económico!$E50=Producción_Agricola[Cuenta Contable])*($F$5=Producción_Agricola[Campaña])*(Producción_Agricola[Económico U$S Dólares]))*(IF($F$39="Hectárea",1/Q$61,IF($F$39="Tonelada",1/Q$62,1))),0)</f>
        <v>0</v>
      </c>
      <c r="R50" s="249" t="str">
        <f>INDEX(Produccion_Agricola_Cuentas[],MATCH(Tabla28[[#This Row],[Cuentas Contables]],Produccion_Agricola_Cuentas[Cuenta Contable],0),3)</f>
        <v>Gasto Fijo</v>
      </c>
      <c r="Z50" s="245">
        <f>MATCH(Tabla2841[[#This Row],[Cuentas Contables]],Produccion_Agricola_Cuentas[Cuenta Contable],0)</f>
        <v>5</v>
      </c>
      <c r="AA50" s="32" t="str">
        <f>Tabla28[[#This Row],[Cuentas Contables]]</f>
        <v>Fertilizantes</v>
      </c>
      <c r="AB50" s="10">
        <f>IFERROR(SUMPRODUCT(($F$4=Producción_Agricola[C. Costo Reporte])*(Económico!AB$41=Producción_Agricola[Unidad de Negocio])*(Económico!$E50=Producción_Agricola[Cuenta Contable])*($F$5=Producción_Agricola[Campaña])*(Producción_Agricola[Económico $Corrientes]))*(IF($F$39="Hectárea",1/AB$61,IF($F$39="Tonelada",1/AB$62,1))),0)</f>
        <v>0</v>
      </c>
      <c r="AC50" s="10">
        <f>IFERROR(SUMPRODUCT(($F$4=Producción_Agricola[C. Costo Reporte])*(Económico!AC$41=Producción_Agricola[Unidad de Negocio])*(Económico!$E50=Producción_Agricola[Cuenta Contable])*($F$5=Producción_Agricola[Campaña])*(Producción_Agricola[Económico $Corrientes]))*(IF($F$39="Hectárea",1/AC$61,IF($F$39="Tonelada",1/AC$62,1))),0)</f>
        <v>0</v>
      </c>
      <c r="AD50" s="10">
        <f>IFERROR(SUMPRODUCT(($F$4=Producción_Agricola[C. Costo Reporte])*(Económico!AD$41=Producción_Agricola[Unidad de Negocio])*(Económico!$E50=Producción_Agricola[Cuenta Contable])*($F$5=Producción_Agricola[Campaña])*(Producción_Agricola[Económico $Corrientes]))*(IF($F$39="Hectárea",1/AD$61,IF($F$39="Tonelada",1/AD$62,1))),0)</f>
        <v>0</v>
      </c>
      <c r="AE50" s="10">
        <f>IFERROR(SUMPRODUCT(($F$4=Producción_Agricola[C. Costo Reporte])*(Económico!AE$41=Producción_Agricola[Unidad de Negocio])*(Económico!$E50=Producción_Agricola[Cuenta Contable])*($F$5=Producción_Agricola[Campaña])*(Producción_Agricola[Económico $Corrientes]))*(IF($F$39="Hectárea",1/AE$61,IF($F$39="Tonelada",1/AE$62,1))),0)</f>
        <v>0</v>
      </c>
      <c r="AF50" s="10">
        <f>IFERROR(SUMPRODUCT(($F$4=Producción_Agricola[C. Costo Reporte])*(Económico!AF$41=Producción_Agricola[Unidad de Negocio])*(Económico!$E50=Producción_Agricola[Cuenta Contable])*($F$5=Producción_Agricola[Campaña])*(Producción_Agricola[Económico $Corrientes]))*(IF($F$39="Hectárea",1/AF$61,IF($F$39="Tonelada",1/AF$62,1))),0)</f>
        <v>0</v>
      </c>
      <c r="AG50" s="10">
        <f>IFERROR(SUMPRODUCT(($F$4=Producción_Agricola[C. Costo Reporte])*(Económico!AG$41=Producción_Agricola[Unidad de Negocio])*(Económico!$E50=Producción_Agricola[Cuenta Contable])*($F$5=Producción_Agricola[Campaña])*(Producción_Agricola[Económico $Corrientes]))*(IF($F$39="Hectárea",1/AG$61,IF($F$39="Tonelada",1/AG$62,1))),0)</f>
        <v>0</v>
      </c>
      <c r="AH50" s="10">
        <f>IFERROR(SUMPRODUCT(($F$4=Producción_Agricola[C. Costo Reporte])*(Económico!AH$41=Producción_Agricola[Unidad de Negocio])*(Económico!$E50=Producción_Agricola[Cuenta Contable])*($F$5=Producción_Agricola[Campaña])*(Producción_Agricola[Económico $Corrientes]))*(IF($F$39="Hectárea",1/AH$61,IF($F$39="Tonelada",1/AH$62,1))),0)</f>
        <v>0</v>
      </c>
      <c r="AI50" s="10">
        <f>IFERROR(SUMPRODUCT(($F$4=Producción_Agricola[C. Costo Reporte])*(Económico!AI$41=Producción_Agricola[Unidad de Negocio])*(Económico!$E50=Producción_Agricola[Cuenta Contable])*($F$5=Producción_Agricola[Campaña])*(Producción_Agricola[Económico $Corrientes]))*(IF($F$39="Hectárea",1/AI$61,IF($F$39="Tonelada",1/AI$62,1))),0)</f>
        <v>0</v>
      </c>
      <c r="AJ50" s="10">
        <f>IFERROR(SUMPRODUCT(($F$4=Producción_Agricola[C. Costo Reporte])*(Económico!AJ$41=Producción_Agricola[Unidad de Negocio])*(Económico!$E50=Producción_Agricola[Cuenta Contable])*($F$5=Producción_Agricola[Campaña])*(Producción_Agricola[Económico $Corrientes]))*(IF($F$39="Hectárea",1/AJ$61,IF($F$39="Tonelada",1/AJ$62,1))),0)</f>
        <v>0</v>
      </c>
      <c r="AK50" s="10">
        <f>IFERROR(SUMPRODUCT(($F$4=Producción_Agricola[C. Costo Reporte])*(Económico!AK$41=Producción_Agricola[Unidad de Negocio])*(Económico!$E50=Producción_Agricola[Cuenta Contable])*($F$5=Producción_Agricola[Campaña])*(Producción_Agricola[Económico $Corrientes]))*(IF($F$39="Hectárea",1/AK$61,IF($F$39="Tonelada",1/AK$62,1))),0)</f>
        <v>0</v>
      </c>
      <c r="AL50" s="10">
        <f>IFERROR(SUMPRODUCT(($F$4=Producción_Agricola[C. Costo Reporte])*(Económico!AL$41=Producción_Agricola[Unidad de Negocio])*(Económico!$E50=Producción_Agricola[Cuenta Contable])*($F$5=Producción_Agricola[Campaña])*(Producción_Agricola[Económico $Corrientes]))*(IF($F$39="Hectárea",1/AL$61,IF($F$39="Tonelada",1/AL$62,1))),0)</f>
        <v>0</v>
      </c>
      <c r="AM50" s="10">
        <f>IFERROR(SUMPRODUCT(($F$4=Producción_Agricola[C. Costo Reporte])*(Económico!AM$41=Producción_Agricola[Unidad de Negocio])*(Económico!$E50=Producción_Agricola[Cuenta Contable])*($F$5=Producción_Agricola[Campaña])*(Producción_Agricola[Económico $Corrientes]))*(IF($F$39="Hectárea",1/AM$61,IF($F$39="Tonelada",1/AM$62,1))),0)</f>
        <v>0</v>
      </c>
      <c r="AN50" s="249" t="str">
        <f>INDEX(Produccion_Agricola_Cuentas[],MATCH(Tabla2841[[#This Row],[Cuentas Contables]],Produccion_Agricola_Cuentas[Cuenta Contable],0),3)</f>
        <v>Gasto Fijo</v>
      </c>
      <c r="AV50" s="245">
        <f>MATCH(Tabla284150[[#This Row],[Cuentas Contables]],Produccion_Agricola_Cuentas[Cuenta Contable],0)</f>
        <v>5</v>
      </c>
      <c r="AW50" s="32" t="str">
        <f>Tabla28[[#This Row],[Cuentas Contables]]</f>
        <v>Fertilizantes</v>
      </c>
      <c r="AX50" s="10">
        <f>IFERROR(SUMPRODUCT(($F$4=Producción_Agricola[C. Costo Reporte])*(Económico!AX$41=Producción_Agricola[Unidad de Negocio])*(Económico!$E50=Producción_Agricola[Cuenta Contable])*($F$5=Producción_Agricola[Campaña])*(Producción_Agricola[Económico $Constantes]))*(IF($F$39="Hectárea",1/AX$61,IF($F$39="Tonelada",1/AX$62,1))),0)</f>
        <v>0</v>
      </c>
      <c r="AY50" s="10">
        <f>IFERROR(SUMPRODUCT(($F$4=Producción_Agricola[C. Costo Reporte])*(Económico!AY$41=Producción_Agricola[Unidad de Negocio])*(Económico!$E50=Producción_Agricola[Cuenta Contable])*($F$5=Producción_Agricola[Campaña])*(Producción_Agricola[Económico $Constantes]))*(IF($F$39="Hectárea",1/AY$61,IF($F$39="Tonelada",1/AY$62,1))),0)</f>
        <v>0</v>
      </c>
      <c r="AZ50" s="10">
        <f>IFERROR(SUMPRODUCT(($F$4=Producción_Agricola[C. Costo Reporte])*(Económico!AZ$41=Producción_Agricola[Unidad de Negocio])*(Económico!$E50=Producción_Agricola[Cuenta Contable])*($F$5=Producción_Agricola[Campaña])*(Producción_Agricola[Económico $Constantes]))*(IF($F$39="Hectárea",1/AZ$61,IF($F$39="Tonelada",1/AZ$62,1))),0)</f>
        <v>0</v>
      </c>
      <c r="BA50" s="10">
        <f>IFERROR(SUMPRODUCT(($F$4=Producción_Agricola[C. Costo Reporte])*(Económico!BA$41=Producción_Agricola[Unidad de Negocio])*(Económico!$E50=Producción_Agricola[Cuenta Contable])*($F$5=Producción_Agricola[Campaña])*(Producción_Agricola[Económico $Constantes]))*(IF($F$39="Hectárea",1/BA$61,IF($F$39="Tonelada",1/BA$62,1))),0)</f>
        <v>0</v>
      </c>
      <c r="BB50" s="10">
        <f>IFERROR(SUMPRODUCT(($F$4=Producción_Agricola[C. Costo Reporte])*(Económico!BB$41=Producción_Agricola[Unidad de Negocio])*(Económico!$E50=Producción_Agricola[Cuenta Contable])*($F$5=Producción_Agricola[Campaña])*(Producción_Agricola[Económico $Constantes]))*(IF($F$39="Hectárea",1/BB$61,IF($F$39="Tonelada",1/BB$62,1))),0)</f>
        <v>0</v>
      </c>
      <c r="BC50" s="10">
        <f>IFERROR(SUMPRODUCT(($F$4=Producción_Agricola[C. Costo Reporte])*(Económico!BC$41=Producción_Agricola[Unidad de Negocio])*(Económico!$E50=Producción_Agricola[Cuenta Contable])*($F$5=Producción_Agricola[Campaña])*(Producción_Agricola[Económico $Constantes]))*(IF($F$39="Hectárea",1/BC$61,IF($F$39="Tonelada",1/BC$62,1))),0)</f>
        <v>0</v>
      </c>
      <c r="BD50" s="10">
        <f>IFERROR(SUMPRODUCT(($F$4=Producción_Agricola[C. Costo Reporte])*(Económico!BD$41=Producción_Agricola[Unidad de Negocio])*(Económico!$E50=Producción_Agricola[Cuenta Contable])*($F$5=Producción_Agricola[Campaña])*(Producción_Agricola[Económico $Constantes]))*(IF($F$39="Hectárea",1/BD$61,IF($F$39="Tonelada",1/BD$62,1))),0)</f>
        <v>0</v>
      </c>
      <c r="BE50" s="10">
        <f>IFERROR(SUMPRODUCT(($F$4=Producción_Agricola[C. Costo Reporte])*(Económico!BE$41=Producción_Agricola[Unidad de Negocio])*(Económico!$E50=Producción_Agricola[Cuenta Contable])*($F$5=Producción_Agricola[Campaña])*(Producción_Agricola[Económico $Constantes]))*(IF($F$39="Hectárea",1/BE$61,IF($F$39="Tonelada",1/BE$62,1))),0)</f>
        <v>0</v>
      </c>
      <c r="BF50" s="10">
        <f>IFERROR(SUMPRODUCT(($F$4=Producción_Agricola[C. Costo Reporte])*(Económico!BF$41=Producción_Agricola[Unidad de Negocio])*(Económico!$E50=Producción_Agricola[Cuenta Contable])*($F$5=Producción_Agricola[Campaña])*(Producción_Agricola[Económico $Constantes]))*(IF($F$39="Hectárea",1/BF$61,IF($F$39="Tonelada",1/BF$62,1))),0)</f>
        <v>0</v>
      </c>
      <c r="BG50" s="10">
        <f>IFERROR(SUMPRODUCT(($F$4=Producción_Agricola[C. Costo Reporte])*(Económico!BG$41=Producción_Agricola[Unidad de Negocio])*(Económico!$E50=Producción_Agricola[Cuenta Contable])*($F$5=Producción_Agricola[Campaña])*(Producción_Agricola[Económico $Constantes]))*(IF($F$39="Hectárea",1/BG$61,IF($F$39="Tonelada",1/BG$62,1))),0)</f>
        <v>0</v>
      </c>
      <c r="BH50" s="10">
        <f>IFERROR(SUMPRODUCT(($F$4=Producción_Agricola[C. Costo Reporte])*(Económico!BH$41=Producción_Agricola[Unidad de Negocio])*(Económico!$E50=Producción_Agricola[Cuenta Contable])*($F$5=Producción_Agricola[Campaña])*(Producción_Agricola[Económico $Constantes]))*(IF($F$39="Hectárea",1/BH$61,IF($F$39="Tonelada",1/BH$62,1))),0)</f>
        <v>0</v>
      </c>
      <c r="BI50" s="10">
        <f>IFERROR(SUMPRODUCT(($F$4=Producción_Agricola[C. Costo Reporte])*(Económico!BI$41=Producción_Agricola[Unidad de Negocio])*(Económico!$E50=Producción_Agricola[Cuenta Contable])*($F$5=Producción_Agricola[Campaña])*(Producción_Agricola[Económico $Constantes]))*(IF($F$39="Hectárea",1/BI$61,IF($F$39="Tonelada",1/BI$62,1))),0)</f>
        <v>0</v>
      </c>
      <c r="BJ50" s="249" t="str">
        <f>INDEX(Produccion_Agricola_Cuentas[],MATCH(Tabla284150[[#This Row],[Cuentas Contables]],Produccion_Agricola_Cuentas[Cuenta Contable],0),3)</f>
        <v>Gasto Fijo</v>
      </c>
    </row>
    <row r="51" spans="2:62" x14ac:dyDescent="0.25">
      <c r="D51" s="245">
        <f>MATCH(Tabla28[[#This Row],[Cuentas Contables]],Produccion_Agricola_Cuentas[Cuenta Contable],0)</f>
        <v>6</v>
      </c>
      <c r="E51" s="116" t="str">
        <f>Configuración!P10</f>
        <v>Herbicidas</v>
      </c>
      <c r="F51" s="10">
        <f>IFERROR(SUMPRODUCT(($F$4=Producción_Agricola[C. Costo Reporte])*(Económico!F$41=Producción_Agricola[Unidad de Negocio])*(Económico!$E51=Producción_Agricola[Cuenta Contable])*($F$5=Producción_Agricola[Campaña])*(Producción_Agricola[Económico U$S Dólares]))*(IF($F$39="Hectárea",1/F$61,IF($F$39="Tonelada",1/F$62,1))),0)</f>
        <v>0</v>
      </c>
      <c r="G51" s="10">
        <f>IFERROR(SUMPRODUCT(($F$4=Producción_Agricola[C. Costo Reporte])*(Económico!G$41=Producción_Agricola[Unidad de Negocio])*(Económico!$E51=Producción_Agricola[Cuenta Contable])*($F$5=Producción_Agricola[Campaña])*(Producción_Agricola[Económico U$S Dólares]))*(IF($F$39="Hectárea",1/G$61,IF($F$39="Tonelada",1/G$62,1))),0)</f>
        <v>0</v>
      </c>
      <c r="H51" s="10">
        <f>IFERROR(SUMPRODUCT(($F$4=Producción_Agricola[C. Costo Reporte])*(Económico!H$41=Producción_Agricola[Unidad de Negocio])*(Económico!$E51=Producción_Agricola[Cuenta Contable])*($F$5=Producción_Agricola[Campaña])*(Producción_Agricola[Económico U$S Dólares]))*(IF($F$39="Hectárea",1/H$61,IF($F$39="Tonelada",1/H$62,1))),0)</f>
        <v>0</v>
      </c>
      <c r="I51" s="10">
        <f>IFERROR(SUMPRODUCT(($F$4=Producción_Agricola[C. Costo Reporte])*(Económico!I$41=Producción_Agricola[Unidad de Negocio])*(Económico!$E51=Producción_Agricola[Cuenta Contable])*($F$5=Producción_Agricola[Campaña])*(Producción_Agricola[Económico U$S Dólares]))*(IF($F$39="Hectárea",1/I$61,IF($F$39="Tonelada",1/I$62,1))),0)</f>
        <v>0</v>
      </c>
      <c r="J51" s="10">
        <f>IFERROR(SUMPRODUCT(($F$4=Producción_Agricola[C. Costo Reporte])*(Económico!J$41=Producción_Agricola[Unidad de Negocio])*(Económico!$E51=Producción_Agricola[Cuenta Contable])*($F$5=Producción_Agricola[Campaña])*(Producción_Agricola[Económico U$S Dólares]))*(IF($F$39="Hectárea",1/J$61,IF($F$39="Tonelada",1/J$62,1))),0)</f>
        <v>0</v>
      </c>
      <c r="K51" s="10">
        <f>IFERROR(SUMPRODUCT(($F$4=Producción_Agricola[C. Costo Reporte])*(Económico!K$41=Producción_Agricola[Unidad de Negocio])*(Económico!$E51=Producción_Agricola[Cuenta Contable])*($F$5=Producción_Agricola[Campaña])*(Producción_Agricola[Económico U$S Dólares]))*(IF($F$39="Hectárea",1/K$61,IF($F$39="Tonelada",1/K$62,1))),0)</f>
        <v>0</v>
      </c>
      <c r="L51" s="10">
        <f>IFERROR(SUMPRODUCT(($F$4=Producción_Agricola[C. Costo Reporte])*(Económico!L$41=Producción_Agricola[Unidad de Negocio])*(Económico!$E51=Producción_Agricola[Cuenta Contable])*($F$5=Producción_Agricola[Campaña])*(Producción_Agricola[Económico U$S Dólares]))*(IF($F$39="Hectárea",1/L$61,IF($F$39="Tonelada",1/L$62,1))),0)</f>
        <v>0</v>
      </c>
      <c r="M51" s="10">
        <f>IFERROR(SUMPRODUCT(($F$4=Producción_Agricola[C. Costo Reporte])*(Económico!M$41=Producción_Agricola[Unidad de Negocio])*(Económico!$E51=Producción_Agricola[Cuenta Contable])*($F$5=Producción_Agricola[Campaña])*(Producción_Agricola[Económico U$S Dólares]))*(IF($F$39="Hectárea",1/M$61,IF($F$39="Tonelada",1/M$62,1))),0)</f>
        <v>0</v>
      </c>
      <c r="N51" s="10">
        <f>IFERROR(SUMPRODUCT(($F$4=Producción_Agricola[C. Costo Reporte])*(Económico!N$41=Producción_Agricola[Unidad de Negocio])*(Económico!$E51=Producción_Agricola[Cuenta Contable])*($F$5=Producción_Agricola[Campaña])*(Producción_Agricola[Económico U$S Dólares]))*(IF($F$39="Hectárea",1/N$61,IF($F$39="Tonelada",1/N$62,1))),0)</f>
        <v>0</v>
      </c>
      <c r="O51" s="10">
        <f>IFERROR(SUMPRODUCT(($F$4=Producción_Agricola[C. Costo Reporte])*(Económico!O$41=Producción_Agricola[Unidad de Negocio])*(Económico!$E51=Producción_Agricola[Cuenta Contable])*($F$5=Producción_Agricola[Campaña])*(Producción_Agricola[Económico U$S Dólares]))*(IF($F$39="Hectárea",1/O$61,IF($F$39="Tonelada",1/O$62,1))),0)</f>
        <v>0</v>
      </c>
      <c r="P51" s="10">
        <f>IFERROR(SUMPRODUCT(($F$4=Producción_Agricola[C. Costo Reporte])*(Económico!P$41=Producción_Agricola[Unidad de Negocio])*(Económico!$E51=Producción_Agricola[Cuenta Contable])*($F$5=Producción_Agricola[Campaña])*(Producción_Agricola[Económico U$S Dólares]))*(IF($F$39="Hectárea",1/P$61,IF($F$39="Tonelada",1/P$62,1))),0)</f>
        <v>0</v>
      </c>
      <c r="Q51" s="10">
        <f>IFERROR(SUMPRODUCT(($F$4=Producción_Agricola[C. Costo Reporte])*(Económico!Q$41=Producción_Agricola[Unidad de Negocio])*(Económico!$E51=Producción_Agricola[Cuenta Contable])*($F$5=Producción_Agricola[Campaña])*(Producción_Agricola[Económico U$S Dólares]))*(IF($F$39="Hectárea",1/Q$61,IF($F$39="Tonelada",1/Q$62,1))),0)</f>
        <v>0</v>
      </c>
      <c r="R51" s="249" t="str">
        <f>INDEX(Produccion_Agricola_Cuentas[],MATCH(Tabla28[[#This Row],[Cuentas Contables]],Produccion_Agricola_Cuentas[Cuenta Contable],0),3)</f>
        <v>Gasto Fijo</v>
      </c>
      <c r="Z51" s="245">
        <f>MATCH(Tabla2841[[#This Row],[Cuentas Contables]],Produccion_Agricola_Cuentas[Cuenta Contable],0)</f>
        <v>6</v>
      </c>
      <c r="AA51" s="32" t="str">
        <f>Tabla28[[#This Row],[Cuentas Contables]]</f>
        <v>Herbicidas</v>
      </c>
      <c r="AB51" s="10">
        <f>IFERROR(SUMPRODUCT(($F$4=Producción_Agricola[C. Costo Reporte])*(Económico!AB$41=Producción_Agricola[Unidad de Negocio])*(Económico!$E51=Producción_Agricola[Cuenta Contable])*($F$5=Producción_Agricola[Campaña])*(Producción_Agricola[Económico $Corrientes]))*(IF($F$39="Hectárea",1/AB$61,IF($F$39="Tonelada",1/AB$62,1))),0)</f>
        <v>0</v>
      </c>
      <c r="AC51" s="10">
        <f>IFERROR(SUMPRODUCT(($F$4=Producción_Agricola[C. Costo Reporte])*(Económico!AC$41=Producción_Agricola[Unidad de Negocio])*(Económico!$E51=Producción_Agricola[Cuenta Contable])*($F$5=Producción_Agricola[Campaña])*(Producción_Agricola[Económico $Corrientes]))*(IF($F$39="Hectárea",1/AC$61,IF($F$39="Tonelada",1/AC$62,1))),0)</f>
        <v>0</v>
      </c>
      <c r="AD51" s="10">
        <f>IFERROR(SUMPRODUCT(($F$4=Producción_Agricola[C. Costo Reporte])*(Económico!AD$41=Producción_Agricola[Unidad de Negocio])*(Económico!$E51=Producción_Agricola[Cuenta Contable])*($F$5=Producción_Agricola[Campaña])*(Producción_Agricola[Económico $Corrientes]))*(IF($F$39="Hectárea",1/AD$61,IF($F$39="Tonelada",1/AD$62,1))),0)</f>
        <v>0</v>
      </c>
      <c r="AE51" s="10">
        <f>IFERROR(SUMPRODUCT(($F$4=Producción_Agricola[C. Costo Reporte])*(Económico!AE$41=Producción_Agricola[Unidad de Negocio])*(Económico!$E51=Producción_Agricola[Cuenta Contable])*($F$5=Producción_Agricola[Campaña])*(Producción_Agricola[Económico $Corrientes]))*(IF($F$39="Hectárea",1/AE$61,IF($F$39="Tonelada",1/AE$62,1))),0)</f>
        <v>0</v>
      </c>
      <c r="AF51" s="10">
        <f>IFERROR(SUMPRODUCT(($F$4=Producción_Agricola[C. Costo Reporte])*(Económico!AF$41=Producción_Agricola[Unidad de Negocio])*(Económico!$E51=Producción_Agricola[Cuenta Contable])*($F$5=Producción_Agricola[Campaña])*(Producción_Agricola[Económico $Corrientes]))*(IF($F$39="Hectárea",1/AF$61,IF($F$39="Tonelada",1/AF$62,1))),0)</f>
        <v>0</v>
      </c>
      <c r="AG51" s="10">
        <f>IFERROR(SUMPRODUCT(($F$4=Producción_Agricola[C. Costo Reporte])*(Económico!AG$41=Producción_Agricola[Unidad de Negocio])*(Económico!$E51=Producción_Agricola[Cuenta Contable])*($F$5=Producción_Agricola[Campaña])*(Producción_Agricola[Económico $Corrientes]))*(IF($F$39="Hectárea",1/AG$61,IF($F$39="Tonelada",1/AG$62,1))),0)</f>
        <v>0</v>
      </c>
      <c r="AH51" s="10">
        <f>IFERROR(SUMPRODUCT(($F$4=Producción_Agricola[C. Costo Reporte])*(Económico!AH$41=Producción_Agricola[Unidad de Negocio])*(Económico!$E51=Producción_Agricola[Cuenta Contable])*($F$5=Producción_Agricola[Campaña])*(Producción_Agricola[Económico $Corrientes]))*(IF($F$39="Hectárea",1/AH$61,IF($F$39="Tonelada",1/AH$62,1))),0)</f>
        <v>0</v>
      </c>
      <c r="AI51" s="10">
        <f>IFERROR(SUMPRODUCT(($F$4=Producción_Agricola[C. Costo Reporte])*(Económico!AI$41=Producción_Agricola[Unidad de Negocio])*(Económico!$E51=Producción_Agricola[Cuenta Contable])*($F$5=Producción_Agricola[Campaña])*(Producción_Agricola[Económico $Corrientes]))*(IF($F$39="Hectárea",1/AI$61,IF($F$39="Tonelada",1/AI$62,1))),0)</f>
        <v>0</v>
      </c>
      <c r="AJ51" s="10">
        <f>IFERROR(SUMPRODUCT(($F$4=Producción_Agricola[C. Costo Reporte])*(Económico!AJ$41=Producción_Agricola[Unidad de Negocio])*(Económico!$E51=Producción_Agricola[Cuenta Contable])*($F$5=Producción_Agricola[Campaña])*(Producción_Agricola[Económico $Corrientes]))*(IF($F$39="Hectárea",1/AJ$61,IF($F$39="Tonelada",1/AJ$62,1))),0)</f>
        <v>0</v>
      </c>
      <c r="AK51" s="10">
        <f>IFERROR(SUMPRODUCT(($F$4=Producción_Agricola[C. Costo Reporte])*(Económico!AK$41=Producción_Agricola[Unidad de Negocio])*(Económico!$E51=Producción_Agricola[Cuenta Contable])*($F$5=Producción_Agricola[Campaña])*(Producción_Agricola[Económico $Corrientes]))*(IF($F$39="Hectárea",1/AK$61,IF($F$39="Tonelada",1/AK$62,1))),0)</f>
        <v>0</v>
      </c>
      <c r="AL51" s="10">
        <f>IFERROR(SUMPRODUCT(($F$4=Producción_Agricola[C. Costo Reporte])*(Económico!AL$41=Producción_Agricola[Unidad de Negocio])*(Económico!$E51=Producción_Agricola[Cuenta Contable])*($F$5=Producción_Agricola[Campaña])*(Producción_Agricola[Económico $Corrientes]))*(IF($F$39="Hectárea",1/AL$61,IF($F$39="Tonelada",1/AL$62,1))),0)</f>
        <v>0</v>
      </c>
      <c r="AM51" s="10">
        <f>IFERROR(SUMPRODUCT(($F$4=Producción_Agricola[C. Costo Reporte])*(Económico!AM$41=Producción_Agricola[Unidad de Negocio])*(Económico!$E51=Producción_Agricola[Cuenta Contable])*($F$5=Producción_Agricola[Campaña])*(Producción_Agricola[Económico $Corrientes]))*(IF($F$39="Hectárea",1/AM$61,IF($F$39="Tonelada",1/AM$62,1))),0)</f>
        <v>0</v>
      </c>
      <c r="AN51" s="249" t="str">
        <f>INDEX(Produccion_Agricola_Cuentas[],MATCH(Tabla2841[[#This Row],[Cuentas Contables]],Produccion_Agricola_Cuentas[Cuenta Contable],0),3)</f>
        <v>Gasto Fijo</v>
      </c>
      <c r="AV51" s="245">
        <f>MATCH(Tabla284150[[#This Row],[Cuentas Contables]],Produccion_Agricola_Cuentas[Cuenta Contable],0)</f>
        <v>6</v>
      </c>
      <c r="AW51" s="32" t="str">
        <f>Tabla28[[#This Row],[Cuentas Contables]]</f>
        <v>Herbicidas</v>
      </c>
      <c r="AX51" s="10">
        <f>IFERROR(SUMPRODUCT(($F$4=Producción_Agricola[C. Costo Reporte])*(Económico!AX$41=Producción_Agricola[Unidad de Negocio])*(Económico!$E51=Producción_Agricola[Cuenta Contable])*($F$5=Producción_Agricola[Campaña])*(Producción_Agricola[Económico $Constantes]))*(IF($F$39="Hectárea",1/AX$61,IF($F$39="Tonelada",1/AX$62,1))),0)</f>
        <v>0</v>
      </c>
      <c r="AY51" s="10">
        <f>IFERROR(SUMPRODUCT(($F$4=Producción_Agricola[C. Costo Reporte])*(Económico!AY$41=Producción_Agricola[Unidad de Negocio])*(Económico!$E51=Producción_Agricola[Cuenta Contable])*($F$5=Producción_Agricola[Campaña])*(Producción_Agricola[Económico $Constantes]))*(IF($F$39="Hectárea",1/AY$61,IF($F$39="Tonelada",1/AY$62,1))),0)</f>
        <v>0</v>
      </c>
      <c r="AZ51" s="10">
        <f>IFERROR(SUMPRODUCT(($F$4=Producción_Agricola[C. Costo Reporte])*(Económico!AZ$41=Producción_Agricola[Unidad de Negocio])*(Económico!$E51=Producción_Agricola[Cuenta Contable])*($F$5=Producción_Agricola[Campaña])*(Producción_Agricola[Económico $Constantes]))*(IF($F$39="Hectárea",1/AZ$61,IF($F$39="Tonelada",1/AZ$62,1))),0)</f>
        <v>0</v>
      </c>
      <c r="BA51" s="10">
        <f>IFERROR(SUMPRODUCT(($F$4=Producción_Agricola[C. Costo Reporte])*(Económico!BA$41=Producción_Agricola[Unidad de Negocio])*(Económico!$E51=Producción_Agricola[Cuenta Contable])*($F$5=Producción_Agricola[Campaña])*(Producción_Agricola[Económico $Constantes]))*(IF($F$39="Hectárea",1/BA$61,IF($F$39="Tonelada",1/BA$62,1))),0)</f>
        <v>0</v>
      </c>
      <c r="BB51" s="10">
        <f>IFERROR(SUMPRODUCT(($F$4=Producción_Agricola[C. Costo Reporte])*(Económico!BB$41=Producción_Agricola[Unidad de Negocio])*(Económico!$E51=Producción_Agricola[Cuenta Contable])*($F$5=Producción_Agricola[Campaña])*(Producción_Agricola[Económico $Constantes]))*(IF($F$39="Hectárea",1/BB$61,IF($F$39="Tonelada",1/BB$62,1))),0)</f>
        <v>0</v>
      </c>
      <c r="BC51" s="10">
        <f>IFERROR(SUMPRODUCT(($F$4=Producción_Agricola[C. Costo Reporte])*(Económico!BC$41=Producción_Agricola[Unidad de Negocio])*(Económico!$E51=Producción_Agricola[Cuenta Contable])*($F$5=Producción_Agricola[Campaña])*(Producción_Agricola[Económico $Constantes]))*(IF($F$39="Hectárea",1/BC$61,IF($F$39="Tonelada",1/BC$62,1))),0)</f>
        <v>0</v>
      </c>
      <c r="BD51" s="10">
        <f>IFERROR(SUMPRODUCT(($F$4=Producción_Agricola[C. Costo Reporte])*(Económico!BD$41=Producción_Agricola[Unidad de Negocio])*(Económico!$E51=Producción_Agricola[Cuenta Contable])*($F$5=Producción_Agricola[Campaña])*(Producción_Agricola[Económico $Constantes]))*(IF($F$39="Hectárea",1/BD$61,IF($F$39="Tonelada",1/BD$62,1))),0)</f>
        <v>0</v>
      </c>
      <c r="BE51" s="10">
        <f>IFERROR(SUMPRODUCT(($F$4=Producción_Agricola[C. Costo Reporte])*(Económico!BE$41=Producción_Agricola[Unidad de Negocio])*(Económico!$E51=Producción_Agricola[Cuenta Contable])*($F$5=Producción_Agricola[Campaña])*(Producción_Agricola[Económico $Constantes]))*(IF($F$39="Hectárea",1/BE$61,IF($F$39="Tonelada",1/BE$62,1))),0)</f>
        <v>0</v>
      </c>
      <c r="BF51" s="10">
        <f>IFERROR(SUMPRODUCT(($F$4=Producción_Agricola[C. Costo Reporte])*(Económico!BF$41=Producción_Agricola[Unidad de Negocio])*(Económico!$E51=Producción_Agricola[Cuenta Contable])*($F$5=Producción_Agricola[Campaña])*(Producción_Agricola[Económico $Constantes]))*(IF($F$39="Hectárea",1/BF$61,IF($F$39="Tonelada",1/BF$62,1))),0)</f>
        <v>0</v>
      </c>
      <c r="BG51" s="10">
        <f>IFERROR(SUMPRODUCT(($F$4=Producción_Agricola[C. Costo Reporte])*(Económico!BG$41=Producción_Agricola[Unidad de Negocio])*(Económico!$E51=Producción_Agricola[Cuenta Contable])*($F$5=Producción_Agricola[Campaña])*(Producción_Agricola[Económico $Constantes]))*(IF($F$39="Hectárea",1/BG$61,IF($F$39="Tonelada",1/BG$62,1))),0)</f>
        <v>0</v>
      </c>
      <c r="BH51" s="10">
        <f>IFERROR(SUMPRODUCT(($F$4=Producción_Agricola[C. Costo Reporte])*(Económico!BH$41=Producción_Agricola[Unidad de Negocio])*(Económico!$E51=Producción_Agricola[Cuenta Contable])*($F$5=Producción_Agricola[Campaña])*(Producción_Agricola[Económico $Constantes]))*(IF($F$39="Hectárea",1/BH$61,IF($F$39="Tonelada",1/BH$62,1))),0)</f>
        <v>0</v>
      </c>
      <c r="BI51" s="10">
        <f>IFERROR(SUMPRODUCT(($F$4=Producción_Agricola[C. Costo Reporte])*(Económico!BI$41=Producción_Agricola[Unidad de Negocio])*(Económico!$E51=Producción_Agricola[Cuenta Contable])*($F$5=Producción_Agricola[Campaña])*(Producción_Agricola[Económico $Constantes]))*(IF($F$39="Hectárea",1/BI$61,IF($F$39="Tonelada",1/BI$62,1))),0)</f>
        <v>0</v>
      </c>
      <c r="BJ51" s="249" t="str">
        <f>INDEX(Produccion_Agricola_Cuentas[],MATCH(Tabla284150[[#This Row],[Cuentas Contables]],Produccion_Agricola_Cuentas[Cuenta Contable],0),3)</f>
        <v>Gasto Fijo</v>
      </c>
    </row>
    <row r="52" spans="2:62" x14ac:dyDescent="0.25">
      <c r="D52" s="245">
        <f>MATCH(Tabla28[[#This Row],[Cuentas Contables]],Produccion_Agricola_Cuentas[Cuenta Contable],0)</f>
        <v>7</v>
      </c>
      <c r="E52" s="116" t="str">
        <f>Configuración!P11</f>
        <v>Insecticidas</v>
      </c>
      <c r="F52" s="10">
        <f>IFERROR(SUMPRODUCT(($F$4=Producción_Agricola[C. Costo Reporte])*(Económico!F$41=Producción_Agricola[Unidad de Negocio])*(Económico!$E52=Producción_Agricola[Cuenta Contable])*($F$5=Producción_Agricola[Campaña])*(Producción_Agricola[Económico U$S Dólares]))*(IF($F$39="Hectárea",1/F$61,IF($F$39="Tonelada",1/F$62,1))),0)</f>
        <v>0</v>
      </c>
      <c r="G52" s="10">
        <f>IFERROR(SUMPRODUCT(($F$4=Producción_Agricola[C. Costo Reporte])*(Económico!G$41=Producción_Agricola[Unidad de Negocio])*(Económico!$E52=Producción_Agricola[Cuenta Contable])*($F$5=Producción_Agricola[Campaña])*(Producción_Agricola[Económico U$S Dólares]))*(IF($F$39="Hectárea",1/G$61,IF($F$39="Tonelada",1/G$62,1))),0)</f>
        <v>0</v>
      </c>
      <c r="H52" s="10">
        <f>IFERROR(SUMPRODUCT(($F$4=Producción_Agricola[C. Costo Reporte])*(Económico!H$41=Producción_Agricola[Unidad de Negocio])*(Económico!$E52=Producción_Agricola[Cuenta Contable])*($F$5=Producción_Agricola[Campaña])*(Producción_Agricola[Económico U$S Dólares]))*(IF($F$39="Hectárea",1/H$61,IF($F$39="Tonelada",1/H$62,1))),0)</f>
        <v>0</v>
      </c>
      <c r="I52" s="10">
        <f>IFERROR(SUMPRODUCT(($F$4=Producción_Agricola[C. Costo Reporte])*(Económico!I$41=Producción_Agricola[Unidad de Negocio])*(Económico!$E52=Producción_Agricola[Cuenta Contable])*($F$5=Producción_Agricola[Campaña])*(Producción_Agricola[Económico U$S Dólares]))*(IF($F$39="Hectárea",1/I$61,IF($F$39="Tonelada",1/I$62,1))),0)</f>
        <v>0</v>
      </c>
      <c r="J52" s="10">
        <f>IFERROR(SUMPRODUCT(($F$4=Producción_Agricola[C. Costo Reporte])*(Económico!J$41=Producción_Agricola[Unidad de Negocio])*(Económico!$E52=Producción_Agricola[Cuenta Contable])*($F$5=Producción_Agricola[Campaña])*(Producción_Agricola[Económico U$S Dólares]))*(IF($F$39="Hectárea",1/J$61,IF($F$39="Tonelada",1/J$62,1))),0)</f>
        <v>0</v>
      </c>
      <c r="K52" s="10">
        <f>IFERROR(SUMPRODUCT(($F$4=Producción_Agricola[C. Costo Reporte])*(Económico!K$41=Producción_Agricola[Unidad de Negocio])*(Económico!$E52=Producción_Agricola[Cuenta Contable])*($F$5=Producción_Agricola[Campaña])*(Producción_Agricola[Económico U$S Dólares]))*(IF($F$39="Hectárea",1/K$61,IF($F$39="Tonelada",1/K$62,1))),0)</f>
        <v>0</v>
      </c>
      <c r="L52" s="10">
        <f>IFERROR(SUMPRODUCT(($F$4=Producción_Agricola[C. Costo Reporte])*(Económico!L$41=Producción_Agricola[Unidad de Negocio])*(Económico!$E52=Producción_Agricola[Cuenta Contable])*($F$5=Producción_Agricola[Campaña])*(Producción_Agricola[Económico U$S Dólares]))*(IF($F$39="Hectárea",1/L$61,IF($F$39="Tonelada",1/L$62,1))),0)</f>
        <v>0</v>
      </c>
      <c r="M52" s="10">
        <f>IFERROR(SUMPRODUCT(($F$4=Producción_Agricola[C. Costo Reporte])*(Económico!M$41=Producción_Agricola[Unidad de Negocio])*(Económico!$E52=Producción_Agricola[Cuenta Contable])*($F$5=Producción_Agricola[Campaña])*(Producción_Agricola[Económico U$S Dólares]))*(IF($F$39="Hectárea",1/M$61,IF($F$39="Tonelada",1/M$62,1))),0)</f>
        <v>0</v>
      </c>
      <c r="N52" s="10">
        <f>IFERROR(SUMPRODUCT(($F$4=Producción_Agricola[C. Costo Reporte])*(Económico!N$41=Producción_Agricola[Unidad de Negocio])*(Económico!$E52=Producción_Agricola[Cuenta Contable])*($F$5=Producción_Agricola[Campaña])*(Producción_Agricola[Económico U$S Dólares]))*(IF($F$39="Hectárea",1/N$61,IF($F$39="Tonelada",1/N$62,1))),0)</f>
        <v>0</v>
      </c>
      <c r="O52" s="10">
        <f>IFERROR(SUMPRODUCT(($F$4=Producción_Agricola[C. Costo Reporte])*(Económico!O$41=Producción_Agricola[Unidad de Negocio])*(Económico!$E52=Producción_Agricola[Cuenta Contable])*($F$5=Producción_Agricola[Campaña])*(Producción_Agricola[Económico U$S Dólares]))*(IF($F$39="Hectárea",1/O$61,IF($F$39="Tonelada",1/O$62,1))),0)</f>
        <v>0</v>
      </c>
      <c r="P52" s="10">
        <f>IFERROR(SUMPRODUCT(($F$4=Producción_Agricola[C. Costo Reporte])*(Económico!P$41=Producción_Agricola[Unidad de Negocio])*(Económico!$E52=Producción_Agricola[Cuenta Contable])*($F$5=Producción_Agricola[Campaña])*(Producción_Agricola[Económico U$S Dólares]))*(IF($F$39="Hectárea",1/P$61,IF($F$39="Tonelada",1/P$62,1))),0)</f>
        <v>0</v>
      </c>
      <c r="Q52" s="10">
        <f>IFERROR(SUMPRODUCT(($F$4=Producción_Agricola[C. Costo Reporte])*(Económico!Q$41=Producción_Agricola[Unidad de Negocio])*(Económico!$E52=Producción_Agricola[Cuenta Contable])*($F$5=Producción_Agricola[Campaña])*(Producción_Agricola[Económico U$S Dólares]))*(IF($F$39="Hectárea",1/Q$61,IF($F$39="Tonelada",1/Q$62,1))),0)</f>
        <v>0</v>
      </c>
      <c r="R52" s="249" t="str">
        <f>INDEX(Produccion_Agricola_Cuentas[],MATCH(Tabla28[[#This Row],[Cuentas Contables]],Produccion_Agricola_Cuentas[Cuenta Contable],0),3)</f>
        <v>Gasto Fijo</v>
      </c>
      <c r="Z52" s="245">
        <f>MATCH(Tabla2841[[#This Row],[Cuentas Contables]],Produccion_Agricola_Cuentas[Cuenta Contable],0)</f>
        <v>7</v>
      </c>
      <c r="AA52" s="32" t="str">
        <f>Tabla28[[#This Row],[Cuentas Contables]]</f>
        <v>Insecticidas</v>
      </c>
      <c r="AB52" s="10">
        <f>IFERROR(SUMPRODUCT(($F$4=Producción_Agricola[C. Costo Reporte])*(Económico!AB$41=Producción_Agricola[Unidad de Negocio])*(Económico!$E52=Producción_Agricola[Cuenta Contable])*($F$5=Producción_Agricola[Campaña])*(Producción_Agricola[Económico $Corrientes]))*(IF($F$39="Hectárea",1/AB$61,IF($F$39="Tonelada",1/AB$62,1))),0)</f>
        <v>0</v>
      </c>
      <c r="AC52" s="10">
        <f>IFERROR(SUMPRODUCT(($F$4=Producción_Agricola[C. Costo Reporte])*(Económico!AC$41=Producción_Agricola[Unidad de Negocio])*(Económico!$E52=Producción_Agricola[Cuenta Contable])*($F$5=Producción_Agricola[Campaña])*(Producción_Agricola[Económico $Corrientes]))*(IF($F$39="Hectárea",1/AC$61,IF($F$39="Tonelada",1/AC$62,1))),0)</f>
        <v>0</v>
      </c>
      <c r="AD52" s="10">
        <f>IFERROR(SUMPRODUCT(($F$4=Producción_Agricola[C. Costo Reporte])*(Económico!AD$41=Producción_Agricola[Unidad de Negocio])*(Económico!$E52=Producción_Agricola[Cuenta Contable])*($F$5=Producción_Agricola[Campaña])*(Producción_Agricola[Económico $Corrientes]))*(IF($F$39="Hectárea",1/AD$61,IF($F$39="Tonelada",1/AD$62,1))),0)</f>
        <v>0</v>
      </c>
      <c r="AE52" s="10">
        <f>IFERROR(SUMPRODUCT(($F$4=Producción_Agricola[C. Costo Reporte])*(Económico!AE$41=Producción_Agricola[Unidad de Negocio])*(Económico!$E52=Producción_Agricola[Cuenta Contable])*($F$5=Producción_Agricola[Campaña])*(Producción_Agricola[Económico $Corrientes]))*(IF($F$39="Hectárea",1/AE$61,IF($F$39="Tonelada",1/AE$62,1))),0)</f>
        <v>0</v>
      </c>
      <c r="AF52" s="10">
        <f>IFERROR(SUMPRODUCT(($F$4=Producción_Agricola[C. Costo Reporte])*(Económico!AF$41=Producción_Agricola[Unidad de Negocio])*(Económico!$E52=Producción_Agricola[Cuenta Contable])*($F$5=Producción_Agricola[Campaña])*(Producción_Agricola[Económico $Corrientes]))*(IF($F$39="Hectárea",1/AF$61,IF($F$39="Tonelada",1/AF$62,1))),0)</f>
        <v>0</v>
      </c>
      <c r="AG52" s="10">
        <f>IFERROR(SUMPRODUCT(($F$4=Producción_Agricola[C. Costo Reporte])*(Económico!AG$41=Producción_Agricola[Unidad de Negocio])*(Económico!$E52=Producción_Agricola[Cuenta Contable])*($F$5=Producción_Agricola[Campaña])*(Producción_Agricola[Económico $Corrientes]))*(IF($F$39="Hectárea",1/AG$61,IF($F$39="Tonelada",1/AG$62,1))),0)</f>
        <v>0</v>
      </c>
      <c r="AH52" s="10">
        <f>IFERROR(SUMPRODUCT(($F$4=Producción_Agricola[C. Costo Reporte])*(Económico!AH$41=Producción_Agricola[Unidad de Negocio])*(Económico!$E52=Producción_Agricola[Cuenta Contable])*($F$5=Producción_Agricola[Campaña])*(Producción_Agricola[Económico $Corrientes]))*(IF($F$39="Hectárea",1/AH$61,IF($F$39="Tonelada",1/AH$62,1))),0)</f>
        <v>0</v>
      </c>
      <c r="AI52" s="10">
        <f>IFERROR(SUMPRODUCT(($F$4=Producción_Agricola[C. Costo Reporte])*(Económico!AI$41=Producción_Agricola[Unidad de Negocio])*(Económico!$E52=Producción_Agricola[Cuenta Contable])*($F$5=Producción_Agricola[Campaña])*(Producción_Agricola[Económico $Corrientes]))*(IF($F$39="Hectárea",1/AI$61,IF($F$39="Tonelada",1/AI$62,1))),0)</f>
        <v>0</v>
      </c>
      <c r="AJ52" s="10">
        <f>IFERROR(SUMPRODUCT(($F$4=Producción_Agricola[C. Costo Reporte])*(Económico!AJ$41=Producción_Agricola[Unidad de Negocio])*(Económico!$E52=Producción_Agricola[Cuenta Contable])*($F$5=Producción_Agricola[Campaña])*(Producción_Agricola[Económico $Corrientes]))*(IF($F$39="Hectárea",1/AJ$61,IF($F$39="Tonelada",1/AJ$62,1))),0)</f>
        <v>0</v>
      </c>
      <c r="AK52" s="10">
        <f>IFERROR(SUMPRODUCT(($F$4=Producción_Agricola[C. Costo Reporte])*(Económico!AK$41=Producción_Agricola[Unidad de Negocio])*(Económico!$E52=Producción_Agricola[Cuenta Contable])*($F$5=Producción_Agricola[Campaña])*(Producción_Agricola[Económico $Corrientes]))*(IF($F$39="Hectárea",1/AK$61,IF($F$39="Tonelada",1/AK$62,1))),0)</f>
        <v>0</v>
      </c>
      <c r="AL52" s="10">
        <f>IFERROR(SUMPRODUCT(($F$4=Producción_Agricola[C. Costo Reporte])*(Económico!AL$41=Producción_Agricola[Unidad de Negocio])*(Económico!$E52=Producción_Agricola[Cuenta Contable])*($F$5=Producción_Agricola[Campaña])*(Producción_Agricola[Económico $Corrientes]))*(IF($F$39="Hectárea",1/AL$61,IF($F$39="Tonelada",1/AL$62,1))),0)</f>
        <v>0</v>
      </c>
      <c r="AM52" s="10">
        <f>IFERROR(SUMPRODUCT(($F$4=Producción_Agricola[C. Costo Reporte])*(Económico!AM$41=Producción_Agricola[Unidad de Negocio])*(Económico!$E52=Producción_Agricola[Cuenta Contable])*($F$5=Producción_Agricola[Campaña])*(Producción_Agricola[Económico $Corrientes]))*(IF($F$39="Hectárea",1/AM$61,IF($F$39="Tonelada",1/AM$62,1))),0)</f>
        <v>0</v>
      </c>
      <c r="AN52" s="249" t="str">
        <f>INDEX(Produccion_Agricola_Cuentas[],MATCH(Tabla2841[[#This Row],[Cuentas Contables]],Produccion_Agricola_Cuentas[Cuenta Contable],0),3)</f>
        <v>Gasto Fijo</v>
      </c>
      <c r="AV52" s="245">
        <f>MATCH(Tabla284150[[#This Row],[Cuentas Contables]],Produccion_Agricola_Cuentas[Cuenta Contable],0)</f>
        <v>7</v>
      </c>
      <c r="AW52" s="32" t="str">
        <f>Tabla28[[#This Row],[Cuentas Contables]]</f>
        <v>Insecticidas</v>
      </c>
      <c r="AX52" s="10">
        <f>IFERROR(SUMPRODUCT(($F$4=Producción_Agricola[C. Costo Reporte])*(Económico!AX$41=Producción_Agricola[Unidad de Negocio])*(Económico!$E52=Producción_Agricola[Cuenta Contable])*($F$5=Producción_Agricola[Campaña])*(Producción_Agricola[Económico $Constantes]))*(IF($F$39="Hectárea",1/AX$61,IF($F$39="Tonelada",1/AX$62,1))),0)</f>
        <v>0</v>
      </c>
      <c r="AY52" s="10">
        <f>IFERROR(SUMPRODUCT(($F$4=Producción_Agricola[C. Costo Reporte])*(Económico!AY$41=Producción_Agricola[Unidad de Negocio])*(Económico!$E52=Producción_Agricola[Cuenta Contable])*($F$5=Producción_Agricola[Campaña])*(Producción_Agricola[Económico $Constantes]))*(IF($F$39="Hectárea",1/AY$61,IF($F$39="Tonelada",1/AY$62,1))),0)</f>
        <v>0</v>
      </c>
      <c r="AZ52" s="10">
        <f>IFERROR(SUMPRODUCT(($F$4=Producción_Agricola[C. Costo Reporte])*(Económico!AZ$41=Producción_Agricola[Unidad de Negocio])*(Económico!$E52=Producción_Agricola[Cuenta Contable])*($F$5=Producción_Agricola[Campaña])*(Producción_Agricola[Económico $Constantes]))*(IF($F$39="Hectárea",1/AZ$61,IF($F$39="Tonelada",1/AZ$62,1))),0)</f>
        <v>0</v>
      </c>
      <c r="BA52" s="10">
        <f>IFERROR(SUMPRODUCT(($F$4=Producción_Agricola[C. Costo Reporte])*(Económico!BA$41=Producción_Agricola[Unidad de Negocio])*(Económico!$E52=Producción_Agricola[Cuenta Contable])*($F$5=Producción_Agricola[Campaña])*(Producción_Agricola[Económico $Constantes]))*(IF($F$39="Hectárea",1/BA$61,IF($F$39="Tonelada",1/BA$62,1))),0)</f>
        <v>0</v>
      </c>
      <c r="BB52" s="10">
        <f>IFERROR(SUMPRODUCT(($F$4=Producción_Agricola[C. Costo Reporte])*(Económico!BB$41=Producción_Agricola[Unidad de Negocio])*(Económico!$E52=Producción_Agricola[Cuenta Contable])*($F$5=Producción_Agricola[Campaña])*(Producción_Agricola[Económico $Constantes]))*(IF($F$39="Hectárea",1/BB$61,IF($F$39="Tonelada",1/BB$62,1))),0)</f>
        <v>0</v>
      </c>
      <c r="BC52" s="10">
        <f>IFERROR(SUMPRODUCT(($F$4=Producción_Agricola[C. Costo Reporte])*(Económico!BC$41=Producción_Agricola[Unidad de Negocio])*(Económico!$E52=Producción_Agricola[Cuenta Contable])*($F$5=Producción_Agricola[Campaña])*(Producción_Agricola[Económico $Constantes]))*(IF($F$39="Hectárea",1/BC$61,IF($F$39="Tonelada",1/BC$62,1))),0)</f>
        <v>0</v>
      </c>
      <c r="BD52" s="10">
        <f>IFERROR(SUMPRODUCT(($F$4=Producción_Agricola[C. Costo Reporte])*(Económico!BD$41=Producción_Agricola[Unidad de Negocio])*(Económico!$E52=Producción_Agricola[Cuenta Contable])*($F$5=Producción_Agricola[Campaña])*(Producción_Agricola[Económico $Constantes]))*(IF($F$39="Hectárea",1/BD$61,IF($F$39="Tonelada",1/BD$62,1))),0)</f>
        <v>0</v>
      </c>
      <c r="BE52" s="10">
        <f>IFERROR(SUMPRODUCT(($F$4=Producción_Agricola[C. Costo Reporte])*(Económico!BE$41=Producción_Agricola[Unidad de Negocio])*(Económico!$E52=Producción_Agricola[Cuenta Contable])*($F$5=Producción_Agricola[Campaña])*(Producción_Agricola[Económico $Constantes]))*(IF($F$39="Hectárea",1/BE$61,IF($F$39="Tonelada",1/BE$62,1))),0)</f>
        <v>0</v>
      </c>
      <c r="BF52" s="10">
        <f>IFERROR(SUMPRODUCT(($F$4=Producción_Agricola[C. Costo Reporte])*(Económico!BF$41=Producción_Agricola[Unidad de Negocio])*(Económico!$E52=Producción_Agricola[Cuenta Contable])*($F$5=Producción_Agricola[Campaña])*(Producción_Agricola[Económico $Constantes]))*(IF($F$39="Hectárea",1/BF$61,IF($F$39="Tonelada",1/BF$62,1))),0)</f>
        <v>0</v>
      </c>
      <c r="BG52" s="10">
        <f>IFERROR(SUMPRODUCT(($F$4=Producción_Agricola[C. Costo Reporte])*(Económico!BG$41=Producción_Agricola[Unidad de Negocio])*(Económico!$E52=Producción_Agricola[Cuenta Contable])*($F$5=Producción_Agricola[Campaña])*(Producción_Agricola[Económico $Constantes]))*(IF($F$39="Hectárea",1/BG$61,IF($F$39="Tonelada",1/BG$62,1))),0)</f>
        <v>0</v>
      </c>
      <c r="BH52" s="10">
        <f>IFERROR(SUMPRODUCT(($F$4=Producción_Agricola[C. Costo Reporte])*(Económico!BH$41=Producción_Agricola[Unidad de Negocio])*(Económico!$E52=Producción_Agricola[Cuenta Contable])*($F$5=Producción_Agricola[Campaña])*(Producción_Agricola[Económico $Constantes]))*(IF($F$39="Hectárea",1/BH$61,IF($F$39="Tonelada",1/BH$62,1))),0)</f>
        <v>0</v>
      </c>
      <c r="BI52" s="10">
        <f>IFERROR(SUMPRODUCT(($F$4=Producción_Agricola[C. Costo Reporte])*(Económico!BI$41=Producción_Agricola[Unidad de Negocio])*(Económico!$E52=Producción_Agricola[Cuenta Contable])*($F$5=Producción_Agricola[Campaña])*(Producción_Agricola[Económico $Constantes]))*(IF($F$39="Hectárea",1/BI$61,IF($F$39="Tonelada",1/BI$62,1))),0)</f>
        <v>0</v>
      </c>
      <c r="BJ52" s="249" t="str">
        <f>INDEX(Produccion_Agricola_Cuentas[],MATCH(Tabla284150[[#This Row],[Cuentas Contables]],Produccion_Agricola_Cuentas[Cuenta Contable],0),3)</f>
        <v>Gasto Fijo</v>
      </c>
    </row>
    <row r="53" spans="2:62" x14ac:dyDescent="0.25">
      <c r="D53" s="245">
        <f>MATCH(Tabla28[[#This Row],[Cuentas Contables]],Produccion_Agricola_Cuentas[Cuenta Contable],0)</f>
        <v>8</v>
      </c>
      <c r="E53" s="116" t="str">
        <f>Configuración!P12</f>
        <v>Fungicidas</v>
      </c>
      <c r="F53" s="10">
        <f>IFERROR(SUMPRODUCT(($F$4=Producción_Agricola[C. Costo Reporte])*(Económico!F$41=Producción_Agricola[Unidad de Negocio])*(Económico!$E53=Producción_Agricola[Cuenta Contable])*($F$5=Producción_Agricola[Campaña])*(Producción_Agricola[Económico U$S Dólares]))*(IF($F$39="Hectárea",1/F$61,IF($F$39="Tonelada",1/F$62,1))),0)</f>
        <v>0</v>
      </c>
      <c r="G53" s="10">
        <f>IFERROR(SUMPRODUCT(($F$4=Producción_Agricola[C. Costo Reporte])*(Económico!G$41=Producción_Agricola[Unidad de Negocio])*(Económico!$E53=Producción_Agricola[Cuenta Contable])*($F$5=Producción_Agricola[Campaña])*(Producción_Agricola[Económico U$S Dólares]))*(IF($F$39="Hectárea",1/G$61,IF($F$39="Tonelada",1/G$62,1))),0)</f>
        <v>0</v>
      </c>
      <c r="H53" s="10">
        <f>IFERROR(SUMPRODUCT(($F$4=Producción_Agricola[C. Costo Reporte])*(Económico!H$41=Producción_Agricola[Unidad de Negocio])*(Económico!$E53=Producción_Agricola[Cuenta Contable])*($F$5=Producción_Agricola[Campaña])*(Producción_Agricola[Económico U$S Dólares]))*(IF($F$39="Hectárea",1/H$61,IF($F$39="Tonelada",1/H$62,1))),0)</f>
        <v>0</v>
      </c>
      <c r="I53" s="10">
        <f>IFERROR(SUMPRODUCT(($F$4=Producción_Agricola[C. Costo Reporte])*(Económico!I$41=Producción_Agricola[Unidad de Negocio])*(Económico!$E53=Producción_Agricola[Cuenta Contable])*($F$5=Producción_Agricola[Campaña])*(Producción_Agricola[Económico U$S Dólares]))*(IF($F$39="Hectárea",1/I$61,IF($F$39="Tonelada",1/I$62,1))),0)</f>
        <v>0</v>
      </c>
      <c r="J53" s="10">
        <f>IFERROR(SUMPRODUCT(($F$4=Producción_Agricola[C. Costo Reporte])*(Económico!J$41=Producción_Agricola[Unidad de Negocio])*(Económico!$E53=Producción_Agricola[Cuenta Contable])*($F$5=Producción_Agricola[Campaña])*(Producción_Agricola[Económico U$S Dólares]))*(IF($F$39="Hectárea",1/J$61,IF($F$39="Tonelada",1/J$62,1))),0)</f>
        <v>0</v>
      </c>
      <c r="K53" s="10">
        <f>IFERROR(SUMPRODUCT(($F$4=Producción_Agricola[C. Costo Reporte])*(Económico!K$41=Producción_Agricola[Unidad de Negocio])*(Económico!$E53=Producción_Agricola[Cuenta Contable])*($F$5=Producción_Agricola[Campaña])*(Producción_Agricola[Económico U$S Dólares]))*(IF($F$39="Hectárea",1/K$61,IF($F$39="Tonelada",1/K$62,1))),0)</f>
        <v>0</v>
      </c>
      <c r="L53" s="10">
        <f>IFERROR(SUMPRODUCT(($F$4=Producción_Agricola[C. Costo Reporte])*(Económico!L$41=Producción_Agricola[Unidad de Negocio])*(Económico!$E53=Producción_Agricola[Cuenta Contable])*($F$5=Producción_Agricola[Campaña])*(Producción_Agricola[Económico U$S Dólares]))*(IF($F$39="Hectárea",1/L$61,IF($F$39="Tonelada",1/L$62,1))),0)</f>
        <v>0</v>
      </c>
      <c r="M53" s="10">
        <f>IFERROR(SUMPRODUCT(($F$4=Producción_Agricola[C. Costo Reporte])*(Económico!M$41=Producción_Agricola[Unidad de Negocio])*(Económico!$E53=Producción_Agricola[Cuenta Contable])*($F$5=Producción_Agricola[Campaña])*(Producción_Agricola[Económico U$S Dólares]))*(IF($F$39="Hectárea",1/M$61,IF($F$39="Tonelada",1/M$62,1))),0)</f>
        <v>0</v>
      </c>
      <c r="N53" s="10">
        <f>IFERROR(SUMPRODUCT(($F$4=Producción_Agricola[C. Costo Reporte])*(Económico!N$41=Producción_Agricola[Unidad de Negocio])*(Económico!$E53=Producción_Agricola[Cuenta Contable])*($F$5=Producción_Agricola[Campaña])*(Producción_Agricola[Económico U$S Dólares]))*(IF($F$39="Hectárea",1/N$61,IF($F$39="Tonelada",1/N$62,1))),0)</f>
        <v>0</v>
      </c>
      <c r="O53" s="10">
        <f>IFERROR(SUMPRODUCT(($F$4=Producción_Agricola[C. Costo Reporte])*(Económico!O$41=Producción_Agricola[Unidad de Negocio])*(Económico!$E53=Producción_Agricola[Cuenta Contable])*($F$5=Producción_Agricola[Campaña])*(Producción_Agricola[Económico U$S Dólares]))*(IF($F$39="Hectárea",1/O$61,IF($F$39="Tonelada",1/O$62,1))),0)</f>
        <v>0</v>
      </c>
      <c r="P53" s="10">
        <f>IFERROR(SUMPRODUCT(($F$4=Producción_Agricola[C. Costo Reporte])*(Económico!P$41=Producción_Agricola[Unidad de Negocio])*(Económico!$E53=Producción_Agricola[Cuenta Contable])*($F$5=Producción_Agricola[Campaña])*(Producción_Agricola[Económico U$S Dólares]))*(IF($F$39="Hectárea",1/P$61,IF($F$39="Tonelada",1/P$62,1))),0)</f>
        <v>0</v>
      </c>
      <c r="Q53" s="10">
        <f>IFERROR(SUMPRODUCT(($F$4=Producción_Agricola[C. Costo Reporte])*(Económico!Q$41=Producción_Agricola[Unidad de Negocio])*(Económico!$E53=Producción_Agricola[Cuenta Contable])*($F$5=Producción_Agricola[Campaña])*(Producción_Agricola[Económico U$S Dólares]))*(IF($F$39="Hectárea",1/Q$61,IF($F$39="Tonelada",1/Q$62,1))),0)</f>
        <v>0</v>
      </c>
      <c r="R53" s="249" t="str">
        <f>INDEX(Produccion_Agricola_Cuentas[],MATCH(Tabla28[[#This Row],[Cuentas Contables]],Produccion_Agricola_Cuentas[Cuenta Contable],0),3)</f>
        <v>Gasto Fijo</v>
      </c>
      <c r="Z53" s="245">
        <f>MATCH(Tabla2841[[#This Row],[Cuentas Contables]],Produccion_Agricola_Cuentas[Cuenta Contable],0)</f>
        <v>8</v>
      </c>
      <c r="AA53" s="32" t="str">
        <f>Tabla28[[#This Row],[Cuentas Contables]]</f>
        <v>Fungicidas</v>
      </c>
      <c r="AB53" s="10">
        <f>IFERROR(SUMPRODUCT(($F$4=Producción_Agricola[C. Costo Reporte])*(Económico!AB$41=Producción_Agricola[Unidad de Negocio])*(Económico!$E53=Producción_Agricola[Cuenta Contable])*($F$5=Producción_Agricola[Campaña])*(Producción_Agricola[Económico $Corrientes]))*(IF($F$39="Hectárea",1/AB$61,IF($F$39="Tonelada",1/AB$62,1))),0)</f>
        <v>0</v>
      </c>
      <c r="AC53" s="10">
        <f>IFERROR(SUMPRODUCT(($F$4=Producción_Agricola[C. Costo Reporte])*(Económico!AC$41=Producción_Agricola[Unidad de Negocio])*(Económico!$E53=Producción_Agricola[Cuenta Contable])*($F$5=Producción_Agricola[Campaña])*(Producción_Agricola[Económico $Corrientes]))*(IF($F$39="Hectárea",1/AC$61,IF($F$39="Tonelada",1/AC$62,1))),0)</f>
        <v>0</v>
      </c>
      <c r="AD53" s="10">
        <f>IFERROR(SUMPRODUCT(($F$4=Producción_Agricola[C. Costo Reporte])*(Económico!AD$41=Producción_Agricola[Unidad de Negocio])*(Económico!$E53=Producción_Agricola[Cuenta Contable])*($F$5=Producción_Agricola[Campaña])*(Producción_Agricola[Económico $Corrientes]))*(IF($F$39="Hectárea",1/AD$61,IF($F$39="Tonelada",1/AD$62,1))),0)</f>
        <v>0</v>
      </c>
      <c r="AE53" s="10">
        <f>IFERROR(SUMPRODUCT(($F$4=Producción_Agricola[C. Costo Reporte])*(Económico!AE$41=Producción_Agricola[Unidad de Negocio])*(Económico!$E53=Producción_Agricola[Cuenta Contable])*($F$5=Producción_Agricola[Campaña])*(Producción_Agricola[Económico $Corrientes]))*(IF($F$39="Hectárea",1/AE$61,IF($F$39="Tonelada",1/AE$62,1))),0)</f>
        <v>0</v>
      </c>
      <c r="AF53" s="10">
        <f>IFERROR(SUMPRODUCT(($F$4=Producción_Agricola[C. Costo Reporte])*(Económico!AF$41=Producción_Agricola[Unidad de Negocio])*(Económico!$E53=Producción_Agricola[Cuenta Contable])*($F$5=Producción_Agricola[Campaña])*(Producción_Agricola[Económico $Corrientes]))*(IF($F$39="Hectárea",1/AF$61,IF($F$39="Tonelada",1/AF$62,1))),0)</f>
        <v>0</v>
      </c>
      <c r="AG53" s="10">
        <f>IFERROR(SUMPRODUCT(($F$4=Producción_Agricola[C. Costo Reporte])*(Económico!AG$41=Producción_Agricola[Unidad de Negocio])*(Económico!$E53=Producción_Agricola[Cuenta Contable])*($F$5=Producción_Agricola[Campaña])*(Producción_Agricola[Económico $Corrientes]))*(IF($F$39="Hectárea",1/AG$61,IF($F$39="Tonelada",1/AG$62,1))),0)</f>
        <v>0</v>
      </c>
      <c r="AH53" s="10">
        <f>IFERROR(SUMPRODUCT(($F$4=Producción_Agricola[C. Costo Reporte])*(Económico!AH$41=Producción_Agricola[Unidad de Negocio])*(Económico!$E53=Producción_Agricola[Cuenta Contable])*($F$5=Producción_Agricola[Campaña])*(Producción_Agricola[Económico $Corrientes]))*(IF($F$39="Hectárea",1/AH$61,IF($F$39="Tonelada",1/AH$62,1))),0)</f>
        <v>0</v>
      </c>
      <c r="AI53" s="10">
        <f>IFERROR(SUMPRODUCT(($F$4=Producción_Agricola[C. Costo Reporte])*(Económico!AI$41=Producción_Agricola[Unidad de Negocio])*(Económico!$E53=Producción_Agricola[Cuenta Contable])*($F$5=Producción_Agricola[Campaña])*(Producción_Agricola[Económico $Corrientes]))*(IF($F$39="Hectárea",1/AI$61,IF($F$39="Tonelada",1/AI$62,1))),0)</f>
        <v>0</v>
      </c>
      <c r="AJ53" s="10">
        <f>IFERROR(SUMPRODUCT(($F$4=Producción_Agricola[C. Costo Reporte])*(Económico!AJ$41=Producción_Agricola[Unidad de Negocio])*(Económico!$E53=Producción_Agricola[Cuenta Contable])*($F$5=Producción_Agricola[Campaña])*(Producción_Agricola[Económico $Corrientes]))*(IF($F$39="Hectárea",1/AJ$61,IF($F$39="Tonelada",1/AJ$62,1))),0)</f>
        <v>0</v>
      </c>
      <c r="AK53" s="10">
        <f>IFERROR(SUMPRODUCT(($F$4=Producción_Agricola[C. Costo Reporte])*(Económico!AK$41=Producción_Agricola[Unidad de Negocio])*(Económico!$E53=Producción_Agricola[Cuenta Contable])*($F$5=Producción_Agricola[Campaña])*(Producción_Agricola[Económico $Corrientes]))*(IF($F$39="Hectárea",1/AK$61,IF($F$39="Tonelada",1/AK$62,1))),0)</f>
        <v>0</v>
      </c>
      <c r="AL53" s="10">
        <f>IFERROR(SUMPRODUCT(($F$4=Producción_Agricola[C. Costo Reporte])*(Económico!AL$41=Producción_Agricola[Unidad de Negocio])*(Económico!$E53=Producción_Agricola[Cuenta Contable])*($F$5=Producción_Agricola[Campaña])*(Producción_Agricola[Económico $Corrientes]))*(IF($F$39="Hectárea",1/AL$61,IF($F$39="Tonelada",1/AL$62,1))),0)</f>
        <v>0</v>
      </c>
      <c r="AM53" s="10">
        <f>IFERROR(SUMPRODUCT(($F$4=Producción_Agricola[C. Costo Reporte])*(Económico!AM$41=Producción_Agricola[Unidad de Negocio])*(Económico!$E53=Producción_Agricola[Cuenta Contable])*($F$5=Producción_Agricola[Campaña])*(Producción_Agricola[Económico $Corrientes]))*(IF($F$39="Hectárea",1/AM$61,IF($F$39="Tonelada",1/AM$62,1))),0)</f>
        <v>0</v>
      </c>
      <c r="AN53" s="249" t="str">
        <f>INDEX(Produccion_Agricola_Cuentas[],MATCH(Tabla2841[[#This Row],[Cuentas Contables]],Produccion_Agricola_Cuentas[Cuenta Contable],0),3)</f>
        <v>Gasto Fijo</v>
      </c>
      <c r="AV53" s="245">
        <f>MATCH(Tabla284150[[#This Row],[Cuentas Contables]],Produccion_Agricola_Cuentas[Cuenta Contable],0)</f>
        <v>8</v>
      </c>
      <c r="AW53" s="32" t="str">
        <f>Tabla28[[#This Row],[Cuentas Contables]]</f>
        <v>Fungicidas</v>
      </c>
      <c r="AX53" s="10">
        <f>IFERROR(SUMPRODUCT(($F$4=Producción_Agricola[C. Costo Reporte])*(Económico!AX$41=Producción_Agricola[Unidad de Negocio])*(Económico!$E53=Producción_Agricola[Cuenta Contable])*($F$5=Producción_Agricola[Campaña])*(Producción_Agricola[Económico $Constantes]))*(IF($F$39="Hectárea",1/AX$61,IF($F$39="Tonelada",1/AX$62,1))),0)</f>
        <v>0</v>
      </c>
      <c r="AY53" s="10">
        <f>IFERROR(SUMPRODUCT(($F$4=Producción_Agricola[C. Costo Reporte])*(Económico!AY$41=Producción_Agricola[Unidad de Negocio])*(Económico!$E53=Producción_Agricola[Cuenta Contable])*($F$5=Producción_Agricola[Campaña])*(Producción_Agricola[Económico $Constantes]))*(IF($F$39="Hectárea",1/AY$61,IF($F$39="Tonelada",1/AY$62,1))),0)</f>
        <v>0</v>
      </c>
      <c r="AZ53" s="10">
        <f>IFERROR(SUMPRODUCT(($F$4=Producción_Agricola[C. Costo Reporte])*(Económico!AZ$41=Producción_Agricola[Unidad de Negocio])*(Económico!$E53=Producción_Agricola[Cuenta Contable])*($F$5=Producción_Agricola[Campaña])*(Producción_Agricola[Económico $Constantes]))*(IF($F$39="Hectárea",1/AZ$61,IF($F$39="Tonelada",1/AZ$62,1))),0)</f>
        <v>0</v>
      </c>
      <c r="BA53" s="10">
        <f>IFERROR(SUMPRODUCT(($F$4=Producción_Agricola[C. Costo Reporte])*(Económico!BA$41=Producción_Agricola[Unidad de Negocio])*(Económico!$E53=Producción_Agricola[Cuenta Contable])*($F$5=Producción_Agricola[Campaña])*(Producción_Agricola[Económico $Constantes]))*(IF($F$39="Hectárea",1/BA$61,IF($F$39="Tonelada",1/BA$62,1))),0)</f>
        <v>0</v>
      </c>
      <c r="BB53" s="10">
        <f>IFERROR(SUMPRODUCT(($F$4=Producción_Agricola[C. Costo Reporte])*(Económico!BB$41=Producción_Agricola[Unidad de Negocio])*(Económico!$E53=Producción_Agricola[Cuenta Contable])*($F$5=Producción_Agricola[Campaña])*(Producción_Agricola[Económico $Constantes]))*(IF($F$39="Hectárea",1/BB$61,IF($F$39="Tonelada",1/BB$62,1))),0)</f>
        <v>0</v>
      </c>
      <c r="BC53" s="10">
        <f>IFERROR(SUMPRODUCT(($F$4=Producción_Agricola[C. Costo Reporte])*(Económico!BC$41=Producción_Agricola[Unidad de Negocio])*(Económico!$E53=Producción_Agricola[Cuenta Contable])*($F$5=Producción_Agricola[Campaña])*(Producción_Agricola[Económico $Constantes]))*(IF($F$39="Hectárea",1/BC$61,IF($F$39="Tonelada",1/BC$62,1))),0)</f>
        <v>0</v>
      </c>
      <c r="BD53" s="10">
        <f>IFERROR(SUMPRODUCT(($F$4=Producción_Agricola[C. Costo Reporte])*(Económico!BD$41=Producción_Agricola[Unidad de Negocio])*(Económico!$E53=Producción_Agricola[Cuenta Contable])*($F$5=Producción_Agricola[Campaña])*(Producción_Agricola[Económico $Constantes]))*(IF($F$39="Hectárea",1/BD$61,IF($F$39="Tonelada",1/BD$62,1))),0)</f>
        <v>0</v>
      </c>
      <c r="BE53" s="10">
        <f>IFERROR(SUMPRODUCT(($F$4=Producción_Agricola[C. Costo Reporte])*(Económico!BE$41=Producción_Agricola[Unidad de Negocio])*(Económico!$E53=Producción_Agricola[Cuenta Contable])*($F$5=Producción_Agricola[Campaña])*(Producción_Agricola[Económico $Constantes]))*(IF($F$39="Hectárea",1/BE$61,IF($F$39="Tonelada",1/BE$62,1))),0)</f>
        <v>0</v>
      </c>
      <c r="BF53" s="10">
        <f>IFERROR(SUMPRODUCT(($F$4=Producción_Agricola[C. Costo Reporte])*(Económico!BF$41=Producción_Agricola[Unidad de Negocio])*(Económico!$E53=Producción_Agricola[Cuenta Contable])*($F$5=Producción_Agricola[Campaña])*(Producción_Agricola[Económico $Constantes]))*(IF($F$39="Hectárea",1/BF$61,IF($F$39="Tonelada",1/BF$62,1))),0)</f>
        <v>0</v>
      </c>
      <c r="BG53" s="10">
        <f>IFERROR(SUMPRODUCT(($F$4=Producción_Agricola[C. Costo Reporte])*(Económico!BG$41=Producción_Agricola[Unidad de Negocio])*(Económico!$E53=Producción_Agricola[Cuenta Contable])*($F$5=Producción_Agricola[Campaña])*(Producción_Agricola[Económico $Constantes]))*(IF($F$39="Hectárea",1/BG$61,IF($F$39="Tonelada",1/BG$62,1))),0)</f>
        <v>0</v>
      </c>
      <c r="BH53" s="10">
        <f>IFERROR(SUMPRODUCT(($F$4=Producción_Agricola[C. Costo Reporte])*(Económico!BH$41=Producción_Agricola[Unidad de Negocio])*(Económico!$E53=Producción_Agricola[Cuenta Contable])*($F$5=Producción_Agricola[Campaña])*(Producción_Agricola[Económico $Constantes]))*(IF($F$39="Hectárea",1/BH$61,IF($F$39="Tonelada",1/BH$62,1))),0)</f>
        <v>0</v>
      </c>
      <c r="BI53" s="10">
        <f>IFERROR(SUMPRODUCT(($F$4=Producción_Agricola[C. Costo Reporte])*(Económico!BI$41=Producción_Agricola[Unidad de Negocio])*(Económico!$E53=Producción_Agricola[Cuenta Contable])*($F$5=Producción_Agricola[Campaña])*(Producción_Agricola[Económico $Constantes]))*(IF($F$39="Hectárea",1/BI$61,IF($F$39="Tonelada",1/BI$62,1))),0)</f>
        <v>0</v>
      </c>
      <c r="BJ53" s="249" t="str">
        <f>INDEX(Produccion_Agricola_Cuentas[],MATCH(Tabla284150[[#This Row],[Cuentas Contables]],Produccion_Agricola_Cuentas[Cuenta Contable],0),3)</f>
        <v>Gasto Fijo</v>
      </c>
    </row>
    <row r="54" spans="2:62" x14ac:dyDescent="0.25">
      <c r="D54" s="245">
        <f>MATCH(Tabla28[[#This Row],[Cuentas Contables]],Produccion_Agricola_Cuentas[Cuenta Contable],0)</f>
        <v>9</v>
      </c>
      <c r="E54" s="116" t="str">
        <f>Configuración!P13</f>
        <v>Coadyuvantes</v>
      </c>
      <c r="F54" s="10">
        <f>IFERROR(SUMPRODUCT(($F$4=Producción_Agricola[C. Costo Reporte])*(Económico!F$41=Producción_Agricola[Unidad de Negocio])*(Económico!$E54=Producción_Agricola[Cuenta Contable])*($F$5=Producción_Agricola[Campaña])*(Producción_Agricola[Económico U$S Dólares]))*(IF($F$39="Hectárea",1/F$61,IF($F$39="Tonelada",1/F$62,1))),0)</f>
        <v>0</v>
      </c>
      <c r="G54" s="10">
        <f>IFERROR(SUMPRODUCT(($F$4=Producción_Agricola[C. Costo Reporte])*(Económico!G$41=Producción_Agricola[Unidad de Negocio])*(Económico!$E54=Producción_Agricola[Cuenta Contable])*($F$5=Producción_Agricola[Campaña])*(Producción_Agricola[Económico U$S Dólares]))*(IF($F$39="Hectárea",1/G$61,IF($F$39="Tonelada",1/G$62,1))),0)</f>
        <v>0</v>
      </c>
      <c r="H54" s="10">
        <f>IFERROR(SUMPRODUCT(($F$4=Producción_Agricola[C. Costo Reporte])*(Económico!H$41=Producción_Agricola[Unidad de Negocio])*(Económico!$E54=Producción_Agricola[Cuenta Contable])*($F$5=Producción_Agricola[Campaña])*(Producción_Agricola[Económico U$S Dólares]))*(IF($F$39="Hectárea",1/H$61,IF($F$39="Tonelada",1/H$62,1))),0)</f>
        <v>0</v>
      </c>
      <c r="I54" s="10">
        <f>IFERROR(SUMPRODUCT(($F$4=Producción_Agricola[C. Costo Reporte])*(Económico!I$41=Producción_Agricola[Unidad de Negocio])*(Económico!$E54=Producción_Agricola[Cuenta Contable])*($F$5=Producción_Agricola[Campaña])*(Producción_Agricola[Económico U$S Dólares]))*(IF($F$39="Hectárea",1/I$61,IF($F$39="Tonelada",1/I$62,1))),0)</f>
        <v>0</v>
      </c>
      <c r="J54" s="10">
        <f>IFERROR(SUMPRODUCT(($F$4=Producción_Agricola[C. Costo Reporte])*(Económico!J$41=Producción_Agricola[Unidad de Negocio])*(Económico!$E54=Producción_Agricola[Cuenta Contable])*($F$5=Producción_Agricola[Campaña])*(Producción_Agricola[Económico U$S Dólares]))*(IF($F$39="Hectárea",1/J$61,IF($F$39="Tonelada",1/J$62,1))),0)</f>
        <v>0</v>
      </c>
      <c r="K54" s="10">
        <f>IFERROR(SUMPRODUCT(($F$4=Producción_Agricola[C. Costo Reporte])*(Económico!K$41=Producción_Agricola[Unidad de Negocio])*(Económico!$E54=Producción_Agricola[Cuenta Contable])*($F$5=Producción_Agricola[Campaña])*(Producción_Agricola[Económico U$S Dólares]))*(IF($F$39="Hectárea",1/K$61,IF($F$39="Tonelada",1/K$62,1))),0)</f>
        <v>0</v>
      </c>
      <c r="L54" s="10">
        <f>IFERROR(SUMPRODUCT(($F$4=Producción_Agricola[C. Costo Reporte])*(Económico!L$41=Producción_Agricola[Unidad de Negocio])*(Económico!$E54=Producción_Agricola[Cuenta Contable])*($F$5=Producción_Agricola[Campaña])*(Producción_Agricola[Económico U$S Dólares]))*(IF($F$39="Hectárea",1/L$61,IF($F$39="Tonelada",1/L$62,1))),0)</f>
        <v>0</v>
      </c>
      <c r="M54" s="10">
        <f>IFERROR(SUMPRODUCT(($F$4=Producción_Agricola[C. Costo Reporte])*(Económico!M$41=Producción_Agricola[Unidad de Negocio])*(Económico!$E54=Producción_Agricola[Cuenta Contable])*($F$5=Producción_Agricola[Campaña])*(Producción_Agricola[Económico U$S Dólares]))*(IF($F$39="Hectárea",1/M$61,IF($F$39="Tonelada",1/M$62,1))),0)</f>
        <v>0</v>
      </c>
      <c r="N54" s="10">
        <f>IFERROR(SUMPRODUCT(($F$4=Producción_Agricola[C. Costo Reporte])*(Económico!N$41=Producción_Agricola[Unidad de Negocio])*(Económico!$E54=Producción_Agricola[Cuenta Contable])*($F$5=Producción_Agricola[Campaña])*(Producción_Agricola[Económico U$S Dólares]))*(IF($F$39="Hectárea",1/N$61,IF($F$39="Tonelada",1/N$62,1))),0)</f>
        <v>0</v>
      </c>
      <c r="O54" s="10">
        <f>IFERROR(SUMPRODUCT(($F$4=Producción_Agricola[C. Costo Reporte])*(Económico!O$41=Producción_Agricola[Unidad de Negocio])*(Económico!$E54=Producción_Agricola[Cuenta Contable])*($F$5=Producción_Agricola[Campaña])*(Producción_Agricola[Económico U$S Dólares]))*(IF($F$39="Hectárea",1/O$61,IF($F$39="Tonelada",1/O$62,1))),0)</f>
        <v>0</v>
      </c>
      <c r="P54" s="10">
        <f>IFERROR(SUMPRODUCT(($F$4=Producción_Agricola[C. Costo Reporte])*(Económico!P$41=Producción_Agricola[Unidad de Negocio])*(Económico!$E54=Producción_Agricola[Cuenta Contable])*($F$5=Producción_Agricola[Campaña])*(Producción_Agricola[Económico U$S Dólares]))*(IF($F$39="Hectárea",1/P$61,IF($F$39="Tonelada",1/P$62,1))),0)</f>
        <v>0</v>
      </c>
      <c r="Q54" s="10">
        <f>IFERROR(SUMPRODUCT(($F$4=Producción_Agricola[C. Costo Reporte])*(Económico!Q$41=Producción_Agricola[Unidad de Negocio])*(Económico!$E54=Producción_Agricola[Cuenta Contable])*($F$5=Producción_Agricola[Campaña])*(Producción_Agricola[Económico U$S Dólares]))*(IF($F$39="Hectárea",1/Q$61,IF($F$39="Tonelada",1/Q$62,1))),0)</f>
        <v>0</v>
      </c>
      <c r="R54" s="249" t="str">
        <f>INDEX(Produccion_Agricola_Cuentas[],MATCH(Tabla28[[#This Row],[Cuentas Contables]],Produccion_Agricola_Cuentas[Cuenta Contable],0),3)</f>
        <v>Gasto Fijo</v>
      </c>
      <c r="Z54" s="245">
        <f>MATCH(Tabla2841[[#This Row],[Cuentas Contables]],Produccion_Agricola_Cuentas[Cuenta Contable],0)</f>
        <v>9</v>
      </c>
      <c r="AA54" s="32" t="str">
        <f>Tabla28[[#This Row],[Cuentas Contables]]</f>
        <v>Coadyuvantes</v>
      </c>
      <c r="AB54" s="10">
        <f>IFERROR(SUMPRODUCT(($F$4=Producción_Agricola[C. Costo Reporte])*(Económico!AB$41=Producción_Agricola[Unidad de Negocio])*(Económico!$E54=Producción_Agricola[Cuenta Contable])*($F$5=Producción_Agricola[Campaña])*(Producción_Agricola[Económico $Corrientes]))*(IF($F$39="Hectárea",1/AB$61,IF($F$39="Tonelada",1/AB$62,1))),0)</f>
        <v>0</v>
      </c>
      <c r="AC54" s="10">
        <f>IFERROR(SUMPRODUCT(($F$4=Producción_Agricola[C. Costo Reporte])*(Económico!AC$41=Producción_Agricola[Unidad de Negocio])*(Económico!$E54=Producción_Agricola[Cuenta Contable])*($F$5=Producción_Agricola[Campaña])*(Producción_Agricola[Económico $Corrientes]))*(IF($F$39="Hectárea",1/AC$61,IF($F$39="Tonelada",1/AC$62,1))),0)</f>
        <v>0</v>
      </c>
      <c r="AD54" s="10">
        <f>IFERROR(SUMPRODUCT(($F$4=Producción_Agricola[C. Costo Reporte])*(Económico!AD$41=Producción_Agricola[Unidad de Negocio])*(Económico!$E54=Producción_Agricola[Cuenta Contable])*($F$5=Producción_Agricola[Campaña])*(Producción_Agricola[Económico $Corrientes]))*(IF($F$39="Hectárea",1/AD$61,IF($F$39="Tonelada",1/AD$62,1))),0)</f>
        <v>0</v>
      </c>
      <c r="AE54" s="10">
        <f>IFERROR(SUMPRODUCT(($F$4=Producción_Agricola[C. Costo Reporte])*(Económico!AE$41=Producción_Agricola[Unidad de Negocio])*(Económico!$E54=Producción_Agricola[Cuenta Contable])*($F$5=Producción_Agricola[Campaña])*(Producción_Agricola[Económico $Corrientes]))*(IF($F$39="Hectárea",1/AE$61,IF($F$39="Tonelada",1/AE$62,1))),0)</f>
        <v>0</v>
      </c>
      <c r="AF54" s="10">
        <f>IFERROR(SUMPRODUCT(($F$4=Producción_Agricola[C. Costo Reporte])*(Económico!AF$41=Producción_Agricola[Unidad de Negocio])*(Económico!$E54=Producción_Agricola[Cuenta Contable])*($F$5=Producción_Agricola[Campaña])*(Producción_Agricola[Económico $Corrientes]))*(IF($F$39="Hectárea",1/AF$61,IF($F$39="Tonelada",1/AF$62,1))),0)</f>
        <v>0</v>
      </c>
      <c r="AG54" s="10">
        <f>IFERROR(SUMPRODUCT(($F$4=Producción_Agricola[C. Costo Reporte])*(Económico!AG$41=Producción_Agricola[Unidad de Negocio])*(Económico!$E54=Producción_Agricola[Cuenta Contable])*($F$5=Producción_Agricola[Campaña])*(Producción_Agricola[Económico $Corrientes]))*(IF($F$39="Hectárea",1/AG$61,IF($F$39="Tonelada",1/AG$62,1))),0)</f>
        <v>0</v>
      </c>
      <c r="AH54" s="10">
        <f>IFERROR(SUMPRODUCT(($F$4=Producción_Agricola[C. Costo Reporte])*(Económico!AH$41=Producción_Agricola[Unidad de Negocio])*(Económico!$E54=Producción_Agricola[Cuenta Contable])*($F$5=Producción_Agricola[Campaña])*(Producción_Agricola[Económico $Corrientes]))*(IF($F$39="Hectárea",1/AH$61,IF($F$39="Tonelada",1/AH$62,1))),0)</f>
        <v>0</v>
      </c>
      <c r="AI54" s="10">
        <f>IFERROR(SUMPRODUCT(($F$4=Producción_Agricola[C. Costo Reporte])*(Económico!AI$41=Producción_Agricola[Unidad de Negocio])*(Económico!$E54=Producción_Agricola[Cuenta Contable])*($F$5=Producción_Agricola[Campaña])*(Producción_Agricola[Económico $Corrientes]))*(IF($F$39="Hectárea",1/AI$61,IF($F$39="Tonelada",1/AI$62,1))),0)</f>
        <v>0</v>
      </c>
      <c r="AJ54" s="10">
        <f>IFERROR(SUMPRODUCT(($F$4=Producción_Agricola[C. Costo Reporte])*(Económico!AJ$41=Producción_Agricola[Unidad de Negocio])*(Económico!$E54=Producción_Agricola[Cuenta Contable])*($F$5=Producción_Agricola[Campaña])*(Producción_Agricola[Económico $Corrientes]))*(IF($F$39="Hectárea",1/AJ$61,IF($F$39="Tonelada",1/AJ$62,1))),0)</f>
        <v>0</v>
      </c>
      <c r="AK54" s="10">
        <f>IFERROR(SUMPRODUCT(($F$4=Producción_Agricola[C. Costo Reporte])*(Económico!AK$41=Producción_Agricola[Unidad de Negocio])*(Económico!$E54=Producción_Agricola[Cuenta Contable])*($F$5=Producción_Agricola[Campaña])*(Producción_Agricola[Económico $Corrientes]))*(IF($F$39="Hectárea",1/AK$61,IF($F$39="Tonelada",1/AK$62,1))),0)</f>
        <v>0</v>
      </c>
      <c r="AL54" s="10">
        <f>IFERROR(SUMPRODUCT(($F$4=Producción_Agricola[C. Costo Reporte])*(Económico!AL$41=Producción_Agricola[Unidad de Negocio])*(Económico!$E54=Producción_Agricola[Cuenta Contable])*($F$5=Producción_Agricola[Campaña])*(Producción_Agricola[Económico $Corrientes]))*(IF($F$39="Hectárea",1/AL$61,IF($F$39="Tonelada",1/AL$62,1))),0)</f>
        <v>0</v>
      </c>
      <c r="AM54" s="10">
        <f>IFERROR(SUMPRODUCT(($F$4=Producción_Agricola[C. Costo Reporte])*(Económico!AM$41=Producción_Agricola[Unidad de Negocio])*(Económico!$E54=Producción_Agricola[Cuenta Contable])*($F$5=Producción_Agricola[Campaña])*(Producción_Agricola[Económico $Corrientes]))*(IF($F$39="Hectárea",1/AM$61,IF($F$39="Tonelada",1/AM$62,1))),0)</f>
        <v>0</v>
      </c>
      <c r="AN54" s="249" t="str">
        <f>INDEX(Produccion_Agricola_Cuentas[],MATCH(Tabla2841[[#This Row],[Cuentas Contables]],Produccion_Agricola_Cuentas[Cuenta Contable],0),3)</f>
        <v>Gasto Fijo</v>
      </c>
      <c r="AV54" s="245">
        <f>MATCH(Tabla284150[[#This Row],[Cuentas Contables]],Produccion_Agricola_Cuentas[Cuenta Contable],0)</f>
        <v>9</v>
      </c>
      <c r="AW54" s="32" t="str">
        <f>Tabla28[[#This Row],[Cuentas Contables]]</f>
        <v>Coadyuvantes</v>
      </c>
      <c r="AX54" s="10">
        <f>IFERROR(SUMPRODUCT(($F$4=Producción_Agricola[C. Costo Reporte])*(Económico!AX$41=Producción_Agricola[Unidad de Negocio])*(Económico!$E54=Producción_Agricola[Cuenta Contable])*($F$5=Producción_Agricola[Campaña])*(Producción_Agricola[Económico $Constantes]))*(IF($F$39="Hectárea",1/AX$61,IF($F$39="Tonelada",1/AX$62,1))),0)</f>
        <v>0</v>
      </c>
      <c r="AY54" s="10">
        <f>IFERROR(SUMPRODUCT(($F$4=Producción_Agricola[C. Costo Reporte])*(Económico!AY$41=Producción_Agricola[Unidad de Negocio])*(Económico!$E54=Producción_Agricola[Cuenta Contable])*($F$5=Producción_Agricola[Campaña])*(Producción_Agricola[Económico $Constantes]))*(IF($F$39="Hectárea",1/AY$61,IF($F$39="Tonelada",1/AY$62,1))),0)</f>
        <v>0</v>
      </c>
      <c r="AZ54" s="10">
        <f>IFERROR(SUMPRODUCT(($F$4=Producción_Agricola[C. Costo Reporte])*(Económico!AZ$41=Producción_Agricola[Unidad de Negocio])*(Económico!$E54=Producción_Agricola[Cuenta Contable])*($F$5=Producción_Agricola[Campaña])*(Producción_Agricola[Económico $Constantes]))*(IF($F$39="Hectárea",1/AZ$61,IF($F$39="Tonelada",1/AZ$62,1))),0)</f>
        <v>0</v>
      </c>
      <c r="BA54" s="10">
        <f>IFERROR(SUMPRODUCT(($F$4=Producción_Agricola[C. Costo Reporte])*(Económico!BA$41=Producción_Agricola[Unidad de Negocio])*(Económico!$E54=Producción_Agricola[Cuenta Contable])*($F$5=Producción_Agricola[Campaña])*(Producción_Agricola[Económico $Constantes]))*(IF($F$39="Hectárea",1/BA$61,IF($F$39="Tonelada",1/BA$62,1))),0)</f>
        <v>0</v>
      </c>
      <c r="BB54" s="10">
        <f>IFERROR(SUMPRODUCT(($F$4=Producción_Agricola[C. Costo Reporte])*(Económico!BB$41=Producción_Agricola[Unidad de Negocio])*(Económico!$E54=Producción_Agricola[Cuenta Contable])*($F$5=Producción_Agricola[Campaña])*(Producción_Agricola[Económico $Constantes]))*(IF($F$39="Hectárea",1/BB$61,IF($F$39="Tonelada",1/BB$62,1))),0)</f>
        <v>0</v>
      </c>
      <c r="BC54" s="10">
        <f>IFERROR(SUMPRODUCT(($F$4=Producción_Agricola[C. Costo Reporte])*(Económico!BC$41=Producción_Agricola[Unidad de Negocio])*(Económico!$E54=Producción_Agricola[Cuenta Contable])*($F$5=Producción_Agricola[Campaña])*(Producción_Agricola[Económico $Constantes]))*(IF($F$39="Hectárea",1/BC$61,IF($F$39="Tonelada",1/BC$62,1))),0)</f>
        <v>0</v>
      </c>
      <c r="BD54" s="10">
        <f>IFERROR(SUMPRODUCT(($F$4=Producción_Agricola[C. Costo Reporte])*(Económico!BD$41=Producción_Agricola[Unidad de Negocio])*(Económico!$E54=Producción_Agricola[Cuenta Contable])*($F$5=Producción_Agricola[Campaña])*(Producción_Agricola[Económico $Constantes]))*(IF($F$39="Hectárea",1/BD$61,IF($F$39="Tonelada",1/BD$62,1))),0)</f>
        <v>0</v>
      </c>
      <c r="BE54" s="10">
        <f>IFERROR(SUMPRODUCT(($F$4=Producción_Agricola[C. Costo Reporte])*(Económico!BE$41=Producción_Agricola[Unidad de Negocio])*(Económico!$E54=Producción_Agricola[Cuenta Contable])*($F$5=Producción_Agricola[Campaña])*(Producción_Agricola[Económico $Constantes]))*(IF($F$39="Hectárea",1/BE$61,IF($F$39="Tonelada",1/BE$62,1))),0)</f>
        <v>0</v>
      </c>
      <c r="BF54" s="10">
        <f>IFERROR(SUMPRODUCT(($F$4=Producción_Agricola[C. Costo Reporte])*(Económico!BF$41=Producción_Agricola[Unidad de Negocio])*(Económico!$E54=Producción_Agricola[Cuenta Contable])*($F$5=Producción_Agricola[Campaña])*(Producción_Agricola[Económico $Constantes]))*(IF($F$39="Hectárea",1/BF$61,IF($F$39="Tonelada",1/BF$62,1))),0)</f>
        <v>0</v>
      </c>
      <c r="BG54" s="10">
        <f>IFERROR(SUMPRODUCT(($F$4=Producción_Agricola[C. Costo Reporte])*(Económico!BG$41=Producción_Agricola[Unidad de Negocio])*(Económico!$E54=Producción_Agricola[Cuenta Contable])*($F$5=Producción_Agricola[Campaña])*(Producción_Agricola[Económico $Constantes]))*(IF($F$39="Hectárea",1/BG$61,IF($F$39="Tonelada",1/BG$62,1))),0)</f>
        <v>0</v>
      </c>
      <c r="BH54" s="10">
        <f>IFERROR(SUMPRODUCT(($F$4=Producción_Agricola[C. Costo Reporte])*(Económico!BH$41=Producción_Agricola[Unidad de Negocio])*(Económico!$E54=Producción_Agricola[Cuenta Contable])*($F$5=Producción_Agricola[Campaña])*(Producción_Agricola[Económico $Constantes]))*(IF($F$39="Hectárea",1/BH$61,IF($F$39="Tonelada",1/BH$62,1))),0)</f>
        <v>0</v>
      </c>
      <c r="BI54" s="10">
        <f>IFERROR(SUMPRODUCT(($F$4=Producción_Agricola[C. Costo Reporte])*(Económico!BI$41=Producción_Agricola[Unidad de Negocio])*(Económico!$E54=Producción_Agricola[Cuenta Contable])*($F$5=Producción_Agricola[Campaña])*(Producción_Agricola[Económico $Constantes]))*(IF($F$39="Hectárea",1/BI$61,IF($F$39="Tonelada",1/BI$62,1))),0)</f>
        <v>0</v>
      </c>
      <c r="BJ54" s="249" t="str">
        <f>INDEX(Produccion_Agricola_Cuentas[],MATCH(Tabla284150[[#This Row],[Cuentas Contables]],Produccion_Agricola_Cuentas[Cuenta Contable],0),3)</f>
        <v>Gasto Fijo</v>
      </c>
    </row>
    <row r="55" spans="2:62" x14ac:dyDescent="0.25">
      <c r="D55" s="245">
        <f>MATCH(Tabla28[[#This Row],[Cuentas Contables]],Produccion_Agricola_Cuentas[Cuenta Contable],0)</f>
        <v>11</v>
      </c>
      <c r="E55" s="116" t="str">
        <f>Configuración!P15</f>
        <v>Gerenciamiento</v>
      </c>
      <c r="F55" s="10">
        <f>IFERROR(SUMPRODUCT(($F$4=Producción_Agricola[C. Costo Reporte])*(Económico!F$41=Producción_Agricola[Unidad de Negocio])*(Económico!$E55=Producción_Agricola[Cuenta Contable])*($F$5=Producción_Agricola[Campaña])*(Producción_Agricola[Económico U$S Dólares]))*(IF($F$39="Hectárea",1/F$61,IF($F$39="Tonelada",1/F$62,1))),0)</f>
        <v>0</v>
      </c>
      <c r="G55" s="10">
        <f>IFERROR(SUMPRODUCT(($F$4=Producción_Agricola[C. Costo Reporte])*(Económico!G$41=Producción_Agricola[Unidad de Negocio])*(Económico!$E55=Producción_Agricola[Cuenta Contable])*($F$5=Producción_Agricola[Campaña])*(Producción_Agricola[Económico U$S Dólares]))*(IF($F$39="Hectárea",1/G$61,IF($F$39="Tonelada",1/G$62,1))),0)</f>
        <v>0</v>
      </c>
      <c r="H55" s="10">
        <f>IFERROR(SUMPRODUCT(($F$4=Producción_Agricola[C. Costo Reporte])*(Económico!H$41=Producción_Agricola[Unidad de Negocio])*(Económico!$E55=Producción_Agricola[Cuenta Contable])*($F$5=Producción_Agricola[Campaña])*(Producción_Agricola[Económico U$S Dólares]))*(IF($F$39="Hectárea",1/H$61,IF($F$39="Tonelada",1/H$62,1))),0)</f>
        <v>0</v>
      </c>
      <c r="I55" s="10">
        <f>IFERROR(SUMPRODUCT(($F$4=Producción_Agricola[C. Costo Reporte])*(Económico!I$41=Producción_Agricola[Unidad de Negocio])*(Económico!$E55=Producción_Agricola[Cuenta Contable])*($F$5=Producción_Agricola[Campaña])*(Producción_Agricola[Económico U$S Dólares]))*(IF($F$39="Hectárea",1/I$61,IF($F$39="Tonelada",1/I$62,1))),0)</f>
        <v>0</v>
      </c>
      <c r="J55" s="10">
        <f>IFERROR(SUMPRODUCT(($F$4=Producción_Agricola[C. Costo Reporte])*(Económico!J$41=Producción_Agricola[Unidad de Negocio])*(Económico!$E55=Producción_Agricola[Cuenta Contable])*($F$5=Producción_Agricola[Campaña])*(Producción_Agricola[Económico U$S Dólares]))*(IF($F$39="Hectárea",1/J$61,IF($F$39="Tonelada",1/J$62,1))),0)</f>
        <v>0</v>
      </c>
      <c r="K55" s="10">
        <f>IFERROR(SUMPRODUCT(($F$4=Producción_Agricola[C. Costo Reporte])*(Económico!K$41=Producción_Agricola[Unidad de Negocio])*(Económico!$E55=Producción_Agricola[Cuenta Contable])*($F$5=Producción_Agricola[Campaña])*(Producción_Agricola[Económico U$S Dólares]))*(IF($F$39="Hectárea",1/K$61,IF($F$39="Tonelada",1/K$62,1))),0)</f>
        <v>0</v>
      </c>
      <c r="L55" s="10">
        <f>IFERROR(SUMPRODUCT(($F$4=Producción_Agricola[C. Costo Reporte])*(Económico!L$41=Producción_Agricola[Unidad de Negocio])*(Económico!$E55=Producción_Agricola[Cuenta Contable])*($F$5=Producción_Agricola[Campaña])*(Producción_Agricola[Económico U$S Dólares]))*(IF($F$39="Hectárea",1/L$61,IF($F$39="Tonelada",1/L$62,1))),0)</f>
        <v>0</v>
      </c>
      <c r="M55" s="10">
        <f>IFERROR(SUMPRODUCT(($F$4=Producción_Agricola[C. Costo Reporte])*(Económico!M$41=Producción_Agricola[Unidad de Negocio])*(Económico!$E55=Producción_Agricola[Cuenta Contable])*($F$5=Producción_Agricola[Campaña])*(Producción_Agricola[Económico U$S Dólares]))*(IF($F$39="Hectárea",1/M$61,IF($F$39="Tonelada",1/M$62,1))),0)</f>
        <v>0</v>
      </c>
      <c r="N55" s="10">
        <f>IFERROR(SUMPRODUCT(($F$4=Producción_Agricola[C. Costo Reporte])*(Económico!N$41=Producción_Agricola[Unidad de Negocio])*(Económico!$E55=Producción_Agricola[Cuenta Contable])*($F$5=Producción_Agricola[Campaña])*(Producción_Agricola[Económico U$S Dólares]))*(IF($F$39="Hectárea",1/N$61,IF($F$39="Tonelada",1/N$62,1))),0)</f>
        <v>0</v>
      </c>
      <c r="O55" s="10">
        <f>IFERROR(SUMPRODUCT(($F$4=Producción_Agricola[C. Costo Reporte])*(Económico!O$41=Producción_Agricola[Unidad de Negocio])*(Económico!$E55=Producción_Agricola[Cuenta Contable])*($F$5=Producción_Agricola[Campaña])*(Producción_Agricola[Económico U$S Dólares]))*(IF($F$39="Hectárea",1/O$61,IF($F$39="Tonelada",1/O$62,1))),0)</f>
        <v>0</v>
      </c>
      <c r="P55" s="10">
        <f>IFERROR(SUMPRODUCT(($F$4=Producción_Agricola[C. Costo Reporte])*(Económico!P$41=Producción_Agricola[Unidad de Negocio])*(Económico!$E55=Producción_Agricola[Cuenta Contable])*($F$5=Producción_Agricola[Campaña])*(Producción_Agricola[Económico U$S Dólares]))*(IF($F$39="Hectárea",1/P$61,IF($F$39="Tonelada",1/P$62,1))),0)</f>
        <v>0</v>
      </c>
      <c r="Q55" s="10">
        <f>IFERROR(SUMPRODUCT(($F$4=Producción_Agricola[C. Costo Reporte])*(Económico!Q$41=Producción_Agricola[Unidad de Negocio])*(Económico!$E55=Producción_Agricola[Cuenta Contable])*($F$5=Producción_Agricola[Campaña])*(Producción_Agricola[Económico U$S Dólares]))*(IF($F$39="Hectárea",1/Q$61,IF($F$39="Tonelada",1/Q$62,1))),0)</f>
        <v>0</v>
      </c>
      <c r="R55" s="249" t="str">
        <f>INDEX(Produccion_Agricola_Cuentas[],MATCH(Tabla28[[#This Row],[Cuentas Contables]],Produccion_Agricola_Cuentas[Cuenta Contable],0),3)</f>
        <v>Gasto Fijo</v>
      </c>
      <c r="Z55" s="245">
        <f>MATCH(Tabla2841[[#This Row],[Cuentas Contables]],Produccion_Agricola_Cuentas[Cuenta Contable],0)</f>
        <v>11</v>
      </c>
      <c r="AA55" s="32" t="str">
        <f>Tabla28[[#This Row],[Cuentas Contables]]</f>
        <v>Gerenciamiento</v>
      </c>
      <c r="AB55" s="10">
        <f>IFERROR(SUMPRODUCT(($F$4=Producción_Agricola[C. Costo Reporte])*(Económico!AB$41=Producción_Agricola[Unidad de Negocio])*(Económico!$E55=Producción_Agricola[Cuenta Contable])*($F$5=Producción_Agricola[Campaña])*(Producción_Agricola[Económico $Corrientes]))*(IF($F$39="Hectárea",1/AB$61,IF($F$39="Tonelada",1/AB$62,1))),0)</f>
        <v>0</v>
      </c>
      <c r="AC55" s="10">
        <f>IFERROR(SUMPRODUCT(($F$4=Producción_Agricola[C. Costo Reporte])*(Económico!AC$41=Producción_Agricola[Unidad de Negocio])*(Económico!$E55=Producción_Agricola[Cuenta Contable])*($F$5=Producción_Agricola[Campaña])*(Producción_Agricola[Económico $Corrientes]))*(IF($F$39="Hectárea",1/AC$61,IF($F$39="Tonelada",1/AC$62,1))),0)</f>
        <v>0</v>
      </c>
      <c r="AD55" s="10">
        <f>IFERROR(SUMPRODUCT(($F$4=Producción_Agricola[C. Costo Reporte])*(Económico!AD$41=Producción_Agricola[Unidad de Negocio])*(Económico!$E55=Producción_Agricola[Cuenta Contable])*($F$5=Producción_Agricola[Campaña])*(Producción_Agricola[Económico $Corrientes]))*(IF($F$39="Hectárea",1/AD$61,IF($F$39="Tonelada",1/AD$62,1))),0)</f>
        <v>0</v>
      </c>
      <c r="AE55" s="10">
        <f>IFERROR(SUMPRODUCT(($F$4=Producción_Agricola[C. Costo Reporte])*(Económico!AE$41=Producción_Agricola[Unidad de Negocio])*(Económico!$E55=Producción_Agricola[Cuenta Contable])*($F$5=Producción_Agricola[Campaña])*(Producción_Agricola[Económico $Corrientes]))*(IF($F$39="Hectárea",1/AE$61,IF($F$39="Tonelada",1/AE$62,1))),0)</f>
        <v>0</v>
      </c>
      <c r="AF55" s="10">
        <f>IFERROR(SUMPRODUCT(($F$4=Producción_Agricola[C. Costo Reporte])*(Económico!AF$41=Producción_Agricola[Unidad de Negocio])*(Económico!$E55=Producción_Agricola[Cuenta Contable])*($F$5=Producción_Agricola[Campaña])*(Producción_Agricola[Económico $Corrientes]))*(IF($F$39="Hectárea",1/AF$61,IF($F$39="Tonelada",1/AF$62,1))),0)</f>
        <v>0</v>
      </c>
      <c r="AG55" s="10">
        <f>IFERROR(SUMPRODUCT(($F$4=Producción_Agricola[C. Costo Reporte])*(Económico!AG$41=Producción_Agricola[Unidad de Negocio])*(Económico!$E55=Producción_Agricola[Cuenta Contable])*($F$5=Producción_Agricola[Campaña])*(Producción_Agricola[Económico $Corrientes]))*(IF($F$39="Hectárea",1/AG$61,IF($F$39="Tonelada",1/AG$62,1))),0)</f>
        <v>0</v>
      </c>
      <c r="AH55" s="10">
        <f>IFERROR(SUMPRODUCT(($F$4=Producción_Agricola[C. Costo Reporte])*(Económico!AH$41=Producción_Agricola[Unidad de Negocio])*(Económico!$E55=Producción_Agricola[Cuenta Contable])*($F$5=Producción_Agricola[Campaña])*(Producción_Agricola[Económico $Corrientes]))*(IF($F$39="Hectárea",1/AH$61,IF($F$39="Tonelada",1/AH$62,1))),0)</f>
        <v>0</v>
      </c>
      <c r="AI55" s="10">
        <f>IFERROR(SUMPRODUCT(($F$4=Producción_Agricola[C. Costo Reporte])*(Económico!AI$41=Producción_Agricola[Unidad de Negocio])*(Económico!$E55=Producción_Agricola[Cuenta Contable])*($F$5=Producción_Agricola[Campaña])*(Producción_Agricola[Económico $Corrientes]))*(IF($F$39="Hectárea",1/AI$61,IF($F$39="Tonelada",1/AI$62,1))),0)</f>
        <v>0</v>
      </c>
      <c r="AJ55" s="10">
        <f>IFERROR(SUMPRODUCT(($F$4=Producción_Agricola[C. Costo Reporte])*(Económico!AJ$41=Producción_Agricola[Unidad de Negocio])*(Económico!$E55=Producción_Agricola[Cuenta Contable])*($F$5=Producción_Agricola[Campaña])*(Producción_Agricola[Económico $Corrientes]))*(IF($F$39="Hectárea",1/AJ$61,IF($F$39="Tonelada",1/AJ$62,1))),0)</f>
        <v>0</v>
      </c>
      <c r="AK55" s="10">
        <f>IFERROR(SUMPRODUCT(($F$4=Producción_Agricola[C. Costo Reporte])*(Económico!AK$41=Producción_Agricola[Unidad de Negocio])*(Económico!$E55=Producción_Agricola[Cuenta Contable])*($F$5=Producción_Agricola[Campaña])*(Producción_Agricola[Económico $Corrientes]))*(IF($F$39="Hectárea",1/AK$61,IF($F$39="Tonelada",1/AK$62,1))),0)</f>
        <v>0</v>
      </c>
      <c r="AL55" s="10">
        <f>IFERROR(SUMPRODUCT(($F$4=Producción_Agricola[C. Costo Reporte])*(Económico!AL$41=Producción_Agricola[Unidad de Negocio])*(Económico!$E55=Producción_Agricola[Cuenta Contable])*($F$5=Producción_Agricola[Campaña])*(Producción_Agricola[Económico $Corrientes]))*(IF($F$39="Hectárea",1/AL$61,IF($F$39="Tonelada",1/AL$62,1))),0)</f>
        <v>0</v>
      </c>
      <c r="AM55" s="10">
        <f>IFERROR(SUMPRODUCT(($F$4=Producción_Agricola[C. Costo Reporte])*(Económico!AM$41=Producción_Agricola[Unidad de Negocio])*(Económico!$E55=Producción_Agricola[Cuenta Contable])*($F$5=Producción_Agricola[Campaña])*(Producción_Agricola[Económico $Corrientes]))*(IF($F$39="Hectárea",1/AM$61,IF($F$39="Tonelada",1/AM$62,1))),0)</f>
        <v>0</v>
      </c>
      <c r="AN55" s="249" t="str">
        <f>INDEX(Produccion_Agricola_Cuentas[],MATCH(Tabla2841[[#This Row],[Cuentas Contables]],Produccion_Agricola_Cuentas[Cuenta Contable],0),3)</f>
        <v>Gasto Fijo</v>
      </c>
      <c r="AV55" s="245">
        <f>MATCH(Tabla284150[[#This Row],[Cuentas Contables]],Produccion_Agricola_Cuentas[Cuenta Contable],0)</f>
        <v>11</v>
      </c>
      <c r="AW55" s="32" t="str">
        <f>Tabla28[[#This Row],[Cuentas Contables]]</f>
        <v>Gerenciamiento</v>
      </c>
      <c r="AX55" s="10">
        <f>IFERROR(SUMPRODUCT(($F$4=Producción_Agricola[C. Costo Reporte])*(Económico!AX$41=Producción_Agricola[Unidad de Negocio])*(Económico!$E55=Producción_Agricola[Cuenta Contable])*($F$5=Producción_Agricola[Campaña])*(Producción_Agricola[Económico $Constantes]))*(IF($F$39="Hectárea",1/AX$61,IF($F$39="Tonelada",1/AX$62,1))),0)</f>
        <v>0</v>
      </c>
      <c r="AY55" s="10">
        <f>IFERROR(SUMPRODUCT(($F$4=Producción_Agricola[C. Costo Reporte])*(Económico!AY$41=Producción_Agricola[Unidad de Negocio])*(Económico!$E55=Producción_Agricola[Cuenta Contable])*($F$5=Producción_Agricola[Campaña])*(Producción_Agricola[Económico $Constantes]))*(IF($F$39="Hectárea",1/AY$61,IF($F$39="Tonelada",1/AY$62,1))),0)</f>
        <v>0</v>
      </c>
      <c r="AZ55" s="10">
        <f>IFERROR(SUMPRODUCT(($F$4=Producción_Agricola[C. Costo Reporte])*(Económico!AZ$41=Producción_Agricola[Unidad de Negocio])*(Económico!$E55=Producción_Agricola[Cuenta Contable])*($F$5=Producción_Agricola[Campaña])*(Producción_Agricola[Económico $Constantes]))*(IF($F$39="Hectárea",1/AZ$61,IF($F$39="Tonelada",1/AZ$62,1))),0)</f>
        <v>0</v>
      </c>
      <c r="BA55" s="10">
        <f>IFERROR(SUMPRODUCT(($F$4=Producción_Agricola[C. Costo Reporte])*(Económico!BA$41=Producción_Agricola[Unidad de Negocio])*(Económico!$E55=Producción_Agricola[Cuenta Contable])*($F$5=Producción_Agricola[Campaña])*(Producción_Agricola[Económico $Constantes]))*(IF($F$39="Hectárea",1/BA$61,IF($F$39="Tonelada",1/BA$62,1))),0)</f>
        <v>0</v>
      </c>
      <c r="BB55" s="10">
        <f>IFERROR(SUMPRODUCT(($F$4=Producción_Agricola[C. Costo Reporte])*(Económico!BB$41=Producción_Agricola[Unidad de Negocio])*(Económico!$E55=Producción_Agricola[Cuenta Contable])*($F$5=Producción_Agricola[Campaña])*(Producción_Agricola[Económico $Constantes]))*(IF($F$39="Hectárea",1/BB$61,IF($F$39="Tonelada",1/BB$62,1))),0)</f>
        <v>0</v>
      </c>
      <c r="BC55" s="10">
        <f>IFERROR(SUMPRODUCT(($F$4=Producción_Agricola[C. Costo Reporte])*(Económico!BC$41=Producción_Agricola[Unidad de Negocio])*(Económico!$E55=Producción_Agricola[Cuenta Contable])*($F$5=Producción_Agricola[Campaña])*(Producción_Agricola[Económico $Constantes]))*(IF($F$39="Hectárea",1/BC$61,IF($F$39="Tonelada",1/BC$62,1))),0)</f>
        <v>0</v>
      </c>
      <c r="BD55" s="10">
        <f>IFERROR(SUMPRODUCT(($F$4=Producción_Agricola[C. Costo Reporte])*(Económico!BD$41=Producción_Agricola[Unidad de Negocio])*(Económico!$E55=Producción_Agricola[Cuenta Contable])*($F$5=Producción_Agricola[Campaña])*(Producción_Agricola[Económico $Constantes]))*(IF($F$39="Hectárea",1/BD$61,IF($F$39="Tonelada",1/BD$62,1))),0)</f>
        <v>0</v>
      </c>
      <c r="BE55" s="10">
        <f>IFERROR(SUMPRODUCT(($F$4=Producción_Agricola[C. Costo Reporte])*(Económico!BE$41=Producción_Agricola[Unidad de Negocio])*(Económico!$E55=Producción_Agricola[Cuenta Contable])*($F$5=Producción_Agricola[Campaña])*(Producción_Agricola[Económico $Constantes]))*(IF($F$39="Hectárea",1/BE$61,IF($F$39="Tonelada",1/BE$62,1))),0)</f>
        <v>0</v>
      </c>
      <c r="BF55" s="10">
        <f>IFERROR(SUMPRODUCT(($F$4=Producción_Agricola[C. Costo Reporte])*(Económico!BF$41=Producción_Agricola[Unidad de Negocio])*(Económico!$E55=Producción_Agricola[Cuenta Contable])*($F$5=Producción_Agricola[Campaña])*(Producción_Agricola[Económico $Constantes]))*(IF($F$39="Hectárea",1/BF$61,IF($F$39="Tonelada",1/BF$62,1))),0)</f>
        <v>0</v>
      </c>
      <c r="BG55" s="10">
        <f>IFERROR(SUMPRODUCT(($F$4=Producción_Agricola[C. Costo Reporte])*(Económico!BG$41=Producción_Agricola[Unidad de Negocio])*(Económico!$E55=Producción_Agricola[Cuenta Contable])*($F$5=Producción_Agricola[Campaña])*(Producción_Agricola[Económico $Constantes]))*(IF($F$39="Hectárea",1/BG$61,IF($F$39="Tonelada",1/BG$62,1))),0)</f>
        <v>0</v>
      </c>
      <c r="BH55" s="10">
        <f>IFERROR(SUMPRODUCT(($F$4=Producción_Agricola[C. Costo Reporte])*(Económico!BH$41=Producción_Agricola[Unidad de Negocio])*(Económico!$E55=Producción_Agricola[Cuenta Contable])*($F$5=Producción_Agricola[Campaña])*(Producción_Agricola[Económico $Constantes]))*(IF($F$39="Hectárea",1/BH$61,IF($F$39="Tonelada",1/BH$62,1))),0)</f>
        <v>0</v>
      </c>
      <c r="BI55" s="10">
        <f>IFERROR(SUMPRODUCT(($F$4=Producción_Agricola[C. Costo Reporte])*(Económico!BI$41=Producción_Agricola[Unidad de Negocio])*(Económico!$E55=Producción_Agricola[Cuenta Contable])*($F$5=Producción_Agricola[Campaña])*(Producción_Agricola[Económico $Constantes]))*(IF($F$39="Hectárea",1/BI$61,IF($F$39="Tonelada",1/BI$62,1))),0)</f>
        <v>0</v>
      </c>
      <c r="BJ55" s="249" t="str">
        <f>INDEX(Produccion_Agricola_Cuentas[],MATCH(Tabla284150[[#This Row],[Cuentas Contables]],Produccion_Agricola_Cuentas[Cuenta Contable],0),3)</f>
        <v>Gasto Fijo</v>
      </c>
    </row>
    <row r="56" spans="2:62" x14ac:dyDescent="0.25">
      <c r="D56" s="245">
        <f>MATCH(Tabla28[[#This Row],[Cuentas Contables]],Produccion_Agricola_Cuentas[Cuenta Contable],0)</f>
        <v>13</v>
      </c>
      <c r="E56" s="116" t="str">
        <f>Configuración!P17</f>
        <v>Arrendamiento</v>
      </c>
      <c r="F56" s="10">
        <f>IFERROR(SUMPRODUCT(($F$4=Producción_Agricola[C. Costo Reporte])*(Económico!F$41=Producción_Agricola[Unidad de Negocio])*(Económico!$E56=Producción_Agricola[Cuenta Contable])*($F$5=Producción_Agricola[Campaña])*(Producción_Agricola[Económico U$S Dólares]))*(IF($F$39="Hectárea",1/F$61,IF($F$39="Tonelada",1/F$62,1))),0)</f>
        <v>0</v>
      </c>
      <c r="G56" s="10">
        <f>IFERROR(SUMPRODUCT(($F$4=Producción_Agricola[C. Costo Reporte])*(Económico!G$41=Producción_Agricola[Unidad de Negocio])*(Económico!$E56=Producción_Agricola[Cuenta Contable])*($F$5=Producción_Agricola[Campaña])*(Producción_Agricola[Económico U$S Dólares]))*(IF($F$39="Hectárea",1/G$61,IF($F$39="Tonelada",1/G$62,1))),0)</f>
        <v>0</v>
      </c>
      <c r="H56" s="10">
        <f>IFERROR(SUMPRODUCT(($F$4=Producción_Agricola[C. Costo Reporte])*(Económico!H$41=Producción_Agricola[Unidad de Negocio])*(Económico!$E56=Producción_Agricola[Cuenta Contable])*($F$5=Producción_Agricola[Campaña])*(Producción_Agricola[Económico U$S Dólares]))*(IF($F$39="Hectárea",1/H$61,IF($F$39="Tonelada",1/H$62,1))),0)</f>
        <v>0</v>
      </c>
      <c r="I56" s="10">
        <f>IFERROR(SUMPRODUCT(($F$4=Producción_Agricola[C. Costo Reporte])*(Económico!I$41=Producción_Agricola[Unidad de Negocio])*(Económico!$E56=Producción_Agricola[Cuenta Contable])*($F$5=Producción_Agricola[Campaña])*(Producción_Agricola[Económico U$S Dólares]))*(IF($F$39="Hectárea",1/I$61,IF($F$39="Tonelada",1/I$62,1))),0)</f>
        <v>0</v>
      </c>
      <c r="J56" s="10">
        <f>IFERROR(SUMPRODUCT(($F$4=Producción_Agricola[C. Costo Reporte])*(Económico!J$41=Producción_Agricola[Unidad de Negocio])*(Económico!$E56=Producción_Agricola[Cuenta Contable])*($F$5=Producción_Agricola[Campaña])*(Producción_Agricola[Económico U$S Dólares]))*(IF($F$39="Hectárea",1/J$61,IF($F$39="Tonelada",1/J$62,1))),0)</f>
        <v>0</v>
      </c>
      <c r="K56" s="10">
        <f>IFERROR(SUMPRODUCT(($F$4=Producción_Agricola[C. Costo Reporte])*(Económico!K$41=Producción_Agricola[Unidad de Negocio])*(Económico!$E56=Producción_Agricola[Cuenta Contable])*($F$5=Producción_Agricola[Campaña])*(Producción_Agricola[Económico U$S Dólares]))*(IF($F$39="Hectárea",1/K$61,IF($F$39="Tonelada",1/K$62,1))),0)</f>
        <v>0</v>
      </c>
      <c r="L56" s="10">
        <f>IFERROR(SUMPRODUCT(($F$4=Producción_Agricola[C. Costo Reporte])*(Económico!L$41=Producción_Agricola[Unidad de Negocio])*(Económico!$E56=Producción_Agricola[Cuenta Contable])*($F$5=Producción_Agricola[Campaña])*(Producción_Agricola[Económico U$S Dólares]))*(IF($F$39="Hectárea",1/L$61,IF($F$39="Tonelada",1/L$62,1))),0)</f>
        <v>0</v>
      </c>
      <c r="M56" s="10">
        <f>IFERROR(SUMPRODUCT(($F$4=Producción_Agricola[C. Costo Reporte])*(Económico!M$41=Producción_Agricola[Unidad de Negocio])*(Económico!$E56=Producción_Agricola[Cuenta Contable])*($F$5=Producción_Agricola[Campaña])*(Producción_Agricola[Económico U$S Dólares]))*(IF($F$39="Hectárea",1/M$61,IF($F$39="Tonelada",1/M$62,1))),0)</f>
        <v>0</v>
      </c>
      <c r="N56" s="10">
        <f>IFERROR(SUMPRODUCT(($F$4=Producción_Agricola[C. Costo Reporte])*(Económico!N$41=Producción_Agricola[Unidad de Negocio])*(Económico!$E56=Producción_Agricola[Cuenta Contable])*($F$5=Producción_Agricola[Campaña])*(Producción_Agricola[Económico U$S Dólares]))*(IF($F$39="Hectárea",1/N$61,IF($F$39="Tonelada",1/N$62,1))),0)</f>
        <v>0</v>
      </c>
      <c r="O56" s="10">
        <f>IFERROR(SUMPRODUCT(($F$4=Producción_Agricola[C. Costo Reporte])*(Económico!O$41=Producción_Agricola[Unidad de Negocio])*(Económico!$E56=Producción_Agricola[Cuenta Contable])*($F$5=Producción_Agricola[Campaña])*(Producción_Agricola[Económico U$S Dólares]))*(IF($F$39="Hectárea",1/O$61,IF($F$39="Tonelada",1/O$62,1))),0)</f>
        <v>0</v>
      </c>
      <c r="P56" s="10">
        <f>IFERROR(SUMPRODUCT(($F$4=Producción_Agricola[C. Costo Reporte])*(Económico!P$41=Producción_Agricola[Unidad de Negocio])*(Económico!$E56=Producción_Agricola[Cuenta Contable])*($F$5=Producción_Agricola[Campaña])*(Producción_Agricola[Económico U$S Dólares]))*(IF($F$39="Hectárea",1/P$61,IF($F$39="Tonelada",1/P$62,1))),0)</f>
        <v>0</v>
      </c>
      <c r="Q56" s="10">
        <f>IFERROR(SUMPRODUCT(($F$4=Producción_Agricola[C. Costo Reporte])*(Económico!Q$41=Producción_Agricola[Unidad de Negocio])*(Económico!$E56=Producción_Agricola[Cuenta Contable])*($F$5=Producción_Agricola[Campaña])*(Producción_Agricola[Económico U$S Dólares]))*(IF($F$39="Hectárea",1/Q$61,IF($F$39="Tonelada",1/Q$62,1))),0)</f>
        <v>0</v>
      </c>
      <c r="R56" s="249" t="str">
        <f>INDEX(Produccion_Agricola_Cuentas[],MATCH(Tabla28[[#This Row],[Cuentas Contables]],Produccion_Agricola_Cuentas[Cuenta Contable],0),3)</f>
        <v>Gasto Fijo</v>
      </c>
      <c r="Z56" s="245">
        <f>MATCH(Tabla2841[[#This Row],[Cuentas Contables]],Produccion_Agricola_Cuentas[Cuenta Contable],0)</f>
        <v>13</v>
      </c>
      <c r="AA56" s="32" t="str">
        <f>Tabla28[[#This Row],[Cuentas Contables]]</f>
        <v>Arrendamiento</v>
      </c>
      <c r="AB56" s="10">
        <f>IFERROR(SUMPRODUCT(($F$4=Producción_Agricola[C. Costo Reporte])*(Económico!AB$41=Producción_Agricola[Unidad de Negocio])*(Económico!$E56=Producción_Agricola[Cuenta Contable])*($F$5=Producción_Agricola[Campaña])*(Producción_Agricola[Económico $Corrientes]))*(IF($F$39="Hectárea",1/AB$61,IF($F$39="Tonelada",1/AB$62,1))),0)</f>
        <v>0</v>
      </c>
      <c r="AC56" s="10">
        <f>IFERROR(SUMPRODUCT(($F$4=Producción_Agricola[C. Costo Reporte])*(Económico!AC$41=Producción_Agricola[Unidad de Negocio])*(Económico!$E56=Producción_Agricola[Cuenta Contable])*($F$5=Producción_Agricola[Campaña])*(Producción_Agricola[Económico $Corrientes]))*(IF($F$39="Hectárea",1/AC$61,IF($F$39="Tonelada",1/AC$62,1))),0)</f>
        <v>0</v>
      </c>
      <c r="AD56" s="10">
        <f>IFERROR(SUMPRODUCT(($F$4=Producción_Agricola[C. Costo Reporte])*(Económico!AD$41=Producción_Agricola[Unidad de Negocio])*(Económico!$E56=Producción_Agricola[Cuenta Contable])*($F$5=Producción_Agricola[Campaña])*(Producción_Agricola[Económico $Corrientes]))*(IF($F$39="Hectárea",1/AD$61,IF($F$39="Tonelada",1/AD$62,1))),0)</f>
        <v>0</v>
      </c>
      <c r="AE56" s="10">
        <f>IFERROR(SUMPRODUCT(($F$4=Producción_Agricola[C. Costo Reporte])*(Económico!AE$41=Producción_Agricola[Unidad de Negocio])*(Económico!$E56=Producción_Agricola[Cuenta Contable])*($F$5=Producción_Agricola[Campaña])*(Producción_Agricola[Económico $Corrientes]))*(IF($F$39="Hectárea",1/AE$61,IF($F$39="Tonelada",1/AE$62,1))),0)</f>
        <v>0</v>
      </c>
      <c r="AF56" s="10">
        <f>IFERROR(SUMPRODUCT(($F$4=Producción_Agricola[C. Costo Reporte])*(Económico!AF$41=Producción_Agricola[Unidad de Negocio])*(Económico!$E56=Producción_Agricola[Cuenta Contable])*($F$5=Producción_Agricola[Campaña])*(Producción_Agricola[Económico $Corrientes]))*(IF($F$39="Hectárea",1/AF$61,IF($F$39="Tonelada",1/AF$62,1))),0)</f>
        <v>0</v>
      </c>
      <c r="AG56" s="10">
        <f>IFERROR(SUMPRODUCT(($F$4=Producción_Agricola[C. Costo Reporte])*(Económico!AG$41=Producción_Agricola[Unidad de Negocio])*(Económico!$E56=Producción_Agricola[Cuenta Contable])*($F$5=Producción_Agricola[Campaña])*(Producción_Agricola[Económico $Corrientes]))*(IF($F$39="Hectárea",1/AG$61,IF($F$39="Tonelada",1/AG$62,1))),0)</f>
        <v>0</v>
      </c>
      <c r="AH56" s="10">
        <f>IFERROR(SUMPRODUCT(($F$4=Producción_Agricola[C. Costo Reporte])*(Económico!AH$41=Producción_Agricola[Unidad de Negocio])*(Económico!$E56=Producción_Agricola[Cuenta Contable])*($F$5=Producción_Agricola[Campaña])*(Producción_Agricola[Económico $Corrientes]))*(IF($F$39="Hectárea",1/AH$61,IF($F$39="Tonelada",1/AH$62,1))),0)</f>
        <v>0</v>
      </c>
      <c r="AI56" s="10">
        <f>IFERROR(SUMPRODUCT(($F$4=Producción_Agricola[C. Costo Reporte])*(Económico!AI$41=Producción_Agricola[Unidad de Negocio])*(Económico!$E56=Producción_Agricola[Cuenta Contable])*($F$5=Producción_Agricola[Campaña])*(Producción_Agricola[Económico $Corrientes]))*(IF($F$39="Hectárea",1/AI$61,IF($F$39="Tonelada",1/AI$62,1))),0)</f>
        <v>0</v>
      </c>
      <c r="AJ56" s="10">
        <f>IFERROR(SUMPRODUCT(($F$4=Producción_Agricola[C. Costo Reporte])*(Económico!AJ$41=Producción_Agricola[Unidad de Negocio])*(Económico!$E56=Producción_Agricola[Cuenta Contable])*($F$5=Producción_Agricola[Campaña])*(Producción_Agricola[Económico $Corrientes]))*(IF($F$39="Hectárea",1/AJ$61,IF($F$39="Tonelada",1/AJ$62,1))),0)</f>
        <v>0</v>
      </c>
      <c r="AK56" s="10">
        <f>IFERROR(SUMPRODUCT(($F$4=Producción_Agricola[C. Costo Reporte])*(Económico!AK$41=Producción_Agricola[Unidad de Negocio])*(Económico!$E56=Producción_Agricola[Cuenta Contable])*($F$5=Producción_Agricola[Campaña])*(Producción_Agricola[Económico $Corrientes]))*(IF($F$39="Hectárea",1/AK$61,IF($F$39="Tonelada",1/AK$62,1))),0)</f>
        <v>0</v>
      </c>
      <c r="AL56" s="10">
        <f>IFERROR(SUMPRODUCT(($F$4=Producción_Agricola[C. Costo Reporte])*(Económico!AL$41=Producción_Agricola[Unidad de Negocio])*(Económico!$E56=Producción_Agricola[Cuenta Contable])*($F$5=Producción_Agricola[Campaña])*(Producción_Agricola[Económico $Corrientes]))*(IF($F$39="Hectárea",1/AL$61,IF($F$39="Tonelada",1/AL$62,1))),0)</f>
        <v>0</v>
      </c>
      <c r="AM56" s="10">
        <f>IFERROR(SUMPRODUCT(($F$4=Producción_Agricola[C. Costo Reporte])*(Económico!AM$41=Producción_Agricola[Unidad de Negocio])*(Económico!$E56=Producción_Agricola[Cuenta Contable])*($F$5=Producción_Agricola[Campaña])*(Producción_Agricola[Económico $Corrientes]))*(IF($F$39="Hectárea",1/AM$61,IF($F$39="Tonelada",1/AM$62,1))),0)</f>
        <v>0</v>
      </c>
      <c r="AN56" s="249" t="str">
        <f>INDEX(Produccion_Agricola_Cuentas[],MATCH(Tabla2841[[#This Row],[Cuentas Contables]],Produccion_Agricola_Cuentas[Cuenta Contable],0),3)</f>
        <v>Gasto Fijo</v>
      </c>
      <c r="AV56" s="245">
        <f>MATCH(Tabla284150[[#This Row],[Cuentas Contables]],Produccion_Agricola_Cuentas[Cuenta Contable],0)</f>
        <v>13</v>
      </c>
      <c r="AW56" s="32" t="str">
        <f>Tabla28[[#This Row],[Cuentas Contables]]</f>
        <v>Arrendamiento</v>
      </c>
      <c r="AX56" s="10">
        <f>IFERROR(SUMPRODUCT(($F$4=Producción_Agricola[C. Costo Reporte])*(Económico!AX$41=Producción_Agricola[Unidad de Negocio])*(Económico!$E56=Producción_Agricola[Cuenta Contable])*($F$5=Producción_Agricola[Campaña])*(Producción_Agricola[Económico $Constantes]))*(IF($F$39="Hectárea",1/AX$61,IF($F$39="Tonelada",1/AX$62,1))),0)</f>
        <v>0</v>
      </c>
      <c r="AY56" s="10">
        <f>IFERROR(SUMPRODUCT(($F$4=Producción_Agricola[C. Costo Reporte])*(Económico!AY$41=Producción_Agricola[Unidad de Negocio])*(Económico!$E56=Producción_Agricola[Cuenta Contable])*($F$5=Producción_Agricola[Campaña])*(Producción_Agricola[Económico $Constantes]))*(IF($F$39="Hectárea",1/AY$61,IF($F$39="Tonelada",1/AY$62,1))),0)</f>
        <v>0</v>
      </c>
      <c r="AZ56" s="10">
        <f>IFERROR(SUMPRODUCT(($F$4=Producción_Agricola[C. Costo Reporte])*(Económico!AZ$41=Producción_Agricola[Unidad de Negocio])*(Económico!$E56=Producción_Agricola[Cuenta Contable])*($F$5=Producción_Agricola[Campaña])*(Producción_Agricola[Económico $Constantes]))*(IF($F$39="Hectárea",1/AZ$61,IF($F$39="Tonelada",1/AZ$62,1))),0)</f>
        <v>0</v>
      </c>
      <c r="BA56" s="10">
        <f>IFERROR(SUMPRODUCT(($F$4=Producción_Agricola[C. Costo Reporte])*(Económico!BA$41=Producción_Agricola[Unidad de Negocio])*(Económico!$E56=Producción_Agricola[Cuenta Contable])*($F$5=Producción_Agricola[Campaña])*(Producción_Agricola[Económico $Constantes]))*(IF($F$39="Hectárea",1/BA$61,IF($F$39="Tonelada",1/BA$62,1))),0)</f>
        <v>0</v>
      </c>
      <c r="BB56" s="10">
        <f>IFERROR(SUMPRODUCT(($F$4=Producción_Agricola[C. Costo Reporte])*(Económico!BB$41=Producción_Agricola[Unidad de Negocio])*(Económico!$E56=Producción_Agricola[Cuenta Contable])*($F$5=Producción_Agricola[Campaña])*(Producción_Agricola[Económico $Constantes]))*(IF($F$39="Hectárea",1/BB$61,IF($F$39="Tonelada",1/BB$62,1))),0)</f>
        <v>0</v>
      </c>
      <c r="BC56" s="10">
        <f>IFERROR(SUMPRODUCT(($F$4=Producción_Agricola[C. Costo Reporte])*(Económico!BC$41=Producción_Agricola[Unidad de Negocio])*(Económico!$E56=Producción_Agricola[Cuenta Contable])*($F$5=Producción_Agricola[Campaña])*(Producción_Agricola[Económico $Constantes]))*(IF($F$39="Hectárea",1/BC$61,IF($F$39="Tonelada",1/BC$62,1))),0)</f>
        <v>0</v>
      </c>
      <c r="BD56" s="10">
        <f>IFERROR(SUMPRODUCT(($F$4=Producción_Agricola[C. Costo Reporte])*(Económico!BD$41=Producción_Agricola[Unidad de Negocio])*(Económico!$E56=Producción_Agricola[Cuenta Contable])*($F$5=Producción_Agricola[Campaña])*(Producción_Agricola[Económico $Constantes]))*(IF($F$39="Hectárea",1/BD$61,IF($F$39="Tonelada",1/BD$62,1))),0)</f>
        <v>0</v>
      </c>
      <c r="BE56" s="10">
        <f>IFERROR(SUMPRODUCT(($F$4=Producción_Agricola[C. Costo Reporte])*(Económico!BE$41=Producción_Agricola[Unidad de Negocio])*(Económico!$E56=Producción_Agricola[Cuenta Contable])*($F$5=Producción_Agricola[Campaña])*(Producción_Agricola[Económico $Constantes]))*(IF($F$39="Hectárea",1/BE$61,IF($F$39="Tonelada",1/BE$62,1))),0)</f>
        <v>0</v>
      </c>
      <c r="BF56" s="10">
        <f>IFERROR(SUMPRODUCT(($F$4=Producción_Agricola[C. Costo Reporte])*(Económico!BF$41=Producción_Agricola[Unidad de Negocio])*(Económico!$E56=Producción_Agricola[Cuenta Contable])*($F$5=Producción_Agricola[Campaña])*(Producción_Agricola[Económico $Constantes]))*(IF($F$39="Hectárea",1/BF$61,IF($F$39="Tonelada",1/BF$62,1))),0)</f>
        <v>0</v>
      </c>
      <c r="BG56" s="10">
        <f>IFERROR(SUMPRODUCT(($F$4=Producción_Agricola[C. Costo Reporte])*(Económico!BG$41=Producción_Agricola[Unidad de Negocio])*(Económico!$E56=Producción_Agricola[Cuenta Contable])*($F$5=Producción_Agricola[Campaña])*(Producción_Agricola[Económico $Constantes]))*(IF($F$39="Hectárea",1/BG$61,IF($F$39="Tonelada",1/BG$62,1))),0)</f>
        <v>0</v>
      </c>
      <c r="BH56" s="10">
        <f>IFERROR(SUMPRODUCT(($F$4=Producción_Agricola[C. Costo Reporte])*(Económico!BH$41=Producción_Agricola[Unidad de Negocio])*(Económico!$E56=Producción_Agricola[Cuenta Contable])*($F$5=Producción_Agricola[Campaña])*(Producción_Agricola[Económico $Constantes]))*(IF($F$39="Hectárea",1/BH$61,IF($F$39="Tonelada",1/BH$62,1))),0)</f>
        <v>0</v>
      </c>
      <c r="BI56" s="10">
        <f>IFERROR(SUMPRODUCT(($F$4=Producción_Agricola[C. Costo Reporte])*(Económico!BI$41=Producción_Agricola[Unidad de Negocio])*(Económico!$E56=Producción_Agricola[Cuenta Contable])*($F$5=Producción_Agricola[Campaña])*(Producción_Agricola[Económico $Constantes]))*(IF($F$39="Hectárea",1/BI$61,IF($F$39="Tonelada",1/BI$62,1))),0)</f>
        <v>0</v>
      </c>
      <c r="BJ56" s="249" t="str">
        <f>INDEX(Produccion_Agricola_Cuentas[],MATCH(Tabla284150[[#This Row],[Cuentas Contables]],Produccion_Agricola_Cuentas[Cuenta Contable],0),3)</f>
        <v>Gasto Fijo</v>
      </c>
    </row>
    <row r="57" spans="2:62" x14ac:dyDescent="0.25">
      <c r="B57" s="406"/>
      <c r="D57" s="245">
        <f>MATCH(Tabla28[[#This Row],[Cuentas Contables]],Produccion_Agricola_Cuentas[Cuenta Contable],0)</f>
        <v>14</v>
      </c>
      <c r="E57" s="116" t="str">
        <f>Configuración!P18</f>
        <v>Costo Oportunidad Tierra</v>
      </c>
      <c r="F57" s="10">
        <f>IFERROR(SUMPRODUCT(($F$4=Producción_Agricola[C. Costo Reporte])*(Económico!F$41=Producción_Agricola[Unidad de Negocio])*(Económico!$E57=Producción_Agricola[Cuenta Contable])*($F$5=Producción_Agricola[Campaña])*(Producción_Agricola[Económico U$S Dólares]))*(IF($F$39="Hectárea",1/F$61,IF($F$39="Tonelada",1/F$62,1))),0)</f>
        <v>0</v>
      </c>
      <c r="G57" s="10">
        <f>IFERROR(SUMPRODUCT(($F$4=Producción_Agricola[C. Costo Reporte])*(Económico!G$41=Producción_Agricola[Unidad de Negocio])*(Económico!$E57=Producción_Agricola[Cuenta Contable])*($F$5=Producción_Agricola[Campaña])*(Producción_Agricola[Económico U$S Dólares]))*(IF($F$39="Hectárea",1/G$61,IF($F$39="Tonelada",1/G$62,1))),0)</f>
        <v>0</v>
      </c>
      <c r="H57" s="10">
        <f>IFERROR(SUMPRODUCT(($F$4=Producción_Agricola[C. Costo Reporte])*(Económico!H$41=Producción_Agricola[Unidad de Negocio])*(Económico!$E57=Producción_Agricola[Cuenta Contable])*($F$5=Producción_Agricola[Campaña])*(Producción_Agricola[Económico U$S Dólares]))*(IF($F$39="Hectárea",1/H$61,IF($F$39="Tonelada",1/H$62,1))),0)</f>
        <v>0</v>
      </c>
      <c r="I57" s="10">
        <f>IFERROR(SUMPRODUCT(($F$4=Producción_Agricola[C. Costo Reporte])*(Económico!I$41=Producción_Agricola[Unidad de Negocio])*(Económico!$E57=Producción_Agricola[Cuenta Contable])*($F$5=Producción_Agricola[Campaña])*(Producción_Agricola[Económico U$S Dólares]))*(IF($F$39="Hectárea",1/I$61,IF($F$39="Tonelada",1/I$62,1))),0)</f>
        <v>0</v>
      </c>
      <c r="J57" s="10">
        <f>IFERROR(SUMPRODUCT(($F$4=Producción_Agricola[C. Costo Reporte])*(Económico!J$41=Producción_Agricola[Unidad de Negocio])*(Económico!$E57=Producción_Agricola[Cuenta Contable])*($F$5=Producción_Agricola[Campaña])*(Producción_Agricola[Económico U$S Dólares]))*(IF($F$39="Hectárea",1/J$61,IF($F$39="Tonelada",1/J$62,1))),0)</f>
        <v>0</v>
      </c>
      <c r="K57" s="10">
        <f>IFERROR(SUMPRODUCT(($F$4=Producción_Agricola[C. Costo Reporte])*(Económico!K$41=Producción_Agricola[Unidad de Negocio])*(Económico!$E57=Producción_Agricola[Cuenta Contable])*($F$5=Producción_Agricola[Campaña])*(Producción_Agricola[Económico U$S Dólares]))*(IF($F$39="Hectárea",1/K$61,IF($F$39="Tonelada",1/K$62,1))),0)</f>
        <v>0</v>
      </c>
      <c r="L57" s="10">
        <f>IFERROR(SUMPRODUCT(($F$4=Producción_Agricola[C. Costo Reporte])*(Económico!L$41=Producción_Agricola[Unidad de Negocio])*(Económico!$E57=Producción_Agricola[Cuenta Contable])*($F$5=Producción_Agricola[Campaña])*(Producción_Agricola[Económico U$S Dólares]))*(IF($F$39="Hectárea",1/L$61,IF($F$39="Tonelada",1/L$62,1))),0)</f>
        <v>0</v>
      </c>
      <c r="M57" s="10">
        <f>IFERROR(SUMPRODUCT(($F$4=Producción_Agricola[C. Costo Reporte])*(Económico!M$41=Producción_Agricola[Unidad de Negocio])*(Económico!$E57=Producción_Agricola[Cuenta Contable])*($F$5=Producción_Agricola[Campaña])*(Producción_Agricola[Económico U$S Dólares]))*(IF($F$39="Hectárea",1/M$61,IF($F$39="Tonelada",1/M$62,1))),0)</f>
        <v>0</v>
      </c>
      <c r="N57" s="10">
        <f>IFERROR(SUMPRODUCT(($F$4=Producción_Agricola[C. Costo Reporte])*(Económico!N$41=Producción_Agricola[Unidad de Negocio])*(Económico!$E57=Producción_Agricola[Cuenta Contable])*($F$5=Producción_Agricola[Campaña])*(Producción_Agricola[Económico U$S Dólares]))*(IF($F$39="Hectárea",1/N$61,IF($F$39="Tonelada",1/N$62,1))),0)</f>
        <v>0</v>
      </c>
      <c r="O57" s="10">
        <f>IFERROR(SUMPRODUCT(($F$4=Producción_Agricola[C. Costo Reporte])*(Económico!O$41=Producción_Agricola[Unidad de Negocio])*(Económico!$E57=Producción_Agricola[Cuenta Contable])*($F$5=Producción_Agricola[Campaña])*(Producción_Agricola[Económico U$S Dólares]))*(IF($F$39="Hectárea",1/O$61,IF($F$39="Tonelada",1/O$62,1))),0)</f>
        <v>0</v>
      </c>
      <c r="P57" s="10">
        <f>IFERROR(SUMPRODUCT(($F$4=Producción_Agricola[C. Costo Reporte])*(Económico!P$41=Producción_Agricola[Unidad de Negocio])*(Económico!$E57=Producción_Agricola[Cuenta Contable])*($F$5=Producción_Agricola[Campaña])*(Producción_Agricola[Económico U$S Dólares]))*(IF($F$39="Hectárea",1/P$61,IF($F$39="Tonelada",1/P$62,1))),0)</f>
        <v>0</v>
      </c>
      <c r="Q57" s="10">
        <f>IFERROR(SUMPRODUCT(($F$4=Producción_Agricola[C. Costo Reporte])*(Económico!Q$41=Producción_Agricola[Unidad de Negocio])*(Económico!$E57=Producción_Agricola[Cuenta Contable])*($F$5=Producción_Agricola[Campaña])*(Producción_Agricola[Económico U$S Dólares]))*(IF($F$39="Hectárea",1/Q$61,IF($F$39="Tonelada",1/Q$62,1))),0)</f>
        <v>0</v>
      </c>
      <c r="R57" s="249" t="str">
        <f>INDEX(Produccion_Agricola_Cuentas[],MATCH(Tabla28[[#This Row],[Cuentas Contables]],Produccion_Agricola_Cuentas[Cuenta Contable],0),3)</f>
        <v>Gasto Fijo</v>
      </c>
      <c r="Z57" s="245">
        <f>MATCH(Tabla2841[[#This Row],[Cuentas Contables]],Produccion_Agricola_Cuentas[Cuenta Contable],0)</f>
        <v>14</v>
      </c>
      <c r="AA57" s="32" t="str">
        <f>Tabla28[[#This Row],[Cuentas Contables]]</f>
        <v>Costo Oportunidad Tierra</v>
      </c>
      <c r="AB57" s="10">
        <f>IFERROR(SUMPRODUCT(($F$4=Producción_Agricola[C. Costo Reporte])*(Económico!AB$41=Producción_Agricola[Unidad de Negocio])*(Económico!$E57=Producción_Agricola[Cuenta Contable])*($F$5=Producción_Agricola[Campaña])*(Producción_Agricola[Económico $Corrientes]))*(IF($F$39="Hectárea",1/AB$61,IF($F$39="Tonelada",1/AB$62,1))),0)</f>
        <v>0</v>
      </c>
      <c r="AC57" s="10">
        <f>IFERROR(SUMPRODUCT(($F$4=Producción_Agricola[C. Costo Reporte])*(Económico!AC$41=Producción_Agricola[Unidad de Negocio])*(Económico!$E57=Producción_Agricola[Cuenta Contable])*($F$5=Producción_Agricola[Campaña])*(Producción_Agricola[Económico $Corrientes]))*(IF($F$39="Hectárea",1/AC$61,IF($F$39="Tonelada",1/AC$62,1))),0)</f>
        <v>0</v>
      </c>
      <c r="AD57" s="10">
        <f>IFERROR(SUMPRODUCT(($F$4=Producción_Agricola[C. Costo Reporte])*(Económico!AD$41=Producción_Agricola[Unidad de Negocio])*(Económico!$E57=Producción_Agricola[Cuenta Contable])*($F$5=Producción_Agricola[Campaña])*(Producción_Agricola[Económico $Corrientes]))*(IF($F$39="Hectárea",1/AD$61,IF($F$39="Tonelada",1/AD$62,1))),0)</f>
        <v>0</v>
      </c>
      <c r="AE57" s="10">
        <f>IFERROR(SUMPRODUCT(($F$4=Producción_Agricola[C. Costo Reporte])*(Económico!AE$41=Producción_Agricola[Unidad de Negocio])*(Económico!$E57=Producción_Agricola[Cuenta Contable])*($F$5=Producción_Agricola[Campaña])*(Producción_Agricola[Económico $Corrientes]))*(IF($F$39="Hectárea",1/AE$61,IF($F$39="Tonelada",1/AE$62,1))),0)</f>
        <v>0</v>
      </c>
      <c r="AF57" s="10">
        <f>IFERROR(SUMPRODUCT(($F$4=Producción_Agricola[C. Costo Reporte])*(Económico!AF$41=Producción_Agricola[Unidad de Negocio])*(Económico!$E57=Producción_Agricola[Cuenta Contable])*($F$5=Producción_Agricola[Campaña])*(Producción_Agricola[Económico $Corrientes]))*(IF($F$39="Hectárea",1/AF$61,IF($F$39="Tonelada",1/AF$62,1))),0)</f>
        <v>0</v>
      </c>
      <c r="AG57" s="10">
        <f>IFERROR(SUMPRODUCT(($F$4=Producción_Agricola[C. Costo Reporte])*(Económico!AG$41=Producción_Agricola[Unidad de Negocio])*(Económico!$E57=Producción_Agricola[Cuenta Contable])*($F$5=Producción_Agricola[Campaña])*(Producción_Agricola[Económico $Corrientes]))*(IF($F$39="Hectárea",1/AG$61,IF($F$39="Tonelada",1/AG$62,1))),0)</f>
        <v>0</v>
      </c>
      <c r="AH57" s="10">
        <f>IFERROR(SUMPRODUCT(($F$4=Producción_Agricola[C. Costo Reporte])*(Económico!AH$41=Producción_Agricola[Unidad de Negocio])*(Económico!$E57=Producción_Agricola[Cuenta Contable])*($F$5=Producción_Agricola[Campaña])*(Producción_Agricola[Económico $Corrientes]))*(IF($F$39="Hectárea",1/AH$61,IF($F$39="Tonelada",1/AH$62,1))),0)</f>
        <v>0</v>
      </c>
      <c r="AI57" s="10">
        <f>IFERROR(SUMPRODUCT(($F$4=Producción_Agricola[C. Costo Reporte])*(Económico!AI$41=Producción_Agricola[Unidad de Negocio])*(Económico!$E57=Producción_Agricola[Cuenta Contable])*($F$5=Producción_Agricola[Campaña])*(Producción_Agricola[Económico $Corrientes]))*(IF($F$39="Hectárea",1/AI$61,IF($F$39="Tonelada",1/AI$62,1))),0)</f>
        <v>0</v>
      </c>
      <c r="AJ57" s="10">
        <f>IFERROR(SUMPRODUCT(($F$4=Producción_Agricola[C. Costo Reporte])*(Económico!AJ$41=Producción_Agricola[Unidad de Negocio])*(Económico!$E57=Producción_Agricola[Cuenta Contable])*($F$5=Producción_Agricola[Campaña])*(Producción_Agricola[Económico $Corrientes]))*(IF($F$39="Hectárea",1/AJ$61,IF($F$39="Tonelada",1/AJ$62,1))),0)</f>
        <v>0</v>
      </c>
      <c r="AK57" s="10">
        <f>IFERROR(SUMPRODUCT(($F$4=Producción_Agricola[C. Costo Reporte])*(Económico!AK$41=Producción_Agricola[Unidad de Negocio])*(Económico!$E57=Producción_Agricola[Cuenta Contable])*($F$5=Producción_Agricola[Campaña])*(Producción_Agricola[Económico $Corrientes]))*(IF($F$39="Hectárea",1/AK$61,IF($F$39="Tonelada",1/AK$62,1))),0)</f>
        <v>0</v>
      </c>
      <c r="AL57" s="10">
        <f>IFERROR(SUMPRODUCT(($F$4=Producción_Agricola[C. Costo Reporte])*(Económico!AL$41=Producción_Agricola[Unidad de Negocio])*(Económico!$E57=Producción_Agricola[Cuenta Contable])*($F$5=Producción_Agricola[Campaña])*(Producción_Agricola[Económico $Corrientes]))*(IF($F$39="Hectárea",1/AL$61,IF($F$39="Tonelada",1/AL$62,1))),0)</f>
        <v>0</v>
      </c>
      <c r="AM57" s="10">
        <f>IFERROR(SUMPRODUCT(($F$4=Producción_Agricola[C. Costo Reporte])*(Económico!AM$41=Producción_Agricola[Unidad de Negocio])*(Económico!$E57=Producción_Agricola[Cuenta Contable])*($F$5=Producción_Agricola[Campaña])*(Producción_Agricola[Económico $Corrientes]))*(IF($F$39="Hectárea",1/AM$61,IF($F$39="Tonelada",1/AM$62,1))),0)</f>
        <v>0</v>
      </c>
      <c r="AN57" s="249" t="str">
        <f>INDEX(Produccion_Agricola_Cuentas[],MATCH(Tabla2841[[#This Row],[Cuentas Contables]],Produccion_Agricola_Cuentas[Cuenta Contable],0),3)</f>
        <v>Gasto Fijo</v>
      </c>
      <c r="AV57" s="245">
        <f>MATCH(Tabla284150[[#This Row],[Cuentas Contables]],Produccion_Agricola_Cuentas[Cuenta Contable],0)</f>
        <v>14</v>
      </c>
      <c r="AW57" s="32" t="str">
        <f>Tabla28[[#This Row],[Cuentas Contables]]</f>
        <v>Costo Oportunidad Tierra</v>
      </c>
      <c r="AX57" s="10">
        <f>IFERROR(SUMPRODUCT(($F$4=Producción_Agricola[C. Costo Reporte])*(Económico!AX$41=Producción_Agricola[Unidad de Negocio])*(Económico!$E57=Producción_Agricola[Cuenta Contable])*($F$5=Producción_Agricola[Campaña])*(Producción_Agricola[Económico $Constantes]))*(IF($F$39="Hectárea",1/AX$61,IF($F$39="Tonelada",1/AX$62,1))),0)</f>
        <v>0</v>
      </c>
      <c r="AY57" s="10">
        <f>IFERROR(SUMPRODUCT(($F$4=Producción_Agricola[C. Costo Reporte])*(Económico!AY$41=Producción_Agricola[Unidad de Negocio])*(Económico!$E57=Producción_Agricola[Cuenta Contable])*($F$5=Producción_Agricola[Campaña])*(Producción_Agricola[Económico $Constantes]))*(IF($F$39="Hectárea",1/AY$61,IF($F$39="Tonelada",1/AY$62,1))),0)</f>
        <v>0</v>
      </c>
      <c r="AZ57" s="10">
        <f>IFERROR(SUMPRODUCT(($F$4=Producción_Agricola[C. Costo Reporte])*(Económico!AZ$41=Producción_Agricola[Unidad de Negocio])*(Económico!$E57=Producción_Agricola[Cuenta Contable])*($F$5=Producción_Agricola[Campaña])*(Producción_Agricola[Económico $Constantes]))*(IF($F$39="Hectárea",1/AZ$61,IF($F$39="Tonelada",1/AZ$62,1))),0)</f>
        <v>0</v>
      </c>
      <c r="BA57" s="10">
        <f>IFERROR(SUMPRODUCT(($F$4=Producción_Agricola[C. Costo Reporte])*(Económico!BA$41=Producción_Agricola[Unidad de Negocio])*(Económico!$E57=Producción_Agricola[Cuenta Contable])*($F$5=Producción_Agricola[Campaña])*(Producción_Agricola[Económico $Constantes]))*(IF($F$39="Hectárea",1/BA$61,IF($F$39="Tonelada",1/BA$62,1))),0)</f>
        <v>0</v>
      </c>
      <c r="BB57" s="10">
        <f>IFERROR(SUMPRODUCT(($F$4=Producción_Agricola[C. Costo Reporte])*(Económico!BB$41=Producción_Agricola[Unidad de Negocio])*(Económico!$E57=Producción_Agricola[Cuenta Contable])*($F$5=Producción_Agricola[Campaña])*(Producción_Agricola[Económico $Constantes]))*(IF($F$39="Hectárea",1/BB$61,IF($F$39="Tonelada",1/BB$62,1))),0)</f>
        <v>0</v>
      </c>
      <c r="BC57" s="10">
        <f>IFERROR(SUMPRODUCT(($F$4=Producción_Agricola[C. Costo Reporte])*(Económico!BC$41=Producción_Agricola[Unidad de Negocio])*(Económico!$E57=Producción_Agricola[Cuenta Contable])*($F$5=Producción_Agricola[Campaña])*(Producción_Agricola[Económico $Constantes]))*(IF($F$39="Hectárea",1/BC$61,IF($F$39="Tonelada",1/BC$62,1))),0)</f>
        <v>0</v>
      </c>
      <c r="BD57" s="10">
        <f>IFERROR(SUMPRODUCT(($F$4=Producción_Agricola[C. Costo Reporte])*(Económico!BD$41=Producción_Agricola[Unidad de Negocio])*(Económico!$E57=Producción_Agricola[Cuenta Contable])*($F$5=Producción_Agricola[Campaña])*(Producción_Agricola[Económico $Constantes]))*(IF($F$39="Hectárea",1/BD$61,IF($F$39="Tonelada",1/BD$62,1))),0)</f>
        <v>0</v>
      </c>
      <c r="BE57" s="10">
        <f>IFERROR(SUMPRODUCT(($F$4=Producción_Agricola[C. Costo Reporte])*(Económico!BE$41=Producción_Agricola[Unidad de Negocio])*(Económico!$E57=Producción_Agricola[Cuenta Contable])*($F$5=Producción_Agricola[Campaña])*(Producción_Agricola[Económico $Constantes]))*(IF($F$39="Hectárea",1/BE$61,IF($F$39="Tonelada",1/BE$62,1))),0)</f>
        <v>0</v>
      </c>
      <c r="BF57" s="10">
        <f>IFERROR(SUMPRODUCT(($F$4=Producción_Agricola[C. Costo Reporte])*(Económico!BF$41=Producción_Agricola[Unidad de Negocio])*(Económico!$E57=Producción_Agricola[Cuenta Contable])*($F$5=Producción_Agricola[Campaña])*(Producción_Agricola[Económico $Constantes]))*(IF($F$39="Hectárea",1/BF$61,IF($F$39="Tonelada",1/BF$62,1))),0)</f>
        <v>0</v>
      </c>
      <c r="BG57" s="10">
        <f>IFERROR(SUMPRODUCT(($F$4=Producción_Agricola[C. Costo Reporte])*(Económico!BG$41=Producción_Agricola[Unidad de Negocio])*(Económico!$E57=Producción_Agricola[Cuenta Contable])*($F$5=Producción_Agricola[Campaña])*(Producción_Agricola[Económico $Constantes]))*(IF($F$39="Hectárea",1/BG$61,IF($F$39="Tonelada",1/BG$62,1))),0)</f>
        <v>0</v>
      </c>
      <c r="BH57" s="10">
        <f>IFERROR(SUMPRODUCT(($F$4=Producción_Agricola[C. Costo Reporte])*(Económico!BH$41=Producción_Agricola[Unidad de Negocio])*(Económico!$E57=Producción_Agricola[Cuenta Contable])*($F$5=Producción_Agricola[Campaña])*(Producción_Agricola[Económico $Constantes]))*(IF($F$39="Hectárea",1/BH$61,IF($F$39="Tonelada",1/BH$62,1))),0)</f>
        <v>0</v>
      </c>
      <c r="BI57" s="10">
        <f>IFERROR(SUMPRODUCT(($F$4=Producción_Agricola[C. Costo Reporte])*(Económico!BI$41=Producción_Agricola[Unidad de Negocio])*(Económico!$E57=Producción_Agricola[Cuenta Contable])*($F$5=Producción_Agricola[Campaña])*(Producción_Agricola[Económico $Constantes]))*(IF($F$39="Hectárea",1/BI$61,IF($F$39="Tonelada",1/BI$62,1))),0)</f>
        <v>0</v>
      </c>
      <c r="BJ57" s="249" t="str">
        <f>INDEX(Produccion_Agricola_Cuentas[],MATCH(Tabla284150[[#This Row],[Cuentas Contables]],Produccion_Agricola_Cuentas[Cuenta Contable],0),3)</f>
        <v>Gasto Fijo</v>
      </c>
    </row>
    <row r="58" spans="2:62" x14ac:dyDescent="0.25">
      <c r="B58" s="241" t="s">
        <v>101</v>
      </c>
      <c r="D58" s="245"/>
      <c r="E58" s="448" t="s">
        <v>518</v>
      </c>
      <c r="F58" s="449">
        <f>SUM(F42:F57)-IFERROR(SUMPRODUCT(($F$4=Producción_Agricola[C. Costo Reporte])*(Económico!F$41=Producción_Agricola[Unidad de Negocio])*($F$5=Producción_Agricola[Campaña])*(Producción_Agricola[Económico U$S Dólares]))*(IF($F$39="Hectárea",1/F$61,IF($F$39="Tonelada",1/F$62,1))),0)</f>
        <v>0</v>
      </c>
      <c r="G58" s="449">
        <f>SUM(G42:G57)-IFERROR(SUMPRODUCT(($F$4=Producción_Agricola[C. Costo Reporte])*(Económico!G$41=Producción_Agricola[Unidad de Negocio])*($F$5=Producción_Agricola[Campaña])*(Producción_Agricola[Económico U$S Dólares]))*(IF($F$39="Hectárea",1/G$61,IF($F$39="Tonelada",1/G$62,1))),0)</f>
        <v>0</v>
      </c>
      <c r="H58" s="449">
        <f>SUM(H42:H57)-IFERROR(SUMPRODUCT(($F$4=Producción_Agricola[C. Costo Reporte])*(Económico!H$41=Producción_Agricola[Unidad de Negocio])*($F$5=Producción_Agricola[Campaña])*(Producción_Agricola[Económico U$S Dólares]))*(IF($F$39="Hectárea",1/H$61,IF($F$39="Tonelada",1/H$62,1))),0)</f>
        <v>0</v>
      </c>
      <c r="I58" s="449">
        <f>SUM(I42:I57)-IFERROR(SUMPRODUCT(($F$4=Producción_Agricola[C. Costo Reporte])*(Económico!I$41=Producción_Agricola[Unidad de Negocio])*($F$5=Producción_Agricola[Campaña])*(Producción_Agricola[Económico U$S Dólares]))*(IF($F$39="Hectárea",1/I$61,IF($F$39="Tonelada",1/I$62,1))),0)</f>
        <v>0</v>
      </c>
      <c r="J58" s="449">
        <f>SUM(J42:J57)-IFERROR(SUMPRODUCT(($F$4=Producción_Agricola[C. Costo Reporte])*(Económico!J$41=Producción_Agricola[Unidad de Negocio])*($F$5=Producción_Agricola[Campaña])*(Producción_Agricola[Económico U$S Dólares]))*(IF($F$39="Hectárea",1/J$61,IF($F$39="Tonelada",1/J$62,1))),0)</f>
        <v>0</v>
      </c>
      <c r="K58" s="449">
        <f>SUM(K42:K57)-IFERROR(SUMPRODUCT(($F$4=Producción_Agricola[C. Costo Reporte])*(Económico!K$41=Producción_Agricola[Unidad de Negocio])*($F$5=Producción_Agricola[Campaña])*(Producción_Agricola[Económico U$S Dólares]))*(IF($F$39="Hectárea",1/K$61,IF($F$39="Tonelada",1/K$62,1))),0)</f>
        <v>0</v>
      </c>
      <c r="L58" s="449">
        <f>SUM(L42:L57)-IFERROR(SUMPRODUCT(($F$4=Producción_Agricola[C. Costo Reporte])*(Económico!L$41=Producción_Agricola[Unidad de Negocio])*($F$5=Producción_Agricola[Campaña])*(Producción_Agricola[Económico U$S Dólares]))*(IF($F$39="Hectárea",1/L$61,IF($F$39="Tonelada",1/L$62,1))),0)</f>
        <v>0</v>
      </c>
      <c r="M58" s="449">
        <f>SUM(M42:M57)-IFERROR(SUMPRODUCT(($F$4=Producción_Agricola[C. Costo Reporte])*(Económico!M$41=Producción_Agricola[Unidad de Negocio])*($F$5=Producción_Agricola[Campaña])*(Producción_Agricola[Económico U$S Dólares]))*(IF($F$39="Hectárea",1/M$61,IF($F$39="Tonelada",1/M$62,1))),0)</f>
        <v>0</v>
      </c>
      <c r="N58" s="449">
        <f>SUM(N42:N57)-IFERROR(SUMPRODUCT(($F$4=Producción_Agricola[C. Costo Reporte])*(Económico!N$41=Producción_Agricola[Unidad de Negocio])*($F$5=Producción_Agricola[Campaña])*(Producción_Agricola[Económico U$S Dólares]))*(IF($F$39="Hectárea",1/N$61,IF($F$39="Tonelada",1/N$62,1))),0)</f>
        <v>0</v>
      </c>
      <c r="O58" s="449">
        <f>SUM(O42:O57)-IFERROR(SUMPRODUCT(($F$4=Producción_Agricola[C. Costo Reporte])*(Económico!O$41=Producción_Agricola[Unidad de Negocio])*($F$5=Producción_Agricola[Campaña])*(Producción_Agricola[Económico U$S Dólares]))*(IF($F$39="Hectárea",1/O$61,IF($F$39="Tonelada",1/O$62,1))),0)</f>
        <v>0</v>
      </c>
      <c r="P58" s="449">
        <f>SUM(P42:P57)-IFERROR(SUMPRODUCT(($F$4=Producción_Agricola[C. Costo Reporte])*(Económico!P$41=Producción_Agricola[Unidad de Negocio])*($F$5=Producción_Agricola[Campaña])*(Producción_Agricola[Económico U$S Dólares]))*(IF($F$39="Hectárea",1/P$61,IF($F$39="Tonelada",1/P$62,1))),0)</f>
        <v>0</v>
      </c>
      <c r="Q58" s="449">
        <f>SUM(Q42:Q57)-IFERROR(SUMPRODUCT(($F$4=Producción_Agricola[C. Costo Reporte])*(Económico!Q$41=Producción_Agricola[Unidad de Negocio])*($F$5=Producción_Agricola[Campaña])*(Producción_Agricola[Económico U$S Dólares]))*(IF($F$39="Hectárea",1/Q$61,IF($F$39="Tonelada",1/Q$62,1))),0)</f>
        <v>0</v>
      </c>
      <c r="R58" s="450" t="s">
        <v>256</v>
      </c>
      <c r="X58" s="241" t="s">
        <v>101</v>
      </c>
      <c r="Z58" s="245"/>
      <c r="AA58" s="32" t="str">
        <f>Tabla28[[#This Row],[Cuentas Contables]]</f>
        <v>No Imputado</v>
      </c>
      <c r="AB58" s="449">
        <f>SUM(AB42:AB57)-IFERROR(SUMPRODUCT(($F$4=Producción_Agricola[C. Costo Reporte])*(Económico!AB$41=Producción_Agricola[Unidad de Negocio])*($F$5=Producción_Agricola[Campaña])*(Producción_Agricola[Económico $Corrientes]))*(IF($F$39="Hectárea",1/AB$61,IF($F$39="Tonelada",1/AB$62,1))),0)</f>
        <v>0</v>
      </c>
      <c r="AC58" s="449">
        <f>SUM(AC42:AC57)-IFERROR(SUMPRODUCT(($F$4=Producción_Agricola[C. Costo Reporte])*(Económico!AC$41=Producción_Agricola[Unidad de Negocio])*($F$5=Producción_Agricola[Campaña])*(Producción_Agricola[Económico $Corrientes]))*(IF($F$39="Hectárea",1/AC$61,IF($F$39="Tonelada",1/AC$62,1))),0)</f>
        <v>0</v>
      </c>
      <c r="AD58" s="449">
        <f>SUM(AD42:AD57)-IFERROR(SUMPRODUCT(($F$4=Producción_Agricola[C. Costo Reporte])*(Económico!AD$41=Producción_Agricola[Unidad de Negocio])*($F$5=Producción_Agricola[Campaña])*(Producción_Agricola[Económico $Corrientes]))*(IF($F$39="Hectárea",1/AD$61,IF($F$39="Tonelada",1/AD$62,1))),0)</f>
        <v>0</v>
      </c>
      <c r="AE58" s="449">
        <f>SUM(AE42:AE57)-IFERROR(SUMPRODUCT(($F$4=Producción_Agricola[C. Costo Reporte])*(Económico!AE$41=Producción_Agricola[Unidad de Negocio])*($F$5=Producción_Agricola[Campaña])*(Producción_Agricola[Económico $Corrientes]))*(IF($F$39="Hectárea",1/AE$61,IF($F$39="Tonelada",1/AE$62,1))),0)</f>
        <v>0</v>
      </c>
      <c r="AF58" s="449">
        <f>SUM(AF42:AF57)-IFERROR(SUMPRODUCT(($F$4=Producción_Agricola[C. Costo Reporte])*(Económico!AF$41=Producción_Agricola[Unidad de Negocio])*($F$5=Producción_Agricola[Campaña])*(Producción_Agricola[Económico $Corrientes]))*(IF($F$39="Hectárea",1/AF$61,IF($F$39="Tonelada",1/AF$62,1))),0)</f>
        <v>0</v>
      </c>
      <c r="AG58" s="449">
        <f>SUM(AG42:AG57)-IFERROR(SUMPRODUCT(($F$4=Producción_Agricola[C. Costo Reporte])*(Económico!AG$41=Producción_Agricola[Unidad de Negocio])*($F$5=Producción_Agricola[Campaña])*(Producción_Agricola[Económico $Corrientes]))*(IF($F$39="Hectárea",1/AG$61,IF($F$39="Tonelada",1/AG$62,1))),0)</f>
        <v>0</v>
      </c>
      <c r="AH58" s="449">
        <f>SUM(AH42:AH57)-IFERROR(SUMPRODUCT(($F$4=Producción_Agricola[C. Costo Reporte])*(Económico!AH$41=Producción_Agricola[Unidad de Negocio])*($F$5=Producción_Agricola[Campaña])*(Producción_Agricola[Económico $Corrientes]))*(IF($F$39="Hectárea",1/AH$61,IF($F$39="Tonelada",1/AH$62,1))),0)</f>
        <v>0</v>
      </c>
      <c r="AI58" s="449">
        <f>SUM(AI42:AI57)-IFERROR(SUMPRODUCT(($F$4=Producción_Agricola[C. Costo Reporte])*(Económico!AI$41=Producción_Agricola[Unidad de Negocio])*($F$5=Producción_Agricola[Campaña])*(Producción_Agricola[Económico $Corrientes]))*(IF($F$39="Hectárea",1/AI$61,IF($F$39="Tonelada",1/AI$62,1))),0)</f>
        <v>0</v>
      </c>
      <c r="AJ58" s="449">
        <f>SUM(AJ42:AJ57)-IFERROR(SUMPRODUCT(($F$4=Producción_Agricola[C. Costo Reporte])*(Económico!AJ$41=Producción_Agricola[Unidad de Negocio])*($F$5=Producción_Agricola[Campaña])*(Producción_Agricola[Económico $Corrientes]))*(IF($F$39="Hectárea",1/AJ$61,IF($F$39="Tonelada",1/AJ$62,1))),0)</f>
        <v>0</v>
      </c>
      <c r="AK58" s="449">
        <f>SUM(AK42:AK57)-IFERROR(SUMPRODUCT(($F$4=Producción_Agricola[C. Costo Reporte])*(Económico!AK$41=Producción_Agricola[Unidad de Negocio])*($F$5=Producción_Agricola[Campaña])*(Producción_Agricola[Económico $Corrientes]))*(IF($F$39="Hectárea",1/AK$61,IF($F$39="Tonelada",1/AK$62,1))),0)</f>
        <v>0</v>
      </c>
      <c r="AL58" s="449">
        <f>SUM(AL42:AL57)-IFERROR(SUMPRODUCT(($F$4=Producción_Agricola[C. Costo Reporte])*(Económico!AL$41=Producción_Agricola[Unidad de Negocio])*($F$5=Producción_Agricola[Campaña])*(Producción_Agricola[Económico $Corrientes]))*(IF($F$39="Hectárea",1/AL$61,IF($F$39="Tonelada",1/AL$62,1))),0)</f>
        <v>0</v>
      </c>
      <c r="AM58" s="449">
        <f>SUM(AM42:AM57)-IFERROR(SUMPRODUCT(($F$4=Producción_Agricola[C. Costo Reporte])*(Económico!AM$41=Producción_Agricola[Unidad de Negocio])*($F$5=Producción_Agricola[Campaña])*(Producción_Agricola[Económico $Corrientes]))*(IF($F$39="Hectárea",1/AM$61,IF($F$39="Tonelada",1/AM$62,1))),0)</f>
        <v>0</v>
      </c>
      <c r="AN58" s="450" t="s">
        <v>256</v>
      </c>
      <c r="AT58" s="241" t="s">
        <v>101</v>
      </c>
      <c r="AV58" s="245"/>
      <c r="AW58" s="32" t="str">
        <f>Tabla28[[#This Row],[Cuentas Contables]]</f>
        <v>No Imputado</v>
      </c>
      <c r="AX58" s="449">
        <f>SUM(AX42:AX57)-IFERROR(SUMPRODUCT(($F$4=Producción_Agricola[C. Costo Reporte])*(Económico!AX$41=Producción_Agricola[Unidad de Negocio])*($F$5=Producción_Agricola[Campaña])*(Producción_Agricola[Económico $Constantes]))*(IF($F$39="Hectárea",1/AX$61,IF($F$39="Tonelada",1/AX$62,1))),0)</f>
        <v>0</v>
      </c>
      <c r="AY58" s="449">
        <f>SUM(AY42:AY57)-IFERROR(SUMPRODUCT(($F$4=Producción_Agricola[C. Costo Reporte])*(Económico!AY$41=Producción_Agricola[Unidad de Negocio])*($F$5=Producción_Agricola[Campaña])*(Producción_Agricola[Económico $Constantes]))*(IF($F$39="Hectárea",1/AY$61,IF($F$39="Tonelada",1/AY$62,1))),0)</f>
        <v>0</v>
      </c>
      <c r="AZ58" s="449">
        <f>SUM(AZ42:AZ57)-IFERROR(SUMPRODUCT(($F$4=Producción_Agricola[C. Costo Reporte])*(Económico!AZ$41=Producción_Agricola[Unidad de Negocio])*($F$5=Producción_Agricola[Campaña])*(Producción_Agricola[Económico $Constantes]))*(IF($F$39="Hectárea",1/AZ$61,IF($F$39="Tonelada",1/AZ$62,1))),0)</f>
        <v>0</v>
      </c>
      <c r="BA58" s="449">
        <f>SUM(BA42:BA57)-IFERROR(SUMPRODUCT(($F$4=Producción_Agricola[C. Costo Reporte])*(Económico!BA$41=Producción_Agricola[Unidad de Negocio])*($F$5=Producción_Agricola[Campaña])*(Producción_Agricola[Económico $Constantes]))*(IF($F$39="Hectárea",1/BA$61,IF($F$39="Tonelada",1/BA$62,1))),0)</f>
        <v>0</v>
      </c>
      <c r="BB58" s="449">
        <f>SUM(BB42:BB57)-IFERROR(SUMPRODUCT(($F$4=Producción_Agricola[C. Costo Reporte])*(Económico!BB$41=Producción_Agricola[Unidad de Negocio])*($F$5=Producción_Agricola[Campaña])*(Producción_Agricola[Económico $Constantes]))*(IF($F$39="Hectárea",1/BB$61,IF($F$39="Tonelada",1/BB$62,1))),0)</f>
        <v>0</v>
      </c>
      <c r="BC58" s="449">
        <f>SUM(BC42:BC57)-IFERROR(SUMPRODUCT(($F$4=Producción_Agricola[C. Costo Reporte])*(Económico!BC$41=Producción_Agricola[Unidad de Negocio])*($F$5=Producción_Agricola[Campaña])*(Producción_Agricola[Económico $Constantes]))*(IF($F$39="Hectárea",1/BC$61,IF($F$39="Tonelada",1/BC$62,1))),0)</f>
        <v>0</v>
      </c>
      <c r="BD58" s="449">
        <f>SUM(BD42:BD57)-IFERROR(SUMPRODUCT(($F$4=Producción_Agricola[C. Costo Reporte])*(Económico!BD$41=Producción_Agricola[Unidad de Negocio])*($F$5=Producción_Agricola[Campaña])*(Producción_Agricola[Económico $Constantes]))*(IF($F$39="Hectárea",1/BD$61,IF($F$39="Tonelada",1/BD$62,1))),0)</f>
        <v>0</v>
      </c>
      <c r="BE58" s="449">
        <f>SUM(BE42:BE57)-IFERROR(SUMPRODUCT(($F$4=Producción_Agricola[C. Costo Reporte])*(Económico!BE$41=Producción_Agricola[Unidad de Negocio])*($F$5=Producción_Agricola[Campaña])*(Producción_Agricola[Económico $Constantes]))*(IF($F$39="Hectárea",1/BE$61,IF($F$39="Tonelada",1/BE$62,1))),0)</f>
        <v>0</v>
      </c>
      <c r="BF58" s="449">
        <f>SUM(BF42:BF57)-IFERROR(SUMPRODUCT(($F$4=Producción_Agricola[C. Costo Reporte])*(Económico!BF$41=Producción_Agricola[Unidad de Negocio])*($F$5=Producción_Agricola[Campaña])*(Producción_Agricola[Económico $Constantes]))*(IF($F$39="Hectárea",1/BF$61,IF($F$39="Tonelada",1/BF$62,1))),0)</f>
        <v>0</v>
      </c>
      <c r="BG58" s="449">
        <f>SUM(BG42:BG57)-IFERROR(SUMPRODUCT(($F$4=Producción_Agricola[C. Costo Reporte])*(Económico!BG$41=Producción_Agricola[Unidad de Negocio])*($F$5=Producción_Agricola[Campaña])*(Producción_Agricola[Económico $Constantes]))*(IF($F$39="Hectárea",1/BG$61,IF($F$39="Tonelada",1/BG$62,1))),0)</f>
        <v>0</v>
      </c>
      <c r="BH58" s="449">
        <f>SUM(BH42:BH57)-IFERROR(SUMPRODUCT(($F$4=Producción_Agricola[C. Costo Reporte])*(Económico!BH$41=Producción_Agricola[Unidad de Negocio])*($F$5=Producción_Agricola[Campaña])*(Producción_Agricola[Económico $Constantes]))*(IF($F$39="Hectárea",1/BH$61,IF($F$39="Tonelada",1/BH$62,1))),0)</f>
        <v>0</v>
      </c>
      <c r="BI58" s="449">
        <f>SUM(BI42:BI57)-IFERROR(SUMPRODUCT(($F$4=Producción_Agricola[C. Costo Reporte])*(Económico!BI$41=Producción_Agricola[Unidad de Negocio])*($F$5=Producción_Agricola[Campaña])*(Producción_Agricola[Económico $Constantes]))*(IF($F$39="Hectárea",1/BI$61,IF($F$39="Tonelada",1/BI$62,1))),0)</f>
        <v>0</v>
      </c>
      <c r="BJ58" s="450" t="s">
        <v>256</v>
      </c>
    </row>
    <row r="59" spans="2:62" x14ac:dyDescent="0.25">
      <c r="E59" s="92" t="s">
        <v>249</v>
      </c>
      <c r="F59" s="250">
        <f>SUBTOTAL(109,Tabla28[Maíz Temprano])</f>
        <v>0</v>
      </c>
      <c r="G59" s="250">
        <f>SUBTOTAL(109,Tabla28[Maíz Tardío])</f>
        <v>0</v>
      </c>
      <c r="H59" s="250">
        <f>SUBTOTAL(109,Tabla28[Maíz de Segunda])</f>
        <v>0</v>
      </c>
      <c r="I59" s="250">
        <f>SUBTOTAL(109,Tabla28[Maíz de Tercera])</f>
        <v>0</v>
      </c>
      <c r="J59" s="250">
        <f>SUBTOTAL(109,Tabla28[Soja de Primera])</f>
        <v>0</v>
      </c>
      <c r="K59" s="250">
        <f>SUBTOTAL(109,Tabla28[Soja de Segunda])</f>
        <v>0</v>
      </c>
      <c r="L59" s="250">
        <f>SUBTOTAL(109,Tabla28[Girasol])</f>
        <v>0</v>
      </c>
      <c r="M59" s="250">
        <f>SUBTOTAL(109,Tabla28[Girasol AO])</f>
        <v>0</v>
      </c>
      <c r="N59" s="250">
        <f>SUBTOTAL(109,Tabla28[[ Trigo]])</f>
        <v>0</v>
      </c>
      <c r="O59" s="250">
        <f>SUBTOTAL(109,Tabla28[Cebada])</f>
        <v>0</v>
      </c>
      <c r="P59" s="250">
        <f>SUBTOTAL(109,Tabla28[Sorgo])</f>
        <v>0</v>
      </c>
      <c r="Q59" s="250">
        <f>SUBTOTAL(109,Tabla28[Maíz Silo])</f>
        <v>0</v>
      </c>
      <c r="R59" s="246"/>
      <c r="AA59" s="412" t="s">
        <v>249</v>
      </c>
      <c r="AB59" s="250">
        <f>SUBTOTAL(109,Tabla2841[Maíz Temprano])</f>
        <v>0</v>
      </c>
      <c r="AC59" s="250">
        <f>SUBTOTAL(109,Tabla2841[Maíz Tardío])</f>
        <v>0</v>
      </c>
      <c r="AD59" s="250">
        <f>SUBTOTAL(109,Tabla2841[Maíz de Segunda])</f>
        <v>0</v>
      </c>
      <c r="AE59" s="250">
        <f>SUBTOTAL(109,Tabla2841[Maíz de Tercera])</f>
        <v>0</v>
      </c>
      <c r="AF59" s="250">
        <f>SUBTOTAL(109,Tabla2841[Soja de Primera])</f>
        <v>0</v>
      </c>
      <c r="AG59" s="250">
        <f>SUBTOTAL(109,Tabla2841[Soja de Segunda])</f>
        <v>0</v>
      </c>
      <c r="AH59" s="250">
        <f>SUBTOTAL(109,Tabla2841[Girasol])</f>
        <v>0</v>
      </c>
      <c r="AI59" s="250">
        <f>SUBTOTAL(109,Tabla2841[Girasol AO])</f>
        <v>0</v>
      </c>
      <c r="AJ59" s="250">
        <f>SUBTOTAL(109,Tabla2841[[ Trigo]])</f>
        <v>0</v>
      </c>
      <c r="AK59" s="250">
        <f>SUBTOTAL(109,Tabla2841[Cebada])</f>
        <v>0</v>
      </c>
      <c r="AL59" s="250">
        <f>SUBTOTAL(109,Tabla2841[Sorgo])</f>
        <v>0</v>
      </c>
      <c r="AM59" s="250">
        <f>SUBTOTAL(109,Tabla2841[Maíz Silo])</f>
        <v>0</v>
      </c>
      <c r="AN59" s="246"/>
      <c r="AW59" s="412" t="s">
        <v>249</v>
      </c>
      <c r="AX59" s="250">
        <f>SUBTOTAL(109,Tabla284150[Maíz Temprano])</f>
        <v>0</v>
      </c>
      <c r="AY59" s="250">
        <f>SUBTOTAL(109,Tabla284150[Maíz Tardío])</f>
        <v>0</v>
      </c>
      <c r="AZ59" s="250">
        <f>SUBTOTAL(109,Tabla284150[Maíz de Segunda])</f>
        <v>0</v>
      </c>
      <c r="BA59" s="250">
        <f>SUBTOTAL(109,Tabla284150[Maíz de Tercera])</f>
        <v>0</v>
      </c>
      <c r="BB59" s="250">
        <f>SUBTOTAL(109,Tabla284150[Soja de Primera])</f>
        <v>0</v>
      </c>
      <c r="BC59" s="250">
        <f>SUBTOTAL(109,Tabla284150[Soja de Segunda])</f>
        <v>0</v>
      </c>
      <c r="BD59" s="250">
        <f>SUBTOTAL(109,Tabla284150[Girasol])</f>
        <v>0</v>
      </c>
      <c r="BE59" s="250">
        <f>SUBTOTAL(109,Tabla284150[Girasol AO])</f>
        <v>0</v>
      </c>
      <c r="BF59" s="250">
        <f>SUBTOTAL(109,Tabla284150[[ Trigo]])</f>
        <v>0</v>
      </c>
      <c r="BG59" s="250">
        <f>SUBTOTAL(109,Tabla284150[Cebada])</f>
        <v>0</v>
      </c>
      <c r="BH59" s="250">
        <f>SUBTOTAL(109,Tabla284150[Sorgo])</f>
        <v>0</v>
      </c>
      <c r="BI59" s="250">
        <f>SUBTOTAL(109,Tabla284150[Maíz Silo])</f>
        <v>0</v>
      </c>
      <c r="BJ59" s="246"/>
    </row>
    <row r="61" spans="2:62" x14ac:dyDescent="0.25">
      <c r="E61" s="234" t="s">
        <v>152</v>
      </c>
      <c r="F61" s="237">
        <f>IF($F$4=0,SUMPRODUCT((F41=Tabla18[Actividad])*(Tabla18[Superficie])*($F$5=Tabla18[Campaña])),SUMPRODUCT((F41=Tabla18[Actividad])*(Económico!$F$4=Tabla18[Centro de Costo])*(Tabla18[Superficie])*($F$5=Tabla18[Campaña])))</f>
        <v>100</v>
      </c>
      <c r="G61" s="237">
        <f>IF($F$4=0,SUMPRODUCT((G41=Tabla18[Actividad])*(Tabla18[Superficie])*($F$5=Tabla18[Campaña])),SUMPRODUCT((G41=Tabla18[Actividad])*(Económico!$F$4=Tabla18[Centro de Costo])*(Tabla18[Superficie])*($F$5=Tabla18[Campaña])))</f>
        <v>150</v>
      </c>
      <c r="H61" s="237">
        <f>IF($F$4=0,SUMPRODUCT((H41=Tabla18[Actividad])*(Tabla18[Superficie])*($F$5=Tabla18[Campaña])),SUMPRODUCT((H41=Tabla18[Actividad])*(Económico!$F$4=Tabla18[Centro de Costo])*(Tabla18[Superficie])*($F$5=Tabla18[Campaña])))</f>
        <v>0</v>
      </c>
      <c r="I61" s="237">
        <f>IF($F$4=0,SUMPRODUCT((I41=Tabla18[Actividad])*(Tabla18[Superficie])*($F$5=Tabla18[Campaña])),SUMPRODUCT((I41=Tabla18[Actividad])*(Económico!$F$4=Tabla18[Centro de Costo])*(Tabla18[Superficie])*($F$5=Tabla18[Campaña])))</f>
        <v>0</v>
      </c>
      <c r="J61" s="237">
        <f>IF($F$4=0,SUMPRODUCT((J41=Tabla18[Actividad])*(Tabla18[Superficie])*($F$5=Tabla18[Campaña])),SUMPRODUCT((J41=Tabla18[Actividad])*(Económico!$F$4=Tabla18[Centro de Costo])*(Tabla18[Superficie])*($F$5=Tabla18[Campaña])))</f>
        <v>110</v>
      </c>
      <c r="K61" s="237">
        <f>IF($F$4=0,SUMPRODUCT((K41=Tabla18[Actividad])*(Tabla18[Superficie])*($F$5=Tabla18[Campaña])),SUMPRODUCT((K41=Tabla18[Actividad])*(Económico!$F$4=Tabla18[Centro de Costo])*(Tabla18[Superficie])*($F$5=Tabla18[Campaña])))</f>
        <v>0</v>
      </c>
      <c r="L61" s="237">
        <f>IF($F$4=0,SUMPRODUCT((L41=Tabla18[Actividad])*(Tabla18[Superficie])*($F$5=Tabla18[Campaña])),SUMPRODUCT((L41=Tabla18[Actividad])*(Económico!$F$4=Tabla18[Centro de Costo])*(Tabla18[Superficie])*($F$5=Tabla18[Campaña])))</f>
        <v>120</v>
      </c>
      <c r="M61" s="237">
        <f>IF($F$4=0,SUMPRODUCT((M41=Tabla18[Actividad])*(Tabla18[Superficie])*($F$5=Tabla18[Campaña])),SUMPRODUCT((M41=Tabla18[Actividad])*(Económico!$F$4=Tabla18[Centro de Costo])*(Tabla18[Superficie])*($F$5=Tabla18[Campaña])))</f>
        <v>0</v>
      </c>
      <c r="N61" s="237">
        <f>IF($F$4=0,SUMPRODUCT((N41=Tabla18[Actividad])*(Tabla18[Superficie])*($F$5=Tabla18[Campaña])),SUMPRODUCT((N41=Tabla18[Actividad])*(Económico!$F$4=Tabla18[Centro de Costo])*(Tabla18[Superficie])*($F$5=Tabla18[Campaña])))</f>
        <v>0</v>
      </c>
      <c r="O61" s="237">
        <f>IF($F$4=0,SUMPRODUCT((O41=Tabla18[Actividad])*(Tabla18[Superficie])*($F$5=Tabla18[Campaña])),SUMPRODUCT((O41=Tabla18[Actividad])*(Económico!$F$4=Tabla18[Centro de Costo])*(Tabla18[Superficie])*($F$5=Tabla18[Campaña])))</f>
        <v>0</v>
      </c>
      <c r="P61" s="237">
        <f>IF($F$4=0,SUMPRODUCT((P41=Tabla18[Actividad])*(Tabla18[Superficie])*($F$5=Tabla18[Campaña])),SUMPRODUCT((P41=Tabla18[Actividad])*(Económico!$F$4=Tabla18[Centro de Costo])*(Tabla18[Superficie])*($F$5=Tabla18[Campaña])))</f>
        <v>0</v>
      </c>
      <c r="Q61" s="237">
        <f>IF($F$4=0,SUMPRODUCT((Q41=Tabla18[Actividad])*(Tabla18[Superficie])*($F$5=Tabla18[Campaña])),SUMPRODUCT((Q41=Tabla18[Actividad])*(Económico!$F$4=Tabla18[Centro de Costo])*(Tabla18[Superficie])*($F$5=Tabla18[Campaña])))</f>
        <v>0</v>
      </c>
      <c r="AA61" s="247" t="s">
        <v>152</v>
      </c>
      <c r="AB61" s="237">
        <f>IF($F$4=0,SUMPRODUCT((AB41=Tabla18[Actividad])*(Tabla18[Superficie])*($F$5=Tabla18[Campaña])),SUMPRODUCT((AB41=Tabla18[Actividad])*(Económico!$F$4=Tabla18[Centro de Costo])*(Tabla18[Superficie])*($F$5=Tabla18[Campaña])))</f>
        <v>100</v>
      </c>
      <c r="AC61" s="237">
        <f>IF($F$4=0,SUMPRODUCT((AC41=Tabla18[Actividad])*(Tabla18[Superficie])*($F$5=Tabla18[Campaña])),SUMPRODUCT((AC41=Tabla18[Actividad])*(Económico!$F$4=Tabla18[Centro de Costo])*(Tabla18[Superficie])*($F$5=Tabla18[Campaña])))</f>
        <v>150</v>
      </c>
      <c r="AD61" s="237">
        <f>IF($F$4=0,SUMPRODUCT((AD41=Tabla18[Actividad])*(Tabla18[Superficie])*($F$5=Tabla18[Campaña])),SUMPRODUCT((AD41=Tabla18[Actividad])*(Económico!$F$4=Tabla18[Centro de Costo])*(Tabla18[Superficie])*($F$5=Tabla18[Campaña])))</f>
        <v>0</v>
      </c>
      <c r="AE61" s="237">
        <f>IF($F$4=0,SUMPRODUCT((AE41=Tabla18[Actividad])*(Tabla18[Superficie])*($F$5=Tabla18[Campaña])),SUMPRODUCT((AE41=Tabla18[Actividad])*(Económico!$F$4=Tabla18[Centro de Costo])*(Tabla18[Superficie])*($F$5=Tabla18[Campaña])))</f>
        <v>0</v>
      </c>
      <c r="AF61" s="237">
        <f>IF($F$4=0,SUMPRODUCT((AF41=Tabla18[Actividad])*(Tabla18[Superficie])*($F$5=Tabla18[Campaña])),SUMPRODUCT((AF41=Tabla18[Actividad])*(Económico!$F$4=Tabla18[Centro de Costo])*(Tabla18[Superficie])*($F$5=Tabla18[Campaña])))</f>
        <v>110</v>
      </c>
      <c r="AG61" s="237">
        <f>IF($F$4=0,SUMPRODUCT((AG41=Tabla18[Actividad])*(Tabla18[Superficie])*($F$5=Tabla18[Campaña])),SUMPRODUCT((AG41=Tabla18[Actividad])*(Económico!$F$4=Tabla18[Centro de Costo])*(Tabla18[Superficie])*($F$5=Tabla18[Campaña])))</f>
        <v>0</v>
      </c>
      <c r="AH61" s="237">
        <f>IF($F$4=0,SUMPRODUCT((AH41=Tabla18[Actividad])*(Tabla18[Superficie])*($F$5=Tabla18[Campaña])),SUMPRODUCT((AH41=Tabla18[Actividad])*(Económico!$F$4=Tabla18[Centro de Costo])*(Tabla18[Superficie])*($F$5=Tabla18[Campaña])))</f>
        <v>120</v>
      </c>
      <c r="AI61" s="237">
        <f>IF($F$4=0,SUMPRODUCT((AI41=Tabla18[Actividad])*(Tabla18[Superficie])*($F$5=Tabla18[Campaña])),SUMPRODUCT((AI41=Tabla18[Actividad])*(Económico!$F$4=Tabla18[Centro de Costo])*(Tabla18[Superficie])*($F$5=Tabla18[Campaña])))</f>
        <v>0</v>
      </c>
      <c r="AJ61" s="237">
        <f>IF($F$4=0,SUMPRODUCT((AJ41=Tabla18[Actividad])*(Tabla18[Superficie])*($F$5=Tabla18[Campaña])),SUMPRODUCT((AJ41=Tabla18[Actividad])*(Económico!$F$4=Tabla18[Centro de Costo])*(Tabla18[Superficie])*($F$5=Tabla18[Campaña])))</f>
        <v>0</v>
      </c>
      <c r="AK61" s="237">
        <f>IF($F$4=0,SUMPRODUCT((AK41=Tabla18[Actividad])*(Tabla18[Superficie])*($F$5=Tabla18[Campaña])),SUMPRODUCT((AK41=Tabla18[Actividad])*(Económico!$F$4=Tabla18[Centro de Costo])*(Tabla18[Superficie])*($F$5=Tabla18[Campaña])))</f>
        <v>0</v>
      </c>
      <c r="AL61" s="237">
        <f>IF($F$4=0,SUMPRODUCT((AL41=Tabla18[Actividad])*(Tabla18[Superficie])*($F$5=Tabla18[Campaña])),SUMPRODUCT((AL41=Tabla18[Actividad])*(Económico!$F$4=Tabla18[Centro de Costo])*(Tabla18[Superficie])*($F$5=Tabla18[Campaña])))</f>
        <v>0</v>
      </c>
      <c r="AM61" s="237">
        <f>IF($F$4=0,SUMPRODUCT((AM41=Tabla18[Actividad])*(Tabla18[Superficie])*($F$5=Tabla18[Campaña])),SUMPRODUCT((AM41=Tabla18[Actividad])*(Económico!$F$4=Tabla18[Centro de Costo])*(Tabla18[Superficie])*($F$5=Tabla18[Campaña])))</f>
        <v>0</v>
      </c>
      <c r="AW61" s="247" t="s">
        <v>152</v>
      </c>
      <c r="AX61" s="237">
        <f>IF($F$4=0,SUMPRODUCT((AX41=Tabla18[Actividad])*(Tabla18[Superficie])*($F$5=Tabla18[Campaña])),SUMPRODUCT((AX41=Tabla18[Actividad])*(Económico!$F$4=Tabla18[Centro de Costo])*(Tabla18[Superficie])*($F$5=Tabla18[Campaña])))</f>
        <v>100</v>
      </c>
      <c r="AY61" s="237">
        <f>IF($F$4=0,SUMPRODUCT((AY41=Tabla18[Actividad])*(Tabla18[Superficie])*($F$5=Tabla18[Campaña])),SUMPRODUCT((AY41=Tabla18[Actividad])*(Económico!$F$4=Tabla18[Centro de Costo])*(Tabla18[Superficie])*($F$5=Tabla18[Campaña])))</f>
        <v>150</v>
      </c>
      <c r="AZ61" s="237">
        <f>IF($F$4=0,SUMPRODUCT((AZ41=Tabla18[Actividad])*(Tabla18[Superficie])*($F$5=Tabla18[Campaña])),SUMPRODUCT((AZ41=Tabla18[Actividad])*(Económico!$F$4=Tabla18[Centro de Costo])*(Tabla18[Superficie])*($F$5=Tabla18[Campaña])))</f>
        <v>0</v>
      </c>
      <c r="BA61" s="237">
        <f>IF($F$4=0,SUMPRODUCT((BA41=Tabla18[Actividad])*(Tabla18[Superficie])*($F$5=Tabla18[Campaña])),SUMPRODUCT((BA41=Tabla18[Actividad])*(Económico!$F$4=Tabla18[Centro de Costo])*(Tabla18[Superficie])*($F$5=Tabla18[Campaña])))</f>
        <v>0</v>
      </c>
      <c r="BB61" s="237">
        <f>IF($F$4=0,SUMPRODUCT((BB41=Tabla18[Actividad])*(Tabla18[Superficie])*($F$5=Tabla18[Campaña])),SUMPRODUCT((BB41=Tabla18[Actividad])*(Económico!$F$4=Tabla18[Centro de Costo])*(Tabla18[Superficie])*($F$5=Tabla18[Campaña])))</f>
        <v>110</v>
      </c>
      <c r="BC61" s="237">
        <f>IF($F$4=0,SUMPRODUCT((BC41=Tabla18[Actividad])*(Tabla18[Superficie])*($F$5=Tabla18[Campaña])),SUMPRODUCT((BC41=Tabla18[Actividad])*(Económico!$F$4=Tabla18[Centro de Costo])*(Tabla18[Superficie])*($F$5=Tabla18[Campaña])))</f>
        <v>0</v>
      </c>
      <c r="BD61" s="237">
        <f>IF($F$4=0,SUMPRODUCT((BD41=Tabla18[Actividad])*(Tabla18[Superficie])*($F$5=Tabla18[Campaña])),SUMPRODUCT((BD41=Tabla18[Actividad])*(Económico!$F$4=Tabla18[Centro de Costo])*(Tabla18[Superficie])*($F$5=Tabla18[Campaña])))</f>
        <v>120</v>
      </c>
      <c r="BE61" s="237">
        <f>IF($F$4=0,SUMPRODUCT((BE41=Tabla18[Actividad])*(Tabla18[Superficie])*($F$5=Tabla18[Campaña])),SUMPRODUCT((BE41=Tabla18[Actividad])*(Económico!$F$4=Tabla18[Centro de Costo])*(Tabla18[Superficie])*($F$5=Tabla18[Campaña])))</f>
        <v>0</v>
      </c>
      <c r="BF61" s="237">
        <f>IF($F$4=0,SUMPRODUCT((BF41=Tabla18[Actividad])*(Tabla18[Superficie])*($F$5=Tabla18[Campaña])),SUMPRODUCT((BF41=Tabla18[Actividad])*(Económico!$F$4=Tabla18[Centro de Costo])*(Tabla18[Superficie])*($F$5=Tabla18[Campaña])))</f>
        <v>0</v>
      </c>
      <c r="BG61" s="237">
        <f>IF($F$4=0,SUMPRODUCT((BG41=Tabla18[Actividad])*(Tabla18[Superficie])*($F$5=Tabla18[Campaña])),SUMPRODUCT((BG41=Tabla18[Actividad])*(Económico!$F$4=Tabla18[Centro de Costo])*(Tabla18[Superficie])*($F$5=Tabla18[Campaña])))</f>
        <v>0</v>
      </c>
      <c r="BH61" s="237">
        <f>IF($F$4=0,SUMPRODUCT((BH41=Tabla18[Actividad])*(Tabla18[Superficie])*($F$5=Tabla18[Campaña])),SUMPRODUCT((BH41=Tabla18[Actividad])*(Económico!$F$4=Tabla18[Centro de Costo])*(Tabla18[Superficie])*($F$5=Tabla18[Campaña])))</f>
        <v>0</v>
      </c>
      <c r="BI61" s="237">
        <f>IF($F$4=0,SUMPRODUCT((BI41=Tabla18[Actividad])*(Tabla18[Superficie])*($F$5=Tabla18[Campaña])),SUMPRODUCT((BI41=Tabla18[Actividad])*(Económico!$F$4=Tabla18[Centro de Costo])*(Tabla18[Superficie])*($F$5=Tabla18[Campaña])))</f>
        <v>0</v>
      </c>
    </row>
    <row r="62" spans="2:62" x14ac:dyDescent="0.25">
      <c r="E62" s="234" t="s">
        <v>77</v>
      </c>
      <c r="F62" s="238">
        <f>SUMPRODUCT(($F$4=Producción_Agricola[C. Costo Reporte])*(Económico!F$41=Producción_Agricola[Unidad de Negocio])*(Económico!$E62=Producción_Agricola[Cuenta Contable])*(Producción_Agricola[Cantidad Total])*($F$5=Producción_Agricola[Campaña]))</f>
        <v>0</v>
      </c>
      <c r="G62" s="238">
        <f>SUMPRODUCT(($F$4=Producción_Agricola[C. Costo Reporte])*(Económico!G$41=Producción_Agricola[Unidad de Negocio])*(Económico!$E62=Producción_Agricola[Cuenta Contable])*(Producción_Agricola[Cantidad Total])*($F$5=Producción_Agricola[Campaña]))</f>
        <v>0</v>
      </c>
      <c r="H62" s="238">
        <f>SUMPRODUCT(($F$4=Producción_Agricola[C. Costo Reporte])*(Económico!H$41=Producción_Agricola[Unidad de Negocio])*(Económico!$E62=Producción_Agricola[Cuenta Contable])*(Producción_Agricola[Cantidad Total])*($F$5=Producción_Agricola[Campaña]))</f>
        <v>0</v>
      </c>
      <c r="I62" s="238">
        <f>SUMPRODUCT(($F$4=Producción_Agricola[C. Costo Reporte])*(Económico!I$41=Producción_Agricola[Unidad de Negocio])*(Económico!$E62=Producción_Agricola[Cuenta Contable])*(Producción_Agricola[Cantidad Total])*($F$5=Producción_Agricola[Campaña]))</f>
        <v>0</v>
      </c>
      <c r="J62" s="238">
        <f>SUMPRODUCT(($F$4=Producción_Agricola[C. Costo Reporte])*(Económico!J$41=Producción_Agricola[Unidad de Negocio])*(Económico!$E62=Producción_Agricola[Cuenta Contable])*(Producción_Agricola[Cantidad Total])*($F$5=Producción_Agricola[Campaña]))</f>
        <v>0</v>
      </c>
      <c r="K62" s="238">
        <f>SUMPRODUCT(($F$4=Producción_Agricola[C. Costo Reporte])*(Económico!K$41=Producción_Agricola[Unidad de Negocio])*(Económico!$E62=Producción_Agricola[Cuenta Contable])*(Producción_Agricola[Cantidad Total])*($F$5=Producción_Agricola[Campaña]))</f>
        <v>0</v>
      </c>
      <c r="L62" s="238">
        <f>SUMPRODUCT(($F$4=Producción_Agricola[C. Costo Reporte])*(Económico!L$41=Producción_Agricola[Unidad de Negocio])*(Económico!$E62=Producción_Agricola[Cuenta Contable])*(Producción_Agricola[Cantidad Total])*($F$5=Producción_Agricola[Campaña]))</f>
        <v>0</v>
      </c>
      <c r="M62" s="238">
        <f>SUMPRODUCT(($F$4=Producción_Agricola[C. Costo Reporte])*(Económico!M$41=Producción_Agricola[Unidad de Negocio])*(Económico!$E62=Producción_Agricola[Cuenta Contable])*(Producción_Agricola[Cantidad Total])*($F$5=Producción_Agricola[Campaña]))</f>
        <v>0</v>
      </c>
      <c r="N62" s="238">
        <f>SUMPRODUCT(($F$4=Producción_Agricola[C. Costo Reporte])*(Económico!N$41=Producción_Agricola[Unidad de Negocio])*(Económico!$E62=Producción_Agricola[Cuenta Contable])*(Producción_Agricola[Cantidad Total])*($F$5=Producción_Agricola[Campaña]))</f>
        <v>0</v>
      </c>
      <c r="O62" s="238">
        <f>SUMPRODUCT(($F$4=Producción_Agricola[C. Costo Reporte])*(Económico!O$41=Producción_Agricola[Unidad de Negocio])*(Económico!$E62=Producción_Agricola[Cuenta Contable])*(Producción_Agricola[Cantidad Total])*($F$5=Producción_Agricola[Campaña]))</f>
        <v>0</v>
      </c>
      <c r="P62" s="238">
        <f>SUMPRODUCT(($F$4=Producción_Agricola[C. Costo Reporte])*(Económico!P$41=Producción_Agricola[Unidad de Negocio])*(Económico!$E62=Producción_Agricola[Cuenta Contable])*(Producción_Agricola[Cantidad Total])*($F$5=Producción_Agricola[Campaña]))</f>
        <v>0</v>
      </c>
      <c r="Q62" s="238">
        <f>SUMPRODUCT(($F$4=Producción_Agricola[C. Costo Reporte])*(Económico!Q$41=Producción_Agricola[Unidad de Negocio])*(Económico!$E62=Producción_Agricola[Cuenta Contable])*(Producción_Agricola[Cantidad Total])*($F$5=Producción_Agricola[Campaña]))</f>
        <v>0</v>
      </c>
      <c r="AA62" s="247" t="s">
        <v>77</v>
      </c>
      <c r="AB62" s="238">
        <f>SUMPRODUCT(($F$4=Producción_Agricola[C. Costo Reporte])*(Económico!AB$41=Producción_Agricola[Unidad de Negocio])*(Económico!$E62=Producción_Agricola[Cuenta Contable])*(Producción_Agricola[Cantidad Total])*($F$5=Producción_Agricola[Campaña]))</f>
        <v>0</v>
      </c>
      <c r="AC62" s="238">
        <f>SUMPRODUCT(($F$4=Producción_Agricola[C. Costo Reporte])*(Económico!AC$41=Producción_Agricola[Unidad de Negocio])*(Económico!$E62=Producción_Agricola[Cuenta Contable])*(Producción_Agricola[Cantidad Total])*($F$5=Producción_Agricola[Campaña]))</f>
        <v>0</v>
      </c>
      <c r="AD62" s="238">
        <f>SUMPRODUCT(($F$4=Producción_Agricola[C. Costo Reporte])*(Económico!AD$41=Producción_Agricola[Unidad de Negocio])*(Económico!$E62=Producción_Agricola[Cuenta Contable])*(Producción_Agricola[Cantidad Total])*($F$5=Producción_Agricola[Campaña]))</f>
        <v>0</v>
      </c>
      <c r="AE62" s="238">
        <f>SUMPRODUCT(($F$4=Producción_Agricola[C. Costo Reporte])*(Económico!AE$41=Producción_Agricola[Unidad de Negocio])*(Económico!$E62=Producción_Agricola[Cuenta Contable])*(Producción_Agricola[Cantidad Total])*($F$5=Producción_Agricola[Campaña]))</f>
        <v>0</v>
      </c>
      <c r="AF62" s="238">
        <f>SUMPRODUCT(($F$4=Producción_Agricola[C. Costo Reporte])*(Económico!AF$41=Producción_Agricola[Unidad de Negocio])*(Económico!$E62=Producción_Agricola[Cuenta Contable])*(Producción_Agricola[Cantidad Total])*($F$5=Producción_Agricola[Campaña]))</f>
        <v>0</v>
      </c>
      <c r="AG62" s="238">
        <f>SUMPRODUCT(($F$4=Producción_Agricola[C. Costo Reporte])*(Económico!AG$41=Producción_Agricola[Unidad de Negocio])*(Económico!$E62=Producción_Agricola[Cuenta Contable])*(Producción_Agricola[Cantidad Total])*($F$5=Producción_Agricola[Campaña]))</f>
        <v>0</v>
      </c>
      <c r="AH62" s="238">
        <f>SUMPRODUCT(($F$4=Producción_Agricola[C. Costo Reporte])*(Económico!AH$41=Producción_Agricola[Unidad de Negocio])*(Económico!$E62=Producción_Agricola[Cuenta Contable])*(Producción_Agricola[Cantidad Total])*($F$5=Producción_Agricola[Campaña]))</f>
        <v>0</v>
      </c>
      <c r="AI62" s="238">
        <f>SUMPRODUCT(($F$4=Producción_Agricola[C. Costo Reporte])*(Económico!AI$41=Producción_Agricola[Unidad de Negocio])*(Económico!$E62=Producción_Agricola[Cuenta Contable])*(Producción_Agricola[Cantidad Total])*($F$5=Producción_Agricola[Campaña]))</f>
        <v>0</v>
      </c>
      <c r="AJ62" s="238">
        <f>SUMPRODUCT(($F$4=Producción_Agricola[C. Costo Reporte])*(Económico!AJ$41=Producción_Agricola[Unidad de Negocio])*(Económico!$E62=Producción_Agricola[Cuenta Contable])*(Producción_Agricola[Cantidad Total])*($F$5=Producción_Agricola[Campaña]))</f>
        <v>0</v>
      </c>
      <c r="AK62" s="238">
        <f>SUMPRODUCT(($F$4=Producción_Agricola[C. Costo Reporte])*(Económico!AK$41=Producción_Agricola[Unidad de Negocio])*(Económico!$E62=Producción_Agricola[Cuenta Contable])*(Producción_Agricola[Cantidad Total])*($F$5=Producción_Agricola[Campaña]))</f>
        <v>0</v>
      </c>
      <c r="AL62" s="238">
        <f>SUMPRODUCT(($F$4=Producción_Agricola[C. Costo Reporte])*(Económico!AL$41=Producción_Agricola[Unidad de Negocio])*(Económico!$E62=Producción_Agricola[Cuenta Contable])*(Producción_Agricola[Cantidad Total])*($F$5=Producción_Agricola[Campaña]))</f>
        <v>0</v>
      </c>
      <c r="AM62" s="238">
        <f>SUMPRODUCT(($F$4=Producción_Agricola[C. Costo Reporte])*(Económico!AM$41=Producción_Agricola[Unidad de Negocio])*(Económico!$E62=Producción_Agricola[Cuenta Contable])*(Producción_Agricola[Cantidad Total])*($F$5=Producción_Agricola[Campaña]))</f>
        <v>0</v>
      </c>
      <c r="AW62" s="247" t="s">
        <v>77</v>
      </c>
      <c r="AX62" s="238">
        <f>SUMPRODUCT(($F$4=Producción_Agricola[C. Costo Reporte])*(Económico!AX$41=Producción_Agricola[Unidad de Negocio])*(Económico!$E62=Producción_Agricola[Cuenta Contable])*(Producción_Agricola[Cantidad Total])*($F$5=Producción_Agricola[Campaña]))</f>
        <v>0</v>
      </c>
      <c r="AY62" s="238">
        <f>SUMPRODUCT(($F$4=Producción_Agricola[C. Costo Reporte])*(Económico!AY$41=Producción_Agricola[Unidad de Negocio])*(Económico!$E62=Producción_Agricola[Cuenta Contable])*(Producción_Agricola[Cantidad Total])*($F$5=Producción_Agricola[Campaña]))</f>
        <v>0</v>
      </c>
      <c r="AZ62" s="238">
        <f>SUMPRODUCT(($F$4=Producción_Agricola[C. Costo Reporte])*(Económico!AZ$41=Producción_Agricola[Unidad de Negocio])*(Económico!$E62=Producción_Agricola[Cuenta Contable])*(Producción_Agricola[Cantidad Total])*($F$5=Producción_Agricola[Campaña]))</f>
        <v>0</v>
      </c>
      <c r="BA62" s="238">
        <f>SUMPRODUCT(($F$4=Producción_Agricola[C. Costo Reporte])*(Económico!BA$41=Producción_Agricola[Unidad de Negocio])*(Económico!$E62=Producción_Agricola[Cuenta Contable])*(Producción_Agricola[Cantidad Total])*($F$5=Producción_Agricola[Campaña]))</f>
        <v>0</v>
      </c>
      <c r="BB62" s="238">
        <f>SUMPRODUCT(($F$4=Producción_Agricola[C. Costo Reporte])*(Económico!BB$41=Producción_Agricola[Unidad de Negocio])*(Económico!$E62=Producción_Agricola[Cuenta Contable])*(Producción_Agricola[Cantidad Total])*($F$5=Producción_Agricola[Campaña]))</f>
        <v>0</v>
      </c>
      <c r="BC62" s="238">
        <f>SUMPRODUCT(($F$4=Producción_Agricola[C. Costo Reporte])*(Económico!BC$41=Producción_Agricola[Unidad de Negocio])*(Económico!$E62=Producción_Agricola[Cuenta Contable])*(Producción_Agricola[Cantidad Total])*($F$5=Producción_Agricola[Campaña]))</f>
        <v>0</v>
      </c>
      <c r="BD62" s="238">
        <f>SUMPRODUCT(($F$4=Producción_Agricola[C. Costo Reporte])*(Económico!BD$41=Producción_Agricola[Unidad de Negocio])*(Económico!$E62=Producción_Agricola[Cuenta Contable])*(Producción_Agricola[Cantidad Total])*($F$5=Producción_Agricola[Campaña]))</f>
        <v>0</v>
      </c>
      <c r="BE62" s="238">
        <f>SUMPRODUCT(($F$4=Producción_Agricola[C. Costo Reporte])*(Económico!BE$41=Producción_Agricola[Unidad de Negocio])*(Económico!$E62=Producción_Agricola[Cuenta Contable])*(Producción_Agricola[Cantidad Total])*($F$5=Producción_Agricola[Campaña]))</f>
        <v>0</v>
      </c>
      <c r="BF62" s="238">
        <f>SUMPRODUCT(($F$4=Producción_Agricola[C. Costo Reporte])*(Económico!BF$41=Producción_Agricola[Unidad de Negocio])*(Económico!$E62=Producción_Agricola[Cuenta Contable])*(Producción_Agricola[Cantidad Total])*($F$5=Producción_Agricola[Campaña]))</f>
        <v>0</v>
      </c>
      <c r="BG62" s="238">
        <f>SUMPRODUCT(($F$4=Producción_Agricola[C. Costo Reporte])*(Económico!BG$41=Producción_Agricola[Unidad de Negocio])*(Económico!$E62=Producción_Agricola[Cuenta Contable])*(Producción_Agricola[Cantidad Total])*($F$5=Producción_Agricola[Campaña]))</f>
        <v>0</v>
      </c>
      <c r="BH62" s="238">
        <f>SUMPRODUCT(($F$4=Producción_Agricola[C. Costo Reporte])*(Económico!BH$41=Producción_Agricola[Unidad de Negocio])*(Económico!$E62=Producción_Agricola[Cuenta Contable])*(Producción_Agricola[Cantidad Total])*($F$5=Producción_Agricola[Campaña]))</f>
        <v>0</v>
      </c>
      <c r="BI62" s="238">
        <f>SUMPRODUCT(($F$4=Producción_Agricola[C. Costo Reporte])*(Económico!BI$41=Producción_Agricola[Unidad de Negocio])*(Económico!$E62=Producción_Agricola[Cuenta Contable])*(Producción_Agricola[Cantidad Total])*($F$5=Producción_Agricola[Campaña]))</f>
        <v>0</v>
      </c>
    </row>
    <row r="63" spans="2:62" x14ac:dyDescent="0.25"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Y63" s="406"/>
      <c r="Z63" s="406"/>
      <c r="AA63" s="37"/>
      <c r="AB63" s="406"/>
      <c r="AC63" s="406"/>
      <c r="AD63" s="406"/>
      <c r="AE63" s="406"/>
      <c r="AF63" s="406"/>
      <c r="AG63" s="406"/>
      <c r="AH63" s="406"/>
      <c r="AI63" s="406"/>
      <c r="AJ63" s="406"/>
      <c r="AK63" s="406"/>
      <c r="AL63" s="406"/>
      <c r="AM63" s="406"/>
      <c r="AN63" s="406"/>
      <c r="AU63" s="463"/>
      <c r="AV63" s="463"/>
      <c r="AW63" s="37"/>
      <c r="AX63" s="463"/>
      <c r="AY63" s="463"/>
      <c r="AZ63" s="463"/>
      <c r="BA63" s="463"/>
      <c r="BB63" s="463"/>
      <c r="BC63" s="463"/>
      <c r="BD63" s="463"/>
      <c r="BE63" s="463"/>
      <c r="BF63" s="463"/>
      <c r="BG63" s="463"/>
      <c r="BH63" s="463"/>
      <c r="BI63" s="463"/>
      <c r="BJ63" s="463"/>
    </row>
    <row r="64" spans="2:62" x14ac:dyDescent="0.25">
      <c r="B64" s="192"/>
      <c r="C64" s="192"/>
      <c r="D64" s="192"/>
      <c r="E64" s="247" t="s">
        <v>304</v>
      </c>
      <c r="F64" s="236">
        <f>SUMPRODUCT((Tabla28[Tipo Cuenta]=$R$64)*(F42:F58))</f>
        <v>0</v>
      </c>
      <c r="G64" s="236">
        <f>SUMPRODUCT((Tabla28[Tipo Cuenta]=$R$64)*(G42:G58))</f>
        <v>0</v>
      </c>
      <c r="H64" s="236">
        <f>SUMPRODUCT((Tabla28[Tipo Cuenta]=$R$64)*(H42:H58))</f>
        <v>0</v>
      </c>
      <c r="I64" s="236">
        <f>SUMPRODUCT((Tabla28[Tipo Cuenta]=$R$64)*(I42:I58))</f>
        <v>0</v>
      </c>
      <c r="J64" s="236">
        <f>SUMPRODUCT((Tabla28[Tipo Cuenta]=$R$64)*(J42:J58))</f>
        <v>0</v>
      </c>
      <c r="K64" s="236">
        <f>SUMPRODUCT((Tabla28[Tipo Cuenta]=$R$64)*(K42:K58))</f>
        <v>0</v>
      </c>
      <c r="L64" s="236">
        <f>SUMPRODUCT((Tabla28[Tipo Cuenta]=$R$64)*(L42:L58))</f>
        <v>0</v>
      </c>
      <c r="M64" s="236">
        <f>SUMPRODUCT((Tabla28[Tipo Cuenta]=$R$64)*(M42:M58))</f>
        <v>0</v>
      </c>
      <c r="N64" s="236">
        <f>SUMPRODUCT((Tabla28[Tipo Cuenta]=$R$64)*(N42:N58))</f>
        <v>0</v>
      </c>
      <c r="O64" s="236">
        <f>SUMPRODUCT((Tabla28[Tipo Cuenta]=$R$64)*(O42:O58))</f>
        <v>0</v>
      </c>
      <c r="P64" s="236">
        <f>SUMPRODUCT((Tabla28[Tipo Cuenta]=$R$64)*(P42:P58))</f>
        <v>0</v>
      </c>
      <c r="Q64" s="236">
        <f>SUMPRODUCT((Tabla28[Tipo Cuenta]=$R$64)*(Q42:Q58))</f>
        <v>0</v>
      </c>
      <c r="R64" s="124" t="s">
        <v>37</v>
      </c>
      <c r="Y64" s="406"/>
      <c r="Z64" s="406"/>
      <c r="AA64" s="247" t="s">
        <v>304</v>
      </c>
      <c r="AB64" s="236">
        <f>SUMPRODUCT((Tabla2841[Tipo Cuenta]=$R$64)*(AB42:AB58))</f>
        <v>0</v>
      </c>
      <c r="AC64" s="236">
        <f>SUMPRODUCT((Tabla2841[Tipo Cuenta]=$R$64)*(AC42:AC58))</f>
        <v>0</v>
      </c>
      <c r="AD64" s="236">
        <f>SUMPRODUCT((Tabla2841[Tipo Cuenta]=$R$64)*(AD42:AD58))</f>
        <v>0</v>
      </c>
      <c r="AE64" s="236">
        <f>SUMPRODUCT((Tabla2841[Tipo Cuenta]=$R$64)*(AE42:AE58))</f>
        <v>0</v>
      </c>
      <c r="AF64" s="236">
        <f>SUMPRODUCT((Tabla2841[Tipo Cuenta]=$R$64)*(AF42:AF58))</f>
        <v>0</v>
      </c>
      <c r="AG64" s="236">
        <f>SUMPRODUCT((Tabla2841[Tipo Cuenta]=$R$64)*(AG42:AG58))</f>
        <v>0</v>
      </c>
      <c r="AH64" s="236">
        <f>SUMPRODUCT((Tabla2841[Tipo Cuenta]=$R$64)*(AH42:AH58))</f>
        <v>0</v>
      </c>
      <c r="AI64" s="236">
        <f>SUMPRODUCT((Tabla2841[Tipo Cuenta]=$R$64)*(AI42:AI58))</f>
        <v>0</v>
      </c>
      <c r="AJ64" s="236">
        <f>SUMPRODUCT((Tabla2841[Tipo Cuenta]=$R$64)*(AJ42:AJ58))</f>
        <v>0</v>
      </c>
      <c r="AK64" s="236">
        <f>SUMPRODUCT((Tabla2841[Tipo Cuenta]=$R$64)*(AK42:AK58))</f>
        <v>0</v>
      </c>
      <c r="AL64" s="236">
        <f>SUMPRODUCT((Tabla2841[Tipo Cuenta]=$R$64)*(AL42:AL58))</f>
        <v>0</v>
      </c>
      <c r="AM64" s="236">
        <f>SUMPRODUCT((Tabla2841[Tipo Cuenta]=$R$64)*(AM42:AM58))</f>
        <v>0</v>
      </c>
      <c r="AN64" s="124" t="s">
        <v>37</v>
      </c>
      <c r="AU64" s="463"/>
      <c r="AV64" s="463"/>
      <c r="AW64" s="247" t="s">
        <v>304</v>
      </c>
      <c r="AX64" s="236">
        <f>SUMPRODUCT((Tabla284150[Tipo Cuenta]=$R$64)*(AX42:AX58))</f>
        <v>0</v>
      </c>
      <c r="AY64" s="236">
        <f>SUMPRODUCT((Tabla284150[Tipo Cuenta]=$R$64)*(AY42:AY58))</f>
        <v>0</v>
      </c>
      <c r="AZ64" s="236">
        <f>SUMPRODUCT((Tabla284150[Tipo Cuenta]=$R$64)*(AZ42:AZ58))</f>
        <v>0</v>
      </c>
      <c r="BA64" s="236">
        <f>SUMPRODUCT((Tabla284150[Tipo Cuenta]=$R$64)*(BA42:BA58))</f>
        <v>0</v>
      </c>
      <c r="BB64" s="236">
        <f>SUMPRODUCT((Tabla284150[Tipo Cuenta]=$R$64)*(BB42:BB58))</f>
        <v>0</v>
      </c>
      <c r="BC64" s="236">
        <f>SUMPRODUCT((Tabla284150[Tipo Cuenta]=$R$64)*(BC42:BC58))</f>
        <v>0</v>
      </c>
      <c r="BD64" s="236">
        <f>SUMPRODUCT((Tabla284150[Tipo Cuenta]=$R$64)*(BD42:BD58))</f>
        <v>0</v>
      </c>
      <c r="BE64" s="236">
        <f>SUMPRODUCT((Tabla284150[Tipo Cuenta]=$R$64)*(BE42:BE58))</f>
        <v>0</v>
      </c>
      <c r="BF64" s="236">
        <f>SUMPRODUCT((Tabla284150[Tipo Cuenta]=$R$64)*(BF42:BF58))</f>
        <v>0</v>
      </c>
      <c r="BG64" s="236">
        <f>SUMPRODUCT((Tabla284150[Tipo Cuenta]=$R$64)*(BG42:BG58))</f>
        <v>0</v>
      </c>
      <c r="BH64" s="236">
        <f>SUMPRODUCT((Tabla284150[Tipo Cuenta]=$R$64)*(BH42:BH58))</f>
        <v>0</v>
      </c>
      <c r="BI64" s="236">
        <f>SUMPRODUCT((Tabla284150[Tipo Cuenta]=$R$64)*(BI42:BI58))</f>
        <v>0</v>
      </c>
      <c r="BJ64" s="124" t="s">
        <v>37</v>
      </c>
    </row>
    <row r="65" spans="2:62" x14ac:dyDescent="0.25">
      <c r="B65" s="192"/>
      <c r="C65" s="192"/>
      <c r="D65" s="192"/>
      <c r="E65" s="247" t="s">
        <v>305</v>
      </c>
      <c r="F65" s="236">
        <f>ABS(SUMPRODUCT((Tabla28[Tipo Cuenta]=$R$65)*(F42:F58)))</f>
        <v>0</v>
      </c>
      <c r="G65" s="236">
        <f>ABS(SUMPRODUCT((Tabla28[Tipo Cuenta]=$R$65)*(G42:G58)))</f>
        <v>0</v>
      </c>
      <c r="H65" s="236">
        <f>ABS(SUMPRODUCT((Tabla28[Tipo Cuenta]=$R$65)*(H42:H58)))</f>
        <v>0</v>
      </c>
      <c r="I65" s="236">
        <f>ABS(SUMPRODUCT((Tabla28[Tipo Cuenta]=$R$65)*(I42:I58)))</f>
        <v>0</v>
      </c>
      <c r="J65" s="236">
        <f>ABS(SUMPRODUCT((Tabla28[Tipo Cuenta]=$R$65)*(J42:J58)))</f>
        <v>0</v>
      </c>
      <c r="K65" s="236">
        <f>ABS(SUMPRODUCT((Tabla28[Tipo Cuenta]=$R$65)*(K42:K58)))</f>
        <v>0</v>
      </c>
      <c r="L65" s="236">
        <f>ABS(SUMPRODUCT((Tabla28[Tipo Cuenta]=$R$65)*(L42:L58)))</f>
        <v>0</v>
      </c>
      <c r="M65" s="236">
        <f>ABS(SUMPRODUCT((Tabla28[Tipo Cuenta]=$R$65)*(M42:M58)))</f>
        <v>0</v>
      </c>
      <c r="N65" s="236">
        <f>ABS(SUMPRODUCT((Tabla28[Tipo Cuenta]=$R$65)*(N42:N58)))</f>
        <v>0</v>
      </c>
      <c r="O65" s="236">
        <f>ABS(SUMPRODUCT((Tabla28[Tipo Cuenta]=$R$65)*(O42:O58)))</f>
        <v>0</v>
      </c>
      <c r="P65" s="236">
        <f>ABS(SUMPRODUCT((Tabla28[Tipo Cuenta]=$R$65)*(P42:P58)))</f>
        <v>0</v>
      </c>
      <c r="Q65" s="236">
        <f>ABS(SUMPRODUCT((Tabla28[Tipo Cuenta]=$R$65)*(Q42:Q58)))</f>
        <v>0</v>
      </c>
      <c r="R65" s="124" t="s">
        <v>257</v>
      </c>
      <c r="Y65" s="406"/>
      <c r="Z65" s="406"/>
      <c r="AA65" s="247" t="s">
        <v>305</v>
      </c>
      <c r="AB65" s="236">
        <f>ABS(SUMPRODUCT((Tabla2841[Tipo Cuenta]=$R$65)*(AB42:AB58)))</f>
        <v>0</v>
      </c>
      <c r="AC65" s="236">
        <f>ABS(SUMPRODUCT((Tabla2841[Tipo Cuenta]=$R$65)*(AC42:AC58)))</f>
        <v>0</v>
      </c>
      <c r="AD65" s="236">
        <f>ABS(SUMPRODUCT((Tabla2841[Tipo Cuenta]=$R$65)*(AD42:AD58)))</f>
        <v>0</v>
      </c>
      <c r="AE65" s="236">
        <f>ABS(SUMPRODUCT((Tabla2841[Tipo Cuenta]=$R$65)*(AE42:AE58)))</f>
        <v>0</v>
      </c>
      <c r="AF65" s="236">
        <f>ABS(SUMPRODUCT((Tabla2841[Tipo Cuenta]=$R$65)*(AF42:AF58)))</f>
        <v>0</v>
      </c>
      <c r="AG65" s="236">
        <f>ABS(SUMPRODUCT((Tabla2841[Tipo Cuenta]=$R$65)*(AG42:AG58)))</f>
        <v>0</v>
      </c>
      <c r="AH65" s="236">
        <f>ABS(SUMPRODUCT((Tabla2841[Tipo Cuenta]=$R$65)*(AH42:AH58)))</f>
        <v>0</v>
      </c>
      <c r="AI65" s="236">
        <f>ABS(SUMPRODUCT((Tabla2841[Tipo Cuenta]=$R$65)*(AI42:AI58)))</f>
        <v>0</v>
      </c>
      <c r="AJ65" s="236">
        <f>ABS(SUMPRODUCT((Tabla2841[Tipo Cuenta]=$R$65)*(AJ42:AJ58)))</f>
        <v>0</v>
      </c>
      <c r="AK65" s="236">
        <f>ABS(SUMPRODUCT((Tabla2841[Tipo Cuenta]=$R$65)*(AK42:AK58)))</f>
        <v>0</v>
      </c>
      <c r="AL65" s="236">
        <f>ABS(SUMPRODUCT((Tabla2841[Tipo Cuenta]=$R$65)*(AL42:AL58)))</f>
        <v>0</v>
      </c>
      <c r="AM65" s="236">
        <f>ABS(SUMPRODUCT((Tabla2841[Tipo Cuenta]=$R$65)*(AM42:AM58)))</f>
        <v>0</v>
      </c>
      <c r="AN65" s="124" t="s">
        <v>257</v>
      </c>
      <c r="AU65" s="463"/>
      <c r="AV65" s="463"/>
      <c r="AW65" s="247" t="s">
        <v>305</v>
      </c>
      <c r="AX65" s="236">
        <f>ABS(SUMPRODUCT((Tabla284150[Tipo Cuenta]=$R$65)*(AX42:AX58)))</f>
        <v>0</v>
      </c>
      <c r="AY65" s="236">
        <f>ABS(SUMPRODUCT((Tabla284150[Tipo Cuenta]=$R$65)*(AY42:AY58)))</f>
        <v>0</v>
      </c>
      <c r="AZ65" s="236">
        <f>ABS(SUMPRODUCT((Tabla284150[Tipo Cuenta]=$R$65)*(AZ42:AZ58)))</f>
        <v>0</v>
      </c>
      <c r="BA65" s="236">
        <f>ABS(SUMPRODUCT((Tabla284150[Tipo Cuenta]=$R$65)*(BA42:BA58)))</f>
        <v>0</v>
      </c>
      <c r="BB65" s="236">
        <f>ABS(SUMPRODUCT((Tabla284150[Tipo Cuenta]=$R$65)*(BB42:BB58)))</f>
        <v>0</v>
      </c>
      <c r="BC65" s="236">
        <f>ABS(SUMPRODUCT((Tabla284150[Tipo Cuenta]=$R$65)*(BC42:BC58)))</f>
        <v>0</v>
      </c>
      <c r="BD65" s="236">
        <f>ABS(SUMPRODUCT((Tabla284150[Tipo Cuenta]=$R$65)*(BD42:BD58)))</f>
        <v>0</v>
      </c>
      <c r="BE65" s="236">
        <f>ABS(SUMPRODUCT((Tabla284150[Tipo Cuenta]=$R$65)*(BE42:BE58)))</f>
        <v>0</v>
      </c>
      <c r="BF65" s="236">
        <f>ABS(SUMPRODUCT((Tabla284150[Tipo Cuenta]=$R$65)*(BF42:BF58)))</f>
        <v>0</v>
      </c>
      <c r="BG65" s="236">
        <f>ABS(SUMPRODUCT((Tabla284150[Tipo Cuenta]=$R$65)*(BG42:BG58)))</f>
        <v>0</v>
      </c>
      <c r="BH65" s="236">
        <f>ABS(SUMPRODUCT((Tabla284150[Tipo Cuenta]=$R$65)*(BH42:BH58)))</f>
        <v>0</v>
      </c>
      <c r="BI65" s="236">
        <f>ABS(SUMPRODUCT((Tabla284150[Tipo Cuenta]=$R$65)*(BI42:BI58)))</f>
        <v>0</v>
      </c>
      <c r="BJ65" s="124" t="s">
        <v>257</v>
      </c>
    </row>
    <row r="66" spans="2:62" x14ac:dyDescent="0.25">
      <c r="E66" s="247" t="s">
        <v>306</v>
      </c>
      <c r="F66" s="236">
        <f>ABS(SUMPRODUCT((Tabla28[Tipo Cuenta]=$R$66)*(F42:F58)))</f>
        <v>0</v>
      </c>
      <c r="G66" s="236">
        <f>ABS(SUMPRODUCT((Tabla28[Tipo Cuenta]=$R$66)*(G42:G58)))</f>
        <v>0</v>
      </c>
      <c r="H66" s="236">
        <f>ABS(SUMPRODUCT((Tabla28[Tipo Cuenta]=$R$66)*(H42:H58)))</f>
        <v>0</v>
      </c>
      <c r="I66" s="236">
        <f>ABS(SUMPRODUCT((Tabla28[Tipo Cuenta]=$R$66)*(I42:I58)))</f>
        <v>0</v>
      </c>
      <c r="J66" s="236">
        <f>ABS(SUMPRODUCT((Tabla28[Tipo Cuenta]=$R$66)*(J42:J58)))</f>
        <v>0</v>
      </c>
      <c r="K66" s="236">
        <f>ABS(SUMPRODUCT((Tabla28[Tipo Cuenta]=$R$66)*(K42:K58)))</f>
        <v>0</v>
      </c>
      <c r="L66" s="236">
        <f>ABS(SUMPRODUCT((Tabla28[Tipo Cuenta]=$R$66)*(L42:L58)))</f>
        <v>0</v>
      </c>
      <c r="M66" s="236">
        <f>ABS(SUMPRODUCT((Tabla28[Tipo Cuenta]=$R$66)*(M42:M58)))</f>
        <v>0</v>
      </c>
      <c r="N66" s="236">
        <f>ABS(SUMPRODUCT((Tabla28[Tipo Cuenta]=$R$66)*(N42:N58)))</f>
        <v>0</v>
      </c>
      <c r="O66" s="236">
        <f>ABS(SUMPRODUCT((Tabla28[Tipo Cuenta]=$R$66)*(O42:O58)))</f>
        <v>0</v>
      </c>
      <c r="P66" s="236">
        <f>ABS(SUMPRODUCT((Tabla28[Tipo Cuenta]=$R$66)*(P42:P58)))</f>
        <v>0</v>
      </c>
      <c r="Q66" s="236">
        <f>ABS(SUMPRODUCT((Tabla28[Tipo Cuenta]=$R$66)*(Q42:Q58)))</f>
        <v>0</v>
      </c>
      <c r="R66" s="124" t="s">
        <v>256</v>
      </c>
      <c r="AA66" s="247" t="s">
        <v>306</v>
      </c>
      <c r="AB66" s="236">
        <f>ABS(SUMPRODUCT((Tabla2841[Tipo Cuenta]=$R$66)*(AB42:AB58)))</f>
        <v>0</v>
      </c>
      <c r="AC66" s="236">
        <f>ABS(SUMPRODUCT((Tabla2841[Tipo Cuenta]=$R$66)*(AC42:AC58)))</f>
        <v>0</v>
      </c>
      <c r="AD66" s="236">
        <f>ABS(SUMPRODUCT((Tabla2841[Tipo Cuenta]=$R$66)*(AD42:AD58)))</f>
        <v>0</v>
      </c>
      <c r="AE66" s="236">
        <f>ABS(SUMPRODUCT((Tabla2841[Tipo Cuenta]=$R$66)*(AE42:AE58)))</f>
        <v>0</v>
      </c>
      <c r="AF66" s="236">
        <f>ABS(SUMPRODUCT((Tabla2841[Tipo Cuenta]=$R$66)*(AF42:AF58)))</f>
        <v>0</v>
      </c>
      <c r="AG66" s="236">
        <f>ABS(SUMPRODUCT((Tabla2841[Tipo Cuenta]=$R$66)*(AG42:AG58)))</f>
        <v>0</v>
      </c>
      <c r="AH66" s="236">
        <f>ABS(SUMPRODUCT((Tabla2841[Tipo Cuenta]=$R$66)*(AH42:AH58)))</f>
        <v>0</v>
      </c>
      <c r="AI66" s="236">
        <f>ABS(SUMPRODUCT((Tabla2841[Tipo Cuenta]=$R$66)*(AI42:AI58)))</f>
        <v>0</v>
      </c>
      <c r="AJ66" s="236">
        <f>ABS(SUMPRODUCT((Tabla2841[Tipo Cuenta]=$R$66)*(AJ42:AJ58)))</f>
        <v>0</v>
      </c>
      <c r="AK66" s="236">
        <f>ABS(SUMPRODUCT((Tabla2841[Tipo Cuenta]=$R$66)*(AK42:AK58)))</f>
        <v>0</v>
      </c>
      <c r="AL66" s="236">
        <f>ABS(SUMPRODUCT((Tabla2841[Tipo Cuenta]=$R$66)*(AL42:AL58)))</f>
        <v>0</v>
      </c>
      <c r="AM66" s="236">
        <f>ABS(SUMPRODUCT((Tabla2841[Tipo Cuenta]=$R$66)*(AM42:AM58)))</f>
        <v>0</v>
      </c>
      <c r="AN66" s="124" t="s">
        <v>256</v>
      </c>
      <c r="AW66" s="247" t="s">
        <v>306</v>
      </c>
      <c r="AX66" s="236">
        <f>ABS(SUMPRODUCT((Tabla284150[Tipo Cuenta]=$R$66)*(AX42:AX58)))</f>
        <v>0</v>
      </c>
      <c r="AY66" s="236">
        <f>ABS(SUMPRODUCT((Tabla284150[Tipo Cuenta]=$R$66)*(AY42:AY58)))</f>
        <v>0</v>
      </c>
      <c r="AZ66" s="236">
        <f>ABS(SUMPRODUCT((Tabla284150[Tipo Cuenta]=$R$66)*(AZ42:AZ58)))</f>
        <v>0</v>
      </c>
      <c r="BA66" s="236">
        <f>ABS(SUMPRODUCT((Tabla284150[Tipo Cuenta]=$R$66)*(BA42:BA58)))</f>
        <v>0</v>
      </c>
      <c r="BB66" s="236">
        <f>ABS(SUMPRODUCT((Tabla284150[Tipo Cuenta]=$R$66)*(BB42:BB58)))</f>
        <v>0</v>
      </c>
      <c r="BC66" s="236">
        <f>ABS(SUMPRODUCT((Tabla284150[Tipo Cuenta]=$R$66)*(BC42:BC58)))</f>
        <v>0</v>
      </c>
      <c r="BD66" s="236">
        <f>ABS(SUMPRODUCT((Tabla284150[Tipo Cuenta]=$R$66)*(BD42:BD58)))</f>
        <v>0</v>
      </c>
      <c r="BE66" s="236">
        <f>ABS(SUMPRODUCT((Tabla284150[Tipo Cuenta]=$R$66)*(BE42:BE58)))</f>
        <v>0</v>
      </c>
      <c r="BF66" s="236">
        <f>ABS(SUMPRODUCT((Tabla284150[Tipo Cuenta]=$R$66)*(BF42:BF58)))</f>
        <v>0</v>
      </c>
      <c r="BG66" s="236">
        <f>ABS(SUMPRODUCT((Tabla284150[Tipo Cuenta]=$R$66)*(BG42:BG58)))</f>
        <v>0</v>
      </c>
      <c r="BH66" s="236">
        <f>ABS(SUMPRODUCT((Tabla284150[Tipo Cuenta]=$R$66)*(BH42:BH58)))</f>
        <v>0</v>
      </c>
      <c r="BI66" s="236">
        <f>ABS(SUMPRODUCT((Tabla284150[Tipo Cuenta]=$R$66)*(BI42:BI58)))</f>
        <v>0</v>
      </c>
      <c r="BJ66" s="124" t="s">
        <v>256</v>
      </c>
    </row>
    <row r="67" spans="2:62" x14ac:dyDescent="0.25">
      <c r="E67" s="247" t="s">
        <v>258</v>
      </c>
      <c r="F67" s="248">
        <f>IFERROR(F59/F66,0)</f>
        <v>0</v>
      </c>
      <c r="G67" s="248">
        <f t="shared" ref="G67:Q67" si="0">IFERROR(G59/G66,0)</f>
        <v>0</v>
      </c>
      <c r="H67" s="248">
        <f t="shared" si="0"/>
        <v>0</v>
      </c>
      <c r="I67" s="248">
        <f t="shared" si="0"/>
        <v>0</v>
      </c>
      <c r="J67" s="248">
        <f t="shared" si="0"/>
        <v>0</v>
      </c>
      <c r="K67" s="248">
        <f t="shared" si="0"/>
        <v>0</v>
      </c>
      <c r="L67" s="248">
        <f t="shared" si="0"/>
        <v>0</v>
      </c>
      <c r="M67" s="248">
        <f t="shared" si="0"/>
        <v>0</v>
      </c>
      <c r="N67" s="248">
        <f t="shared" si="0"/>
        <v>0</v>
      </c>
      <c r="O67" s="248">
        <f t="shared" si="0"/>
        <v>0</v>
      </c>
      <c r="P67" s="248">
        <f t="shared" si="0"/>
        <v>0</v>
      </c>
      <c r="Q67" s="248">
        <f t="shared" si="0"/>
        <v>0</v>
      </c>
      <c r="AA67" s="247" t="s">
        <v>258</v>
      </c>
      <c r="AB67" s="248">
        <f>IFERROR(AB59/AB66,0)</f>
        <v>0</v>
      </c>
      <c r="AC67" s="248">
        <f t="shared" ref="AC67:AM67" si="1">IFERROR(AC59/AC66,0)</f>
        <v>0</v>
      </c>
      <c r="AD67" s="248">
        <f t="shared" si="1"/>
        <v>0</v>
      </c>
      <c r="AE67" s="248">
        <f t="shared" si="1"/>
        <v>0</v>
      </c>
      <c r="AF67" s="248">
        <f t="shared" si="1"/>
        <v>0</v>
      </c>
      <c r="AG67" s="248">
        <f t="shared" si="1"/>
        <v>0</v>
      </c>
      <c r="AH67" s="248">
        <f t="shared" si="1"/>
        <v>0</v>
      </c>
      <c r="AI67" s="248">
        <f t="shared" si="1"/>
        <v>0</v>
      </c>
      <c r="AJ67" s="248">
        <f t="shared" si="1"/>
        <v>0</v>
      </c>
      <c r="AK67" s="248">
        <f t="shared" si="1"/>
        <v>0</v>
      </c>
      <c r="AL67" s="248">
        <f t="shared" si="1"/>
        <v>0</v>
      </c>
      <c r="AM67" s="248">
        <f t="shared" si="1"/>
        <v>0</v>
      </c>
      <c r="AW67" s="247" t="s">
        <v>258</v>
      </c>
      <c r="AX67" s="248">
        <f>IFERROR(AX59/AX66,0)</f>
        <v>0</v>
      </c>
      <c r="AY67" s="248">
        <f t="shared" ref="AY67:BI67" si="2">IFERROR(AY59/AY66,0)</f>
        <v>0</v>
      </c>
      <c r="AZ67" s="248">
        <f t="shared" si="2"/>
        <v>0</v>
      </c>
      <c r="BA67" s="248">
        <f t="shared" si="2"/>
        <v>0</v>
      </c>
      <c r="BB67" s="248">
        <f t="shared" si="2"/>
        <v>0</v>
      </c>
      <c r="BC67" s="248">
        <f t="shared" si="2"/>
        <v>0</v>
      </c>
      <c r="BD67" s="248">
        <f t="shared" si="2"/>
        <v>0</v>
      </c>
      <c r="BE67" s="248">
        <f t="shared" si="2"/>
        <v>0</v>
      </c>
      <c r="BF67" s="248">
        <f t="shared" si="2"/>
        <v>0</v>
      </c>
      <c r="BG67" s="248">
        <f t="shared" si="2"/>
        <v>0</v>
      </c>
      <c r="BH67" s="248">
        <f t="shared" si="2"/>
        <v>0</v>
      </c>
      <c r="BI67" s="248">
        <f t="shared" si="2"/>
        <v>0</v>
      </c>
    </row>
    <row r="68" spans="2:62" x14ac:dyDescent="0.25">
      <c r="B68" s="192"/>
      <c r="E68" s="286" t="s">
        <v>307</v>
      </c>
      <c r="F68" s="287">
        <f>IFERROR((F64-F65-F66)/F64,0)</f>
        <v>0</v>
      </c>
      <c r="G68" s="287">
        <f t="shared" ref="G68:Q68" si="3">IFERROR((G64-G65-G66)/G64,0)</f>
        <v>0</v>
      </c>
      <c r="H68" s="287">
        <f t="shared" si="3"/>
        <v>0</v>
      </c>
      <c r="I68" s="287">
        <f t="shared" si="3"/>
        <v>0</v>
      </c>
      <c r="J68" s="287">
        <f t="shared" si="3"/>
        <v>0</v>
      </c>
      <c r="K68" s="287">
        <f t="shared" si="3"/>
        <v>0</v>
      </c>
      <c r="L68" s="287">
        <f t="shared" si="3"/>
        <v>0</v>
      </c>
      <c r="M68" s="287">
        <f t="shared" si="3"/>
        <v>0</v>
      </c>
      <c r="N68" s="287">
        <f t="shared" si="3"/>
        <v>0</v>
      </c>
      <c r="O68" s="287">
        <f t="shared" si="3"/>
        <v>0</v>
      </c>
      <c r="P68" s="287">
        <f t="shared" si="3"/>
        <v>0</v>
      </c>
      <c r="Q68" s="287">
        <f t="shared" si="3"/>
        <v>0</v>
      </c>
      <c r="AA68" s="286" t="s">
        <v>307</v>
      </c>
      <c r="AB68" s="287">
        <f>IFERROR((AB64-AB65-AB66)/AB64,0)</f>
        <v>0</v>
      </c>
      <c r="AC68" s="287">
        <f t="shared" ref="AC68:AM68" si="4">IFERROR((AC64-AC65-AC66)/AC64,0)</f>
        <v>0</v>
      </c>
      <c r="AD68" s="287">
        <f t="shared" si="4"/>
        <v>0</v>
      </c>
      <c r="AE68" s="287">
        <f t="shared" si="4"/>
        <v>0</v>
      </c>
      <c r="AF68" s="287">
        <f t="shared" si="4"/>
        <v>0</v>
      </c>
      <c r="AG68" s="287">
        <f t="shared" si="4"/>
        <v>0</v>
      </c>
      <c r="AH68" s="287">
        <f t="shared" si="4"/>
        <v>0</v>
      </c>
      <c r="AI68" s="287">
        <f t="shared" si="4"/>
        <v>0</v>
      </c>
      <c r="AJ68" s="287">
        <f t="shared" si="4"/>
        <v>0</v>
      </c>
      <c r="AK68" s="287">
        <f t="shared" si="4"/>
        <v>0</v>
      </c>
      <c r="AL68" s="287">
        <f t="shared" si="4"/>
        <v>0</v>
      </c>
      <c r="AM68" s="287">
        <f t="shared" si="4"/>
        <v>0</v>
      </c>
      <c r="AW68" s="286" t="s">
        <v>307</v>
      </c>
      <c r="AX68" s="287">
        <f>IFERROR((AX64-AX65-AX66)/AX64,0)</f>
        <v>0</v>
      </c>
      <c r="AY68" s="287">
        <f t="shared" ref="AY68:BI68" si="5">IFERROR((AY64-AY65-AY66)/AY64,0)</f>
        <v>0</v>
      </c>
      <c r="AZ68" s="287">
        <f t="shared" si="5"/>
        <v>0</v>
      </c>
      <c r="BA68" s="287">
        <f t="shared" si="5"/>
        <v>0</v>
      </c>
      <c r="BB68" s="287">
        <f t="shared" si="5"/>
        <v>0</v>
      </c>
      <c r="BC68" s="287">
        <f t="shared" si="5"/>
        <v>0</v>
      </c>
      <c r="BD68" s="287">
        <f t="shared" si="5"/>
        <v>0</v>
      </c>
      <c r="BE68" s="287">
        <f t="shared" si="5"/>
        <v>0</v>
      </c>
      <c r="BF68" s="287">
        <f t="shared" si="5"/>
        <v>0</v>
      </c>
      <c r="BG68" s="287">
        <f t="shared" si="5"/>
        <v>0</v>
      </c>
      <c r="BH68" s="287">
        <f t="shared" si="5"/>
        <v>0</v>
      </c>
      <c r="BI68" s="287">
        <f t="shared" si="5"/>
        <v>0</v>
      </c>
    </row>
    <row r="69" spans="2:62" s="243" customFormat="1" x14ac:dyDescent="0.25">
      <c r="B69" s="242"/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V69" s="447"/>
      <c r="X69" s="242"/>
      <c r="AA69" s="460"/>
      <c r="AB69" s="244"/>
      <c r="AC69" s="244"/>
      <c r="AD69" s="244"/>
      <c r="AE69" s="244"/>
      <c r="AF69" s="244"/>
      <c r="AG69" s="244"/>
      <c r="AH69" s="244"/>
      <c r="AI69" s="244"/>
      <c r="AJ69" s="244"/>
      <c r="AK69" s="244"/>
      <c r="AL69" s="244"/>
      <c r="AR69" s="447"/>
      <c r="AT69" s="242"/>
      <c r="AW69" s="460"/>
      <c r="AX69" s="244"/>
      <c r="AY69" s="244"/>
      <c r="AZ69" s="244"/>
      <c r="BA69" s="244"/>
      <c r="BB69" s="244"/>
      <c r="BC69" s="244"/>
      <c r="BD69" s="244"/>
      <c r="BE69" s="244"/>
      <c r="BF69" s="244"/>
      <c r="BG69" s="244"/>
      <c r="BH69" s="244"/>
    </row>
    <row r="71" spans="2:62" x14ac:dyDescent="0.25">
      <c r="E71" s="239" t="s">
        <v>86</v>
      </c>
      <c r="F71" s="193" t="s">
        <v>251</v>
      </c>
      <c r="AA71" s="452" t="s">
        <v>86</v>
      </c>
      <c r="AB71" s="193" t="s">
        <v>251</v>
      </c>
      <c r="AW71" s="452" t="s">
        <v>86</v>
      </c>
      <c r="AX71" s="193" t="s">
        <v>251</v>
      </c>
    </row>
    <row r="72" spans="2:62" x14ac:dyDescent="0.25">
      <c r="E72" s="240" t="s">
        <v>249</v>
      </c>
      <c r="F72" s="235" t="s">
        <v>52</v>
      </c>
      <c r="AA72" s="453" t="s">
        <v>249</v>
      </c>
      <c r="AB72" s="235" t="s">
        <v>52</v>
      </c>
      <c r="AW72" s="453" t="s">
        <v>249</v>
      </c>
      <c r="AX72" s="235" t="s">
        <v>52</v>
      </c>
    </row>
    <row r="74" spans="2:62" s="231" customFormat="1" x14ac:dyDescent="0.25">
      <c r="B74" s="2"/>
      <c r="E74" s="232" t="s">
        <v>227</v>
      </c>
      <c r="F74" s="233" t="s">
        <v>81</v>
      </c>
      <c r="G74" s="233" t="s">
        <v>35</v>
      </c>
      <c r="H74" s="233" t="s">
        <v>82</v>
      </c>
      <c r="I74" s="233" t="s">
        <v>83</v>
      </c>
      <c r="J74" s="233" t="s">
        <v>84</v>
      </c>
      <c r="K74" s="233" t="s">
        <v>85</v>
      </c>
      <c r="L74" s="233" t="s">
        <v>207</v>
      </c>
      <c r="M74" s="233" t="s">
        <v>210</v>
      </c>
      <c r="N74" s="233" t="s">
        <v>211</v>
      </c>
      <c r="O74" s="233" t="s">
        <v>252</v>
      </c>
      <c r="P74" s="233" t="s">
        <v>253</v>
      </c>
      <c r="Q74" s="233" t="s">
        <v>488</v>
      </c>
      <c r="V74" s="446"/>
      <c r="X74" s="2"/>
      <c r="AA74" s="459" t="s">
        <v>227</v>
      </c>
      <c r="AB74" s="233" t="s">
        <v>81</v>
      </c>
      <c r="AC74" s="233" t="s">
        <v>35</v>
      </c>
      <c r="AD74" s="233" t="s">
        <v>82</v>
      </c>
      <c r="AE74" s="233" t="s">
        <v>83</v>
      </c>
      <c r="AF74" s="233" t="s">
        <v>84</v>
      </c>
      <c r="AG74" s="233" t="s">
        <v>85</v>
      </c>
      <c r="AH74" s="233" t="s">
        <v>207</v>
      </c>
      <c r="AI74" s="233" t="s">
        <v>210</v>
      </c>
      <c r="AJ74" s="233" t="s">
        <v>211</v>
      </c>
      <c r="AK74" s="233" t="s">
        <v>252</v>
      </c>
      <c r="AL74" s="233" t="s">
        <v>253</v>
      </c>
      <c r="AM74" s="233" t="s">
        <v>488</v>
      </c>
      <c r="AR74" s="446"/>
      <c r="AT74" s="2"/>
      <c r="AW74" s="459" t="s">
        <v>227</v>
      </c>
      <c r="AX74" s="233" t="s">
        <v>81</v>
      </c>
      <c r="AY74" s="233" t="s">
        <v>35</v>
      </c>
      <c r="AZ74" s="233" t="s">
        <v>82</v>
      </c>
      <c r="BA74" s="233" t="s">
        <v>83</v>
      </c>
      <c r="BB74" s="233" t="s">
        <v>84</v>
      </c>
      <c r="BC74" s="233" t="s">
        <v>85</v>
      </c>
      <c r="BD74" s="233" t="s">
        <v>207</v>
      </c>
      <c r="BE74" s="233" t="s">
        <v>210</v>
      </c>
      <c r="BF74" s="233" t="s">
        <v>211</v>
      </c>
      <c r="BG74" s="233" t="s">
        <v>252</v>
      </c>
      <c r="BH74" s="233" t="s">
        <v>253</v>
      </c>
      <c r="BI74" s="233" t="s">
        <v>488</v>
      </c>
    </row>
    <row r="75" spans="2:62" x14ac:dyDescent="0.25">
      <c r="D75" s="245">
        <f>IFERROR(MATCH(Tabla2831[[#This Row],[Cuentas Contables]],Comercializacion_Granos_Cuentas[Cuenta Contable],0),0)</f>
        <v>1</v>
      </c>
      <c r="E75" s="32" t="str">
        <f>Configuración!AC5</f>
        <v>Stock Granos Inicio</v>
      </c>
      <c r="F75" s="10">
        <f>IFERROR(SUMPRODUCT((Tabla2831[[#This Row],[Cuentas Contables]]=Comercial_Agricola[Cuenta Contable])*(F$74=Comercial_Agricola[Producto])*(Económico!$F$5=Comercial_Agricola[Campaña])*(Comercial_Agricola[Económico U$S Dólares]))*(IF($F$72="Tonelada",1/SUM(F$91:F$92),1)),0)</f>
        <v>0</v>
      </c>
      <c r="G75" s="10">
        <f>IFERROR(SUMPRODUCT((Tabla2831[[#This Row],[Cuentas Contables]]=Comercial_Agricola[Cuenta Contable])*(G$74=Comercial_Agricola[Producto])*(Económico!$F$5=Comercial_Agricola[Campaña])*(Comercial_Agricola[Económico U$S Dólares]))*(IF($F$72="Tonelada",1/SUM(G$91:G$92),1)),0)</f>
        <v>0</v>
      </c>
      <c r="H75" s="10">
        <f>IFERROR(SUMPRODUCT((Tabla2831[[#This Row],[Cuentas Contables]]=Comercial_Agricola[Cuenta Contable])*(H$74=Comercial_Agricola[Producto])*(Económico!$F$5=Comercial_Agricola[Campaña])*(Comercial_Agricola[Económico U$S Dólares]))*(IF($F$72="Tonelada",1/SUM(H$91:H$92),1)),0)</f>
        <v>0</v>
      </c>
      <c r="I75" s="10">
        <f>IFERROR(SUMPRODUCT((Tabla2831[[#This Row],[Cuentas Contables]]=Comercial_Agricola[Cuenta Contable])*(I$74=Comercial_Agricola[Producto])*(Económico!$F$5=Comercial_Agricola[Campaña])*(Comercial_Agricola[Económico U$S Dólares]))*(IF($F$72="Tonelada",1/SUM(I$91:I$92),1)),0)</f>
        <v>0</v>
      </c>
      <c r="J75" s="10">
        <f>IFERROR(SUMPRODUCT((Tabla2831[[#This Row],[Cuentas Contables]]=Comercial_Agricola[Cuenta Contable])*(J$74=Comercial_Agricola[Producto])*(Económico!$F$5=Comercial_Agricola[Campaña])*(Comercial_Agricola[Económico U$S Dólares]))*(IF($F$72="Tonelada",1/SUM(J$91:J$92),1)),0)</f>
        <v>0</v>
      </c>
      <c r="K75" s="10">
        <f>IFERROR(SUMPRODUCT((Tabla2831[[#This Row],[Cuentas Contables]]=Comercial_Agricola[Cuenta Contable])*(K$74=Comercial_Agricola[Producto])*(Económico!$F$5=Comercial_Agricola[Campaña])*(Comercial_Agricola[Económico U$S Dólares]))*(IF($F$72="Tonelada",1/SUM(K$91:K$92),1)),0)</f>
        <v>0</v>
      </c>
      <c r="L75" s="10">
        <f>IFERROR(SUMPRODUCT((Tabla2831[[#This Row],[Cuentas Contables]]=Comercial_Agricola[Cuenta Contable])*(L$74=Comercial_Agricola[Producto])*(Económico!$F$5=Comercial_Agricola[Campaña])*(Comercial_Agricola[Económico U$S Dólares]))*(IF($F$72="Tonelada",1/SUM(L$91:L$92),1)),0)</f>
        <v>0</v>
      </c>
      <c r="M75" s="10">
        <f>IFERROR(SUMPRODUCT((Tabla2831[[#This Row],[Cuentas Contables]]=Comercial_Agricola[Cuenta Contable])*(M$74=Comercial_Agricola[Producto])*(Económico!$F$5=Comercial_Agricola[Campaña])*(Comercial_Agricola[Económico U$S Dólares]))*(IF($F$72="Tonelada",1/SUM(M$91:M$92),1)),0)</f>
        <v>0</v>
      </c>
      <c r="N75" s="10">
        <f>IFERROR(SUMPRODUCT((Tabla2831[[#This Row],[Cuentas Contables]]=Comercial_Agricola[Cuenta Contable])*(N$74=Comercial_Agricola[Producto])*(Económico!$F$5=Comercial_Agricola[Campaña])*(Comercial_Agricola[Económico U$S Dólares]))*(IF($F$72="Tonelada",1/SUM(N$91:N$92),1)),0)</f>
        <v>0</v>
      </c>
      <c r="O75" s="10">
        <f>IFERROR(SUMPRODUCT((Tabla2831[[#This Row],[Cuentas Contables]]=Comercial_Agricola[Cuenta Contable])*(O$74=Comercial_Agricola[Producto])*(Económico!$F$5=Comercial_Agricola[Campaña])*(Comercial_Agricola[Económico U$S Dólares]))*(IF($F$72="Tonelada",1/SUM(O$91:O$92),1)),0)</f>
        <v>0</v>
      </c>
      <c r="P75" s="10">
        <f>IFERROR(SUMPRODUCT((Tabla2831[[#This Row],[Cuentas Contables]]=Comercial_Agricola[Cuenta Contable])*(P$74=Comercial_Agricola[Producto])*(Económico!$F$5=Comercial_Agricola[Campaña])*(Comercial_Agricola[Económico U$S Dólares]))*(IF($F$72="Tonelada",1/SUM(P$91:P$92),1)),0)</f>
        <v>0</v>
      </c>
      <c r="Q75" s="10">
        <f>IFERROR(SUMPRODUCT((Tabla2831[[#This Row],[Cuentas Contables]]=Comercial_Agricola[Cuenta Contable])*(Q$74=Comercial_Agricola[Producto])*(Económico!$F$5=Comercial_Agricola[Campaña])*(Comercial_Agricola[Económico U$S Dólares]))*(IF($F$72="Tonelada",1/SUM(Q$91:Q$92),1)),0)</f>
        <v>0</v>
      </c>
      <c r="Z75" s="245">
        <f>IFERROR(MATCH(Tabla283142[[#This Row],[Cuentas Contables]],Comercializacion_Granos_Cuentas[Cuenta Contable],0),0)</f>
        <v>1</v>
      </c>
      <c r="AA75" s="32" t="str">
        <f>Tabla2831[[#This Row],[Cuentas Contables]]</f>
        <v>Stock Granos Inicio</v>
      </c>
      <c r="AB75" s="10">
        <f>IFERROR(SUMPRODUCT((Tabla283142[[#This Row],[Cuentas Contables]]=Comercial_Agricola[Cuenta Contable])*(AB$74=Comercial_Agricola[Producto])*(Económico!$F$5=Comercial_Agricola[Campaña])*(Comercial_Agricola[Económico $Corrientes]))*(IF($F$72="Tonelada",1/SUM(AB$91:AB$92),1)),0)</f>
        <v>0</v>
      </c>
      <c r="AC75" s="10">
        <f>IFERROR(SUMPRODUCT((Tabla283142[[#This Row],[Cuentas Contables]]=Comercial_Agricola[Cuenta Contable])*(AC$74=Comercial_Agricola[Producto])*(Económico!$F$5=Comercial_Agricola[Campaña])*(Comercial_Agricola[Económico $Corrientes]))*(IF($F$72="Tonelada",1/SUM(AC$91:AC$92),1)),0)</f>
        <v>0</v>
      </c>
      <c r="AD75" s="10">
        <f>IFERROR(SUMPRODUCT((Tabla283142[[#This Row],[Cuentas Contables]]=Comercial_Agricola[Cuenta Contable])*(AD$74=Comercial_Agricola[Producto])*(Económico!$F$5=Comercial_Agricola[Campaña])*(Comercial_Agricola[Económico $Corrientes]))*(IF($F$72="Tonelada",1/SUM(AD$91:AD$92),1)),0)</f>
        <v>0</v>
      </c>
      <c r="AE75" s="10">
        <f>IFERROR(SUMPRODUCT((Tabla283142[[#This Row],[Cuentas Contables]]=Comercial_Agricola[Cuenta Contable])*(AE$74=Comercial_Agricola[Producto])*(Económico!$F$5=Comercial_Agricola[Campaña])*(Comercial_Agricola[Económico $Corrientes]))*(IF($F$72="Tonelada",1/SUM(AE$91:AE$92),1)),0)</f>
        <v>0</v>
      </c>
      <c r="AF75" s="10">
        <f>IFERROR(SUMPRODUCT((Tabla283142[[#This Row],[Cuentas Contables]]=Comercial_Agricola[Cuenta Contable])*(AF$74=Comercial_Agricola[Producto])*(Económico!$F$5=Comercial_Agricola[Campaña])*(Comercial_Agricola[Económico $Corrientes]))*(IF($F$72="Tonelada",1/SUM(AF$91:AF$92),1)),0)</f>
        <v>0</v>
      </c>
      <c r="AG75" s="10">
        <f>IFERROR(SUMPRODUCT((Tabla283142[[#This Row],[Cuentas Contables]]=Comercial_Agricola[Cuenta Contable])*(AG$74=Comercial_Agricola[Producto])*(Económico!$F$5=Comercial_Agricola[Campaña])*(Comercial_Agricola[Económico $Corrientes]))*(IF($F$72="Tonelada",1/SUM(AG$91:AG$92),1)),0)</f>
        <v>0</v>
      </c>
      <c r="AH75" s="10">
        <f>IFERROR(SUMPRODUCT((Tabla283142[[#This Row],[Cuentas Contables]]=Comercial_Agricola[Cuenta Contable])*(AH$74=Comercial_Agricola[Producto])*(Económico!$F$5=Comercial_Agricola[Campaña])*(Comercial_Agricola[Económico $Corrientes]))*(IF($F$72="Tonelada",1/SUM(AH$91:AH$92),1)),0)</f>
        <v>0</v>
      </c>
      <c r="AI75" s="10">
        <f>IFERROR(SUMPRODUCT((Tabla283142[[#This Row],[Cuentas Contables]]=Comercial_Agricola[Cuenta Contable])*(AI$74=Comercial_Agricola[Producto])*(Económico!$F$5=Comercial_Agricola[Campaña])*(Comercial_Agricola[Económico $Corrientes]))*(IF($F$72="Tonelada",1/SUM(AI$91:AI$92),1)),0)</f>
        <v>0</v>
      </c>
      <c r="AJ75" s="10">
        <f>IFERROR(SUMPRODUCT((Tabla283142[[#This Row],[Cuentas Contables]]=Comercial_Agricola[Cuenta Contable])*(AJ$74=Comercial_Agricola[Producto])*(Económico!$F$5=Comercial_Agricola[Campaña])*(Comercial_Agricola[Económico $Corrientes]))*(IF($F$72="Tonelada",1/SUM(AJ$91:AJ$92),1)),0)</f>
        <v>0</v>
      </c>
      <c r="AK75" s="10">
        <f>IFERROR(SUMPRODUCT((Tabla283142[[#This Row],[Cuentas Contables]]=Comercial_Agricola[Cuenta Contable])*(AK$74=Comercial_Agricola[Producto])*(Económico!$F$5=Comercial_Agricola[Campaña])*(Comercial_Agricola[Económico $Corrientes]))*(IF($F$72="Tonelada",1/SUM(AK$91:AK$92),1)),0)</f>
        <v>0</v>
      </c>
      <c r="AL75" s="10">
        <f>IFERROR(SUMPRODUCT((Tabla283142[[#This Row],[Cuentas Contables]]=Comercial_Agricola[Cuenta Contable])*(AL$74=Comercial_Agricola[Producto])*(Económico!$F$5=Comercial_Agricola[Campaña])*(Comercial_Agricola[Económico $Corrientes]))*(IF($F$72="Tonelada",1/SUM(AL$91:AL$92),1)),0)</f>
        <v>0</v>
      </c>
      <c r="AM75" s="10">
        <f>IFERROR(SUMPRODUCT((Tabla283142[[#This Row],[Cuentas Contables]]=Comercial_Agricola[Cuenta Contable])*(AM$74=Comercial_Agricola[Producto])*(Económico!$F$5=Comercial_Agricola[Campaña])*(Comercial_Agricola[Económico $Corrientes]))*(IF($F$72="Tonelada",1/SUM(AM$91:AM$92),1)),0)</f>
        <v>0</v>
      </c>
      <c r="AV75" s="245">
        <f>IFERROR(MATCH(Tabla28314251[[#This Row],[Cuentas Contables]],Comercializacion_Granos_Cuentas[Cuenta Contable],0),0)</f>
        <v>1</v>
      </c>
      <c r="AW75" s="32" t="str">
        <f>Tabla2831[[#This Row],[Cuentas Contables]]</f>
        <v>Stock Granos Inicio</v>
      </c>
      <c r="AX75" s="10">
        <f>IFERROR(SUMPRODUCT((Tabla28314251[[#This Row],[Cuentas Contables]]=Comercial_Agricola[Cuenta Contable])*(AX$74=Comercial_Agricola[Producto])*(Económico!$F$5=Comercial_Agricola[Campaña])*(Comercial_Agricola[Económico $Constantes]))*(IF($F$72="Tonelada",1/SUM(AX$91:AX$92),1)),0)</f>
        <v>0</v>
      </c>
      <c r="AY75" s="10">
        <f>IFERROR(SUMPRODUCT((Tabla28314251[[#This Row],[Cuentas Contables]]=Comercial_Agricola[Cuenta Contable])*(AY$74=Comercial_Agricola[Producto])*(Económico!$F$5=Comercial_Agricola[Campaña])*(Comercial_Agricola[Económico $Constantes]))*(IF($F$72="Tonelada",1/SUM(AY$91:AY$92),1)),0)</f>
        <v>0</v>
      </c>
      <c r="AZ75" s="10">
        <f>IFERROR(SUMPRODUCT((Tabla28314251[[#This Row],[Cuentas Contables]]=Comercial_Agricola[Cuenta Contable])*(AZ$74=Comercial_Agricola[Producto])*(Económico!$F$5=Comercial_Agricola[Campaña])*(Comercial_Agricola[Económico $Constantes]))*(IF($F$72="Tonelada",1/SUM(AZ$91:AZ$92),1)),0)</f>
        <v>0</v>
      </c>
      <c r="BA75" s="10">
        <f>IFERROR(SUMPRODUCT((Tabla28314251[[#This Row],[Cuentas Contables]]=Comercial_Agricola[Cuenta Contable])*(BA$74=Comercial_Agricola[Producto])*(Económico!$F$5=Comercial_Agricola[Campaña])*(Comercial_Agricola[Económico $Constantes]))*(IF($F$72="Tonelada",1/SUM(BA$91:BA$92),1)),0)</f>
        <v>0</v>
      </c>
      <c r="BB75" s="10">
        <f>IFERROR(SUMPRODUCT((Tabla28314251[[#This Row],[Cuentas Contables]]=Comercial_Agricola[Cuenta Contable])*(BB$74=Comercial_Agricola[Producto])*(Económico!$F$5=Comercial_Agricola[Campaña])*(Comercial_Agricola[Económico $Constantes]))*(IF($F$72="Tonelada",1/SUM(BB$91:BB$92),1)),0)</f>
        <v>0</v>
      </c>
      <c r="BC75" s="10">
        <f>IFERROR(SUMPRODUCT((Tabla28314251[[#This Row],[Cuentas Contables]]=Comercial_Agricola[Cuenta Contable])*(BC$74=Comercial_Agricola[Producto])*(Económico!$F$5=Comercial_Agricola[Campaña])*(Comercial_Agricola[Económico $Constantes]))*(IF($F$72="Tonelada",1/SUM(BC$91:BC$92),1)),0)</f>
        <v>0</v>
      </c>
      <c r="BD75" s="10">
        <f>IFERROR(SUMPRODUCT((Tabla28314251[[#This Row],[Cuentas Contables]]=Comercial_Agricola[Cuenta Contable])*(BD$74=Comercial_Agricola[Producto])*(Económico!$F$5=Comercial_Agricola[Campaña])*(Comercial_Agricola[Económico $Constantes]))*(IF($F$72="Tonelada",1/SUM(BD$91:BD$92),1)),0)</f>
        <v>0</v>
      </c>
      <c r="BE75" s="10">
        <f>IFERROR(SUMPRODUCT((Tabla28314251[[#This Row],[Cuentas Contables]]=Comercial_Agricola[Cuenta Contable])*(BE$74=Comercial_Agricola[Producto])*(Económico!$F$5=Comercial_Agricola[Campaña])*(Comercial_Agricola[Económico $Constantes]))*(IF($F$72="Tonelada",1/SUM(BE$91:BE$92),1)),0)</f>
        <v>0</v>
      </c>
      <c r="BF75" s="10">
        <f>IFERROR(SUMPRODUCT((Tabla28314251[[#This Row],[Cuentas Contables]]=Comercial_Agricola[Cuenta Contable])*(BF$74=Comercial_Agricola[Producto])*(Económico!$F$5=Comercial_Agricola[Campaña])*(Comercial_Agricola[Económico $Constantes]))*(IF($F$72="Tonelada",1/SUM(BF$91:BF$92),1)),0)</f>
        <v>0</v>
      </c>
      <c r="BG75" s="10">
        <f>IFERROR(SUMPRODUCT((Tabla28314251[[#This Row],[Cuentas Contables]]=Comercial_Agricola[Cuenta Contable])*(BG$74=Comercial_Agricola[Producto])*(Económico!$F$5=Comercial_Agricola[Campaña])*(Comercial_Agricola[Económico $Constantes]))*(IF($F$72="Tonelada",1/SUM(BG$91:BG$92),1)),0)</f>
        <v>0</v>
      </c>
      <c r="BH75" s="10">
        <f>IFERROR(SUMPRODUCT((Tabla28314251[[#This Row],[Cuentas Contables]]=Comercial_Agricola[Cuenta Contable])*(BH$74=Comercial_Agricola[Producto])*(Económico!$F$5=Comercial_Agricola[Campaña])*(Comercial_Agricola[Económico $Constantes]))*(IF($F$72="Tonelada",1/SUM(BH$91:BH$92),1)),0)</f>
        <v>0</v>
      </c>
      <c r="BI75" s="10">
        <f>IFERROR(SUMPRODUCT((Tabla28314251[[#This Row],[Cuentas Contables]]=Comercial_Agricola[Cuenta Contable])*(BI$74=Comercial_Agricola[Producto])*(Económico!$F$5=Comercial_Agricola[Campaña])*(Comercial_Agricola[Económico $Constantes]))*(IF($F$72="Tonelada",1/SUM(BI$91:BI$92),1)),0)</f>
        <v>0</v>
      </c>
    </row>
    <row r="76" spans="2:62" x14ac:dyDescent="0.25">
      <c r="D76" s="245">
        <f>IFERROR(MATCH(Tabla2831[[#This Row],[Cuentas Contables]],Comercializacion_Granos_Cuentas[Cuenta Contable],0),0)</f>
        <v>3</v>
      </c>
      <c r="E76" s="32" t="s">
        <v>77</v>
      </c>
      <c r="F76" s="10">
        <f>IFERROR(SUMPRODUCT((Tabla2831[[#This Row],[Cuentas Contables]]=Comercial_Agricola[Cuenta Contable])*(F$74=Comercial_Agricola[Producto])*(Económico!$F$5=Comercial_Agricola[Campaña])*(Comercial_Agricola[Económico U$S Dólares]))*(IF($F$72="Tonelada",1/SUM(F$91:F$92),1)),0)</f>
        <v>0</v>
      </c>
      <c r="G76" s="10">
        <f>IFERROR(SUMPRODUCT((Tabla2831[[#This Row],[Cuentas Contables]]=Comercial_Agricola[Cuenta Contable])*(G$74=Comercial_Agricola[Producto])*(Económico!$F$5=Comercial_Agricola[Campaña])*(Comercial_Agricola[Económico U$S Dólares]))*(IF($F$72="Tonelada",1/SUM(G$91:G$92),1)),0)</f>
        <v>0</v>
      </c>
      <c r="H76" s="10">
        <f>IFERROR(SUMPRODUCT((Tabla2831[[#This Row],[Cuentas Contables]]=Comercial_Agricola[Cuenta Contable])*(H$74=Comercial_Agricola[Producto])*(Económico!$F$5=Comercial_Agricola[Campaña])*(Comercial_Agricola[Económico U$S Dólares]))*(IF($F$72="Tonelada",1/SUM(H$91:H$92),1)),0)</f>
        <v>0</v>
      </c>
      <c r="I76" s="10">
        <f>IFERROR(SUMPRODUCT((Tabla2831[[#This Row],[Cuentas Contables]]=Comercial_Agricola[Cuenta Contable])*(I$74=Comercial_Agricola[Producto])*(Económico!$F$5=Comercial_Agricola[Campaña])*(Comercial_Agricola[Económico U$S Dólares]))*(IF($F$72="Tonelada",1/SUM(I$91:I$92),1)),0)</f>
        <v>0</v>
      </c>
      <c r="J76" s="10">
        <f>IFERROR(SUMPRODUCT((Tabla2831[[#This Row],[Cuentas Contables]]=Comercial_Agricola[Cuenta Contable])*(J$74=Comercial_Agricola[Producto])*(Económico!$F$5=Comercial_Agricola[Campaña])*(Comercial_Agricola[Económico U$S Dólares]))*(IF($F$72="Tonelada",1/SUM(J$91:J$92),1)),0)</f>
        <v>0</v>
      </c>
      <c r="K76" s="10">
        <f>IFERROR(SUMPRODUCT((Tabla2831[[#This Row],[Cuentas Contables]]=Comercial_Agricola[Cuenta Contable])*(K$74=Comercial_Agricola[Producto])*(Económico!$F$5=Comercial_Agricola[Campaña])*(Comercial_Agricola[Económico U$S Dólares]))*(IF($F$72="Tonelada",1/SUM(K$91:K$92),1)),0)</f>
        <v>0</v>
      </c>
      <c r="L76" s="10">
        <f>IFERROR(SUMPRODUCT((Tabla2831[[#This Row],[Cuentas Contables]]=Comercial_Agricola[Cuenta Contable])*(L$74=Comercial_Agricola[Producto])*(Económico!$F$5=Comercial_Agricola[Campaña])*(Comercial_Agricola[Económico U$S Dólares]))*(IF($F$72="Tonelada",1/SUM(L$91:L$92),1)),0)</f>
        <v>0</v>
      </c>
      <c r="M76" s="10">
        <f>IFERROR(SUMPRODUCT((Tabla2831[[#This Row],[Cuentas Contables]]=Comercial_Agricola[Cuenta Contable])*(M$74=Comercial_Agricola[Producto])*(Económico!$F$5=Comercial_Agricola[Campaña])*(Comercial_Agricola[Económico U$S Dólares]))*(IF($F$72="Tonelada",1/SUM(M$91:M$92),1)),0)</f>
        <v>0</v>
      </c>
      <c r="N76" s="10">
        <f>IFERROR(SUMPRODUCT((Tabla2831[[#This Row],[Cuentas Contables]]=Comercial_Agricola[Cuenta Contable])*(N$74=Comercial_Agricola[Producto])*(Económico!$F$5=Comercial_Agricola[Campaña])*(Comercial_Agricola[Económico U$S Dólares]))*(IF($F$72="Tonelada",1/SUM(N$91:N$92),1)),0)</f>
        <v>0</v>
      </c>
      <c r="O76" s="10">
        <f>IFERROR(SUMPRODUCT((Tabla2831[[#This Row],[Cuentas Contables]]=Comercial_Agricola[Cuenta Contable])*(O$74=Comercial_Agricola[Producto])*(Económico!$F$5=Comercial_Agricola[Campaña])*(Comercial_Agricola[Económico U$S Dólares]))*(IF($F$72="Tonelada",1/SUM(O$91:O$92),1)),0)</f>
        <v>0</v>
      </c>
      <c r="P76" s="10">
        <f>IFERROR(SUMPRODUCT((Tabla2831[[#This Row],[Cuentas Contables]]=Comercial_Agricola[Cuenta Contable])*(P$74=Comercial_Agricola[Producto])*(Económico!$F$5=Comercial_Agricola[Campaña])*(Comercial_Agricola[Económico U$S Dólares]))*(IF($F$72="Tonelada",1/SUM(P$91:P$92),1)),0)</f>
        <v>0</v>
      </c>
      <c r="Q76" s="10">
        <f>IFERROR(SUMPRODUCT((Tabla2831[[#This Row],[Cuentas Contables]]=Comercial_Agricola[Cuenta Contable])*(Q$74=Comercial_Agricola[Producto])*(Económico!$F$5=Comercial_Agricola[Campaña])*(Comercial_Agricola[Económico U$S Dólares]))*(IF($F$72="Tonelada",1/SUM(Q$91:Q$92),1)),0)</f>
        <v>0</v>
      </c>
      <c r="Z76" s="245">
        <f>IFERROR(MATCH(Tabla283142[[#This Row],[Cuentas Contables]],Comercializacion_Granos_Cuentas[Cuenta Contable],0),0)</f>
        <v>3</v>
      </c>
      <c r="AA76" s="32" t="str">
        <f>Tabla2831[[#This Row],[Cuentas Contables]]</f>
        <v>Producción Agrícola</v>
      </c>
      <c r="AB76" s="10">
        <f>IFERROR(SUMPRODUCT((Tabla283142[[#This Row],[Cuentas Contables]]=Comercial_Agricola[Cuenta Contable])*(AB$74=Comercial_Agricola[Producto])*(Económico!$F$5=Comercial_Agricola[Campaña])*(Comercial_Agricola[Económico $Corrientes]))*(IF($F$72="Tonelada",1/SUM(AB$91:AB$92),1)),0)</f>
        <v>0</v>
      </c>
      <c r="AC76" s="10">
        <f>IFERROR(SUMPRODUCT((Tabla283142[[#This Row],[Cuentas Contables]]=Comercial_Agricola[Cuenta Contable])*(AC$74=Comercial_Agricola[Producto])*(Económico!$F$5=Comercial_Agricola[Campaña])*(Comercial_Agricola[Económico $Corrientes]))*(IF($F$72="Tonelada",1/SUM(AC$91:AC$92),1)),0)</f>
        <v>0</v>
      </c>
      <c r="AD76" s="10">
        <f>IFERROR(SUMPRODUCT((Tabla283142[[#This Row],[Cuentas Contables]]=Comercial_Agricola[Cuenta Contable])*(AD$74=Comercial_Agricola[Producto])*(Económico!$F$5=Comercial_Agricola[Campaña])*(Comercial_Agricola[Económico $Corrientes]))*(IF($F$72="Tonelada",1/SUM(AD$91:AD$92),1)),0)</f>
        <v>0</v>
      </c>
      <c r="AE76" s="10">
        <f>IFERROR(SUMPRODUCT((Tabla283142[[#This Row],[Cuentas Contables]]=Comercial_Agricola[Cuenta Contable])*(AE$74=Comercial_Agricola[Producto])*(Económico!$F$5=Comercial_Agricola[Campaña])*(Comercial_Agricola[Económico $Corrientes]))*(IF($F$72="Tonelada",1/SUM(AE$91:AE$92),1)),0)</f>
        <v>0</v>
      </c>
      <c r="AF76" s="10">
        <f>IFERROR(SUMPRODUCT((Tabla283142[[#This Row],[Cuentas Contables]]=Comercial_Agricola[Cuenta Contable])*(AF$74=Comercial_Agricola[Producto])*(Económico!$F$5=Comercial_Agricola[Campaña])*(Comercial_Agricola[Económico $Corrientes]))*(IF($F$72="Tonelada",1/SUM(AF$91:AF$92),1)),0)</f>
        <v>0</v>
      </c>
      <c r="AG76" s="10">
        <f>IFERROR(SUMPRODUCT((Tabla283142[[#This Row],[Cuentas Contables]]=Comercial_Agricola[Cuenta Contable])*(AG$74=Comercial_Agricola[Producto])*(Económico!$F$5=Comercial_Agricola[Campaña])*(Comercial_Agricola[Económico $Corrientes]))*(IF($F$72="Tonelada",1/SUM(AG$91:AG$92),1)),0)</f>
        <v>0</v>
      </c>
      <c r="AH76" s="10">
        <f>IFERROR(SUMPRODUCT((Tabla283142[[#This Row],[Cuentas Contables]]=Comercial_Agricola[Cuenta Contable])*(AH$74=Comercial_Agricola[Producto])*(Económico!$F$5=Comercial_Agricola[Campaña])*(Comercial_Agricola[Económico $Corrientes]))*(IF($F$72="Tonelada",1/SUM(AH$91:AH$92),1)),0)</f>
        <v>0</v>
      </c>
      <c r="AI76" s="10">
        <f>IFERROR(SUMPRODUCT((Tabla283142[[#This Row],[Cuentas Contables]]=Comercial_Agricola[Cuenta Contable])*(AI$74=Comercial_Agricola[Producto])*(Económico!$F$5=Comercial_Agricola[Campaña])*(Comercial_Agricola[Económico $Corrientes]))*(IF($F$72="Tonelada",1/SUM(AI$91:AI$92),1)),0)</f>
        <v>0</v>
      </c>
      <c r="AJ76" s="10">
        <f>IFERROR(SUMPRODUCT((Tabla283142[[#This Row],[Cuentas Contables]]=Comercial_Agricola[Cuenta Contable])*(AJ$74=Comercial_Agricola[Producto])*(Económico!$F$5=Comercial_Agricola[Campaña])*(Comercial_Agricola[Económico $Corrientes]))*(IF($F$72="Tonelada",1/SUM(AJ$91:AJ$92),1)),0)</f>
        <v>0</v>
      </c>
      <c r="AK76" s="10">
        <f>IFERROR(SUMPRODUCT((Tabla283142[[#This Row],[Cuentas Contables]]=Comercial_Agricola[Cuenta Contable])*(AK$74=Comercial_Agricola[Producto])*(Económico!$F$5=Comercial_Agricola[Campaña])*(Comercial_Agricola[Económico $Corrientes]))*(IF($F$72="Tonelada",1/SUM(AK$91:AK$92),1)),0)</f>
        <v>0</v>
      </c>
      <c r="AL76" s="10">
        <f>IFERROR(SUMPRODUCT((Tabla283142[[#This Row],[Cuentas Contables]]=Comercial_Agricola[Cuenta Contable])*(AL$74=Comercial_Agricola[Producto])*(Económico!$F$5=Comercial_Agricola[Campaña])*(Comercial_Agricola[Económico $Corrientes]))*(IF($F$72="Tonelada",1/SUM(AL$91:AL$92),1)),0)</f>
        <v>0</v>
      </c>
      <c r="AM76" s="10">
        <f>IFERROR(SUMPRODUCT((Tabla283142[[#This Row],[Cuentas Contables]]=Comercial_Agricola[Cuenta Contable])*(AM$74=Comercial_Agricola[Producto])*(Económico!$F$5=Comercial_Agricola[Campaña])*(Comercial_Agricola[Económico $Corrientes]))*(IF($F$72="Tonelada",1/SUM(AM$91:AM$92),1)),0)</f>
        <v>0</v>
      </c>
      <c r="AV76" s="245">
        <f>IFERROR(MATCH(Tabla28314251[[#This Row],[Cuentas Contables]],Comercializacion_Granos_Cuentas[Cuenta Contable],0),0)</f>
        <v>3</v>
      </c>
      <c r="AW76" s="32" t="str">
        <f>Tabla2831[[#This Row],[Cuentas Contables]]</f>
        <v>Producción Agrícola</v>
      </c>
      <c r="AX76" s="10">
        <f>IFERROR(SUMPRODUCT((Tabla28314251[[#This Row],[Cuentas Contables]]=Comercial_Agricola[Cuenta Contable])*(AX$74=Comercial_Agricola[Producto])*(Económico!$F$5=Comercial_Agricola[Campaña])*(Comercial_Agricola[Económico $Constantes]))*(IF($F$72="Tonelada",1/SUM(AX$91:AX$92),1)),0)</f>
        <v>0</v>
      </c>
      <c r="AY76" s="10">
        <f>IFERROR(SUMPRODUCT((Tabla28314251[[#This Row],[Cuentas Contables]]=Comercial_Agricola[Cuenta Contable])*(AY$74=Comercial_Agricola[Producto])*(Económico!$F$5=Comercial_Agricola[Campaña])*(Comercial_Agricola[Económico $Constantes]))*(IF($F$72="Tonelada",1/SUM(AY$91:AY$92),1)),0)</f>
        <v>0</v>
      </c>
      <c r="AZ76" s="10">
        <f>IFERROR(SUMPRODUCT((Tabla28314251[[#This Row],[Cuentas Contables]]=Comercial_Agricola[Cuenta Contable])*(AZ$74=Comercial_Agricola[Producto])*(Económico!$F$5=Comercial_Agricola[Campaña])*(Comercial_Agricola[Económico $Constantes]))*(IF($F$72="Tonelada",1/SUM(AZ$91:AZ$92),1)),0)</f>
        <v>0</v>
      </c>
      <c r="BA76" s="10">
        <f>IFERROR(SUMPRODUCT((Tabla28314251[[#This Row],[Cuentas Contables]]=Comercial_Agricola[Cuenta Contable])*(BA$74=Comercial_Agricola[Producto])*(Económico!$F$5=Comercial_Agricola[Campaña])*(Comercial_Agricola[Económico $Constantes]))*(IF($F$72="Tonelada",1/SUM(BA$91:BA$92),1)),0)</f>
        <v>0</v>
      </c>
      <c r="BB76" s="10">
        <f>IFERROR(SUMPRODUCT((Tabla28314251[[#This Row],[Cuentas Contables]]=Comercial_Agricola[Cuenta Contable])*(BB$74=Comercial_Agricola[Producto])*(Económico!$F$5=Comercial_Agricola[Campaña])*(Comercial_Agricola[Económico $Constantes]))*(IF($F$72="Tonelada",1/SUM(BB$91:BB$92),1)),0)</f>
        <v>0</v>
      </c>
      <c r="BC76" s="10">
        <f>IFERROR(SUMPRODUCT((Tabla28314251[[#This Row],[Cuentas Contables]]=Comercial_Agricola[Cuenta Contable])*(BC$74=Comercial_Agricola[Producto])*(Económico!$F$5=Comercial_Agricola[Campaña])*(Comercial_Agricola[Económico $Constantes]))*(IF($F$72="Tonelada",1/SUM(BC$91:BC$92),1)),0)</f>
        <v>0</v>
      </c>
      <c r="BD76" s="10">
        <f>IFERROR(SUMPRODUCT((Tabla28314251[[#This Row],[Cuentas Contables]]=Comercial_Agricola[Cuenta Contable])*(BD$74=Comercial_Agricola[Producto])*(Económico!$F$5=Comercial_Agricola[Campaña])*(Comercial_Agricola[Económico $Constantes]))*(IF($F$72="Tonelada",1/SUM(BD$91:BD$92),1)),0)</f>
        <v>0</v>
      </c>
      <c r="BE76" s="10">
        <f>IFERROR(SUMPRODUCT((Tabla28314251[[#This Row],[Cuentas Contables]]=Comercial_Agricola[Cuenta Contable])*(BE$74=Comercial_Agricola[Producto])*(Económico!$F$5=Comercial_Agricola[Campaña])*(Comercial_Agricola[Económico $Constantes]))*(IF($F$72="Tonelada",1/SUM(BE$91:BE$92),1)),0)</f>
        <v>0</v>
      </c>
      <c r="BF76" s="10">
        <f>IFERROR(SUMPRODUCT((Tabla28314251[[#This Row],[Cuentas Contables]]=Comercial_Agricola[Cuenta Contable])*(BF$74=Comercial_Agricola[Producto])*(Económico!$F$5=Comercial_Agricola[Campaña])*(Comercial_Agricola[Económico $Constantes]))*(IF($F$72="Tonelada",1/SUM(BF$91:BF$92),1)),0)</f>
        <v>0</v>
      </c>
      <c r="BG76" s="10">
        <f>IFERROR(SUMPRODUCT((Tabla28314251[[#This Row],[Cuentas Contables]]=Comercial_Agricola[Cuenta Contable])*(BG$74=Comercial_Agricola[Producto])*(Económico!$F$5=Comercial_Agricola[Campaña])*(Comercial_Agricola[Económico $Constantes]))*(IF($F$72="Tonelada",1/SUM(BG$91:BG$92),1)),0)</f>
        <v>0</v>
      </c>
      <c r="BH76" s="10">
        <f>IFERROR(SUMPRODUCT((Tabla28314251[[#This Row],[Cuentas Contables]]=Comercial_Agricola[Cuenta Contable])*(BH$74=Comercial_Agricola[Producto])*(Económico!$F$5=Comercial_Agricola[Campaña])*(Comercial_Agricola[Económico $Constantes]))*(IF($F$72="Tonelada",1/SUM(BH$91:BH$92),1)),0)</f>
        <v>0</v>
      </c>
      <c r="BI76" s="10">
        <f>IFERROR(SUMPRODUCT((Tabla28314251[[#This Row],[Cuentas Contables]]=Comercial_Agricola[Cuenta Contable])*(BI$74=Comercial_Agricola[Producto])*(Económico!$F$5=Comercial_Agricola[Campaña])*(Comercial_Agricola[Económico $Constantes]))*(IF($F$72="Tonelada",1/SUM(BI$91:BI$92),1)),0)</f>
        <v>0</v>
      </c>
    </row>
    <row r="77" spans="2:62" x14ac:dyDescent="0.25">
      <c r="D77" s="245">
        <f>IFERROR(MATCH(Tabla2831[[#This Row],[Cuentas Contables]],Comercializacion_Granos_Cuentas[Cuenta Contable],0),0)</f>
        <v>4</v>
      </c>
      <c r="E77" s="32" t="s">
        <v>171</v>
      </c>
      <c r="F77" s="10">
        <f>IFERROR(SUMPRODUCT((Tabla2831[[#This Row],[Cuentas Contables]]=Comercial_Agricola[Cuenta Contable])*(F$74=Comercial_Agricola[Producto])*(Económico!$F$5=Comercial_Agricola[Campaña])*(Comercial_Agricola[Económico U$S Dólares]))*(IF($F$72="Tonelada",1/SUM(F$91:F$92),1)),0)</f>
        <v>0</v>
      </c>
      <c r="G77" s="10">
        <f>IFERROR(SUMPRODUCT((Tabla2831[[#This Row],[Cuentas Contables]]=Comercial_Agricola[Cuenta Contable])*(G$74=Comercial_Agricola[Producto])*(Económico!$F$5=Comercial_Agricola[Campaña])*(Comercial_Agricola[Económico U$S Dólares]))*(IF($F$72="Tonelada",1/SUM(G$91:G$92),1)),0)</f>
        <v>0</v>
      </c>
      <c r="H77" s="10">
        <f>IFERROR(SUMPRODUCT((Tabla2831[[#This Row],[Cuentas Contables]]=Comercial_Agricola[Cuenta Contable])*(H$74=Comercial_Agricola[Producto])*(Económico!$F$5=Comercial_Agricola[Campaña])*(Comercial_Agricola[Económico U$S Dólares]))*(IF($F$72="Tonelada",1/SUM(H$91:H$92),1)),0)</f>
        <v>0</v>
      </c>
      <c r="I77" s="10">
        <f>IFERROR(SUMPRODUCT((Tabla2831[[#This Row],[Cuentas Contables]]=Comercial_Agricola[Cuenta Contable])*(I$74=Comercial_Agricola[Producto])*(Económico!$F$5=Comercial_Agricola[Campaña])*(Comercial_Agricola[Económico U$S Dólares]))*(IF($F$72="Tonelada",1/SUM(I$91:I$92),1)),0)</f>
        <v>0</v>
      </c>
      <c r="J77" s="10">
        <f>IFERROR(SUMPRODUCT((Tabla2831[[#This Row],[Cuentas Contables]]=Comercial_Agricola[Cuenta Contable])*(J$74=Comercial_Agricola[Producto])*(Económico!$F$5=Comercial_Agricola[Campaña])*(Comercial_Agricola[Económico U$S Dólares]))*(IF($F$72="Tonelada",1/SUM(J$91:J$92),1)),0)</f>
        <v>0</v>
      </c>
      <c r="K77" s="10">
        <f>IFERROR(SUMPRODUCT((Tabla2831[[#This Row],[Cuentas Contables]]=Comercial_Agricola[Cuenta Contable])*(K$74=Comercial_Agricola[Producto])*(Económico!$F$5=Comercial_Agricola[Campaña])*(Comercial_Agricola[Económico U$S Dólares]))*(IF($F$72="Tonelada",1/SUM(K$91:K$92),1)),0)</f>
        <v>0</v>
      </c>
      <c r="L77" s="10">
        <f>IFERROR(SUMPRODUCT((Tabla2831[[#This Row],[Cuentas Contables]]=Comercial_Agricola[Cuenta Contable])*(L$74=Comercial_Agricola[Producto])*(Económico!$F$5=Comercial_Agricola[Campaña])*(Comercial_Agricola[Económico U$S Dólares]))*(IF($F$72="Tonelada",1/SUM(L$91:L$92),1)),0)</f>
        <v>0</v>
      </c>
      <c r="M77" s="10">
        <f>IFERROR(SUMPRODUCT((Tabla2831[[#This Row],[Cuentas Contables]]=Comercial_Agricola[Cuenta Contable])*(M$74=Comercial_Agricola[Producto])*(Económico!$F$5=Comercial_Agricola[Campaña])*(Comercial_Agricola[Económico U$S Dólares]))*(IF($F$72="Tonelada",1/SUM(M$91:M$92),1)),0)</f>
        <v>0</v>
      </c>
      <c r="N77" s="10">
        <f>IFERROR(SUMPRODUCT((Tabla2831[[#This Row],[Cuentas Contables]]=Comercial_Agricola[Cuenta Contable])*(N$74=Comercial_Agricola[Producto])*(Económico!$F$5=Comercial_Agricola[Campaña])*(Comercial_Agricola[Económico U$S Dólares]))*(IF($F$72="Tonelada",1/SUM(N$91:N$92),1)),0)</f>
        <v>0</v>
      </c>
      <c r="O77" s="10">
        <f>IFERROR(SUMPRODUCT((Tabla2831[[#This Row],[Cuentas Contables]]=Comercial_Agricola[Cuenta Contable])*(O$74=Comercial_Agricola[Producto])*(Económico!$F$5=Comercial_Agricola[Campaña])*(Comercial_Agricola[Económico U$S Dólares]))*(IF($F$72="Tonelada",1/SUM(O$91:O$92),1)),0)</f>
        <v>0</v>
      </c>
      <c r="P77" s="10">
        <f>IFERROR(SUMPRODUCT((Tabla2831[[#This Row],[Cuentas Contables]]=Comercial_Agricola[Cuenta Contable])*(P$74=Comercial_Agricola[Producto])*(Económico!$F$5=Comercial_Agricola[Campaña])*(Comercial_Agricola[Económico U$S Dólares]))*(IF($F$72="Tonelada",1/SUM(P$91:P$92),1)),0)</f>
        <v>0</v>
      </c>
      <c r="Q77" s="10">
        <f>IFERROR(SUMPRODUCT((Tabla2831[[#This Row],[Cuentas Contables]]=Comercial_Agricola[Cuenta Contable])*(Q$74=Comercial_Agricola[Producto])*(Económico!$F$5=Comercial_Agricola[Campaña])*(Comercial_Agricola[Económico U$S Dólares]))*(IF($F$72="Tonelada",1/SUM(Q$91:Q$92),1)),0)</f>
        <v>0</v>
      </c>
      <c r="Z77" s="245">
        <f>IFERROR(MATCH(Tabla283142[[#This Row],[Cuentas Contables]],Comercializacion_Granos_Cuentas[Cuenta Contable],0),0)</f>
        <v>4</v>
      </c>
      <c r="AA77" s="32" t="str">
        <f>Tabla2831[[#This Row],[Cuentas Contables]]</f>
        <v>Venta de Granos</v>
      </c>
      <c r="AB77" s="10">
        <f>IFERROR(SUMPRODUCT((Tabla283142[[#This Row],[Cuentas Contables]]=Comercial_Agricola[Cuenta Contable])*(AB$74=Comercial_Agricola[Producto])*(Económico!$F$5=Comercial_Agricola[Campaña])*(Comercial_Agricola[Económico $Corrientes]))*(IF($F$72="Tonelada",1/SUM(AB$91:AB$92),1)),0)</f>
        <v>0</v>
      </c>
      <c r="AC77" s="10">
        <f>IFERROR(SUMPRODUCT((Tabla283142[[#This Row],[Cuentas Contables]]=Comercial_Agricola[Cuenta Contable])*(AC$74=Comercial_Agricola[Producto])*(Económico!$F$5=Comercial_Agricola[Campaña])*(Comercial_Agricola[Económico $Corrientes]))*(IF($F$72="Tonelada",1/SUM(AC$91:AC$92),1)),0)</f>
        <v>0</v>
      </c>
      <c r="AD77" s="10">
        <f>IFERROR(SUMPRODUCT((Tabla283142[[#This Row],[Cuentas Contables]]=Comercial_Agricola[Cuenta Contable])*(AD$74=Comercial_Agricola[Producto])*(Económico!$F$5=Comercial_Agricola[Campaña])*(Comercial_Agricola[Económico $Corrientes]))*(IF($F$72="Tonelada",1/SUM(AD$91:AD$92),1)),0)</f>
        <v>0</v>
      </c>
      <c r="AE77" s="10">
        <f>IFERROR(SUMPRODUCT((Tabla283142[[#This Row],[Cuentas Contables]]=Comercial_Agricola[Cuenta Contable])*(AE$74=Comercial_Agricola[Producto])*(Económico!$F$5=Comercial_Agricola[Campaña])*(Comercial_Agricola[Económico $Corrientes]))*(IF($F$72="Tonelada",1/SUM(AE$91:AE$92),1)),0)</f>
        <v>0</v>
      </c>
      <c r="AF77" s="10">
        <f>IFERROR(SUMPRODUCT((Tabla283142[[#This Row],[Cuentas Contables]]=Comercial_Agricola[Cuenta Contable])*(AF$74=Comercial_Agricola[Producto])*(Económico!$F$5=Comercial_Agricola[Campaña])*(Comercial_Agricola[Económico $Corrientes]))*(IF($F$72="Tonelada",1/SUM(AF$91:AF$92),1)),0)</f>
        <v>0</v>
      </c>
      <c r="AG77" s="10">
        <f>IFERROR(SUMPRODUCT((Tabla283142[[#This Row],[Cuentas Contables]]=Comercial_Agricola[Cuenta Contable])*(AG$74=Comercial_Agricola[Producto])*(Económico!$F$5=Comercial_Agricola[Campaña])*(Comercial_Agricola[Económico $Corrientes]))*(IF($F$72="Tonelada",1/SUM(AG$91:AG$92),1)),0)</f>
        <v>0</v>
      </c>
      <c r="AH77" s="10">
        <f>IFERROR(SUMPRODUCT((Tabla283142[[#This Row],[Cuentas Contables]]=Comercial_Agricola[Cuenta Contable])*(AH$74=Comercial_Agricola[Producto])*(Económico!$F$5=Comercial_Agricola[Campaña])*(Comercial_Agricola[Económico $Corrientes]))*(IF($F$72="Tonelada",1/SUM(AH$91:AH$92),1)),0)</f>
        <v>0</v>
      </c>
      <c r="AI77" s="10">
        <f>IFERROR(SUMPRODUCT((Tabla283142[[#This Row],[Cuentas Contables]]=Comercial_Agricola[Cuenta Contable])*(AI$74=Comercial_Agricola[Producto])*(Económico!$F$5=Comercial_Agricola[Campaña])*(Comercial_Agricola[Económico $Corrientes]))*(IF($F$72="Tonelada",1/SUM(AI$91:AI$92),1)),0)</f>
        <v>0</v>
      </c>
      <c r="AJ77" s="10">
        <f>IFERROR(SUMPRODUCT((Tabla283142[[#This Row],[Cuentas Contables]]=Comercial_Agricola[Cuenta Contable])*(AJ$74=Comercial_Agricola[Producto])*(Económico!$F$5=Comercial_Agricola[Campaña])*(Comercial_Agricola[Económico $Corrientes]))*(IF($F$72="Tonelada",1/SUM(AJ$91:AJ$92),1)),0)</f>
        <v>0</v>
      </c>
      <c r="AK77" s="10">
        <f>IFERROR(SUMPRODUCT((Tabla283142[[#This Row],[Cuentas Contables]]=Comercial_Agricola[Cuenta Contable])*(AK$74=Comercial_Agricola[Producto])*(Económico!$F$5=Comercial_Agricola[Campaña])*(Comercial_Agricola[Económico $Corrientes]))*(IF($F$72="Tonelada",1/SUM(AK$91:AK$92),1)),0)</f>
        <v>0</v>
      </c>
      <c r="AL77" s="10">
        <f>IFERROR(SUMPRODUCT((Tabla283142[[#This Row],[Cuentas Contables]]=Comercial_Agricola[Cuenta Contable])*(AL$74=Comercial_Agricola[Producto])*(Económico!$F$5=Comercial_Agricola[Campaña])*(Comercial_Agricola[Económico $Corrientes]))*(IF($F$72="Tonelada",1/SUM(AL$91:AL$92),1)),0)</f>
        <v>0</v>
      </c>
      <c r="AM77" s="10">
        <f>IFERROR(SUMPRODUCT((Tabla283142[[#This Row],[Cuentas Contables]]=Comercial_Agricola[Cuenta Contable])*(AM$74=Comercial_Agricola[Producto])*(Económico!$F$5=Comercial_Agricola[Campaña])*(Comercial_Agricola[Económico $Corrientes]))*(IF($F$72="Tonelada",1/SUM(AM$91:AM$92),1)),0)</f>
        <v>0</v>
      </c>
      <c r="AV77" s="245">
        <f>IFERROR(MATCH(Tabla28314251[[#This Row],[Cuentas Contables]],Comercializacion_Granos_Cuentas[Cuenta Contable],0),0)</f>
        <v>4</v>
      </c>
      <c r="AW77" s="32" t="str">
        <f>Tabla2831[[#This Row],[Cuentas Contables]]</f>
        <v>Venta de Granos</v>
      </c>
      <c r="AX77" s="10">
        <f>IFERROR(SUMPRODUCT((Tabla28314251[[#This Row],[Cuentas Contables]]=Comercial_Agricola[Cuenta Contable])*(AX$74=Comercial_Agricola[Producto])*(Económico!$F$5=Comercial_Agricola[Campaña])*(Comercial_Agricola[Económico $Constantes]))*(IF($F$72="Tonelada",1/SUM(AX$91:AX$92),1)),0)</f>
        <v>0</v>
      </c>
      <c r="AY77" s="10">
        <f>IFERROR(SUMPRODUCT((Tabla28314251[[#This Row],[Cuentas Contables]]=Comercial_Agricola[Cuenta Contable])*(AY$74=Comercial_Agricola[Producto])*(Económico!$F$5=Comercial_Agricola[Campaña])*(Comercial_Agricola[Económico $Constantes]))*(IF($F$72="Tonelada",1/SUM(AY$91:AY$92),1)),0)</f>
        <v>0</v>
      </c>
      <c r="AZ77" s="10">
        <f>IFERROR(SUMPRODUCT((Tabla28314251[[#This Row],[Cuentas Contables]]=Comercial_Agricola[Cuenta Contable])*(AZ$74=Comercial_Agricola[Producto])*(Económico!$F$5=Comercial_Agricola[Campaña])*(Comercial_Agricola[Económico $Constantes]))*(IF($F$72="Tonelada",1/SUM(AZ$91:AZ$92),1)),0)</f>
        <v>0</v>
      </c>
      <c r="BA77" s="10">
        <f>IFERROR(SUMPRODUCT((Tabla28314251[[#This Row],[Cuentas Contables]]=Comercial_Agricola[Cuenta Contable])*(BA$74=Comercial_Agricola[Producto])*(Económico!$F$5=Comercial_Agricola[Campaña])*(Comercial_Agricola[Económico $Constantes]))*(IF($F$72="Tonelada",1/SUM(BA$91:BA$92),1)),0)</f>
        <v>0</v>
      </c>
      <c r="BB77" s="10">
        <f>IFERROR(SUMPRODUCT((Tabla28314251[[#This Row],[Cuentas Contables]]=Comercial_Agricola[Cuenta Contable])*(BB$74=Comercial_Agricola[Producto])*(Económico!$F$5=Comercial_Agricola[Campaña])*(Comercial_Agricola[Económico $Constantes]))*(IF($F$72="Tonelada",1/SUM(BB$91:BB$92),1)),0)</f>
        <v>0</v>
      </c>
      <c r="BC77" s="10">
        <f>IFERROR(SUMPRODUCT((Tabla28314251[[#This Row],[Cuentas Contables]]=Comercial_Agricola[Cuenta Contable])*(BC$74=Comercial_Agricola[Producto])*(Económico!$F$5=Comercial_Agricola[Campaña])*(Comercial_Agricola[Económico $Constantes]))*(IF($F$72="Tonelada",1/SUM(BC$91:BC$92),1)),0)</f>
        <v>0</v>
      </c>
      <c r="BD77" s="10">
        <f>IFERROR(SUMPRODUCT((Tabla28314251[[#This Row],[Cuentas Contables]]=Comercial_Agricola[Cuenta Contable])*(BD$74=Comercial_Agricola[Producto])*(Económico!$F$5=Comercial_Agricola[Campaña])*(Comercial_Agricola[Económico $Constantes]))*(IF($F$72="Tonelada",1/SUM(BD$91:BD$92),1)),0)</f>
        <v>0</v>
      </c>
      <c r="BE77" s="10">
        <f>IFERROR(SUMPRODUCT((Tabla28314251[[#This Row],[Cuentas Contables]]=Comercial_Agricola[Cuenta Contable])*(BE$74=Comercial_Agricola[Producto])*(Económico!$F$5=Comercial_Agricola[Campaña])*(Comercial_Agricola[Económico $Constantes]))*(IF($F$72="Tonelada",1/SUM(BE$91:BE$92),1)),0)</f>
        <v>0</v>
      </c>
      <c r="BF77" s="10">
        <f>IFERROR(SUMPRODUCT((Tabla28314251[[#This Row],[Cuentas Contables]]=Comercial_Agricola[Cuenta Contable])*(BF$74=Comercial_Agricola[Producto])*(Económico!$F$5=Comercial_Agricola[Campaña])*(Comercial_Agricola[Económico $Constantes]))*(IF($F$72="Tonelada",1/SUM(BF$91:BF$92),1)),0)</f>
        <v>0</v>
      </c>
      <c r="BG77" s="10">
        <f>IFERROR(SUMPRODUCT((Tabla28314251[[#This Row],[Cuentas Contables]]=Comercial_Agricola[Cuenta Contable])*(BG$74=Comercial_Agricola[Producto])*(Económico!$F$5=Comercial_Agricola[Campaña])*(Comercial_Agricola[Económico $Constantes]))*(IF($F$72="Tonelada",1/SUM(BG$91:BG$92),1)),0)</f>
        <v>0</v>
      </c>
      <c r="BH77" s="10">
        <f>IFERROR(SUMPRODUCT((Tabla28314251[[#This Row],[Cuentas Contables]]=Comercial_Agricola[Cuenta Contable])*(BH$74=Comercial_Agricola[Producto])*(Económico!$F$5=Comercial_Agricola[Campaña])*(Comercial_Agricola[Económico $Constantes]))*(IF($F$72="Tonelada",1/SUM(BH$91:BH$92),1)),0)</f>
        <v>0</v>
      </c>
      <c r="BI77" s="10">
        <f>IFERROR(SUMPRODUCT((Tabla28314251[[#This Row],[Cuentas Contables]]=Comercial_Agricola[Cuenta Contable])*(BI$74=Comercial_Agricola[Producto])*(Económico!$F$5=Comercial_Agricola[Campaña])*(Comercial_Agricola[Económico $Constantes]))*(IF($F$72="Tonelada",1/SUM(BI$91:BI$92),1)),0)</f>
        <v>0</v>
      </c>
    </row>
    <row r="78" spans="2:62" x14ac:dyDescent="0.25">
      <c r="D78" s="245">
        <f>IFERROR(MATCH(Tabla2831[[#This Row],[Cuentas Contables]],Comercializacion_Granos_Cuentas[Cuenta Contable],0),0)</f>
        <v>5</v>
      </c>
      <c r="E78" s="32" t="s">
        <v>172</v>
      </c>
      <c r="F78" s="10">
        <f>IFERROR(SUMPRODUCT((Tabla2831[[#This Row],[Cuentas Contables]]=Comercial_Agricola[Cuenta Contable])*(F$74=Comercial_Agricola[Producto])*(Económico!$F$5=Comercial_Agricola[Campaña])*(Comercial_Agricola[Económico U$S Dólares]))*(IF($F$72="Tonelada",1/SUM(F$91:F$92),1)),0)</f>
        <v>0</v>
      </c>
      <c r="G78" s="10">
        <f>IFERROR(SUMPRODUCT((Tabla2831[[#This Row],[Cuentas Contables]]=Comercial_Agricola[Cuenta Contable])*(G$74=Comercial_Agricola[Producto])*(Económico!$F$5=Comercial_Agricola[Campaña])*(Comercial_Agricola[Económico U$S Dólares]))*(IF($F$72="Tonelada",1/SUM(G$91:G$92),1)),0)</f>
        <v>0</v>
      </c>
      <c r="H78" s="10">
        <f>IFERROR(SUMPRODUCT((Tabla2831[[#This Row],[Cuentas Contables]]=Comercial_Agricola[Cuenta Contable])*(H$74=Comercial_Agricola[Producto])*(Económico!$F$5=Comercial_Agricola[Campaña])*(Comercial_Agricola[Económico U$S Dólares]))*(IF($F$72="Tonelada",1/SUM(H$91:H$92),1)),0)</f>
        <v>0</v>
      </c>
      <c r="I78" s="10">
        <f>IFERROR(SUMPRODUCT((Tabla2831[[#This Row],[Cuentas Contables]]=Comercial_Agricola[Cuenta Contable])*(I$74=Comercial_Agricola[Producto])*(Económico!$F$5=Comercial_Agricola[Campaña])*(Comercial_Agricola[Económico U$S Dólares]))*(IF($F$72="Tonelada",1/SUM(I$91:I$92),1)),0)</f>
        <v>0</v>
      </c>
      <c r="J78" s="10">
        <f>IFERROR(SUMPRODUCT((Tabla2831[[#This Row],[Cuentas Contables]]=Comercial_Agricola[Cuenta Contable])*(J$74=Comercial_Agricola[Producto])*(Económico!$F$5=Comercial_Agricola[Campaña])*(Comercial_Agricola[Económico U$S Dólares]))*(IF($F$72="Tonelada",1/SUM(J$91:J$92),1)),0)</f>
        <v>0</v>
      </c>
      <c r="K78" s="10">
        <f>IFERROR(SUMPRODUCT((Tabla2831[[#This Row],[Cuentas Contables]]=Comercial_Agricola[Cuenta Contable])*(K$74=Comercial_Agricola[Producto])*(Económico!$F$5=Comercial_Agricola[Campaña])*(Comercial_Agricola[Económico U$S Dólares]))*(IF($F$72="Tonelada",1/SUM(K$91:K$92),1)),0)</f>
        <v>0</v>
      </c>
      <c r="L78" s="10">
        <f>IFERROR(SUMPRODUCT((Tabla2831[[#This Row],[Cuentas Contables]]=Comercial_Agricola[Cuenta Contable])*(L$74=Comercial_Agricola[Producto])*(Económico!$F$5=Comercial_Agricola[Campaña])*(Comercial_Agricola[Económico U$S Dólares]))*(IF($F$72="Tonelada",1/SUM(L$91:L$92),1)),0)</f>
        <v>0</v>
      </c>
      <c r="M78" s="10">
        <f>IFERROR(SUMPRODUCT((Tabla2831[[#This Row],[Cuentas Contables]]=Comercial_Agricola[Cuenta Contable])*(M$74=Comercial_Agricola[Producto])*(Económico!$F$5=Comercial_Agricola[Campaña])*(Comercial_Agricola[Económico U$S Dólares]))*(IF($F$72="Tonelada",1/SUM(M$91:M$92),1)),0)</f>
        <v>0</v>
      </c>
      <c r="N78" s="10">
        <f>IFERROR(SUMPRODUCT((Tabla2831[[#This Row],[Cuentas Contables]]=Comercial_Agricola[Cuenta Contable])*(N$74=Comercial_Agricola[Producto])*(Económico!$F$5=Comercial_Agricola[Campaña])*(Comercial_Agricola[Económico U$S Dólares]))*(IF($F$72="Tonelada",1/SUM(N$91:N$92),1)),0)</f>
        <v>0</v>
      </c>
      <c r="O78" s="10">
        <f>IFERROR(SUMPRODUCT((Tabla2831[[#This Row],[Cuentas Contables]]=Comercial_Agricola[Cuenta Contable])*(O$74=Comercial_Agricola[Producto])*(Económico!$F$5=Comercial_Agricola[Campaña])*(Comercial_Agricola[Económico U$S Dólares]))*(IF($F$72="Tonelada",1/SUM(O$91:O$92),1)),0)</f>
        <v>0</v>
      </c>
      <c r="P78" s="10">
        <f>IFERROR(SUMPRODUCT((Tabla2831[[#This Row],[Cuentas Contables]]=Comercial_Agricola[Cuenta Contable])*(P$74=Comercial_Agricola[Producto])*(Económico!$F$5=Comercial_Agricola[Campaña])*(Comercial_Agricola[Económico U$S Dólares]))*(IF($F$72="Tonelada",1/SUM(P$91:P$92),1)),0)</f>
        <v>0</v>
      </c>
      <c r="Q78" s="10">
        <f>IFERROR(SUMPRODUCT((Tabla2831[[#This Row],[Cuentas Contables]]=Comercial_Agricola[Cuenta Contable])*(Q$74=Comercial_Agricola[Producto])*(Económico!$F$5=Comercial_Agricola[Campaña])*(Comercial_Agricola[Económico U$S Dólares]))*(IF($F$72="Tonelada",1/SUM(Q$91:Q$92),1)),0)</f>
        <v>0</v>
      </c>
      <c r="Z78" s="245">
        <f>IFERROR(MATCH(Tabla283142[[#This Row],[Cuentas Contables]],Comercializacion_Granos_Cuentas[Cuenta Contable],0),0)</f>
        <v>5</v>
      </c>
      <c r="AA78" s="32" t="str">
        <f>Tabla2831[[#This Row],[Cuentas Contables]]</f>
        <v>Cesión de Granos</v>
      </c>
      <c r="AB78" s="10">
        <f>IFERROR(SUMPRODUCT((Tabla283142[[#This Row],[Cuentas Contables]]=Comercial_Agricola[Cuenta Contable])*(AB$74=Comercial_Agricola[Producto])*(Económico!$F$5=Comercial_Agricola[Campaña])*(Comercial_Agricola[Económico $Corrientes]))*(IF($F$72="Tonelada",1/SUM(AB$91:AB$92),1)),0)</f>
        <v>0</v>
      </c>
      <c r="AC78" s="10">
        <f>IFERROR(SUMPRODUCT((Tabla283142[[#This Row],[Cuentas Contables]]=Comercial_Agricola[Cuenta Contable])*(AC$74=Comercial_Agricola[Producto])*(Económico!$F$5=Comercial_Agricola[Campaña])*(Comercial_Agricola[Económico $Corrientes]))*(IF($F$72="Tonelada",1/SUM(AC$91:AC$92),1)),0)</f>
        <v>0</v>
      </c>
      <c r="AD78" s="10">
        <f>IFERROR(SUMPRODUCT((Tabla283142[[#This Row],[Cuentas Contables]]=Comercial_Agricola[Cuenta Contable])*(AD$74=Comercial_Agricola[Producto])*(Económico!$F$5=Comercial_Agricola[Campaña])*(Comercial_Agricola[Económico $Corrientes]))*(IF($F$72="Tonelada",1/SUM(AD$91:AD$92),1)),0)</f>
        <v>0</v>
      </c>
      <c r="AE78" s="10">
        <f>IFERROR(SUMPRODUCT((Tabla283142[[#This Row],[Cuentas Contables]]=Comercial_Agricola[Cuenta Contable])*(AE$74=Comercial_Agricola[Producto])*(Económico!$F$5=Comercial_Agricola[Campaña])*(Comercial_Agricola[Económico $Corrientes]))*(IF($F$72="Tonelada",1/SUM(AE$91:AE$92),1)),0)</f>
        <v>0</v>
      </c>
      <c r="AF78" s="10">
        <f>IFERROR(SUMPRODUCT((Tabla283142[[#This Row],[Cuentas Contables]]=Comercial_Agricola[Cuenta Contable])*(AF$74=Comercial_Agricola[Producto])*(Económico!$F$5=Comercial_Agricola[Campaña])*(Comercial_Agricola[Económico $Corrientes]))*(IF($F$72="Tonelada",1/SUM(AF$91:AF$92),1)),0)</f>
        <v>0</v>
      </c>
      <c r="AG78" s="10">
        <f>IFERROR(SUMPRODUCT((Tabla283142[[#This Row],[Cuentas Contables]]=Comercial_Agricola[Cuenta Contable])*(AG$74=Comercial_Agricola[Producto])*(Económico!$F$5=Comercial_Agricola[Campaña])*(Comercial_Agricola[Económico $Corrientes]))*(IF($F$72="Tonelada",1/SUM(AG$91:AG$92),1)),0)</f>
        <v>0</v>
      </c>
      <c r="AH78" s="10">
        <f>IFERROR(SUMPRODUCT((Tabla283142[[#This Row],[Cuentas Contables]]=Comercial_Agricola[Cuenta Contable])*(AH$74=Comercial_Agricola[Producto])*(Económico!$F$5=Comercial_Agricola[Campaña])*(Comercial_Agricola[Económico $Corrientes]))*(IF($F$72="Tonelada",1/SUM(AH$91:AH$92),1)),0)</f>
        <v>0</v>
      </c>
      <c r="AI78" s="10">
        <f>IFERROR(SUMPRODUCT((Tabla283142[[#This Row],[Cuentas Contables]]=Comercial_Agricola[Cuenta Contable])*(AI$74=Comercial_Agricola[Producto])*(Económico!$F$5=Comercial_Agricola[Campaña])*(Comercial_Agricola[Económico $Corrientes]))*(IF($F$72="Tonelada",1/SUM(AI$91:AI$92),1)),0)</f>
        <v>0</v>
      </c>
      <c r="AJ78" s="10">
        <f>IFERROR(SUMPRODUCT((Tabla283142[[#This Row],[Cuentas Contables]]=Comercial_Agricola[Cuenta Contable])*(AJ$74=Comercial_Agricola[Producto])*(Económico!$F$5=Comercial_Agricola[Campaña])*(Comercial_Agricola[Económico $Corrientes]))*(IF($F$72="Tonelada",1/SUM(AJ$91:AJ$92),1)),0)</f>
        <v>0</v>
      </c>
      <c r="AK78" s="10">
        <f>IFERROR(SUMPRODUCT((Tabla283142[[#This Row],[Cuentas Contables]]=Comercial_Agricola[Cuenta Contable])*(AK$74=Comercial_Agricola[Producto])*(Económico!$F$5=Comercial_Agricola[Campaña])*(Comercial_Agricola[Económico $Corrientes]))*(IF($F$72="Tonelada",1/SUM(AK$91:AK$92),1)),0)</f>
        <v>0</v>
      </c>
      <c r="AL78" s="10">
        <f>IFERROR(SUMPRODUCT((Tabla283142[[#This Row],[Cuentas Contables]]=Comercial_Agricola[Cuenta Contable])*(AL$74=Comercial_Agricola[Producto])*(Económico!$F$5=Comercial_Agricola[Campaña])*(Comercial_Agricola[Económico $Corrientes]))*(IF($F$72="Tonelada",1/SUM(AL$91:AL$92),1)),0)</f>
        <v>0</v>
      </c>
      <c r="AM78" s="10">
        <f>IFERROR(SUMPRODUCT((Tabla283142[[#This Row],[Cuentas Contables]]=Comercial_Agricola[Cuenta Contable])*(AM$74=Comercial_Agricola[Producto])*(Económico!$F$5=Comercial_Agricola[Campaña])*(Comercial_Agricola[Económico $Corrientes]))*(IF($F$72="Tonelada",1/SUM(AM$91:AM$92),1)),0)</f>
        <v>0</v>
      </c>
      <c r="AV78" s="245">
        <f>IFERROR(MATCH(Tabla28314251[[#This Row],[Cuentas Contables]],Comercializacion_Granos_Cuentas[Cuenta Contable],0),0)</f>
        <v>5</v>
      </c>
      <c r="AW78" s="32" t="str">
        <f>Tabla2831[[#This Row],[Cuentas Contables]]</f>
        <v>Cesión de Granos</v>
      </c>
      <c r="AX78" s="10">
        <f>IFERROR(SUMPRODUCT((Tabla28314251[[#This Row],[Cuentas Contables]]=Comercial_Agricola[Cuenta Contable])*(AX$74=Comercial_Agricola[Producto])*(Económico!$F$5=Comercial_Agricola[Campaña])*(Comercial_Agricola[Económico $Constantes]))*(IF($F$72="Tonelada",1/SUM(AX$91:AX$92),1)),0)</f>
        <v>0</v>
      </c>
      <c r="AY78" s="10">
        <f>IFERROR(SUMPRODUCT((Tabla28314251[[#This Row],[Cuentas Contables]]=Comercial_Agricola[Cuenta Contable])*(AY$74=Comercial_Agricola[Producto])*(Económico!$F$5=Comercial_Agricola[Campaña])*(Comercial_Agricola[Económico $Constantes]))*(IF($F$72="Tonelada",1/SUM(AY$91:AY$92),1)),0)</f>
        <v>0</v>
      </c>
      <c r="AZ78" s="10">
        <f>IFERROR(SUMPRODUCT((Tabla28314251[[#This Row],[Cuentas Contables]]=Comercial_Agricola[Cuenta Contable])*(AZ$74=Comercial_Agricola[Producto])*(Económico!$F$5=Comercial_Agricola[Campaña])*(Comercial_Agricola[Económico $Constantes]))*(IF($F$72="Tonelada",1/SUM(AZ$91:AZ$92),1)),0)</f>
        <v>0</v>
      </c>
      <c r="BA78" s="10">
        <f>IFERROR(SUMPRODUCT((Tabla28314251[[#This Row],[Cuentas Contables]]=Comercial_Agricola[Cuenta Contable])*(BA$74=Comercial_Agricola[Producto])*(Económico!$F$5=Comercial_Agricola[Campaña])*(Comercial_Agricola[Económico $Constantes]))*(IF($F$72="Tonelada",1/SUM(BA$91:BA$92),1)),0)</f>
        <v>0</v>
      </c>
      <c r="BB78" s="10">
        <f>IFERROR(SUMPRODUCT((Tabla28314251[[#This Row],[Cuentas Contables]]=Comercial_Agricola[Cuenta Contable])*(BB$74=Comercial_Agricola[Producto])*(Económico!$F$5=Comercial_Agricola[Campaña])*(Comercial_Agricola[Económico $Constantes]))*(IF($F$72="Tonelada",1/SUM(BB$91:BB$92),1)),0)</f>
        <v>0</v>
      </c>
      <c r="BC78" s="10">
        <f>IFERROR(SUMPRODUCT((Tabla28314251[[#This Row],[Cuentas Contables]]=Comercial_Agricola[Cuenta Contable])*(BC$74=Comercial_Agricola[Producto])*(Económico!$F$5=Comercial_Agricola[Campaña])*(Comercial_Agricola[Económico $Constantes]))*(IF($F$72="Tonelada",1/SUM(BC$91:BC$92),1)),0)</f>
        <v>0</v>
      </c>
      <c r="BD78" s="10">
        <f>IFERROR(SUMPRODUCT((Tabla28314251[[#This Row],[Cuentas Contables]]=Comercial_Agricola[Cuenta Contable])*(BD$74=Comercial_Agricola[Producto])*(Económico!$F$5=Comercial_Agricola[Campaña])*(Comercial_Agricola[Económico $Constantes]))*(IF($F$72="Tonelada",1/SUM(BD$91:BD$92),1)),0)</f>
        <v>0</v>
      </c>
      <c r="BE78" s="10">
        <f>IFERROR(SUMPRODUCT((Tabla28314251[[#This Row],[Cuentas Contables]]=Comercial_Agricola[Cuenta Contable])*(BE$74=Comercial_Agricola[Producto])*(Económico!$F$5=Comercial_Agricola[Campaña])*(Comercial_Agricola[Económico $Constantes]))*(IF($F$72="Tonelada",1/SUM(BE$91:BE$92),1)),0)</f>
        <v>0</v>
      </c>
      <c r="BF78" s="10">
        <f>IFERROR(SUMPRODUCT((Tabla28314251[[#This Row],[Cuentas Contables]]=Comercial_Agricola[Cuenta Contable])*(BF$74=Comercial_Agricola[Producto])*(Económico!$F$5=Comercial_Agricola[Campaña])*(Comercial_Agricola[Económico $Constantes]))*(IF($F$72="Tonelada",1/SUM(BF$91:BF$92),1)),0)</f>
        <v>0</v>
      </c>
      <c r="BG78" s="10">
        <f>IFERROR(SUMPRODUCT((Tabla28314251[[#This Row],[Cuentas Contables]]=Comercial_Agricola[Cuenta Contable])*(BG$74=Comercial_Agricola[Producto])*(Económico!$F$5=Comercial_Agricola[Campaña])*(Comercial_Agricola[Económico $Constantes]))*(IF($F$72="Tonelada",1/SUM(BG$91:BG$92),1)),0)</f>
        <v>0</v>
      </c>
      <c r="BH78" s="10">
        <f>IFERROR(SUMPRODUCT((Tabla28314251[[#This Row],[Cuentas Contables]]=Comercial_Agricola[Cuenta Contable])*(BH$74=Comercial_Agricola[Producto])*(Económico!$F$5=Comercial_Agricola[Campaña])*(Comercial_Agricola[Económico $Constantes]))*(IF($F$72="Tonelada",1/SUM(BH$91:BH$92),1)),0)</f>
        <v>0</v>
      </c>
      <c r="BI78" s="10">
        <f>IFERROR(SUMPRODUCT((Tabla28314251[[#This Row],[Cuentas Contables]]=Comercial_Agricola[Cuenta Contable])*(BI$74=Comercial_Agricola[Producto])*(Económico!$F$5=Comercial_Agricola[Campaña])*(Comercial_Agricola[Económico $Constantes]))*(IF($F$72="Tonelada",1/SUM(BI$91:BI$92),1)),0)</f>
        <v>0</v>
      </c>
    </row>
    <row r="79" spans="2:62" x14ac:dyDescent="0.25">
      <c r="D79" s="245">
        <f>IFERROR(MATCH(Tabla2831[[#This Row],[Cuentas Contables]],Comercializacion_Granos_Cuentas[Cuenta Contable],0),0)</f>
        <v>2</v>
      </c>
      <c r="E79" s="32" t="s">
        <v>47</v>
      </c>
      <c r="F79" s="10">
        <f>IFERROR(SUMPRODUCT((Tabla2831[[#This Row],[Cuentas Contables]]=Comercial_Agricola[Cuenta Contable])*(F$74=Comercial_Agricola[Producto])*(Económico!$F$5=Comercial_Agricola[Campaña])*(Comercial_Agricola[Económico U$S Dólares]))*(IF($F$72="Tonelada",1/SUM(F$91:F$92),1)),0)</f>
        <v>0</v>
      </c>
      <c r="G79" s="10">
        <f>IFERROR(SUMPRODUCT((Tabla2831[[#This Row],[Cuentas Contables]]=Comercial_Agricola[Cuenta Contable])*(G$74=Comercial_Agricola[Producto])*(Económico!$F$5=Comercial_Agricola[Campaña])*(Comercial_Agricola[Económico U$S Dólares]))*(IF($F$72="Tonelada",1/SUM(G$91:G$92),1)),0)</f>
        <v>0</v>
      </c>
      <c r="H79" s="10">
        <f>IFERROR(SUMPRODUCT((Tabla2831[[#This Row],[Cuentas Contables]]=Comercial_Agricola[Cuenta Contable])*(H$74=Comercial_Agricola[Producto])*(Económico!$F$5=Comercial_Agricola[Campaña])*(Comercial_Agricola[Económico U$S Dólares]))*(IF($F$72="Tonelada",1/SUM(H$91:H$92),1)),0)</f>
        <v>0</v>
      </c>
      <c r="I79" s="10">
        <f>IFERROR(SUMPRODUCT((Tabla2831[[#This Row],[Cuentas Contables]]=Comercial_Agricola[Cuenta Contable])*(I$74=Comercial_Agricola[Producto])*(Económico!$F$5=Comercial_Agricola[Campaña])*(Comercial_Agricola[Económico U$S Dólares]))*(IF($F$72="Tonelada",1/SUM(I$91:I$92),1)),0)</f>
        <v>0</v>
      </c>
      <c r="J79" s="10">
        <f>IFERROR(SUMPRODUCT((Tabla2831[[#This Row],[Cuentas Contables]]=Comercial_Agricola[Cuenta Contable])*(J$74=Comercial_Agricola[Producto])*(Económico!$F$5=Comercial_Agricola[Campaña])*(Comercial_Agricola[Económico U$S Dólares]))*(IF($F$72="Tonelada",1/SUM(J$91:J$92),1)),0)</f>
        <v>0</v>
      </c>
      <c r="K79" s="10">
        <f>IFERROR(SUMPRODUCT((Tabla2831[[#This Row],[Cuentas Contables]]=Comercial_Agricola[Cuenta Contable])*(K$74=Comercial_Agricola[Producto])*(Económico!$F$5=Comercial_Agricola[Campaña])*(Comercial_Agricola[Económico U$S Dólares]))*(IF($F$72="Tonelada",1/SUM(K$91:K$92),1)),0)</f>
        <v>0</v>
      </c>
      <c r="L79" s="10">
        <f>IFERROR(SUMPRODUCT((Tabla2831[[#This Row],[Cuentas Contables]]=Comercial_Agricola[Cuenta Contable])*(L$74=Comercial_Agricola[Producto])*(Económico!$F$5=Comercial_Agricola[Campaña])*(Comercial_Agricola[Económico U$S Dólares]))*(IF($F$72="Tonelada",1/SUM(L$91:L$92),1)),0)</f>
        <v>0</v>
      </c>
      <c r="M79" s="10">
        <f>IFERROR(SUMPRODUCT((Tabla2831[[#This Row],[Cuentas Contables]]=Comercial_Agricola[Cuenta Contable])*(M$74=Comercial_Agricola[Producto])*(Económico!$F$5=Comercial_Agricola[Campaña])*(Comercial_Agricola[Económico U$S Dólares]))*(IF($F$72="Tonelada",1/SUM(M$91:M$92),1)),0)</f>
        <v>0</v>
      </c>
      <c r="N79" s="10">
        <f>IFERROR(SUMPRODUCT((Tabla2831[[#This Row],[Cuentas Contables]]=Comercial_Agricola[Cuenta Contable])*(N$74=Comercial_Agricola[Producto])*(Económico!$F$5=Comercial_Agricola[Campaña])*(Comercial_Agricola[Económico U$S Dólares]))*(IF($F$72="Tonelada",1/SUM(N$91:N$92),1)),0)</f>
        <v>0</v>
      </c>
      <c r="O79" s="10">
        <f>IFERROR(SUMPRODUCT((Tabla2831[[#This Row],[Cuentas Contables]]=Comercial_Agricola[Cuenta Contable])*(O$74=Comercial_Agricola[Producto])*(Económico!$F$5=Comercial_Agricola[Campaña])*(Comercial_Agricola[Económico U$S Dólares]))*(IF($F$72="Tonelada",1/SUM(O$91:O$92),1)),0)</f>
        <v>0</v>
      </c>
      <c r="P79" s="10">
        <f>IFERROR(SUMPRODUCT((Tabla2831[[#This Row],[Cuentas Contables]]=Comercial_Agricola[Cuenta Contable])*(P$74=Comercial_Agricola[Producto])*(Económico!$F$5=Comercial_Agricola[Campaña])*(Comercial_Agricola[Económico U$S Dólares]))*(IF($F$72="Tonelada",1/SUM(P$91:P$92),1)),0)</f>
        <v>0</v>
      </c>
      <c r="Q79" s="10">
        <f>IFERROR(SUMPRODUCT((Tabla2831[[#This Row],[Cuentas Contables]]=Comercial_Agricola[Cuenta Contable])*(Q$74=Comercial_Agricola[Producto])*(Económico!$F$5=Comercial_Agricola[Campaña])*(Comercial_Agricola[Económico U$S Dólares]))*(IF($F$72="Tonelada",1/SUM(Q$91:Q$92),1)),0)</f>
        <v>0</v>
      </c>
      <c r="Z79" s="245">
        <f>IFERROR(MATCH(Tabla283142[[#This Row],[Cuentas Contables]],Comercializacion_Granos_Cuentas[Cuenta Contable],0),0)</f>
        <v>2</v>
      </c>
      <c r="AA79" s="32" t="str">
        <f>Tabla2831[[#This Row],[Cuentas Contables]]</f>
        <v>Stock Granos Cierre</v>
      </c>
      <c r="AB79" s="10">
        <f>IFERROR(SUMPRODUCT((Tabla283142[[#This Row],[Cuentas Contables]]=Comercial_Agricola[Cuenta Contable])*(AB$74=Comercial_Agricola[Producto])*(Económico!$F$5=Comercial_Agricola[Campaña])*(Comercial_Agricola[Económico $Corrientes]))*(IF($F$72="Tonelada",1/SUM(AB$91:AB$92),1)),0)</f>
        <v>0</v>
      </c>
      <c r="AC79" s="10">
        <f>IFERROR(SUMPRODUCT((Tabla283142[[#This Row],[Cuentas Contables]]=Comercial_Agricola[Cuenta Contable])*(AC$74=Comercial_Agricola[Producto])*(Económico!$F$5=Comercial_Agricola[Campaña])*(Comercial_Agricola[Económico $Corrientes]))*(IF($F$72="Tonelada",1/SUM(AC$91:AC$92),1)),0)</f>
        <v>0</v>
      </c>
      <c r="AD79" s="10">
        <f>IFERROR(SUMPRODUCT((Tabla283142[[#This Row],[Cuentas Contables]]=Comercial_Agricola[Cuenta Contable])*(AD$74=Comercial_Agricola[Producto])*(Económico!$F$5=Comercial_Agricola[Campaña])*(Comercial_Agricola[Económico $Corrientes]))*(IF($F$72="Tonelada",1/SUM(AD$91:AD$92),1)),0)</f>
        <v>0</v>
      </c>
      <c r="AE79" s="10">
        <f>IFERROR(SUMPRODUCT((Tabla283142[[#This Row],[Cuentas Contables]]=Comercial_Agricola[Cuenta Contable])*(AE$74=Comercial_Agricola[Producto])*(Económico!$F$5=Comercial_Agricola[Campaña])*(Comercial_Agricola[Económico $Corrientes]))*(IF($F$72="Tonelada",1/SUM(AE$91:AE$92),1)),0)</f>
        <v>0</v>
      </c>
      <c r="AF79" s="10">
        <f>IFERROR(SUMPRODUCT((Tabla283142[[#This Row],[Cuentas Contables]]=Comercial_Agricola[Cuenta Contable])*(AF$74=Comercial_Agricola[Producto])*(Económico!$F$5=Comercial_Agricola[Campaña])*(Comercial_Agricola[Económico $Corrientes]))*(IF($F$72="Tonelada",1/SUM(AF$91:AF$92),1)),0)</f>
        <v>0</v>
      </c>
      <c r="AG79" s="10">
        <f>IFERROR(SUMPRODUCT((Tabla283142[[#This Row],[Cuentas Contables]]=Comercial_Agricola[Cuenta Contable])*(AG$74=Comercial_Agricola[Producto])*(Económico!$F$5=Comercial_Agricola[Campaña])*(Comercial_Agricola[Económico $Corrientes]))*(IF($F$72="Tonelada",1/SUM(AG$91:AG$92),1)),0)</f>
        <v>0</v>
      </c>
      <c r="AH79" s="10">
        <f>IFERROR(SUMPRODUCT((Tabla283142[[#This Row],[Cuentas Contables]]=Comercial_Agricola[Cuenta Contable])*(AH$74=Comercial_Agricola[Producto])*(Económico!$F$5=Comercial_Agricola[Campaña])*(Comercial_Agricola[Económico $Corrientes]))*(IF($F$72="Tonelada",1/SUM(AH$91:AH$92),1)),0)</f>
        <v>0</v>
      </c>
      <c r="AI79" s="10">
        <f>IFERROR(SUMPRODUCT((Tabla283142[[#This Row],[Cuentas Contables]]=Comercial_Agricola[Cuenta Contable])*(AI$74=Comercial_Agricola[Producto])*(Económico!$F$5=Comercial_Agricola[Campaña])*(Comercial_Agricola[Económico $Corrientes]))*(IF($F$72="Tonelada",1/SUM(AI$91:AI$92),1)),0)</f>
        <v>0</v>
      </c>
      <c r="AJ79" s="10">
        <f>IFERROR(SUMPRODUCT((Tabla283142[[#This Row],[Cuentas Contables]]=Comercial_Agricola[Cuenta Contable])*(AJ$74=Comercial_Agricola[Producto])*(Económico!$F$5=Comercial_Agricola[Campaña])*(Comercial_Agricola[Económico $Corrientes]))*(IF($F$72="Tonelada",1/SUM(AJ$91:AJ$92),1)),0)</f>
        <v>0</v>
      </c>
      <c r="AK79" s="10">
        <f>IFERROR(SUMPRODUCT((Tabla283142[[#This Row],[Cuentas Contables]]=Comercial_Agricola[Cuenta Contable])*(AK$74=Comercial_Agricola[Producto])*(Económico!$F$5=Comercial_Agricola[Campaña])*(Comercial_Agricola[Económico $Corrientes]))*(IF($F$72="Tonelada",1/SUM(AK$91:AK$92),1)),0)</f>
        <v>0</v>
      </c>
      <c r="AL79" s="10">
        <f>IFERROR(SUMPRODUCT((Tabla283142[[#This Row],[Cuentas Contables]]=Comercial_Agricola[Cuenta Contable])*(AL$74=Comercial_Agricola[Producto])*(Económico!$F$5=Comercial_Agricola[Campaña])*(Comercial_Agricola[Económico $Corrientes]))*(IF($F$72="Tonelada",1/SUM(AL$91:AL$92),1)),0)</f>
        <v>0</v>
      </c>
      <c r="AM79" s="10">
        <f>IFERROR(SUMPRODUCT((Tabla283142[[#This Row],[Cuentas Contables]]=Comercial_Agricola[Cuenta Contable])*(AM$74=Comercial_Agricola[Producto])*(Económico!$F$5=Comercial_Agricola[Campaña])*(Comercial_Agricola[Económico $Corrientes]))*(IF($F$72="Tonelada",1/SUM(AM$91:AM$92),1)),0)</f>
        <v>0</v>
      </c>
      <c r="AV79" s="245">
        <f>IFERROR(MATCH(Tabla28314251[[#This Row],[Cuentas Contables]],Comercializacion_Granos_Cuentas[Cuenta Contable],0),0)</f>
        <v>2</v>
      </c>
      <c r="AW79" s="32" t="str">
        <f>Tabla2831[[#This Row],[Cuentas Contables]]</f>
        <v>Stock Granos Cierre</v>
      </c>
      <c r="AX79" s="10">
        <f>IFERROR(SUMPRODUCT((Tabla28314251[[#This Row],[Cuentas Contables]]=Comercial_Agricola[Cuenta Contable])*(AX$74=Comercial_Agricola[Producto])*(Económico!$F$5=Comercial_Agricola[Campaña])*(Comercial_Agricola[Económico $Constantes]))*(IF($F$72="Tonelada",1/SUM(AX$91:AX$92),1)),0)</f>
        <v>0</v>
      </c>
      <c r="AY79" s="10">
        <f>IFERROR(SUMPRODUCT((Tabla28314251[[#This Row],[Cuentas Contables]]=Comercial_Agricola[Cuenta Contable])*(AY$74=Comercial_Agricola[Producto])*(Económico!$F$5=Comercial_Agricola[Campaña])*(Comercial_Agricola[Económico $Constantes]))*(IF($F$72="Tonelada",1/SUM(AY$91:AY$92),1)),0)</f>
        <v>0</v>
      </c>
      <c r="AZ79" s="10">
        <f>IFERROR(SUMPRODUCT((Tabla28314251[[#This Row],[Cuentas Contables]]=Comercial_Agricola[Cuenta Contable])*(AZ$74=Comercial_Agricola[Producto])*(Económico!$F$5=Comercial_Agricola[Campaña])*(Comercial_Agricola[Económico $Constantes]))*(IF($F$72="Tonelada",1/SUM(AZ$91:AZ$92),1)),0)</f>
        <v>0</v>
      </c>
      <c r="BA79" s="10">
        <f>IFERROR(SUMPRODUCT((Tabla28314251[[#This Row],[Cuentas Contables]]=Comercial_Agricola[Cuenta Contable])*(BA$74=Comercial_Agricola[Producto])*(Económico!$F$5=Comercial_Agricola[Campaña])*(Comercial_Agricola[Económico $Constantes]))*(IF($F$72="Tonelada",1/SUM(BA$91:BA$92),1)),0)</f>
        <v>0</v>
      </c>
      <c r="BB79" s="10">
        <f>IFERROR(SUMPRODUCT((Tabla28314251[[#This Row],[Cuentas Contables]]=Comercial_Agricola[Cuenta Contable])*(BB$74=Comercial_Agricola[Producto])*(Económico!$F$5=Comercial_Agricola[Campaña])*(Comercial_Agricola[Económico $Constantes]))*(IF($F$72="Tonelada",1/SUM(BB$91:BB$92),1)),0)</f>
        <v>0</v>
      </c>
      <c r="BC79" s="10">
        <f>IFERROR(SUMPRODUCT((Tabla28314251[[#This Row],[Cuentas Contables]]=Comercial_Agricola[Cuenta Contable])*(BC$74=Comercial_Agricola[Producto])*(Económico!$F$5=Comercial_Agricola[Campaña])*(Comercial_Agricola[Económico $Constantes]))*(IF($F$72="Tonelada",1/SUM(BC$91:BC$92),1)),0)</f>
        <v>0</v>
      </c>
      <c r="BD79" s="10">
        <f>IFERROR(SUMPRODUCT((Tabla28314251[[#This Row],[Cuentas Contables]]=Comercial_Agricola[Cuenta Contable])*(BD$74=Comercial_Agricola[Producto])*(Económico!$F$5=Comercial_Agricola[Campaña])*(Comercial_Agricola[Económico $Constantes]))*(IF($F$72="Tonelada",1/SUM(BD$91:BD$92),1)),0)</f>
        <v>0</v>
      </c>
      <c r="BE79" s="10">
        <f>IFERROR(SUMPRODUCT((Tabla28314251[[#This Row],[Cuentas Contables]]=Comercial_Agricola[Cuenta Contable])*(BE$74=Comercial_Agricola[Producto])*(Económico!$F$5=Comercial_Agricola[Campaña])*(Comercial_Agricola[Económico $Constantes]))*(IF($F$72="Tonelada",1/SUM(BE$91:BE$92),1)),0)</f>
        <v>0</v>
      </c>
      <c r="BF79" s="10">
        <f>IFERROR(SUMPRODUCT((Tabla28314251[[#This Row],[Cuentas Contables]]=Comercial_Agricola[Cuenta Contable])*(BF$74=Comercial_Agricola[Producto])*(Económico!$F$5=Comercial_Agricola[Campaña])*(Comercial_Agricola[Económico $Constantes]))*(IF($F$72="Tonelada",1/SUM(BF$91:BF$92),1)),0)</f>
        <v>0</v>
      </c>
      <c r="BG79" s="10">
        <f>IFERROR(SUMPRODUCT((Tabla28314251[[#This Row],[Cuentas Contables]]=Comercial_Agricola[Cuenta Contable])*(BG$74=Comercial_Agricola[Producto])*(Económico!$F$5=Comercial_Agricola[Campaña])*(Comercial_Agricola[Económico $Constantes]))*(IF($F$72="Tonelada",1/SUM(BG$91:BG$92),1)),0)</f>
        <v>0</v>
      </c>
      <c r="BH79" s="10">
        <f>IFERROR(SUMPRODUCT((Tabla28314251[[#This Row],[Cuentas Contables]]=Comercial_Agricola[Cuenta Contable])*(BH$74=Comercial_Agricola[Producto])*(Económico!$F$5=Comercial_Agricola[Campaña])*(Comercial_Agricola[Económico $Constantes]))*(IF($F$72="Tonelada",1/SUM(BH$91:BH$92),1)),0)</f>
        <v>0</v>
      </c>
      <c r="BI79" s="10">
        <f>IFERROR(SUMPRODUCT((Tabla28314251[[#This Row],[Cuentas Contables]]=Comercial_Agricola[Cuenta Contable])*(BI$74=Comercial_Agricola[Producto])*(Económico!$F$5=Comercial_Agricola[Campaña])*(Comercial_Agricola[Económico $Constantes]))*(IF($F$72="Tonelada",1/SUM(BI$91:BI$92),1)),0)</f>
        <v>0</v>
      </c>
    </row>
    <row r="80" spans="2:62" x14ac:dyDescent="0.25">
      <c r="D80" s="245">
        <f>IFERROR(MATCH(Tabla2831[[#This Row],[Cuentas Contables]],Comercializacion_Granos_Cuentas[Cuenta Contable],0),0)</f>
        <v>6</v>
      </c>
      <c r="E80" s="32" t="str">
        <f>Configuración!AC10</f>
        <v>Compra de Granos</v>
      </c>
      <c r="F80" s="10">
        <f>IFERROR(SUMPRODUCT((Tabla2831[[#This Row],[Cuentas Contables]]=Comercial_Agricola[Cuenta Contable])*(F$74=Comercial_Agricola[Producto])*(Económico!$F$5=Comercial_Agricola[Campaña])*(Comercial_Agricola[Económico U$S Dólares]))*(IF($F$72="Tonelada",1/SUM(F$91:F$92),1)),0)</f>
        <v>0</v>
      </c>
      <c r="G80" s="10">
        <f>IFERROR(SUMPRODUCT((Tabla2831[[#This Row],[Cuentas Contables]]=Comercial_Agricola[Cuenta Contable])*(G$74=Comercial_Agricola[Producto])*(Económico!$F$5=Comercial_Agricola[Campaña])*(Comercial_Agricola[Económico U$S Dólares]))*(IF($F$72="Tonelada",1/SUM(G$91:G$92),1)),0)</f>
        <v>0</v>
      </c>
      <c r="H80" s="10">
        <f>IFERROR(SUMPRODUCT((Tabla2831[[#This Row],[Cuentas Contables]]=Comercial_Agricola[Cuenta Contable])*(H$74=Comercial_Agricola[Producto])*(Económico!$F$5=Comercial_Agricola[Campaña])*(Comercial_Agricola[Económico U$S Dólares]))*(IF($F$72="Tonelada",1/SUM(H$91:H$92),1)),0)</f>
        <v>0</v>
      </c>
      <c r="I80" s="10">
        <f>IFERROR(SUMPRODUCT((Tabla2831[[#This Row],[Cuentas Contables]]=Comercial_Agricola[Cuenta Contable])*(I$74=Comercial_Agricola[Producto])*(Económico!$F$5=Comercial_Agricola[Campaña])*(Comercial_Agricola[Económico U$S Dólares]))*(IF($F$72="Tonelada",1/SUM(I$91:I$92),1)),0)</f>
        <v>0</v>
      </c>
      <c r="J80" s="10">
        <f>IFERROR(SUMPRODUCT((Tabla2831[[#This Row],[Cuentas Contables]]=Comercial_Agricola[Cuenta Contable])*(J$74=Comercial_Agricola[Producto])*(Económico!$F$5=Comercial_Agricola[Campaña])*(Comercial_Agricola[Económico U$S Dólares]))*(IF($F$72="Tonelada",1/SUM(J$91:J$92),1)),0)</f>
        <v>0</v>
      </c>
      <c r="K80" s="10">
        <f>IFERROR(SUMPRODUCT((Tabla2831[[#This Row],[Cuentas Contables]]=Comercial_Agricola[Cuenta Contable])*(K$74=Comercial_Agricola[Producto])*(Económico!$F$5=Comercial_Agricola[Campaña])*(Comercial_Agricola[Económico U$S Dólares]))*(IF($F$72="Tonelada",1/SUM(K$91:K$92),1)),0)</f>
        <v>0</v>
      </c>
      <c r="L80" s="10">
        <f>IFERROR(SUMPRODUCT((Tabla2831[[#This Row],[Cuentas Contables]]=Comercial_Agricola[Cuenta Contable])*(L$74=Comercial_Agricola[Producto])*(Económico!$F$5=Comercial_Agricola[Campaña])*(Comercial_Agricola[Económico U$S Dólares]))*(IF($F$72="Tonelada",1/SUM(L$91:L$92),1)),0)</f>
        <v>0</v>
      </c>
      <c r="M80" s="10">
        <f>IFERROR(SUMPRODUCT((Tabla2831[[#This Row],[Cuentas Contables]]=Comercial_Agricola[Cuenta Contable])*(M$74=Comercial_Agricola[Producto])*(Económico!$F$5=Comercial_Agricola[Campaña])*(Comercial_Agricola[Económico U$S Dólares]))*(IF($F$72="Tonelada",1/SUM(M$91:M$92),1)),0)</f>
        <v>0</v>
      </c>
      <c r="N80" s="10">
        <f>IFERROR(SUMPRODUCT((Tabla2831[[#This Row],[Cuentas Contables]]=Comercial_Agricola[Cuenta Contable])*(N$74=Comercial_Agricola[Producto])*(Económico!$F$5=Comercial_Agricola[Campaña])*(Comercial_Agricola[Económico U$S Dólares]))*(IF($F$72="Tonelada",1/SUM(N$91:N$92),1)),0)</f>
        <v>0</v>
      </c>
      <c r="O80" s="10">
        <f>IFERROR(SUMPRODUCT((Tabla2831[[#This Row],[Cuentas Contables]]=Comercial_Agricola[Cuenta Contable])*(O$74=Comercial_Agricola[Producto])*(Económico!$F$5=Comercial_Agricola[Campaña])*(Comercial_Agricola[Económico U$S Dólares]))*(IF($F$72="Tonelada",1/SUM(O$91:O$92),1)),0)</f>
        <v>0</v>
      </c>
      <c r="P80" s="10">
        <f>IFERROR(SUMPRODUCT((Tabla2831[[#This Row],[Cuentas Contables]]=Comercial_Agricola[Cuenta Contable])*(P$74=Comercial_Agricola[Producto])*(Económico!$F$5=Comercial_Agricola[Campaña])*(Comercial_Agricola[Económico U$S Dólares]))*(IF($F$72="Tonelada",1/SUM(P$91:P$92),1)),0)</f>
        <v>0</v>
      </c>
      <c r="Q80" s="10">
        <f>IFERROR(SUMPRODUCT((Tabla2831[[#This Row],[Cuentas Contables]]=Comercial_Agricola[Cuenta Contable])*(Q$74=Comercial_Agricola[Producto])*(Económico!$F$5=Comercial_Agricola[Campaña])*(Comercial_Agricola[Económico U$S Dólares]))*(IF($F$72="Tonelada",1/SUM(Q$91:Q$92),1)),0)</f>
        <v>0</v>
      </c>
      <c r="Z80" s="245">
        <f>IFERROR(MATCH(Tabla283142[[#This Row],[Cuentas Contables]],Comercializacion_Granos_Cuentas[Cuenta Contable],0),0)</f>
        <v>6</v>
      </c>
      <c r="AA80" s="32" t="str">
        <f>Tabla2831[[#This Row],[Cuentas Contables]]</f>
        <v>Compra de Granos</v>
      </c>
      <c r="AB80" s="10">
        <f>IFERROR(SUMPRODUCT((Tabla283142[[#This Row],[Cuentas Contables]]=Comercial_Agricola[Cuenta Contable])*(AB$74=Comercial_Agricola[Producto])*(Económico!$F$5=Comercial_Agricola[Campaña])*(Comercial_Agricola[Económico $Corrientes]))*(IF($F$72="Tonelada",1/SUM(AB$91:AB$92),1)),0)</f>
        <v>0</v>
      </c>
      <c r="AC80" s="10">
        <f>IFERROR(SUMPRODUCT((Tabla283142[[#This Row],[Cuentas Contables]]=Comercial_Agricola[Cuenta Contable])*(AC$74=Comercial_Agricola[Producto])*(Económico!$F$5=Comercial_Agricola[Campaña])*(Comercial_Agricola[Económico $Corrientes]))*(IF($F$72="Tonelada",1/SUM(AC$91:AC$92),1)),0)</f>
        <v>0</v>
      </c>
      <c r="AD80" s="10">
        <f>IFERROR(SUMPRODUCT((Tabla283142[[#This Row],[Cuentas Contables]]=Comercial_Agricola[Cuenta Contable])*(AD$74=Comercial_Agricola[Producto])*(Económico!$F$5=Comercial_Agricola[Campaña])*(Comercial_Agricola[Económico $Corrientes]))*(IF($F$72="Tonelada",1/SUM(AD$91:AD$92),1)),0)</f>
        <v>0</v>
      </c>
      <c r="AE80" s="10">
        <f>IFERROR(SUMPRODUCT((Tabla283142[[#This Row],[Cuentas Contables]]=Comercial_Agricola[Cuenta Contable])*(AE$74=Comercial_Agricola[Producto])*(Económico!$F$5=Comercial_Agricola[Campaña])*(Comercial_Agricola[Económico $Corrientes]))*(IF($F$72="Tonelada",1/SUM(AE$91:AE$92),1)),0)</f>
        <v>0</v>
      </c>
      <c r="AF80" s="10">
        <f>IFERROR(SUMPRODUCT((Tabla283142[[#This Row],[Cuentas Contables]]=Comercial_Agricola[Cuenta Contable])*(AF$74=Comercial_Agricola[Producto])*(Económico!$F$5=Comercial_Agricola[Campaña])*(Comercial_Agricola[Económico $Corrientes]))*(IF($F$72="Tonelada",1/SUM(AF$91:AF$92),1)),0)</f>
        <v>0</v>
      </c>
      <c r="AG80" s="10">
        <f>IFERROR(SUMPRODUCT((Tabla283142[[#This Row],[Cuentas Contables]]=Comercial_Agricola[Cuenta Contable])*(AG$74=Comercial_Agricola[Producto])*(Económico!$F$5=Comercial_Agricola[Campaña])*(Comercial_Agricola[Económico $Corrientes]))*(IF($F$72="Tonelada",1/SUM(AG$91:AG$92),1)),0)</f>
        <v>0</v>
      </c>
      <c r="AH80" s="10">
        <f>IFERROR(SUMPRODUCT((Tabla283142[[#This Row],[Cuentas Contables]]=Comercial_Agricola[Cuenta Contable])*(AH$74=Comercial_Agricola[Producto])*(Económico!$F$5=Comercial_Agricola[Campaña])*(Comercial_Agricola[Económico $Corrientes]))*(IF($F$72="Tonelada",1/SUM(AH$91:AH$92),1)),0)</f>
        <v>0</v>
      </c>
      <c r="AI80" s="10">
        <f>IFERROR(SUMPRODUCT((Tabla283142[[#This Row],[Cuentas Contables]]=Comercial_Agricola[Cuenta Contable])*(AI$74=Comercial_Agricola[Producto])*(Económico!$F$5=Comercial_Agricola[Campaña])*(Comercial_Agricola[Económico $Corrientes]))*(IF($F$72="Tonelada",1/SUM(AI$91:AI$92),1)),0)</f>
        <v>0</v>
      </c>
      <c r="AJ80" s="10">
        <f>IFERROR(SUMPRODUCT((Tabla283142[[#This Row],[Cuentas Contables]]=Comercial_Agricola[Cuenta Contable])*(AJ$74=Comercial_Agricola[Producto])*(Económico!$F$5=Comercial_Agricola[Campaña])*(Comercial_Agricola[Económico $Corrientes]))*(IF($F$72="Tonelada",1/SUM(AJ$91:AJ$92),1)),0)</f>
        <v>0</v>
      </c>
      <c r="AK80" s="10">
        <f>IFERROR(SUMPRODUCT((Tabla283142[[#This Row],[Cuentas Contables]]=Comercial_Agricola[Cuenta Contable])*(AK$74=Comercial_Agricola[Producto])*(Económico!$F$5=Comercial_Agricola[Campaña])*(Comercial_Agricola[Económico $Corrientes]))*(IF($F$72="Tonelada",1/SUM(AK$91:AK$92),1)),0)</f>
        <v>0</v>
      </c>
      <c r="AL80" s="10">
        <f>IFERROR(SUMPRODUCT((Tabla283142[[#This Row],[Cuentas Contables]]=Comercial_Agricola[Cuenta Contable])*(AL$74=Comercial_Agricola[Producto])*(Económico!$F$5=Comercial_Agricola[Campaña])*(Comercial_Agricola[Económico $Corrientes]))*(IF($F$72="Tonelada",1/SUM(AL$91:AL$92),1)),0)</f>
        <v>0</v>
      </c>
      <c r="AM80" s="10">
        <f>IFERROR(SUMPRODUCT((Tabla283142[[#This Row],[Cuentas Contables]]=Comercial_Agricola[Cuenta Contable])*(AM$74=Comercial_Agricola[Producto])*(Económico!$F$5=Comercial_Agricola[Campaña])*(Comercial_Agricola[Económico $Corrientes]))*(IF($F$72="Tonelada",1/SUM(AM$91:AM$92),1)),0)</f>
        <v>0</v>
      </c>
      <c r="AV80" s="245">
        <f>IFERROR(MATCH(Tabla28314251[[#This Row],[Cuentas Contables]],Comercializacion_Granos_Cuentas[Cuenta Contable],0),0)</f>
        <v>6</v>
      </c>
      <c r="AW80" s="32" t="str">
        <f>Tabla2831[[#This Row],[Cuentas Contables]]</f>
        <v>Compra de Granos</v>
      </c>
      <c r="AX80" s="10">
        <f>IFERROR(SUMPRODUCT((Tabla28314251[[#This Row],[Cuentas Contables]]=Comercial_Agricola[Cuenta Contable])*(AX$74=Comercial_Agricola[Producto])*(Económico!$F$5=Comercial_Agricola[Campaña])*(Comercial_Agricola[Económico $Constantes]))*(IF($F$72="Tonelada",1/SUM(AX$91:AX$92),1)),0)</f>
        <v>0</v>
      </c>
      <c r="AY80" s="10">
        <f>IFERROR(SUMPRODUCT((Tabla28314251[[#This Row],[Cuentas Contables]]=Comercial_Agricola[Cuenta Contable])*(AY$74=Comercial_Agricola[Producto])*(Económico!$F$5=Comercial_Agricola[Campaña])*(Comercial_Agricola[Económico $Constantes]))*(IF($F$72="Tonelada",1/SUM(AY$91:AY$92),1)),0)</f>
        <v>0</v>
      </c>
      <c r="AZ80" s="10">
        <f>IFERROR(SUMPRODUCT((Tabla28314251[[#This Row],[Cuentas Contables]]=Comercial_Agricola[Cuenta Contable])*(AZ$74=Comercial_Agricola[Producto])*(Económico!$F$5=Comercial_Agricola[Campaña])*(Comercial_Agricola[Económico $Constantes]))*(IF($F$72="Tonelada",1/SUM(AZ$91:AZ$92),1)),0)</f>
        <v>0</v>
      </c>
      <c r="BA80" s="10">
        <f>IFERROR(SUMPRODUCT((Tabla28314251[[#This Row],[Cuentas Contables]]=Comercial_Agricola[Cuenta Contable])*(BA$74=Comercial_Agricola[Producto])*(Económico!$F$5=Comercial_Agricola[Campaña])*(Comercial_Agricola[Económico $Constantes]))*(IF($F$72="Tonelada",1/SUM(BA$91:BA$92),1)),0)</f>
        <v>0</v>
      </c>
      <c r="BB80" s="10">
        <f>IFERROR(SUMPRODUCT((Tabla28314251[[#This Row],[Cuentas Contables]]=Comercial_Agricola[Cuenta Contable])*(BB$74=Comercial_Agricola[Producto])*(Económico!$F$5=Comercial_Agricola[Campaña])*(Comercial_Agricola[Económico $Constantes]))*(IF($F$72="Tonelada",1/SUM(BB$91:BB$92),1)),0)</f>
        <v>0</v>
      </c>
      <c r="BC80" s="10">
        <f>IFERROR(SUMPRODUCT((Tabla28314251[[#This Row],[Cuentas Contables]]=Comercial_Agricola[Cuenta Contable])*(BC$74=Comercial_Agricola[Producto])*(Económico!$F$5=Comercial_Agricola[Campaña])*(Comercial_Agricola[Económico $Constantes]))*(IF($F$72="Tonelada",1/SUM(BC$91:BC$92),1)),0)</f>
        <v>0</v>
      </c>
      <c r="BD80" s="10">
        <f>IFERROR(SUMPRODUCT((Tabla28314251[[#This Row],[Cuentas Contables]]=Comercial_Agricola[Cuenta Contable])*(BD$74=Comercial_Agricola[Producto])*(Económico!$F$5=Comercial_Agricola[Campaña])*(Comercial_Agricola[Económico $Constantes]))*(IF($F$72="Tonelada",1/SUM(BD$91:BD$92),1)),0)</f>
        <v>0</v>
      </c>
      <c r="BE80" s="10">
        <f>IFERROR(SUMPRODUCT((Tabla28314251[[#This Row],[Cuentas Contables]]=Comercial_Agricola[Cuenta Contable])*(BE$74=Comercial_Agricola[Producto])*(Económico!$F$5=Comercial_Agricola[Campaña])*(Comercial_Agricola[Económico $Constantes]))*(IF($F$72="Tonelada",1/SUM(BE$91:BE$92),1)),0)</f>
        <v>0</v>
      </c>
      <c r="BF80" s="10">
        <f>IFERROR(SUMPRODUCT((Tabla28314251[[#This Row],[Cuentas Contables]]=Comercial_Agricola[Cuenta Contable])*(BF$74=Comercial_Agricola[Producto])*(Económico!$F$5=Comercial_Agricola[Campaña])*(Comercial_Agricola[Económico $Constantes]))*(IF($F$72="Tonelada",1/SUM(BF$91:BF$92),1)),0)</f>
        <v>0</v>
      </c>
      <c r="BG80" s="10">
        <f>IFERROR(SUMPRODUCT((Tabla28314251[[#This Row],[Cuentas Contables]]=Comercial_Agricola[Cuenta Contable])*(BG$74=Comercial_Agricola[Producto])*(Económico!$F$5=Comercial_Agricola[Campaña])*(Comercial_Agricola[Económico $Constantes]))*(IF($F$72="Tonelada",1/SUM(BG$91:BG$92),1)),0)</f>
        <v>0</v>
      </c>
      <c r="BH80" s="10">
        <f>IFERROR(SUMPRODUCT((Tabla28314251[[#This Row],[Cuentas Contables]]=Comercial_Agricola[Cuenta Contable])*(BH$74=Comercial_Agricola[Producto])*(Económico!$F$5=Comercial_Agricola[Campaña])*(Comercial_Agricola[Económico $Constantes]))*(IF($F$72="Tonelada",1/SUM(BH$91:BH$92),1)),0)</f>
        <v>0</v>
      </c>
      <c r="BI80" s="10">
        <f>IFERROR(SUMPRODUCT((Tabla28314251[[#This Row],[Cuentas Contables]]=Comercial_Agricola[Cuenta Contable])*(BI$74=Comercial_Agricola[Producto])*(Económico!$F$5=Comercial_Agricola[Campaña])*(Comercial_Agricola[Económico $Constantes]))*(IF($F$72="Tonelada",1/SUM(BI$91:BI$92),1)),0)</f>
        <v>0</v>
      </c>
    </row>
    <row r="81" spans="2:61" x14ac:dyDescent="0.25">
      <c r="D81" s="245">
        <f>IFERROR(MATCH(Tabla2831[[#This Row],[Cuentas Contables]],Comercializacion_Granos_Cuentas[Cuenta Contable],0),0)</f>
        <v>7</v>
      </c>
      <c r="E81" s="32" t="str">
        <f>Configuración!AC11</f>
        <v>Fletes Corto</v>
      </c>
      <c r="F81" s="10">
        <f>IFERROR(SUMPRODUCT((Tabla2831[[#This Row],[Cuentas Contables]]=Comercial_Agricola[Cuenta Contable])*(F$74=Comercial_Agricola[Producto])*(Económico!$F$5=Comercial_Agricola[Campaña])*(Comercial_Agricola[Económico U$S Dólares]))*(IF($F$72="Tonelada",1/SUM(F$91:F$92),1)),0)</f>
        <v>0</v>
      </c>
      <c r="G81" s="10">
        <f>IFERROR(SUMPRODUCT((Tabla2831[[#This Row],[Cuentas Contables]]=Comercial_Agricola[Cuenta Contable])*(G$74=Comercial_Agricola[Producto])*(Económico!$F$5=Comercial_Agricola[Campaña])*(Comercial_Agricola[Económico U$S Dólares]))*(IF($F$72="Tonelada",1/SUM(G$91:G$92),1)),0)</f>
        <v>0</v>
      </c>
      <c r="H81" s="10">
        <f>IFERROR(SUMPRODUCT((Tabla2831[[#This Row],[Cuentas Contables]]=Comercial_Agricola[Cuenta Contable])*(H$74=Comercial_Agricola[Producto])*(Económico!$F$5=Comercial_Agricola[Campaña])*(Comercial_Agricola[Económico U$S Dólares]))*(IF($F$72="Tonelada",1/SUM(H$91:H$92),1)),0)</f>
        <v>0</v>
      </c>
      <c r="I81" s="10">
        <f>IFERROR(SUMPRODUCT((Tabla2831[[#This Row],[Cuentas Contables]]=Comercial_Agricola[Cuenta Contable])*(I$74=Comercial_Agricola[Producto])*(Económico!$F$5=Comercial_Agricola[Campaña])*(Comercial_Agricola[Económico U$S Dólares]))*(IF($F$72="Tonelada",1/SUM(I$91:I$92),1)),0)</f>
        <v>0</v>
      </c>
      <c r="J81" s="10">
        <f>IFERROR(SUMPRODUCT((Tabla2831[[#This Row],[Cuentas Contables]]=Comercial_Agricola[Cuenta Contable])*(J$74=Comercial_Agricola[Producto])*(Económico!$F$5=Comercial_Agricola[Campaña])*(Comercial_Agricola[Económico U$S Dólares]))*(IF($F$72="Tonelada",1/SUM(J$91:J$92),1)),0)</f>
        <v>0</v>
      </c>
      <c r="K81" s="10">
        <f>IFERROR(SUMPRODUCT((Tabla2831[[#This Row],[Cuentas Contables]]=Comercial_Agricola[Cuenta Contable])*(K$74=Comercial_Agricola[Producto])*(Económico!$F$5=Comercial_Agricola[Campaña])*(Comercial_Agricola[Económico U$S Dólares]))*(IF($F$72="Tonelada",1/SUM(K$91:K$92),1)),0)</f>
        <v>0</v>
      </c>
      <c r="L81" s="10">
        <f>IFERROR(SUMPRODUCT((Tabla2831[[#This Row],[Cuentas Contables]]=Comercial_Agricola[Cuenta Contable])*(L$74=Comercial_Agricola[Producto])*(Económico!$F$5=Comercial_Agricola[Campaña])*(Comercial_Agricola[Económico U$S Dólares]))*(IF($F$72="Tonelada",1/SUM(L$91:L$92),1)),0)</f>
        <v>0</v>
      </c>
      <c r="M81" s="10">
        <f>IFERROR(SUMPRODUCT((Tabla2831[[#This Row],[Cuentas Contables]]=Comercial_Agricola[Cuenta Contable])*(M$74=Comercial_Agricola[Producto])*(Económico!$F$5=Comercial_Agricola[Campaña])*(Comercial_Agricola[Económico U$S Dólares]))*(IF($F$72="Tonelada",1/SUM(M$91:M$92),1)),0)</f>
        <v>0</v>
      </c>
      <c r="N81" s="10">
        <f>IFERROR(SUMPRODUCT((Tabla2831[[#This Row],[Cuentas Contables]]=Comercial_Agricola[Cuenta Contable])*(N$74=Comercial_Agricola[Producto])*(Económico!$F$5=Comercial_Agricola[Campaña])*(Comercial_Agricola[Económico U$S Dólares]))*(IF($F$72="Tonelada",1/SUM(N$91:N$92),1)),0)</f>
        <v>0</v>
      </c>
      <c r="O81" s="10">
        <f>IFERROR(SUMPRODUCT((Tabla2831[[#This Row],[Cuentas Contables]]=Comercial_Agricola[Cuenta Contable])*(O$74=Comercial_Agricola[Producto])*(Económico!$F$5=Comercial_Agricola[Campaña])*(Comercial_Agricola[Económico U$S Dólares]))*(IF($F$72="Tonelada",1/SUM(O$91:O$92),1)),0)</f>
        <v>0</v>
      </c>
      <c r="P81" s="10">
        <f>IFERROR(SUMPRODUCT((Tabla2831[[#This Row],[Cuentas Contables]]=Comercial_Agricola[Cuenta Contable])*(P$74=Comercial_Agricola[Producto])*(Económico!$F$5=Comercial_Agricola[Campaña])*(Comercial_Agricola[Económico U$S Dólares]))*(IF($F$72="Tonelada",1/SUM(P$91:P$92),1)),0)</f>
        <v>0</v>
      </c>
      <c r="Q81" s="10">
        <f>IFERROR(SUMPRODUCT((Tabla2831[[#This Row],[Cuentas Contables]]=Comercial_Agricola[Cuenta Contable])*(Q$74=Comercial_Agricola[Producto])*(Económico!$F$5=Comercial_Agricola[Campaña])*(Comercial_Agricola[Económico U$S Dólares]))*(IF($F$72="Tonelada",1/SUM(Q$91:Q$92),1)),0)</f>
        <v>0</v>
      </c>
      <c r="Z81" s="245">
        <f>IFERROR(MATCH(Tabla283142[[#This Row],[Cuentas Contables]],Comercializacion_Granos_Cuentas[Cuenta Contable],0),0)</f>
        <v>7</v>
      </c>
      <c r="AA81" s="32" t="str">
        <f>Tabla2831[[#This Row],[Cuentas Contables]]</f>
        <v>Fletes Corto</v>
      </c>
      <c r="AB81" s="10">
        <f>IFERROR(SUMPRODUCT((Tabla283142[[#This Row],[Cuentas Contables]]=Comercial_Agricola[Cuenta Contable])*(AB$74=Comercial_Agricola[Producto])*(Económico!$F$5=Comercial_Agricola[Campaña])*(Comercial_Agricola[Económico $Corrientes]))*(IF($F$72="Tonelada",1/SUM(AB$91:AB$92),1)),0)</f>
        <v>0</v>
      </c>
      <c r="AC81" s="10">
        <f>IFERROR(SUMPRODUCT((Tabla283142[[#This Row],[Cuentas Contables]]=Comercial_Agricola[Cuenta Contable])*(AC$74=Comercial_Agricola[Producto])*(Económico!$F$5=Comercial_Agricola[Campaña])*(Comercial_Agricola[Económico $Corrientes]))*(IF($F$72="Tonelada",1/SUM(AC$91:AC$92),1)),0)</f>
        <v>0</v>
      </c>
      <c r="AD81" s="10">
        <f>IFERROR(SUMPRODUCT((Tabla283142[[#This Row],[Cuentas Contables]]=Comercial_Agricola[Cuenta Contable])*(AD$74=Comercial_Agricola[Producto])*(Económico!$F$5=Comercial_Agricola[Campaña])*(Comercial_Agricola[Económico $Corrientes]))*(IF($F$72="Tonelada",1/SUM(AD$91:AD$92),1)),0)</f>
        <v>0</v>
      </c>
      <c r="AE81" s="10">
        <f>IFERROR(SUMPRODUCT((Tabla283142[[#This Row],[Cuentas Contables]]=Comercial_Agricola[Cuenta Contable])*(AE$74=Comercial_Agricola[Producto])*(Económico!$F$5=Comercial_Agricola[Campaña])*(Comercial_Agricola[Económico $Corrientes]))*(IF($F$72="Tonelada",1/SUM(AE$91:AE$92),1)),0)</f>
        <v>0</v>
      </c>
      <c r="AF81" s="10">
        <f>IFERROR(SUMPRODUCT((Tabla283142[[#This Row],[Cuentas Contables]]=Comercial_Agricola[Cuenta Contable])*(AF$74=Comercial_Agricola[Producto])*(Económico!$F$5=Comercial_Agricola[Campaña])*(Comercial_Agricola[Económico $Corrientes]))*(IF($F$72="Tonelada",1/SUM(AF$91:AF$92),1)),0)</f>
        <v>0</v>
      </c>
      <c r="AG81" s="10">
        <f>IFERROR(SUMPRODUCT((Tabla283142[[#This Row],[Cuentas Contables]]=Comercial_Agricola[Cuenta Contable])*(AG$74=Comercial_Agricola[Producto])*(Económico!$F$5=Comercial_Agricola[Campaña])*(Comercial_Agricola[Económico $Corrientes]))*(IF($F$72="Tonelada",1/SUM(AG$91:AG$92),1)),0)</f>
        <v>0</v>
      </c>
      <c r="AH81" s="10">
        <f>IFERROR(SUMPRODUCT((Tabla283142[[#This Row],[Cuentas Contables]]=Comercial_Agricola[Cuenta Contable])*(AH$74=Comercial_Agricola[Producto])*(Económico!$F$5=Comercial_Agricola[Campaña])*(Comercial_Agricola[Económico $Corrientes]))*(IF($F$72="Tonelada",1/SUM(AH$91:AH$92),1)),0)</f>
        <v>0</v>
      </c>
      <c r="AI81" s="10">
        <f>IFERROR(SUMPRODUCT((Tabla283142[[#This Row],[Cuentas Contables]]=Comercial_Agricola[Cuenta Contable])*(AI$74=Comercial_Agricola[Producto])*(Económico!$F$5=Comercial_Agricola[Campaña])*(Comercial_Agricola[Económico $Corrientes]))*(IF($F$72="Tonelada",1/SUM(AI$91:AI$92),1)),0)</f>
        <v>0</v>
      </c>
      <c r="AJ81" s="10">
        <f>IFERROR(SUMPRODUCT((Tabla283142[[#This Row],[Cuentas Contables]]=Comercial_Agricola[Cuenta Contable])*(AJ$74=Comercial_Agricola[Producto])*(Económico!$F$5=Comercial_Agricola[Campaña])*(Comercial_Agricola[Económico $Corrientes]))*(IF($F$72="Tonelada",1/SUM(AJ$91:AJ$92),1)),0)</f>
        <v>0</v>
      </c>
      <c r="AK81" s="10">
        <f>IFERROR(SUMPRODUCT((Tabla283142[[#This Row],[Cuentas Contables]]=Comercial_Agricola[Cuenta Contable])*(AK$74=Comercial_Agricola[Producto])*(Económico!$F$5=Comercial_Agricola[Campaña])*(Comercial_Agricola[Económico $Corrientes]))*(IF($F$72="Tonelada",1/SUM(AK$91:AK$92),1)),0)</f>
        <v>0</v>
      </c>
      <c r="AL81" s="10">
        <f>IFERROR(SUMPRODUCT((Tabla283142[[#This Row],[Cuentas Contables]]=Comercial_Agricola[Cuenta Contable])*(AL$74=Comercial_Agricola[Producto])*(Económico!$F$5=Comercial_Agricola[Campaña])*(Comercial_Agricola[Económico $Corrientes]))*(IF($F$72="Tonelada",1/SUM(AL$91:AL$92),1)),0)</f>
        <v>0</v>
      </c>
      <c r="AM81" s="10">
        <f>IFERROR(SUMPRODUCT((Tabla283142[[#This Row],[Cuentas Contables]]=Comercial_Agricola[Cuenta Contable])*(AM$74=Comercial_Agricola[Producto])*(Económico!$F$5=Comercial_Agricola[Campaña])*(Comercial_Agricola[Económico $Corrientes]))*(IF($F$72="Tonelada",1/SUM(AM$91:AM$92),1)),0)</f>
        <v>0</v>
      </c>
      <c r="AV81" s="245">
        <f>IFERROR(MATCH(Tabla28314251[[#This Row],[Cuentas Contables]],Comercializacion_Granos_Cuentas[Cuenta Contable],0),0)</f>
        <v>7</v>
      </c>
      <c r="AW81" s="32" t="str">
        <f>Tabla2831[[#This Row],[Cuentas Contables]]</f>
        <v>Fletes Corto</v>
      </c>
      <c r="AX81" s="10">
        <f>IFERROR(SUMPRODUCT((Tabla28314251[[#This Row],[Cuentas Contables]]=Comercial_Agricola[Cuenta Contable])*(AX$74=Comercial_Agricola[Producto])*(Económico!$F$5=Comercial_Agricola[Campaña])*(Comercial_Agricola[Económico $Constantes]))*(IF($F$72="Tonelada",1/SUM(AX$91:AX$92),1)),0)</f>
        <v>0</v>
      </c>
      <c r="AY81" s="10">
        <f>IFERROR(SUMPRODUCT((Tabla28314251[[#This Row],[Cuentas Contables]]=Comercial_Agricola[Cuenta Contable])*(AY$74=Comercial_Agricola[Producto])*(Económico!$F$5=Comercial_Agricola[Campaña])*(Comercial_Agricola[Económico $Constantes]))*(IF($F$72="Tonelada",1/SUM(AY$91:AY$92),1)),0)</f>
        <v>0</v>
      </c>
      <c r="AZ81" s="10">
        <f>IFERROR(SUMPRODUCT((Tabla28314251[[#This Row],[Cuentas Contables]]=Comercial_Agricola[Cuenta Contable])*(AZ$74=Comercial_Agricola[Producto])*(Económico!$F$5=Comercial_Agricola[Campaña])*(Comercial_Agricola[Económico $Constantes]))*(IF($F$72="Tonelada",1/SUM(AZ$91:AZ$92),1)),0)</f>
        <v>0</v>
      </c>
      <c r="BA81" s="10">
        <f>IFERROR(SUMPRODUCT((Tabla28314251[[#This Row],[Cuentas Contables]]=Comercial_Agricola[Cuenta Contable])*(BA$74=Comercial_Agricola[Producto])*(Económico!$F$5=Comercial_Agricola[Campaña])*(Comercial_Agricola[Económico $Constantes]))*(IF($F$72="Tonelada",1/SUM(BA$91:BA$92),1)),0)</f>
        <v>0</v>
      </c>
      <c r="BB81" s="10">
        <f>IFERROR(SUMPRODUCT((Tabla28314251[[#This Row],[Cuentas Contables]]=Comercial_Agricola[Cuenta Contable])*(BB$74=Comercial_Agricola[Producto])*(Económico!$F$5=Comercial_Agricola[Campaña])*(Comercial_Agricola[Económico $Constantes]))*(IF($F$72="Tonelada",1/SUM(BB$91:BB$92),1)),0)</f>
        <v>0</v>
      </c>
      <c r="BC81" s="10">
        <f>IFERROR(SUMPRODUCT((Tabla28314251[[#This Row],[Cuentas Contables]]=Comercial_Agricola[Cuenta Contable])*(BC$74=Comercial_Agricola[Producto])*(Económico!$F$5=Comercial_Agricola[Campaña])*(Comercial_Agricola[Económico $Constantes]))*(IF($F$72="Tonelada",1/SUM(BC$91:BC$92),1)),0)</f>
        <v>0</v>
      </c>
      <c r="BD81" s="10">
        <f>IFERROR(SUMPRODUCT((Tabla28314251[[#This Row],[Cuentas Contables]]=Comercial_Agricola[Cuenta Contable])*(BD$74=Comercial_Agricola[Producto])*(Económico!$F$5=Comercial_Agricola[Campaña])*(Comercial_Agricola[Económico $Constantes]))*(IF($F$72="Tonelada",1/SUM(BD$91:BD$92),1)),0)</f>
        <v>0</v>
      </c>
      <c r="BE81" s="10">
        <f>IFERROR(SUMPRODUCT((Tabla28314251[[#This Row],[Cuentas Contables]]=Comercial_Agricola[Cuenta Contable])*(BE$74=Comercial_Agricola[Producto])*(Económico!$F$5=Comercial_Agricola[Campaña])*(Comercial_Agricola[Económico $Constantes]))*(IF($F$72="Tonelada",1/SUM(BE$91:BE$92),1)),0)</f>
        <v>0</v>
      </c>
      <c r="BF81" s="10">
        <f>IFERROR(SUMPRODUCT((Tabla28314251[[#This Row],[Cuentas Contables]]=Comercial_Agricola[Cuenta Contable])*(BF$74=Comercial_Agricola[Producto])*(Económico!$F$5=Comercial_Agricola[Campaña])*(Comercial_Agricola[Económico $Constantes]))*(IF($F$72="Tonelada",1/SUM(BF$91:BF$92),1)),0)</f>
        <v>0</v>
      </c>
      <c r="BG81" s="10">
        <f>IFERROR(SUMPRODUCT((Tabla28314251[[#This Row],[Cuentas Contables]]=Comercial_Agricola[Cuenta Contable])*(BG$74=Comercial_Agricola[Producto])*(Económico!$F$5=Comercial_Agricola[Campaña])*(Comercial_Agricola[Económico $Constantes]))*(IF($F$72="Tonelada",1/SUM(BG$91:BG$92),1)),0)</f>
        <v>0</v>
      </c>
      <c r="BH81" s="10">
        <f>IFERROR(SUMPRODUCT((Tabla28314251[[#This Row],[Cuentas Contables]]=Comercial_Agricola[Cuenta Contable])*(BH$74=Comercial_Agricola[Producto])*(Económico!$F$5=Comercial_Agricola[Campaña])*(Comercial_Agricola[Económico $Constantes]))*(IF($F$72="Tonelada",1/SUM(BH$91:BH$92),1)),0)</f>
        <v>0</v>
      </c>
      <c r="BI81" s="10">
        <f>IFERROR(SUMPRODUCT((Tabla28314251[[#This Row],[Cuentas Contables]]=Comercial_Agricola[Cuenta Contable])*(BI$74=Comercial_Agricola[Producto])*(Económico!$F$5=Comercial_Agricola[Campaña])*(Comercial_Agricola[Económico $Constantes]))*(IF($F$72="Tonelada",1/SUM(BI$91:BI$92),1)),0)</f>
        <v>0</v>
      </c>
    </row>
    <row r="82" spans="2:61" x14ac:dyDescent="0.25">
      <c r="D82" s="245">
        <f>IFERROR(MATCH(Tabla2831[[#This Row],[Cuentas Contables]],Comercializacion_Granos_Cuentas[Cuenta Contable],0),0)</f>
        <v>8</v>
      </c>
      <c r="E82" s="32" t="str">
        <f>Configuración!AC12</f>
        <v>Flete Largo</v>
      </c>
      <c r="F82" s="10">
        <f>IFERROR(SUMPRODUCT((Tabla2831[[#This Row],[Cuentas Contables]]=Comercial_Agricola[Cuenta Contable])*(F$74=Comercial_Agricola[Producto])*(Económico!$F$5=Comercial_Agricola[Campaña])*(Comercial_Agricola[Económico U$S Dólares]))*(IF($F$72="Tonelada",1/SUM(F$91:F$92),1)),0)</f>
        <v>0</v>
      </c>
      <c r="G82" s="10">
        <f>IFERROR(SUMPRODUCT((Tabla2831[[#This Row],[Cuentas Contables]]=Comercial_Agricola[Cuenta Contable])*(G$74=Comercial_Agricola[Producto])*(Económico!$F$5=Comercial_Agricola[Campaña])*(Comercial_Agricola[Económico U$S Dólares]))*(IF($F$72="Tonelada",1/SUM(G$91:G$92),1)),0)</f>
        <v>0</v>
      </c>
      <c r="H82" s="10">
        <f>IFERROR(SUMPRODUCT((Tabla2831[[#This Row],[Cuentas Contables]]=Comercial_Agricola[Cuenta Contable])*(H$74=Comercial_Agricola[Producto])*(Económico!$F$5=Comercial_Agricola[Campaña])*(Comercial_Agricola[Económico U$S Dólares]))*(IF($F$72="Tonelada",1/SUM(H$91:H$92),1)),0)</f>
        <v>0</v>
      </c>
      <c r="I82" s="10">
        <f>IFERROR(SUMPRODUCT((Tabla2831[[#This Row],[Cuentas Contables]]=Comercial_Agricola[Cuenta Contable])*(I$74=Comercial_Agricola[Producto])*(Económico!$F$5=Comercial_Agricola[Campaña])*(Comercial_Agricola[Económico U$S Dólares]))*(IF($F$72="Tonelada",1/SUM(I$91:I$92),1)),0)</f>
        <v>0</v>
      </c>
      <c r="J82" s="10">
        <f>IFERROR(SUMPRODUCT((Tabla2831[[#This Row],[Cuentas Contables]]=Comercial_Agricola[Cuenta Contable])*(J$74=Comercial_Agricola[Producto])*(Económico!$F$5=Comercial_Agricola[Campaña])*(Comercial_Agricola[Económico U$S Dólares]))*(IF($F$72="Tonelada",1/SUM(J$91:J$92),1)),0)</f>
        <v>0</v>
      </c>
      <c r="K82" s="10">
        <f>IFERROR(SUMPRODUCT((Tabla2831[[#This Row],[Cuentas Contables]]=Comercial_Agricola[Cuenta Contable])*(K$74=Comercial_Agricola[Producto])*(Económico!$F$5=Comercial_Agricola[Campaña])*(Comercial_Agricola[Económico U$S Dólares]))*(IF($F$72="Tonelada",1/SUM(K$91:K$92),1)),0)</f>
        <v>0</v>
      </c>
      <c r="L82" s="10">
        <f>IFERROR(SUMPRODUCT((Tabla2831[[#This Row],[Cuentas Contables]]=Comercial_Agricola[Cuenta Contable])*(L$74=Comercial_Agricola[Producto])*(Económico!$F$5=Comercial_Agricola[Campaña])*(Comercial_Agricola[Económico U$S Dólares]))*(IF($F$72="Tonelada",1/SUM(L$91:L$92),1)),0)</f>
        <v>0</v>
      </c>
      <c r="M82" s="10">
        <f>IFERROR(SUMPRODUCT((Tabla2831[[#This Row],[Cuentas Contables]]=Comercial_Agricola[Cuenta Contable])*(M$74=Comercial_Agricola[Producto])*(Económico!$F$5=Comercial_Agricola[Campaña])*(Comercial_Agricola[Económico U$S Dólares]))*(IF($F$72="Tonelada",1/SUM(M$91:M$92),1)),0)</f>
        <v>0</v>
      </c>
      <c r="N82" s="10">
        <f>IFERROR(SUMPRODUCT((Tabla2831[[#This Row],[Cuentas Contables]]=Comercial_Agricola[Cuenta Contable])*(N$74=Comercial_Agricola[Producto])*(Económico!$F$5=Comercial_Agricola[Campaña])*(Comercial_Agricola[Económico U$S Dólares]))*(IF($F$72="Tonelada",1/SUM(N$91:N$92),1)),0)</f>
        <v>0</v>
      </c>
      <c r="O82" s="10">
        <f>IFERROR(SUMPRODUCT((Tabla2831[[#This Row],[Cuentas Contables]]=Comercial_Agricola[Cuenta Contable])*(O$74=Comercial_Agricola[Producto])*(Económico!$F$5=Comercial_Agricola[Campaña])*(Comercial_Agricola[Económico U$S Dólares]))*(IF($F$72="Tonelada",1/SUM(O$91:O$92),1)),0)</f>
        <v>0</v>
      </c>
      <c r="P82" s="10">
        <f>IFERROR(SUMPRODUCT((Tabla2831[[#This Row],[Cuentas Contables]]=Comercial_Agricola[Cuenta Contable])*(P$74=Comercial_Agricola[Producto])*(Económico!$F$5=Comercial_Agricola[Campaña])*(Comercial_Agricola[Económico U$S Dólares]))*(IF($F$72="Tonelada",1/SUM(P$91:P$92),1)),0)</f>
        <v>0</v>
      </c>
      <c r="Q82" s="10">
        <f>IFERROR(SUMPRODUCT((Tabla2831[[#This Row],[Cuentas Contables]]=Comercial_Agricola[Cuenta Contable])*(Q$74=Comercial_Agricola[Producto])*(Económico!$F$5=Comercial_Agricola[Campaña])*(Comercial_Agricola[Económico U$S Dólares]))*(IF($F$72="Tonelada",1/SUM(Q$91:Q$92),1)),0)</f>
        <v>0</v>
      </c>
      <c r="Z82" s="245">
        <f>IFERROR(MATCH(Tabla283142[[#This Row],[Cuentas Contables]],Comercializacion_Granos_Cuentas[Cuenta Contable],0),0)</f>
        <v>8</v>
      </c>
      <c r="AA82" s="32" t="str">
        <f>Tabla2831[[#This Row],[Cuentas Contables]]</f>
        <v>Flete Largo</v>
      </c>
      <c r="AB82" s="10">
        <f>IFERROR(SUMPRODUCT((Tabla283142[[#This Row],[Cuentas Contables]]=Comercial_Agricola[Cuenta Contable])*(AB$74=Comercial_Agricola[Producto])*(Económico!$F$5=Comercial_Agricola[Campaña])*(Comercial_Agricola[Económico $Corrientes]))*(IF($F$72="Tonelada",1/SUM(AB$91:AB$92),1)),0)</f>
        <v>0</v>
      </c>
      <c r="AC82" s="10">
        <f>IFERROR(SUMPRODUCT((Tabla283142[[#This Row],[Cuentas Contables]]=Comercial_Agricola[Cuenta Contable])*(AC$74=Comercial_Agricola[Producto])*(Económico!$F$5=Comercial_Agricola[Campaña])*(Comercial_Agricola[Económico $Corrientes]))*(IF($F$72="Tonelada",1/SUM(AC$91:AC$92),1)),0)</f>
        <v>0</v>
      </c>
      <c r="AD82" s="10">
        <f>IFERROR(SUMPRODUCT((Tabla283142[[#This Row],[Cuentas Contables]]=Comercial_Agricola[Cuenta Contable])*(AD$74=Comercial_Agricola[Producto])*(Económico!$F$5=Comercial_Agricola[Campaña])*(Comercial_Agricola[Económico $Corrientes]))*(IF($F$72="Tonelada",1/SUM(AD$91:AD$92),1)),0)</f>
        <v>0</v>
      </c>
      <c r="AE82" s="10">
        <f>IFERROR(SUMPRODUCT((Tabla283142[[#This Row],[Cuentas Contables]]=Comercial_Agricola[Cuenta Contable])*(AE$74=Comercial_Agricola[Producto])*(Económico!$F$5=Comercial_Agricola[Campaña])*(Comercial_Agricola[Económico $Corrientes]))*(IF($F$72="Tonelada",1/SUM(AE$91:AE$92),1)),0)</f>
        <v>0</v>
      </c>
      <c r="AF82" s="10">
        <f>IFERROR(SUMPRODUCT((Tabla283142[[#This Row],[Cuentas Contables]]=Comercial_Agricola[Cuenta Contable])*(AF$74=Comercial_Agricola[Producto])*(Económico!$F$5=Comercial_Agricola[Campaña])*(Comercial_Agricola[Económico $Corrientes]))*(IF($F$72="Tonelada",1/SUM(AF$91:AF$92),1)),0)</f>
        <v>0</v>
      </c>
      <c r="AG82" s="10">
        <f>IFERROR(SUMPRODUCT((Tabla283142[[#This Row],[Cuentas Contables]]=Comercial_Agricola[Cuenta Contable])*(AG$74=Comercial_Agricola[Producto])*(Económico!$F$5=Comercial_Agricola[Campaña])*(Comercial_Agricola[Económico $Corrientes]))*(IF($F$72="Tonelada",1/SUM(AG$91:AG$92),1)),0)</f>
        <v>0</v>
      </c>
      <c r="AH82" s="10">
        <f>IFERROR(SUMPRODUCT((Tabla283142[[#This Row],[Cuentas Contables]]=Comercial_Agricola[Cuenta Contable])*(AH$74=Comercial_Agricola[Producto])*(Económico!$F$5=Comercial_Agricola[Campaña])*(Comercial_Agricola[Económico $Corrientes]))*(IF($F$72="Tonelada",1/SUM(AH$91:AH$92),1)),0)</f>
        <v>0</v>
      </c>
      <c r="AI82" s="10">
        <f>IFERROR(SUMPRODUCT((Tabla283142[[#This Row],[Cuentas Contables]]=Comercial_Agricola[Cuenta Contable])*(AI$74=Comercial_Agricola[Producto])*(Económico!$F$5=Comercial_Agricola[Campaña])*(Comercial_Agricola[Económico $Corrientes]))*(IF($F$72="Tonelada",1/SUM(AI$91:AI$92),1)),0)</f>
        <v>0</v>
      </c>
      <c r="AJ82" s="10">
        <f>IFERROR(SUMPRODUCT((Tabla283142[[#This Row],[Cuentas Contables]]=Comercial_Agricola[Cuenta Contable])*(AJ$74=Comercial_Agricola[Producto])*(Económico!$F$5=Comercial_Agricola[Campaña])*(Comercial_Agricola[Económico $Corrientes]))*(IF($F$72="Tonelada",1/SUM(AJ$91:AJ$92),1)),0)</f>
        <v>0</v>
      </c>
      <c r="AK82" s="10">
        <f>IFERROR(SUMPRODUCT((Tabla283142[[#This Row],[Cuentas Contables]]=Comercial_Agricola[Cuenta Contable])*(AK$74=Comercial_Agricola[Producto])*(Económico!$F$5=Comercial_Agricola[Campaña])*(Comercial_Agricola[Económico $Corrientes]))*(IF($F$72="Tonelada",1/SUM(AK$91:AK$92),1)),0)</f>
        <v>0</v>
      </c>
      <c r="AL82" s="10">
        <f>IFERROR(SUMPRODUCT((Tabla283142[[#This Row],[Cuentas Contables]]=Comercial_Agricola[Cuenta Contable])*(AL$74=Comercial_Agricola[Producto])*(Económico!$F$5=Comercial_Agricola[Campaña])*(Comercial_Agricola[Económico $Corrientes]))*(IF($F$72="Tonelada",1/SUM(AL$91:AL$92),1)),0)</f>
        <v>0</v>
      </c>
      <c r="AM82" s="10">
        <f>IFERROR(SUMPRODUCT((Tabla283142[[#This Row],[Cuentas Contables]]=Comercial_Agricola[Cuenta Contable])*(AM$74=Comercial_Agricola[Producto])*(Económico!$F$5=Comercial_Agricola[Campaña])*(Comercial_Agricola[Económico $Corrientes]))*(IF($F$72="Tonelada",1/SUM(AM$91:AM$92),1)),0)</f>
        <v>0</v>
      </c>
      <c r="AV82" s="245">
        <f>IFERROR(MATCH(Tabla28314251[[#This Row],[Cuentas Contables]],Comercializacion_Granos_Cuentas[Cuenta Contable],0),0)</f>
        <v>8</v>
      </c>
      <c r="AW82" s="32" t="str">
        <f>Tabla2831[[#This Row],[Cuentas Contables]]</f>
        <v>Flete Largo</v>
      </c>
      <c r="AX82" s="10">
        <f>IFERROR(SUMPRODUCT((Tabla28314251[[#This Row],[Cuentas Contables]]=Comercial_Agricola[Cuenta Contable])*(AX$74=Comercial_Agricola[Producto])*(Económico!$F$5=Comercial_Agricola[Campaña])*(Comercial_Agricola[Económico $Constantes]))*(IF($F$72="Tonelada",1/SUM(AX$91:AX$92),1)),0)</f>
        <v>0</v>
      </c>
      <c r="AY82" s="10">
        <f>IFERROR(SUMPRODUCT((Tabla28314251[[#This Row],[Cuentas Contables]]=Comercial_Agricola[Cuenta Contable])*(AY$74=Comercial_Agricola[Producto])*(Económico!$F$5=Comercial_Agricola[Campaña])*(Comercial_Agricola[Económico $Constantes]))*(IF($F$72="Tonelada",1/SUM(AY$91:AY$92),1)),0)</f>
        <v>0</v>
      </c>
      <c r="AZ82" s="10">
        <f>IFERROR(SUMPRODUCT((Tabla28314251[[#This Row],[Cuentas Contables]]=Comercial_Agricola[Cuenta Contable])*(AZ$74=Comercial_Agricola[Producto])*(Económico!$F$5=Comercial_Agricola[Campaña])*(Comercial_Agricola[Económico $Constantes]))*(IF($F$72="Tonelada",1/SUM(AZ$91:AZ$92),1)),0)</f>
        <v>0</v>
      </c>
      <c r="BA82" s="10">
        <f>IFERROR(SUMPRODUCT((Tabla28314251[[#This Row],[Cuentas Contables]]=Comercial_Agricola[Cuenta Contable])*(BA$74=Comercial_Agricola[Producto])*(Económico!$F$5=Comercial_Agricola[Campaña])*(Comercial_Agricola[Económico $Constantes]))*(IF($F$72="Tonelada",1/SUM(BA$91:BA$92),1)),0)</f>
        <v>0</v>
      </c>
      <c r="BB82" s="10">
        <f>IFERROR(SUMPRODUCT((Tabla28314251[[#This Row],[Cuentas Contables]]=Comercial_Agricola[Cuenta Contable])*(BB$74=Comercial_Agricola[Producto])*(Económico!$F$5=Comercial_Agricola[Campaña])*(Comercial_Agricola[Económico $Constantes]))*(IF($F$72="Tonelada",1/SUM(BB$91:BB$92),1)),0)</f>
        <v>0</v>
      </c>
      <c r="BC82" s="10">
        <f>IFERROR(SUMPRODUCT((Tabla28314251[[#This Row],[Cuentas Contables]]=Comercial_Agricola[Cuenta Contable])*(BC$74=Comercial_Agricola[Producto])*(Económico!$F$5=Comercial_Agricola[Campaña])*(Comercial_Agricola[Económico $Constantes]))*(IF($F$72="Tonelada",1/SUM(BC$91:BC$92),1)),0)</f>
        <v>0</v>
      </c>
      <c r="BD82" s="10">
        <f>IFERROR(SUMPRODUCT((Tabla28314251[[#This Row],[Cuentas Contables]]=Comercial_Agricola[Cuenta Contable])*(BD$74=Comercial_Agricola[Producto])*(Económico!$F$5=Comercial_Agricola[Campaña])*(Comercial_Agricola[Económico $Constantes]))*(IF($F$72="Tonelada",1/SUM(BD$91:BD$92),1)),0)</f>
        <v>0</v>
      </c>
      <c r="BE82" s="10">
        <f>IFERROR(SUMPRODUCT((Tabla28314251[[#This Row],[Cuentas Contables]]=Comercial_Agricola[Cuenta Contable])*(BE$74=Comercial_Agricola[Producto])*(Económico!$F$5=Comercial_Agricola[Campaña])*(Comercial_Agricola[Económico $Constantes]))*(IF($F$72="Tonelada",1/SUM(BE$91:BE$92),1)),0)</f>
        <v>0</v>
      </c>
      <c r="BF82" s="10">
        <f>IFERROR(SUMPRODUCT((Tabla28314251[[#This Row],[Cuentas Contables]]=Comercial_Agricola[Cuenta Contable])*(BF$74=Comercial_Agricola[Producto])*(Económico!$F$5=Comercial_Agricola[Campaña])*(Comercial_Agricola[Económico $Constantes]))*(IF($F$72="Tonelada",1/SUM(BF$91:BF$92),1)),0)</f>
        <v>0</v>
      </c>
      <c r="BG82" s="10">
        <f>IFERROR(SUMPRODUCT((Tabla28314251[[#This Row],[Cuentas Contables]]=Comercial_Agricola[Cuenta Contable])*(BG$74=Comercial_Agricola[Producto])*(Económico!$F$5=Comercial_Agricola[Campaña])*(Comercial_Agricola[Económico $Constantes]))*(IF($F$72="Tonelada",1/SUM(BG$91:BG$92),1)),0)</f>
        <v>0</v>
      </c>
      <c r="BH82" s="10">
        <f>IFERROR(SUMPRODUCT((Tabla28314251[[#This Row],[Cuentas Contables]]=Comercial_Agricola[Cuenta Contable])*(BH$74=Comercial_Agricola[Producto])*(Económico!$F$5=Comercial_Agricola[Campaña])*(Comercial_Agricola[Económico $Constantes]))*(IF($F$72="Tonelada",1/SUM(BH$91:BH$92),1)),0)</f>
        <v>0</v>
      </c>
      <c r="BI82" s="10">
        <f>IFERROR(SUMPRODUCT((Tabla28314251[[#This Row],[Cuentas Contables]]=Comercial_Agricola[Cuenta Contable])*(BI$74=Comercial_Agricola[Producto])*(Económico!$F$5=Comercial_Agricola[Campaña])*(Comercial_Agricola[Económico $Constantes]))*(IF($F$72="Tonelada",1/SUM(BI$91:BI$92),1)),0)</f>
        <v>0</v>
      </c>
    </row>
    <row r="83" spans="2:61" x14ac:dyDescent="0.25">
      <c r="D83" s="245">
        <f>IFERROR(MATCH(Tabla2831[[#This Row],[Cuentas Contables]],Comercializacion_Granos_Cuentas[Cuenta Contable],0),0)</f>
        <v>9</v>
      </c>
      <c r="E83" s="32" t="str">
        <f>Configuración!AC13</f>
        <v>Acondicionamiento</v>
      </c>
      <c r="F83" s="10">
        <f>IFERROR(SUMPRODUCT((Tabla2831[[#This Row],[Cuentas Contables]]=Comercial_Agricola[Cuenta Contable])*(F$74=Comercial_Agricola[Producto])*(Económico!$F$5=Comercial_Agricola[Campaña])*(Comercial_Agricola[Económico U$S Dólares]))*(IF($F$72="Tonelada",1/SUM(F$91:F$92),1)),0)</f>
        <v>0</v>
      </c>
      <c r="G83" s="10">
        <f>IFERROR(SUMPRODUCT((Tabla2831[[#This Row],[Cuentas Contables]]=Comercial_Agricola[Cuenta Contable])*(G$74=Comercial_Agricola[Producto])*(Económico!$F$5=Comercial_Agricola[Campaña])*(Comercial_Agricola[Económico U$S Dólares]))*(IF($F$72="Tonelada",1/SUM(G$91:G$92),1)),0)</f>
        <v>0</v>
      </c>
      <c r="H83" s="10">
        <f>IFERROR(SUMPRODUCT((Tabla2831[[#This Row],[Cuentas Contables]]=Comercial_Agricola[Cuenta Contable])*(H$74=Comercial_Agricola[Producto])*(Económico!$F$5=Comercial_Agricola[Campaña])*(Comercial_Agricola[Económico U$S Dólares]))*(IF($F$72="Tonelada",1/SUM(H$91:H$92),1)),0)</f>
        <v>0</v>
      </c>
      <c r="I83" s="10">
        <f>IFERROR(SUMPRODUCT((Tabla2831[[#This Row],[Cuentas Contables]]=Comercial_Agricola[Cuenta Contable])*(I$74=Comercial_Agricola[Producto])*(Económico!$F$5=Comercial_Agricola[Campaña])*(Comercial_Agricola[Económico U$S Dólares]))*(IF($F$72="Tonelada",1/SUM(I$91:I$92),1)),0)</f>
        <v>0</v>
      </c>
      <c r="J83" s="10">
        <f>IFERROR(SUMPRODUCT((Tabla2831[[#This Row],[Cuentas Contables]]=Comercial_Agricola[Cuenta Contable])*(J$74=Comercial_Agricola[Producto])*(Económico!$F$5=Comercial_Agricola[Campaña])*(Comercial_Agricola[Económico U$S Dólares]))*(IF($F$72="Tonelada",1/SUM(J$91:J$92),1)),0)</f>
        <v>0</v>
      </c>
      <c r="K83" s="10">
        <f>IFERROR(SUMPRODUCT((Tabla2831[[#This Row],[Cuentas Contables]]=Comercial_Agricola[Cuenta Contable])*(K$74=Comercial_Agricola[Producto])*(Económico!$F$5=Comercial_Agricola[Campaña])*(Comercial_Agricola[Económico U$S Dólares]))*(IF($F$72="Tonelada",1/SUM(K$91:K$92),1)),0)</f>
        <v>0</v>
      </c>
      <c r="L83" s="10">
        <f>IFERROR(SUMPRODUCT((Tabla2831[[#This Row],[Cuentas Contables]]=Comercial_Agricola[Cuenta Contable])*(L$74=Comercial_Agricola[Producto])*(Económico!$F$5=Comercial_Agricola[Campaña])*(Comercial_Agricola[Económico U$S Dólares]))*(IF($F$72="Tonelada",1/SUM(L$91:L$92),1)),0)</f>
        <v>0</v>
      </c>
      <c r="M83" s="10">
        <f>IFERROR(SUMPRODUCT((Tabla2831[[#This Row],[Cuentas Contables]]=Comercial_Agricola[Cuenta Contable])*(M$74=Comercial_Agricola[Producto])*(Económico!$F$5=Comercial_Agricola[Campaña])*(Comercial_Agricola[Económico U$S Dólares]))*(IF($F$72="Tonelada",1/SUM(M$91:M$92),1)),0)</f>
        <v>0</v>
      </c>
      <c r="N83" s="10">
        <f>IFERROR(SUMPRODUCT((Tabla2831[[#This Row],[Cuentas Contables]]=Comercial_Agricola[Cuenta Contable])*(N$74=Comercial_Agricola[Producto])*(Económico!$F$5=Comercial_Agricola[Campaña])*(Comercial_Agricola[Económico U$S Dólares]))*(IF($F$72="Tonelada",1/SUM(N$91:N$92),1)),0)</f>
        <v>0</v>
      </c>
      <c r="O83" s="10">
        <f>IFERROR(SUMPRODUCT((Tabla2831[[#This Row],[Cuentas Contables]]=Comercial_Agricola[Cuenta Contable])*(O$74=Comercial_Agricola[Producto])*(Económico!$F$5=Comercial_Agricola[Campaña])*(Comercial_Agricola[Económico U$S Dólares]))*(IF($F$72="Tonelada",1/SUM(O$91:O$92),1)),0)</f>
        <v>0</v>
      </c>
      <c r="P83" s="10">
        <f>IFERROR(SUMPRODUCT((Tabla2831[[#This Row],[Cuentas Contables]]=Comercial_Agricola[Cuenta Contable])*(P$74=Comercial_Agricola[Producto])*(Económico!$F$5=Comercial_Agricola[Campaña])*(Comercial_Agricola[Económico U$S Dólares]))*(IF($F$72="Tonelada",1/SUM(P$91:P$92),1)),0)</f>
        <v>0</v>
      </c>
      <c r="Q83" s="10">
        <f>IFERROR(SUMPRODUCT((Tabla2831[[#This Row],[Cuentas Contables]]=Comercial_Agricola[Cuenta Contable])*(Q$74=Comercial_Agricola[Producto])*(Económico!$F$5=Comercial_Agricola[Campaña])*(Comercial_Agricola[Económico U$S Dólares]))*(IF($F$72="Tonelada",1/SUM(Q$91:Q$92),1)),0)</f>
        <v>0</v>
      </c>
      <c r="Z83" s="245">
        <f>IFERROR(MATCH(Tabla283142[[#This Row],[Cuentas Contables]],Comercializacion_Granos_Cuentas[Cuenta Contable],0),0)</f>
        <v>9</v>
      </c>
      <c r="AA83" s="32" t="str">
        <f>Tabla2831[[#This Row],[Cuentas Contables]]</f>
        <v>Acondicionamiento</v>
      </c>
      <c r="AB83" s="10">
        <f>IFERROR(SUMPRODUCT((Tabla283142[[#This Row],[Cuentas Contables]]=Comercial_Agricola[Cuenta Contable])*(AB$74=Comercial_Agricola[Producto])*(Económico!$F$5=Comercial_Agricola[Campaña])*(Comercial_Agricola[Económico $Corrientes]))*(IF($F$72="Tonelada",1/SUM(AB$91:AB$92),1)),0)</f>
        <v>0</v>
      </c>
      <c r="AC83" s="10">
        <f>IFERROR(SUMPRODUCT((Tabla283142[[#This Row],[Cuentas Contables]]=Comercial_Agricola[Cuenta Contable])*(AC$74=Comercial_Agricola[Producto])*(Económico!$F$5=Comercial_Agricola[Campaña])*(Comercial_Agricola[Económico $Corrientes]))*(IF($F$72="Tonelada",1/SUM(AC$91:AC$92),1)),0)</f>
        <v>0</v>
      </c>
      <c r="AD83" s="10">
        <f>IFERROR(SUMPRODUCT((Tabla283142[[#This Row],[Cuentas Contables]]=Comercial_Agricola[Cuenta Contable])*(AD$74=Comercial_Agricola[Producto])*(Económico!$F$5=Comercial_Agricola[Campaña])*(Comercial_Agricola[Económico $Corrientes]))*(IF($F$72="Tonelada",1/SUM(AD$91:AD$92),1)),0)</f>
        <v>0</v>
      </c>
      <c r="AE83" s="10">
        <f>IFERROR(SUMPRODUCT((Tabla283142[[#This Row],[Cuentas Contables]]=Comercial_Agricola[Cuenta Contable])*(AE$74=Comercial_Agricola[Producto])*(Económico!$F$5=Comercial_Agricola[Campaña])*(Comercial_Agricola[Económico $Corrientes]))*(IF($F$72="Tonelada",1/SUM(AE$91:AE$92),1)),0)</f>
        <v>0</v>
      </c>
      <c r="AF83" s="10">
        <f>IFERROR(SUMPRODUCT((Tabla283142[[#This Row],[Cuentas Contables]]=Comercial_Agricola[Cuenta Contable])*(AF$74=Comercial_Agricola[Producto])*(Económico!$F$5=Comercial_Agricola[Campaña])*(Comercial_Agricola[Económico $Corrientes]))*(IF($F$72="Tonelada",1/SUM(AF$91:AF$92),1)),0)</f>
        <v>0</v>
      </c>
      <c r="AG83" s="10">
        <f>IFERROR(SUMPRODUCT((Tabla283142[[#This Row],[Cuentas Contables]]=Comercial_Agricola[Cuenta Contable])*(AG$74=Comercial_Agricola[Producto])*(Económico!$F$5=Comercial_Agricola[Campaña])*(Comercial_Agricola[Económico $Corrientes]))*(IF($F$72="Tonelada",1/SUM(AG$91:AG$92),1)),0)</f>
        <v>0</v>
      </c>
      <c r="AH83" s="10">
        <f>IFERROR(SUMPRODUCT((Tabla283142[[#This Row],[Cuentas Contables]]=Comercial_Agricola[Cuenta Contable])*(AH$74=Comercial_Agricola[Producto])*(Económico!$F$5=Comercial_Agricola[Campaña])*(Comercial_Agricola[Económico $Corrientes]))*(IF($F$72="Tonelada",1/SUM(AH$91:AH$92),1)),0)</f>
        <v>0</v>
      </c>
      <c r="AI83" s="10">
        <f>IFERROR(SUMPRODUCT((Tabla283142[[#This Row],[Cuentas Contables]]=Comercial_Agricola[Cuenta Contable])*(AI$74=Comercial_Agricola[Producto])*(Económico!$F$5=Comercial_Agricola[Campaña])*(Comercial_Agricola[Económico $Corrientes]))*(IF($F$72="Tonelada",1/SUM(AI$91:AI$92),1)),0)</f>
        <v>0</v>
      </c>
      <c r="AJ83" s="10">
        <f>IFERROR(SUMPRODUCT((Tabla283142[[#This Row],[Cuentas Contables]]=Comercial_Agricola[Cuenta Contable])*(AJ$74=Comercial_Agricola[Producto])*(Económico!$F$5=Comercial_Agricola[Campaña])*(Comercial_Agricola[Económico $Corrientes]))*(IF($F$72="Tonelada",1/SUM(AJ$91:AJ$92),1)),0)</f>
        <v>0</v>
      </c>
      <c r="AK83" s="10">
        <f>IFERROR(SUMPRODUCT((Tabla283142[[#This Row],[Cuentas Contables]]=Comercial_Agricola[Cuenta Contable])*(AK$74=Comercial_Agricola[Producto])*(Económico!$F$5=Comercial_Agricola[Campaña])*(Comercial_Agricola[Económico $Corrientes]))*(IF($F$72="Tonelada",1/SUM(AK$91:AK$92),1)),0)</f>
        <v>0</v>
      </c>
      <c r="AL83" s="10">
        <f>IFERROR(SUMPRODUCT((Tabla283142[[#This Row],[Cuentas Contables]]=Comercial_Agricola[Cuenta Contable])*(AL$74=Comercial_Agricola[Producto])*(Económico!$F$5=Comercial_Agricola[Campaña])*(Comercial_Agricola[Económico $Corrientes]))*(IF($F$72="Tonelada",1/SUM(AL$91:AL$92),1)),0)</f>
        <v>0</v>
      </c>
      <c r="AM83" s="10">
        <f>IFERROR(SUMPRODUCT((Tabla283142[[#This Row],[Cuentas Contables]]=Comercial_Agricola[Cuenta Contable])*(AM$74=Comercial_Agricola[Producto])*(Económico!$F$5=Comercial_Agricola[Campaña])*(Comercial_Agricola[Económico $Corrientes]))*(IF($F$72="Tonelada",1/SUM(AM$91:AM$92),1)),0)</f>
        <v>0</v>
      </c>
      <c r="AV83" s="245">
        <f>IFERROR(MATCH(Tabla28314251[[#This Row],[Cuentas Contables]],Comercializacion_Granos_Cuentas[Cuenta Contable],0),0)</f>
        <v>9</v>
      </c>
      <c r="AW83" s="32" t="str">
        <f>Tabla2831[[#This Row],[Cuentas Contables]]</f>
        <v>Acondicionamiento</v>
      </c>
      <c r="AX83" s="10">
        <f>IFERROR(SUMPRODUCT((Tabla28314251[[#This Row],[Cuentas Contables]]=Comercial_Agricola[Cuenta Contable])*(AX$74=Comercial_Agricola[Producto])*(Económico!$F$5=Comercial_Agricola[Campaña])*(Comercial_Agricola[Económico $Constantes]))*(IF($F$72="Tonelada",1/SUM(AX$91:AX$92),1)),0)</f>
        <v>0</v>
      </c>
      <c r="AY83" s="10">
        <f>IFERROR(SUMPRODUCT((Tabla28314251[[#This Row],[Cuentas Contables]]=Comercial_Agricola[Cuenta Contable])*(AY$74=Comercial_Agricola[Producto])*(Económico!$F$5=Comercial_Agricola[Campaña])*(Comercial_Agricola[Económico $Constantes]))*(IF($F$72="Tonelada",1/SUM(AY$91:AY$92),1)),0)</f>
        <v>0</v>
      </c>
      <c r="AZ83" s="10">
        <f>IFERROR(SUMPRODUCT((Tabla28314251[[#This Row],[Cuentas Contables]]=Comercial_Agricola[Cuenta Contable])*(AZ$74=Comercial_Agricola[Producto])*(Económico!$F$5=Comercial_Agricola[Campaña])*(Comercial_Agricola[Económico $Constantes]))*(IF($F$72="Tonelada",1/SUM(AZ$91:AZ$92),1)),0)</f>
        <v>0</v>
      </c>
      <c r="BA83" s="10">
        <f>IFERROR(SUMPRODUCT((Tabla28314251[[#This Row],[Cuentas Contables]]=Comercial_Agricola[Cuenta Contable])*(BA$74=Comercial_Agricola[Producto])*(Económico!$F$5=Comercial_Agricola[Campaña])*(Comercial_Agricola[Económico $Constantes]))*(IF($F$72="Tonelada",1/SUM(BA$91:BA$92),1)),0)</f>
        <v>0</v>
      </c>
      <c r="BB83" s="10">
        <f>IFERROR(SUMPRODUCT((Tabla28314251[[#This Row],[Cuentas Contables]]=Comercial_Agricola[Cuenta Contable])*(BB$74=Comercial_Agricola[Producto])*(Económico!$F$5=Comercial_Agricola[Campaña])*(Comercial_Agricola[Económico $Constantes]))*(IF($F$72="Tonelada",1/SUM(BB$91:BB$92),1)),0)</f>
        <v>0</v>
      </c>
      <c r="BC83" s="10">
        <f>IFERROR(SUMPRODUCT((Tabla28314251[[#This Row],[Cuentas Contables]]=Comercial_Agricola[Cuenta Contable])*(BC$74=Comercial_Agricola[Producto])*(Económico!$F$5=Comercial_Agricola[Campaña])*(Comercial_Agricola[Económico $Constantes]))*(IF($F$72="Tonelada",1/SUM(BC$91:BC$92),1)),0)</f>
        <v>0</v>
      </c>
      <c r="BD83" s="10">
        <f>IFERROR(SUMPRODUCT((Tabla28314251[[#This Row],[Cuentas Contables]]=Comercial_Agricola[Cuenta Contable])*(BD$74=Comercial_Agricola[Producto])*(Económico!$F$5=Comercial_Agricola[Campaña])*(Comercial_Agricola[Económico $Constantes]))*(IF($F$72="Tonelada",1/SUM(BD$91:BD$92),1)),0)</f>
        <v>0</v>
      </c>
      <c r="BE83" s="10">
        <f>IFERROR(SUMPRODUCT((Tabla28314251[[#This Row],[Cuentas Contables]]=Comercial_Agricola[Cuenta Contable])*(BE$74=Comercial_Agricola[Producto])*(Económico!$F$5=Comercial_Agricola[Campaña])*(Comercial_Agricola[Económico $Constantes]))*(IF($F$72="Tonelada",1/SUM(BE$91:BE$92),1)),0)</f>
        <v>0</v>
      </c>
      <c r="BF83" s="10">
        <f>IFERROR(SUMPRODUCT((Tabla28314251[[#This Row],[Cuentas Contables]]=Comercial_Agricola[Cuenta Contable])*(BF$74=Comercial_Agricola[Producto])*(Económico!$F$5=Comercial_Agricola[Campaña])*(Comercial_Agricola[Económico $Constantes]))*(IF($F$72="Tonelada",1/SUM(BF$91:BF$92),1)),0)</f>
        <v>0</v>
      </c>
      <c r="BG83" s="10">
        <f>IFERROR(SUMPRODUCT((Tabla28314251[[#This Row],[Cuentas Contables]]=Comercial_Agricola[Cuenta Contable])*(BG$74=Comercial_Agricola[Producto])*(Económico!$F$5=Comercial_Agricola[Campaña])*(Comercial_Agricola[Económico $Constantes]))*(IF($F$72="Tonelada",1/SUM(BG$91:BG$92),1)),0)</f>
        <v>0</v>
      </c>
      <c r="BH83" s="10">
        <f>IFERROR(SUMPRODUCT((Tabla28314251[[#This Row],[Cuentas Contables]]=Comercial_Agricola[Cuenta Contable])*(BH$74=Comercial_Agricola[Producto])*(Económico!$F$5=Comercial_Agricola[Campaña])*(Comercial_Agricola[Económico $Constantes]))*(IF($F$72="Tonelada",1/SUM(BH$91:BH$92),1)),0)</f>
        <v>0</v>
      </c>
      <c r="BI83" s="10">
        <f>IFERROR(SUMPRODUCT((Tabla28314251[[#This Row],[Cuentas Contables]]=Comercial_Agricola[Cuenta Contable])*(BI$74=Comercial_Agricola[Producto])*(Económico!$F$5=Comercial_Agricola[Campaña])*(Comercial_Agricola[Económico $Constantes]))*(IF($F$72="Tonelada",1/SUM(BI$91:BI$92),1)),0)</f>
        <v>0</v>
      </c>
    </row>
    <row r="84" spans="2:61" x14ac:dyDescent="0.25">
      <c r="D84" s="245">
        <f>IFERROR(MATCH(Tabla2831[[#This Row],[Cuentas Contables]],Comercializacion_Granos_Cuentas[Cuenta Contable],0),0)</f>
        <v>10</v>
      </c>
      <c r="E84" s="32" t="str">
        <f>Configuración!AC14</f>
        <v>Paritarias</v>
      </c>
      <c r="F84" s="10">
        <f>IFERROR(SUMPRODUCT((Tabla2831[[#This Row],[Cuentas Contables]]=Comercial_Agricola[Cuenta Contable])*(F$74=Comercial_Agricola[Producto])*(Económico!$F$5=Comercial_Agricola[Campaña])*(Comercial_Agricola[Económico U$S Dólares]))*(IF($F$72="Tonelada",1/SUM(F$91:F$92),1)),0)</f>
        <v>0</v>
      </c>
      <c r="G84" s="10">
        <f>IFERROR(SUMPRODUCT((Tabla2831[[#This Row],[Cuentas Contables]]=Comercial_Agricola[Cuenta Contable])*(G$74=Comercial_Agricola[Producto])*(Económico!$F$5=Comercial_Agricola[Campaña])*(Comercial_Agricola[Económico U$S Dólares]))*(IF($F$72="Tonelada",1/SUM(G$91:G$92),1)),0)</f>
        <v>0</v>
      </c>
      <c r="H84" s="10">
        <f>IFERROR(SUMPRODUCT((Tabla2831[[#This Row],[Cuentas Contables]]=Comercial_Agricola[Cuenta Contable])*(H$74=Comercial_Agricola[Producto])*(Económico!$F$5=Comercial_Agricola[Campaña])*(Comercial_Agricola[Económico U$S Dólares]))*(IF($F$72="Tonelada",1/SUM(H$91:H$92),1)),0)</f>
        <v>0</v>
      </c>
      <c r="I84" s="10">
        <f>IFERROR(SUMPRODUCT((Tabla2831[[#This Row],[Cuentas Contables]]=Comercial_Agricola[Cuenta Contable])*(I$74=Comercial_Agricola[Producto])*(Económico!$F$5=Comercial_Agricola[Campaña])*(Comercial_Agricola[Económico U$S Dólares]))*(IF($F$72="Tonelada",1/SUM(I$91:I$92),1)),0)</f>
        <v>0</v>
      </c>
      <c r="J84" s="10">
        <f>IFERROR(SUMPRODUCT((Tabla2831[[#This Row],[Cuentas Contables]]=Comercial_Agricola[Cuenta Contable])*(J$74=Comercial_Agricola[Producto])*(Económico!$F$5=Comercial_Agricola[Campaña])*(Comercial_Agricola[Económico U$S Dólares]))*(IF($F$72="Tonelada",1/SUM(J$91:J$92),1)),0)</f>
        <v>0</v>
      </c>
      <c r="K84" s="10">
        <f>IFERROR(SUMPRODUCT((Tabla2831[[#This Row],[Cuentas Contables]]=Comercial_Agricola[Cuenta Contable])*(K$74=Comercial_Agricola[Producto])*(Económico!$F$5=Comercial_Agricola[Campaña])*(Comercial_Agricola[Económico U$S Dólares]))*(IF($F$72="Tonelada",1/SUM(K$91:K$92),1)),0)</f>
        <v>0</v>
      </c>
      <c r="L84" s="10">
        <f>IFERROR(SUMPRODUCT((Tabla2831[[#This Row],[Cuentas Contables]]=Comercial_Agricola[Cuenta Contable])*(L$74=Comercial_Agricola[Producto])*(Económico!$F$5=Comercial_Agricola[Campaña])*(Comercial_Agricola[Económico U$S Dólares]))*(IF($F$72="Tonelada",1/SUM(L$91:L$92),1)),0)</f>
        <v>0</v>
      </c>
      <c r="M84" s="10">
        <f>IFERROR(SUMPRODUCT((Tabla2831[[#This Row],[Cuentas Contables]]=Comercial_Agricola[Cuenta Contable])*(M$74=Comercial_Agricola[Producto])*(Económico!$F$5=Comercial_Agricola[Campaña])*(Comercial_Agricola[Económico U$S Dólares]))*(IF($F$72="Tonelada",1/SUM(M$91:M$92),1)),0)</f>
        <v>0</v>
      </c>
      <c r="N84" s="10">
        <f>IFERROR(SUMPRODUCT((Tabla2831[[#This Row],[Cuentas Contables]]=Comercial_Agricola[Cuenta Contable])*(N$74=Comercial_Agricola[Producto])*(Económico!$F$5=Comercial_Agricola[Campaña])*(Comercial_Agricola[Económico U$S Dólares]))*(IF($F$72="Tonelada",1/SUM(N$91:N$92),1)),0)</f>
        <v>0</v>
      </c>
      <c r="O84" s="10">
        <f>IFERROR(SUMPRODUCT((Tabla2831[[#This Row],[Cuentas Contables]]=Comercial_Agricola[Cuenta Contable])*(O$74=Comercial_Agricola[Producto])*(Económico!$F$5=Comercial_Agricola[Campaña])*(Comercial_Agricola[Económico U$S Dólares]))*(IF($F$72="Tonelada",1/SUM(O$91:O$92),1)),0)</f>
        <v>0</v>
      </c>
      <c r="P84" s="10">
        <f>IFERROR(SUMPRODUCT((Tabla2831[[#This Row],[Cuentas Contables]]=Comercial_Agricola[Cuenta Contable])*(P$74=Comercial_Agricola[Producto])*(Económico!$F$5=Comercial_Agricola[Campaña])*(Comercial_Agricola[Económico U$S Dólares]))*(IF($F$72="Tonelada",1/SUM(P$91:P$92),1)),0)</f>
        <v>0</v>
      </c>
      <c r="Q84" s="10">
        <f>IFERROR(SUMPRODUCT((Tabla2831[[#This Row],[Cuentas Contables]]=Comercial_Agricola[Cuenta Contable])*(Q$74=Comercial_Agricola[Producto])*(Económico!$F$5=Comercial_Agricola[Campaña])*(Comercial_Agricola[Económico U$S Dólares]))*(IF($F$72="Tonelada",1/SUM(Q$91:Q$92),1)),0)</f>
        <v>0</v>
      </c>
      <c r="Z84" s="245">
        <f>IFERROR(MATCH(Tabla283142[[#This Row],[Cuentas Contables]],Comercializacion_Granos_Cuentas[Cuenta Contable],0),0)</f>
        <v>10</v>
      </c>
      <c r="AA84" s="32" t="str">
        <f>Tabla2831[[#This Row],[Cuentas Contables]]</f>
        <v>Paritarias</v>
      </c>
      <c r="AB84" s="10">
        <f>IFERROR(SUMPRODUCT((Tabla283142[[#This Row],[Cuentas Contables]]=Comercial_Agricola[Cuenta Contable])*(AB$74=Comercial_Agricola[Producto])*(Económico!$F$5=Comercial_Agricola[Campaña])*(Comercial_Agricola[Económico $Corrientes]))*(IF($F$72="Tonelada",1/SUM(AB$91:AB$92),1)),0)</f>
        <v>0</v>
      </c>
      <c r="AC84" s="10">
        <f>IFERROR(SUMPRODUCT((Tabla283142[[#This Row],[Cuentas Contables]]=Comercial_Agricola[Cuenta Contable])*(AC$74=Comercial_Agricola[Producto])*(Económico!$F$5=Comercial_Agricola[Campaña])*(Comercial_Agricola[Económico $Corrientes]))*(IF($F$72="Tonelada",1/SUM(AC$91:AC$92),1)),0)</f>
        <v>0</v>
      </c>
      <c r="AD84" s="10">
        <f>IFERROR(SUMPRODUCT((Tabla283142[[#This Row],[Cuentas Contables]]=Comercial_Agricola[Cuenta Contable])*(AD$74=Comercial_Agricola[Producto])*(Económico!$F$5=Comercial_Agricola[Campaña])*(Comercial_Agricola[Económico $Corrientes]))*(IF($F$72="Tonelada",1/SUM(AD$91:AD$92),1)),0)</f>
        <v>0</v>
      </c>
      <c r="AE84" s="10">
        <f>IFERROR(SUMPRODUCT((Tabla283142[[#This Row],[Cuentas Contables]]=Comercial_Agricola[Cuenta Contable])*(AE$74=Comercial_Agricola[Producto])*(Económico!$F$5=Comercial_Agricola[Campaña])*(Comercial_Agricola[Económico $Corrientes]))*(IF($F$72="Tonelada",1/SUM(AE$91:AE$92),1)),0)</f>
        <v>0</v>
      </c>
      <c r="AF84" s="10">
        <f>IFERROR(SUMPRODUCT((Tabla283142[[#This Row],[Cuentas Contables]]=Comercial_Agricola[Cuenta Contable])*(AF$74=Comercial_Agricola[Producto])*(Económico!$F$5=Comercial_Agricola[Campaña])*(Comercial_Agricola[Económico $Corrientes]))*(IF($F$72="Tonelada",1/SUM(AF$91:AF$92),1)),0)</f>
        <v>0</v>
      </c>
      <c r="AG84" s="10">
        <f>IFERROR(SUMPRODUCT((Tabla283142[[#This Row],[Cuentas Contables]]=Comercial_Agricola[Cuenta Contable])*(AG$74=Comercial_Agricola[Producto])*(Económico!$F$5=Comercial_Agricola[Campaña])*(Comercial_Agricola[Económico $Corrientes]))*(IF($F$72="Tonelada",1/SUM(AG$91:AG$92),1)),0)</f>
        <v>0</v>
      </c>
      <c r="AH84" s="10">
        <f>IFERROR(SUMPRODUCT((Tabla283142[[#This Row],[Cuentas Contables]]=Comercial_Agricola[Cuenta Contable])*(AH$74=Comercial_Agricola[Producto])*(Económico!$F$5=Comercial_Agricola[Campaña])*(Comercial_Agricola[Económico $Corrientes]))*(IF($F$72="Tonelada",1/SUM(AH$91:AH$92),1)),0)</f>
        <v>0</v>
      </c>
      <c r="AI84" s="10">
        <f>IFERROR(SUMPRODUCT((Tabla283142[[#This Row],[Cuentas Contables]]=Comercial_Agricola[Cuenta Contable])*(AI$74=Comercial_Agricola[Producto])*(Económico!$F$5=Comercial_Agricola[Campaña])*(Comercial_Agricola[Económico $Corrientes]))*(IF($F$72="Tonelada",1/SUM(AI$91:AI$92),1)),0)</f>
        <v>0</v>
      </c>
      <c r="AJ84" s="10">
        <f>IFERROR(SUMPRODUCT((Tabla283142[[#This Row],[Cuentas Contables]]=Comercial_Agricola[Cuenta Contable])*(AJ$74=Comercial_Agricola[Producto])*(Económico!$F$5=Comercial_Agricola[Campaña])*(Comercial_Agricola[Económico $Corrientes]))*(IF($F$72="Tonelada",1/SUM(AJ$91:AJ$92),1)),0)</f>
        <v>0</v>
      </c>
      <c r="AK84" s="10">
        <f>IFERROR(SUMPRODUCT((Tabla283142[[#This Row],[Cuentas Contables]]=Comercial_Agricola[Cuenta Contable])*(AK$74=Comercial_Agricola[Producto])*(Económico!$F$5=Comercial_Agricola[Campaña])*(Comercial_Agricola[Económico $Corrientes]))*(IF($F$72="Tonelada",1/SUM(AK$91:AK$92),1)),0)</f>
        <v>0</v>
      </c>
      <c r="AL84" s="10">
        <f>IFERROR(SUMPRODUCT((Tabla283142[[#This Row],[Cuentas Contables]]=Comercial_Agricola[Cuenta Contable])*(AL$74=Comercial_Agricola[Producto])*(Económico!$F$5=Comercial_Agricola[Campaña])*(Comercial_Agricola[Económico $Corrientes]))*(IF($F$72="Tonelada",1/SUM(AL$91:AL$92),1)),0)</f>
        <v>0</v>
      </c>
      <c r="AM84" s="10">
        <f>IFERROR(SUMPRODUCT((Tabla283142[[#This Row],[Cuentas Contables]]=Comercial_Agricola[Cuenta Contable])*(AM$74=Comercial_Agricola[Producto])*(Económico!$F$5=Comercial_Agricola[Campaña])*(Comercial_Agricola[Económico $Corrientes]))*(IF($F$72="Tonelada",1/SUM(AM$91:AM$92),1)),0)</f>
        <v>0</v>
      </c>
      <c r="AV84" s="245">
        <f>IFERROR(MATCH(Tabla28314251[[#This Row],[Cuentas Contables]],Comercializacion_Granos_Cuentas[Cuenta Contable],0),0)</f>
        <v>10</v>
      </c>
      <c r="AW84" s="32" t="str">
        <f>Tabla2831[[#This Row],[Cuentas Contables]]</f>
        <v>Paritarias</v>
      </c>
      <c r="AX84" s="10">
        <f>IFERROR(SUMPRODUCT((Tabla28314251[[#This Row],[Cuentas Contables]]=Comercial_Agricola[Cuenta Contable])*(AX$74=Comercial_Agricola[Producto])*(Económico!$F$5=Comercial_Agricola[Campaña])*(Comercial_Agricola[Económico $Constantes]))*(IF($F$72="Tonelada",1/SUM(AX$91:AX$92),1)),0)</f>
        <v>0</v>
      </c>
      <c r="AY84" s="10">
        <f>IFERROR(SUMPRODUCT((Tabla28314251[[#This Row],[Cuentas Contables]]=Comercial_Agricola[Cuenta Contable])*(AY$74=Comercial_Agricola[Producto])*(Económico!$F$5=Comercial_Agricola[Campaña])*(Comercial_Agricola[Económico $Constantes]))*(IF($F$72="Tonelada",1/SUM(AY$91:AY$92),1)),0)</f>
        <v>0</v>
      </c>
      <c r="AZ84" s="10">
        <f>IFERROR(SUMPRODUCT((Tabla28314251[[#This Row],[Cuentas Contables]]=Comercial_Agricola[Cuenta Contable])*(AZ$74=Comercial_Agricola[Producto])*(Económico!$F$5=Comercial_Agricola[Campaña])*(Comercial_Agricola[Económico $Constantes]))*(IF($F$72="Tonelada",1/SUM(AZ$91:AZ$92),1)),0)</f>
        <v>0</v>
      </c>
      <c r="BA84" s="10">
        <f>IFERROR(SUMPRODUCT((Tabla28314251[[#This Row],[Cuentas Contables]]=Comercial_Agricola[Cuenta Contable])*(BA$74=Comercial_Agricola[Producto])*(Económico!$F$5=Comercial_Agricola[Campaña])*(Comercial_Agricola[Económico $Constantes]))*(IF($F$72="Tonelada",1/SUM(BA$91:BA$92),1)),0)</f>
        <v>0</v>
      </c>
      <c r="BB84" s="10">
        <f>IFERROR(SUMPRODUCT((Tabla28314251[[#This Row],[Cuentas Contables]]=Comercial_Agricola[Cuenta Contable])*(BB$74=Comercial_Agricola[Producto])*(Económico!$F$5=Comercial_Agricola[Campaña])*(Comercial_Agricola[Económico $Constantes]))*(IF($F$72="Tonelada",1/SUM(BB$91:BB$92),1)),0)</f>
        <v>0</v>
      </c>
      <c r="BC84" s="10">
        <f>IFERROR(SUMPRODUCT((Tabla28314251[[#This Row],[Cuentas Contables]]=Comercial_Agricola[Cuenta Contable])*(BC$74=Comercial_Agricola[Producto])*(Económico!$F$5=Comercial_Agricola[Campaña])*(Comercial_Agricola[Económico $Constantes]))*(IF($F$72="Tonelada",1/SUM(BC$91:BC$92),1)),0)</f>
        <v>0</v>
      </c>
      <c r="BD84" s="10">
        <f>IFERROR(SUMPRODUCT((Tabla28314251[[#This Row],[Cuentas Contables]]=Comercial_Agricola[Cuenta Contable])*(BD$74=Comercial_Agricola[Producto])*(Económico!$F$5=Comercial_Agricola[Campaña])*(Comercial_Agricola[Económico $Constantes]))*(IF($F$72="Tonelada",1/SUM(BD$91:BD$92),1)),0)</f>
        <v>0</v>
      </c>
      <c r="BE84" s="10">
        <f>IFERROR(SUMPRODUCT((Tabla28314251[[#This Row],[Cuentas Contables]]=Comercial_Agricola[Cuenta Contable])*(BE$74=Comercial_Agricola[Producto])*(Económico!$F$5=Comercial_Agricola[Campaña])*(Comercial_Agricola[Económico $Constantes]))*(IF($F$72="Tonelada",1/SUM(BE$91:BE$92),1)),0)</f>
        <v>0</v>
      </c>
      <c r="BF84" s="10">
        <f>IFERROR(SUMPRODUCT((Tabla28314251[[#This Row],[Cuentas Contables]]=Comercial_Agricola[Cuenta Contable])*(BF$74=Comercial_Agricola[Producto])*(Económico!$F$5=Comercial_Agricola[Campaña])*(Comercial_Agricola[Económico $Constantes]))*(IF($F$72="Tonelada",1/SUM(BF$91:BF$92),1)),0)</f>
        <v>0</v>
      </c>
      <c r="BG84" s="10">
        <f>IFERROR(SUMPRODUCT((Tabla28314251[[#This Row],[Cuentas Contables]]=Comercial_Agricola[Cuenta Contable])*(BG$74=Comercial_Agricola[Producto])*(Económico!$F$5=Comercial_Agricola[Campaña])*(Comercial_Agricola[Económico $Constantes]))*(IF($F$72="Tonelada",1/SUM(BG$91:BG$92),1)),0)</f>
        <v>0</v>
      </c>
      <c r="BH84" s="10">
        <f>IFERROR(SUMPRODUCT((Tabla28314251[[#This Row],[Cuentas Contables]]=Comercial_Agricola[Cuenta Contable])*(BH$74=Comercial_Agricola[Producto])*(Económico!$F$5=Comercial_Agricola[Campaña])*(Comercial_Agricola[Económico $Constantes]))*(IF($F$72="Tonelada",1/SUM(BH$91:BH$92),1)),0)</f>
        <v>0</v>
      </c>
      <c r="BI84" s="10">
        <f>IFERROR(SUMPRODUCT((Tabla28314251[[#This Row],[Cuentas Contables]]=Comercial_Agricola[Cuenta Contable])*(BI$74=Comercial_Agricola[Producto])*(Económico!$F$5=Comercial_Agricola[Campaña])*(Comercial_Agricola[Económico $Constantes]))*(IF($F$72="Tonelada",1/SUM(BI$91:BI$92),1)),0)</f>
        <v>0</v>
      </c>
    </row>
    <row r="85" spans="2:61" x14ac:dyDescent="0.25">
      <c r="D85" s="245">
        <f>IFERROR(MATCH(Tabla2831[[#This Row],[Cuentas Contables]],Comercializacion_Granos_Cuentas[Cuenta Contable],0),0)</f>
        <v>11</v>
      </c>
      <c r="E85" s="32" t="str">
        <f>Configuración!AC15</f>
        <v>Secada</v>
      </c>
      <c r="F85" s="10">
        <f>IFERROR(SUMPRODUCT((Tabla2831[[#This Row],[Cuentas Contables]]=Comercial_Agricola[Cuenta Contable])*(F$74=Comercial_Agricola[Producto])*(Económico!$F$5=Comercial_Agricola[Campaña])*(Comercial_Agricola[Económico U$S Dólares]))*(IF($F$72="Tonelada",1/SUM(F$91:F$92),1)),0)</f>
        <v>0</v>
      </c>
      <c r="G85" s="10">
        <f>IFERROR(SUMPRODUCT((Tabla2831[[#This Row],[Cuentas Contables]]=Comercial_Agricola[Cuenta Contable])*(G$74=Comercial_Agricola[Producto])*(Económico!$F$5=Comercial_Agricola[Campaña])*(Comercial_Agricola[Económico U$S Dólares]))*(IF($F$72="Tonelada",1/SUM(G$91:G$92),1)),0)</f>
        <v>0</v>
      </c>
      <c r="H85" s="10">
        <f>IFERROR(SUMPRODUCT((Tabla2831[[#This Row],[Cuentas Contables]]=Comercial_Agricola[Cuenta Contable])*(H$74=Comercial_Agricola[Producto])*(Económico!$F$5=Comercial_Agricola[Campaña])*(Comercial_Agricola[Económico U$S Dólares]))*(IF($F$72="Tonelada",1/SUM(H$91:H$92),1)),0)</f>
        <v>0</v>
      </c>
      <c r="I85" s="10">
        <f>IFERROR(SUMPRODUCT((Tabla2831[[#This Row],[Cuentas Contables]]=Comercial_Agricola[Cuenta Contable])*(I$74=Comercial_Agricola[Producto])*(Económico!$F$5=Comercial_Agricola[Campaña])*(Comercial_Agricola[Económico U$S Dólares]))*(IF($F$72="Tonelada",1/SUM(I$91:I$92),1)),0)</f>
        <v>0</v>
      </c>
      <c r="J85" s="10">
        <f>IFERROR(SUMPRODUCT((Tabla2831[[#This Row],[Cuentas Contables]]=Comercial_Agricola[Cuenta Contable])*(J$74=Comercial_Agricola[Producto])*(Económico!$F$5=Comercial_Agricola[Campaña])*(Comercial_Agricola[Económico U$S Dólares]))*(IF($F$72="Tonelada",1/SUM(J$91:J$92),1)),0)</f>
        <v>0</v>
      </c>
      <c r="K85" s="10">
        <f>IFERROR(SUMPRODUCT((Tabla2831[[#This Row],[Cuentas Contables]]=Comercial_Agricola[Cuenta Contable])*(K$74=Comercial_Agricola[Producto])*(Económico!$F$5=Comercial_Agricola[Campaña])*(Comercial_Agricola[Económico U$S Dólares]))*(IF($F$72="Tonelada",1/SUM(K$91:K$92),1)),0)</f>
        <v>0</v>
      </c>
      <c r="L85" s="10">
        <f>IFERROR(SUMPRODUCT((Tabla2831[[#This Row],[Cuentas Contables]]=Comercial_Agricola[Cuenta Contable])*(L$74=Comercial_Agricola[Producto])*(Económico!$F$5=Comercial_Agricola[Campaña])*(Comercial_Agricola[Económico U$S Dólares]))*(IF($F$72="Tonelada",1/SUM(L$91:L$92),1)),0)</f>
        <v>0</v>
      </c>
      <c r="M85" s="10">
        <f>IFERROR(SUMPRODUCT((Tabla2831[[#This Row],[Cuentas Contables]]=Comercial_Agricola[Cuenta Contable])*(M$74=Comercial_Agricola[Producto])*(Económico!$F$5=Comercial_Agricola[Campaña])*(Comercial_Agricola[Económico U$S Dólares]))*(IF($F$72="Tonelada",1/SUM(M$91:M$92),1)),0)</f>
        <v>0</v>
      </c>
      <c r="N85" s="10">
        <f>IFERROR(SUMPRODUCT((Tabla2831[[#This Row],[Cuentas Contables]]=Comercial_Agricola[Cuenta Contable])*(N$74=Comercial_Agricola[Producto])*(Económico!$F$5=Comercial_Agricola[Campaña])*(Comercial_Agricola[Económico U$S Dólares]))*(IF($F$72="Tonelada",1/SUM(N$91:N$92),1)),0)</f>
        <v>0</v>
      </c>
      <c r="O85" s="10">
        <f>IFERROR(SUMPRODUCT((Tabla2831[[#This Row],[Cuentas Contables]]=Comercial_Agricola[Cuenta Contable])*(O$74=Comercial_Agricola[Producto])*(Económico!$F$5=Comercial_Agricola[Campaña])*(Comercial_Agricola[Económico U$S Dólares]))*(IF($F$72="Tonelada",1/SUM(O$91:O$92),1)),0)</f>
        <v>0</v>
      </c>
      <c r="P85" s="10">
        <f>IFERROR(SUMPRODUCT((Tabla2831[[#This Row],[Cuentas Contables]]=Comercial_Agricola[Cuenta Contable])*(P$74=Comercial_Agricola[Producto])*(Económico!$F$5=Comercial_Agricola[Campaña])*(Comercial_Agricola[Económico U$S Dólares]))*(IF($F$72="Tonelada",1/SUM(P$91:P$92),1)),0)</f>
        <v>0</v>
      </c>
      <c r="Q85" s="10">
        <f>IFERROR(SUMPRODUCT((Tabla2831[[#This Row],[Cuentas Contables]]=Comercial_Agricola[Cuenta Contable])*(Q$74=Comercial_Agricola[Producto])*(Económico!$F$5=Comercial_Agricola[Campaña])*(Comercial_Agricola[Económico U$S Dólares]))*(IF($F$72="Tonelada",1/SUM(Q$91:Q$92),1)),0)</f>
        <v>0</v>
      </c>
      <c r="Z85" s="245">
        <f>IFERROR(MATCH(Tabla283142[[#This Row],[Cuentas Contables]],Comercializacion_Granos_Cuentas[Cuenta Contable],0),0)</f>
        <v>11</v>
      </c>
      <c r="AA85" s="32" t="str">
        <f>Tabla2831[[#This Row],[Cuentas Contables]]</f>
        <v>Secada</v>
      </c>
      <c r="AB85" s="10">
        <f>IFERROR(SUMPRODUCT((Tabla283142[[#This Row],[Cuentas Contables]]=Comercial_Agricola[Cuenta Contable])*(AB$74=Comercial_Agricola[Producto])*(Económico!$F$5=Comercial_Agricola[Campaña])*(Comercial_Agricola[Económico $Corrientes]))*(IF($F$72="Tonelada",1/SUM(AB$91:AB$92),1)),0)</f>
        <v>0</v>
      </c>
      <c r="AC85" s="10">
        <f>IFERROR(SUMPRODUCT((Tabla283142[[#This Row],[Cuentas Contables]]=Comercial_Agricola[Cuenta Contable])*(AC$74=Comercial_Agricola[Producto])*(Económico!$F$5=Comercial_Agricola[Campaña])*(Comercial_Agricola[Económico $Corrientes]))*(IF($F$72="Tonelada",1/SUM(AC$91:AC$92),1)),0)</f>
        <v>0</v>
      </c>
      <c r="AD85" s="10">
        <f>IFERROR(SUMPRODUCT((Tabla283142[[#This Row],[Cuentas Contables]]=Comercial_Agricola[Cuenta Contable])*(AD$74=Comercial_Agricola[Producto])*(Económico!$F$5=Comercial_Agricola[Campaña])*(Comercial_Agricola[Económico $Corrientes]))*(IF($F$72="Tonelada",1/SUM(AD$91:AD$92),1)),0)</f>
        <v>0</v>
      </c>
      <c r="AE85" s="10">
        <f>IFERROR(SUMPRODUCT((Tabla283142[[#This Row],[Cuentas Contables]]=Comercial_Agricola[Cuenta Contable])*(AE$74=Comercial_Agricola[Producto])*(Económico!$F$5=Comercial_Agricola[Campaña])*(Comercial_Agricola[Económico $Corrientes]))*(IF($F$72="Tonelada",1/SUM(AE$91:AE$92),1)),0)</f>
        <v>0</v>
      </c>
      <c r="AF85" s="10">
        <f>IFERROR(SUMPRODUCT((Tabla283142[[#This Row],[Cuentas Contables]]=Comercial_Agricola[Cuenta Contable])*(AF$74=Comercial_Agricola[Producto])*(Económico!$F$5=Comercial_Agricola[Campaña])*(Comercial_Agricola[Económico $Corrientes]))*(IF($F$72="Tonelada",1/SUM(AF$91:AF$92),1)),0)</f>
        <v>0</v>
      </c>
      <c r="AG85" s="10">
        <f>IFERROR(SUMPRODUCT((Tabla283142[[#This Row],[Cuentas Contables]]=Comercial_Agricola[Cuenta Contable])*(AG$74=Comercial_Agricola[Producto])*(Económico!$F$5=Comercial_Agricola[Campaña])*(Comercial_Agricola[Económico $Corrientes]))*(IF($F$72="Tonelada",1/SUM(AG$91:AG$92),1)),0)</f>
        <v>0</v>
      </c>
      <c r="AH85" s="10">
        <f>IFERROR(SUMPRODUCT((Tabla283142[[#This Row],[Cuentas Contables]]=Comercial_Agricola[Cuenta Contable])*(AH$74=Comercial_Agricola[Producto])*(Económico!$F$5=Comercial_Agricola[Campaña])*(Comercial_Agricola[Económico $Corrientes]))*(IF($F$72="Tonelada",1/SUM(AH$91:AH$92),1)),0)</f>
        <v>0</v>
      </c>
      <c r="AI85" s="10">
        <f>IFERROR(SUMPRODUCT((Tabla283142[[#This Row],[Cuentas Contables]]=Comercial_Agricola[Cuenta Contable])*(AI$74=Comercial_Agricola[Producto])*(Económico!$F$5=Comercial_Agricola[Campaña])*(Comercial_Agricola[Económico $Corrientes]))*(IF($F$72="Tonelada",1/SUM(AI$91:AI$92),1)),0)</f>
        <v>0</v>
      </c>
      <c r="AJ85" s="10">
        <f>IFERROR(SUMPRODUCT((Tabla283142[[#This Row],[Cuentas Contables]]=Comercial_Agricola[Cuenta Contable])*(AJ$74=Comercial_Agricola[Producto])*(Económico!$F$5=Comercial_Agricola[Campaña])*(Comercial_Agricola[Económico $Corrientes]))*(IF($F$72="Tonelada",1/SUM(AJ$91:AJ$92),1)),0)</f>
        <v>0</v>
      </c>
      <c r="AK85" s="10">
        <f>IFERROR(SUMPRODUCT((Tabla283142[[#This Row],[Cuentas Contables]]=Comercial_Agricola[Cuenta Contable])*(AK$74=Comercial_Agricola[Producto])*(Económico!$F$5=Comercial_Agricola[Campaña])*(Comercial_Agricola[Económico $Corrientes]))*(IF($F$72="Tonelada",1/SUM(AK$91:AK$92),1)),0)</f>
        <v>0</v>
      </c>
      <c r="AL85" s="10">
        <f>IFERROR(SUMPRODUCT((Tabla283142[[#This Row],[Cuentas Contables]]=Comercial_Agricola[Cuenta Contable])*(AL$74=Comercial_Agricola[Producto])*(Económico!$F$5=Comercial_Agricola[Campaña])*(Comercial_Agricola[Económico $Corrientes]))*(IF($F$72="Tonelada",1/SUM(AL$91:AL$92),1)),0)</f>
        <v>0</v>
      </c>
      <c r="AM85" s="10">
        <f>IFERROR(SUMPRODUCT((Tabla283142[[#This Row],[Cuentas Contables]]=Comercial_Agricola[Cuenta Contable])*(AM$74=Comercial_Agricola[Producto])*(Económico!$F$5=Comercial_Agricola[Campaña])*(Comercial_Agricola[Económico $Corrientes]))*(IF($F$72="Tonelada",1/SUM(AM$91:AM$92),1)),0)</f>
        <v>0</v>
      </c>
      <c r="AV85" s="245">
        <f>IFERROR(MATCH(Tabla28314251[[#This Row],[Cuentas Contables]],Comercializacion_Granos_Cuentas[Cuenta Contable],0),0)</f>
        <v>11</v>
      </c>
      <c r="AW85" s="32" t="str">
        <f>Tabla2831[[#This Row],[Cuentas Contables]]</f>
        <v>Secada</v>
      </c>
      <c r="AX85" s="10">
        <f>IFERROR(SUMPRODUCT((Tabla28314251[[#This Row],[Cuentas Contables]]=Comercial_Agricola[Cuenta Contable])*(AX$74=Comercial_Agricola[Producto])*(Económico!$F$5=Comercial_Agricola[Campaña])*(Comercial_Agricola[Económico $Constantes]))*(IF($F$72="Tonelada",1/SUM(AX$91:AX$92),1)),0)</f>
        <v>0</v>
      </c>
      <c r="AY85" s="10">
        <f>IFERROR(SUMPRODUCT((Tabla28314251[[#This Row],[Cuentas Contables]]=Comercial_Agricola[Cuenta Contable])*(AY$74=Comercial_Agricola[Producto])*(Económico!$F$5=Comercial_Agricola[Campaña])*(Comercial_Agricola[Económico $Constantes]))*(IF($F$72="Tonelada",1/SUM(AY$91:AY$92),1)),0)</f>
        <v>0</v>
      </c>
      <c r="AZ85" s="10">
        <f>IFERROR(SUMPRODUCT((Tabla28314251[[#This Row],[Cuentas Contables]]=Comercial_Agricola[Cuenta Contable])*(AZ$74=Comercial_Agricola[Producto])*(Económico!$F$5=Comercial_Agricola[Campaña])*(Comercial_Agricola[Económico $Constantes]))*(IF($F$72="Tonelada",1/SUM(AZ$91:AZ$92),1)),0)</f>
        <v>0</v>
      </c>
      <c r="BA85" s="10">
        <f>IFERROR(SUMPRODUCT((Tabla28314251[[#This Row],[Cuentas Contables]]=Comercial_Agricola[Cuenta Contable])*(BA$74=Comercial_Agricola[Producto])*(Económico!$F$5=Comercial_Agricola[Campaña])*(Comercial_Agricola[Económico $Constantes]))*(IF($F$72="Tonelada",1/SUM(BA$91:BA$92),1)),0)</f>
        <v>0</v>
      </c>
      <c r="BB85" s="10">
        <f>IFERROR(SUMPRODUCT((Tabla28314251[[#This Row],[Cuentas Contables]]=Comercial_Agricola[Cuenta Contable])*(BB$74=Comercial_Agricola[Producto])*(Económico!$F$5=Comercial_Agricola[Campaña])*(Comercial_Agricola[Económico $Constantes]))*(IF($F$72="Tonelada",1/SUM(BB$91:BB$92),1)),0)</f>
        <v>0</v>
      </c>
      <c r="BC85" s="10">
        <f>IFERROR(SUMPRODUCT((Tabla28314251[[#This Row],[Cuentas Contables]]=Comercial_Agricola[Cuenta Contable])*(BC$74=Comercial_Agricola[Producto])*(Económico!$F$5=Comercial_Agricola[Campaña])*(Comercial_Agricola[Económico $Constantes]))*(IF($F$72="Tonelada",1/SUM(BC$91:BC$92),1)),0)</f>
        <v>0</v>
      </c>
      <c r="BD85" s="10">
        <f>IFERROR(SUMPRODUCT((Tabla28314251[[#This Row],[Cuentas Contables]]=Comercial_Agricola[Cuenta Contable])*(BD$74=Comercial_Agricola[Producto])*(Económico!$F$5=Comercial_Agricola[Campaña])*(Comercial_Agricola[Económico $Constantes]))*(IF($F$72="Tonelada",1/SUM(BD$91:BD$92),1)),0)</f>
        <v>0</v>
      </c>
      <c r="BE85" s="10">
        <f>IFERROR(SUMPRODUCT((Tabla28314251[[#This Row],[Cuentas Contables]]=Comercial_Agricola[Cuenta Contable])*(BE$74=Comercial_Agricola[Producto])*(Económico!$F$5=Comercial_Agricola[Campaña])*(Comercial_Agricola[Económico $Constantes]))*(IF($F$72="Tonelada",1/SUM(BE$91:BE$92),1)),0)</f>
        <v>0</v>
      </c>
      <c r="BF85" s="10">
        <f>IFERROR(SUMPRODUCT((Tabla28314251[[#This Row],[Cuentas Contables]]=Comercial_Agricola[Cuenta Contable])*(BF$74=Comercial_Agricola[Producto])*(Económico!$F$5=Comercial_Agricola[Campaña])*(Comercial_Agricola[Económico $Constantes]))*(IF($F$72="Tonelada",1/SUM(BF$91:BF$92),1)),0)</f>
        <v>0</v>
      </c>
      <c r="BG85" s="10">
        <f>IFERROR(SUMPRODUCT((Tabla28314251[[#This Row],[Cuentas Contables]]=Comercial_Agricola[Cuenta Contable])*(BG$74=Comercial_Agricola[Producto])*(Económico!$F$5=Comercial_Agricola[Campaña])*(Comercial_Agricola[Económico $Constantes]))*(IF($F$72="Tonelada",1/SUM(BG$91:BG$92),1)),0)</f>
        <v>0</v>
      </c>
      <c r="BH85" s="10">
        <f>IFERROR(SUMPRODUCT((Tabla28314251[[#This Row],[Cuentas Contables]]=Comercial_Agricola[Cuenta Contable])*(BH$74=Comercial_Agricola[Producto])*(Económico!$F$5=Comercial_Agricola[Campaña])*(Comercial_Agricola[Económico $Constantes]))*(IF($F$72="Tonelada",1/SUM(BH$91:BH$92),1)),0)</f>
        <v>0</v>
      </c>
      <c r="BI85" s="10">
        <f>IFERROR(SUMPRODUCT((Tabla28314251[[#This Row],[Cuentas Contables]]=Comercial_Agricola[Cuenta Contable])*(BI$74=Comercial_Agricola[Producto])*(Económico!$F$5=Comercial_Agricola[Campaña])*(Comercial_Agricola[Económico $Constantes]))*(IF($F$72="Tonelada",1/SUM(BI$91:BI$92),1)),0)</f>
        <v>0</v>
      </c>
    </row>
    <row r="86" spans="2:61" x14ac:dyDescent="0.25">
      <c r="B86" s="192"/>
      <c r="D86" s="245">
        <f>IFERROR(MATCH(Tabla2831[[#This Row],[Cuentas Contables]],Comercializacion_Granos_Cuentas[Cuenta Contable],0),0)</f>
        <v>12</v>
      </c>
      <c r="E86" s="32" t="str">
        <f>Configuración!AC16</f>
        <v>Comisión</v>
      </c>
      <c r="F86" s="10">
        <f>IFERROR(SUMPRODUCT((Tabla2831[[#This Row],[Cuentas Contables]]=Comercial_Agricola[Cuenta Contable])*(F$74=Comercial_Agricola[Producto])*(Económico!#REF!=Comercial_Agricola[Campaña])*(Comercial_Agricola[Económico U$S Dólares]))*(IF($F$72="Tonelada",1/SUM(F$91:F$92),1)),0)</f>
        <v>0</v>
      </c>
      <c r="G86" s="10">
        <f>IFERROR(SUMPRODUCT((Tabla2831[[#This Row],[Cuentas Contables]]=Comercial_Agricola[Cuenta Contable])*(G$74=Comercial_Agricola[Producto])*(Económico!#REF!=Comercial_Agricola[Campaña])*(Comercial_Agricola[Económico U$S Dólares]))*(IF($F$72="Tonelada",1/SUM(G$91:G$92),1)),0)</f>
        <v>0</v>
      </c>
      <c r="H86" s="10">
        <f>IFERROR(SUMPRODUCT((Tabla2831[[#This Row],[Cuentas Contables]]=Comercial_Agricola[Cuenta Contable])*(H$74=Comercial_Agricola[Producto])*(Económico!#REF!=Comercial_Agricola[Campaña])*(Comercial_Agricola[Económico U$S Dólares]))*(IF($F$72="Tonelada",1/SUM(H$91:H$92),1)),0)</f>
        <v>0</v>
      </c>
      <c r="I86" s="10">
        <f>IFERROR(SUMPRODUCT((Tabla2831[[#This Row],[Cuentas Contables]]=Comercial_Agricola[Cuenta Contable])*(I$74=Comercial_Agricola[Producto])*(Económico!#REF!=Comercial_Agricola[Campaña])*(Comercial_Agricola[Económico U$S Dólares]))*(IF($F$72="Tonelada",1/SUM(I$91:I$92),1)),0)</f>
        <v>0</v>
      </c>
      <c r="J86" s="10">
        <f>IFERROR(SUMPRODUCT((Tabla2831[[#This Row],[Cuentas Contables]]=Comercial_Agricola[Cuenta Contable])*(J$74=Comercial_Agricola[Producto])*(Económico!#REF!=Comercial_Agricola[Campaña])*(Comercial_Agricola[Económico U$S Dólares]))*(IF($F$72="Tonelada",1/SUM(J$91:J$92),1)),0)</f>
        <v>0</v>
      </c>
      <c r="K86" s="10">
        <f>IFERROR(SUMPRODUCT((Tabla2831[[#This Row],[Cuentas Contables]]=Comercial_Agricola[Cuenta Contable])*(K$74=Comercial_Agricola[Producto])*(Económico!#REF!=Comercial_Agricola[Campaña])*(Comercial_Agricola[Económico U$S Dólares]))*(IF($F$72="Tonelada",1/SUM(K$91:K$92),1)),0)</f>
        <v>0</v>
      </c>
      <c r="L86" s="10">
        <f>IFERROR(SUMPRODUCT((Tabla2831[[#This Row],[Cuentas Contables]]=Comercial_Agricola[Cuenta Contable])*(L$74=Comercial_Agricola[Producto])*(Económico!#REF!=Comercial_Agricola[Campaña])*(Comercial_Agricola[Económico U$S Dólares]))*(IF($F$72="Tonelada",1/SUM(L$91:L$92),1)),0)</f>
        <v>0</v>
      </c>
      <c r="M86" s="10">
        <f>IFERROR(SUMPRODUCT((Tabla2831[[#This Row],[Cuentas Contables]]=Comercial_Agricola[Cuenta Contable])*(M$74=Comercial_Agricola[Producto])*(Económico!#REF!=Comercial_Agricola[Campaña])*(Comercial_Agricola[Económico U$S Dólares]))*(IF($F$72="Tonelada",1/SUM(M$91:M$92),1)),0)</f>
        <v>0</v>
      </c>
      <c r="N86" s="10">
        <f>IFERROR(SUMPRODUCT((Tabla2831[[#This Row],[Cuentas Contables]]=Comercial_Agricola[Cuenta Contable])*(N$74=Comercial_Agricola[Producto])*(Económico!#REF!=Comercial_Agricola[Campaña])*(Comercial_Agricola[Económico U$S Dólares]))*(IF($F$72="Tonelada",1/SUM(N$91:N$92),1)),0)</f>
        <v>0</v>
      </c>
      <c r="O86" s="10">
        <f>IFERROR(SUMPRODUCT((Tabla2831[[#This Row],[Cuentas Contables]]=Comercial_Agricola[Cuenta Contable])*(O$74=Comercial_Agricola[Producto])*(Económico!#REF!=Comercial_Agricola[Campaña])*(Comercial_Agricola[Económico U$S Dólares]))*(IF($F$72="Tonelada",1/SUM(O$91:O$92),1)),0)</f>
        <v>0</v>
      </c>
      <c r="P86" s="10">
        <f>IFERROR(SUMPRODUCT((Tabla2831[[#This Row],[Cuentas Contables]]=Comercial_Agricola[Cuenta Contable])*(P$74=Comercial_Agricola[Producto])*(Económico!#REF!=Comercial_Agricola[Campaña])*(Comercial_Agricola[Económico U$S Dólares]))*(IF($F$72="Tonelada",1/SUM(P$91:P$92),1)),0)</f>
        <v>0</v>
      </c>
      <c r="Q86" s="10">
        <f>IFERROR(SUMPRODUCT((Tabla2831[[#This Row],[Cuentas Contables]]=Comercial_Agricola[Cuenta Contable])*(Q$74=Comercial_Agricola[Producto])*(Económico!#REF!=Comercial_Agricola[Campaña])*(Comercial_Agricola[Económico U$S Dólares]))*(IF($F$72="Tonelada",1/SUM(Q$91:Q$92),1)),0)</f>
        <v>0</v>
      </c>
      <c r="Z86" s="245">
        <f>IFERROR(MATCH(Tabla283142[[#This Row],[Cuentas Contables]],Comercializacion_Granos_Cuentas[Cuenta Contable],0),0)</f>
        <v>12</v>
      </c>
      <c r="AA86" s="32" t="str">
        <f>Tabla2831[[#This Row],[Cuentas Contables]]</f>
        <v>Comisión</v>
      </c>
      <c r="AB86" s="10">
        <f>IFERROR(SUMPRODUCT((Tabla283142[[#This Row],[Cuentas Contables]]=Comercial_Agricola[Cuenta Contable])*(AB$74=Comercial_Agricola[Producto])*(Económico!#REF!=Comercial_Agricola[Campaña])*(Comercial_Agricola[Económico $Corrientes]))*(IF($F$72="Tonelada",1/SUM(AB$91:AB$92),1)),0)</f>
        <v>0</v>
      </c>
      <c r="AC86" s="10">
        <f>IFERROR(SUMPRODUCT((Tabla283142[[#This Row],[Cuentas Contables]]=Comercial_Agricola[Cuenta Contable])*(AC$74=Comercial_Agricola[Producto])*(Económico!#REF!=Comercial_Agricola[Campaña])*(Comercial_Agricola[Económico $Corrientes]))*(IF($F$72="Tonelada",1/SUM(AC$91:AC$92),1)),0)</f>
        <v>0</v>
      </c>
      <c r="AD86" s="10">
        <f>IFERROR(SUMPRODUCT((Tabla283142[[#This Row],[Cuentas Contables]]=Comercial_Agricola[Cuenta Contable])*(AD$74=Comercial_Agricola[Producto])*(Económico!#REF!=Comercial_Agricola[Campaña])*(Comercial_Agricola[Económico $Corrientes]))*(IF($F$72="Tonelada",1/SUM(AD$91:AD$92),1)),0)</f>
        <v>0</v>
      </c>
      <c r="AE86" s="10">
        <f>IFERROR(SUMPRODUCT((Tabla283142[[#This Row],[Cuentas Contables]]=Comercial_Agricola[Cuenta Contable])*(AE$74=Comercial_Agricola[Producto])*(Económico!#REF!=Comercial_Agricola[Campaña])*(Comercial_Agricola[Económico $Corrientes]))*(IF($F$72="Tonelada",1/SUM(AE$91:AE$92),1)),0)</f>
        <v>0</v>
      </c>
      <c r="AF86" s="10">
        <f>IFERROR(SUMPRODUCT((Tabla283142[[#This Row],[Cuentas Contables]]=Comercial_Agricola[Cuenta Contable])*(AF$74=Comercial_Agricola[Producto])*(Económico!#REF!=Comercial_Agricola[Campaña])*(Comercial_Agricola[Económico $Corrientes]))*(IF($F$72="Tonelada",1/SUM(AF$91:AF$92),1)),0)</f>
        <v>0</v>
      </c>
      <c r="AG86" s="10">
        <f>IFERROR(SUMPRODUCT((Tabla283142[[#This Row],[Cuentas Contables]]=Comercial_Agricola[Cuenta Contable])*(AG$74=Comercial_Agricola[Producto])*(Económico!#REF!=Comercial_Agricola[Campaña])*(Comercial_Agricola[Económico $Corrientes]))*(IF($F$72="Tonelada",1/SUM(AG$91:AG$92),1)),0)</f>
        <v>0</v>
      </c>
      <c r="AH86" s="10">
        <f>IFERROR(SUMPRODUCT((Tabla283142[[#This Row],[Cuentas Contables]]=Comercial_Agricola[Cuenta Contable])*(AH$74=Comercial_Agricola[Producto])*(Económico!#REF!=Comercial_Agricola[Campaña])*(Comercial_Agricola[Económico $Corrientes]))*(IF($F$72="Tonelada",1/SUM(AH$91:AH$92),1)),0)</f>
        <v>0</v>
      </c>
      <c r="AI86" s="10">
        <f>IFERROR(SUMPRODUCT((Tabla283142[[#This Row],[Cuentas Contables]]=Comercial_Agricola[Cuenta Contable])*(AI$74=Comercial_Agricola[Producto])*(Económico!#REF!=Comercial_Agricola[Campaña])*(Comercial_Agricola[Económico $Corrientes]))*(IF($F$72="Tonelada",1/SUM(AI$91:AI$92),1)),0)</f>
        <v>0</v>
      </c>
      <c r="AJ86" s="10">
        <f>IFERROR(SUMPRODUCT((Tabla283142[[#This Row],[Cuentas Contables]]=Comercial_Agricola[Cuenta Contable])*(AJ$74=Comercial_Agricola[Producto])*(Económico!#REF!=Comercial_Agricola[Campaña])*(Comercial_Agricola[Económico $Corrientes]))*(IF($F$72="Tonelada",1/SUM(AJ$91:AJ$92),1)),0)</f>
        <v>0</v>
      </c>
      <c r="AK86" s="10">
        <f>IFERROR(SUMPRODUCT((Tabla283142[[#This Row],[Cuentas Contables]]=Comercial_Agricola[Cuenta Contable])*(AK$74=Comercial_Agricola[Producto])*(Económico!#REF!=Comercial_Agricola[Campaña])*(Comercial_Agricola[Económico $Corrientes]))*(IF($F$72="Tonelada",1/SUM(AK$91:AK$92),1)),0)</f>
        <v>0</v>
      </c>
      <c r="AL86" s="10">
        <f>IFERROR(SUMPRODUCT((Tabla283142[[#This Row],[Cuentas Contables]]=Comercial_Agricola[Cuenta Contable])*(AL$74=Comercial_Agricola[Producto])*(Económico!#REF!=Comercial_Agricola[Campaña])*(Comercial_Agricola[Económico $Corrientes]))*(IF($F$72="Tonelada",1/SUM(AL$91:AL$92),1)),0)</f>
        <v>0</v>
      </c>
      <c r="AM86" s="10">
        <f>IFERROR(SUMPRODUCT((Tabla283142[[#This Row],[Cuentas Contables]]=Comercial_Agricola[Cuenta Contable])*(AM$74=Comercial_Agricola[Producto])*(Económico!#REF!=Comercial_Agricola[Campaña])*(Comercial_Agricola[Económico $Corrientes]))*(IF($F$72="Tonelada",1/SUM(AM$91:AM$92),1)),0)</f>
        <v>0</v>
      </c>
      <c r="AV86" s="245">
        <f>IFERROR(MATCH(Tabla28314251[[#This Row],[Cuentas Contables]],Comercializacion_Granos_Cuentas[Cuenta Contable],0),0)</f>
        <v>12</v>
      </c>
      <c r="AW86" s="32" t="str">
        <f>Tabla2831[[#This Row],[Cuentas Contables]]</f>
        <v>Comisión</v>
      </c>
      <c r="AX86" s="10">
        <f>IFERROR(SUMPRODUCT((Tabla28314251[[#This Row],[Cuentas Contables]]=Comercial_Agricola[Cuenta Contable])*(AX$74=Comercial_Agricola[Producto])*(Económico!#REF!=Comercial_Agricola[Campaña])*(Comercial_Agricola[Económico $Constantes]))*(IF($F$72="Tonelada",1/SUM(AX$91:AX$92),1)),0)</f>
        <v>0</v>
      </c>
      <c r="AY86" s="10">
        <f>IFERROR(SUMPRODUCT((Tabla28314251[[#This Row],[Cuentas Contables]]=Comercial_Agricola[Cuenta Contable])*(AY$74=Comercial_Agricola[Producto])*(Económico!#REF!=Comercial_Agricola[Campaña])*(Comercial_Agricola[Económico $Constantes]))*(IF($F$72="Tonelada",1/SUM(AY$91:AY$92),1)),0)</f>
        <v>0</v>
      </c>
      <c r="AZ86" s="10">
        <f>IFERROR(SUMPRODUCT((Tabla28314251[[#This Row],[Cuentas Contables]]=Comercial_Agricola[Cuenta Contable])*(AZ$74=Comercial_Agricola[Producto])*(Económico!#REF!=Comercial_Agricola[Campaña])*(Comercial_Agricola[Económico $Constantes]))*(IF($F$72="Tonelada",1/SUM(AZ$91:AZ$92),1)),0)</f>
        <v>0</v>
      </c>
      <c r="BA86" s="10">
        <f>IFERROR(SUMPRODUCT((Tabla28314251[[#This Row],[Cuentas Contables]]=Comercial_Agricola[Cuenta Contable])*(BA$74=Comercial_Agricola[Producto])*(Económico!#REF!=Comercial_Agricola[Campaña])*(Comercial_Agricola[Económico $Constantes]))*(IF($F$72="Tonelada",1/SUM(BA$91:BA$92),1)),0)</f>
        <v>0</v>
      </c>
      <c r="BB86" s="10">
        <f>IFERROR(SUMPRODUCT((Tabla28314251[[#This Row],[Cuentas Contables]]=Comercial_Agricola[Cuenta Contable])*(BB$74=Comercial_Agricola[Producto])*(Económico!#REF!=Comercial_Agricola[Campaña])*(Comercial_Agricola[Económico $Constantes]))*(IF($F$72="Tonelada",1/SUM(BB$91:BB$92),1)),0)</f>
        <v>0</v>
      </c>
      <c r="BC86" s="10">
        <f>IFERROR(SUMPRODUCT((Tabla28314251[[#This Row],[Cuentas Contables]]=Comercial_Agricola[Cuenta Contable])*(BC$74=Comercial_Agricola[Producto])*(Económico!#REF!=Comercial_Agricola[Campaña])*(Comercial_Agricola[Económico $Constantes]))*(IF($F$72="Tonelada",1/SUM(BC$91:BC$92),1)),0)</f>
        <v>0</v>
      </c>
      <c r="BD86" s="10">
        <f>IFERROR(SUMPRODUCT((Tabla28314251[[#This Row],[Cuentas Contables]]=Comercial_Agricola[Cuenta Contable])*(BD$74=Comercial_Agricola[Producto])*(Económico!#REF!=Comercial_Agricola[Campaña])*(Comercial_Agricola[Económico $Constantes]))*(IF($F$72="Tonelada",1/SUM(BD$91:BD$92),1)),0)</f>
        <v>0</v>
      </c>
      <c r="BE86" s="10">
        <f>IFERROR(SUMPRODUCT((Tabla28314251[[#This Row],[Cuentas Contables]]=Comercial_Agricola[Cuenta Contable])*(BE$74=Comercial_Agricola[Producto])*(Económico!#REF!=Comercial_Agricola[Campaña])*(Comercial_Agricola[Económico $Constantes]))*(IF($F$72="Tonelada",1/SUM(BE$91:BE$92),1)),0)</f>
        <v>0</v>
      </c>
      <c r="BF86" s="10">
        <f>IFERROR(SUMPRODUCT((Tabla28314251[[#This Row],[Cuentas Contables]]=Comercial_Agricola[Cuenta Contable])*(BF$74=Comercial_Agricola[Producto])*(Económico!#REF!=Comercial_Agricola[Campaña])*(Comercial_Agricola[Económico $Constantes]))*(IF($F$72="Tonelada",1/SUM(BF$91:BF$92),1)),0)</f>
        <v>0</v>
      </c>
      <c r="BG86" s="10">
        <f>IFERROR(SUMPRODUCT((Tabla28314251[[#This Row],[Cuentas Contables]]=Comercial_Agricola[Cuenta Contable])*(BG$74=Comercial_Agricola[Producto])*(Económico!#REF!=Comercial_Agricola[Campaña])*(Comercial_Agricola[Económico $Constantes]))*(IF($F$72="Tonelada",1/SUM(BG$91:BG$92),1)),0)</f>
        <v>0</v>
      </c>
      <c r="BH86" s="10">
        <f>IFERROR(SUMPRODUCT((Tabla28314251[[#This Row],[Cuentas Contables]]=Comercial_Agricola[Cuenta Contable])*(BH$74=Comercial_Agricola[Producto])*(Económico!#REF!=Comercial_Agricola[Campaña])*(Comercial_Agricola[Económico $Constantes]))*(IF($F$72="Tonelada",1/SUM(BH$91:BH$92),1)),0)</f>
        <v>0</v>
      </c>
      <c r="BI86" s="10">
        <f>IFERROR(SUMPRODUCT((Tabla28314251[[#This Row],[Cuentas Contables]]=Comercial_Agricola[Cuenta Contable])*(BI$74=Comercial_Agricola[Producto])*(Económico!#REF!=Comercial_Agricola[Campaña])*(Comercial_Agricola[Económico $Constantes]))*(IF($F$72="Tonelada",1/SUM(BI$91:BI$92),1)),0)</f>
        <v>0</v>
      </c>
    </row>
    <row r="87" spans="2:61" x14ac:dyDescent="0.25">
      <c r="D87" s="245">
        <f>IFERROR(MATCH(Tabla2831[[#This Row],[Cuentas Contables]],Comercializacion_Granos_Cuentas[Cuenta Contable],0),0)</f>
        <v>13</v>
      </c>
      <c r="E87" s="32" t="str">
        <f>Configuración!AC17</f>
        <v>Fletes Propios</v>
      </c>
      <c r="F87" s="10">
        <f>IFERROR(SUMPRODUCT((Tabla2831[[#This Row],[Cuentas Contables]]=Comercial_Agricola[Cuenta Contable])*(F$74=Comercial_Agricola[Producto])*(Económico!$F$5=Comercial_Agricola[Campaña])*(Comercial_Agricola[Económico U$S Dólares]))*(IF($F$72="Tonelada",1/SUM(F$91:F$92),1)),0)</f>
        <v>0</v>
      </c>
      <c r="G87" s="10">
        <f>IFERROR(SUMPRODUCT((Tabla2831[[#This Row],[Cuentas Contables]]=Comercial_Agricola[Cuenta Contable])*(G$74=Comercial_Agricola[Producto])*(Económico!$F$5=Comercial_Agricola[Campaña])*(Comercial_Agricola[Económico U$S Dólares]))*(IF($F$72="Tonelada",1/SUM(G$91:G$92),1)),0)</f>
        <v>0</v>
      </c>
      <c r="H87" s="10">
        <f>IFERROR(SUMPRODUCT((Tabla2831[[#This Row],[Cuentas Contables]]=Comercial_Agricola[Cuenta Contable])*(H$74=Comercial_Agricola[Producto])*(Económico!$F$5=Comercial_Agricola[Campaña])*(Comercial_Agricola[Económico U$S Dólares]))*(IF($F$72="Tonelada",1/SUM(H$91:H$92),1)),0)</f>
        <v>0</v>
      </c>
      <c r="I87" s="10">
        <f>IFERROR(SUMPRODUCT((Tabla2831[[#This Row],[Cuentas Contables]]=Comercial_Agricola[Cuenta Contable])*(I$74=Comercial_Agricola[Producto])*(Económico!$F$5=Comercial_Agricola[Campaña])*(Comercial_Agricola[Económico U$S Dólares]))*(IF($F$72="Tonelada",1/SUM(I$91:I$92),1)),0)</f>
        <v>0</v>
      </c>
      <c r="J87" s="10">
        <f>IFERROR(SUMPRODUCT((Tabla2831[[#This Row],[Cuentas Contables]]=Comercial_Agricola[Cuenta Contable])*(J$74=Comercial_Agricola[Producto])*(Económico!$F$5=Comercial_Agricola[Campaña])*(Comercial_Agricola[Económico U$S Dólares]))*(IF($F$72="Tonelada",1/SUM(J$91:J$92),1)),0)</f>
        <v>0</v>
      </c>
      <c r="K87" s="10">
        <f>IFERROR(SUMPRODUCT((Tabla2831[[#This Row],[Cuentas Contables]]=Comercial_Agricola[Cuenta Contable])*(K$74=Comercial_Agricola[Producto])*(Económico!$F$5=Comercial_Agricola[Campaña])*(Comercial_Agricola[Económico U$S Dólares]))*(IF($F$72="Tonelada",1/SUM(K$91:K$92),1)),0)</f>
        <v>0</v>
      </c>
      <c r="L87" s="10">
        <f>IFERROR(SUMPRODUCT((Tabla2831[[#This Row],[Cuentas Contables]]=Comercial_Agricola[Cuenta Contable])*(L$74=Comercial_Agricola[Producto])*(Económico!$F$5=Comercial_Agricola[Campaña])*(Comercial_Agricola[Económico U$S Dólares]))*(IF($F$72="Tonelada",1/SUM(L$91:L$92),1)),0)</f>
        <v>0</v>
      </c>
      <c r="M87" s="10">
        <f>IFERROR(SUMPRODUCT((Tabla2831[[#This Row],[Cuentas Contables]]=Comercial_Agricola[Cuenta Contable])*(M$74=Comercial_Agricola[Producto])*(Económico!$F$5=Comercial_Agricola[Campaña])*(Comercial_Agricola[Económico U$S Dólares]))*(IF($F$72="Tonelada",1/SUM(M$91:M$92),1)),0)</f>
        <v>0</v>
      </c>
      <c r="N87" s="10">
        <f>IFERROR(SUMPRODUCT((Tabla2831[[#This Row],[Cuentas Contables]]=Comercial_Agricola[Cuenta Contable])*(N$74=Comercial_Agricola[Producto])*(Económico!$F$5=Comercial_Agricola[Campaña])*(Comercial_Agricola[Económico U$S Dólares]))*(IF($F$72="Tonelada",1/SUM(N$91:N$92),1)),0)</f>
        <v>0</v>
      </c>
      <c r="O87" s="10">
        <f>IFERROR(SUMPRODUCT((Tabla2831[[#This Row],[Cuentas Contables]]=Comercial_Agricola[Cuenta Contable])*(O$74=Comercial_Agricola[Producto])*(Económico!$F$5=Comercial_Agricola[Campaña])*(Comercial_Agricola[Económico U$S Dólares]))*(IF($F$72="Tonelada",1/SUM(O$91:O$92),1)),0)</f>
        <v>0</v>
      </c>
      <c r="P87" s="10">
        <f>IFERROR(SUMPRODUCT((Tabla2831[[#This Row],[Cuentas Contables]]=Comercial_Agricola[Cuenta Contable])*(P$74=Comercial_Agricola[Producto])*(Económico!$F$5=Comercial_Agricola[Campaña])*(Comercial_Agricola[Económico U$S Dólares]))*(IF($F$72="Tonelada",1/SUM(P$91:P$92),1)),0)</f>
        <v>0</v>
      </c>
      <c r="Q87" s="10">
        <f>IFERROR(SUMPRODUCT((Tabla2831[[#This Row],[Cuentas Contables]]=Comercial_Agricola[Cuenta Contable])*(Q$74=Comercial_Agricola[Producto])*(Económico!$F$5=Comercial_Agricola[Campaña])*(Comercial_Agricola[Económico U$S Dólares]))*(IF($F$72="Tonelada",1/SUM(Q$91:Q$92),1)),0)</f>
        <v>0</v>
      </c>
      <c r="Z87" s="245">
        <f>IFERROR(MATCH(Tabla283142[[#This Row],[Cuentas Contables]],Comercializacion_Granos_Cuentas[Cuenta Contable],0),0)</f>
        <v>13</v>
      </c>
      <c r="AA87" s="32" t="str">
        <f>Tabla2831[[#This Row],[Cuentas Contables]]</f>
        <v>Fletes Propios</v>
      </c>
      <c r="AB87" s="10">
        <f>IFERROR(SUMPRODUCT((Tabla283142[[#This Row],[Cuentas Contables]]=Comercial_Agricola[Cuenta Contable])*(AB$74=Comercial_Agricola[Producto])*(Económico!$F$5=Comercial_Agricola[Campaña])*(Comercial_Agricola[Económico $Corrientes]))*(IF($F$72="Tonelada",1/SUM(AB$91:AB$92),1)),0)</f>
        <v>0</v>
      </c>
      <c r="AC87" s="10">
        <f>IFERROR(SUMPRODUCT((Tabla283142[[#This Row],[Cuentas Contables]]=Comercial_Agricola[Cuenta Contable])*(AC$74=Comercial_Agricola[Producto])*(Económico!$F$5=Comercial_Agricola[Campaña])*(Comercial_Agricola[Económico $Corrientes]))*(IF($F$72="Tonelada",1/SUM(AC$91:AC$92),1)),0)</f>
        <v>0</v>
      </c>
      <c r="AD87" s="10">
        <f>IFERROR(SUMPRODUCT((Tabla283142[[#This Row],[Cuentas Contables]]=Comercial_Agricola[Cuenta Contable])*(AD$74=Comercial_Agricola[Producto])*(Económico!$F$5=Comercial_Agricola[Campaña])*(Comercial_Agricola[Económico $Corrientes]))*(IF($F$72="Tonelada",1/SUM(AD$91:AD$92),1)),0)</f>
        <v>0</v>
      </c>
      <c r="AE87" s="10">
        <f>IFERROR(SUMPRODUCT((Tabla283142[[#This Row],[Cuentas Contables]]=Comercial_Agricola[Cuenta Contable])*(AE$74=Comercial_Agricola[Producto])*(Económico!$F$5=Comercial_Agricola[Campaña])*(Comercial_Agricola[Económico $Corrientes]))*(IF($F$72="Tonelada",1/SUM(AE$91:AE$92),1)),0)</f>
        <v>0</v>
      </c>
      <c r="AF87" s="10">
        <f>IFERROR(SUMPRODUCT((Tabla283142[[#This Row],[Cuentas Contables]]=Comercial_Agricola[Cuenta Contable])*(AF$74=Comercial_Agricola[Producto])*(Económico!$F$5=Comercial_Agricola[Campaña])*(Comercial_Agricola[Económico $Corrientes]))*(IF($F$72="Tonelada",1/SUM(AF$91:AF$92),1)),0)</f>
        <v>0</v>
      </c>
      <c r="AG87" s="10">
        <f>IFERROR(SUMPRODUCT((Tabla283142[[#This Row],[Cuentas Contables]]=Comercial_Agricola[Cuenta Contable])*(AG$74=Comercial_Agricola[Producto])*(Económico!$F$5=Comercial_Agricola[Campaña])*(Comercial_Agricola[Económico $Corrientes]))*(IF($F$72="Tonelada",1/SUM(AG$91:AG$92),1)),0)</f>
        <v>0</v>
      </c>
      <c r="AH87" s="10">
        <f>IFERROR(SUMPRODUCT((Tabla283142[[#This Row],[Cuentas Contables]]=Comercial_Agricola[Cuenta Contable])*(AH$74=Comercial_Agricola[Producto])*(Económico!$F$5=Comercial_Agricola[Campaña])*(Comercial_Agricola[Económico $Corrientes]))*(IF($F$72="Tonelada",1/SUM(AH$91:AH$92),1)),0)</f>
        <v>0</v>
      </c>
      <c r="AI87" s="10">
        <f>IFERROR(SUMPRODUCT((Tabla283142[[#This Row],[Cuentas Contables]]=Comercial_Agricola[Cuenta Contable])*(AI$74=Comercial_Agricola[Producto])*(Económico!$F$5=Comercial_Agricola[Campaña])*(Comercial_Agricola[Económico $Corrientes]))*(IF($F$72="Tonelada",1/SUM(AI$91:AI$92),1)),0)</f>
        <v>0</v>
      </c>
      <c r="AJ87" s="10">
        <f>IFERROR(SUMPRODUCT((Tabla283142[[#This Row],[Cuentas Contables]]=Comercial_Agricola[Cuenta Contable])*(AJ$74=Comercial_Agricola[Producto])*(Económico!$F$5=Comercial_Agricola[Campaña])*(Comercial_Agricola[Económico $Corrientes]))*(IF($F$72="Tonelada",1/SUM(AJ$91:AJ$92),1)),0)</f>
        <v>0</v>
      </c>
      <c r="AK87" s="10">
        <f>IFERROR(SUMPRODUCT((Tabla283142[[#This Row],[Cuentas Contables]]=Comercial_Agricola[Cuenta Contable])*(AK$74=Comercial_Agricola[Producto])*(Económico!$F$5=Comercial_Agricola[Campaña])*(Comercial_Agricola[Económico $Corrientes]))*(IF($F$72="Tonelada",1/SUM(AK$91:AK$92),1)),0)</f>
        <v>0</v>
      </c>
      <c r="AL87" s="10">
        <f>IFERROR(SUMPRODUCT((Tabla283142[[#This Row],[Cuentas Contables]]=Comercial_Agricola[Cuenta Contable])*(AL$74=Comercial_Agricola[Producto])*(Económico!$F$5=Comercial_Agricola[Campaña])*(Comercial_Agricola[Económico $Corrientes]))*(IF($F$72="Tonelada",1/SUM(AL$91:AL$92),1)),0)</f>
        <v>0</v>
      </c>
      <c r="AM87" s="10">
        <f>IFERROR(SUMPRODUCT((Tabla283142[[#This Row],[Cuentas Contables]]=Comercial_Agricola[Cuenta Contable])*(AM$74=Comercial_Agricola[Producto])*(Económico!$F$5=Comercial_Agricola[Campaña])*(Comercial_Agricola[Económico $Corrientes]))*(IF($F$72="Tonelada",1/SUM(AM$91:AM$92),1)),0)</f>
        <v>0</v>
      </c>
      <c r="AV87" s="245">
        <f>IFERROR(MATCH(Tabla28314251[[#This Row],[Cuentas Contables]],Comercializacion_Granos_Cuentas[Cuenta Contable],0),0)</f>
        <v>13</v>
      </c>
      <c r="AW87" s="32" t="str">
        <f>Tabla2831[[#This Row],[Cuentas Contables]]</f>
        <v>Fletes Propios</v>
      </c>
      <c r="AX87" s="10">
        <f>IFERROR(SUMPRODUCT((Tabla28314251[[#This Row],[Cuentas Contables]]=Comercial_Agricola[Cuenta Contable])*(AX$74=Comercial_Agricola[Producto])*(Económico!$F$5=Comercial_Agricola[Campaña])*(Comercial_Agricola[Económico $Constantes]))*(IF($F$72="Tonelada",1/SUM(AX$91:AX$92),1)),0)</f>
        <v>0</v>
      </c>
      <c r="AY87" s="10">
        <f>IFERROR(SUMPRODUCT((Tabla28314251[[#This Row],[Cuentas Contables]]=Comercial_Agricola[Cuenta Contable])*(AY$74=Comercial_Agricola[Producto])*(Económico!$F$5=Comercial_Agricola[Campaña])*(Comercial_Agricola[Económico $Constantes]))*(IF($F$72="Tonelada",1/SUM(AY$91:AY$92),1)),0)</f>
        <v>0</v>
      </c>
      <c r="AZ87" s="10">
        <f>IFERROR(SUMPRODUCT((Tabla28314251[[#This Row],[Cuentas Contables]]=Comercial_Agricola[Cuenta Contable])*(AZ$74=Comercial_Agricola[Producto])*(Económico!$F$5=Comercial_Agricola[Campaña])*(Comercial_Agricola[Económico $Constantes]))*(IF($F$72="Tonelada",1/SUM(AZ$91:AZ$92),1)),0)</f>
        <v>0</v>
      </c>
      <c r="BA87" s="10">
        <f>IFERROR(SUMPRODUCT((Tabla28314251[[#This Row],[Cuentas Contables]]=Comercial_Agricola[Cuenta Contable])*(BA$74=Comercial_Agricola[Producto])*(Económico!$F$5=Comercial_Agricola[Campaña])*(Comercial_Agricola[Económico $Constantes]))*(IF($F$72="Tonelada",1/SUM(BA$91:BA$92),1)),0)</f>
        <v>0</v>
      </c>
      <c r="BB87" s="10">
        <f>IFERROR(SUMPRODUCT((Tabla28314251[[#This Row],[Cuentas Contables]]=Comercial_Agricola[Cuenta Contable])*(BB$74=Comercial_Agricola[Producto])*(Económico!$F$5=Comercial_Agricola[Campaña])*(Comercial_Agricola[Económico $Constantes]))*(IF($F$72="Tonelada",1/SUM(BB$91:BB$92),1)),0)</f>
        <v>0</v>
      </c>
      <c r="BC87" s="10">
        <f>IFERROR(SUMPRODUCT((Tabla28314251[[#This Row],[Cuentas Contables]]=Comercial_Agricola[Cuenta Contable])*(BC$74=Comercial_Agricola[Producto])*(Económico!$F$5=Comercial_Agricola[Campaña])*(Comercial_Agricola[Económico $Constantes]))*(IF($F$72="Tonelada",1/SUM(BC$91:BC$92),1)),0)</f>
        <v>0</v>
      </c>
      <c r="BD87" s="10">
        <f>IFERROR(SUMPRODUCT((Tabla28314251[[#This Row],[Cuentas Contables]]=Comercial_Agricola[Cuenta Contable])*(BD$74=Comercial_Agricola[Producto])*(Económico!$F$5=Comercial_Agricola[Campaña])*(Comercial_Agricola[Económico $Constantes]))*(IF($F$72="Tonelada",1/SUM(BD$91:BD$92),1)),0)</f>
        <v>0</v>
      </c>
      <c r="BE87" s="10">
        <f>IFERROR(SUMPRODUCT((Tabla28314251[[#This Row],[Cuentas Contables]]=Comercial_Agricola[Cuenta Contable])*(BE$74=Comercial_Agricola[Producto])*(Económico!$F$5=Comercial_Agricola[Campaña])*(Comercial_Agricola[Económico $Constantes]))*(IF($F$72="Tonelada",1/SUM(BE$91:BE$92),1)),0)</f>
        <v>0</v>
      </c>
      <c r="BF87" s="10">
        <f>IFERROR(SUMPRODUCT((Tabla28314251[[#This Row],[Cuentas Contables]]=Comercial_Agricola[Cuenta Contable])*(BF$74=Comercial_Agricola[Producto])*(Económico!$F$5=Comercial_Agricola[Campaña])*(Comercial_Agricola[Económico $Constantes]))*(IF($F$72="Tonelada",1/SUM(BF$91:BF$92),1)),0)</f>
        <v>0</v>
      </c>
      <c r="BG87" s="10">
        <f>IFERROR(SUMPRODUCT((Tabla28314251[[#This Row],[Cuentas Contables]]=Comercial_Agricola[Cuenta Contable])*(BG$74=Comercial_Agricola[Producto])*(Económico!$F$5=Comercial_Agricola[Campaña])*(Comercial_Agricola[Económico $Constantes]))*(IF($F$72="Tonelada",1/SUM(BG$91:BG$92),1)),0)</f>
        <v>0</v>
      </c>
      <c r="BH87" s="10">
        <f>IFERROR(SUMPRODUCT((Tabla28314251[[#This Row],[Cuentas Contables]]=Comercial_Agricola[Cuenta Contable])*(BH$74=Comercial_Agricola[Producto])*(Económico!$F$5=Comercial_Agricola[Campaña])*(Comercial_Agricola[Económico $Constantes]))*(IF($F$72="Tonelada",1/SUM(BH$91:BH$92),1)),0)</f>
        <v>0</v>
      </c>
      <c r="BI87" s="10">
        <f>IFERROR(SUMPRODUCT((Tabla28314251[[#This Row],[Cuentas Contables]]=Comercial_Agricola[Cuenta Contable])*(BI$74=Comercial_Agricola[Producto])*(Económico!$F$5=Comercial_Agricola[Campaña])*(Comercial_Agricola[Económico $Constantes]))*(IF($F$72="Tonelada",1/SUM(BI$91:BI$92),1)),0)</f>
        <v>0</v>
      </c>
    </row>
    <row r="88" spans="2:61" x14ac:dyDescent="0.25">
      <c r="B88" s="241" t="s">
        <v>101</v>
      </c>
      <c r="D88" s="245"/>
      <c r="E88" s="462" t="s">
        <v>518</v>
      </c>
      <c r="F88" s="10">
        <f>SUM(F75:F87)-IFERROR(SUMPRODUCT((F$74=Comercial_Agricola[Producto])*(Económico!$F$5=Comercial_Agricola[Campaña])*(Comercial_Agricola[Económico U$S Dólares]))*(IF($F$72="Tonelada",1/SUM(F$91:F$92),1)),0)</f>
        <v>0</v>
      </c>
      <c r="G88" s="10">
        <f>SUM(G75:G87)-IFERROR(SUMPRODUCT((G$74=Comercial_Agricola[Producto])*(Económico!$F$5=Comercial_Agricola[Campaña])*(Comercial_Agricola[Económico U$S Dólares]))*(IF($F$72="Tonelada",1/SUM(G$91:G$92),1)),0)</f>
        <v>0</v>
      </c>
      <c r="H88" s="10">
        <f>SUM(H75:H87)-IFERROR(SUMPRODUCT((H$74=Comercial_Agricola[Producto])*(Económico!$F$5=Comercial_Agricola[Campaña])*(Comercial_Agricola[Económico U$S Dólares]))*(IF($F$72="Tonelada",1/SUM(H$91:H$92),1)),0)</f>
        <v>0</v>
      </c>
      <c r="I88" s="10">
        <f>SUM(I75:I87)-IFERROR(SUMPRODUCT((I$74=Comercial_Agricola[Producto])*(Económico!$F$5=Comercial_Agricola[Campaña])*(Comercial_Agricola[Económico U$S Dólares]))*(IF($F$72="Tonelada",1/SUM(I$91:I$92),1)),0)</f>
        <v>0</v>
      </c>
      <c r="J88" s="10">
        <f>SUM(J75:J87)-IFERROR(SUMPRODUCT((J$74=Comercial_Agricola[Producto])*(Económico!$F$5=Comercial_Agricola[Campaña])*(Comercial_Agricola[Económico U$S Dólares]))*(IF($F$72="Tonelada",1/SUM(J$91:J$92),1)),0)</f>
        <v>0</v>
      </c>
      <c r="K88" s="10">
        <f>SUM(K75:K87)-IFERROR(SUMPRODUCT((K$74=Comercial_Agricola[Producto])*(Económico!$F$5=Comercial_Agricola[Campaña])*(Comercial_Agricola[Económico U$S Dólares]))*(IF($F$72="Tonelada",1/SUM(K$91:K$92),1)),0)</f>
        <v>0</v>
      </c>
      <c r="L88" s="10">
        <f>SUM(L75:L87)-IFERROR(SUMPRODUCT((L$74=Comercial_Agricola[Producto])*(Económico!$F$5=Comercial_Agricola[Campaña])*(Comercial_Agricola[Económico U$S Dólares]))*(IF($F$72="Tonelada",1/SUM(L$91:L$92),1)),0)</f>
        <v>0</v>
      </c>
      <c r="M88" s="10">
        <f>SUM(M75:M87)-IFERROR(SUMPRODUCT((M$74=Comercial_Agricola[Producto])*(Económico!$F$5=Comercial_Agricola[Campaña])*(Comercial_Agricola[Económico U$S Dólares]))*(IF($F$72="Tonelada",1/SUM(M$91:M$92),1)),0)</f>
        <v>0</v>
      </c>
      <c r="N88" s="10">
        <f>SUM(N75:N87)-IFERROR(SUMPRODUCT((N$74=Comercial_Agricola[Producto])*(Económico!$F$5=Comercial_Agricola[Campaña])*(Comercial_Agricola[Económico U$S Dólares]))*(IF($F$72="Tonelada",1/SUM(N$91:N$92),1)),0)</f>
        <v>0</v>
      </c>
      <c r="O88" s="10">
        <f>SUM(O75:O87)-IFERROR(SUMPRODUCT((O$74=Comercial_Agricola[Producto])*(Económico!$F$5=Comercial_Agricola[Campaña])*(Comercial_Agricola[Económico U$S Dólares]))*(IF($F$72="Tonelada",1/SUM(O$91:O$92),1)),0)</f>
        <v>0</v>
      </c>
      <c r="P88" s="10">
        <f>SUM(P75:P87)-IFERROR(SUMPRODUCT((P$74=Comercial_Agricola[Producto])*(Económico!$F$5=Comercial_Agricola[Campaña])*(Comercial_Agricola[Económico U$S Dólares]))*(IF($F$72="Tonelada",1/SUM(P$91:P$92),1)),0)</f>
        <v>0</v>
      </c>
      <c r="Q88" s="10">
        <f>SUM(Q75:Q87)-IFERROR(SUMPRODUCT((Q$74=Comercial_Agricola[Producto])*(Económico!$F$5=Comercial_Agricola[Campaña])*(Comercial_Agricola[Económico U$S Dólares]))*(IF($F$72="Tonelada",1/SUM(Q$91:Q$92),1)),0)</f>
        <v>0</v>
      </c>
      <c r="X88" s="241" t="s">
        <v>101</v>
      </c>
      <c r="Z88" s="245"/>
      <c r="AA88" s="32" t="str">
        <f>Tabla2831[[#This Row],[Cuentas Contables]]</f>
        <v>No Imputado</v>
      </c>
      <c r="AB88" s="10">
        <f>SUM(AB75:AB87)-IFERROR(SUMPRODUCT((AB$74=Comercial_Agricola[Producto])*(Económico!$F$5=Comercial_Agricola[Campaña])*(Comercial_Agricola[Económico $Corrientes]))*(IF($F$72="Tonelada",1/SUM(AB$91:AB$92),1)),0)</f>
        <v>0</v>
      </c>
      <c r="AC88" s="10">
        <f>SUM(AC75:AC87)-IFERROR(SUMPRODUCT((AC$74=Comercial_Agricola[Producto])*(Económico!$F$5=Comercial_Agricola[Campaña])*(Comercial_Agricola[Económico $Corrientes]))*(IF($F$72="Tonelada",1/SUM(AC$91:AC$92),1)),0)</f>
        <v>0</v>
      </c>
      <c r="AD88" s="10">
        <f>SUM(AD75:AD87)-IFERROR(SUMPRODUCT((AD$74=Comercial_Agricola[Producto])*(Económico!$F$5=Comercial_Agricola[Campaña])*(Comercial_Agricola[Económico $Corrientes]))*(IF($F$72="Tonelada",1/SUM(AD$91:AD$92),1)),0)</f>
        <v>0</v>
      </c>
      <c r="AE88" s="10">
        <f>SUM(AE75:AE87)-IFERROR(SUMPRODUCT((AE$74=Comercial_Agricola[Producto])*(Económico!$F$5=Comercial_Agricola[Campaña])*(Comercial_Agricola[Económico $Corrientes]))*(IF($F$72="Tonelada",1/SUM(AE$91:AE$92),1)),0)</f>
        <v>0</v>
      </c>
      <c r="AF88" s="10">
        <f>SUM(AF75:AF87)-IFERROR(SUMPRODUCT((AF$74=Comercial_Agricola[Producto])*(Económico!$F$5=Comercial_Agricola[Campaña])*(Comercial_Agricola[Económico $Corrientes]))*(IF($F$72="Tonelada",1/SUM(AF$91:AF$92),1)),0)</f>
        <v>0</v>
      </c>
      <c r="AG88" s="10">
        <f>SUM(AG75:AG87)-IFERROR(SUMPRODUCT((AG$74=Comercial_Agricola[Producto])*(Económico!$F$5=Comercial_Agricola[Campaña])*(Comercial_Agricola[Económico $Corrientes]))*(IF($F$72="Tonelada",1/SUM(AG$91:AG$92),1)),0)</f>
        <v>0</v>
      </c>
      <c r="AH88" s="10">
        <f>SUM(AH75:AH87)-IFERROR(SUMPRODUCT((AH$74=Comercial_Agricola[Producto])*(Económico!$F$5=Comercial_Agricola[Campaña])*(Comercial_Agricola[Económico $Corrientes]))*(IF($F$72="Tonelada",1/SUM(AH$91:AH$92),1)),0)</f>
        <v>0</v>
      </c>
      <c r="AI88" s="10">
        <f>SUM(AI75:AI87)-IFERROR(SUMPRODUCT((AI$74=Comercial_Agricola[Producto])*(Económico!$F$5=Comercial_Agricola[Campaña])*(Comercial_Agricola[Económico $Corrientes]))*(IF($F$72="Tonelada",1/SUM(AI$91:AI$92),1)),0)</f>
        <v>0</v>
      </c>
      <c r="AJ88" s="10">
        <f>SUM(AJ75:AJ87)-IFERROR(SUMPRODUCT((AJ$74=Comercial_Agricola[Producto])*(Económico!$F$5=Comercial_Agricola[Campaña])*(Comercial_Agricola[Económico $Corrientes]))*(IF($F$72="Tonelada",1/SUM(AJ$91:AJ$92),1)),0)</f>
        <v>0</v>
      </c>
      <c r="AK88" s="10">
        <f>SUM(AK75:AK87)-IFERROR(SUMPRODUCT((AK$74=Comercial_Agricola[Producto])*(Económico!$F$5=Comercial_Agricola[Campaña])*(Comercial_Agricola[Económico $Corrientes]))*(IF($F$72="Tonelada",1/SUM(AK$91:AK$92),1)),0)</f>
        <v>0</v>
      </c>
      <c r="AL88" s="10">
        <f>SUM(AL75:AL87)-IFERROR(SUMPRODUCT((AL$74=Comercial_Agricola[Producto])*(Económico!$F$5=Comercial_Agricola[Campaña])*(Comercial_Agricola[Económico $Corrientes]))*(IF($F$72="Tonelada",1/SUM(AL$91:AL$92),1)),0)</f>
        <v>0</v>
      </c>
      <c r="AM88" s="10">
        <f>SUM(AM75:AM87)-IFERROR(SUMPRODUCT((AM$74=Comercial_Agricola[Producto])*(Económico!$F$5=Comercial_Agricola[Campaña])*(Comercial_Agricola[Económico $Corrientes]))*(IF($F$72="Tonelada",1/SUM(AM$91:AM$92),1)),0)</f>
        <v>0</v>
      </c>
      <c r="AT88" s="241" t="s">
        <v>101</v>
      </c>
      <c r="AV88" s="245"/>
      <c r="AW88" s="32" t="str">
        <f>Tabla2831[[#This Row],[Cuentas Contables]]</f>
        <v>No Imputado</v>
      </c>
      <c r="AX88" s="10">
        <f>SUM(AX75:AX87)-IFERROR(SUMPRODUCT((AX$74=Comercial_Agricola[Producto])*(Económico!$F$5=Comercial_Agricola[Campaña])*(Comercial_Agricola[Económico $Constantes]))*(IF($F$72="Tonelada",1/SUM(AX$91:AX$92),1)),0)</f>
        <v>0</v>
      </c>
      <c r="AY88" s="10">
        <f>SUM(AY75:AY87)-IFERROR(SUMPRODUCT((AY$74=Comercial_Agricola[Producto])*(Económico!$F$5=Comercial_Agricola[Campaña])*(Comercial_Agricola[Económico $Constantes]))*(IF($F$72="Tonelada",1/SUM(AY$91:AY$92),1)),0)</f>
        <v>0</v>
      </c>
      <c r="AZ88" s="10">
        <f>SUM(AZ75:AZ87)-IFERROR(SUMPRODUCT((AZ$74=Comercial_Agricola[Producto])*(Económico!$F$5=Comercial_Agricola[Campaña])*(Comercial_Agricola[Económico $Constantes]))*(IF($F$72="Tonelada",1/SUM(AZ$91:AZ$92),1)),0)</f>
        <v>0</v>
      </c>
      <c r="BA88" s="10">
        <f>SUM(BA75:BA87)-IFERROR(SUMPRODUCT((BA$74=Comercial_Agricola[Producto])*(Económico!$F$5=Comercial_Agricola[Campaña])*(Comercial_Agricola[Económico $Constantes]))*(IF($F$72="Tonelada",1/SUM(BA$91:BA$92),1)),0)</f>
        <v>0</v>
      </c>
      <c r="BB88" s="10">
        <f>SUM(BB75:BB87)-IFERROR(SUMPRODUCT((BB$74=Comercial_Agricola[Producto])*(Económico!$F$5=Comercial_Agricola[Campaña])*(Comercial_Agricola[Económico $Constantes]))*(IF($F$72="Tonelada",1/SUM(BB$91:BB$92),1)),0)</f>
        <v>0</v>
      </c>
      <c r="BC88" s="10">
        <f>SUM(BC75:BC87)-IFERROR(SUMPRODUCT((BC$74=Comercial_Agricola[Producto])*(Económico!$F$5=Comercial_Agricola[Campaña])*(Comercial_Agricola[Económico $Constantes]))*(IF($F$72="Tonelada",1/SUM(BC$91:BC$92),1)),0)</f>
        <v>0</v>
      </c>
      <c r="BD88" s="10">
        <f>SUM(BD75:BD87)-IFERROR(SUMPRODUCT((BD$74=Comercial_Agricola[Producto])*(Económico!$F$5=Comercial_Agricola[Campaña])*(Comercial_Agricola[Económico $Constantes]))*(IF($F$72="Tonelada",1/SUM(BD$91:BD$92),1)),0)</f>
        <v>0</v>
      </c>
      <c r="BE88" s="10">
        <f>SUM(BE75:BE87)-IFERROR(SUMPRODUCT((BE$74=Comercial_Agricola[Producto])*(Económico!$F$5=Comercial_Agricola[Campaña])*(Comercial_Agricola[Económico $Constantes]))*(IF($F$72="Tonelada",1/SUM(BE$91:BE$92),1)),0)</f>
        <v>0</v>
      </c>
      <c r="BF88" s="10">
        <f>SUM(BF75:BF87)-IFERROR(SUMPRODUCT((BF$74=Comercial_Agricola[Producto])*(Económico!$F$5=Comercial_Agricola[Campaña])*(Comercial_Agricola[Económico $Constantes]))*(IF($F$72="Tonelada",1/SUM(BF$91:BF$92),1)),0)</f>
        <v>0</v>
      </c>
      <c r="BG88" s="10">
        <f>SUM(BG75:BG87)-IFERROR(SUMPRODUCT((BG$74=Comercial_Agricola[Producto])*(Económico!$F$5=Comercial_Agricola[Campaña])*(Comercial_Agricola[Económico $Constantes]))*(IF($F$72="Tonelada",1/SUM(BG$91:BG$92),1)),0)</f>
        <v>0</v>
      </c>
      <c r="BH88" s="10">
        <f>SUM(BH75:BH87)-IFERROR(SUMPRODUCT((BH$74=Comercial_Agricola[Producto])*(Económico!$F$5=Comercial_Agricola[Campaña])*(Comercial_Agricola[Económico $Constantes]))*(IF($F$72="Tonelada",1/SUM(BH$91:BH$92),1)),0)</f>
        <v>0</v>
      </c>
      <c r="BI88" s="10">
        <f>SUM(BI75:BI87)-IFERROR(SUMPRODUCT((BI$74=Comercial_Agricola[Producto])*(Económico!$F$5=Comercial_Agricola[Campaña])*(Comercial_Agricola[Económico $Constantes]))*(IF($F$72="Tonelada",1/SUM(BI$91:BI$92),1)),0)</f>
        <v>0</v>
      </c>
    </row>
    <row r="89" spans="2:61" x14ac:dyDescent="0.25">
      <c r="E89" s="412" t="s">
        <v>249</v>
      </c>
      <c r="F89" s="250">
        <f>SUBTOTAL(109,Tabla2831[Soja])</f>
        <v>0</v>
      </c>
      <c r="G89" s="250">
        <f>SUBTOTAL(109,Tabla2831[Maíz])</f>
        <v>0</v>
      </c>
      <c r="H89" s="250">
        <f>SUBTOTAL(109,Tabla2831[Girasol])</f>
        <v>0</v>
      </c>
      <c r="I89" s="250">
        <f>SUBTOTAL(109,Tabla2831[Trigo])</f>
        <v>0</v>
      </c>
      <c r="J89" s="250">
        <f>SUBTOTAL(109,Tabla2831[Cebada])</f>
        <v>0</v>
      </c>
      <c r="K89" s="250">
        <f>SUBTOTAL(109,Tabla2831[Sorgo])</f>
        <v>0</v>
      </c>
      <c r="L89" s="250">
        <f>SUBTOTAL(109,Tabla2831[Columna1])</f>
        <v>0</v>
      </c>
      <c r="M89" s="250">
        <f>SUBTOTAL(109,Tabla2831[Columna2])</f>
        <v>0</v>
      </c>
      <c r="N89" s="250">
        <f>SUBTOTAL(109,Tabla2831[Columna3])</f>
        <v>0</v>
      </c>
      <c r="O89" s="250">
        <f>SUBTOTAL(109,Tabla2831[Columna4])</f>
        <v>0</v>
      </c>
      <c r="P89" s="250">
        <f>SUBTOTAL(109,Tabla2831[Columna5])</f>
        <v>0</v>
      </c>
      <c r="Q89" s="250">
        <f>SUBTOTAL(109,Tabla2831[Silo Maíz])</f>
        <v>0</v>
      </c>
      <c r="AA89" s="412" t="s">
        <v>249</v>
      </c>
      <c r="AB89" s="250">
        <f>SUBTOTAL(109,Tabla283142[Soja])</f>
        <v>0</v>
      </c>
      <c r="AC89" s="250">
        <f>SUBTOTAL(109,Tabla283142[Maíz])</f>
        <v>0</v>
      </c>
      <c r="AD89" s="250">
        <f>SUBTOTAL(109,Tabla283142[Girasol])</f>
        <v>0</v>
      </c>
      <c r="AE89" s="250">
        <f>SUBTOTAL(109,Tabla283142[Trigo])</f>
        <v>0</v>
      </c>
      <c r="AF89" s="250">
        <f>SUBTOTAL(109,Tabla283142[Cebada])</f>
        <v>0</v>
      </c>
      <c r="AG89" s="250">
        <f>SUBTOTAL(109,Tabla283142[Sorgo])</f>
        <v>0</v>
      </c>
      <c r="AH89" s="250">
        <f>SUBTOTAL(109,Tabla283142[Columna1])</f>
        <v>0</v>
      </c>
      <c r="AI89" s="250">
        <f>SUBTOTAL(109,Tabla283142[Columna2])</f>
        <v>0</v>
      </c>
      <c r="AJ89" s="250">
        <f>SUBTOTAL(109,Tabla283142[Columna3])</f>
        <v>0</v>
      </c>
      <c r="AK89" s="250">
        <f>SUBTOTAL(109,Tabla283142[Columna4])</f>
        <v>0</v>
      </c>
      <c r="AL89" s="250">
        <f>SUBTOTAL(109,Tabla283142[Columna5])</f>
        <v>0</v>
      </c>
      <c r="AM89" s="250">
        <f>SUBTOTAL(109,Tabla283142[Silo Maíz])</f>
        <v>0</v>
      </c>
      <c r="AW89" s="412" t="s">
        <v>249</v>
      </c>
      <c r="AX89" s="250">
        <f>SUBTOTAL(109,Tabla28314251[Soja])</f>
        <v>0</v>
      </c>
      <c r="AY89" s="250">
        <f>SUBTOTAL(109,Tabla28314251[Maíz])</f>
        <v>0</v>
      </c>
      <c r="AZ89" s="250">
        <f>SUBTOTAL(109,Tabla28314251[Girasol])</f>
        <v>0</v>
      </c>
      <c r="BA89" s="250">
        <f>SUBTOTAL(109,Tabla28314251[Trigo])</f>
        <v>0</v>
      </c>
      <c r="BB89" s="250">
        <f>SUBTOTAL(109,Tabla28314251[Cebada])</f>
        <v>0</v>
      </c>
      <c r="BC89" s="250">
        <f>SUBTOTAL(109,Tabla28314251[Sorgo])</f>
        <v>0</v>
      </c>
      <c r="BD89" s="250">
        <f>SUBTOTAL(109,Tabla28314251[Columna1])</f>
        <v>0</v>
      </c>
      <c r="BE89" s="250">
        <f>SUBTOTAL(109,Tabla28314251[Columna2])</f>
        <v>0</v>
      </c>
      <c r="BF89" s="250">
        <f>SUBTOTAL(109,Tabla28314251[Columna3])</f>
        <v>0</v>
      </c>
      <c r="BG89" s="250">
        <f>SUBTOTAL(109,Tabla28314251[Columna4])</f>
        <v>0</v>
      </c>
      <c r="BH89" s="250">
        <f>SUBTOTAL(109,Tabla28314251[Columna5])</f>
        <v>0</v>
      </c>
      <c r="BI89" s="250">
        <f>SUBTOTAL(109,Tabla28314251[Silo Maíz])</f>
        <v>0</v>
      </c>
    </row>
    <row r="91" spans="2:61" x14ac:dyDescent="0.25">
      <c r="E91" s="234" t="s">
        <v>46</v>
      </c>
      <c r="F91" s="238">
        <f>SUMPRODUCT(($E91=Comercial_Agricola[Cuenta Contable])*(F$74=Comercial_Agricola[Producto])*(Económico!$F$5=Comercial_Agricola[Campaña])*(Comercial_Agricola[Toneladas]))</f>
        <v>0</v>
      </c>
      <c r="G91" s="238">
        <f>SUMPRODUCT(($E91=Comercial_Agricola[Cuenta Contable])*(G$74=Comercial_Agricola[Producto])*(Económico!$F$5=Comercial_Agricola[Campaña])*(Comercial_Agricola[Toneladas]))</f>
        <v>0</v>
      </c>
      <c r="H91" s="238">
        <f>SUMPRODUCT(($E91=Comercial_Agricola[Cuenta Contable])*(H$74=Comercial_Agricola[Producto])*(Económico!$F$5=Comercial_Agricola[Campaña])*(Comercial_Agricola[Toneladas]))</f>
        <v>0</v>
      </c>
      <c r="I91" s="238">
        <f>SUMPRODUCT(($E91=Comercial_Agricola[Cuenta Contable])*(I$74=Comercial_Agricola[Producto])*(Económico!$F$5=Comercial_Agricola[Campaña])*(Comercial_Agricola[Toneladas]))</f>
        <v>0</v>
      </c>
      <c r="J91" s="238">
        <f>SUMPRODUCT(($E91=Comercial_Agricola[Cuenta Contable])*(J$74=Comercial_Agricola[Producto])*(Económico!$F$5=Comercial_Agricola[Campaña])*(Comercial_Agricola[Toneladas]))</f>
        <v>0</v>
      </c>
      <c r="K91" s="238">
        <f>SUMPRODUCT(($E91=Comercial_Agricola[Cuenta Contable])*(K$74=Comercial_Agricola[Producto])*(Económico!$F$5=Comercial_Agricola[Campaña])*(Comercial_Agricola[Toneladas]))</f>
        <v>0</v>
      </c>
      <c r="L91" s="238">
        <f>SUMPRODUCT(($E91=Comercial_Agricola[Cuenta Contable])*(L$74=Comercial_Agricola[Producto])*(Económico!$F$5=Comercial_Agricola[Campaña])*(Comercial_Agricola[Toneladas]))</f>
        <v>0</v>
      </c>
      <c r="M91" s="238">
        <f>SUMPRODUCT(($E91=Comercial_Agricola[Cuenta Contable])*(M$74=Comercial_Agricola[Producto])*(Económico!$F$5=Comercial_Agricola[Campaña])*(Comercial_Agricola[Toneladas]))</f>
        <v>0</v>
      </c>
      <c r="N91" s="238">
        <f>SUMPRODUCT(($E91=Comercial_Agricola[Cuenta Contable])*(N$74=Comercial_Agricola[Producto])*(Económico!$F$5=Comercial_Agricola[Campaña])*(Comercial_Agricola[Toneladas]))</f>
        <v>0</v>
      </c>
      <c r="O91" s="238">
        <f>SUMPRODUCT(($E91=Comercial_Agricola[Cuenta Contable])*(O$74=Comercial_Agricola[Producto])*(Económico!$F$5=Comercial_Agricola[Campaña])*(Comercial_Agricola[Toneladas]))</f>
        <v>0</v>
      </c>
      <c r="P91" s="238">
        <f>SUMPRODUCT(($E91=Comercial_Agricola[Cuenta Contable])*(P$74=Comercial_Agricola[Producto])*(Económico!$F$5=Comercial_Agricola[Campaña])*(Comercial_Agricola[Toneladas]))</f>
        <v>0</v>
      </c>
      <c r="Q91" s="238">
        <f>SUMPRODUCT(($E91=Comercial_Agricola[Cuenta Contable])*(Q$74=Comercial_Agricola[Producto])*(Económico!$F$5=Comercial_Agricola[Campaña])*(Comercial_Agricola[Toneladas]))</f>
        <v>0</v>
      </c>
      <c r="AA91" s="247" t="s">
        <v>46</v>
      </c>
      <c r="AB91" s="238">
        <f>SUMPRODUCT(($E91=Comercial_Agricola[Cuenta Contable])*(AB$74=Comercial_Agricola[Producto])*(Económico!$F$5=Comercial_Agricola[Campaña])*(Comercial_Agricola[Toneladas]))</f>
        <v>0</v>
      </c>
      <c r="AC91" s="238">
        <f>SUMPRODUCT(($E91=Comercial_Agricola[Cuenta Contable])*(AC$74=Comercial_Agricola[Producto])*(Económico!$F$5=Comercial_Agricola[Campaña])*(Comercial_Agricola[Toneladas]))</f>
        <v>0</v>
      </c>
      <c r="AD91" s="238">
        <f>SUMPRODUCT(($E91=Comercial_Agricola[Cuenta Contable])*(AD$74=Comercial_Agricola[Producto])*(Económico!$F$5=Comercial_Agricola[Campaña])*(Comercial_Agricola[Toneladas]))</f>
        <v>0</v>
      </c>
      <c r="AE91" s="238">
        <f>SUMPRODUCT(($E91=Comercial_Agricola[Cuenta Contable])*(AE$74=Comercial_Agricola[Producto])*(Económico!$F$5=Comercial_Agricola[Campaña])*(Comercial_Agricola[Toneladas]))</f>
        <v>0</v>
      </c>
      <c r="AF91" s="238">
        <f>SUMPRODUCT(($E91=Comercial_Agricola[Cuenta Contable])*(AF$74=Comercial_Agricola[Producto])*(Económico!$F$5=Comercial_Agricola[Campaña])*(Comercial_Agricola[Toneladas]))</f>
        <v>0</v>
      </c>
      <c r="AG91" s="238">
        <f>SUMPRODUCT(($E91=Comercial_Agricola[Cuenta Contable])*(AG$74=Comercial_Agricola[Producto])*(Económico!$F$5=Comercial_Agricola[Campaña])*(Comercial_Agricola[Toneladas]))</f>
        <v>0</v>
      </c>
      <c r="AH91" s="238">
        <f>SUMPRODUCT(($E91=Comercial_Agricola[Cuenta Contable])*(AH$74=Comercial_Agricola[Producto])*(Económico!$F$5=Comercial_Agricola[Campaña])*(Comercial_Agricola[Toneladas]))</f>
        <v>0</v>
      </c>
      <c r="AI91" s="238">
        <f>SUMPRODUCT(($E91=Comercial_Agricola[Cuenta Contable])*(AI$74=Comercial_Agricola[Producto])*(Económico!$F$5=Comercial_Agricola[Campaña])*(Comercial_Agricola[Toneladas]))</f>
        <v>0</v>
      </c>
      <c r="AJ91" s="238">
        <f>SUMPRODUCT(($E91=Comercial_Agricola[Cuenta Contable])*(AJ$74=Comercial_Agricola[Producto])*(Económico!$F$5=Comercial_Agricola[Campaña])*(Comercial_Agricola[Toneladas]))</f>
        <v>0</v>
      </c>
      <c r="AK91" s="238">
        <f>SUMPRODUCT(($E91=Comercial_Agricola[Cuenta Contable])*(AK$74=Comercial_Agricola[Producto])*(Económico!$F$5=Comercial_Agricola[Campaña])*(Comercial_Agricola[Toneladas]))</f>
        <v>0</v>
      </c>
      <c r="AL91" s="238">
        <f>SUMPRODUCT(($E91=Comercial_Agricola[Cuenta Contable])*(AL$74=Comercial_Agricola[Producto])*(Económico!$F$5=Comercial_Agricola[Campaña])*(Comercial_Agricola[Toneladas]))</f>
        <v>0</v>
      </c>
      <c r="AM91" s="238">
        <f>SUMPRODUCT(($E91=Comercial_Agricola[Cuenta Contable])*(AM$74=Comercial_Agricola[Producto])*(Económico!$F$5=Comercial_Agricola[Campaña])*(Comercial_Agricola[Toneladas]))</f>
        <v>0</v>
      </c>
      <c r="AW91" s="247" t="s">
        <v>46</v>
      </c>
      <c r="AX91" s="238">
        <f>SUMPRODUCT(($E91=Comercial_Agricola[Cuenta Contable])*(AX$74=Comercial_Agricola[Producto])*(Económico!$F$5=Comercial_Agricola[Campaña])*(Comercial_Agricola[Toneladas]))</f>
        <v>0</v>
      </c>
      <c r="AY91" s="238">
        <f>SUMPRODUCT(($E91=Comercial_Agricola[Cuenta Contable])*(AY$74=Comercial_Agricola[Producto])*(Económico!$F$5=Comercial_Agricola[Campaña])*(Comercial_Agricola[Toneladas]))</f>
        <v>0</v>
      </c>
      <c r="AZ91" s="238">
        <f>SUMPRODUCT(($E91=Comercial_Agricola[Cuenta Contable])*(AZ$74=Comercial_Agricola[Producto])*(Económico!$F$5=Comercial_Agricola[Campaña])*(Comercial_Agricola[Toneladas]))</f>
        <v>0</v>
      </c>
      <c r="BA91" s="238">
        <f>SUMPRODUCT(($E91=Comercial_Agricola[Cuenta Contable])*(BA$74=Comercial_Agricola[Producto])*(Económico!$F$5=Comercial_Agricola[Campaña])*(Comercial_Agricola[Toneladas]))</f>
        <v>0</v>
      </c>
      <c r="BB91" s="238">
        <f>SUMPRODUCT(($E91=Comercial_Agricola[Cuenta Contable])*(BB$74=Comercial_Agricola[Producto])*(Económico!$F$5=Comercial_Agricola[Campaña])*(Comercial_Agricola[Toneladas]))</f>
        <v>0</v>
      </c>
      <c r="BC91" s="238">
        <f>SUMPRODUCT(($E91=Comercial_Agricola[Cuenta Contable])*(BC$74=Comercial_Agricola[Producto])*(Económico!$F$5=Comercial_Agricola[Campaña])*(Comercial_Agricola[Toneladas]))</f>
        <v>0</v>
      </c>
      <c r="BD91" s="238">
        <f>SUMPRODUCT(($E91=Comercial_Agricola[Cuenta Contable])*(BD$74=Comercial_Agricola[Producto])*(Económico!$F$5=Comercial_Agricola[Campaña])*(Comercial_Agricola[Toneladas]))</f>
        <v>0</v>
      </c>
      <c r="BE91" s="238">
        <f>SUMPRODUCT(($E91=Comercial_Agricola[Cuenta Contable])*(BE$74=Comercial_Agricola[Producto])*(Económico!$F$5=Comercial_Agricola[Campaña])*(Comercial_Agricola[Toneladas]))</f>
        <v>0</v>
      </c>
      <c r="BF91" s="238">
        <f>SUMPRODUCT(($E91=Comercial_Agricola[Cuenta Contable])*(BF$74=Comercial_Agricola[Producto])*(Económico!$F$5=Comercial_Agricola[Campaña])*(Comercial_Agricola[Toneladas]))</f>
        <v>0</v>
      </c>
      <c r="BG91" s="238">
        <f>SUMPRODUCT(($E91=Comercial_Agricola[Cuenta Contable])*(BG$74=Comercial_Agricola[Producto])*(Económico!$F$5=Comercial_Agricola[Campaña])*(Comercial_Agricola[Toneladas]))</f>
        <v>0</v>
      </c>
      <c r="BH91" s="238">
        <f>SUMPRODUCT(($E91=Comercial_Agricola[Cuenta Contable])*(BH$74=Comercial_Agricola[Producto])*(Económico!$F$5=Comercial_Agricola[Campaña])*(Comercial_Agricola[Toneladas]))</f>
        <v>0</v>
      </c>
      <c r="BI91" s="238">
        <f>SUMPRODUCT(($E91=Comercial_Agricola[Cuenta Contable])*(BI$74=Comercial_Agricola[Producto])*(Económico!$F$5=Comercial_Agricola[Campaña])*(Comercial_Agricola[Toneladas]))</f>
        <v>0</v>
      </c>
    </row>
    <row r="92" spans="2:61" x14ac:dyDescent="0.25">
      <c r="E92" s="234" t="s">
        <v>77</v>
      </c>
      <c r="F92" s="238">
        <f>SUMPRODUCT(($E92=Comercial_Agricola[Cuenta Contable])*(F$74=Comercial_Agricola[Producto])*(Económico!$F$5=Comercial_Agricola[Campaña])*(Comercial_Agricola[Toneladas]))</f>
        <v>0</v>
      </c>
      <c r="G92" s="238">
        <f>SUMPRODUCT(($E92=Comercial_Agricola[Cuenta Contable])*(G$74=Comercial_Agricola[Producto])*(Económico!$F$5=Comercial_Agricola[Campaña])*(Comercial_Agricola[Toneladas]))</f>
        <v>0</v>
      </c>
      <c r="H92" s="238">
        <f>SUMPRODUCT(($E92=Comercial_Agricola[Cuenta Contable])*(H$74=Comercial_Agricola[Producto])*(Económico!$F$5=Comercial_Agricola[Campaña])*(Comercial_Agricola[Toneladas]))</f>
        <v>0</v>
      </c>
      <c r="I92" s="238">
        <f>SUMPRODUCT(($E92=Comercial_Agricola[Cuenta Contable])*(I$74=Comercial_Agricola[Producto])*(Económico!$F$5=Comercial_Agricola[Campaña])*(Comercial_Agricola[Toneladas]))</f>
        <v>0</v>
      </c>
      <c r="J92" s="238">
        <f>SUMPRODUCT(($E92=Comercial_Agricola[Cuenta Contable])*(J$74=Comercial_Agricola[Producto])*(Económico!$F$5=Comercial_Agricola[Campaña])*(Comercial_Agricola[Toneladas]))</f>
        <v>0</v>
      </c>
      <c r="K92" s="238">
        <f>SUMPRODUCT(($E92=Comercial_Agricola[Cuenta Contable])*(K$74=Comercial_Agricola[Producto])*(Económico!$F$5=Comercial_Agricola[Campaña])*(Comercial_Agricola[Toneladas]))</f>
        <v>0</v>
      </c>
      <c r="L92" s="238">
        <f>SUMPRODUCT(($E92=Comercial_Agricola[Cuenta Contable])*(L$74=Comercial_Agricola[Producto])*(Económico!$F$5=Comercial_Agricola[Campaña])*(Comercial_Agricola[Toneladas]))</f>
        <v>0</v>
      </c>
      <c r="M92" s="238">
        <f>SUMPRODUCT(($E92=Comercial_Agricola[Cuenta Contable])*(M$74=Comercial_Agricola[Producto])*(Económico!$F$5=Comercial_Agricola[Campaña])*(Comercial_Agricola[Toneladas]))</f>
        <v>0</v>
      </c>
      <c r="N92" s="238">
        <f>SUMPRODUCT(($E92=Comercial_Agricola[Cuenta Contable])*(N$74=Comercial_Agricola[Producto])*(Económico!$F$5=Comercial_Agricola[Campaña])*(Comercial_Agricola[Toneladas]))</f>
        <v>0</v>
      </c>
      <c r="O92" s="238">
        <f>SUMPRODUCT(($E92=Comercial_Agricola[Cuenta Contable])*(O$74=Comercial_Agricola[Producto])*(Económico!$F$5=Comercial_Agricola[Campaña])*(Comercial_Agricola[Toneladas]))</f>
        <v>0</v>
      </c>
      <c r="P92" s="238">
        <f>SUMPRODUCT(($E92=Comercial_Agricola[Cuenta Contable])*(P$74=Comercial_Agricola[Producto])*(Económico!$F$5=Comercial_Agricola[Campaña])*(Comercial_Agricola[Toneladas]))</f>
        <v>0</v>
      </c>
      <c r="Q92" s="238">
        <f>SUMPRODUCT(($E92=Comercial_Agricola[Cuenta Contable])*(Q$74=Comercial_Agricola[Producto])*(Económico!$F$5=Comercial_Agricola[Campaña])*(Comercial_Agricola[Toneladas]))</f>
        <v>0</v>
      </c>
      <c r="AA92" s="247" t="s">
        <v>77</v>
      </c>
      <c r="AB92" s="238">
        <f>SUMPRODUCT(($E92=Comercial_Agricola[Cuenta Contable])*(AB$74=Comercial_Agricola[Producto])*(Económico!$F$5=Comercial_Agricola[Campaña])*(Comercial_Agricola[Toneladas]))</f>
        <v>0</v>
      </c>
      <c r="AC92" s="238">
        <f>SUMPRODUCT(($E92=Comercial_Agricola[Cuenta Contable])*(AC$74=Comercial_Agricola[Producto])*(Económico!$F$5=Comercial_Agricola[Campaña])*(Comercial_Agricola[Toneladas]))</f>
        <v>0</v>
      </c>
      <c r="AD92" s="238">
        <f>SUMPRODUCT(($E92=Comercial_Agricola[Cuenta Contable])*(AD$74=Comercial_Agricola[Producto])*(Económico!$F$5=Comercial_Agricola[Campaña])*(Comercial_Agricola[Toneladas]))</f>
        <v>0</v>
      </c>
      <c r="AE92" s="238">
        <f>SUMPRODUCT(($E92=Comercial_Agricola[Cuenta Contable])*(AE$74=Comercial_Agricola[Producto])*(Económico!$F$5=Comercial_Agricola[Campaña])*(Comercial_Agricola[Toneladas]))</f>
        <v>0</v>
      </c>
      <c r="AF92" s="238">
        <f>SUMPRODUCT(($E92=Comercial_Agricola[Cuenta Contable])*(AF$74=Comercial_Agricola[Producto])*(Económico!$F$5=Comercial_Agricola[Campaña])*(Comercial_Agricola[Toneladas]))</f>
        <v>0</v>
      </c>
      <c r="AG92" s="238">
        <f>SUMPRODUCT(($E92=Comercial_Agricola[Cuenta Contable])*(AG$74=Comercial_Agricola[Producto])*(Económico!$F$5=Comercial_Agricola[Campaña])*(Comercial_Agricola[Toneladas]))</f>
        <v>0</v>
      </c>
      <c r="AH92" s="238">
        <f>SUMPRODUCT(($E92=Comercial_Agricola[Cuenta Contable])*(AH$74=Comercial_Agricola[Producto])*(Económico!$F$5=Comercial_Agricola[Campaña])*(Comercial_Agricola[Toneladas]))</f>
        <v>0</v>
      </c>
      <c r="AI92" s="238">
        <f>SUMPRODUCT(($E92=Comercial_Agricola[Cuenta Contable])*(AI$74=Comercial_Agricola[Producto])*(Económico!$F$5=Comercial_Agricola[Campaña])*(Comercial_Agricola[Toneladas]))</f>
        <v>0</v>
      </c>
      <c r="AJ92" s="238">
        <f>SUMPRODUCT(($E92=Comercial_Agricola[Cuenta Contable])*(AJ$74=Comercial_Agricola[Producto])*(Económico!$F$5=Comercial_Agricola[Campaña])*(Comercial_Agricola[Toneladas]))</f>
        <v>0</v>
      </c>
      <c r="AK92" s="238">
        <f>SUMPRODUCT(($E92=Comercial_Agricola[Cuenta Contable])*(AK$74=Comercial_Agricola[Producto])*(Económico!$F$5=Comercial_Agricola[Campaña])*(Comercial_Agricola[Toneladas]))</f>
        <v>0</v>
      </c>
      <c r="AL92" s="238">
        <f>SUMPRODUCT(($E92=Comercial_Agricola[Cuenta Contable])*(AL$74=Comercial_Agricola[Producto])*(Económico!$F$5=Comercial_Agricola[Campaña])*(Comercial_Agricola[Toneladas]))</f>
        <v>0</v>
      </c>
      <c r="AM92" s="238">
        <f>SUMPRODUCT(($E92=Comercial_Agricola[Cuenta Contable])*(AM$74=Comercial_Agricola[Producto])*(Económico!$F$5=Comercial_Agricola[Campaña])*(Comercial_Agricola[Toneladas]))</f>
        <v>0</v>
      </c>
      <c r="AW92" s="247" t="s">
        <v>77</v>
      </c>
      <c r="AX92" s="238">
        <f>SUMPRODUCT(($E92=Comercial_Agricola[Cuenta Contable])*(AX$74=Comercial_Agricola[Producto])*(Económico!$F$5=Comercial_Agricola[Campaña])*(Comercial_Agricola[Toneladas]))</f>
        <v>0</v>
      </c>
      <c r="AY92" s="238">
        <f>SUMPRODUCT(($E92=Comercial_Agricola[Cuenta Contable])*(AY$74=Comercial_Agricola[Producto])*(Económico!$F$5=Comercial_Agricola[Campaña])*(Comercial_Agricola[Toneladas]))</f>
        <v>0</v>
      </c>
      <c r="AZ92" s="238">
        <f>SUMPRODUCT(($E92=Comercial_Agricola[Cuenta Contable])*(AZ$74=Comercial_Agricola[Producto])*(Económico!$F$5=Comercial_Agricola[Campaña])*(Comercial_Agricola[Toneladas]))</f>
        <v>0</v>
      </c>
      <c r="BA92" s="238">
        <f>SUMPRODUCT(($E92=Comercial_Agricola[Cuenta Contable])*(BA$74=Comercial_Agricola[Producto])*(Económico!$F$5=Comercial_Agricola[Campaña])*(Comercial_Agricola[Toneladas]))</f>
        <v>0</v>
      </c>
      <c r="BB92" s="238">
        <f>SUMPRODUCT(($E92=Comercial_Agricola[Cuenta Contable])*(BB$74=Comercial_Agricola[Producto])*(Económico!$F$5=Comercial_Agricola[Campaña])*(Comercial_Agricola[Toneladas]))</f>
        <v>0</v>
      </c>
      <c r="BC92" s="238">
        <f>SUMPRODUCT(($E92=Comercial_Agricola[Cuenta Contable])*(BC$74=Comercial_Agricola[Producto])*(Económico!$F$5=Comercial_Agricola[Campaña])*(Comercial_Agricola[Toneladas]))</f>
        <v>0</v>
      </c>
      <c r="BD92" s="238">
        <f>SUMPRODUCT(($E92=Comercial_Agricola[Cuenta Contable])*(BD$74=Comercial_Agricola[Producto])*(Económico!$F$5=Comercial_Agricola[Campaña])*(Comercial_Agricola[Toneladas]))</f>
        <v>0</v>
      </c>
      <c r="BE92" s="238">
        <f>SUMPRODUCT(($E92=Comercial_Agricola[Cuenta Contable])*(BE$74=Comercial_Agricola[Producto])*(Económico!$F$5=Comercial_Agricola[Campaña])*(Comercial_Agricola[Toneladas]))</f>
        <v>0</v>
      </c>
      <c r="BF92" s="238">
        <f>SUMPRODUCT(($E92=Comercial_Agricola[Cuenta Contable])*(BF$74=Comercial_Agricola[Producto])*(Económico!$F$5=Comercial_Agricola[Campaña])*(Comercial_Agricola[Toneladas]))</f>
        <v>0</v>
      </c>
      <c r="BG92" s="238">
        <f>SUMPRODUCT(($E92=Comercial_Agricola[Cuenta Contable])*(BG$74=Comercial_Agricola[Producto])*(Económico!$F$5=Comercial_Agricola[Campaña])*(Comercial_Agricola[Toneladas]))</f>
        <v>0</v>
      </c>
      <c r="BH92" s="238">
        <f>SUMPRODUCT(($E92=Comercial_Agricola[Cuenta Contable])*(BH$74=Comercial_Agricola[Producto])*(Económico!$F$5=Comercial_Agricola[Campaña])*(Comercial_Agricola[Toneladas]))</f>
        <v>0</v>
      </c>
      <c r="BI92" s="238">
        <f>SUMPRODUCT(($E92=Comercial_Agricola[Cuenta Contable])*(BI$74=Comercial_Agricola[Producto])*(Económico!$F$5=Comercial_Agricola[Campaña])*(Comercial_Agricola[Toneladas]))</f>
        <v>0</v>
      </c>
    </row>
    <row r="93" spans="2:61" s="243" customFormat="1" x14ac:dyDescent="0.25">
      <c r="B93" s="242"/>
      <c r="F93" s="244"/>
      <c r="G93" s="244"/>
      <c r="H93" s="244"/>
      <c r="I93" s="244"/>
      <c r="J93" s="244"/>
      <c r="K93" s="244"/>
      <c r="L93" s="244"/>
      <c r="M93" s="244"/>
      <c r="N93" s="244"/>
      <c r="O93" s="244"/>
      <c r="P93" s="244"/>
      <c r="V93" s="447"/>
      <c r="X93" s="242"/>
      <c r="AA93" s="460"/>
      <c r="AB93" s="244"/>
      <c r="AC93" s="244"/>
      <c r="AD93" s="244"/>
      <c r="AE93" s="244"/>
      <c r="AF93" s="244"/>
      <c r="AG93" s="244"/>
      <c r="AH93" s="244"/>
      <c r="AI93" s="244"/>
      <c r="AJ93" s="244"/>
      <c r="AK93" s="244"/>
      <c r="AL93" s="244"/>
      <c r="AR93" s="447"/>
      <c r="AT93" s="242"/>
      <c r="AW93" s="460"/>
      <c r="AX93" s="244"/>
      <c r="AY93" s="244"/>
      <c r="AZ93" s="244"/>
      <c r="BA93" s="244"/>
      <c r="BB93" s="244"/>
      <c r="BC93" s="244"/>
      <c r="BD93" s="244"/>
      <c r="BE93" s="244"/>
      <c r="BF93" s="244"/>
      <c r="BG93" s="244"/>
      <c r="BH93" s="244"/>
    </row>
    <row r="95" spans="2:61" x14ac:dyDescent="0.25">
      <c r="E95" s="239" t="s">
        <v>86</v>
      </c>
      <c r="F95" s="193" t="s">
        <v>165</v>
      </c>
      <c r="AA95" s="452" t="s">
        <v>86</v>
      </c>
      <c r="AB95" s="193" t="s">
        <v>165</v>
      </c>
      <c r="AW95" s="452" t="s">
        <v>86</v>
      </c>
      <c r="AX95" s="193" t="s">
        <v>165</v>
      </c>
    </row>
    <row r="97" spans="2:62" s="231" customFormat="1" ht="30" x14ac:dyDescent="0.25">
      <c r="B97" s="2"/>
      <c r="E97" s="232" t="s">
        <v>337</v>
      </c>
      <c r="F97" s="251" t="s">
        <v>259</v>
      </c>
      <c r="G97" s="233" t="s">
        <v>260</v>
      </c>
      <c r="H97" s="252" t="s">
        <v>261</v>
      </c>
      <c r="I97" s="251" t="s">
        <v>262</v>
      </c>
      <c r="J97" s="233" t="s">
        <v>263</v>
      </c>
      <c r="K97" s="252" t="s">
        <v>264</v>
      </c>
      <c r="L97" s="251" t="s">
        <v>269</v>
      </c>
      <c r="M97" s="252" t="s">
        <v>268</v>
      </c>
      <c r="N97" s="260" t="s">
        <v>60</v>
      </c>
      <c r="O97" s="264" t="s">
        <v>272</v>
      </c>
      <c r="P97" s="259" t="s">
        <v>61</v>
      </c>
      <c r="Q97" s="259" t="s">
        <v>265</v>
      </c>
      <c r="R97" s="259" t="s">
        <v>266</v>
      </c>
      <c r="V97" s="446"/>
      <c r="X97" s="2"/>
      <c r="AA97" s="459" t="s">
        <v>337</v>
      </c>
      <c r="AB97" s="251" t="s">
        <v>259</v>
      </c>
      <c r="AC97" s="233" t="s">
        <v>260</v>
      </c>
      <c r="AD97" s="252" t="s">
        <v>261</v>
      </c>
      <c r="AE97" s="251" t="s">
        <v>262</v>
      </c>
      <c r="AF97" s="233" t="s">
        <v>263</v>
      </c>
      <c r="AG97" s="252" t="s">
        <v>264</v>
      </c>
      <c r="AH97" s="251" t="s">
        <v>269</v>
      </c>
      <c r="AI97" s="252" t="s">
        <v>268</v>
      </c>
      <c r="AJ97" s="260" t="s">
        <v>60</v>
      </c>
      <c r="AK97" s="264" t="s">
        <v>272</v>
      </c>
      <c r="AL97" s="259" t="s">
        <v>61</v>
      </c>
      <c r="AM97" s="259" t="s">
        <v>265</v>
      </c>
      <c r="AN97" s="259" t="s">
        <v>266</v>
      </c>
      <c r="AR97" s="446"/>
      <c r="AT97" s="2"/>
      <c r="AW97" s="459" t="s">
        <v>337</v>
      </c>
      <c r="AX97" s="251" t="s">
        <v>259</v>
      </c>
      <c r="AY97" s="233" t="s">
        <v>260</v>
      </c>
      <c r="AZ97" s="252" t="s">
        <v>261</v>
      </c>
      <c r="BA97" s="251" t="s">
        <v>262</v>
      </c>
      <c r="BB97" s="233" t="s">
        <v>263</v>
      </c>
      <c r="BC97" s="252" t="s">
        <v>264</v>
      </c>
      <c r="BD97" s="251" t="s">
        <v>269</v>
      </c>
      <c r="BE97" s="252" t="s">
        <v>268</v>
      </c>
      <c r="BF97" s="260" t="s">
        <v>60</v>
      </c>
      <c r="BG97" s="264" t="s">
        <v>272</v>
      </c>
      <c r="BH97" s="259" t="s">
        <v>61</v>
      </c>
      <c r="BI97" s="259" t="s">
        <v>265</v>
      </c>
      <c r="BJ97" s="259" t="s">
        <v>266</v>
      </c>
    </row>
    <row r="98" spans="2:62" x14ac:dyDescent="0.25">
      <c r="D98" s="245">
        <f>IFERROR(MATCH(Tabla283132[[#This Row],[Categorías Hacienda]],Produccion_Ganadera[Categoría],0),0)</f>
        <v>1</v>
      </c>
      <c r="E98" s="32" t="str">
        <f>Configuración!AZ5</f>
        <v>Vaca CUT</v>
      </c>
      <c r="F98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Hacienda])*(Producción_Ganadera[Cabezas]))</f>
        <v>0</v>
      </c>
      <c r="G98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Hacienda])*(Producción_Ganadera[Cabezas]))</f>
        <v>0</v>
      </c>
      <c r="H98" s="31">
        <f>Tabla283132[[#This Row],[Cabezas Cierre]]-Tabla283132[[#This Row],[Cabezas Inicio]]</f>
        <v>0</v>
      </c>
      <c r="I98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Hacienda])*(Producción_Ganadera[Kg/Cab]))*Tabla283132[[#This Row],[Cabezas Inicio]]</f>
        <v>0</v>
      </c>
      <c r="J98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Hacienda])*(Producción_Ganadera[Kg/Cab]))*Tabla283132[[#This Row],[Cabezas Cierre]]</f>
        <v>0</v>
      </c>
      <c r="K98" s="31">
        <f>Tabla283132[[#This Row],[Kilos Cierre]]+Tabla283132[[#This Row],[Kilos Inicio]]</f>
        <v>0</v>
      </c>
      <c r="L98" s="261">
        <f>IFERROR(Tabla283132[[#This Row],[Stock Inicio]]/Tabla283132[[#This Row],[Kilos Inicio]],0)</f>
        <v>0</v>
      </c>
      <c r="M98" s="52">
        <f>IFERROR(Tabla283132[[#This Row],[Stock Cierre]]/Tabla283132[[#This Row],[Kilos Cierre]],0)</f>
        <v>0</v>
      </c>
      <c r="N98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Hacienda])*(Producción_Ganadera[Económico U$S Dólares]))</f>
        <v>0</v>
      </c>
      <c r="O98" s="9">
        <f>Tabla283132[[#This Row],[Kilos Inicio]]*Tabla283132[[#This Row],[U$S/Kg Cierre]]</f>
        <v>0</v>
      </c>
      <c r="P98" s="31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Hacienda])*(Producción_Ganadera[Económico U$S Dólares]))</f>
        <v>0</v>
      </c>
      <c r="Q98" s="257">
        <f>(Tabla283132[[#This Row],[Kilos Cierre]]+Tabla283132[[#This Row],[Kilos Inicio]])*Tabla283132[[#This Row],[U$S/Kg Cierre]]</f>
        <v>0</v>
      </c>
      <c r="R98" s="10">
        <f>-Tabla283132[[#This Row],[Kilos Inicio]]*(Tabla283132[[#This Row],[U$S/Kg Cierre]]-Tabla283132[[#This Row],[U$S/Kg Inicio]])</f>
        <v>0</v>
      </c>
      <c r="Z98" s="245">
        <f>IFERROR(MATCH(Tabla28313243[[#This Row],[Categorías Hacienda]],Produccion_Ganadera[Categoría],0),0)</f>
        <v>1</v>
      </c>
      <c r="AA98" s="32" t="str">
        <f>Tabla283132[[#This Row],[Categorías Hacienda]]</f>
        <v>Vaca CUT</v>
      </c>
      <c r="AB98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Hacienda])*(Producción_Ganadera[Cabezas]))</f>
        <v>0</v>
      </c>
      <c r="AC98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Hacienda])*(Producción_Ganadera[Cabezas]))</f>
        <v>0</v>
      </c>
      <c r="AD98" s="31">
        <f>Tabla28313243[[#This Row],[Cabezas Cierre]]-Tabla28313243[[#This Row],[Cabezas Inicio]]</f>
        <v>0</v>
      </c>
      <c r="AE98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Hacienda])*(Producción_Ganadera[Kg/Cab]))*Tabla28313243[[#This Row],[Cabezas Inicio]]</f>
        <v>0</v>
      </c>
      <c r="AF98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Hacienda])*(Producción_Ganadera[Kg/Cab]))*Tabla28313243[[#This Row],[Cabezas Cierre]]</f>
        <v>0</v>
      </c>
      <c r="AG98" s="31">
        <f>Tabla28313243[[#This Row],[Kilos Cierre]]+Tabla28313243[[#This Row],[Kilos Inicio]]</f>
        <v>0</v>
      </c>
      <c r="AH98" s="261">
        <f>IFERROR(Tabla28313243[[#This Row],[Stock Inicio]]/Tabla28313243[[#This Row],[Kilos Inicio]],0)</f>
        <v>0</v>
      </c>
      <c r="AI98" s="52">
        <f>IFERROR(Tabla28313243[[#This Row],[Stock Cierre]]/Tabla28313243[[#This Row],[Kilos Cierre]],0)</f>
        <v>0</v>
      </c>
      <c r="AJ98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Hacienda])*(Producción_Ganadera[Económico $Corrientes]))</f>
        <v>0</v>
      </c>
      <c r="AK98" s="9">
        <f>Tabla28313243[[#This Row],[Kilos Inicio]]*Tabla28313243[[#This Row],[U$S/Kg Cierre]]</f>
        <v>0</v>
      </c>
      <c r="AL98" s="31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Hacienda])*(Producción_Ganadera[Económico $Corrientes]))</f>
        <v>0</v>
      </c>
      <c r="AM98" s="257">
        <f>(Tabla28313243[[#This Row],[Kilos Cierre]]+Tabla28313243[[#This Row],[Kilos Inicio]])*Tabla28313243[[#This Row],[U$S/Kg Cierre]]</f>
        <v>0</v>
      </c>
      <c r="AN98" s="10">
        <f>-Tabla28313243[[#This Row],[Kilos Inicio]]*(Tabla28313243[[#This Row],[U$S/Kg Cierre]]-Tabla28313243[[#This Row],[U$S/Kg Inicio]])</f>
        <v>0</v>
      </c>
      <c r="AV98" s="245">
        <f>IFERROR(MATCH(Tabla2831324352[[#This Row],[Categorías Hacienda]],Produccion_Ganadera[Categoría],0),0)</f>
        <v>1</v>
      </c>
      <c r="AW98" s="32" t="str">
        <f>Tabla283132[[#This Row],[Categorías Hacienda]]</f>
        <v>Vaca CUT</v>
      </c>
      <c r="AX98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Hacienda])*(Producción_Ganadera[Cabezas]))</f>
        <v>0</v>
      </c>
      <c r="AY98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Hacienda])*(Producción_Ganadera[Cabezas]))</f>
        <v>0</v>
      </c>
      <c r="AZ98" s="31">
        <f>Tabla2831324352[[#This Row],[Cabezas Cierre]]-Tabla2831324352[[#This Row],[Cabezas Inicio]]</f>
        <v>0</v>
      </c>
      <c r="BA98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Hacienda])*(Producción_Ganadera[Kg/Cab]))*Tabla2831324352[[#This Row],[Cabezas Inicio]]</f>
        <v>0</v>
      </c>
      <c r="BB98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Hacienda])*(Producción_Ganadera[Kg/Cab]))*Tabla2831324352[[#This Row],[Cabezas Cierre]]</f>
        <v>0</v>
      </c>
      <c r="BC98" s="31">
        <f>Tabla2831324352[[#This Row],[Kilos Cierre]]+Tabla2831324352[[#This Row],[Kilos Inicio]]</f>
        <v>0</v>
      </c>
      <c r="BD98" s="261">
        <f>IFERROR(Tabla2831324352[[#This Row],[Stock Inicio]]/Tabla2831324352[[#This Row],[Kilos Inicio]],0)</f>
        <v>0</v>
      </c>
      <c r="BE98" s="52">
        <f>IFERROR(Tabla2831324352[[#This Row],[Stock Cierre]]/Tabla2831324352[[#This Row],[Kilos Cierre]],0)</f>
        <v>0</v>
      </c>
      <c r="BF98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Hacienda])*(Producción_Ganadera[Económico $Constantes]))</f>
        <v>0</v>
      </c>
      <c r="BG98" s="9">
        <f>Tabla2831324352[[#This Row],[Kilos Inicio]]*Tabla2831324352[[#This Row],[U$S/Kg Cierre]]</f>
        <v>0</v>
      </c>
      <c r="BH98" s="31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Hacienda])*(Producción_Ganadera[Económico $Constantes]))</f>
        <v>0</v>
      </c>
      <c r="BI98" s="257">
        <f>(Tabla2831324352[[#This Row],[Kilos Cierre]]+Tabla2831324352[[#This Row],[Kilos Inicio]])*Tabla2831324352[[#This Row],[U$S/Kg Cierre]]</f>
        <v>0</v>
      </c>
      <c r="BJ98" s="10">
        <f>-Tabla2831324352[[#This Row],[Kilos Inicio]]*(Tabla2831324352[[#This Row],[U$S/Kg Cierre]]-Tabla2831324352[[#This Row],[U$S/Kg Inicio]])</f>
        <v>0</v>
      </c>
    </row>
    <row r="99" spans="2:62" x14ac:dyDescent="0.25">
      <c r="D99" s="245">
        <f>IFERROR(MATCH(Tabla283132[[#This Row],[Categorías Hacienda]],Produccion_Ganadera[Categoría],0),0)</f>
        <v>2</v>
      </c>
      <c r="E99" s="32" t="str">
        <f>Configuración!AZ6</f>
        <v>Vaca Preñada</v>
      </c>
      <c r="F99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Hacienda])*(Producción_Ganadera[Cabezas]))</f>
        <v>0</v>
      </c>
      <c r="G99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Hacienda])*(Producción_Ganadera[Cabezas]))</f>
        <v>0</v>
      </c>
      <c r="H99" s="31">
        <f>Tabla283132[[#This Row],[Cabezas Cierre]]-Tabla283132[[#This Row],[Cabezas Inicio]]</f>
        <v>0</v>
      </c>
      <c r="I99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Hacienda])*(Producción_Ganadera[Kg/Cab]))*Tabla283132[[#This Row],[Cabezas Inicio]]</f>
        <v>0</v>
      </c>
      <c r="J99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Hacienda])*(Producción_Ganadera[Kg/Cab]))*Tabla283132[[#This Row],[Cabezas Cierre]]</f>
        <v>0</v>
      </c>
      <c r="K99" s="31">
        <f>Tabla283132[[#This Row],[Kilos Cierre]]+Tabla283132[[#This Row],[Kilos Inicio]]</f>
        <v>0</v>
      </c>
      <c r="L99" s="261">
        <f>IFERROR(Tabla283132[[#This Row],[Stock Inicio]]/Tabla283132[[#This Row],[Kilos Inicio]],0)</f>
        <v>0</v>
      </c>
      <c r="M99" s="52">
        <f>IFERROR(Tabla283132[[#This Row],[Stock Cierre]]/Tabla283132[[#This Row],[Kilos Cierre]],0)</f>
        <v>0</v>
      </c>
      <c r="N99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Hacienda])*(Producción_Ganadera[Económico U$S Dólares]))</f>
        <v>0</v>
      </c>
      <c r="O99" s="9">
        <f>Tabla283132[[#This Row],[Kilos Inicio]]*Tabla283132[[#This Row],[U$S/Kg Cierre]]</f>
        <v>0</v>
      </c>
      <c r="P99" s="31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Hacienda])*(Producción_Ganadera[Económico U$S Dólares]))</f>
        <v>0</v>
      </c>
      <c r="Q99" s="257">
        <f>(Tabla283132[[#This Row],[Kilos Cierre]]+Tabla283132[[#This Row],[Kilos Inicio]])*Tabla283132[[#This Row],[U$S/Kg Cierre]]</f>
        <v>0</v>
      </c>
      <c r="R99" s="10">
        <f>-Tabla283132[[#This Row],[Kilos Inicio]]*(Tabla283132[[#This Row],[U$S/Kg Cierre]]-Tabla283132[[#This Row],[U$S/Kg Inicio]])</f>
        <v>0</v>
      </c>
      <c r="Z99" s="245">
        <f>IFERROR(MATCH(Tabla28313243[[#This Row],[Categorías Hacienda]],Produccion_Ganadera[Categoría],0),0)</f>
        <v>2</v>
      </c>
      <c r="AA99" s="32" t="str">
        <f>Tabla283132[[#This Row],[Categorías Hacienda]]</f>
        <v>Vaca Preñada</v>
      </c>
      <c r="AB99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Hacienda])*(Producción_Ganadera[Cabezas]))</f>
        <v>0</v>
      </c>
      <c r="AC99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Hacienda])*(Producción_Ganadera[Cabezas]))</f>
        <v>0</v>
      </c>
      <c r="AD99" s="31">
        <f>Tabla28313243[[#This Row],[Cabezas Cierre]]-Tabla28313243[[#This Row],[Cabezas Inicio]]</f>
        <v>0</v>
      </c>
      <c r="AE99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Hacienda])*(Producción_Ganadera[Kg/Cab]))*Tabla28313243[[#This Row],[Cabezas Inicio]]</f>
        <v>0</v>
      </c>
      <c r="AF99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Hacienda])*(Producción_Ganadera[Kg/Cab]))*Tabla28313243[[#This Row],[Cabezas Cierre]]</f>
        <v>0</v>
      </c>
      <c r="AG99" s="31">
        <f>Tabla28313243[[#This Row],[Kilos Cierre]]+Tabla28313243[[#This Row],[Kilos Inicio]]</f>
        <v>0</v>
      </c>
      <c r="AH99" s="261">
        <f>IFERROR(Tabla28313243[[#This Row],[Stock Inicio]]/Tabla28313243[[#This Row],[Kilos Inicio]],0)</f>
        <v>0</v>
      </c>
      <c r="AI99" s="52">
        <f>IFERROR(Tabla28313243[[#This Row],[Stock Cierre]]/Tabla28313243[[#This Row],[Kilos Cierre]],0)</f>
        <v>0</v>
      </c>
      <c r="AJ99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Hacienda])*(Producción_Ganadera[Económico $Corrientes]))</f>
        <v>0</v>
      </c>
      <c r="AK99" s="9">
        <f>Tabla28313243[[#This Row],[Kilos Inicio]]*Tabla28313243[[#This Row],[U$S/Kg Cierre]]</f>
        <v>0</v>
      </c>
      <c r="AL99" s="31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Hacienda])*(Producción_Ganadera[Económico $Corrientes]))</f>
        <v>0</v>
      </c>
      <c r="AM99" s="257">
        <f>(Tabla28313243[[#This Row],[Kilos Cierre]]+Tabla28313243[[#This Row],[Kilos Inicio]])*Tabla28313243[[#This Row],[U$S/Kg Cierre]]</f>
        <v>0</v>
      </c>
      <c r="AN99" s="10">
        <f>-Tabla28313243[[#This Row],[Kilos Inicio]]*(Tabla28313243[[#This Row],[U$S/Kg Cierre]]-Tabla28313243[[#This Row],[U$S/Kg Inicio]])</f>
        <v>0</v>
      </c>
      <c r="AV99" s="245">
        <f>IFERROR(MATCH(Tabla2831324352[[#This Row],[Categorías Hacienda]],Produccion_Ganadera[Categoría],0),0)</f>
        <v>2</v>
      </c>
      <c r="AW99" s="32" t="str">
        <f>Tabla283132[[#This Row],[Categorías Hacienda]]</f>
        <v>Vaca Preñada</v>
      </c>
      <c r="AX99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Hacienda])*(Producción_Ganadera[Cabezas]))</f>
        <v>0</v>
      </c>
      <c r="AY99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Hacienda])*(Producción_Ganadera[Cabezas]))</f>
        <v>0</v>
      </c>
      <c r="AZ99" s="31">
        <f>Tabla2831324352[[#This Row],[Cabezas Cierre]]-Tabla2831324352[[#This Row],[Cabezas Inicio]]</f>
        <v>0</v>
      </c>
      <c r="BA99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Hacienda])*(Producción_Ganadera[Kg/Cab]))*Tabla2831324352[[#This Row],[Cabezas Inicio]]</f>
        <v>0</v>
      </c>
      <c r="BB99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Hacienda])*(Producción_Ganadera[Kg/Cab]))*Tabla2831324352[[#This Row],[Cabezas Cierre]]</f>
        <v>0</v>
      </c>
      <c r="BC99" s="31">
        <f>Tabla2831324352[[#This Row],[Kilos Cierre]]+Tabla2831324352[[#This Row],[Kilos Inicio]]</f>
        <v>0</v>
      </c>
      <c r="BD99" s="261">
        <f>IFERROR(Tabla2831324352[[#This Row],[Stock Inicio]]/Tabla2831324352[[#This Row],[Kilos Inicio]],0)</f>
        <v>0</v>
      </c>
      <c r="BE99" s="52">
        <f>IFERROR(Tabla2831324352[[#This Row],[Stock Cierre]]/Tabla2831324352[[#This Row],[Kilos Cierre]],0)</f>
        <v>0</v>
      </c>
      <c r="BF99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Hacienda])*(Producción_Ganadera[Económico $Constantes]))</f>
        <v>0</v>
      </c>
      <c r="BG99" s="9">
        <f>Tabla2831324352[[#This Row],[Kilos Inicio]]*Tabla2831324352[[#This Row],[U$S/Kg Cierre]]</f>
        <v>0</v>
      </c>
      <c r="BH99" s="31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Hacienda])*(Producción_Ganadera[Económico $Constantes]))</f>
        <v>0</v>
      </c>
      <c r="BI99" s="257">
        <f>(Tabla2831324352[[#This Row],[Kilos Cierre]]+Tabla2831324352[[#This Row],[Kilos Inicio]])*Tabla2831324352[[#This Row],[U$S/Kg Cierre]]</f>
        <v>0</v>
      </c>
      <c r="BJ99" s="10">
        <f>-Tabla2831324352[[#This Row],[Kilos Inicio]]*(Tabla2831324352[[#This Row],[U$S/Kg Cierre]]-Tabla2831324352[[#This Row],[U$S/Kg Inicio]])</f>
        <v>0</v>
      </c>
    </row>
    <row r="100" spans="2:62" x14ac:dyDescent="0.25">
      <c r="D100" s="245">
        <f>IFERROR(MATCH(Tabla283132[[#This Row],[Categorías Hacienda]],Produccion_Ganadera[Categoría],0),0)</f>
        <v>3</v>
      </c>
      <c r="E100" s="32" t="str">
        <f>Configuración!AZ7</f>
        <v>Vaca Vacía</v>
      </c>
      <c r="F100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Hacienda])*(Producción_Ganadera[Cabezas]))</f>
        <v>0</v>
      </c>
      <c r="G100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Hacienda])*(Producción_Ganadera[Cabezas]))</f>
        <v>0</v>
      </c>
      <c r="H100" s="31">
        <f>Tabla283132[[#This Row],[Cabezas Cierre]]-Tabla283132[[#This Row],[Cabezas Inicio]]</f>
        <v>0</v>
      </c>
      <c r="I100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Hacienda])*(Producción_Ganadera[Kg/Cab]))*Tabla283132[[#This Row],[Cabezas Inicio]]</f>
        <v>0</v>
      </c>
      <c r="J100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Hacienda])*(Producción_Ganadera[Kg/Cab]))*Tabla283132[[#This Row],[Cabezas Cierre]]</f>
        <v>0</v>
      </c>
      <c r="K100" s="31">
        <f>Tabla283132[[#This Row],[Kilos Cierre]]+Tabla283132[[#This Row],[Kilos Inicio]]</f>
        <v>0</v>
      </c>
      <c r="L100" s="261">
        <f>IFERROR(Tabla283132[[#This Row],[Stock Inicio]]/Tabla283132[[#This Row],[Kilos Inicio]],0)</f>
        <v>0</v>
      </c>
      <c r="M100" s="52">
        <f>IFERROR(Tabla283132[[#This Row],[Stock Cierre]]/Tabla283132[[#This Row],[Kilos Cierre]],0)</f>
        <v>0</v>
      </c>
      <c r="N100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Hacienda])*(Producción_Ganadera[Económico U$S Dólares]))</f>
        <v>0</v>
      </c>
      <c r="O100" s="9">
        <f>Tabla283132[[#This Row],[Kilos Inicio]]*Tabla283132[[#This Row],[U$S/Kg Cierre]]</f>
        <v>0</v>
      </c>
      <c r="P100" s="31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Hacienda])*(Producción_Ganadera[Económico U$S Dólares]))</f>
        <v>0</v>
      </c>
      <c r="Q100" s="257">
        <f>(Tabla283132[[#This Row],[Kilos Cierre]]+Tabla283132[[#This Row],[Kilos Inicio]])*Tabla283132[[#This Row],[U$S/Kg Cierre]]</f>
        <v>0</v>
      </c>
      <c r="R100" s="10">
        <f>-Tabla283132[[#This Row],[Kilos Inicio]]*(Tabla283132[[#This Row],[U$S/Kg Cierre]]-Tabla283132[[#This Row],[U$S/Kg Inicio]])</f>
        <v>0</v>
      </c>
      <c r="Z100" s="245">
        <f>IFERROR(MATCH(Tabla28313243[[#This Row],[Categorías Hacienda]],Produccion_Ganadera[Categoría],0),0)</f>
        <v>3</v>
      </c>
      <c r="AA100" s="32" t="str">
        <f>Tabla283132[[#This Row],[Categorías Hacienda]]</f>
        <v>Vaca Vacía</v>
      </c>
      <c r="AB100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Hacienda])*(Producción_Ganadera[Cabezas]))</f>
        <v>0</v>
      </c>
      <c r="AC100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Hacienda])*(Producción_Ganadera[Cabezas]))</f>
        <v>0</v>
      </c>
      <c r="AD100" s="31">
        <f>Tabla28313243[[#This Row],[Cabezas Cierre]]-Tabla28313243[[#This Row],[Cabezas Inicio]]</f>
        <v>0</v>
      </c>
      <c r="AE100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Hacienda])*(Producción_Ganadera[Kg/Cab]))*Tabla28313243[[#This Row],[Cabezas Inicio]]</f>
        <v>0</v>
      </c>
      <c r="AF100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Hacienda])*(Producción_Ganadera[Kg/Cab]))*Tabla28313243[[#This Row],[Cabezas Cierre]]</f>
        <v>0</v>
      </c>
      <c r="AG100" s="31">
        <f>Tabla28313243[[#This Row],[Kilos Cierre]]+Tabla28313243[[#This Row],[Kilos Inicio]]</f>
        <v>0</v>
      </c>
      <c r="AH100" s="261">
        <f>IFERROR(Tabla28313243[[#This Row],[Stock Inicio]]/Tabla28313243[[#This Row],[Kilos Inicio]],0)</f>
        <v>0</v>
      </c>
      <c r="AI100" s="52">
        <f>IFERROR(Tabla28313243[[#This Row],[Stock Cierre]]/Tabla28313243[[#This Row],[Kilos Cierre]],0)</f>
        <v>0</v>
      </c>
      <c r="AJ100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Hacienda])*(Producción_Ganadera[Económico $Corrientes]))</f>
        <v>0</v>
      </c>
      <c r="AK100" s="9">
        <f>Tabla28313243[[#This Row],[Kilos Inicio]]*Tabla28313243[[#This Row],[U$S/Kg Cierre]]</f>
        <v>0</v>
      </c>
      <c r="AL100" s="31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Hacienda])*(Producción_Ganadera[Económico $Corrientes]))</f>
        <v>0</v>
      </c>
      <c r="AM100" s="257">
        <f>(Tabla28313243[[#This Row],[Kilos Cierre]]+Tabla28313243[[#This Row],[Kilos Inicio]])*Tabla28313243[[#This Row],[U$S/Kg Cierre]]</f>
        <v>0</v>
      </c>
      <c r="AN100" s="10">
        <f>-Tabla28313243[[#This Row],[Kilos Inicio]]*(Tabla28313243[[#This Row],[U$S/Kg Cierre]]-Tabla28313243[[#This Row],[U$S/Kg Inicio]])</f>
        <v>0</v>
      </c>
      <c r="AV100" s="245">
        <f>IFERROR(MATCH(Tabla2831324352[[#This Row],[Categorías Hacienda]],Produccion_Ganadera[Categoría],0),0)</f>
        <v>3</v>
      </c>
      <c r="AW100" s="32" t="str">
        <f>Tabla283132[[#This Row],[Categorías Hacienda]]</f>
        <v>Vaca Vacía</v>
      </c>
      <c r="AX100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Hacienda])*(Producción_Ganadera[Cabezas]))</f>
        <v>0</v>
      </c>
      <c r="AY100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Hacienda])*(Producción_Ganadera[Cabezas]))</f>
        <v>0</v>
      </c>
      <c r="AZ100" s="31">
        <f>Tabla2831324352[[#This Row],[Cabezas Cierre]]-Tabla2831324352[[#This Row],[Cabezas Inicio]]</f>
        <v>0</v>
      </c>
      <c r="BA100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Hacienda])*(Producción_Ganadera[Kg/Cab]))*Tabla2831324352[[#This Row],[Cabezas Inicio]]</f>
        <v>0</v>
      </c>
      <c r="BB100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Hacienda])*(Producción_Ganadera[Kg/Cab]))*Tabla2831324352[[#This Row],[Cabezas Cierre]]</f>
        <v>0</v>
      </c>
      <c r="BC100" s="31">
        <f>Tabla2831324352[[#This Row],[Kilos Cierre]]+Tabla2831324352[[#This Row],[Kilos Inicio]]</f>
        <v>0</v>
      </c>
      <c r="BD100" s="261">
        <f>IFERROR(Tabla2831324352[[#This Row],[Stock Inicio]]/Tabla2831324352[[#This Row],[Kilos Inicio]],0)</f>
        <v>0</v>
      </c>
      <c r="BE100" s="52">
        <f>IFERROR(Tabla2831324352[[#This Row],[Stock Cierre]]/Tabla2831324352[[#This Row],[Kilos Cierre]],0)</f>
        <v>0</v>
      </c>
      <c r="BF100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Hacienda])*(Producción_Ganadera[Económico $Constantes]))</f>
        <v>0</v>
      </c>
      <c r="BG100" s="9">
        <f>Tabla2831324352[[#This Row],[Kilos Inicio]]*Tabla2831324352[[#This Row],[U$S/Kg Cierre]]</f>
        <v>0</v>
      </c>
      <c r="BH100" s="31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Hacienda])*(Producción_Ganadera[Económico $Constantes]))</f>
        <v>0</v>
      </c>
      <c r="BI100" s="257">
        <f>(Tabla2831324352[[#This Row],[Kilos Cierre]]+Tabla2831324352[[#This Row],[Kilos Inicio]])*Tabla2831324352[[#This Row],[U$S/Kg Cierre]]</f>
        <v>0</v>
      </c>
      <c r="BJ100" s="10">
        <f>-Tabla2831324352[[#This Row],[Kilos Inicio]]*(Tabla2831324352[[#This Row],[U$S/Kg Cierre]]-Tabla2831324352[[#This Row],[U$S/Kg Inicio]])</f>
        <v>0</v>
      </c>
    </row>
    <row r="101" spans="2:62" x14ac:dyDescent="0.25">
      <c r="D101" s="245">
        <f>IFERROR(MATCH(Tabla283132[[#This Row],[Categorías Hacienda]],Produccion_Ganadera[Categoría],0),0)</f>
        <v>4</v>
      </c>
      <c r="E101" s="32" t="str">
        <f>Configuración!AZ8</f>
        <v>Vaquillona Preñada</v>
      </c>
      <c r="F101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Hacienda])*(Producción_Ganadera[Cabezas]))</f>
        <v>0</v>
      </c>
      <c r="G101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Hacienda])*(Producción_Ganadera[Cabezas]))</f>
        <v>0</v>
      </c>
      <c r="H101" s="31">
        <f>Tabla283132[[#This Row],[Cabezas Cierre]]-Tabla283132[[#This Row],[Cabezas Inicio]]</f>
        <v>0</v>
      </c>
      <c r="I101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Hacienda])*(Producción_Ganadera[Kg/Cab]))*Tabla283132[[#This Row],[Cabezas Inicio]]</f>
        <v>0</v>
      </c>
      <c r="J101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Hacienda])*(Producción_Ganadera[Kg/Cab]))*Tabla283132[[#This Row],[Cabezas Cierre]]</f>
        <v>0</v>
      </c>
      <c r="K101" s="31">
        <f>Tabla283132[[#This Row],[Kilos Cierre]]+Tabla283132[[#This Row],[Kilos Inicio]]</f>
        <v>0</v>
      </c>
      <c r="L101" s="261">
        <f>IFERROR(Tabla283132[[#This Row],[Stock Inicio]]/Tabla283132[[#This Row],[Kilos Inicio]],0)</f>
        <v>0</v>
      </c>
      <c r="M101" s="52">
        <f>IFERROR(Tabla283132[[#This Row],[Stock Cierre]]/Tabla283132[[#This Row],[Kilos Cierre]],0)</f>
        <v>0</v>
      </c>
      <c r="N101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Hacienda])*(Producción_Ganadera[Económico U$S Dólares]))</f>
        <v>0</v>
      </c>
      <c r="O101" s="9">
        <f>Tabla283132[[#This Row],[Kilos Inicio]]*Tabla283132[[#This Row],[U$S/Kg Cierre]]</f>
        <v>0</v>
      </c>
      <c r="P101" s="31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Hacienda])*(Producción_Ganadera[Económico U$S Dólares]))</f>
        <v>0</v>
      </c>
      <c r="Q101" s="257">
        <f>(Tabla283132[[#This Row],[Kilos Cierre]]+Tabla283132[[#This Row],[Kilos Inicio]])*Tabla283132[[#This Row],[U$S/Kg Cierre]]</f>
        <v>0</v>
      </c>
      <c r="R101" s="10">
        <f>-Tabla283132[[#This Row],[Kilos Inicio]]*(Tabla283132[[#This Row],[U$S/Kg Cierre]]-Tabla283132[[#This Row],[U$S/Kg Inicio]])</f>
        <v>0</v>
      </c>
      <c r="Z101" s="245">
        <f>IFERROR(MATCH(Tabla28313243[[#This Row],[Categorías Hacienda]],Produccion_Ganadera[Categoría],0),0)</f>
        <v>4</v>
      </c>
      <c r="AA101" s="32" t="str">
        <f>Tabla283132[[#This Row],[Categorías Hacienda]]</f>
        <v>Vaquillona Preñada</v>
      </c>
      <c r="AB101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Hacienda])*(Producción_Ganadera[Cabezas]))</f>
        <v>0</v>
      </c>
      <c r="AC101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Hacienda])*(Producción_Ganadera[Cabezas]))</f>
        <v>0</v>
      </c>
      <c r="AD101" s="31">
        <f>Tabla28313243[[#This Row],[Cabezas Cierre]]-Tabla28313243[[#This Row],[Cabezas Inicio]]</f>
        <v>0</v>
      </c>
      <c r="AE101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Hacienda])*(Producción_Ganadera[Kg/Cab]))*Tabla28313243[[#This Row],[Cabezas Inicio]]</f>
        <v>0</v>
      </c>
      <c r="AF101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Hacienda])*(Producción_Ganadera[Kg/Cab]))*Tabla28313243[[#This Row],[Cabezas Cierre]]</f>
        <v>0</v>
      </c>
      <c r="AG101" s="31">
        <f>Tabla28313243[[#This Row],[Kilos Cierre]]+Tabla28313243[[#This Row],[Kilos Inicio]]</f>
        <v>0</v>
      </c>
      <c r="AH101" s="261">
        <f>IFERROR(Tabla28313243[[#This Row],[Stock Inicio]]/Tabla28313243[[#This Row],[Kilos Inicio]],0)</f>
        <v>0</v>
      </c>
      <c r="AI101" s="52">
        <f>IFERROR(Tabla28313243[[#This Row],[Stock Cierre]]/Tabla28313243[[#This Row],[Kilos Cierre]],0)</f>
        <v>0</v>
      </c>
      <c r="AJ101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Hacienda])*(Producción_Ganadera[Económico $Corrientes]))</f>
        <v>0</v>
      </c>
      <c r="AK101" s="9">
        <f>Tabla28313243[[#This Row],[Kilos Inicio]]*Tabla28313243[[#This Row],[U$S/Kg Cierre]]</f>
        <v>0</v>
      </c>
      <c r="AL101" s="31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Hacienda])*(Producción_Ganadera[Económico $Corrientes]))</f>
        <v>0</v>
      </c>
      <c r="AM101" s="257">
        <f>(Tabla28313243[[#This Row],[Kilos Cierre]]+Tabla28313243[[#This Row],[Kilos Inicio]])*Tabla28313243[[#This Row],[U$S/Kg Cierre]]</f>
        <v>0</v>
      </c>
      <c r="AN101" s="10">
        <f>-Tabla28313243[[#This Row],[Kilos Inicio]]*(Tabla28313243[[#This Row],[U$S/Kg Cierre]]-Tabla28313243[[#This Row],[U$S/Kg Inicio]])</f>
        <v>0</v>
      </c>
      <c r="AV101" s="245">
        <f>IFERROR(MATCH(Tabla2831324352[[#This Row],[Categorías Hacienda]],Produccion_Ganadera[Categoría],0),0)</f>
        <v>4</v>
      </c>
      <c r="AW101" s="32" t="str">
        <f>Tabla283132[[#This Row],[Categorías Hacienda]]</f>
        <v>Vaquillona Preñada</v>
      </c>
      <c r="AX101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Hacienda])*(Producción_Ganadera[Cabezas]))</f>
        <v>0</v>
      </c>
      <c r="AY101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Hacienda])*(Producción_Ganadera[Cabezas]))</f>
        <v>0</v>
      </c>
      <c r="AZ101" s="31">
        <f>Tabla2831324352[[#This Row],[Cabezas Cierre]]-Tabla2831324352[[#This Row],[Cabezas Inicio]]</f>
        <v>0</v>
      </c>
      <c r="BA101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Hacienda])*(Producción_Ganadera[Kg/Cab]))*Tabla2831324352[[#This Row],[Cabezas Inicio]]</f>
        <v>0</v>
      </c>
      <c r="BB101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Hacienda])*(Producción_Ganadera[Kg/Cab]))*Tabla2831324352[[#This Row],[Cabezas Cierre]]</f>
        <v>0</v>
      </c>
      <c r="BC101" s="31">
        <f>Tabla2831324352[[#This Row],[Kilos Cierre]]+Tabla2831324352[[#This Row],[Kilos Inicio]]</f>
        <v>0</v>
      </c>
      <c r="BD101" s="261">
        <f>IFERROR(Tabla2831324352[[#This Row],[Stock Inicio]]/Tabla2831324352[[#This Row],[Kilos Inicio]],0)</f>
        <v>0</v>
      </c>
      <c r="BE101" s="52">
        <f>IFERROR(Tabla2831324352[[#This Row],[Stock Cierre]]/Tabla2831324352[[#This Row],[Kilos Cierre]],0)</f>
        <v>0</v>
      </c>
      <c r="BF101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Hacienda])*(Producción_Ganadera[Económico $Constantes]))</f>
        <v>0</v>
      </c>
      <c r="BG101" s="9">
        <f>Tabla2831324352[[#This Row],[Kilos Inicio]]*Tabla2831324352[[#This Row],[U$S/Kg Cierre]]</f>
        <v>0</v>
      </c>
      <c r="BH101" s="31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Hacienda])*(Producción_Ganadera[Económico $Constantes]))</f>
        <v>0</v>
      </c>
      <c r="BI101" s="257">
        <f>(Tabla2831324352[[#This Row],[Kilos Cierre]]+Tabla2831324352[[#This Row],[Kilos Inicio]])*Tabla2831324352[[#This Row],[U$S/Kg Cierre]]</f>
        <v>0</v>
      </c>
      <c r="BJ101" s="10">
        <f>-Tabla2831324352[[#This Row],[Kilos Inicio]]*(Tabla2831324352[[#This Row],[U$S/Kg Cierre]]-Tabla2831324352[[#This Row],[U$S/Kg Inicio]])</f>
        <v>0</v>
      </c>
    </row>
    <row r="102" spans="2:62" x14ac:dyDescent="0.25">
      <c r="D102" s="245">
        <f>IFERROR(MATCH(Tabla283132[[#This Row],[Categorías Hacienda]],Produccion_Ganadera[Categoría],0),0)</f>
        <v>5</v>
      </c>
      <c r="E102" s="32" t="str">
        <f>Configuración!AZ9</f>
        <v>Vaquillona 06-15</v>
      </c>
      <c r="F102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Hacienda])*(Producción_Ganadera[Cabezas]))</f>
        <v>0</v>
      </c>
      <c r="G102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Hacienda])*(Producción_Ganadera[Cabezas]))</f>
        <v>0</v>
      </c>
      <c r="H102" s="31">
        <f>Tabla283132[[#This Row],[Cabezas Cierre]]-Tabla283132[[#This Row],[Cabezas Inicio]]</f>
        <v>0</v>
      </c>
      <c r="I102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Hacienda])*(Producción_Ganadera[Kg/Cab]))*Tabla283132[[#This Row],[Cabezas Inicio]]</f>
        <v>0</v>
      </c>
      <c r="J102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Hacienda])*(Producción_Ganadera[Kg/Cab]))*Tabla283132[[#This Row],[Cabezas Cierre]]</f>
        <v>0</v>
      </c>
      <c r="K102" s="31">
        <f>Tabla283132[[#This Row],[Kilos Cierre]]+Tabla283132[[#This Row],[Kilos Inicio]]</f>
        <v>0</v>
      </c>
      <c r="L102" s="261">
        <f>IFERROR(Tabla283132[[#This Row],[Stock Inicio]]/Tabla283132[[#This Row],[Kilos Inicio]],0)</f>
        <v>0</v>
      </c>
      <c r="M102" s="52">
        <f>IFERROR(Tabla283132[[#This Row],[Stock Cierre]]/Tabla283132[[#This Row],[Kilos Cierre]],0)</f>
        <v>0</v>
      </c>
      <c r="N102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Hacienda])*(Producción_Ganadera[Económico U$S Dólares]))</f>
        <v>0</v>
      </c>
      <c r="O102" s="9">
        <f>Tabla283132[[#This Row],[Kilos Inicio]]*Tabla283132[[#This Row],[U$S/Kg Cierre]]</f>
        <v>0</v>
      </c>
      <c r="P102" s="31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Hacienda])*(Producción_Ganadera[Económico U$S Dólares]))</f>
        <v>0</v>
      </c>
      <c r="Q102" s="257">
        <f>(Tabla283132[[#This Row],[Kilos Cierre]]+Tabla283132[[#This Row],[Kilos Inicio]])*Tabla283132[[#This Row],[U$S/Kg Cierre]]</f>
        <v>0</v>
      </c>
      <c r="R102" s="10">
        <f>-Tabla283132[[#This Row],[Kilos Inicio]]*(Tabla283132[[#This Row],[U$S/Kg Cierre]]-Tabla283132[[#This Row],[U$S/Kg Inicio]])</f>
        <v>0</v>
      </c>
      <c r="Z102" s="245">
        <f>IFERROR(MATCH(Tabla28313243[[#This Row],[Categorías Hacienda]],Produccion_Ganadera[Categoría],0),0)</f>
        <v>5</v>
      </c>
      <c r="AA102" s="32" t="str">
        <f>Tabla283132[[#This Row],[Categorías Hacienda]]</f>
        <v>Vaquillona 06-15</v>
      </c>
      <c r="AB102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Hacienda])*(Producción_Ganadera[Cabezas]))</f>
        <v>0</v>
      </c>
      <c r="AC102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Hacienda])*(Producción_Ganadera[Cabezas]))</f>
        <v>0</v>
      </c>
      <c r="AD102" s="31">
        <f>Tabla28313243[[#This Row],[Cabezas Cierre]]-Tabla28313243[[#This Row],[Cabezas Inicio]]</f>
        <v>0</v>
      </c>
      <c r="AE102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Hacienda])*(Producción_Ganadera[Kg/Cab]))*Tabla28313243[[#This Row],[Cabezas Inicio]]</f>
        <v>0</v>
      </c>
      <c r="AF102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Hacienda])*(Producción_Ganadera[Kg/Cab]))*Tabla28313243[[#This Row],[Cabezas Cierre]]</f>
        <v>0</v>
      </c>
      <c r="AG102" s="31">
        <f>Tabla28313243[[#This Row],[Kilos Cierre]]+Tabla28313243[[#This Row],[Kilos Inicio]]</f>
        <v>0</v>
      </c>
      <c r="AH102" s="261">
        <f>IFERROR(Tabla28313243[[#This Row],[Stock Inicio]]/Tabla28313243[[#This Row],[Kilos Inicio]],0)</f>
        <v>0</v>
      </c>
      <c r="AI102" s="52">
        <f>IFERROR(Tabla28313243[[#This Row],[Stock Cierre]]/Tabla28313243[[#This Row],[Kilos Cierre]],0)</f>
        <v>0</v>
      </c>
      <c r="AJ102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Hacienda])*(Producción_Ganadera[Económico $Corrientes]))</f>
        <v>0</v>
      </c>
      <c r="AK102" s="9">
        <f>Tabla28313243[[#This Row],[Kilos Inicio]]*Tabla28313243[[#This Row],[U$S/Kg Cierre]]</f>
        <v>0</v>
      </c>
      <c r="AL102" s="31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Hacienda])*(Producción_Ganadera[Económico $Corrientes]))</f>
        <v>0</v>
      </c>
      <c r="AM102" s="257">
        <f>(Tabla28313243[[#This Row],[Kilos Cierre]]+Tabla28313243[[#This Row],[Kilos Inicio]])*Tabla28313243[[#This Row],[U$S/Kg Cierre]]</f>
        <v>0</v>
      </c>
      <c r="AN102" s="10">
        <f>-Tabla28313243[[#This Row],[Kilos Inicio]]*(Tabla28313243[[#This Row],[U$S/Kg Cierre]]-Tabla28313243[[#This Row],[U$S/Kg Inicio]])</f>
        <v>0</v>
      </c>
      <c r="AV102" s="245">
        <f>IFERROR(MATCH(Tabla2831324352[[#This Row],[Categorías Hacienda]],Produccion_Ganadera[Categoría],0),0)</f>
        <v>5</v>
      </c>
      <c r="AW102" s="32" t="str">
        <f>Tabla283132[[#This Row],[Categorías Hacienda]]</f>
        <v>Vaquillona 06-15</v>
      </c>
      <c r="AX102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Hacienda])*(Producción_Ganadera[Cabezas]))</f>
        <v>0</v>
      </c>
      <c r="AY102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Hacienda])*(Producción_Ganadera[Cabezas]))</f>
        <v>0</v>
      </c>
      <c r="AZ102" s="31">
        <f>Tabla2831324352[[#This Row],[Cabezas Cierre]]-Tabla2831324352[[#This Row],[Cabezas Inicio]]</f>
        <v>0</v>
      </c>
      <c r="BA102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Hacienda])*(Producción_Ganadera[Kg/Cab]))*Tabla2831324352[[#This Row],[Cabezas Inicio]]</f>
        <v>0</v>
      </c>
      <c r="BB102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Hacienda])*(Producción_Ganadera[Kg/Cab]))*Tabla2831324352[[#This Row],[Cabezas Cierre]]</f>
        <v>0</v>
      </c>
      <c r="BC102" s="31">
        <f>Tabla2831324352[[#This Row],[Kilos Cierre]]+Tabla2831324352[[#This Row],[Kilos Inicio]]</f>
        <v>0</v>
      </c>
      <c r="BD102" s="261">
        <f>IFERROR(Tabla2831324352[[#This Row],[Stock Inicio]]/Tabla2831324352[[#This Row],[Kilos Inicio]],0)</f>
        <v>0</v>
      </c>
      <c r="BE102" s="52">
        <f>IFERROR(Tabla2831324352[[#This Row],[Stock Cierre]]/Tabla2831324352[[#This Row],[Kilos Cierre]],0)</f>
        <v>0</v>
      </c>
      <c r="BF102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Hacienda])*(Producción_Ganadera[Económico $Constantes]))</f>
        <v>0</v>
      </c>
      <c r="BG102" s="9">
        <f>Tabla2831324352[[#This Row],[Kilos Inicio]]*Tabla2831324352[[#This Row],[U$S/Kg Cierre]]</f>
        <v>0</v>
      </c>
      <c r="BH102" s="31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Hacienda])*(Producción_Ganadera[Económico $Constantes]))</f>
        <v>0</v>
      </c>
      <c r="BI102" s="257">
        <f>(Tabla2831324352[[#This Row],[Kilos Cierre]]+Tabla2831324352[[#This Row],[Kilos Inicio]])*Tabla2831324352[[#This Row],[U$S/Kg Cierre]]</f>
        <v>0</v>
      </c>
      <c r="BJ102" s="10">
        <f>-Tabla2831324352[[#This Row],[Kilos Inicio]]*(Tabla2831324352[[#This Row],[U$S/Kg Cierre]]-Tabla2831324352[[#This Row],[U$S/Kg Inicio]])</f>
        <v>0</v>
      </c>
    </row>
    <row r="103" spans="2:62" x14ac:dyDescent="0.25">
      <c r="D103" s="245">
        <f>IFERROR(MATCH(Tabla283132[[#This Row],[Categorías Hacienda]],Produccion_Ganadera[Categoría],0),0)</f>
        <v>6</v>
      </c>
      <c r="E103" s="32" t="str">
        <f>Configuración!AZ10</f>
        <v>Vaquillona 15-27</v>
      </c>
      <c r="F103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Hacienda])*(Producción_Ganadera[Cabezas]))</f>
        <v>0</v>
      </c>
      <c r="G103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Hacienda])*(Producción_Ganadera[Cabezas]))</f>
        <v>0</v>
      </c>
      <c r="H103" s="31">
        <f>Tabla283132[[#This Row],[Cabezas Cierre]]-Tabla283132[[#This Row],[Cabezas Inicio]]</f>
        <v>0</v>
      </c>
      <c r="I103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Hacienda])*(Producción_Ganadera[Kg/Cab]))*Tabla283132[[#This Row],[Cabezas Inicio]]</f>
        <v>0</v>
      </c>
      <c r="J103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Hacienda])*(Producción_Ganadera[Kg/Cab]))*Tabla283132[[#This Row],[Cabezas Cierre]]</f>
        <v>0</v>
      </c>
      <c r="K103" s="31">
        <f>Tabla283132[[#This Row],[Kilos Cierre]]+Tabla283132[[#This Row],[Kilos Inicio]]</f>
        <v>0</v>
      </c>
      <c r="L103" s="261">
        <f>IFERROR(Tabla283132[[#This Row],[Stock Inicio]]/Tabla283132[[#This Row],[Kilos Inicio]],0)</f>
        <v>0</v>
      </c>
      <c r="M103" s="52">
        <f>IFERROR(Tabla283132[[#This Row],[Stock Cierre]]/Tabla283132[[#This Row],[Kilos Cierre]],0)</f>
        <v>0</v>
      </c>
      <c r="N103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Hacienda])*(Producción_Ganadera[Económico U$S Dólares]))</f>
        <v>0</v>
      </c>
      <c r="O103" s="9">
        <f>Tabla283132[[#This Row],[Kilos Inicio]]*Tabla283132[[#This Row],[U$S/Kg Cierre]]</f>
        <v>0</v>
      </c>
      <c r="P103" s="31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Hacienda])*(Producción_Ganadera[Económico U$S Dólares]))</f>
        <v>0</v>
      </c>
      <c r="Q103" s="257">
        <f>(Tabla283132[[#This Row],[Kilos Cierre]]+Tabla283132[[#This Row],[Kilos Inicio]])*Tabla283132[[#This Row],[U$S/Kg Cierre]]</f>
        <v>0</v>
      </c>
      <c r="R103" s="10">
        <f>-Tabla283132[[#This Row],[Kilos Inicio]]*(Tabla283132[[#This Row],[U$S/Kg Cierre]]-Tabla283132[[#This Row],[U$S/Kg Inicio]])</f>
        <v>0</v>
      </c>
      <c r="Z103" s="245">
        <f>IFERROR(MATCH(Tabla28313243[[#This Row],[Categorías Hacienda]],Produccion_Ganadera[Categoría],0),0)</f>
        <v>6</v>
      </c>
      <c r="AA103" s="32" t="str">
        <f>Tabla283132[[#This Row],[Categorías Hacienda]]</f>
        <v>Vaquillona 15-27</v>
      </c>
      <c r="AB103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Hacienda])*(Producción_Ganadera[Cabezas]))</f>
        <v>0</v>
      </c>
      <c r="AC103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Hacienda])*(Producción_Ganadera[Cabezas]))</f>
        <v>0</v>
      </c>
      <c r="AD103" s="31">
        <f>Tabla28313243[[#This Row],[Cabezas Cierre]]-Tabla28313243[[#This Row],[Cabezas Inicio]]</f>
        <v>0</v>
      </c>
      <c r="AE103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Hacienda])*(Producción_Ganadera[Kg/Cab]))*Tabla28313243[[#This Row],[Cabezas Inicio]]</f>
        <v>0</v>
      </c>
      <c r="AF103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Hacienda])*(Producción_Ganadera[Kg/Cab]))*Tabla28313243[[#This Row],[Cabezas Cierre]]</f>
        <v>0</v>
      </c>
      <c r="AG103" s="31">
        <f>Tabla28313243[[#This Row],[Kilos Cierre]]+Tabla28313243[[#This Row],[Kilos Inicio]]</f>
        <v>0</v>
      </c>
      <c r="AH103" s="261">
        <f>IFERROR(Tabla28313243[[#This Row],[Stock Inicio]]/Tabla28313243[[#This Row],[Kilos Inicio]],0)</f>
        <v>0</v>
      </c>
      <c r="AI103" s="52">
        <f>IFERROR(Tabla28313243[[#This Row],[Stock Cierre]]/Tabla28313243[[#This Row],[Kilos Cierre]],0)</f>
        <v>0</v>
      </c>
      <c r="AJ103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Hacienda])*(Producción_Ganadera[Económico $Corrientes]))</f>
        <v>0</v>
      </c>
      <c r="AK103" s="9">
        <f>Tabla28313243[[#This Row],[Kilos Inicio]]*Tabla28313243[[#This Row],[U$S/Kg Cierre]]</f>
        <v>0</v>
      </c>
      <c r="AL103" s="31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Hacienda])*(Producción_Ganadera[Económico $Corrientes]))</f>
        <v>0</v>
      </c>
      <c r="AM103" s="257">
        <f>(Tabla28313243[[#This Row],[Kilos Cierre]]+Tabla28313243[[#This Row],[Kilos Inicio]])*Tabla28313243[[#This Row],[U$S/Kg Cierre]]</f>
        <v>0</v>
      </c>
      <c r="AN103" s="10">
        <f>-Tabla28313243[[#This Row],[Kilos Inicio]]*(Tabla28313243[[#This Row],[U$S/Kg Cierre]]-Tabla28313243[[#This Row],[U$S/Kg Inicio]])</f>
        <v>0</v>
      </c>
      <c r="AV103" s="245">
        <f>IFERROR(MATCH(Tabla2831324352[[#This Row],[Categorías Hacienda]],Produccion_Ganadera[Categoría],0),0)</f>
        <v>6</v>
      </c>
      <c r="AW103" s="32" t="str">
        <f>Tabla283132[[#This Row],[Categorías Hacienda]]</f>
        <v>Vaquillona 15-27</v>
      </c>
      <c r="AX103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Hacienda])*(Producción_Ganadera[Cabezas]))</f>
        <v>0</v>
      </c>
      <c r="AY103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Hacienda])*(Producción_Ganadera[Cabezas]))</f>
        <v>0</v>
      </c>
      <c r="AZ103" s="31">
        <f>Tabla2831324352[[#This Row],[Cabezas Cierre]]-Tabla2831324352[[#This Row],[Cabezas Inicio]]</f>
        <v>0</v>
      </c>
      <c r="BA103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Hacienda])*(Producción_Ganadera[Kg/Cab]))*Tabla2831324352[[#This Row],[Cabezas Inicio]]</f>
        <v>0</v>
      </c>
      <c r="BB103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Hacienda])*(Producción_Ganadera[Kg/Cab]))*Tabla2831324352[[#This Row],[Cabezas Cierre]]</f>
        <v>0</v>
      </c>
      <c r="BC103" s="31">
        <f>Tabla2831324352[[#This Row],[Kilos Cierre]]+Tabla2831324352[[#This Row],[Kilos Inicio]]</f>
        <v>0</v>
      </c>
      <c r="BD103" s="261">
        <f>IFERROR(Tabla2831324352[[#This Row],[Stock Inicio]]/Tabla2831324352[[#This Row],[Kilos Inicio]],0)</f>
        <v>0</v>
      </c>
      <c r="BE103" s="52">
        <f>IFERROR(Tabla2831324352[[#This Row],[Stock Cierre]]/Tabla2831324352[[#This Row],[Kilos Cierre]],0)</f>
        <v>0</v>
      </c>
      <c r="BF103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Hacienda])*(Producción_Ganadera[Económico $Constantes]))</f>
        <v>0</v>
      </c>
      <c r="BG103" s="9">
        <f>Tabla2831324352[[#This Row],[Kilos Inicio]]*Tabla2831324352[[#This Row],[U$S/Kg Cierre]]</f>
        <v>0</v>
      </c>
      <c r="BH103" s="31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Hacienda])*(Producción_Ganadera[Económico $Constantes]))</f>
        <v>0</v>
      </c>
      <c r="BI103" s="257">
        <f>(Tabla2831324352[[#This Row],[Kilos Cierre]]+Tabla2831324352[[#This Row],[Kilos Inicio]])*Tabla2831324352[[#This Row],[U$S/Kg Cierre]]</f>
        <v>0</v>
      </c>
      <c r="BJ103" s="10">
        <f>-Tabla2831324352[[#This Row],[Kilos Inicio]]*(Tabla2831324352[[#This Row],[U$S/Kg Cierre]]-Tabla2831324352[[#This Row],[U$S/Kg Inicio]])</f>
        <v>0</v>
      </c>
    </row>
    <row r="104" spans="2:62" x14ac:dyDescent="0.25">
      <c r="D104" s="245">
        <f>IFERROR(MATCH(Tabla283132[[#This Row],[Categorías Hacienda]],Produccion_Ganadera[Categoría],0),0)</f>
        <v>7</v>
      </c>
      <c r="E104" s="32" t="str">
        <f>Configuración!AZ11</f>
        <v>Ternera</v>
      </c>
      <c r="F104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Hacienda])*(Producción_Ganadera[Cabezas]))</f>
        <v>0</v>
      </c>
      <c r="G104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Hacienda])*(Producción_Ganadera[Cabezas]))</f>
        <v>0</v>
      </c>
      <c r="H104" s="31">
        <f>Tabla283132[[#This Row],[Cabezas Cierre]]-Tabla283132[[#This Row],[Cabezas Inicio]]</f>
        <v>0</v>
      </c>
      <c r="I104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Hacienda])*(Producción_Ganadera[Kg/Cab]))*Tabla283132[[#This Row],[Cabezas Inicio]]</f>
        <v>0</v>
      </c>
      <c r="J104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Hacienda])*(Producción_Ganadera[Kg/Cab]))*Tabla283132[[#This Row],[Cabezas Cierre]]</f>
        <v>0</v>
      </c>
      <c r="K104" s="31">
        <f>Tabla283132[[#This Row],[Kilos Cierre]]+Tabla283132[[#This Row],[Kilos Inicio]]</f>
        <v>0</v>
      </c>
      <c r="L104" s="261">
        <f>IFERROR(Tabla283132[[#This Row],[Stock Inicio]]/Tabla283132[[#This Row],[Kilos Inicio]],0)</f>
        <v>0</v>
      </c>
      <c r="M104" s="52">
        <f>IFERROR(Tabla283132[[#This Row],[Stock Cierre]]/Tabla283132[[#This Row],[Kilos Cierre]],0)</f>
        <v>0</v>
      </c>
      <c r="N104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Hacienda])*(Producción_Ganadera[Económico U$S Dólares]))</f>
        <v>0</v>
      </c>
      <c r="O104" s="9">
        <f>Tabla283132[[#This Row],[Kilos Inicio]]*Tabla283132[[#This Row],[U$S/Kg Cierre]]</f>
        <v>0</v>
      </c>
      <c r="P104" s="31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Hacienda])*(Producción_Ganadera[Económico U$S Dólares]))</f>
        <v>0</v>
      </c>
      <c r="Q104" s="257">
        <f>(Tabla283132[[#This Row],[Kilos Cierre]]+Tabla283132[[#This Row],[Kilos Inicio]])*Tabla283132[[#This Row],[U$S/Kg Cierre]]</f>
        <v>0</v>
      </c>
      <c r="R104" s="10">
        <f>-Tabla283132[[#This Row],[Kilos Inicio]]*(Tabla283132[[#This Row],[U$S/Kg Cierre]]-Tabla283132[[#This Row],[U$S/Kg Inicio]])</f>
        <v>0</v>
      </c>
      <c r="Z104" s="245">
        <f>IFERROR(MATCH(Tabla28313243[[#This Row],[Categorías Hacienda]],Produccion_Ganadera[Categoría],0),0)</f>
        <v>7</v>
      </c>
      <c r="AA104" s="32" t="str">
        <f>Tabla283132[[#This Row],[Categorías Hacienda]]</f>
        <v>Ternera</v>
      </c>
      <c r="AB104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Hacienda])*(Producción_Ganadera[Cabezas]))</f>
        <v>0</v>
      </c>
      <c r="AC104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Hacienda])*(Producción_Ganadera[Cabezas]))</f>
        <v>0</v>
      </c>
      <c r="AD104" s="31">
        <f>Tabla28313243[[#This Row],[Cabezas Cierre]]-Tabla28313243[[#This Row],[Cabezas Inicio]]</f>
        <v>0</v>
      </c>
      <c r="AE104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Hacienda])*(Producción_Ganadera[Kg/Cab]))*Tabla28313243[[#This Row],[Cabezas Inicio]]</f>
        <v>0</v>
      </c>
      <c r="AF104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Hacienda])*(Producción_Ganadera[Kg/Cab]))*Tabla28313243[[#This Row],[Cabezas Cierre]]</f>
        <v>0</v>
      </c>
      <c r="AG104" s="31">
        <f>Tabla28313243[[#This Row],[Kilos Cierre]]+Tabla28313243[[#This Row],[Kilos Inicio]]</f>
        <v>0</v>
      </c>
      <c r="AH104" s="261">
        <f>IFERROR(Tabla28313243[[#This Row],[Stock Inicio]]/Tabla28313243[[#This Row],[Kilos Inicio]],0)</f>
        <v>0</v>
      </c>
      <c r="AI104" s="52">
        <f>IFERROR(Tabla28313243[[#This Row],[Stock Cierre]]/Tabla28313243[[#This Row],[Kilos Cierre]],0)</f>
        <v>0</v>
      </c>
      <c r="AJ104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Hacienda])*(Producción_Ganadera[Económico $Corrientes]))</f>
        <v>0</v>
      </c>
      <c r="AK104" s="9">
        <f>Tabla28313243[[#This Row],[Kilos Inicio]]*Tabla28313243[[#This Row],[U$S/Kg Cierre]]</f>
        <v>0</v>
      </c>
      <c r="AL104" s="31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Hacienda])*(Producción_Ganadera[Económico $Corrientes]))</f>
        <v>0</v>
      </c>
      <c r="AM104" s="257">
        <f>(Tabla28313243[[#This Row],[Kilos Cierre]]+Tabla28313243[[#This Row],[Kilos Inicio]])*Tabla28313243[[#This Row],[U$S/Kg Cierre]]</f>
        <v>0</v>
      </c>
      <c r="AN104" s="10">
        <f>-Tabla28313243[[#This Row],[Kilos Inicio]]*(Tabla28313243[[#This Row],[U$S/Kg Cierre]]-Tabla28313243[[#This Row],[U$S/Kg Inicio]])</f>
        <v>0</v>
      </c>
      <c r="AV104" s="245">
        <f>IFERROR(MATCH(Tabla2831324352[[#This Row],[Categorías Hacienda]],Produccion_Ganadera[Categoría],0),0)</f>
        <v>7</v>
      </c>
      <c r="AW104" s="32" t="str">
        <f>Tabla283132[[#This Row],[Categorías Hacienda]]</f>
        <v>Ternera</v>
      </c>
      <c r="AX104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Hacienda])*(Producción_Ganadera[Cabezas]))</f>
        <v>0</v>
      </c>
      <c r="AY104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Hacienda])*(Producción_Ganadera[Cabezas]))</f>
        <v>0</v>
      </c>
      <c r="AZ104" s="31">
        <f>Tabla2831324352[[#This Row],[Cabezas Cierre]]-Tabla2831324352[[#This Row],[Cabezas Inicio]]</f>
        <v>0</v>
      </c>
      <c r="BA104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Hacienda])*(Producción_Ganadera[Kg/Cab]))*Tabla2831324352[[#This Row],[Cabezas Inicio]]</f>
        <v>0</v>
      </c>
      <c r="BB104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Hacienda])*(Producción_Ganadera[Kg/Cab]))*Tabla2831324352[[#This Row],[Cabezas Cierre]]</f>
        <v>0</v>
      </c>
      <c r="BC104" s="31">
        <f>Tabla2831324352[[#This Row],[Kilos Cierre]]+Tabla2831324352[[#This Row],[Kilos Inicio]]</f>
        <v>0</v>
      </c>
      <c r="BD104" s="261">
        <f>IFERROR(Tabla2831324352[[#This Row],[Stock Inicio]]/Tabla2831324352[[#This Row],[Kilos Inicio]],0)</f>
        <v>0</v>
      </c>
      <c r="BE104" s="52">
        <f>IFERROR(Tabla2831324352[[#This Row],[Stock Cierre]]/Tabla2831324352[[#This Row],[Kilos Cierre]],0)</f>
        <v>0</v>
      </c>
      <c r="BF104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Hacienda])*(Producción_Ganadera[Económico $Constantes]))</f>
        <v>0</v>
      </c>
      <c r="BG104" s="9">
        <f>Tabla2831324352[[#This Row],[Kilos Inicio]]*Tabla2831324352[[#This Row],[U$S/Kg Cierre]]</f>
        <v>0</v>
      </c>
      <c r="BH104" s="31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Hacienda])*(Producción_Ganadera[Económico $Constantes]))</f>
        <v>0</v>
      </c>
      <c r="BI104" s="257">
        <f>(Tabla2831324352[[#This Row],[Kilos Cierre]]+Tabla2831324352[[#This Row],[Kilos Inicio]])*Tabla2831324352[[#This Row],[U$S/Kg Cierre]]</f>
        <v>0</v>
      </c>
      <c r="BJ104" s="10">
        <f>-Tabla2831324352[[#This Row],[Kilos Inicio]]*(Tabla2831324352[[#This Row],[U$S/Kg Cierre]]-Tabla2831324352[[#This Row],[U$S/Kg Inicio]])</f>
        <v>0</v>
      </c>
    </row>
    <row r="105" spans="2:62" x14ac:dyDescent="0.25">
      <c r="D105" s="245">
        <f>IFERROR(MATCH(Tabla283132[[#This Row],[Categorías Hacienda]],Produccion_Ganadera[Categoría],0),0)</f>
        <v>8</v>
      </c>
      <c r="E105" s="32" t="str">
        <f>Configuración!AZ12</f>
        <v>Ternero</v>
      </c>
      <c r="F105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Hacienda])*(Producción_Ganadera[Cabezas]))</f>
        <v>0</v>
      </c>
      <c r="G105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Hacienda])*(Producción_Ganadera[Cabezas]))</f>
        <v>0</v>
      </c>
      <c r="H105" s="31">
        <f>Tabla283132[[#This Row],[Cabezas Cierre]]-Tabla283132[[#This Row],[Cabezas Inicio]]</f>
        <v>0</v>
      </c>
      <c r="I105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Hacienda])*(Producción_Ganadera[Kg/Cab]))*Tabla283132[[#This Row],[Cabezas Inicio]]</f>
        <v>0</v>
      </c>
      <c r="J105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Hacienda])*(Producción_Ganadera[Kg/Cab]))*Tabla283132[[#This Row],[Cabezas Cierre]]</f>
        <v>0</v>
      </c>
      <c r="K105" s="31">
        <f>Tabla283132[[#This Row],[Kilos Cierre]]+Tabla283132[[#This Row],[Kilos Inicio]]</f>
        <v>0</v>
      </c>
      <c r="L105" s="261">
        <f>IFERROR(Tabla283132[[#This Row],[Stock Inicio]]/Tabla283132[[#This Row],[Kilos Inicio]],0)</f>
        <v>0</v>
      </c>
      <c r="M105" s="52">
        <f>IFERROR(Tabla283132[[#This Row],[Stock Cierre]]/Tabla283132[[#This Row],[Kilos Cierre]],0)</f>
        <v>0</v>
      </c>
      <c r="N105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Hacienda])*(Producción_Ganadera[Económico U$S Dólares]))</f>
        <v>0</v>
      </c>
      <c r="O105" s="9">
        <f>Tabla283132[[#This Row],[Kilos Inicio]]*Tabla283132[[#This Row],[U$S/Kg Cierre]]</f>
        <v>0</v>
      </c>
      <c r="P105" s="31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Hacienda])*(Producción_Ganadera[Económico U$S Dólares]))</f>
        <v>0</v>
      </c>
      <c r="Q105" s="257">
        <f>(Tabla283132[[#This Row],[Kilos Cierre]]+Tabla283132[[#This Row],[Kilos Inicio]])*Tabla283132[[#This Row],[U$S/Kg Cierre]]</f>
        <v>0</v>
      </c>
      <c r="R105" s="10">
        <f>-Tabla283132[[#This Row],[Kilos Inicio]]*(Tabla283132[[#This Row],[U$S/Kg Cierre]]-Tabla283132[[#This Row],[U$S/Kg Inicio]])</f>
        <v>0</v>
      </c>
      <c r="Z105" s="245">
        <f>IFERROR(MATCH(Tabla28313243[[#This Row],[Categorías Hacienda]],Produccion_Ganadera[Categoría],0),0)</f>
        <v>8</v>
      </c>
      <c r="AA105" s="32" t="str">
        <f>Tabla283132[[#This Row],[Categorías Hacienda]]</f>
        <v>Ternero</v>
      </c>
      <c r="AB105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Hacienda])*(Producción_Ganadera[Cabezas]))</f>
        <v>0</v>
      </c>
      <c r="AC105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Hacienda])*(Producción_Ganadera[Cabezas]))</f>
        <v>0</v>
      </c>
      <c r="AD105" s="31">
        <f>Tabla28313243[[#This Row],[Cabezas Cierre]]-Tabla28313243[[#This Row],[Cabezas Inicio]]</f>
        <v>0</v>
      </c>
      <c r="AE105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Hacienda])*(Producción_Ganadera[Kg/Cab]))*Tabla28313243[[#This Row],[Cabezas Inicio]]</f>
        <v>0</v>
      </c>
      <c r="AF105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Hacienda])*(Producción_Ganadera[Kg/Cab]))*Tabla28313243[[#This Row],[Cabezas Cierre]]</f>
        <v>0</v>
      </c>
      <c r="AG105" s="31">
        <f>Tabla28313243[[#This Row],[Kilos Cierre]]+Tabla28313243[[#This Row],[Kilos Inicio]]</f>
        <v>0</v>
      </c>
      <c r="AH105" s="261">
        <f>IFERROR(Tabla28313243[[#This Row],[Stock Inicio]]/Tabla28313243[[#This Row],[Kilos Inicio]],0)</f>
        <v>0</v>
      </c>
      <c r="AI105" s="52">
        <f>IFERROR(Tabla28313243[[#This Row],[Stock Cierre]]/Tabla28313243[[#This Row],[Kilos Cierre]],0)</f>
        <v>0</v>
      </c>
      <c r="AJ105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Hacienda])*(Producción_Ganadera[Económico $Corrientes]))</f>
        <v>0</v>
      </c>
      <c r="AK105" s="9">
        <f>Tabla28313243[[#This Row],[Kilos Inicio]]*Tabla28313243[[#This Row],[U$S/Kg Cierre]]</f>
        <v>0</v>
      </c>
      <c r="AL105" s="31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Hacienda])*(Producción_Ganadera[Económico $Corrientes]))</f>
        <v>0</v>
      </c>
      <c r="AM105" s="257">
        <f>(Tabla28313243[[#This Row],[Kilos Cierre]]+Tabla28313243[[#This Row],[Kilos Inicio]])*Tabla28313243[[#This Row],[U$S/Kg Cierre]]</f>
        <v>0</v>
      </c>
      <c r="AN105" s="10">
        <f>-Tabla28313243[[#This Row],[Kilos Inicio]]*(Tabla28313243[[#This Row],[U$S/Kg Cierre]]-Tabla28313243[[#This Row],[U$S/Kg Inicio]])</f>
        <v>0</v>
      </c>
      <c r="AV105" s="245">
        <f>IFERROR(MATCH(Tabla2831324352[[#This Row],[Categorías Hacienda]],Produccion_Ganadera[Categoría],0),0)</f>
        <v>8</v>
      </c>
      <c r="AW105" s="32" t="str">
        <f>Tabla283132[[#This Row],[Categorías Hacienda]]</f>
        <v>Ternero</v>
      </c>
      <c r="AX105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Hacienda])*(Producción_Ganadera[Cabezas]))</f>
        <v>0</v>
      </c>
      <c r="AY105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Hacienda])*(Producción_Ganadera[Cabezas]))</f>
        <v>0</v>
      </c>
      <c r="AZ105" s="31">
        <f>Tabla2831324352[[#This Row],[Cabezas Cierre]]-Tabla2831324352[[#This Row],[Cabezas Inicio]]</f>
        <v>0</v>
      </c>
      <c r="BA105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Hacienda])*(Producción_Ganadera[Kg/Cab]))*Tabla2831324352[[#This Row],[Cabezas Inicio]]</f>
        <v>0</v>
      </c>
      <c r="BB105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Hacienda])*(Producción_Ganadera[Kg/Cab]))*Tabla2831324352[[#This Row],[Cabezas Cierre]]</f>
        <v>0</v>
      </c>
      <c r="BC105" s="31">
        <f>Tabla2831324352[[#This Row],[Kilos Cierre]]+Tabla2831324352[[#This Row],[Kilos Inicio]]</f>
        <v>0</v>
      </c>
      <c r="BD105" s="261">
        <f>IFERROR(Tabla2831324352[[#This Row],[Stock Inicio]]/Tabla2831324352[[#This Row],[Kilos Inicio]],0)</f>
        <v>0</v>
      </c>
      <c r="BE105" s="52">
        <f>IFERROR(Tabla2831324352[[#This Row],[Stock Cierre]]/Tabla2831324352[[#This Row],[Kilos Cierre]],0)</f>
        <v>0</v>
      </c>
      <c r="BF105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Hacienda])*(Producción_Ganadera[Económico $Constantes]))</f>
        <v>0</v>
      </c>
      <c r="BG105" s="9">
        <f>Tabla2831324352[[#This Row],[Kilos Inicio]]*Tabla2831324352[[#This Row],[U$S/Kg Cierre]]</f>
        <v>0</v>
      </c>
      <c r="BH105" s="31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Hacienda])*(Producción_Ganadera[Económico $Constantes]))</f>
        <v>0</v>
      </c>
      <c r="BI105" s="257">
        <f>(Tabla2831324352[[#This Row],[Kilos Cierre]]+Tabla2831324352[[#This Row],[Kilos Inicio]])*Tabla2831324352[[#This Row],[U$S/Kg Cierre]]</f>
        <v>0</v>
      </c>
      <c r="BJ105" s="10">
        <f>-Tabla2831324352[[#This Row],[Kilos Inicio]]*(Tabla2831324352[[#This Row],[U$S/Kg Cierre]]-Tabla2831324352[[#This Row],[U$S/Kg Inicio]])</f>
        <v>0</v>
      </c>
    </row>
    <row r="106" spans="2:62" x14ac:dyDescent="0.25">
      <c r="D106" s="245">
        <f>IFERROR(MATCH(Tabla283132[[#This Row],[Categorías Hacienda]],Produccion_Ganadera[Categoría],0),0)</f>
        <v>9</v>
      </c>
      <c r="E106" s="32" t="str">
        <f>Configuración!AZ13</f>
        <v>Toro</v>
      </c>
      <c r="F106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Hacienda])*(Producción_Ganadera[Cabezas]))</f>
        <v>0</v>
      </c>
      <c r="G106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Hacienda])*(Producción_Ganadera[Cabezas]))</f>
        <v>0</v>
      </c>
      <c r="H106" s="31">
        <f>Tabla283132[[#This Row],[Cabezas Cierre]]-Tabla283132[[#This Row],[Cabezas Inicio]]</f>
        <v>0</v>
      </c>
      <c r="I106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Hacienda])*(Producción_Ganadera[Kg/Cab]))*Tabla283132[[#This Row],[Cabezas Inicio]]</f>
        <v>0</v>
      </c>
      <c r="J106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Hacienda])*(Producción_Ganadera[Kg/Cab]))*Tabla283132[[#This Row],[Cabezas Cierre]]</f>
        <v>0</v>
      </c>
      <c r="K106" s="31">
        <f>Tabla283132[[#This Row],[Kilos Cierre]]+Tabla283132[[#This Row],[Kilos Inicio]]</f>
        <v>0</v>
      </c>
      <c r="L106" s="261">
        <f>IFERROR(Tabla283132[[#This Row],[Stock Inicio]]/Tabla283132[[#This Row],[Kilos Inicio]],0)</f>
        <v>0</v>
      </c>
      <c r="M106" s="52">
        <f>IFERROR(Tabla283132[[#This Row],[Stock Cierre]]/Tabla283132[[#This Row],[Kilos Cierre]],0)</f>
        <v>0</v>
      </c>
      <c r="N106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Hacienda])*(Producción_Ganadera[Económico U$S Dólares]))</f>
        <v>0</v>
      </c>
      <c r="O106" s="9">
        <f>Tabla283132[[#This Row],[Kilos Inicio]]*Tabla283132[[#This Row],[U$S/Kg Cierre]]</f>
        <v>0</v>
      </c>
      <c r="P106" s="31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Hacienda])*(Producción_Ganadera[Económico U$S Dólares]))</f>
        <v>0</v>
      </c>
      <c r="Q106" s="257">
        <f>(Tabla283132[[#This Row],[Kilos Cierre]]+Tabla283132[[#This Row],[Kilos Inicio]])*Tabla283132[[#This Row],[U$S/Kg Cierre]]</f>
        <v>0</v>
      </c>
      <c r="R106" s="10">
        <f>-Tabla283132[[#This Row],[Kilos Inicio]]*(Tabla283132[[#This Row],[U$S/Kg Cierre]]-Tabla283132[[#This Row],[U$S/Kg Inicio]])</f>
        <v>0</v>
      </c>
      <c r="Z106" s="245">
        <f>IFERROR(MATCH(Tabla28313243[[#This Row],[Categorías Hacienda]],Produccion_Ganadera[Categoría],0),0)</f>
        <v>9</v>
      </c>
      <c r="AA106" s="32" t="str">
        <f>Tabla283132[[#This Row],[Categorías Hacienda]]</f>
        <v>Toro</v>
      </c>
      <c r="AB106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Hacienda])*(Producción_Ganadera[Cabezas]))</f>
        <v>0</v>
      </c>
      <c r="AC106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Hacienda])*(Producción_Ganadera[Cabezas]))</f>
        <v>0</v>
      </c>
      <c r="AD106" s="31">
        <f>Tabla28313243[[#This Row],[Cabezas Cierre]]-Tabla28313243[[#This Row],[Cabezas Inicio]]</f>
        <v>0</v>
      </c>
      <c r="AE106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Hacienda])*(Producción_Ganadera[Kg/Cab]))*Tabla28313243[[#This Row],[Cabezas Inicio]]</f>
        <v>0</v>
      </c>
      <c r="AF106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Hacienda])*(Producción_Ganadera[Kg/Cab]))*Tabla28313243[[#This Row],[Cabezas Cierre]]</f>
        <v>0</v>
      </c>
      <c r="AG106" s="31">
        <f>Tabla28313243[[#This Row],[Kilos Cierre]]+Tabla28313243[[#This Row],[Kilos Inicio]]</f>
        <v>0</v>
      </c>
      <c r="AH106" s="261">
        <f>IFERROR(Tabla28313243[[#This Row],[Stock Inicio]]/Tabla28313243[[#This Row],[Kilos Inicio]],0)</f>
        <v>0</v>
      </c>
      <c r="AI106" s="52">
        <f>IFERROR(Tabla28313243[[#This Row],[Stock Cierre]]/Tabla28313243[[#This Row],[Kilos Cierre]],0)</f>
        <v>0</v>
      </c>
      <c r="AJ106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Hacienda])*(Producción_Ganadera[Económico $Corrientes]))</f>
        <v>0</v>
      </c>
      <c r="AK106" s="9">
        <f>Tabla28313243[[#This Row],[Kilos Inicio]]*Tabla28313243[[#This Row],[U$S/Kg Cierre]]</f>
        <v>0</v>
      </c>
      <c r="AL106" s="31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Hacienda])*(Producción_Ganadera[Económico $Corrientes]))</f>
        <v>0</v>
      </c>
      <c r="AM106" s="257">
        <f>(Tabla28313243[[#This Row],[Kilos Cierre]]+Tabla28313243[[#This Row],[Kilos Inicio]])*Tabla28313243[[#This Row],[U$S/Kg Cierre]]</f>
        <v>0</v>
      </c>
      <c r="AN106" s="10">
        <f>-Tabla28313243[[#This Row],[Kilos Inicio]]*(Tabla28313243[[#This Row],[U$S/Kg Cierre]]-Tabla28313243[[#This Row],[U$S/Kg Inicio]])</f>
        <v>0</v>
      </c>
      <c r="AV106" s="245">
        <f>IFERROR(MATCH(Tabla2831324352[[#This Row],[Categorías Hacienda]],Produccion_Ganadera[Categoría],0),0)</f>
        <v>9</v>
      </c>
      <c r="AW106" s="32" t="str">
        <f>Tabla283132[[#This Row],[Categorías Hacienda]]</f>
        <v>Toro</v>
      </c>
      <c r="AX106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Hacienda])*(Producción_Ganadera[Cabezas]))</f>
        <v>0</v>
      </c>
      <c r="AY106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Hacienda])*(Producción_Ganadera[Cabezas]))</f>
        <v>0</v>
      </c>
      <c r="AZ106" s="31">
        <f>Tabla2831324352[[#This Row],[Cabezas Cierre]]-Tabla2831324352[[#This Row],[Cabezas Inicio]]</f>
        <v>0</v>
      </c>
      <c r="BA106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Hacienda])*(Producción_Ganadera[Kg/Cab]))*Tabla2831324352[[#This Row],[Cabezas Inicio]]</f>
        <v>0</v>
      </c>
      <c r="BB106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Hacienda])*(Producción_Ganadera[Kg/Cab]))*Tabla2831324352[[#This Row],[Cabezas Cierre]]</f>
        <v>0</v>
      </c>
      <c r="BC106" s="31">
        <f>Tabla2831324352[[#This Row],[Kilos Cierre]]+Tabla2831324352[[#This Row],[Kilos Inicio]]</f>
        <v>0</v>
      </c>
      <c r="BD106" s="261">
        <f>IFERROR(Tabla2831324352[[#This Row],[Stock Inicio]]/Tabla2831324352[[#This Row],[Kilos Inicio]],0)</f>
        <v>0</v>
      </c>
      <c r="BE106" s="52">
        <f>IFERROR(Tabla2831324352[[#This Row],[Stock Cierre]]/Tabla2831324352[[#This Row],[Kilos Cierre]],0)</f>
        <v>0</v>
      </c>
      <c r="BF106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Hacienda])*(Producción_Ganadera[Económico $Constantes]))</f>
        <v>0</v>
      </c>
      <c r="BG106" s="9">
        <f>Tabla2831324352[[#This Row],[Kilos Inicio]]*Tabla2831324352[[#This Row],[U$S/Kg Cierre]]</f>
        <v>0</v>
      </c>
      <c r="BH106" s="31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Hacienda])*(Producción_Ganadera[Económico $Constantes]))</f>
        <v>0</v>
      </c>
      <c r="BI106" s="257">
        <f>(Tabla2831324352[[#This Row],[Kilos Cierre]]+Tabla2831324352[[#This Row],[Kilos Inicio]])*Tabla2831324352[[#This Row],[U$S/Kg Cierre]]</f>
        <v>0</v>
      </c>
      <c r="BJ106" s="10">
        <f>-Tabla2831324352[[#This Row],[Kilos Inicio]]*(Tabla2831324352[[#This Row],[U$S/Kg Cierre]]-Tabla2831324352[[#This Row],[U$S/Kg Inicio]])</f>
        <v>0</v>
      </c>
    </row>
    <row r="107" spans="2:62" x14ac:dyDescent="0.25">
      <c r="D107" s="245">
        <f>IFERROR(MATCH(Tabla283132[[#This Row],[Categorías Hacienda]],Produccion_Ganadera[Categoría],0),0)</f>
        <v>10</v>
      </c>
      <c r="E107" s="32" t="str">
        <f>Configuración!AZ14</f>
        <v>Toro Descarte</v>
      </c>
      <c r="F107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Hacienda])*(Producción_Ganadera[Cabezas]))</f>
        <v>0</v>
      </c>
      <c r="G107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Hacienda])*(Producción_Ganadera[Cabezas]))</f>
        <v>0</v>
      </c>
      <c r="H107" s="31">
        <f>Tabla283132[[#This Row],[Cabezas Cierre]]-Tabla283132[[#This Row],[Cabezas Inicio]]</f>
        <v>0</v>
      </c>
      <c r="I107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Hacienda])*(Producción_Ganadera[Kg/Cab]))*Tabla283132[[#This Row],[Cabezas Inicio]]</f>
        <v>0</v>
      </c>
      <c r="J107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Hacienda])*(Producción_Ganadera[Kg/Cab]))*Tabla283132[[#This Row],[Cabezas Cierre]]</f>
        <v>0</v>
      </c>
      <c r="K107" s="31">
        <f>Tabla283132[[#This Row],[Kilos Cierre]]+Tabla283132[[#This Row],[Kilos Inicio]]</f>
        <v>0</v>
      </c>
      <c r="L107" s="261">
        <f>IFERROR(Tabla283132[[#This Row],[Stock Inicio]]/Tabla283132[[#This Row],[Kilos Inicio]],0)</f>
        <v>0</v>
      </c>
      <c r="M107" s="52">
        <f>IFERROR(Tabla283132[[#This Row],[Stock Cierre]]/Tabla283132[[#This Row],[Kilos Cierre]],0)</f>
        <v>0</v>
      </c>
      <c r="N107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Hacienda])*(Producción_Ganadera[Económico U$S Dólares]))</f>
        <v>0</v>
      </c>
      <c r="O107" s="9">
        <f>Tabla283132[[#This Row],[Kilos Inicio]]*Tabla283132[[#This Row],[U$S/Kg Cierre]]</f>
        <v>0</v>
      </c>
      <c r="P107" s="31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Hacienda])*(Producción_Ganadera[Económico U$S Dólares]))</f>
        <v>0</v>
      </c>
      <c r="Q107" s="257">
        <f>(Tabla283132[[#This Row],[Kilos Cierre]]+Tabla283132[[#This Row],[Kilos Inicio]])*Tabla283132[[#This Row],[U$S/Kg Cierre]]</f>
        <v>0</v>
      </c>
      <c r="R107" s="10">
        <f>-Tabla283132[[#This Row],[Kilos Inicio]]*(Tabla283132[[#This Row],[U$S/Kg Cierre]]-Tabla283132[[#This Row],[U$S/Kg Inicio]])</f>
        <v>0</v>
      </c>
      <c r="Z107" s="245">
        <f>IFERROR(MATCH(Tabla28313243[[#This Row],[Categorías Hacienda]],Produccion_Ganadera[Categoría],0),0)</f>
        <v>10</v>
      </c>
      <c r="AA107" s="32" t="str">
        <f>Tabla283132[[#This Row],[Categorías Hacienda]]</f>
        <v>Toro Descarte</v>
      </c>
      <c r="AB107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Hacienda])*(Producción_Ganadera[Cabezas]))</f>
        <v>0</v>
      </c>
      <c r="AC107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Hacienda])*(Producción_Ganadera[Cabezas]))</f>
        <v>0</v>
      </c>
      <c r="AD107" s="31">
        <f>Tabla28313243[[#This Row],[Cabezas Cierre]]-Tabla28313243[[#This Row],[Cabezas Inicio]]</f>
        <v>0</v>
      </c>
      <c r="AE107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Hacienda])*(Producción_Ganadera[Kg/Cab]))*Tabla28313243[[#This Row],[Cabezas Inicio]]</f>
        <v>0</v>
      </c>
      <c r="AF107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Hacienda])*(Producción_Ganadera[Kg/Cab]))*Tabla28313243[[#This Row],[Cabezas Cierre]]</f>
        <v>0</v>
      </c>
      <c r="AG107" s="31">
        <f>Tabla28313243[[#This Row],[Kilos Cierre]]+Tabla28313243[[#This Row],[Kilos Inicio]]</f>
        <v>0</v>
      </c>
      <c r="AH107" s="261">
        <f>IFERROR(Tabla28313243[[#This Row],[Stock Inicio]]/Tabla28313243[[#This Row],[Kilos Inicio]],0)</f>
        <v>0</v>
      </c>
      <c r="AI107" s="52">
        <f>IFERROR(Tabla28313243[[#This Row],[Stock Cierre]]/Tabla28313243[[#This Row],[Kilos Cierre]],0)</f>
        <v>0</v>
      </c>
      <c r="AJ107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Hacienda])*(Producción_Ganadera[Económico $Corrientes]))</f>
        <v>0</v>
      </c>
      <c r="AK107" s="9">
        <f>Tabla28313243[[#This Row],[Kilos Inicio]]*Tabla28313243[[#This Row],[U$S/Kg Cierre]]</f>
        <v>0</v>
      </c>
      <c r="AL107" s="31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Hacienda])*(Producción_Ganadera[Económico $Corrientes]))</f>
        <v>0</v>
      </c>
      <c r="AM107" s="257">
        <f>(Tabla28313243[[#This Row],[Kilos Cierre]]+Tabla28313243[[#This Row],[Kilos Inicio]])*Tabla28313243[[#This Row],[U$S/Kg Cierre]]</f>
        <v>0</v>
      </c>
      <c r="AN107" s="10">
        <f>-Tabla28313243[[#This Row],[Kilos Inicio]]*(Tabla28313243[[#This Row],[U$S/Kg Cierre]]-Tabla28313243[[#This Row],[U$S/Kg Inicio]])</f>
        <v>0</v>
      </c>
      <c r="AV107" s="245">
        <f>IFERROR(MATCH(Tabla2831324352[[#This Row],[Categorías Hacienda]],Produccion_Ganadera[Categoría],0),0)</f>
        <v>10</v>
      </c>
      <c r="AW107" s="32" t="str">
        <f>Tabla283132[[#This Row],[Categorías Hacienda]]</f>
        <v>Toro Descarte</v>
      </c>
      <c r="AX107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Hacienda])*(Producción_Ganadera[Cabezas]))</f>
        <v>0</v>
      </c>
      <c r="AY107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Hacienda])*(Producción_Ganadera[Cabezas]))</f>
        <v>0</v>
      </c>
      <c r="AZ107" s="31">
        <f>Tabla2831324352[[#This Row],[Cabezas Cierre]]-Tabla2831324352[[#This Row],[Cabezas Inicio]]</f>
        <v>0</v>
      </c>
      <c r="BA107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Hacienda])*(Producción_Ganadera[Kg/Cab]))*Tabla2831324352[[#This Row],[Cabezas Inicio]]</f>
        <v>0</v>
      </c>
      <c r="BB107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Hacienda])*(Producción_Ganadera[Kg/Cab]))*Tabla2831324352[[#This Row],[Cabezas Cierre]]</f>
        <v>0</v>
      </c>
      <c r="BC107" s="31">
        <f>Tabla2831324352[[#This Row],[Kilos Cierre]]+Tabla2831324352[[#This Row],[Kilos Inicio]]</f>
        <v>0</v>
      </c>
      <c r="BD107" s="261">
        <f>IFERROR(Tabla2831324352[[#This Row],[Stock Inicio]]/Tabla2831324352[[#This Row],[Kilos Inicio]],0)</f>
        <v>0</v>
      </c>
      <c r="BE107" s="52">
        <f>IFERROR(Tabla2831324352[[#This Row],[Stock Cierre]]/Tabla2831324352[[#This Row],[Kilos Cierre]],0)</f>
        <v>0</v>
      </c>
      <c r="BF107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Hacienda])*(Producción_Ganadera[Económico $Constantes]))</f>
        <v>0</v>
      </c>
      <c r="BG107" s="9">
        <f>Tabla2831324352[[#This Row],[Kilos Inicio]]*Tabla2831324352[[#This Row],[U$S/Kg Cierre]]</f>
        <v>0</v>
      </c>
      <c r="BH107" s="31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Hacienda])*(Producción_Ganadera[Económico $Constantes]))</f>
        <v>0</v>
      </c>
      <c r="BI107" s="257">
        <f>(Tabla2831324352[[#This Row],[Kilos Cierre]]+Tabla2831324352[[#This Row],[Kilos Inicio]])*Tabla2831324352[[#This Row],[U$S/Kg Cierre]]</f>
        <v>0</v>
      </c>
      <c r="BJ107" s="10">
        <f>-Tabla2831324352[[#This Row],[Kilos Inicio]]*(Tabla2831324352[[#This Row],[U$S/Kg Cierre]]-Tabla2831324352[[#This Row],[U$S/Kg Inicio]])</f>
        <v>0</v>
      </c>
    </row>
    <row r="108" spans="2:62" x14ac:dyDescent="0.25">
      <c r="D108" s="245">
        <f>IFERROR(MATCH(Tabla283132[[#This Row],[Categorías Hacienda]],Produccion_Ganadera[Categoría],0),0)</f>
        <v>11</v>
      </c>
      <c r="E108" s="32" t="str">
        <f>Configuración!AZ15</f>
        <v>Novillo 06-15</v>
      </c>
      <c r="F108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Hacienda])*(Producción_Ganadera[Cabezas]))</f>
        <v>0</v>
      </c>
      <c r="G108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Hacienda])*(Producción_Ganadera[Cabezas]))</f>
        <v>0</v>
      </c>
      <c r="H108" s="31">
        <f>Tabla283132[[#This Row],[Cabezas Cierre]]-Tabla283132[[#This Row],[Cabezas Inicio]]</f>
        <v>0</v>
      </c>
      <c r="I108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Hacienda])*(Producción_Ganadera[Kg/Cab]))*Tabla283132[[#This Row],[Cabezas Inicio]]</f>
        <v>0</v>
      </c>
      <c r="J108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Hacienda])*(Producción_Ganadera[Kg/Cab]))*Tabla283132[[#This Row],[Cabezas Cierre]]</f>
        <v>0</v>
      </c>
      <c r="K108" s="31">
        <f>Tabla283132[[#This Row],[Kilos Cierre]]+Tabla283132[[#This Row],[Kilos Inicio]]</f>
        <v>0</v>
      </c>
      <c r="L108" s="261">
        <f>IFERROR(Tabla283132[[#This Row],[Stock Inicio]]/Tabla283132[[#This Row],[Kilos Inicio]],0)</f>
        <v>0</v>
      </c>
      <c r="M108" s="52">
        <f>IFERROR(Tabla283132[[#This Row],[Stock Cierre]]/Tabla283132[[#This Row],[Kilos Cierre]],0)</f>
        <v>0</v>
      </c>
      <c r="N108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Hacienda])*(Producción_Ganadera[Económico U$S Dólares]))</f>
        <v>0</v>
      </c>
      <c r="O108" s="9">
        <f>Tabla283132[[#This Row],[Kilos Inicio]]*Tabla283132[[#This Row],[U$S/Kg Cierre]]</f>
        <v>0</v>
      </c>
      <c r="P108" s="31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Hacienda])*(Producción_Ganadera[Económico U$S Dólares]))</f>
        <v>0</v>
      </c>
      <c r="Q108" s="257">
        <f>(Tabla283132[[#This Row],[Kilos Cierre]]+Tabla283132[[#This Row],[Kilos Inicio]])*Tabla283132[[#This Row],[U$S/Kg Cierre]]</f>
        <v>0</v>
      </c>
      <c r="R108" s="10">
        <f>-Tabla283132[[#This Row],[Kilos Inicio]]*(Tabla283132[[#This Row],[U$S/Kg Cierre]]-Tabla283132[[#This Row],[U$S/Kg Inicio]])</f>
        <v>0</v>
      </c>
      <c r="Z108" s="245">
        <f>IFERROR(MATCH(Tabla28313243[[#This Row],[Categorías Hacienda]],Produccion_Ganadera[Categoría],0),0)</f>
        <v>11</v>
      </c>
      <c r="AA108" s="32" t="str">
        <f>Tabla283132[[#This Row],[Categorías Hacienda]]</f>
        <v>Novillo 06-15</v>
      </c>
      <c r="AB108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Hacienda])*(Producción_Ganadera[Cabezas]))</f>
        <v>0</v>
      </c>
      <c r="AC108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Hacienda])*(Producción_Ganadera[Cabezas]))</f>
        <v>0</v>
      </c>
      <c r="AD108" s="31">
        <f>Tabla28313243[[#This Row],[Cabezas Cierre]]-Tabla28313243[[#This Row],[Cabezas Inicio]]</f>
        <v>0</v>
      </c>
      <c r="AE108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Hacienda])*(Producción_Ganadera[Kg/Cab]))*Tabla28313243[[#This Row],[Cabezas Inicio]]</f>
        <v>0</v>
      </c>
      <c r="AF108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Hacienda])*(Producción_Ganadera[Kg/Cab]))*Tabla28313243[[#This Row],[Cabezas Cierre]]</f>
        <v>0</v>
      </c>
      <c r="AG108" s="31">
        <f>Tabla28313243[[#This Row],[Kilos Cierre]]+Tabla28313243[[#This Row],[Kilos Inicio]]</f>
        <v>0</v>
      </c>
      <c r="AH108" s="261">
        <f>IFERROR(Tabla28313243[[#This Row],[Stock Inicio]]/Tabla28313243[[#This Row],[Kilos Inicio]],0)</f>
        <v>0</v>
      </c>
      <c r="AI108" s="52">
        <f>IFERROR(Tabla28313243[[#This Row],[Stock Cierre]]/Tabla28313243[[#This Row],[Kilos Cierre]],0)</f>
        <v>0</v>
      </c>
      <c r="AJ108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Hacienda])*(Producción_Ganadera[Económico $Corrientes]))</f>
        <v>0</v>
      </c>
      <c r="AK108" s="9">
        <f>Tabla28313243[[#This Row],[Kilos Inicio]]*Tabla28313243[[#This Row],[U$S/Kg Cierre]]</f>
        <v>0</v>
      </c>
      <c r="AL108" s="31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Hacienda])*(Producción_Ganadera[Económico $Corrientes]))</f>
        <v>0</v>
      </c>
      <c r="AM108" s="257">
        <f>(Tabla28313243[[#This Row],[Kilos Cierre]]+Tabla28313243[[#This Row],[Kilos Inicio]])*Tabla28313243[[#This Row],[U$S/Kg Cierre]]</f>
        <v>0</v>
      </c>
      <c r="AN108" s="10">
        <f>-Tabla28313243[[#This Row],[Kilos Inicio]]*(Tabla28313243[[#This Row],[U$S/Kg Cierre]]-Tabla28313243[[#This Row],[U$S/Kg Inicio]])</f>
        <v>0</v>
      </c>
      <c r="AV108" s="245">
        <f>IFERROR(MATCH(Tabla2831324352[[#This Row],[Categorías Hacienda]],Produccion_Ganadera[Categoría],0),0)</f>
        <v>11</v>
      </c>
      <c r="AW108" s="32" t="str">
        <f>Tabla283132[[#This Row],[Categorías Hacienda]]</f>
        <v>Novillo 06-15</v>
      </c>
      <c r="AX108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Hacienda])*(Producción_Ganadera[Cabezas]))</f>
        <v>0</v>
      </c>
      <c r="AY108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Hacienda])*(Producción_Ganadera[Cabezas]))</f>
        <v>0</v>
      </c>
      <c r="AZ108" s="31">
        <f>Tabla2831324352[[#This Row],[Cabezas Cierre]]-Tabla2831324352[[#This Row],[Cabezas Inicio]]</f>
        <v>0</v>
      </c>
      <c r="BA108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Hacienda])*(Producción_Ganadera[Kg/Cab]))*Tabla2831324352[[#This Row],[Cabezas Inicio]]</f>
        <v>0</v>
      </c>
      <c r="BB108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Hacienda])*(Producción_Ganadera[Kg/Cab]))*Tabla2831324352[[#This Row],[Cabezas Cierre]]</f>
        <v>0</v>
      </c>
      <c r="BC108" s="31">
        <f>Tabla2831324352[[#This Row],[Kilos Cierre]]+Tabla2831324352[[#This Row],[Kilos Inicio]]</f>
        <v>0</v>
      </c>
      <c r="BD108" s="261">
        <f>IFERROR(Tabla2831324352[[#This Row],[Stock Inicio]]/Tabla2831324352[[#This Row],[Kilos Inicio]],0)</f>
        <v>0</v>
      </c>
      <c r="BE108" s="52">
        <f>IFERROR(Tabla2831324352[[#This Row],[Stock Cierre]]/Tabla2831324352[[#This Row],[Kilos Cierre]],0)</f>
        <v>0</v>
      </c>
      <c r="BF108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Hacienda])*(Producción_Ganadera[Económico $Constantes]))</f>
        <v>0</v>
      </c>
      <c r="BG108" s="9">
        <f>Tabla2831324352[[#This Row],[Kilos Inicio]]*Tabla2831324352[[#This Row],[U$S/Kg Cierre]]</f>
        <v>0</v>
      </c>
      <c r="BH108" s="31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Hacienda])*(Producción_Ganadera[Económico $Constantes]))</f>
        <v>0</v>
      </c>
      <c r="BI108" s="257">
        <f>(Tabla2831324352[[#This Row],[Kilos Cierre]]+Tabla2831324352[[#This Row],[Kilos Inicio]])*Tabla2831324352[[#This Row],[U$S/Kg Cierre]]</f>
        <v>0</v>
      </c>
      <c r="BJ108" s="10">
        <f>-Tabla2831324352[[#This Row],[Kilos Inicio]]*(Tabla2831324352[[#This Row],[U$S/Kg Cierre]]-Tabla2831324352[[#This Row],[U$S/Kg Inicio]])</f>
        <v>0</v>
      </c>
    </row>
    <row r="109" spans="2:62" x14ac:dyDescent="0.25">
      <c r="B109" s="406"/>
      <c r="D109" s="245">
        <f>IFERROR(MATCH(Tabla283132[[#This Row],[Categorías Hacienda]],Produccion_Ganadera[Categoría],0),0)</f>
        <v>12</v>
      </c>
      <c r="E109" s="32" t="str">
        <f>Configuración!AZ16</f>
        <v>Novillo 15-27</v>
      </c>
      <c r="F109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Hacienda])*(Producción_Ganadera[Cabezas]))</f>
        <v>0</v>
      </c>
      <c r="G109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Hacienda])*(Producción_Ganadera[Cabezas]))</f>
        <v>0</v>
      </c>
      <c r="H109" s="31">
        <f>IFERROR(SUMPRODUCT((Tabla283132[[#This Row],[Categorías Hacienda]]=Comercial_Agricola[Cuenta Contable])*(H$74=Comercial_Agricola[Producto])*(Económico!#REF!=Comercial_Agricola[Campaña])*(Comercial_Agricola[Económico U$S Dólares]))*(IF($F$72="Tonelada",1/SUM(H$91:H$92),1)),0)</f>
        <v>0</v>
      </c>
      <c r="I109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Hacienda])*(Producción_Ganadera[Kg/Cab]))*Tabla283132[[#This Row],[Cabezas Inicio]]</f>
        <v>0</v>
      </c>
      <c r="J109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Hacienda])*(Producción_Ganadera[Kg/Cab]))*Tabla283132[[#This Row],[Cabezas Cierre]]</f>
        <v>0</v>
      </c>
      <c r="K109" s="31"/>
      <c r="L109" s="261">
        <f>IFERROR(Tabla283132[[#This Row],[Stock Inicio]]/Tabla283132[[#This Row],[Kilos Inicio]],0)</f>
        <v>0</v>
      </c>
      <c r="M109" s="52">
        <f>IFERROR(Tabla283132[[#This Row],[Stock Cierre]]/Tabla283132[[#This Row],[Kilos Cierre]],0)</f>
        <v>0</v>
      </c>
      <c r="N109" s="30">
        <f>SUMPRODUCT(($F$4=Producción_Ganadera[C. Costo Reporte])*(Económico!$F$5=Producción_Ganadera[Campaña])*(Producción_Ganadera[Cuenta Contable]=Económico!$N$97)*(Tabla283132[[#This Row],[Categorías Hacienda]]=Producción_Ganadera[Categoría Hacienda])*(Producción_Ganadera[Económico U$S Dólares]))</f>
        <v>0</v>
      </c>
      <c r="O109" s="9">
        <f>Tabla283132[[#This Row],[Kilos Inicio]]*Tabla283132[[#This Row],[U$S/Kg Cierre]]</f>
        <v>0</v>
      </c>
      <c r="P109" s="31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Hacienda])*(Producción_Ganadera[Económico U$S Dólares]))</f>
        <v>0</v>
      </c>
      <c r="Q109" s="257">
        <f>(Tabla283132[[#This Row],[Kilos Cierre]]+Tabla283132[[#This Row],[Kilos Inicio]])*Tabla283132[[#This Row],[U$S/Kg Cierre]]</f>
        <v>0</v>
      </c>
      <c r="R109" s="10">
        <f>-Tabla283132[[#This Row],[Kilos Inicio]]*(Tabla283132[[#This Row],[U$S/Kg Cierre]]-Tabla283132[[#This Row],[U$S/Kg Inicio]])</f>
        <v>0</v>
      </c>
      <c r="Z109" s="245">
        <f>IFERROR(MATCH(Tabla28313243[[#This Row],[Categorías Hacienda]],Produccion_Ganadera[Categoría],0),0)</f>
        <v>12</v>
      </c>
      <c r="AA109" s="32" t="str">
        <f>Tabla283132[[#This Row],[Categorías Hacienda]]</f>
        <v>Novillo 15-27</v>
      </c>
      <c r="AB109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Hacienda])*(Producción_Ganadera[Cabezas]))</f>
        <v>0</v>
      </c>
      <c r="AC109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Hacienda])*(Producción_Ganadera[Cabezas]))</f>
        <v>0</v>
      </c>
      <c r="AD109" s="31">
        <f>IFERROR(SUMPRODUCT((Tabla28313243[[#This Row],[Categorías Hacienda]]=Comercial_Agricola[Cuenta Contable])*(AD$74=Comercial_Agricola[Producto])*(Económico!#REF!=Comercial_Agricola[Campaña])*(Comercial_Agricola[Económico $Corrientes]))*(IF($F$72="Tonelada",1/SUM(AD$91:AD$92),1)),0)</f>
        <v>0</v>
      </c>
      <c r="AE109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Hacienda])*(Producción_Ganadera[Kg/Cab]))*Tabla28313243[[#This Row],[Cabezas Inicio]]</f>
        <v>0</v>
      </c>
      <c r="AF109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Hacienda])*(Producción_Ganadera[Kg/Cab]))*Tabla28313243[[#This Row],[Cabezas Cierre]]</f>
        <v>0</v>
      </c>
      <c r="AG109" s="31"/>
      <c r="AH109" s="261">
        <f>IFERROR(Tabla28313243[[#This Row],[Stock Inicio]]/Tabla28313243[[#This Row],[Kilos Inicio]],0)</f>
        <v>0</v>
      </c>
      <c r="AI109" s="52">
        <f>IFERROR(Tabla28313243[[#This Row],[Stock Cierre]]/Tabla28313243[[#This Row],[Kilos Cierre]],0)</f>
        <v>0</v>
      </c>
      <c r="AJ109" s="30">
        <f>SUMPRODUCT(($F$4=Producción_Ganadera[C. Costo Reporte])*(Económico!$F$5=Producción_Ganadera[Campaña])*(Producción_Ganadera[Cuenta Contable]=Económico!$N$97)*(Tabla28313243[[#This Row],[Categorías Hacienda]]=Producción_Ganadera[Categoría Hacienda])*(Producción_Ganadera[Económico $Corrientes]))</f>
        <v>0</v>
      </c>
      <c r="AK109" s="9">
        <f>Tabla28313243[[#This Row],[Kilos Inicio]]*Tabla28313243[[#This Row],[U$S/Kg Cierre]]</f>
        <v>0</v>
      </c>
      <c r="AL109" s="31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Hacienda])*(Producción_Ganadera[Económico $Corrientes]))</f>
        <v>0</v>
      </c>
      <c r="AM109" s="257">
        <f>(Tabla28313243[[#This Row],[Kilos Cierre]]+Tabla28313243[[#This Row],[Kilos Inicio]])*Tabla28313243[[#This Row],[U$S/Kg Cierre]]</f>
        <v>0</v>
      </c>
      <c r="AN109" s="10">
        <f>-Tabla28313243[[#This Row],[Kilos Inicio]]*(Tabla28313243[[#This Row],[U$S/Kg Cierre]]-Tabla28313243[[#This Row],[U$S/Kg Inicio]])</f>
        <v>0</v>
      </c>
      <c r="AV109" s="245">
        <f>IFERROR(MATCH(Tabla2831324352[[#This Row],[Categorías Hacienda]],Produccion_Ganadera[Categoría],0),0)</f>
        <v>12</v>
      </c>
      <c r="AW109" s="32" t="str">
        <f>Tabla283132[[#This Row],[Categorías Hacienda]]</f>
        <v>Novillo 15-27</v>
      </c>
      <c r="AX109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Hacienda])*(Producción_Ganadera[Cabezas]))</f>
        <v>0</v>
      </c>
      <c r="AY109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Hacienda])*(Producción_Ganadera[Cabezas]))</f>
        <v>0</v>
      </c>
      <c r="AZ109" s="31">
        <f>IFERROR(SUMPRODUCT((Tabla2831324352[[#This Row],[Categorías Hacienda]]=Comercial_Agricola[Cuenta Contable])*(AZ$74=Comercial_Agricola[Producto])*(Económico!#REF!=Comercial_Agricola[Campaña])*(Comercial_Agricola[Económico $Constantes]))*(IF($F$72="Tonelada",1/SUM(AZ$91:AZ$92),1)),0)</f>
        <v>0</v>
      </c>
      <c r="BA109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Hacienda])*(Producción_Ganadera[Kg/Cab]))*Tabla2831324352[[#This Row],[Cabezas Inicio]]</f>
        <v>0</v>
      </c>
      <c r="BB109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Hacienda])*(Producción_Ganadera[Kg/Cab]))*Tabla2831324352[[#This Row],[Cabezas Cierre]]</f>
        <v>0</v>
      </c>
      <c r="BC109" s="31"/>
      <c r="BD109" s="261">
        <f>IFERROR(Tabla2831324352[[#This Row],[Stock Inicio]]/Tabla2831324352[[#This Row],[Kilos Inicio]],0)</f>
        <v>0</v>
      </c>
      <c r="BE109" s="52">
        <f>IFERROR(Tabla2831324352[[#This Row],[Stock Cierre]]/Tabla2831324352[[#This Row],[Kilos Cierre]],0)</f>
        <v>0</v>
      </c>
      <c r="BF109" s="30">
        <f>SUMPRODUCT(($F$4=Producción_Ganadera[C. Costo Reporte])*(Económico!$F$5=Producción_Ganadera[Campaña])*(Producción_Ganadera[Cuenta Contable]=Económico!$N$97)*(Tabla2831324352[[#This Row],[Categorías Hacienda]]=Producción_Ganadera[Categoría Hacienda])*(Producción_Ganadera[Económico $Constantes]))</f>
        <v>0</v>
      </c>
      <c r="BG109" s="9">
        <f>Tabla2831324352[[#This Row],[Kilos Inicio]]*Tabla2831324352[[#This Row],[U$S/Kg Cierre]]</f>
        <v>0</v>
      </c>
      <c r="BH109" s="31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Hacienda])*(Producción_Ganadera[Económico $Constantes]))</f>
        <v>0</v>
      </c>
      <c r="BI109" s="257">
        <f>(Tabla2831324352[[#This Row],[Kilos Cierre]]+Tabla2831324352[[#This Row],[Kilos Inicio]])*Tabla2831324352[[#This Row],[U$S/Kg Cierre]]</f>
        <v>0</v>
      </c>
      <c r="BJ109" s="10">
        <f>-Tabla2831324352[[#This Row],[Kilos Inicio]]*(Tabla2831324352[[#This Row],[U$S/Kg Cierre]]-Tabla2831324352[[#This Row],[U$S/Kg Inicio]])</f>
        <v>0</v>
      </c>
    </row>
    <row r="110" spans="2:62" x14ac:dyDescent="0.25">
      <c r="B110" s="241" t="s">
        <v>101</v>
      </c>
      <c r="D110" s="245"/>
      <c r="E110" s="462" t="s">
        <v>518</v>
      </c>
      <c r="F110" s="30">
        <f>SUM(F98:F109)-SUMPRODUCT(($F$4=Producción_Ganadera[C. Costo Reporte])*(Económico!$F$5=Producción_Ganadera[Campaña])*(Producción_Ganadera[Cuenta Contable]=Económico!$N$97)*(Producción_Ganadera[Cabezas]))</f>
        <v>0</v>
      </c>
      <c r="G110" s="9">
        <f>SUM(G98:G109)-SUMPRODUCT(($F$4=Producción_Ganadera[C. Costo Reporte])*(Económico!$F$5=Producción_Ganadera[Campaña])*(Producción_Ganadera[Cuenta Contable]=Económico!$P$97)*(Producción_Ganadera[Cabezas]))</f>
        <v>0</v>
      </c>
      <c r="H110" s="31">
        <f>Tabla283132[[#This Row],[Cabezas Cierre]]-Tabla283132[[#This Row],[Cabezas Inicio]]</f>
        <v>0</v>
      </c>
      <c r="I110" s="30">
        <f>SUMPRODUCT(($F$4=Producción_Ganadera[C. Costo Reporte])*(Económico!$F$5=Producción_Ganadera[Campaña])*(Producción_Ganadera[Cuenta Contable]=Económico!$N$97)*(Producción_Ganadera[Kg/Cab]))*Tabla283132[[#This Row],[Cabezas Inicio]]</f>
        <v>0</v>
      </c>
      <c r="J110" s="9">
        <f>SUMPRODUCT(($F$4=Producción_Ganadera[C. Costo Reporte])*(Económico!$F$5=Producción_Ganadera[Campaña])*(Producción_Ganadera[Cuenta Contable]=Económico!$P$97)*(Tabla283132[[#This Row],[Categorías Hacienda]]=Producción_Ganadera[Categoría Hacienda])*(Producción_Ganadera[Kg/Cab]))*Tabla283132[[#This Row],[Cabezas Cierre]]</f>
        <v>0</v>
      </c>
      <c r="K110" s="31">
        <f>Tabla283132[[#This Row],[Kilos Cierre]]+Tabla283132[[#This Row],[Kilos Inicio]]</f>
        <v>0</v>
      </c>
      <c r="L110" s="261">
        <f>IFERROR(Tabla283132[[#This Row],[Stock Inicio]]/Tabla283132[[#This Row],[Kilos Inicio]],0)</f>
        <v>0</v>
      </c>
      <c r="M110" s="52">
        <f>IFERROR(Tabla283132[[#This Row],[Stock Cierre]]/Tabla283132[[#This Row],[Kilos Cierre]],0)</f>
        <v>0</v>
      </c>
      <c r="N110" s="30">
        <f>SUM(N98:N109)-SUMPRODUCT(($F$4=Producción_Ganadera[C. Costo Reporte])*(Económico!$F$5=Producción_Ganadera[Campaña])*(Producción_Ganadera[Cuenta Contable]=Económico!$N$97)*(Producción_Ganadera[Económico U$S Dólares]))</f>
        <v>0</v>
      </c>
      <c r="O110" s="9">
        <f>Tabla283132[[#This Row],[Kilos Inicio]]*Tabla283132[[#This Row],[U$S/Kg Cierre]]</f>
        <v>0</v>
      </c>
      <c r="P110" s="31">
        <f>SUM(P98:P109)-SUMPRODUCT(($F$4=Producción_Ganadera[C. Costo Reporte])*(Económico!$F$5=Producción_Ganadera[Campaña])*(Producción_Ganadera[Cuenta Contable]=Económico!$P$97)*(Producción_Ganadera[Económico U$S Dólares]))</f>
        <v>0</v>
      </c>
      <c r="Q110" s="257">
        <f>(Tabla283132[[#This Row],[Kilos Cierre]]+Tabla283132[[#This Row],[Kilos Inicio]])*Tabla283132[[#This Row],[U$S/Kg Cierre]]</f>
        <v>0</v>
      </c>
      <c r="R110" s="10">
        <f>-Tabla283132[[#This Row],[Kilos Inicio]]*(Tabla283132[[#This Row],[U$S/Kg Cierre]]-Tabla283132[[#This Row],[U$S/Kg Inicio]])</f>
        <v>0</v>
      </c>
      <c r="X110" s="241" t="s">
        <v>101</v>
      </c>
      <c r="Z110" s="245"/>
      <c r="AA110" s="32" t="str">
        <f>Tabla283132[[#This Row],[Categorías Hacienda]]</f>
        <v>No Imputado</v>
      </c>
      <c r="AB110" s="30">
        <f>SUM(AB98:AB109)-SUMPRODUCT(($F$4=Producción_Ganadera[C. Costo Reporte])*(Económico!$F$5=Producción_Ganadera[Campaña])*(Producción_Ganadera[Cuenta Contable]=Económico!$N$97)*(Producción_Ganadera[Cabezas]))</f>
        <v>0</v>
      </c>
      <c r="AC110" s="9">
        <f>SUM(AC98:AC109)-SUMPRODUCT(($F$4=Producción_Ganadera[C. Costo Reporte])*(Económico!$F$5=Producción_Ganadera[Campaña])*(Producción_Ganadera[Cuenta Contable]=Económico!$P$97)*(Producción_Ganadera[Cabezas]))</f>
        <v>0</v>
      </c>
      <c r="AD110" s="31">
        <f>Tabla28313243[[#This Row],[Cabezas Cierre]]-Tabla28313243[[#This Row],[Cabezas Inicio]]</f>
        <v>0</v>
      </c>
      <c r="AE110" s="30">
        <f>SUMPRODUCT(($F$4=Producción_Ganadera[C. Costo Reporte])*(Económico!$F$5=Producción_Ganadera[Campaña])*(Producción_Ganadera[Cuenta Contable]=Económico!$N$97)*(Producción_Ganadera[Kg/Cab]))*Tabla28313243[[#This Row],[Cabezas Inicio]]</f>
        <v>0</v>
      </c>
      <c r="AF110" s="9">
        <f>SUMPRODUCT(($F$4=Producción_Ganadera[C. Costo Reporte])*(Económico!$F$5=Producción_Ganadera[Campaña])*(Producción_Ganadera[Cuenta Contable]=Económico!$P$97)*(Tabla28313243[[#This Row],[Categorías Hacienda]]=Producción_Ganadera[Categoría Hacienda])*(Producción_Ganadera[Kg/Cab]))*Tabla28313243[[#This Row],[Cabezas Cierre]]</f>
        <v>0</v>
      </c>
      <c r="AG110" s="31">
        <f>Tabla28313243[[#This Row],[Kilos Cierre]]+Tabla28313243[[#This Row],[Kilos Inicio]]</f>
        <v>0</v>
      </c>
      <c r="AH110" s="261">
        <f>IFERROR(Tabla28313243[[#This Row],[Stock Inicio]]/Tabla28313243[[#This Row],[Kilos Inicio]],0)</f>
        <v>0</v>
      </c>
      <c r="AI110" s="52">
        <f>IFERROR(Tabla28313243[[#This Row],[Stock Cierre]]/Tabla28313243[[#This Row],[Kilos Cierre]],0)</f>
        <v>0</v>
      </c>
      <c r="AJ110" s="30">
        <f>SUM(AJ98:AJ109)-SUMPRODUCT(($F$4=Producción_Ganadera[C. Costo Reporte])*(Económico!$F$5=Producción_Ganadera[Campaña])*(Producción_Ganadera[Cuenta Contable]=Económico!$N$97)*(Producción_Ganadera[Económico $Corrientes]))</f>
        <v>0</v>
      </c>
      <c r="AK110" s="9">
        <f>Tabla28313243[[#This Row],[Kilos Inicio]]*Tabla28313243[[#This Row],[U$S/Kg Cierre]]</f>
        <v>0</v>
      </c>
      <c r="AL110" s="31">
        <f>SUM(AL98:AL109)-SUMPRODUCT(($F$4=Producción_Ganadera[C. Costo Reporte])*(Económico!$F$5=Producción_Ganadera[Campaña])*(Producción_Ganadera[Cuenta Contable]=Económico!$P$97)*(Producción_Ganadera[Económico $Corrientes]))</f>
        <v>0</v>
      </c>
      <c r="AM110" s="257">
        <f>(Tabla28313243[[#This Row],[Kilos Cierre]]+Tabla28313243[[#This Row],[Kilos Inicio]])*Tabla28313243[[#This Row],[U$S/Kg Cierre]]</f>
        <v>0</v>
      </c>
      <c r="AN110" s="10">
        <f>-Tabla28313243[[#This Row],[Kilos Inicio]]*(Tabla28313243[[#This Row],[U$S/Kg Cierre]]-Tabla28313243[[#This Row],[U$S/Kg Inicio]])</f>
        <v>0</v>
      </c>
      <c r="AT110" s="241" t="s">
        <v>101</v>
      </c>
      <c r="AV110" s="245"/>
      <c r="AW110" s="32" t="str">
        <f>Tabla283132[[#This Row],[Categorías Hacienda]]</f>
        <v>No Imputado</v>
      </c>
      <c r="AX110" s="30">
        <f>SUM(AX98:AX109)-SUMPRODUCT(($F$4=Producción_Ganadera[C. Costo Reporte])*(Económico!$F$5=Producción_Ganadera[Campaña])*(Producción_Ganadera[Cuenta Contable]=Económico!$N$97)*(Producción_Ganadera[Cabezas]))</f>
        <v>0</v>
      </c>
      <c r="AY110" s="9">
        <f>SUM(AY98:AY109)-SUMPRODUCT(($F$4=Producción_Ganadera[C. Costo Reporte])*(Económico!$F$5=Producción_Ganadera[Campaña])*(Producción_Ganadera[Cuenta Contable]=Económico!$P$97)*(Producción_Ganadera[Cabezas]))</f>
        <v>0</v>
      </c>
      <c r="AZ110" s="31">
        <f>Tabla2831324352[[#This Row],[Cabezas Cierre]]-Tabla2831324352[[#This Row],[Cabezas Inicio]]</f>
        <v>0</v>
      </c>
      <c r="BA110" s="30">
        <f>SUMPRODUCT(($F$4=Producción_Ganadera[C. Costo Reporte])*(Económico!$F$5=Producción_Ganadera[Campaña])*(Producción_Ganadera[Cuenta Contable]=Económico!$N$97)*(Producción_Ganadera[Kg/Cab]))*Tabla2831324352[[#This Row],[Cabezas Inicio]]</f>
        <v>0</v>
      </c>
      <c r="BB110" s="9">
        <f>SUMPRODUCT(($F$4=Producción_Ganadera[C. Costo Reporte])*(Económico!$F$5=Producción_Ganadera[Campaña])*(Producción_Ganadera[Cuenta Contable]=Económico!$P$97)*(Tabla2831324352[[#This Row],[Categorías Hacienda]]=Producción_Ganadera[Categoría Hacienda])*(Producción_Ganadera[Kg/Cab]))*Tabla2831324352[[#This Row],[Cabezas Cierre]]</f>
        <v>0</v>
      </c>
      <c r="BC110" s="31">
        <f>Tabla2831324352[[#This Row],[Kilos Cierre]]+Tabla2831324352[[#This Row],[Kilos Inicio]]</f>
        <v>0</v>
      </c>
      <c r="BD110" s="261">
        <f>IFERROR(Tabla2831324352[[#This Row],[Stock Inicio]]/Tabla2831324352[[#This Row],[Kilos Inicio]],0)</f>
        <v>0</v>
      </c>
      <c r="BE110" s="52">
        <f>IFERROR(Tabla2831324352[[#This Row],[Stock Cierre]]/Tabla2831324352[[#This Row],[Kilos Cierre]],0)</f>
        <v>0</v>
      </c>
      <c r="BF110" s="30">
        <f>SUM(BF98:BF109)-SUMPRODUCT(($F$4=Producción_Ganadera[C. Costo Reporte])*(Económico!$F$5=Producción_Ganadera[Campaña])*(Producción_Ganadera[Cuenta Contable]=Económico!$N$97)*(Producción_Ganadera[Económico $Constantes]))</f>
        <v>0</v>
      </c>
      <c r="BG110" s="9">
        <f>Tabla2831324352[[#This Row],[Kilos Inicio]]*Tabla2831324352[[#This Row],[U$S/Kg Cierre]]</f>
        <v>0</v>
      </c>
      <c r="BH110" s="31">
        <f>SUM(BH98:BH109)-SUMPRODUCT(($F$4=Producción_Ganadera[C. Costo Reporte])*(Económico!$F$5=Producción_Ganadera[Campaña])*(Producción_Ganadera[Cuenta Contable]=Económico!$P$97)*(Producción_Ganadera[Económico $Constantes]))</f>
        <v>0</v>
      </c>
      <c r="BI110" s="257">
        <f>(Tabla2831324352[[#This Row],[Kilos Cierre]]+Tabla2831324352[[#This Row],[Kilos Inicio]])*Tabla2831324352[[#This Row],[U$S/Kg Cierre]]</f>
        <v>0</v>
      </c>
      <c r="BJ110" s="10">
        <f>-Tabla2831324352[[#This Row],[Kilos Inicio]]*(Tabla2831324352[[#This Row],[U$S/Kg Cierre]]-Tabla2831324352[[#This Row],[U$S/Kg Inicio]])</f>
        <v>0</v>
      </c>
    </row>
    <row r="111" spans="2:62" x14ac:dyDescent="0.25">
      <c r="E111" s="412" t="s">
        <v>52</v>
      </c>
      <c r="F111" s="253">
        <f>SUBTOTAL(109,Tabla283132[Cabezas Inicio])</f>
        <v>0</v>
      </c>
      <c r="G111" s="254">
        <f>SUBTOTAL(109,Tabla283132[Cabezas Cierre])</f>
        <v>0</v>
      </c>
      <c r="H111" s="255">
        <f>SUBTOTAL(109,Tabla283132[Diferencia Cabezas])</f>
        <v>0</v>
      </c>
      <c r="I111" s="253">
        <f>SUBTOTAL(109,Tabla283132[Kilos Inicio])</f>
        <v>0</v>
      </c>
      <c r="J111" s="254">
        <f>SUBTOTAL(109,Tabla283132[Kilos Cierre])</f>
        <v>0</v>
      </c>
      <c r="K111" s="255">
        <f>SUBTOTAL(109,Tabla283132[Diferencia Kilos])</f>
        <v>0</v>
      </c>
      <c r="L111" s="262">
        <f>IFERROR(Tabla283132[[#Totals],[Stock Inicio]]/Tabla283132[[#Totals],[Kilos Inicio]],0)</f>
        <v>0</v>
      </c>
      <c r="M111" s="263">
        <f>IFERROR(Tabla283132[[#Totals],[Stock Cierre]]/Tabla283132[[#Totals],[Kilos Cierre]],0)</f>
        <v>0</v>
      </c>
      <c r="N111" s="253">
        <f>SUBTOTAL(109,Tabla283132[Stock Inicio])</f>
        <v>0</v>
      </c>
      <c r="O111" s="254">
        <f>SUBTOTAL(109,Tabla283132[Stock Inicio (Cierre)])</f>
        <v>0</v>
      </c>
      <c r="P111" s="256">
        <f>SUBTOTAL(109,Tabla283132[Stock Cierre])</f>
        <v>0</v>
      </c>
      <c r="Q111" s="258">
        <f>SUBTOTAL(109,Tabla283132[Dif. Inventario])</f>
        <v>0</v>
      </c>
      <c r="R111" s="250">
        <f>SUBTOTAL(109,Tabla283132[Tenencia])</f>
        <v>0</v>
      </c>
      <c r="AA111" s="412" t="s">
        <v>52</v>
      </c>
      <c r="AB111" s="253">
        <f>SUBTOTAL(109,Tabla28313243[Cabezas Inicio])</f>
        <v>0</v>
      </c>
      <c r="AC111" s="254">
        <f>SUBTOTAL(109,Tabla28313243[Cabezas Cierre])</f>
        <v>0</v>
      </c>
      <c r="AD111" s="255">
        <f>SUBTOTAL(109,Tabla28313243[Diferencia Cabezas])</f>
        <v>0</v>
      </c>
      <c r="AE111" s="253">
        <f>SUBTOTAL(109,Tabla28313243[Kilos Inicio])</f>
        <v>0</v>
      </c>
      <c r="AF111" s="254">
        <f>SUBTOTAL(109,Tabla28313243[Kilos Cierre])</f>
        <v>0</v>
      </c>
      <c r="AG111" s="255">
        <f>SUBTOTAL(109,Tabla28313243[Diferencia Kilos])</f>
        <v>0</v>
      </c>
      <c r="AH111" s="262">
        <f>IFERROR(Tabla28313243[[#Totals],[Stock Inicio]]/Tabla28313243[[#Totals],[Kilos Inicio]],0)</f>
        <v>0</v>
      </c>
      <c r="AI111" s="263">
        <f>IFERROR(Tabla28313243[[#Totals],[Stock Cierre]]/Tabla28313243[[#Totals],[Kilos Cierre]],0)</f>
        <v>0</v>
      </c>
      <c r="AJ111" s="253">
        <f>SUBTOTAL(109,Tabla28313243[Stock Inicio])</f>
        <v>0</v>
      </c>
      <c r="AK111" s="254">
        <f>SUBTOTAL(109,Tabla28313243[Stock Inicio (Cierre)])</f>
        <v>0</v>
      </c>
      <c r="AL111" s="256">
        <f>SUBTOTAL(109,Tabla28313243[Stock Cierre])</f>
        <v>0</v>
      </c>
      <c r="AM111" s="258">
        <f>SUBTOTAL(109,Tabla28313243[Dif. Inventario])</f>
        <v>0</v>
      </c>
      <c r="AN111" s="250">
        <f>SUBTOTAL(109,Tabla28313243[Tenencia])</f>
        <v>0</v>
      </c>
      <c r="AW111" s="412" t="s">
        <v>52</v>
      </c>
      <c r="AX111" s="253">
        <f>SUBTOTAL(109,Tabla2831324352[Cabezas Inicio])</f>
        <v>0</v>
      </c>
      <c r="AY111" s="254">
        <f>SUBTOTAL(109,Tabla2831324352[Cabezas Cierre])</f>
        <v>0</v>
      </c>
      <c r="AZ111" s="255">
        <f>SUBTOTAL(109,Tabla2831324352[Diferencia Cabezas])</f>
        <v>0</v>
      </c>
      <c r="BA111" s="253">
        <f>SUBTOTAL(109,Tabla2831324352[Kilos Inicio])</f>
        <v>0</v>
      </c>
      <c r="BB111" s="254">
        <f>SUBTOTAL(109,Tabla2831324352[Kilos Cierre])</f>
        <v>0</v>
      </c>
      <c r="BC111" s="255">
        <f>SUBTOTAL(109,Tabla2831324352[Diferencia Kilos])</f>
        <v>0</v>
      </c>
      <c r="BD111" s="262">
        <f>IFERROR(Tabla2831324352[[#Totals],[Stock Inicio]]/Tabla2831324352[[#Totals],[Kilos Inicio]],0)</f>
        <v>0</v>
      </c>
      <c r="BE111" s="263">
        <f>IFERROR(Tabla2831324352[[#Totals],[Stock Cierre]]/Tabla2831324352[[#Totals],[Kilos Cierre]],0)</f>
        <v>0</v>
      </c>
      <c r="BF111" s="253">
        <f>SUBTOTAL(109,Tabla2831324352[Stock Inicio])</f>
        <v>0</v>
      </c>
      <c r="BG111" s="254">
        <f>SUBTOTAL(109,Tabla2831324352[Stock Inicio (Cierre)])</f>
        <v>0</v>
      </c>
      <c r="BH111" s="256">
        <f>SUBTOTAL(109,Tabla2831324352[Stock Cierre])</f>
        <v>0</v>
      </c>
      <c r="BI111" s="258">
        <f>SUBTOTAL(109,Tabla2831324352[Dif. Inventario])</f>
        <v>0</v>
      </c>
      <c r="BJ111" s="250">
        <f>SUBTOTAL(109,Tabla2831324352[Tenencia])</f>
        <v>0</v>
      </c>
    </row>
    <row r="114" spans="2:61" x14ac:dyDescent="0.25">
      <c r="E114" t="s">
        <v>78</v>
      </c>
      <c r="F114" s="266" t="s">
        <v>140</v>
      </c>
      <c r="G114" s="272" t="s">
        <v>270</v>
      </c>
      <c r="H114" s="270" t="s">
        <v>274</v>
      </c>
      <c r="I114" s="266" t="s">
        <v>278</v>
      </c>
      <c r="J114" s="23" t="s">
        <v>273</v>
      </c>
      <c r="K114" s="23" t="s">
        <v>271</v>
      </c>
      <c r="Q114" s="124"/>
      <c r="AA114" s="32" t="s">
        <v>78</v>
      </c>
      <c r="AB114" s="266" t="s">
        <v>140</v>
      </c>
      <c r="AC114" s="272" t="s">
        <v>270</v>
      </c>
      <c r="AD114" s="270" t="s">
        <v>274</v>
      </c>
      <c r="AE114" s="266" t="s">
        <v>278</v>
      </c>
      <c r="AF114" s="23" t="s">
        <v>273</v>
      </c>
      <c r="AG114" s="23" t="s">
        <v>271</v>
      </c>
      <c r="AM114" s="124"/>
      <c r="AW114" s="32" t="s">
        <v>78</v>
      </c>
      <c r="AX114" s="266" t="s">
        <v>140</v>
      </c>
      <c r="AY114" s="272" t="s">
        <v>270</v>
      </c>
      <c r="AZ114" s="270" t="s">
        <v>274</v>
      </c>
      <c r="BA114" s="266" t="s">
        <v>278</v>
      </c>
      <c r="BB114" s="23" t="s">
        <v>273</v>
      </c>
      <c r="BC114" s="23" t="s">
        <v>271</v>
      </c>
      <c r="BI114" s="124"/>
    </row>
    <row r="115" spans="2:61" x14ac:dyDescent="0.25">
      <c r="D115" s="245">
        <f>IFERROR(MATCH(Tabla32[[#This Row],[Cuenta Contable]],Produccion_Ganadera_Cuentas[Cuenta Contable],0),0)</f>
        <v>1</v>
      </c>
      <c r="E115" s="32" t="str">
        <f>Configuración!AT5</f>
        <v>Stock Inicio</v>
      </c>
      <c r="F115" s="30">
        <f>Tabla283132[[#Totals],[Cabezas Inicio]]</f>
        <v>0</v>
      </c>
      <c r="G115" s="31">
        <f>IFERROR(Tabla32[[#This Row],[Prod. Carne]]/Tabla32[[#This Row],[Cab]],0)</f>
        <v>0</v>
      </c>
      <c r="H115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15" s="30">
        <f>Tabla283132[[#Totals],[Stock Inicio (Cierre)]]</f>
        <v>0</v>
      </c>
      <c r="J115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15" s="9">
        <f>IFERROR(Tabla32[[#This Row],[U$S Total]]/Tabla32[[#Totals],[Prod. Carne]],0)</f>
        <v>0</v>
      </c>
      <c r="Q115" s="124"/>
      <c r="Z115" s="245">
        <f>IFERROR(MATCH(Tabla3244[[#This Row],[Cuenta Contable]],Produccion_Ganadera_Cuentas[Cuenta Contable],0),0)</f>
        <v>1</v>
      </c>
      <c r="AA115" s="32" t="str">
        <f>Tabla32[[#This Row],[Cuenta Contable]]</f>
        <v>Stock Inicio</v>
      </c>
      <c r="AB115" s="30">
        <f>Tabla28313243[[#Totals],[Cabezas Inicio]]</f>
        <v>0</v>
      </c>
      <c r="AC115" s="31">
        <f>IFERROR(Tabla3244[[#This Row],[Prod. Carne]]/Tabla3244[[#This Row],[Cab]],0)</f>
        <v>0</v>
      </c>
      <c r="AD115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15" s="30">
        <f>Tabla28313243[[#Totals],[Stock Inicio (Cierre)]]</f>
        <v>0</v>
      </c>
      <c r="AF115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15" s="9">
        <f>IFERROR(Tabla3244[[#This Row],[U$S Total]]/Tabla3244[[#Totals],[Prod. Carne]],0)</f>
        <v>0</v>
      </c>
      <c r="AM115" s="124"/>
      <c r="AV115" s="245">
        <f>IFERROR(MATCH(Tabla324453[[#This Row],[Cuenta Contable]],Produccion_Ganadera_Cuentas[Cuenta Contable],0),0)</f>
        <v>1</v>
      </c>
      <c r="AW115" s="32" t="str">
        <f>Tabla32[[#This Row],[Cuenta Contable]]</f>
        <v>Stock Inicio</v>
      </c>
      <c r="AX115" s="30">
        <f>Tabla2831324352[[#Totals],[Cabezas Inicio]]</f>
        <v>0</v>
      </c>
      <c r="AY115" s="31">
        <f>IFERROR(Tabla324453[[#This Row],[Prod. Carne]]/Tabla324453[[#This Row],[Cab]],0)</f>
        <v>0</v>
      </c>
      <c r="AZ115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15" s="30">
        <f>Tabla2831324352[[#Totals],[Stock Inicio (Cierre)]]</f>
        <v>0</v>
      </c>
      <c r="BB115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15" s="9">
        <f>IFERROR(Tabla324453[[#This Row],[U$S Total]]/Tabla324453[[#Totals],[Prod. Carne]],0)</f>
        <v>0</v>
      </c>
      <c r="BI115" s="124"/>
    </row>
    <row r="116" spans="2:61" x14ac:dyDescent="0.25">
      <c r="D116" s="245">
        <f>IFERROR(MATCH(Tabla32[[#This Row],[Cuenta Contable]],Produccion_Ganadera_Cuentas[Cuenta Contable],0),0)</f>
        <v>2</v>
      </c>
      <c r="E116" s="32" t="str">
        <f>Configuración!AT6</f>
        <v>Stock Cierre</v>
      </c>
      <c r="F116" s="30">
        <f>Tabla283132[[#Totals],[Cabezas Cierre]]</f>
        <v>0</v>
      </c>
      <c r="G116" s="31">
        <f>IFERROR(Tabla32[[#This Row],[Prod. Carne]]/Tabla32[[#This Row],[Cab]],0)</f>
        <v>0</v>
      </c>
      <c r="H116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16" s="30">
        <f>Tabla283132[[#Totals],[Stock Cierre]]</f>
        <v>0</v>
      </c>
      <c r="J116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16" s="9">
        <f>IFERROR(Tabla32[[#This Row],[U$S Total]]/Tabla32[[#Totals],[Prod. Carne]],0)</f>
        <v>0</v>
      </c>
      <c r="Q116" s="124"/>
      <c r="Z116" s="245">
        <f>IFERROR(MATCH(Tabla3244[[#This Row],[Cuenta Contable]],Produccion_Ganadera_Cuentas[Cuenta Contable],0),0)</f>
        <v>2</v>
      </c>
      <c r="AA116" s="32" t="str">
        <f>Tabla32[[#This Row],[Cuenta Contable]]</f>
        <v>Stock Cierre</v>
      </c>
      <c r="AB116" s="30">
        <f>Tabla28313243[[#Totals],[Cabezas Cierre]]</f>
        <v>0</v>
      </c>
      <c r="AC116" s="31">
        <f>IFERROR(Tabla3244[[#This Row],[Prod. Carne]]/Tabla3244[[#This Row],[Cab]],0)</f>
        <v>0</v>
      </c>
      <c r="AD116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16" s="30">
        <f>Tabla28313243[[#Totals],[Stock Cierre]]</f>
        <v>0</v>
      </c>
      <c r="AF116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16" s="9">
        <f>IFERROR(Tabla3244[[#This Row],[U$S Total]]/Tabla3244[[#Totals],[Prod. Carne]],0)</f>
        <v>0</v>
      </c>
      <c r="AM116" s="124"/>
      <c r="AV116" s="245">
        <f>IFERROR(MATCH(Tabla324453[[#This Row],[Cuenta Contable]],Produccion_Ganadera_Cuentas[Cuenta Contable],0),0)</f>
        <v>2</v>
      </c>
      <c r="AW116" s="32" t="str">
        <f>Tabla32[[#This Row],[Cuenta Contable]]</f>
        <v>Stock Cierre</v>
      </c>
      <c r="AX116" s="30">
        <f>Tabla2831324352[[#Totals],[Cabezas Cierre]]</f>
        <v>0</v>
      </c>
      <c r="AY116" s="31">
        <f>IFERROR(Tabla324453[[#This Row],[Prod. Carne]]/Tabla324453[[#This Row],[Cab]],0)</f>
        <v>0</v>
      </c>
      <c r="AZ116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16" s="30">
        <f>Tabla2831324352[[#Totals],[Stock Cierre]]</f>
        <v>0</v>
      </c>
      <c r="BB116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16" s="9">
        <f>IFERROR(Tabla324453[[#This Row],[U$S Total]]/Tabla324453[[#Totals],[Prod. Carne]],0)</f>
        <v>0</v>
      </c>
      <c r="BI116" s="124"/>
    </row>
    <row r="117" spans="2:61" x14ac:dyDescent="0.25">
      <c r="D117" s="245">
        <f>IFERROR(MATCH(Tabla32[[#This Row],[Cuenta Contable]],Produccion_Ganadera_Cuentas[Cuenta Contable],0),0)</f>
        <v>3</v>
      </c>
      <c r="E117" s="32" t="str">
        <f>Configuración!AT7</f>
        <v>Venta Hacienda</v>
      </c>
      <c r="F117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17" s="31">
        <f>IFERROR(Tabla32[[#This Row],[Prod. Carne]]/Tabla32[[#This Row],[Cab]],0)</f>
        <v>0</v>
      </c>
      <c r="H117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17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17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17" s="9">
        <f>IFERROR(Tabla32[[#This Row],[U$S Total]]/Tabla32[[#Totals],[Prod. Carne]],0)</f>
        <v>0</v>
      </c>
      <c r="Q117" s="124"/>
      <c r="Z117" s="245">
        <f>IFERROR(MATCH(Tabla3244[[#This Row],[Cuenta Contable]],Produccion_Ganadera_Cuentas[Cuenta Contable],0),0)</f>
        <v>3</v>
      </c>
      <c r="AA117" s="32" t="str">
        <f>Tabla32[[#This Row],[Cuenta Contable]]</f>
        <v>Venta Hacienda</v>
      </c>
      <c r="AB117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17" s="31">
        <f>IFERROR(Tabla3244[[#This Row],[Prod. Carne]]/Tabla3244[[#This Row],[Cab]],0)</f>
        <v>0</v>
      </c>
      <c r="AD117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17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17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17" s="9">
        <f>IFERROR(Tabla3244[[#This Row],[U$S Total]]/Tabla3244[[#Totals],[Prod. Carne]],0)</f>
        <v>0</v>
      </c>
      <c r="AM117" s="124"/>
      <c r="AV117" s="245">
        <f>IFERROR(MATCH(Tabla324453[[#This Row],[Cuenta Contable]],Produccion_Ganadera_Cuentas[Cuenta Contable],0),0)</f>
        <v>3</v>
      </c>
      <c r="AW117" s="32" t="str">
        <f>Tabla32[[#This Row],[Cuenta Contable]]</f>
        <v>Venta Hacienda</v>
      </c>
      <c r="AX117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17" s="31">
        <f>IFERROR(Tabla324453[[#This Row],[Prod. Carne]]/Tabla324453[[#This Row],[Cab]],0)</f>
        <v>0</v>
      </c>
      <c r="AZ117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17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17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17" s="9">
        <f>IFERROR(Tabla324453[[#This Row],[U$S Total]]/Tabla324453[[#Totals],[Prod. Carne]],0)</f>
        <v>0</v>
      </c>
      <c r="BI117" s="124"/>
    </row>
    <row r="118" spans="2:61" x14ac:dyDescent="0.25">
      <c r="D118" s="245">
        <f>IFERROR(MATCH(Tabla32[[#This Row],[Cuenta Contable]],Produccion_Ganadera_Cuentas[Cuenta Contable],0),0)</f>
        <v>4</v>
      </c>
      <c r="E118" s="32" t="str">
        <f>Configuración!AT8</f>
        <v>Salida Traslados</v>
      </c>
      <c r="F118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18" s="31">
        <f>IFERROR(Tabla32[[#This Row],[Prod. Carne]]/Tabla32[[#This Row],[Cab]],0)</f>
        <v>0</v>
      </c>
      <c r="H118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18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18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18" s="9">
        <f>IFERROR(Tabla32[[#This Row],[U$S Total]]/Tabla32[[#Totals],[Prod. Carne]],0)</f>
        <v>0</v>
      </c>
      <c r="Q118" s="124"/>
      <c r="Z118" s="245">
        <f>IFERROR(MATCH(Tabla3244[[#This Row],[Cuenta Contable]],Produccion_Ganadera_Cuentas[Cuenta Contable],0),0)</f>
        <v>4</v>
      </c>
      <c r="AA118" s="32" t="str">
        <f>Tabla32[[#This Row],[Cuenta Contable]]</f>
        <v>Salida Traslados</v>
      </c>
      <c r="AB118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18" s="31">
        <f>IFERROR(Tabla3244[[#This Row],[Prod. Carne]]/Tabla3244[[#This Row],[Cab]],0)</f>
        <v>0</v>
      </c>
      <c r="AD118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18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18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18" s="9">
        <f>IFERROR(Tabla3244[[#This Row],[U$S Total]]/Tabla3244[[#Totals],[Prod. Carne]],0)</f>
        <v>0</v>
      </c>
      <c r="AM118" s="124"/>
      <c r="AV118" s="245">
        <f>IFERROR(MATCH(Tabla324453[[#This Row],[Cuenta Contable]],Produccion_Ganadera_Cuentas[Cuenta Contable],0),0)</f>
        <v>4</v>
      </c>
      <c r="AW118" s="32" t="str">
        <f>Tabla32[[#This Row],[Cuenta Contable]]</f>
        <v>Salida Traslados</v>
      </c>
      <c r="AX118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18" s="31">
        <f>IFERROR(Tabla324453[[#This Row],[Prod. Carne]]/Tabla324453[[#This Row],[Cab]],0)</f>
        <v>0</v>
      </c>
      <c r="AZ118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18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18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18" s="9">
        <f>IFERROR(Tabla324453[[#This Row],[U$S Total]]/Tabla324453[[#Totals],[Prod. Carne]],0)</f>
        <v>0</v>
      </c>
      <c r="BI118" s="124"/>
    </row>
    <row r="119" spans="2:61" x14ac:dyDescent="0.25">
      <c r="D119" s="245">
        <f>IFERROR(MATCH(Tabla32[[#This Row],[Cuenta Contable]],Produccion_Ganadera_Cuentas[Cuenta Contable],0),0)</f>
        <v>7</v>
      </c>
      <c r="E119" s="32" t="str">
        <f>Configuración!AT11</f>
        <v>Compra Hacienda</v>
      </c>
      <c r="F119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19" s="31">
        <f>IFERROR(Tabla32[[#This Row],[Prod. Carne]]/Tabla32[[#This Row],[Cab]],0)</f>
        <v>0</v>
      </c>
      <c r="H119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19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19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19" s="9">
        <f>IFERROR(Tabla32[[#This Row],[U$S Total]]/Tabla32[[#Totals],[Prod. Carne]],0)</f>
        <v>0</v>
      </c>
      <c r="Q119" s="124"/>
      <c r="Z119" s="245">
        <f>IFERROR(MATCH(Tabla3244[[#This Row],[Cuenta Contable]],Produccion_Ganadera_Cuentas[Cuenta Contable],0),0)</f>
        <v>7</v>
      </c>
      <c r="AA119" s="32" t="str">
        <f>Tabla32[[#This Row],[Cuenta Contable]]</f>
        <v>Compra Hacienda</v>
      </c>
      <c r="AB119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19" s="31">
        <f>IFERROR(Tabla3244[[#This Row],[Prod. Carne]]/Tabla3244[[#This Row],[Cab]],0)</f>
        <v>0</v>
      </c>
      <c r="AD119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19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19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19" s="9">
        <f>IFERROR(Tabla3244[[#This Row],[U$S Total]]/Tabla3244[[#Totals],[Prod. Carne]],0)</f>
        <v>0</v>
      </c>
      <c r="AM119" s="124"/>
      <c r="AV119" s="245">
        <f>IFERROR(MATCH(Tabla324453[[#This Row],[Cuenta Contable]],Produccion_Ganadera_Cuentas[Cuenta Contable],0),0)</f>
        <v>7</v>
      </c>
      <c r="AW119" s="32" t="str">
        <f>Tabla32[[#This Row],[Cuenta Contable]]</f>
        <v>Compra Hacienda</v>
      </c>
      <c r="AX119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19" s="31">
        <f>IFERROR(Tabla324453[[#This Row],[Prod. Carne]]/Tabla324453[[#This Row],[Cab]],0)</f>
        <v>0</v>
      </c>
      <c r="AZ119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19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19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19" s="9">
        <f>IFERROR(Tabla324453[[#This Row],[U$S Total]]/Tabla324453[[#Totals],[Prod. Carne]],0)</f>
        <v>0</v>
      </c>
      <c r="BI119" s="124"/>
    </row>
    <row r="120" spans="2:61" x14ac:dyDescent="0.25">
      <c r="D120" s="245">
        <f>IFERROR(MATCH(Tabla32[[#This Row],[Cuenta Contable]],Produccion_Ganadera_Cuentas[Cuenta Contable],0),0)</f>
        <v>8</v>
      </c>
      <c r="E120" s="32" t="str">
        <f>Configuración!AT12</f>
        <v>Entrada Traslados</v>
      </c>
      <c r="F120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20" s="31">
        <f>IFERROR(Tabla32[[#This Row],[Prod. Carne]]/Tabla32[[#This Row],[Cab]],0)</f>
        <v>0</v>
      </c>
      <c r="H120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20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20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20" s="9">
        <f>IFERROR(Tabla32[[#This Row],[U$S Total]]/Tabla32[[#Totals],[Prod. Carne]],0)</f>
        <v>0</v>
      </c>
      <c r="Q120" s="124"/>
      <c r="Z120" s="245">
        <f>IFERROR(MATCH(Tabla3244[[#This Row],[Cuenta Contable]],Produccion_Ganadera_Cuentas[Cuenta Contable],0),0)</f>
        <v>8</v>
      </c>
      <c r="AA120" s="32" t="str">
        <f>Tabla32[[#This Row],[Cuenta Contable]]</f>
        <v>Entrada Traslados</v>
      </c>
      <c r="AB120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20" s="31">
        <f>IFERROR(Tabla3244[[#This Row],[Prod. Carne]]/Tabla3244[[#This Row],[Cab]],0)</f>
        <v>0</v>
      </c>
      <c r="AD120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20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20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20" s="9">
        <f>IFERROR(Tabla3244[[#This Row],[U$S Total]]/Tabla3244[[#Totals],[Prod. Carne]],0)</f>
        <v>0</v>
      </c>
      <c r="AM120" s="124"/>
      <c r="AV120" s="245">
        <f>IFERROR(MATCH(Tabla324453[[#This Row],[Cuenta Contable]],Produccion_Ganadera_Cuentas[Cuenta Contable],0),0)</f>
        <v>8</v>
      </c>
      <c r="AW120" s="32" t="str">
        <f>Tabla32[[#This Row],[Cuenta Contable]]</f>
        <v>Entrada Traslados</v>
      </c>
      <c r="AX120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20" s="31">
        <f>IFERROR(Tabla324453[[#This Row],[Prod. Carne]]/Tabla324453[[#This Row],[Cab]],0)</f>
        <v>0</v>
      </c>
      <c r="AZ120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20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20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20" s="9">
        <f>IFERROR(Tabla324453[[#This Row],[U$S Total]]/Tabla324453[[#Totals],[Prod. Carne]],0)</f>
        <v>0</v>
      </c>
      <c r="BI120" s="124"/>
    </row>
    <row r="121" spans="2:61" x14ac:dyDescent="0.25">
      <c r="D121" s="245">
        <f>IFERROR(MATCH(Tabla32[[#This Row],[Cuenta Contable]],Produccion_Ganadera_Cuentas[Cuenta Contable],0),0)</f>
        <v>11</v>
      </c>
      <c r="E121" s="32" t="str">
        <f>Configuración!AT15</f>
        <v>G. Comerciales Venta</v>
      </c>
      <c r="F121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21" s="31">
        <f>IFERROR(Tabla32[[#This Row],[Prod. Carne]]/Tabla32[[#This Row],[Cab]],0)</f>
        <v>0</v>
      </c>
      <c r="H121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21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21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21" s="9">
        <f>IFERROR(Tabla32[[#This Row],[U$S Total]]/Tabla32[[#Totals],[Prod. Carne]],0)</f>
        <v>0</v>
      </c>
      <c r="Q121" s="124"/>
      <c r="Z121" s="245">
        <f>IFERROR(MATCH(Tabla3244[[#This Row],[Cuenta Contable]],Produccion_Ganadera_Cuentas[Cuenta Contable],0),0)</f>
        <v>11</v>
      </c>
      <c r="AA121" s="32" t="str">
        <f>Tabla32[[#This Row],[Cuenta Contable]]</f>
        <v>G. Comerciales Venta</v>
      </c>
      <c r="AB121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21" s="31">
        <f>IFERROR(Tabla3244[[#This Row],[Prod. Carne]]/Tabla3244[[#This Row],[Cab]],0)</f>
        <v>0</v>
      </c>
      <c r="AD121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21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21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21" s="9">
        <f>IFERROR(Tabla3244[[#This Row],[U$S Total]]/Tabla3244[[#Totals],[Prod. Carne]],0)</f>
        <v>0</v>
      </c>
      <c r="AM121" s="124"/>
      <c r="AV121" s="245">
        <f>IFERROR(MATCH(Tabla324453[[#This Row],[Cuenta Contable]],Produccion_Ganadera_Cuentas[Cuenta Contable],0),0)</f>
        <v>11</v>
      </c>
      <c r="AW121" s="32" t="str">
        <f>Tabla32[[#This Row],[Cuenta Contable]]</f>
        <v>G. Comerciales Venta</v>
      </c>
      <c r="AX121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21" s="31">
        <f>IFERROR(Tabla324453[[#This Row],[Prod. Carne]]/Tabla324453[[#This Row],[Cab]],0)</f>
        <v>0</v>
      </c>
      <c r="AZ121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21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21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21" s="9">
        <f>IFERROR(Tabla324453[[#This Row],[U$S Total]]/Tabla324453[[#Totals],[Prod. Carne]],0)</f>
        <v>0</v>
      </c>
      <c r="BI121" s="124"/>
    </row>
    <row r="122" spans="2:61" x14ac:dyDescent="0.25">
      <c r="D122" s="245">
        <f>IFERROR(MATCH(Tabla32[[#This Row],[Cuenta Contable]],Produccion_Ganadera_Cuentas[Cuenta Contable],0),0)</f>
        <v>12</v>
      </c>
      <c r="E122" s="32" t="str">
        <f>Configuración!AT16</f>
        <v>G. Comerciales Compra</v>
      </c>
      <c r="F122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22" s="31">
        <f>IFERROR(Tabla32[[#This Row],[Prod. Carne]]/Tabla32[[#This Row],[Cab]],0)</f>
        <v>0</v>
      </c>
      <c r="H122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22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22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22" s="9">
        <f>IFERROR(Tabla32[[#This Row],[U$S Total]]/Tabla32[[#Totals],[Prod. Carne]],0)</f>
        <v>0</v>
      </c>
      <c r="Q122" s="124"/>
      <c r="Z122" s="245">
        <f>IFERROR(MATCH(Tabla3244[[#This Row],[Cuenta Contable]],Produccion_Ganadera_Cuentas[Cuenta Contable],0),0)</f>
        <v>12</v>
      </c>
      <c r="AA122" s="32" t="str">
        <f>Tabla32[[#This Row],[Cuenta Contable]]</f>
        <v>G. Comerciales Compra</v>
      </c>
      <c r="AB122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22" s="31">
        <f>IFERROR(Tabla3244[[#This Row],[Prod. Carne]]/Tabla3244[[#This Row],[Cab]],0)</f>
        <v>0</v>
      </c>
      <c r="AD122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22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22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22" s="9">
        <f>IFERROR(Tabla3244[[#This Row],[U$S Total]]/Tabla3244[[#Totals],[Prod. Carne]],0)</f>
        <v>0</v>
      </c>
      <c r="AM122" s="124"/>
      <c r="AV122" s="245">
        <f>IFERROR(MATCH(Tabla324453[[#This Row],[Cuenta Contable]],Produccion_Ganadera_Cuentas[Cuenta Contable],0),0)</f>
        <v>12</v>
      </c>
      <c r="AW122" s="32" t="str">
        <f>Tabla32[[#This Row],[Cuenta Contable]]</f>
        <v>G. Comerciales Compra</v>
      </c>
      <c r="AX122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22" s="31">
        <f>IFERROR(Tabla324453[[#This Row],[Prod. Carne]]/Tabla324453[[#This Row],[Cab]],0)</f>
        <v>0</v>
      </c>
      <c r="AZ122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22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22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22" s="9">
        <f>IFERROR(Tabla324453[[#This Row],[U$S Total]]/Tabla324453[[#Totals],[Prod. Carne]],0)</f>
        <v>0</v>
      </c>
      <c r="BI122" s="124"/>
    </row>
    <row r="123" spans="2:61" x14ac:dyDescent="0.25">
      <c r="B123"/>
      <c r="D123" s="245">
        <f>IFERROR(MATCH(Tabla32[[#This Row],[Cuenta Contable]],Produccion_Ganadera_Cuentas[Cuenta Contable],0),0)</f>
        <v>13</v>
      </c>
      <c r="E123" s="32" t="str">
        <f>Configuración!AT17</f>
        <v>Personal</v>
      </c>
      <c r="F123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23" s="31">
        <f>IFERROR(Tabla32[[#This Row],[Prod. Carne]]/Tabla32[[#This Row],[Cab]],0)</f>
        <v>0</v>
      </c>
      <c r="H123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23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23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23" s="9">
        <f>IFERROR(Tabla32[[#This Row],[U$S Total]]/Tabla32[[#Totals],[Prod. Carne]],0)</f>
        <v>0</v>
      </c>
      <c r="L123"/>
      <c r="M123"/>
      <c r="X123"/>
      <c r="Z123" s="245">
        <f>IFERROR(MATCH(Tabla3244[[#This Row],[Cuenta Contable]],Produccion_Ganadera_Cuentas[Cuenta Contable],0),0)</f>
        <v>13</v>
      </c>
      <c r="AA123" s="32" t="str">
        <f>Tabla32[[#This Row],[Cuenta Contable]]</f>
        <v>Personal</v>
      </c>
      <c r="AB123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23" s="31">
        <f>IFERROR(Tabla3244[[#This Row],[Prod. Carne]]/Tabla3244[[#This Row],[Cab]],0)</f>
        <v>0</v>
      </c>
      <c r="AD123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23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23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23" s="9">
        <f>IFERROR(Tabla3244[[#This Row],[U$S Total]]/Tabla3244[[#Totals],[Prod. Carne]],0)</f>
        <v>0</v>
      </c>
      <c r="AH123"/>
      <c r="AI123"/>
      <c r="AT123"/>
      <c r="AV123" s="245">
        <f>IFERROR(MATCH(Tabla324453[[#This Row],[Cuenta Contable]],Produccion_Ganadera_Cuentas[Cuenta Contable],0),0)</f>
        <v>13</v>
      </c>
      <c r="AW123" s="32" t="str">
        <f>Tabla32[[#This Row],[Cuenta Contable]]</f>
        <v>Personal</v>
      </c>
      <c r="AX123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23" s="31">
        <f>IFERROR(Tabla324453[[#This Row],[Prod. Carne]]/Tabla324453[[#This Row],[Cab]],0)</f>
        <v>0</v>
      </c>
      <c r="AZ123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23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23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23" s="9">
        <f>IFERROR(Tabla324453[[#This Row],[U$S Total]]/Tabla324453[[#Totals],[Prod. Carne]],0)</f>
        <v>0</v>
      </c>
      <c r="BD123"/>
      <c r="BE123"/>
    </row>
    <row r="124" spans="2:61" x14ac:dyDescent="0.25">
      <c r="B124"/>
      <c r="D124" s="245">
        <f>IFERROR(MATCH(Tabla32[[#This Row],[Cuenta Contable]],Produccion_Ganadera_Cuentas[Cuenta Contable],0),0)</f>
        <v>14</v>
      </c>
      <c r="E124" s="32" t="str">
        <f>Configuración!AT18</f>
        <v>Cargas Sociales</v>
      </c>
      <c r="F124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24" s="31">
        <f>IFERROR(Tabla32[[#This Row],[Prod. Carne]]/Tabla32[[#This Row],[Cab]],0)</f>
        <v>0</v>
      </c>
      <c r="H124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24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24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24" s="9">
        <f>IFERROR(Tabla32[[#This Row],[U$S Total]]/Tabla32[[#Totals],[Prod. Carne]],0)</f>
        <v>0</v>
      </c>
      <c r="L124"/>
      <c r="M124"/>
      <c r="N124"/>
      <c r="O124"/>
      <c r="P124"/>
      <c r="X124"/>
      <c r="Z124" s="245">
        <f>IFERROR(MATCH(Tabla3244[[#This Row],[Cuenta Contable]],Produccion_Ganadera_Cuentas[Cuenta Contable],0),0)</f>
        <v>14</v>
      </c>
      <c r="AA124" s="32" t="str">
        <f>Tabla32[[#This Row],[Cuenta Contable]]</f>
        <v>Cargas Sociales</v>
      </c>
      <c r="AB124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24" s="31">
        <f>IFERROR(Tabla3244[[#This Row],[Prod. Carne]]/Tabla3244[[#This Row],[Cab]],0)</f>
        <v>0</v>
      </c>
      <c r="AD124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24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24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24" s="9">
        <f>IFERROR(Tabla3244[[#This Row],[U$S Total]]/Tabla3244[[#Totals],[Prod. Carne]],0)</f>
        <v>0</v>
      </c>
      <c r="AH124"/>
      <c r="AI124"/>
      <c r="AJ124"/>
      <c r="AK124"/>
      <c r="AL124"/>
      <c r="AT124"/>
      <c r="AV124" s="245">
        <f>IFERROR(MATCH(Tabla324453[[#This Row],[Cuenta Contable]],Produccion_Ganadera_Cuentas[Cuenta Contable],0),0)</f>
        <v>14</v>
      </c>
      <c r="AW124" s="32" t="str">
        <f>Tabla32[[#This Row],[Cuenta Contable]]</f>
        <v>Cargas Sociales</v>
      </c>
      <c r="AX124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24" s="31">
        <f>IFERROR(Tabla324453[[#This Row],[Prod. Carne]]/Tabla324453[[#This Row],[Cab]],0)</f>
        <v>0</v>
      </c>
      <c r="AZ124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24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24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24" s="9">
        <f>IFERROR(Tabla324453[[#This Row],[U$S Total]]/Tabla324453[[#Totals],[Prod. Carne]],0)</f>
        <v>0</v>
      </c>
      <c r="BD124"/>
      <c r="BE124"/>
      <c r="BF124"/>
      <c r="BG124"/>
      <c r="BH124"/>
    </row>
    <row r="125" spans="2:61" x14ac:dyDescent="0.25">
      <c r="B125"/>
      <c r="D125" s="245">
        <f>IFERROR(MATCH(Tabla32[[#This Row],[Cuenta Contable]],Produccion_Ganadera_Cuentas[Cuenta Contable],0),0)</f>
        <v>15</v>
      </c>
      <c r="E125" s="32" t="str">
        <f>Configuración!AT19</f>
        <v>Manutención Personal</v>
      </c>
      <c r="F125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25" s="31">
        <f>IFERROR(Tabla32[[#This Row],[Prod. Carne]]/Tabla32[[#This Row],[Cab]],0)</f>
        <v>0</v>
      </c>
      <c r="H125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25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25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25" s="9">
        <f>IFERROR(Tabla32[[#This Row],[U$S Total]]/Tabla32[[#Totals],[Prod. Carne]],0)</f>
        <v>0</v>
      </c>
      <c r="L125"/>
      <c r="M125"/>
      <c r="N125"/>
      <c r="O125"/>
      <c r="P125"/>
      <c r="X125"/>
      <c r="Z125" s="245">
        <f>IFERROR(MATCH(Tabla3244[[#This Row],[Cuenta Contable]],Produccion_Ganadera_Cuentas[Cuenta Contable],0),0)</f>
        <v>15</v>
      </c>
      <c r="AA125" s="32" t="str">
        <f>Tabla32[[#This Row],[Cuenta Contable]]</f>
        <v>Manutención Personal</v>
      </c>
      <c r="AB125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25" s="31">
        <f>IFERROR(Tabla3244[[#This Row],[Prod. Carne]]/Tabla3244[[#This Row],[Cab]],0)</f>
        <v>0</v>
      </c>
      <c r="AD125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25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25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25" s="9">
        <f>IFERROR(Tabla3244[[#This Row],[U$S Total]]/Tabla3244[[#Totals],[Prod. Carne]],0)</f>
        <v>0</v>
      </c>
      <c r="AH125"/>
      <c r="AI125"/>
      <c r="AJ125"/>
      <c r="AK125"/>
      <c r="AL125"/>
      <c r="AT125"/>
      <c r="AV125" s="245">
        <f>IFERROR(MATCH(Tabla324453[[#This Row],[Cuenta Contable]],Produccion_Ganadera_Cuentas[Cuenta Contable],0),0)</f>
        <v>15</v>
      </c>
      <c r="AW125" s="32" t="str">
        <f>Tabla32[[#This Row],[Cuenta Contable]]</f>
        <v>Manutención Personal</v>
      </c>
      <c r="AX125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25" s="31">
        <f>IFERROR(Tabla324453[[#This Row],[Prod. Carne]]/Tabla324453[[#This Row],[Cab]],0)</f>
        <v>0</v>
      </c>
      <c r="AZ125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25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25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25" s="9">
        <f>IFERROR(Tabla324453[[#This Row],[U$S Total]]/Tabla324453[[#Totals],[Prod. Carne]],0)</f>
        <v>0</v>
      </c>
      <c r="BD125"/>
      <c r="BE125"/>
      <c r="BF125"/>
      <c r="BG125"/>
      <c r="BH125"/>
    </row>
    <row r="126" spans="2:61" x14ac:dyDescent="0.25">
      <c r="B126"/>
      <c r="D126" s="245">
        <f>IFERROR(MATCH(Tabla32[[#This Row],[Cuenta Contable]],Produccion_Ganadera_Cuentas[Cuenta Contable],0),0)</f>
        <v>16</v>
      </c>
      <c r="E126" s="32" t="str">
        <f>Configuración!AT20</f>
        <v>Sanidad Productos</v>
      </c>
      <c r="F126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26" s="31">
        <f>IFERROR(Tabla32[[#This Row],[Prod. Carne]]/Tabla32[[#This Row],[Cab]],0)</f>
        <v>0</v>
      </c>
      <c r="H126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26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26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26" s="9">
        <f>IFERROR(Tabla32[[#This Row],[U$S Total]]/Tabla32[[#Totals],[Prod. Carne]],0)</f>
        <v>0</v>
      </c>
      <c r="L126"/>
      <c r="M126"/>
      <c r="N126"/>
      <c r="O126"/>
      <c r="P126"/>
      <c r="X126"/>
      <c r="Z126" s="245">
        <f>IFERROR(MATCH(Tabla3244[[#This Row],[Cuenta Contable]],Produccion_Ganadera_Cuentas[Cuenta Contable],0),0)</f>
        <v>16</v>
      </c>
      <c r="AA126" s="32" t="str">
        <f>Tabla32[[#This Row],[Cuenta Contable]]</f>
        <v>Sanidad Productos</v>
      </c>
      <c r="AB126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26" s="31">
        <f>IFERROR(Tabla3244[[#This Row],[Prod. Carne]]/Tabla3244[[#This Row],[Cab]],0)</f>
        <v>0</v>
      </c>
      <c r="AD126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26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26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26" s="9">
        <f>IFERROR(Tabla3244[[#This Row],[U$S Total]]/Tabla3244[[#Totals],[Prod. Carne]],0)</f>
        <v>0</v>
      </c>
      <c r="AH126"/>
      <c r="AI126"/>
      <c r="AJ126"/>
      <c r="AK126"/>
      <c r="AL126"/>
      <c r="AT126"/>
      <c r="AV126" s="245">
        <f>IFERROR(MATCH(Tabla324453[[#This Row],[Cuenta Contable]],Produccion_Ganadera_Cuentas[Cuenta Contable],0),0)</f>
        <v>16</v>
      </c>
      <c r="AW126" s="32" t="str">
        <f>Tabla32[[#This Row],[Cuenta Contable]]</f>
        <v>Sanidad Productos</v>
      </c>
      <c r="AX126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26" s="31">
        <f>IFERROR(Tabla324453[[#This Row],[Prod. Carne]]/Tabla324453[[#This Row],[Cab]],0)</f>
        <v>0</v>
      </c>
      <c r="AZ126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26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26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26" s="9">
        <f>IFERROR(Tabla324453[[#This Row],[U$S Total]]/Tabla324453[[#Totals],[Prod. Carne]],0)</f>
        <v>0</v>
      </c>
      <c r="BD126"/>
      <c r="BE126"/>
      <c r="BF126"/>
      <c r="BG126"/>
      <c r="BH126"/>
    </row>
    <row r="127" spans="2:61" x14ac:dyDescent="0.25">
      <c r="B127"/>
      <c r="D127" s="245">
        <f>IFERROR(MATCH(Tabla32[[#This Row],[Cuenta Contable]],Produccion_Ganadera_Cuentas[Cuenta Contable],0),0)</f>
        <v>17</v>
      </c>
      <c r="E127" s="32" t="str">
        <f>Configuración!AT21</f>
        <v>Sanidad Honorarios</v>
      </c>
      <c r="F127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27" s="31">
        <f>IFERROR(Tabla32[[#This Row],[Prod. Carne]]/Tabla32[[#This Row],[Cab]],0)</f>
        <v>0</v>
      </c>
      <c r="H127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27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27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27" s="9">
        <f>IFERROR(Tabla32[[#This Row],[U$S Total]]/Tabla32[[#Totals],[Prod. Carne]],0)</f>
        <v>0</v>
      </c>
      <c r="L127"/>
      <c r="M127"/>
      <c r="N127"/>
      <c r="O127"/>
      <c r="P127"/>
      <c r="X127"/>
      <c r="Z127" s="245">
        <f>IFERROR(MATCH(Tabla3244[[#This Row],[Cuenta Contable]],Produccion_Ganadera_Cuentas[Cuenta Contable],0),0)</f>
        <v>17</v>
      </c>
      <c r="AA127" s="32" t="str">
        <f>Tabla32[[#This Row],[Cuenta Contable]]</f>
        <v>Sanidad Honorarios</v>
      </c>
      <c r="AB127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27" s="31">
        <f>IFERROR(Tabla3244[[#This Row],[Prod. Carne]]/Tabla3244[[#This Row],[Cab]],0)</f>
        <v>0</v>
      </c>
      <c r="AD127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27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27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27" s="9">
        <f>IFERROR(Tabla3244[[#This Row],[U$S Total]]/Tabla3244[[#Totals],[Prod. Carne]],0)</f>
        <v>0</v>
      </c>
      <c r="AH127"/>
      <c r="AI127"/>
      <c r="AJ127"/>
      <c r="AK127"/>
      <c r="AL127"/>
      <c r="AT127"/>
      <c r="AV127" s="245">
        <f>IFERROR(MATCH(Tabla324453[[#This Row],[Cuenta Contable]],Produccion_Ganadera_Cuentas[Cuenta Contable],0),0)</f>
        <v>17</v>
      </c>
      <c r="AW127" s="32" t="str">
        <f>Tabla32[[#This Row],[Cuenta Contable]]</f>
        <v>Sanidad Honorarios</v>
      </c>
      <c r="AX127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27" s="31">
        <f>IFERROR(Tabla324453[[#This Row],[Prod. Carne]]/Tabla324453[[#This Row],[Cab]],0)</f>
        <v>0</v>
      </c>
      <c r="AZ127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27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27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27" s="9">
        <f>IFERROR(Tabla324453[[#This Row],[U$S Total]]/Tabla324453[[#Totals],[Prod. Carne]],0)</f>
        <v>0</v>
      </c>
      <c r="BD127"/>
      <c r="BE127"/>
      <c r="BF127"/>
      <c r="BG127"/>
      <c r="BH127"/>
    </row>
    <row r="128" spans="2:61" x14ac:dyDescent="0.25">
      <c r="B128"/>
      <c r="D128" s="245">
        <f>IFERROR(MATCH(Tabla32[[#This Row],[Cuenta Contable]],Produccion_Ganadera_Cuentas[Cuenta Contable],0),0)</f>
        <v>18</v>
      </c>
      <c r="E128" s="32" t="str">
        <f>Configuración!AT22</f>
        <v>Alimentación</v>
      </c>
      <c r="F128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28" s="31">
        <f>IFERROR(Tabla32[[#This Row],[Prod. Carne]]/Tabla32[[#This Row],[Cab]],0)</f>
        <v>0</v>
      </c>
      <c r="H128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28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28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28" s="9">
        <f>IFERROR(Tabla32[[#This Row],[U$S Total]]/Tabla32[[#Totals],[Prod. Carne]],0)</f>
        <v>0</v>
      </c>
      <c r="L128"/>
      <c r="M128"/>
      <c r="N128"/>
      <c r="O128"/>
      <c r="P128"/>
      <c r="X128"/>
      <c r="Z128" s="245">
        <f>IFERROR(MATCH(Tabla3244[[#This Row],[Cuenta Contable]],Produccion_Ganadera_Cuentas[Cuenta Contable],0),0)</f>
        <v>18</v>
      </c>
      <c r="AA128" s="32" t="str">
        <f>Tabla32[[#This Row],[Cuenta Contable]]</f>
        <v>Alimentación</v>
      </c>
      <c r="AB128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28" s="31">
        <f>IFERROR(Tabla3244[[#This Row],[Prod. Carne]]/Tabla3244[[#This Row],[Cab]],0)</f>
        <v>0</v>
      </c>
      <c r="AD128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28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28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28" s="9">
        <f>IFERROR(Tabla3244[[#This Row],[U$S Total]]/Tabla3244[[#Totals],[Prod. Carne]],0)</f>
        <v>0</v>
      </c>
      <c r="AH128"/>
      <c r="AI128"/>
      <c r="AJ128"/>
      <c r="AK128"/>
      <c r="AL128"/>
      <c r="AT128"/>
      <c r="AV128" s="245">
        <f>IFERROR(MATCH(Tabla324453[[#This Row],[Cuenta Contable]],Produccion_Ganadera_Cuentas[Cuenta Contable],0),0)</f>
        <v>18</v>
      </c>
      <c r="AW128" s="32" t="str">
        <f>Tabla32[[#This Row],[Cuenta Contable]]</f>
        <v>Alimentación</v>
      </c>
      <c r="AX128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28" s="31">
        <f>IFERROR(Tabla324453[[#This Row],[Prod. Carne]]/Tabla324453[[#This Row],[Cab]],0)</f>
        <v>0</v>
      </c>
      <c r="AZ128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28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28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28" s="9">
        <f>IFERROR(Tabla324453[[#This Row],[U$S Total]]/Tabla324453[[#Totals],[Prod. Carne]],0)</f>
        <v>0</v>
      </c>
      <c r="BD128"/>
      <c r="BE128"/>
      <c r="BF128"/>
      <c r="BG128"/>
      <c r="BH128"/>
    </row>
    <row r="129" spans="2:62" x14ac:dyDescent="0.25">
      <c r="B129"/>
      <c r="D129" s="245">
        <f>IFERROR(MATCH(Tabla32[[#This Row],[Cuenta Contable]],Produccion_Ganadera_Cuentas[Cuenta Contable],0),0)</f>
        <v>19</v>
      </c>
      <c r="E129" s="32" t="str">
        <f>Configuración!AT23</f>
        <v>Suplementación</v>
      </c>
      <c r="F129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29" s="31">
        <f>IFERROR(Tabla32[[#This Row],[Prod. Carne]]/Tabla32[[#This Row],[Cab]],0)</f>
        <v>0</v>
      </c>
      <c r="H129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29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29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29" s="9">
        <f>IFERROR(Tabla32[[#This Row],[U$S Total]]/Tabla32[[#Totals],[Prod. Carne]],0)</f>
        <v>0</v>
      </c>
      <c r="L129"/>
      <c r="M129"/>
      <c r="N129"/>
      <c r="O129"/>
      <c r="P129"/>
      <c r="X129"/>
      <c r="Z129" s="245">
        <f>IFERROR(MATCH(Tabla3244[[#This Row],[Cuenta Contable]],Produccion_Ganadera_Cuentas[Cuenta Contable],0),0)</f>
        <v>19</v>
      </c>
      <c r="AA129" s="32" t="str">
        <f>Tabla32[[#This Row],[Cuenta Contable]]</f>
        <v>Suplementación</v>
      </c>
      <c r="AB129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29" s="31">
        <f>IFERROR(Tabla3244[[#This Row],[Prod. Carne]]/Tabla3244[[#This Row],[Cab]],0)</f>
        <v>0</v>
      </c>
      <c r="AD129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29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29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29" s="9">
        <f>IFERROR(Tabla3244[[#This Row],[U$S Total]]/Tabla3244[[#Totals],[Prod. Carne]],0)</f>
        <v>0</v>
      </c>
      <c r="AH129"/>
      <c r="AI129"/>
      <c r="AJ129"/>
      <c r="AK129"/>
      <c r="AL129"/>
      <c r="AT129"/>
      <c r="AV129" s="245">
        <f>IFERROR(MATCH(Tabla324453[[#This Row],[Cuenta Contable]],Produccion_Ganadera_Cuentas[Cuenta Contable],0),0)</f>
        <v>19</v>
      </c>
      <c r="AW129" s="32" t="str">
        <f>Tabla32[[#This Row],[Cuenta Contable]]</f>
        <v>Suplementación</v>
      </c>
      <c r="AX129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29" s="31">
        <f>IFERROR(Tabla324453[[#This Row],[Prod. Carne]]/Tabla324453[[#This Row],[Cab]],0)</f>
        <v>0</v>
      </c>
      <c r="AZ129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29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29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29" s="9">
        <f>IFERROR(Tabla324453[[#This Row],[U$S Total]]/Tabla324453[[#Totals],[Prod. Carne]],0)</f>
        <v>0</v>
      </c>
      <c r="BD129"/>
      <c r="BE129"/>
      <c r="BF129"/>
      <c r="BG129"/>
      <c r="BH129"/>
    </row>
    <row r="130" spans="2:62" x14ac:dyDescent="0.25">
      <c r="B130"/>
      <c r="D130" s="245">
        <f>IFERROR(MATCH(Tabla32[[#This Row],[Cuenta Contable]],Produccion_Ganadera_Cuentas[Cuenta Contable],0),0)</f>
        <v>20</v>
      </c>
      <c r="E130" s="32" t="str">
        <f>Configuración!AT24</f>
        <v>Cesión de Granos</v>
      </c>
      <c r="F130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30" s="31">
        <f>IFERROR(Tabla32[[#This Row],[Prod. Carne]]/Tabla32[[#This Row],[Cab]],0)</f>
        <v>0</v>
      </c>
      <c r="H130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30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30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30" s="9">
        <f>IFERROR(Tabla32[[#This Row],[U$S Total]]/Tabla32[[#Totals],[Prod. Carne]],0)</f>
        <v>0</v>
      </c>
      <c r="L130"/>
      <c r="M130"/>
      <c r="N130"/>
      <c r="O130"/>
      <c r="P130"/>
      <c r="X130"/>
      <c r="Z130" s="245">
        <f>IFERROR(MATCH(Tabla3244[[#This Row],[Cuenta Contable]],Produccion_Ganadera_Cuentas[Cuenta Contable],0),0)</f>
        <v>20</v>
      </c>
      <c r="AA130" s="32" t="str">
        <f>Tabla32[[#This Row],[Cuenta Contable]]</f>
        <v>Cesión de Granos</v>
      </c>
      <c r="AB130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30" s="31">
        <f>IFERROR(Tabla3244[[#This Row],[Prod. Carne]]/Tabla3244[[#This Row],[Cab]],0)</f>
        <v>0</v>
      </c>
      <c r="AD130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30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30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30" s="9">
        <f>IFERROR(Tabla3244[[#This Row],[U$S Total]]/Tabla3244[[#Totals],[Prod. Carne]],0)</f>
        <v>0</v>
      </c>
      <c r="AH130"/>
      <c r="AI130"/>
      <c r="AJ130"/>
      <c r="AK130"/>
      <c r="AL130"/>
      <c r="AT130"/>
      <c r="AV130" s="245">
        <f>IFERROR(MATCH(Tabla324453[[#This Row],[Cuenta Contable]],Produccion_Ganadera_Cuentas[Cuenta Contable],0),0)</f>
        <v>20</v>
      </c>
      <c r="AW130" s="32" t="str">
        <f>Tabla32[[#This Row],[Cuenta Contable]]</f>
        <v>Cesión de Granos</v>
      </c>
      <c r="AX130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30" s="31">
        <f>IFERROR(Tabla324453[[#This Row],[Prod. Carne]]/Tabla324453[[#This Row],[Cab]],0)</f>
        <v>0</v>
      </c>
      <c r="AZ130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30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30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30" s="9">
        <f>IFERROR(Tabla324453[[#This Row],[U$S Total]]/Tabla324453[[#Totals],[Prod. Carne]],0)</f>
        <v>0</v>
      </c>
      <c r="BD130"/>
      <c r="BE130"/>
      <c r="BF130"/>
      <c r="BG130"/>
      <c r="BH130"/>
    </row>
    <row r="131" spans="2:62" x14ac:dyDescent="0.25">
      <c r="B131"/>
      <c r="D131" s="245">
        <f>IFERROR(MATCH(Tabla32[[#This Row],[Cuenta Contable]],Produccion_Ganadera_Cuentas[Cuenta Contable],0),0)</f>
        <v>21</v>
      </c>
      <c r="E131" s="32" t="str">
        <f>Configuración!AT25</f>
        <v>Labores Propias</v>
      </c>
      <c r="F131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31" s="31">
        <f>IFERROR(Tabla32[[#This Row],[Prod. Carne]]/Tabla32[[#This Row],[Cab]],0)</f>
        <v>0</v>
      </c>
      <c r="H131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31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31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31" s="9">
        <f>IFERROR(Tabla32[[#This Row],[U$S Total]]/Tabla32[[#Totals],[Prod. Carne]],0)</f>
        <v>0</v>
      </c>
      <c r="L131"/>
      <c r="M131"/>
      <c r="N131"/>
      <c r="O131"/>
      <c r="P131"/>
      <c r="X131"/>
      <c r="Z131" s="245">
        <f>IFERROR(MATCH(Tabla3244[[#This Row],[Cuenta Contable]],Produccion_Ganadera_Cuentas[Cuenta Contable],0),0)</f>
        <v>21</v>
      </c>
      <c r="AA131" s="32" t="str">
        <f>Tabla32[[#This Row],[Cuenta Contable]]</f>
        <v>Labores Propias</v>
      </c>
      <c r="AB131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31" s="31">
        <f>IFERROR(Tabla3244[[#This Row],[Prod. Carne]]/Tabla3244[[#This Row],[Cab]],0)</f>
        <v>0</v>
      </c>
      <c r="AD131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31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31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31" s="9">
        <f>IFERROR(Tabla3244[[#This Row],[U$S Total]]/Tabla3244[[#Totals],[Prod. Carne]],0)</f>
        <v>0</v>
      </c>
      <c r="AH131"/>
      <c r="AI131"/>
      <c r="AJ131"/>
      <c r="AK131"/>
      <c r="AL131"/>
      <c r="AT131"/>
      <c r="AV131" s="245">
        <f>IFERROR(MATCH(Tabla324453[[#This Row],[Cuenta Contable]],Produccion_Ganadera_Cuentas[Cuenta Contable],0),0)</f>
        <v>21</v>
      </c>
      <c r="AW131" s="32" t="str">
        <f>Tabla32[[#This Row],[Cuenta Contable]]</f>
        <v>Labores Propias</v>
      </c>
      <c r="AX131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31" s="31">
        <f>IFERROR(Tabla324453[[#This Row],[Prod. Carne]]/Tabla324453[[#This Row],[Cab]],0)</f>
        <v>0</v>
      </c>
      <c r="AZ131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31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31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31" s="9">
        <f>IFERROR(Tabla324453[[#This Row],[U$S Total]]/Tabla324453[[#Totals],[Prod. Carne]],0)</f>
        <v>0</v>
      </c>
      <c r="BD131"/>
      <c r="BE131"/>
      <c r="BF131"/>
      <c r="BG131"/>
      <c r="BH131"/>
    </row>
    <row r="132" spans="2:62" x14ac:dyDescent="0.25">
      <c r="B132"/>
      <c r="D132" s="245">
        <f>IFERROR(MATCH(Tabla32[[#This Row],[Cuenta Contable]],Produccion_Ganadera_Cuentas[Cuenta Contable],0),0)</f>
        <v>22</v>
      </c>
      <c r="E132" s="32" t="str">
        <f>Configuración!AT26</f>
        <v>Gerenciamiento</v>
      </c>
      <c r="F132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32" s="31">
        <f>IFERROR(Tabla32[[#This Row],[Prod. Carne]]/Tabla32[[#This Row],[Cab]],0)</f>
        <v>0</v>
      </c>
      <c r="H132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32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32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32" s="9">
        <f>IFERROR(Tabla32[[#This Row],[U$S Total]]/Tabla32[[#Totals],[Prod. Carne]],0)</f>
        <v>0</v>
      </c>
      <c r="L132"/>
      <c r="M132"/>
      <c r="N132"/>
      <c r="O132"/>
      <c r="P132"/>
      <c r="X132"/>
      <c r="Z132" s="245">
        <f>IFERROR(MATCH(Tabla3244[[#This Row],[Cuenta Contable]],Produccion_Ganadera_Cuentas[Cuenta Contable],0),0)</f>
        <v>22</v>
      </c>
      <c r="AA132" s="32" t="str">
        <f>Tabla32[[#This Row],[Cuenta Contable]]</f>
        <v>Gerenciamiento</v>
      </c>
      <c r="AB132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32" s="31">
        <f>IFERROR(Tabla3244[[#This Row],[Prod. Carne]]/Tabla3244[[#This Row],[Cab]],0)</f>
        <v>0</v>
      </c>
      <c r="AD132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32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32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32" s="9">
        <f>IFERROR(Tabla3244[[#This Row],[U$S Total]]/Tabla3244[[#Totals],[Prod. Carne]],0)</f>
        <v>0</v>
      </c>
      <c r="AH132"/>
      <c r="AI132"/>
      <c r="AJ132"/>
      <c r="AK132"/>
      <c r="AL132"/>
      <c r="AT132"/>
      <c r="AV132" s="245">
        <f>IFERROR(MATCH(Tabla324453[[#This Row],[Cuenta Contable]],Produccion_Ganadera_Cuentas[Cuenta Contable],0),0)</f>
        <v>22</v>
      </c>
      <c r="AW132" s="32" t="str">
        <f>Tabla32[[#This Row],[Cuenta Contable]]</f>
        <v>Gerenciamiento</v>
      </c>
      <c r="AX132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32" s="31">
        <f>IFERROR(Tabla324453[[#This Row],[Prod. Carne]]/Tabla324453[[#This Row],[Cab]],0)</f>
        <v>0</v>
      </c>
      <c r="AZ132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32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32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32" s="9">
        <f>IFERROR(Tabla324453[[#This Row],[U$S Total]]/Tabla324453[[#Totals],[Prod. Carne]],0)</f>
        <v>0</v>
      </c>
      <c r="BD132"/>
      <c r="BE132"/>
      <c r="BF132"/>
      <c r="BG132"/>
      <c r="BH132"/>
    </row>
    <row r="133" spans="2:62" x14ac:dyDescent="0.25">
      <c r="B133"/>
      <c r="D133" s="245">
        <f>IFERROR(MATCH(Tabla32[[#This Row],[Cuenta Contable]],Produccion_Ganadera_Cuentas[Cuenta Contable],0),0)</f>
        <v>23</v>
      </c>
      <c r="E133" s="32" t="str">
        <f>Configuración!AT27</f>
        <v>Arrendamiento</v>
      </c>
      <c r="F133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33" s="31">
        <f>IFERROR(Tabla32[[#This Row],[Prod. Carne]]/Tabla32[[#This Row],[Cab]],0)</f>
        <v>0</v>
      </c>
      <c r="H133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33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33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33" s="9">
        <f>IFERROR(Tabla32[[#This Row],[U$S Total]]/Tabla32[[#Totals],[Prod. Carne]],0)</f>
        <v>0</v>
      </c>
      <c r="L133"/>
      <c r="M133"/>
      <c r="N133"/>
      <c r="O133"/>
      <c r="P133"/>
      <c r="X133"/>
      <c r="Z133" s="245">
        <f>IFERROR(MATCH(Tabla3244[[#This Row],[Cuenta Contable]],Produccion_Ganadera_Cuentas[Cuenta Contable],0),0)</f>
        <v>23</v>
      </c>
      <c r="AA133" s="32" t="str">
        <f>Tabla32[[#This Row],[Cuenta Contable]]</f>
        <v>Arrendamiento</v>
      </c>
      <c r="AB133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33" s="31">
        <f>IFERROR(Tabla3244[[#This Row],[Prod. Carne]]/Tabla3244[[#This Row],[Cab]],0)</f>
        <v>0</v>
      </c>
      <c r="AD133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33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33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33" s="9">
        <f>IFERROR(Tabla3244[[#This Row],[U$S Total]]/Tabla3244[[#Totals],[Prod. Carne]],0)</f>
        <v>0</v>
      </c>
      <c r="AH133"/>
      <c r="AI133"/>
      <c r="AJ133"/>
      <c r="AK133"/>
      <c r="AL133"/>
      <c r="AT133"/>
      <c r="AV133" s="245">
        <f>IFERROR(MATCH(Tabla324453[[#This Row],[Cuenta Contable]],Produccion_Ganadera_Cuentas[Cuenta Contable],0),0)</f>
        <v>23</v>
      </c>
      <c r="AW133" s="32" t="str">
        <f>Tabla32[[#This Row],[Cuenta Contable]]</f>
        <v>Arrendamiento</v>
      </c>
      <c r="AX133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33" s="31">
        <f>IFERROR(Tabla324453[[#This Row],[Prod. Carne]]/Tabla324453[[#This Row],[Cab]],0)</f>
        <v>0</v>
      </c>
      <c r="AZ133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33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33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33" s="9">
        <f>IFERROR(Tabla324453[[#This Row],[U$S Total]]/Tabla324453[[#Totals],[Prod. Carne]],0)</f>
        <v>0</v>
      </c>
      <c r="BD133"/>
      <c r="BE133"/>
      <c r="BF133"/>
      <c r="BG133"/>
      <c r="BH133"/>
    </row>
    <row r="134" spans="2:62" x14ac:dyDescent="0.25">
      <c r="B134"/>
      <c r="D134" s="245">
        <f>IFERROR(MATCH(Tabla32[[#This Row],[Cuenta Contable]],Produccion_Ganadera_Cuentas[Cuenta Contable],0),0)</f>
        <v>24</v>
      </c>
      <c r="E134" s="32" t="str">
        <f>Configuración!AT28</f>
        <v>Costo Oportunidad Tierra</v>
      </c>
      <c r="F134" s="30">
        <f>SUMPRODUCT(($F$4=Producción_Ganadera[C. Costo Reporte])*(Económico!$F$5=Producción_Ganadera[Campaña])*(Tabla32[[#This Row],[Cuenta Contable]]=Producción_Ganadera[Cuenta Contable])*(Producción_Ganadera[Cabezas]))</f>
        <v>0</v>
      </c>
      <c r="G134" s="31">
        <f>IFERROR(Tabla32[[#This Row],[Prod. Carne]]/Tabla32[[#This Row],[Cab]],0)</f>
        <v>0</v>
      </c>
      <c r="H134" s="257">
        <f>SUMPRODUCT(($F$4=Producción_Ganadera[C. Costo Reporte])*(Económico!$F$5=Producción_Ganadera[Campaña])*(Tabla32[[#This Row],[Cuenta Contable]]=Producción_Ganadera[Cuenta Contable])*(Producción_Ganadera[Cabezas])*(Producción_Ganadera[Kg/Cab]))</f>
        <v>0</v>
      </c>
      <c r="I134" s="30">
        <f>SUMPRODUCT(($F$4=Producción_Ganadera[C. Costo Reporte])*(Económico!$F$5=Producción_Ganadera[Campaña])*(Tabla32[[#This Row],[Cuenta Contable]]=Producción_Ganadera[Cuenta Contable])*(Producción_Ganadera[Económico U$S Dólares]))</f>
        <v>0</v>
      </c>
      <c r="J134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34" s="9">
        <f>IFERROR(Tabla32[[#This Row],[U$S Total]]/Tabla32[[#Totals],[Prod. Carne]],0)</f>
        <v>0</v>
      </c>
      <c r="L134"/>
      <c r="M134"/>
      <c r="N134"/>
      <c r="O134"/>
      <c r="P134"/>
      <c r="X134"/>
      <c r="Z134" s="245">
        <f>IFERROR(MATCH(Tabla3244[[#This Row],[Cuenta Contable]],Produccion_Ganadera_Cuentas[Cuenta Contable],0),0)</f>
        <v>24</v>
      </c>
      <c r="AA134" s="32" t="str">
        <f>Tabla32[[#This Row],[Cuenta Contable]]</f>
        <v>Costo Oportunidad Tierra</v>
      </c>
      <c r="AB134" s="30">
        <f>SUMPRODUCT(($F$4=Producción_Ganadera[C. Costo Reporte])*(Económico!$F$5=Producción_Ganadera[Campaña])*(Tabla3244[[#This Row],[Cuenta Contable]]=Producción_Ganadera[Cuenta Contable])*(Producción_Ganadera[Cabezas]))</f>
        <v>0</v>
      </c>
      <c r="AC134" s="31">
        <f>IFERROR(Tabla3244[[#This Row],[Prod. Carne]]/Tabla3244[[#This Row],[Cab]],0)</f>
        <v>0</v>
      </c>
      <c r="AD134" s="257">
        <f>SUMPRODUCT(($F$4=Producción_Ganadera[C. Costo Reporte])*(Económico!$F$5=Producción_Ganadera[Campaña])*(Tabla3244[[#This Row],[Cuenta Contable]]=Producción_Ganadera[Cuenta Contable])*(Producción_Ganadera[Cabezas])*(Producción_Ganadera[Kg/Cab]))</f>
        <v>0</v>
      </c>
      <c r="AE134" s="30">
        <f>SUMPRODUCT(($F$4=Producción_Ganadera[C. Costo Reporte])*(Económico!$F$5=Producción_Ganadera[Campaña])*(Tabla3244[[#This Row],[Cuenta Contable]]=Producción_Ganadera[Cuenta Contable])*(Producción_Ganadera[Económico $Corrientes]))</f>
        <v>0</v>
      </c>
      <c r="AF134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34" s="9">
        <f>IFERROR(Tabla3244[[#This Row],[U$S Total]]/Tabla3244[[#Totals],[Prod. Carne]],0)</f>
        <v>0</v>
      </c>
      <c r="AH134"/>
      <c r="AI134"/>
      <c r="AJ134"/>
      <c r="AK134"/>
      <c r="AL134"/>
      <c r="AT134"/>
      <c r="AV134" s="245">
        <f>IFERROR(MATCH(Tabla324453[[#This Row],[Cuenta Contable]],Produccion_Ganadera_Cuentas[Cuenta Contable],0),0)</f>
        <v>24</v>
      </c>
      <c r="AW134" s="32" t="str">
        <f>Tabla32[[#This Row],[Cuenta Contable]]</f>
        <v>Costo Oportunidad Tierra</v>
      </c>
      <c r="AX134" s="30">
        <f>SUMPRODUCT(($F$4=Producción_Ganadera[C. Costo Reporte])*(Económico!$F$5=Producción_Ganadera[Campaña])*(Tabla324453[[#This Row],[Cuenta Contable]]=Producción_Ganadera[Cuenta Contable])*(Producción_Ganadera[Cabezas]))</f>
        <v>0</v>
      </c>
      <c r="AY134" s="31">
        <f>IFERROR(Tabla324453[[#This Row],[Prod. Carne]]/Tabla324453[[#This Row],[Cab]],0)</f>
        <v>0</v>
      </c>
      <c r="AZ134" s="257">
        <f>SUMPRODUCT(($F$4=Producción_Ganadera[C. Costo Reporte])*(Económico!$F$5=Producción_Ganadera[Campaña])*(Tabla324453[[#This Row],[Cuenta Contable]]=Producción_Ganadera[Cuenta Contable])*(Producción_Ganadera[Cabezas])*(Producción_Ganadera[Kg/Cab]))</f>
        <v>0</v>
      </c>
      <c r="BA134" s="30">
        <f>SUMPRODUCT(($F$4=Producción_Ganadera[C. Costo Reporte])*(Económico!$F$5=Producción_Ganadera[Campaña])*(Tabla324453[[#This Row],[Cuenta Contable]]=Producción_Ganadera[Cuenta Contable])*(Producción_Ganadera[Económico $Constantes]))</f>
        <v>0</v>
      </c>
      <c r="BB134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34" s="9">
        <f>IFERROR(Tabla324453[[#This Row],[U$S Total]]/Tabla324453[[#Totals],[Prod. Carne]],0)</f>
        <v>0</v>
      </c>
      <c r="BD134"/>
      <c r="BE134"/>
      <c r="BF134"/>
      <c r="BG134"/>
      <c r="BH134"/>
    </row>
    <row r="135" spans="2:62" x14ac:dyDescent="0.25">
      <c r="B135" s="241" t="s">
        <v>101</v>
      </c>
      <c r="D135" s="245">
        <f>IFERROR(MATCH(Tabla32[[#This Row],[Cuenta Contable]],Produccion_Ganadera_Cuentas[Cuenta Contable],0),0)</f>
        <v>0</v>
      </c>
      <c r="E135" s="462" t="s">
        <v>518</v>
      </c>
      <c r="F135" s="30">
        <f>SUM(F115:F134)-SUMPRODUCT(($F$4=Producción_Ganadera[C. Costo Reporte])*(Económico!$F$5=Producción_Ganadera[Campaña])*(Producción_Ganadera[Cabezas]))</f>
        <v>0</v>
      </c>
      <c r="G135" s="31">
        <f>IFERROR(Tabla32[[#This Row],[Prod. Carne]]/Tabla32[[#This Row],[Cab]],0)</f>
        <v>0</v>
      </c>
      <c r="H135" s="257">
        <f>SUM(H115:H134)-SUMPRODUCT(($F$4=Producción_Ganadera[C. Costo Reporte])*(Económico!$F$5=Producción_Ganadera[Campaña])*(Producción_Ganadera[Cabezas])*(Producción_Ganadera[Kg/Cab]))</f>
        <v>0</v>
      </c>
      <c r="I135" s="30">
        <f>SUM(I115:I134)+Tabla283132[[#Totals],[Tenencia]]-SUMPRODUCT(($F$4=Producción_Ganadera[C. Costo Reporte])*(Económico!$F$5=Producción_Ganadera[Campaña])*(Producción_Ganadera[Económico U$S Dólares]))</f>
        <v>0</v>
      </c>
      <c r="J135" s="9">
        <f>IFERROR(IF($F$4=0,Tabla32[[#This Row],[U$S Total]]/SUMPRODUCT((Tabla19[Superficie])*($F$5=Tabla19[Campaña])),Tabla32[[#This Row],[U$S Total]]/SUMPRODUCT(($F$4=Tabla19[Centro de Costo])*(Tabla19[Superficie])*($F$5=Tabla19[Campaña]))),0)</f>
        <v>0</v>
      </c>
      <c r="K135" s="9">
        <f>IFERROR(Tabla32[[#This Row],[U$S Total]]/Tabla32[[#Totals],[Prod. Carne]],0)</f>
        <v>0</v>
      </c>
      <c r="L135"/>
      <c r="M135"/>
      <c r="N135"/>
      <c r="O135"/>
      <c r="P135"/>
      <c r="X135" s="241" t="s">
        <v>101</v>
      </c>
      <c r="Z135" s="245">
        <f>IFERROR(MATCH(Tabla3244[[#This Row],[Cuenta Contable]],Produccion_Ganadera_Cuentas[Cuenta Contable],0),0)</f>
        <v>0</v>
      </c>
      <c r="AA135" s="32" t="str">
        <f>Tabla32[[#This Row],[Cuenta Contable]]</f>
        <v>No Imputado</v>
      </c>
      <c r="AB135" s="30">
        <f>SUM(AB115:AB134)-SUMPRODUCT(($F$4=Producción_Ganadera[C. Costo Reporte])*(Económico!$F$5=Producción_Ganadera[Campaña])*(Producción_Ganadera[Cabezas]))</f>
        <v>0</v>
      </c>
      <c r="AC135" s="31">
        <f>IFERROR(Tabla3244[[#This Row],[Prod. Carne]]/Tabla3244[[#This Row],[Cab]],0)</f>
        <v>0</v>
      </c>
      <c r="AD135" s="257">
        <f>SUM(AD115:AD134)-SUMPRODUCT(($F$4=Producción_Ganadera[C. Costo Reporte])*(Económico!$F$5=Producción_Ganadera[Campaña])*(Producción_Ganadera[Cabezas])*(Producción_Ganadera[Kg/Cab]))</f>
        <v>0</v>
      </c>
      <c r="AE135" s="30">
        <f>SUM(AE115:AE134)+Tabla28313243[[#Totals],[Tenencia]]-SUMPRODUCT(($F$4=Producción_Ganadera[C. Costo Reporte])*(Económico!$F$5=Producción_Ganadera[Campaña])*(Producción_Ganadera[Económico $Corrientes]))</f>
        <v>0</v>
      </c>
      <c r="AF135" s="9">
        <f>IFERROR(IF($F$4=0,Tabla3244[[#This Row],[U$S Total]]/SUMPRODUCT((Tabla19[Superficie])*($F$5=Tabla19[Campaña])),Tabla3244[[#This Row],[U$S Total]]/SUMPRODUCT(($F$4=Tabla19[Centro de Costo])*(Tabla19[Superficie])*($F$5=Tabla19[Campaña]))),0)</f>
        <v>0</v>
      </c>
      <c r="AG135" s="9">
        <f>IFERROR(Tabla3244[[#This Row],[U$S Total]]/Tabla3244[[#Totals],[Prod. Carne]],0)</f>
        <v>0</v>
      </c>
      <c r="AH135"/>
      <c r="AI135"/>
      <c r="AJ135"/>
      <c r="AK135"/>
      <c r="AL135"/>
      <c r="AT135" s="241" t="s">
        <v>101</v>
      </c>
      <c r="AV135" s="245">
        <f>IFERROR(MATCH(Tabla324453[[#This Row],[Cuenta Contable]],Produccion_Ganadera_Cuentas[Cuenta Contable],0),0)</f>
        <v>0</v>
      </c>
      <c r="AW135" s="32" t="str">
        <f>Tabla32[[#This Row],[Cuenta Contable]]</f>
        <v>No Imputado</v>
      </c>
      <c r="AX135" s="30">
        <f>SUM(AX115:AX134)-SUMPRODUCT(($F$4=Producción_Ganadera[C. Costo Reporte])*(Económico!$F$5=Producción_Ganadera[Campaña])*(Producción_Ganadera[Cabezas]))</f>
        <v>0</v>
      </c>
      <c r="AY135" s="31">
        <f>IFERROR(Tabla324453[[#This Row],[Prod. Carne]]/Tabla324453[[#This Row],[Cab]],0)</f>
        <v>0</v>
      </c>
      <c r="AZ135" s="257">
        <f>SUM(AZ115:AZ134)-SUMPRODUCT(($F$4=Producción_Ganadera[C. Costo Reporte])*(Económico!$F$5=Producción_Ganadera[Campaña])*(Producción_Ganadera[Cabezas])*(Producción_Ganadera[Kg/Cab]))</f>
        <v>0</v>
      </c>
      <c r="BA135" s="30">
        <f>SUM(BA115:BA134)+Tabla2831324352[[#Totals],[Tenencia]]-SUMPRODUCT(($F$4=Producción_Ganadera[C. Costo Reporte])*(Económico!$F$5=Producción_Ganadera[Campaña])*(Producción_Ganadera[Económico $Constantes]))</f>
        <v>0</v>
      </c>
      <c r="BB135" s="9">
        <f>IFERROR(IF($F$4=0,Tabla324453[[#This Row],[U$S Total]]/SUMPRODUCT((Tabla19[Superficie])*($F$5=Tabla19[Campaña])),Tabla324453[[#This Row],[U$S Total]]/SUMPRODUCT(($F$4=Tabla19[Centro de Costo])*(Tabla19[Superficie])*($F$5=Tabla19[Campaña]))),0)</f>
        <v>0</v>
      </c>
      <c r="BC135" s="9">
        <f>IFERROR(Tabla324453[[#This Row],[U$S Total]]/Tabla324453[[#Totals],[Prod. Carne]],0)</f>
        <v>0</v>
      </c>
      <c r="BD135"/>
      <c r="BE135"/>
      <c r="BF135"/>
      <c r="BG135"/>
      <c r="BH135"/>
    </row>
    <row r="136" spans="2:62" x14ac:dyDescent="0.25">
      <c r="B136"/>
      <c r="E136" s="32" t="s">
        <v>52</v>
      </c>
      <c r="F136" s="273"/>
      <c r="G136" s="60"/>
      <c r="H136" s="271">
        <f>SUBTOTAL(109,Tabla32[Prod. Carne])</f>
        <v>0</v>
      </c>
      <c r="I136" s="267">
        <f>SUBTOTAL(109,Tabla32[U$S Total])</f>
        <v>0</v>
      </c>
      <c r="J136" s="268">
        <f>SUBTOTAL(109,Tabla32[U$S/ha])</f>
        <v>0</v>
      </c>
      <c r="K136" s="269">
        <f>SUBTOTAL(109,Tabla32[U$S/Kg])</f>
        <v>0</v>
      </c>
      <c r="L136"/>
      <c r="M136"/>
      <c r="N136"/>
      <c r="O136"/>
      <c r="P136"/>
      <c r="X136"/>
      <c r="AA136" s="32" t="s">
        <v>52</v>
      </c>
      <c r="AB136" s="273"/>
      <c r="AC136" s="60"/>
      <c r="AD136" s="271">
        <f>SUBTOTAL(109,Tabla3244[Prod. Carne])</f>
        <v>0</v>
      </c>
      <c r="AE136" s="267">
        <f>SUBTOTAL(109,Tabla3244[U$S Total])</f>
        <v>0</v>
      </c>
      <c r="AF136" s="268">
        <f>SUBTOTAL(109,Tabla3244[U$S/ha])</f>
        <v>0</v>
      </c>
      <c r="AG136" s="269">
        <f>SUBTOTAL(109,Tabla3244[U$S/Kg])</f>
        <v>0</v>
      </c>
      <c r="AH136"/>
      <c r="AI136"/>
      <c r="AJ136"/>
      <c r="AK136"/>
      <c r="AL136"/>
      <c r="AT136"/>
      <c r="AW136" s="32" t="s">
        <v>52</v>
      </c>
      <c r="AX136" s="273"/>
      <c r="AY136" s="60"/>
      <c r="AZ136" s="271">
        <f>SUBTOTAL(109,Tabla324453[Prod. Carne])</f>
        <v>0</v>
      </c>
      <c r="BA136" s="267">
        <f>SUBTOTAL(109,Tabla324453[U$S Total])</f>
        <v>0</v>
      </c>
      <c r="BB136" s="268">
        <f>SUBTOTAL(109,Tabla324453[U$S/ha])</f>
        <v>0</v>
      </c>
      <c r="BC136" s="269">
        <f>SUBTOTAL(109,Tabla324453[U$S/Kg])</f>
        <v>0</v>
      </c>
      <c r="BD136"/>
      <c r="BE136"/>
      <c r="BF136"/>
      <c r="BG136"/>
      <c r="BH136"/>
    </row>
    <row r="137" spans="2:62" s="243" customFormat="1" x14ac:dyDescent="0.25">
      <c r="B137" s="242"/>
      <c r="C137" s="242"/>
      <c r="D137" s="242"/>
      <c r="E137" s="242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4"/>
      <c r="V137" s="447"/>
      <c r="X137" s="242"/>
      <c r="Y137" s="242"/>
      <c r="Z137" s="242"/>
      <c r="AA137" s="461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4"/>
      <c r="AR137" s="447"/>
      <c r="AT137" s="242"/>
      <c r="AU137" s="242"/>
      <c r="AV137" s="242"/>
      <c r="AW137" s="461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4"/>
    </row>
    <row r="139" spans="2:62" x14ac:dyDescent="0.25">
      <c r="E139" s="239" t="s">
        <v>86</v>
      </c>
      <c r="F139" s="193" t="s">
        <v>164</v>
      </c>
      <c r="AA139" s="452" t="s">
        <v>86</v>
      </c>
      <c r="AB139" s="193" t="s">
        <v>164</v>
      </c>
      <c r="AW139" s="452" t="s">
        <v>86</v>
      </c>
      <c r="AX139" s="193" t="s">
        <v>164</v>
      </c>
    </row>
    <row r="141" spans="2:62" s="231" customFormat="1" ht="30" x14ac:dyDescent="0.25">
      <c r="B141" s="2"/>
      <c r="E141" s="232" t="s">
        <v>337</v>
      </c>
      <c r="F141" s="251" t="s">
        <v>259</v>
      </c>
      <c r="G141" s="233" t="s">
        <v>260</v>
      </c>
      <c r="H141" s="252" t="s">
        <v>261</v>
      </c>
      <c r="I141" s="251" t="s">
        <v>262</v>
      </c>
      <c r="J141" s="233" t="s">
        <v>263</v>
      </c>
      <c r="K141" s="252" t="s">
        <v>264</v>
      </c>
      <c r="L141" s="251" t="s">
        <v>269</v>
      </c>
      <c r="M141" s="252" t="s">
        <v>268</v>
      </c>
      <c r="N141" s="260" t="s">
        <v>60</v>
      </c>
      <c r="O141" s="264" t="s">
        <v>272</v>
      </c>
      <c r="P141" s="259" t="s">
        <v>61</v>
      </c>
      <c r="Q141" s="259" t="s">
        <v>265</v>
      </c>
      <c r="R141" s="259" t="s">
        <v>266</v>
      </c>
      <c r="V141" s="446"/>
      <c r="X141" s="2"/>
      <c r="AA141" s="459" t="s">
        <v>337</v>
      </c>
      <c r="AB141" s="251" t="s">
        <v>259</v>
      </c>
      <c r="AC141" s="233" t="s">
        <v>260</v>
      </c>
      <c r="AD141" s="252" t="s">
        <v>261</v>
      </c>
      <c r="AE141" s="251" t="s">
        <v>262</v>
      </c>
      <c r="AF141" s="233" t="s">
        <v>263</v>
      </c>
      <c r="AG141" s="252" t="s">
        <v>264</v>
      </c>
      <c r="AH141" s="251" t="s">
        <v>269</v>
      </c>
      <c r="AI141" s="252" t="s">
        <v>268</v>
      </c>
      <c r="AJ141" s="260" t="s">
        <v>60</v>
      </c>
      <c r="AK141" s="264" t="s">
        <v>272</v>
      </c>
      <c r="AL141" s="259" t="s">
        <v>61</v>
      </c>
      <c r="AM141" s="259" t="s">
        <v>265</v>
      </c>
      <c r="AN141" s="259" t="s">
        <v>266</v>
      </c>
      <c r="AR141" s="446"/>
      <c r="AT141" s="2"/>
      <c r="AW141" s="459" t="s">
        <v>337</v>
      </c>
      <c r="AX141" s="251" t="s">
        <v>259</v>
      </c>
      <c r="AY141" s="233" t="s">
        <v>260</v>
      </c>
      <c r="AZ141" s="252" t="s">
        <v>261</v>
      </c>
      <c r="BA141" s="251" t="s">
        <v>262</v>
      </c>
      <c r="BB141" s="233" t="s">
        <v>263</v>
      </c>
      <c r="BC141" s="252" t="s">
        <v>264</v>
      </c>
      <c r="BD141" s="251" t="s">
        <v>269</v>
      </c>
      <c r="BE141" s="252" t="s">
        <v>268</v>
      </c>
      <c r="BF141" s="260" t="s">
        <v>60</v>
      </c>
      <c r="BG141" s="264" t="s">
        <v>272</v>
      </c>
      <c r="BH141" s="259" t="s">
        <v>61</v>
      </c>
      <c r="BI141" s="259" t="s">
        <v>265</v>
      </c>
      <c r="BJ141" s="259" t="s">
        <v>266</v>
      </c>
    </row>
    <row r="142" spans="2:62" x14ac:dyDescent="0.25">
      <c r="D142" s="245">
        <f>IFERROR(MATCH(Tabla28313234[[#This Row],[Categorías Hacienda]],Produccion_Lecheria[Categoría],0),0)</f>
        <v>1</v>
      </c>
      <c r="E142" s="32" t="str">
        <f>Configuración!BM5</f>
        <v>Vaca Ordeñe</v>
      </c>
      <c r="F142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Hacienda])*(Producción_Lecheria[Cabezas]))</f>
        <v>0</v>
      </c>
      <c r="G142" s="9">
        <f>SUMPRODUCT(($F$4=Producción_Lecheria[C. Costo Reporte])*(Económico!$F$5=Producción_Lecheria[Campaña])*(Producción_Lecheria[Cuenta Contable]=Económico!$P$141)*(Tabla28313234[[#This Row],[Categorías Hacienda]]=Producción_Lecheria[Categoría Hacienda])*(Producción_Lecheria[Cabezas]))</f>
        <v>0</v>
      </c>
      <c r="H142" s="31">
        <f>Tabla28313234[[#This Row],[Cabezas Cierre]]-Tabla28313234[[#This Row],[Cabezas Inicio]]</f>
        <v>0</v>
      </c>
      <c r="I142" s="30">
        <f>SUMPRODUCT(($F$4=Producción_Lecheria[C. Costo Reporte])*(Económico!$F$5=Producción_Lecheria[Campaña])*(Producción_Lecheria[Cuenta Contable]=Económico!$N$97)*(Tabla28313234[[#This Row],[Categorías Hacienda]]=Producción_Lecheria[Categoría Hacienda])*(Producción_Lecheria[Kg/Cab]))*Tabla28313234[[#This Row],[Cabezas Inicio]]</f>
        <v>0</v>
      </c>
      <c r="J142" s="9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Hacienda])*(Producción_Lecheria[Kg/Cab]))*Tabla28313234[[#This Row],[Cabezas Cierre]]</f>
        <v>0</v>
      </c>
      <c r="K142" s="31">
        <f>Tabla28313234[[#This Row],[Kilos Cierre]]-Tabla28313234[[#This Row],[Kilos Inicio]]</f>
        <v>0</v>
      </c>
      <c r="L142" s="261">
        <f>IFERROR(Tabla28313234[[#This Row],[Stock Inicio]]/Tabla28313234[[#This Row],[Kilos Inicio]],0)</f>
        <v>0</v>
      </c>
      <c r="M142" s="52">
        <f>IFERROR(Tabla28313234[[#This Row],[Stock Cierre]]/Tabla28313234[[#This Row],[Kilos Cierre]],0)</f>
        <v>0</v>
      </c>
      <c r="N142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Hacienda])*(Producción_Lecheria[Económico U$S Dólares]))</f>
        <v>0</v>
      </c>
      <c r="O142" s="9">
        <f>Tabla28313234[[#This Row],[Kilos Inicio]]*Tabla28313234[[#This Row],[U$S/Kg Cierre]]</f>
        <v>0</v>
      </c>
      <c r="P142" s="31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Hacienda])*(Producción_Lecheria[Económico U$S Dólares]))</f>
        <v>0</v>
      </c>
      <c r="Q142" s="257">
        <f>(Tabla28313234[[#This Row],[Kilos Cierre]]+Tabla28313234[[#This Row],[Kilos Inicio]])*Tabla28313234[[#This Row],[U$S/Kg Cierre]]</f>
        <v>0</v>
      </c>
      <c r="R142" s="10">
        <f>-Tabla28313234[[#This Row],[Kilos Inicio]]*(Tabla28313234[[#This Row],[U$S/Kg Cierre]]-Tabla28313234[[#This Row],[U$S/Kg Inicio]])</f>
        <v>0</v>
      </c>
      <c r="Z142" s="245">
        <f>IFERROR(MATCH(Tabla2831323445[[#This Row],[Categorías Hacienda]],Produccion_Lecheria[Categoría],0),0)</f>
        <v>1</v>
      </c>
      <c r="AA142" s="32" t="str">
        <f>Tabla28313234[[#This Row],[Categorías Hacienda]]</f>
        <v>Vaca Ordeñe</v>
      </c>
      <c r="AB142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Hacienda])*(Producción_Lecheria[Cabezas]))</f>
        <v>0</v>
      </c>
      <c r="AC142" s="9">
        <f>SUMPRODUCT(($F$4=Producción_Lecheria[C. Costo Reporte])*(Económico!$F$5=Producción_Lecheria[Campaña])*(Producción_Lecheria[Cuenta Contable]=Económico!$P$141)*(Tabla2831323445[[#This Row],[Categorías Hacienda]]=Producción_Lecheria[Categoría Hacienda])*(Producción_Lecheria[Cabezas]))</f>
        <v>0</v>
      </c>
      <c r="AD142" s="31">
        <f>Tabla2831323445[[#This Row],[Cabezas Cierre]]-Tabla2831323445[[#This Row],[Cabezas Inicio]]</f>
        <v>0</v>
      </c>
      <c r="AE142" s="30">
        <f>SUMPRODUCT(($F$4=Producción_Lecheria[C. Costo Reporte])*(Económico!$F$5=Producción_Lecheria[Campaña])*(Producción_Lecheria[Cuenta Contable]=Económico!$N$97)*(Tabla2831323445[[#This Row],[Categorías Hacienda]]=Producción_Lecheria[Categoría Hacienda])*(Producción_Lecheria[Kg/Cab]))*Tabla2831323445[[#This Row],[Cabezas Inicio]]</f>
        <v>0</v>
      </c>
      <c r="AF142" s="9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Hacienda])*(Producción_Lecheria[Kg/Cab]))*Tabla2831323445[[#This Row],[Cabezas Cierre]]</f>
        <v>0</v>
      </c>
      <c r="AG142" s="31">
        <f>Tabla2831323445[[#This Row],[Kilos Cierre]]-Tabla2831323445[[#This Row],[Kilos Inicio]]</f>
        <v>0</v>
      </c>
      <c r="AH142" s="261">
        <f>IFERROR(Tabla2831323445[[#This Row],[Stock Inicio]]/Tabla2831323445[[#This Row],[Kilos Inicio]],0)</f>
        <v>0</v>
      </c>
      <c r="AI142" s="52">
        <f>IFERROR(Tabla2831323445[[#This Row],[Stock Cierre]]/Tabla2831323445[[#This Row],[Kilos Cierre]],0)</f>
        <v>0</v>
      </c>
      <c r="AJ142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Hacienda])*(Producción_Lecheria[Económico $Corrientes]))</f>
        <v>0</v>
      </c>
      <c r="AK142" s="9">
        <f>Tabla2831323445[[#This Row],[Kilos Inicio]]*Tabla2831323445[[#This Row],[U$S/Kg Cierre]]</f>
        <v>0</v>
      </c>
      <c r="AL142" s="31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Hacienda])*(Producción_Lecheria[Económico $Corrientes]))</f>
        <v>0</v>
      </c>
      <c r="AM142" s="257">
        <f>(Tabla2831323445[[#This Row],[Kilos Cierre]]+Tabla2831323445[[#This Row],[Kilos Inicio]])*Tabla2831323445[[#This Row],[U$S/Kg Cierre]]</f>
        <v>0</v>
      </c>
      <c r="AN142" s="10">
        <f>-Tabla2831323445[[#This Row],[Kilos Inicio]]*(Tabla2831323445[[#This Row],[U$S/Kg Cierre]]-Tabla2831323445[[#This Row],[U$S/Kg Inicio]])</f>
        <v>0</v>
      </c>
      <c r="AV142" s="245">
        <f>IFERROR(MATCH(Tabla283132344554[[#This Row],[Categorías Hacienda]],Produccion_Lecheria[Categoría],0),0)</f>
        <v>1</v>
      </c>
      <c r="AW142" s="32" t="str">
        <f>Tabla28313234[[#This Row],[Categorías Hacienda]]</f>
        <v>Vaca Ordeñe</v>
      </c>
      <c r="AX142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Hacienda])*(Producción_Lecheria[Cabezas]))</f>
        <v>0</v>
      </c>
      <c r="AY142" s="9">
        <f>SUMPRODUCT(($F$4=Producción_Lecheria[C. Costo Reporte])*(Económico!$F$5=Producción_Lecheria[Campaña])*(Producción_Lecheria[Cuenta Contable]=Económico!$P$141)*(Tabla283132344554[[#This Row],[Categorías Hacienda]]=Producción_Lecheria[Categoría Hacienda])*(Producción_Lecheria[Cabezas]))</f>
        <v>0</v>
      </c>
      <c r="AZ142" s="31">
        <f>Tabla283132344554[[#This Row],[Cabezas Cierre]]-Tabla283132344554[[#This Row],[Cabezas Inicio]]</f>
        <v>0</v>
      </c>
      <c r="BA142" s="30">
        <f>SUMPRODUCT(($F$4=Producción_Lecheria[C. Costo Reporte])*(Económico!$F$5=Producción_Lecheria[Campaña])*(Producción_Lecheria[Cuenta Contable]=Económico!$N$97)*(Tabla283132344554[[#This Row],[Categorías Hacienda]]=Producción_Lecheria[Categoría Hacienda])*(Producción_Lecheria[Kg/Cab]))*Tabla283132344554[[#This Row],[Cabezas Inicio]]</f>
        <v>0</v>
      </c>
      <c r="BB142" s="9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Hacienda])*(Producción_Lecheria[Kg/Cab]))*Tabla283132344554[[#This Row],[Cabezas Cierre]]</f>
        <v>0</v>
      </c>
      <c r="BC142" s="31">
        <f>Tabla283132344554[[#This Row],[Kilos Cierre]]-Tabla283132344554[[#This Row],[Kilos Inicio]]</f>
        <v>0</v>
      </c>
      <c r="BD142" s="261">
        <f>IFERROR(Tabla283132344554[[#This Row],[Stock Inicio]]/Tabla283132344554[[#This Row],[Kilos Inicio]],0)</f>
        <v>0</v>
      </c>
      <c r="BE142" s="52">
        <f>IFERROR(Tabla283132344554[[#This Row],[Stock Cierre]]/Tabla283132344554[[#This Row],[Kilos Cierre]],0)</f>
        <v>0</v>
      </c>
      <c r="BF142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Hacienda])*(Producción_Lecheria[Económico $Constantes]))</f>
        <v>0</v>
      </c>
      <c r="BG142" s="9">
        <f>Tabla283132344554[[#This Row],[Kilos Inicio]]*Tabla283132344554[[#This Row],[U$S/Kg Cierre]]</f>
        <v>0</v>
      </c>
      <c r="BH142" s="31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Hacienda])*(Producción_Lecheria[Económico $Constantes]))</f>
        <v>0</v>
      </c>
      <c r="BI142" s="257">
        <f>(Tabla283132344554[[#This Row],[Kilos Cierre]]+Tabla283132344554[[#This Row],[Kilos Inicio]])*Tabla283132344554[[#This Row],[U$S/Kg Cierre]]</f>
        <v>0</v>
      </c>
      <c r="BJ142" s="10">
        <f>-Tabla283132344554[[#This Row],[Kilos Inicio]]*(Tabla283132344554[[#This Row],[U$S/Kg Cierre]]-Tabla283132344554[[#This Row],[U$S/Kg Inicio]])</f>
        <v>0</v>
      </c>
    </row>
    <row r="143" spans="2:62" x14ac:dyDescent="0.25">
      <c r="D143" s="245">
        <f>IFERROR(MATCH(Tabla28313234[[#This Row],[Categorías Hacienda]],Produccion_Lecheria[Categoría],0),0)</f>
        <v>2</v>
      </c>
      <c r="E143" s="32" t="str">
        <f>Configuración!BM6</f>
        <v>Vaca Seca</v>
      </c>
      <c r="F143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Hacienda])*(Producción_Lecheria[Cabezas]))</f>
        <v>0</v>
      </c>
      <c r="G143" s="9">
        <f>SUMPRODUCT(($F$4=Producción_Lecheria[C. Costo Reporte])*(Económico!$F$5=Producción_Lecheria[Campaña])*(Producción_Lecheria[Cuenta Contable]=Económico!$P$141)*(Tabla28313234[[#This Row],[Categorías Hacienda]]=Producción_Lecheria[Categoría Hacienda])*(Producción_Lecheria[Cabezas]))</f>
        <v>0</v>
      </c>
      <c r="H143" s="31">
        <f>Tabla28313234[[#This Row],[Cabezas Cierre]]-Tabla28313234[[#This Row],[Cabezas Inicio]]</f>
        <v>0</v>
      </c>
      <c r="I143" s="30">
        <f>SUMPRODUCT(($F$4=Producción_Lecheria[C. Costo Reporte])*(Económico!$F$5=Producción_Lecheria[Campaña])*(Producción_Lecheria[Cuenta Contable]=Económico!$N$97)*(Tabla28313234[[#This Row],[Categorías Hacienda]]=Producción_Lecheria[Categoría Hacienda])*(Producción_Lecheria[Kg/Cab]))*Tabla28313234[[#This Row],[Cabezas Inicio]]</f>
        <v>0</v>
      </c>
      <c r="J143" s="9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Hacienda])*(Producción_Lecheria[Kg/Cab]))*Tabla28313234[[#This Row],[Cabezas Cierre]]</f>
        <v>0</v>
      </c>
      <c r="K143" s="31">
        <f>Tabla28313234[[#This Row],[Kilos Cierre]]-Tabla28313234[[#This Row],[Kilos Inicio]]</f>
        <v>0</v>
      </c>
      <c r="L143" s="261">
        <f>IFERROR(Tabla28313234[[#This Row],[Stock Inicio]]/Tabla28313234[[#This Row],[Kilos Inicio]],0)</f>
        <v>0</v>
      </c>
      <c r="M143" s="52">
        <f>IFERROR(Tabla28313234[[#This Row],[Stock Cierre]]/Tabla28313234[[#This Row],[Kilos Cierre]],0)</f>
        <v>0</v>
      </c>
      <c r="N143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Hacienda])*(Producción_Lecheria[Económico U$S Dólares]))</f>
        <v>0</v>
      </c>
      <c r="O143" s="9">
        <f>Tabla28313234[[#This Row],[Kilos Inicio]]*Tabla28313234[[#This Row],[U$S/Kg Cierre]]</f>
        <v>0</v>
      </c>
      <c r="P143" s="31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Hacienda])*(Producción_Lecheria[Económico U$S Dólares]))</f>
        <v>0</v>
      </c>
      <c r="Q143" s="257">
        <f>(Tabla28313234[[#This Row],[Kilos Cierre]]+Tabla28313234[[#This Row],[Kilos Inicio]])*Tabla28313234[[#This Row],[U$S/Kg Cierre]]</f>
        <v>0</v>
      </c>
      <c r="R143" s="10">
        <f>-Tabla28313234[[#This Row],[Kilos Inicio]]*(Tabla28313234[[#This Row],[U$S/Kg Cierre]]-Tabla28313234[[#This Row],[U$S/Kg Inicio]])</f>
        <v>0</v>
      </c>
      <c r="Z143" s="245">
        <f>IFERROR(MATCH(Tabla2831323445[[#This Row],[Categorías Hacienda]],Produccion_Lecheria[Categoría],0),0)</f>
        <v>2</v>
      </c>
      <c r="AA143" s="32" t="str">
        <f>Tabla28313234[[#This Row],[Categorías Hacienda]]</f>
        <v>Vaca Seca</v>
      </c>
      <c r="AB143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Hacienda])*(Producción_Lecheria[Cabezas]))</f>
        <v>0</v>
      </c>
      <c r="AC143" s="9">
        <f>SUMPRODUCT(($F$4=Producción_Lecheria[C. Costo Reporte])*(Económico!$F$5=Producción_Lecheria[Campaña])*(Producción_Lecheria[Cuenta Contable]=Económico!$P$141)*(Tabla2831323445[[#This Row],[Categorías Hacienda]]=Producción_Lecheria[Categoría Hacienda])*(Producción_Lecheria[Cabezas]))</f>
        <v>0</v>
      </c>
      <c r="AD143" s="31">
        <f>Tabla2831323445[[#This Row],[Cabezas Cierre]]-Tabla2831323445[[#This Row],[Cabezas Inicio]]</f>
        <v>0</v>
      </c>
      <c r="AE143" s="30">
        <f>SUMPRODUCT(($F$4=Producción_Lecheria[C. Costo Reporte])*(Económico!$F$5=Producción_Lecheria[Campaña])*(Producción_Lecheria[Cuenta Contable]=Económico!$N$97)*(Tabla2831323445[[#This Row],[Categorías Hacienda]]=Producción_Lecheria[Categoría Hacienda])*(Producción_Lecheria[Kg/Cab]))*Tabla2831323445[[#This Row],[Cabezas Inicio]]</f>
        <v>0</v>
      </c>
      <c r="AF143" s="9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Hacienda])*(Producción_Lecheria[Kg/Cab]))*Tabla2831323445[[#This Row],[Cabezas Cierre]]</f>
        <v>0</v>
      </c>
      <c r="AG143" s="31">
        <f>Tabla2831323445[[#This Row],[Kilos Cierre]]-Tabla2831323445[[#This Row],[Kilos Inicio]]</f>
        <v>0</v>
      </c>
      <c r="AH143" s="261">
        <f>IFERROR(Tabla2831323445[[#This Row],[Stock Inicio]]/Tabla2831323445[[#This Row],[Kilos Inicio]],0)</f>
        <v>0</v>
      </c>
      <c r="AI143" s="52">
        <f>IFERROR(Tabla2831323445[[#This Row],[Stock Cierre]]/Tabla2831323445[[#This Row],[Kilos Cierre]],0)</f>
        <v>0</v>
      </c>
      <c r="AJ143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Hacienda])*(Producción_Lecheria[Económico $Corrientes]))</f>
        <v>0</v>
      </c>
      <c r="AK143" s="9">
        <f>Tabla2831323445[[#This Row],[Kilos Inicio]]*Tabla2831323445[[#This Row],[U$S/Kg Cierre]]</f>
        <v>0</v>
      </c>
      <c r="AL143" s="31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Hacienda])*(Producción_Lecheria[Económico $Corrientes]))</f>
        <v>0</v>
      </c>
      <c r="AM143" s="257">
        <f>(Tabla2831323445[[#This Row],[Kilos Cierre]]+Tabla2831323445[[#This Row],[Kilos Inicio]])*Tabla2831323445[[#This Row],[U$S/Kg Cierre]]</f>
        <v>0</v>
      </c>
      <c r="AN143" s="10">
        <f>-Tabla2831323445[[#This Row],[Kilos Inicio]]*(Tabla2831323445[[#This Row],[U$S/Kg Cierre]]-Tabla2831323445[[#This Row],[U$S/Kg Inicio]])</f>
        <v>0</v>
      </c>
      <c r="AV143" s="245">
        <f>IFERROR(MATCH(Tabla283132344554[[#This Row],[Categorías Hacienda]],Produccion_Lecheria[Categoría],0),0)</f>
        <v>2</v>
      </c>
      <c r="AW143" s="32" t="str">
        <f>Tabla28313234[[#This Row],[Categorías Hacienda]]</f>
        <v>Vaca Seca</v>
      </c>
      <c r="AX143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Hacienda])*(Producción_Lecheria[Cabezas]))</f>
        <v>0</v>
      </c>
      <c r="AY143" s="9">
        <f>SUMPRODUCT(($F$4=Producción_Lecheria[C. Costo Reporte])*(Económico!$F$5=Producción_Lecheria[Campaña])*(Producción_Lecheria[Cuenta Contable]=Económico!$P$141)*(Tabla283132344554[[#This Row],[Categorías Hacienda]]=Producción_Lecheria[Categoría Hacienda])*(Producción_Lecheria[Cabezas]))</f>
        <v>0</v>
      </c>
      <c r="AZ143" s="31">
        <f>Tabla283132344554[[#This Row],[Cabezas Cierre]]-Tabla283132344554[[#This Row],[Cabezas Inicio]]</f>
        <v>0</v>
      </c>
      <c r="BA143" s="30">
        <f>SUMPRODUCT(($F$4=Producción_Lecheria[C. Costo Reporte])*(Económico!$F$5=Producción_Lecheria[Campaña])*(Producción_Lecheria[Cuenta Contable]=Económico!$N$97)*(Tabla283132344554[[#This Row],[Categorías Hacienda]]=Producción_Lecheria[Categoría Hacienda])*(Producción_Lecheria[Kg/Cab]))*Tabla283132344554[[#This Row],[Cabezas Inicio]]</f>
        <v>0</v>
      </c>
      <c r="BB143" s="9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Hacienda])*(Producción_Lecheria[Kg/Cab]))*Tabla283132344554[[#This Row],[Cabezas Cierre]]</f>
        <v>0</v>
      </c>
      <c r="BC143" s="31">
        <f>Tabla283132344554[[#This Row],[Kilos Cierre]]-Tabla283132344554[[#This Row],[Kilos Inicio]]</f>
        <v>0</v>
      </c>
      <c r="BD143" s="261">
        <f>IFERROR(Tabla283132344554[[#This Row],[Stock Inicio]]/Tabla283132344554[[#This Row],[Kilos Inicio]],0)</f>
        <v>0</v>
      </c>
      <c r="BE143" s="52">
        <f>IFERROR(Tabla283132344554[[#This Row],[Stock Cierre]]/Tabla283132344554[[#This Row],[Kilos Cierre]],0)</f>
        <v>0</v>
      </c>
      <c r="BF143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Hacienda])*(Producción_Lecheria[Económico $Constantes]))</f>
        <v>0</v>
      </c>
      <c r="BG143" s="9">
        <f>Tabla283132344554[[#This Row],[Kilos Inicio]]*Tabla283132344554[[#This Row],[U$S/Kg Cierre]]</f>
        <v>0</v>
      </c>
      <c r="BH143" s="31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Hacienda])*(Producción_Lecheria[Económico $Constantes]))</f>
        <v>0</v>
      </c>
      <c r="BI143" s="257">
        <f>(Tabla283132344554[[#This Row],[Kilos Cierre]]+Tabla283132344554[[#This Row],[Kilos Inicio]])*Tabla283132344554[[#This Row],[U$S/Kg Cierre]]</f>
        <v>0</v>
      </c>
      <c r="BJ143" s="10">
        <f>-Tabla283132344554[[#This Row],[Kilos Inicio]]*(Tabla283132344554[[#This Row],[U$S/Kg Cierre]]-Tabla283132344554[[#This Row],[U$S/Kg Inicio]])</f>
        <v>0</v>
      </c>
    </row>
    <row r="144" spans="2:62" x14ac:dyDescent="0.25">
      <c r="D144" s="245">
        <f>IFERROR(MATCH(Tabla28313234[[#This Row],[Categorías Hacienda]],Produccion_Lecheria[Categoría],0),0)</f>
        <v>3</v>
      </c>
      <c r="E144" s="32" t="str">
        <f>Configuración!BM7</f>
        <v>Toro</v>
      </c>
      <c r="F144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Hacienda])*(Producción_Lecheria[Cabezas]))</f>
        <v>0</v>
      </c>
      <c r="G144" s="9">
        <f>SUMPRODUCT(($F$4=Producción_Lecheria[C. Costo Reporte])*(Económico!$F$5=Producción_Lecheria[Campaña])*(Producción_Lecheria[Cuenta Contable]=Económico!$P$141)*(Tabla28313234[[#This Row],[Categorías Hacienda]]=Producción_Lecheria[Categoría Hacienda])*(Producción_Lecheria[Cabezas]))</f>
        <v>0</v>
      </c>
      <c r="H144" s="31">
        <f>Tabla28313234[[#This Row],[Cabezas Cierre]]-Tabla28313234[[#This Row],[Cabezas Inicio]]</f>
        <v>0</v>
      </c>
      <c r="I144" s="30">
        <f>SUMPRODUCT(($F$4=Producción_Lecheria[C. Costo Reporte])*(Económico!$F$5=Producción_Lecheria[Campaña])*(Producción_Lecheria[Cuenta Contable]=Económico!$N$97)*(Tabla28313234[[#This Row],[Categorías Hacienda]]=Producción_Lecheria[Categoría Hacienda])*(Producción_Lecheria[Kg/Cab]))*Tabla28313234[[#This Row],[Cabezas Inicio]]</f>
        <v>0</v>
      </c>
      <c r="J144" s="9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Hacienda])*(Producción_Lecheria[Kg/Cab]))*Tabla28313234[[#This Row],[Cabezas Cierre]]</f>
        <v>0</v>
      </c>
      <c r="K144" s="31">
        <f>Tabla28313234[[#This Row],[Kilos Cierre]]-Tabla28313234[[#This Row],[Kilos Inicio]]</f>
        <v>0</v>
      </c>
      <c r="L144" s="261">
        <f>IFERROR(Tabla28313234[[#This Row],[Stock Inicio]]/Tabla28313234[[#This Row],[Kilos Inicio]],0)</f>
        <v>0</v>
      </c>
      <c r="M144" s="52">
        <f>IFERROR(Tabla28313234[[#This Row],[Stock Cierre]]/Tabla28313234[[#This Row],[Kilos Cierre]],0)</f>
        <v>0</v>
      </c>
      <c r="N144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Hacienda])*(Producción_Lecheria[Económico U$S Dólares]))</f>
        <v>0</v>
      </c>
      <c r="O144" s="9">
        <f>Tabla28313234[[#This Row],[Kilos Inicio]]*Tabla28313234[[#This Row],[U$S/Kg Cierre]]</f>
        <v>0</v>
      </c>
      <c r="P144" s="31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Hacienda])*(Producción_Lecheria[Económico U$S Dólares]))</f>
        <v>0</v>
      </c>
      <c r="Q144" s="257">
        <f>(Tabla28313234[[#This Row],[Kilos Cierre]]+Tabla28313234[[#This Row],[Kilos Inicio]])*Tabla28313234[[#This Row],[U$S/Kg Cierre]]</f>
        <v>0</v>
      </c>
      <c r="R144" s="10">
        <f>-Tabla28313234[[#This Row],[Kilos Inicio]]*(Tabla28313234[[#This Row],[U$S/Kg Cierre]]-Tabla28313234[[#This Row],[U$S/Kg Inicio]])</f>
        <v>0</v>
      </c>
      <c r="Z144" s="245">
        <f>IFERROR(MATCH(Tabla2831323445[[#This Row],[Categorías Hacienda]],Produccion_Lecheria[Categoría],0),0)</f>
        <v>3</v>
      </c>
      <c r="AA144" s="32" t="str">
        <f>Tabla28313234[[#This Row],[Categorías Hacienda]]</f>
        <v>Toro</v>
      </c>
      <c r="AB144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Hacienda])*(Producción_Lecheria[Cabezas]))</f>
        <v>0</v>
      </c>
      <c r="AC144" s="9">
        <f>SUMPRODUCT(($F$4=Producción_Lecheria[C. Costo Reporte])*(Económico!$F$5=Producción_Lecheria[Campaña])*(Producción_Lecheria[Cuenta Contable]=Económico!$P$141)*(Tabla2831323445[[#This Row],[Categorías Hacienda]]=Producción_Lecheria[Categoría Hacienda])*(Producción_Lecheria[Cabezas]))</f>
        <v>0</v>
      </c>
      <c r="AD144" s="31">
        <f>Tabla2831323445[[#This Row],[Cabezas Cierre]]-Tabla2831323445[[#This Row],[Cabezas Inicio]]</f>
        <v>0</v>
      </c>
      <c r="AE144" s="30">
        <f>SUMPRODUCT(($F$4=Producción_Lecheria[C. Costo Reporte])*(Económico!$F$5=Producción_Lecheria[Campaña])*(Producción_Lecheria[Cuenta Contable]=Económico!$N$97)*(Tabla2831323445[[#This Row],[Categorías Hacienda]]=Producción_Lecheria[Categoría Hacienda])*(Producción_Lecheria[Kg/Cab]))*Tabla2831323445[[#This Row],[Cabezas Inicio]]</f>
        <v>0</v>
      </c>
      <c r="AF144" s="9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Hacienda])*(Producción_Lecheria[Kg/Cab]))*Tabla2831323445[[#This Row],[Cabezas Cierre]]</f>
        <v>0</v>
      </c>
      <c r="AG144" s="31">
        <f>Tabla2831323445[[#This Row],[Kilos Cierre]]-Tabla2831323445[[#This Row],[Kilos Inicio]]</f>
        <v>0</v>
      </c>
      <c r="AH144" s="261">
        <f>IFERROR(Tabla2831323445[[#This Row],[Stock Inicio]]/Tabla2831323445[[#This Row],[Kilos Inicio]],0)</f>
        <v>0</v>
      </c>
      <c r="AI144" s="52">
        <f>IFERROR(Tabla2831323445[[#This Row],[Stock Cierre]]/Tabla2831323445[[#This Row],[Kilos Cierre]],0)</f>
        <v>0</v>
      </c>
      <c r="AJ144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Hacienda])*(Producción_Lecheria[Económico $Corrientes]))</f>
        <v>0</v>
      </c>
      <c r="AK144" s="9">
        <f>Tabla2831323445[[#This Row],[Kilos Inicio]]*Tabla2831323445[[#This Row],[U$S/Kg Cierre]]</f>
        <v>0</v>
      </c>
      <c r="AL144" s="31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Hacienda])*(Producción_Lecheria[Económico $Corrientes]))</f>
        <v>0</v>
      </c>
      <c r="AM144" s="257">
        <f>(Tabla2831323445[[#This Row],[Kilos Cierre]]+Tabla2831323445[[#This Row],[Kilos Inicio]])*Tabla2831323445[[#This Row],[U$S/Kg Cierre]]</f>
        <v>0</v>
      </c>
      <c r="AN144" s="10">
        <f>-Tabla2831323445[[#This Row],[Kilos Inicio]]*(Tabla2831323445[[#This Row],[U$S/Kg Cierre]]-Tabla2831323445[[#This Row],[U$S/Kg Inicio]])</f>
        <v>0</v>
      </c>
      <c r="AV144" s="245">
        <f>IFERROR(MATCH(Tabla283132344554[[#This Row],[Categorías Hacienda]],Produccion_Lecheria[Categoría],0),0)</f>
        <v>3</v>
      </c>
      <c r="AW144" s="32" t="str">
        <f>Tabla28313234[[#This Row],[Categorías Hacienda]]</f>
        <v>Toro</v>
      </c>
      <c r="AX144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Hacienda])*(Producción_Lecheria[Cabezas]))</f>
        <v>0</v>
      </c>
      <c r="AY144" s="9">
        <f>SUMPRODUCT(($F$4=Producción_Lecheria[C. Costo Reporte])*(Económico!$F$5=Producción_Lecheria[Campaña])*(Producción_Lecheria[Cuenta Contable]=Económico!$P$141)*(Tabla283132344554[[#This Row],[Categorías Hacienda]]=Producción_Lecheria[Categoría Hacienda])*(Producción_Lecheria[Cabezas]))</f>
        <v>0</v>
      </c>
      <c r="AZ144" s="31">
        <f>Tabla283132344554[[#This Row],[Cabezas Cierre]]-Tabla283132344554[[#This Row],[Cabezas Inicio]]</f>
        <v>0</v>
      </c>
      <c r="BA144" s="30">
        <f>SUMPRODUCT(($F$4=Producción_Lecheria[C. Costo Reporte])*(Económico!$F$5=Producción_Lecheria[Campaña])*(Producción_Lecheria[Cuenta Contable]=Económico!$N$97)*(Tabla283132344554[[#This Row],[Categorías Hacienda]]=Producción_Lecheria[Categoría Hacienda])*(Producción_Lecheria[Kg/Cab]))*Tabla283132344554[[#This Row],[Cabezas Inicio]]</f>
        <v>0</v>
      </c>
      <c r="BB144" s="9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Hacienda])*(Producción_Lecheria[Kg/Cab]))*Tabla283132344554[[#This Row],[Cabezas Cierre]]</f>
        <v>0</v>
      </c>
      <c r="BC144" s="31">
        <f>Tabla283132344554[[#This Row],[Kilos Cierre]]-Tabla283132344554[[#This Row],[Kilos Inicio]]</f>
        <v>0</v>
      </c>
      <c r="BD144" s="261">
        <f>IFERROR(Tabla283132344554[[#This Row],[Stock Inicio]]/Tabla283132344554[[#This Row],[Kilos Inicio]],0)</f>
        <v>0</v>
      </c>
      <c r="BE144" s="52">
        <f>IFERROR(Tabla283132344554[[#This Row],[Stock Cierre]]/Tabla283132344554[[#This Row],[Kilos Cierre]],0)</f>
        <v>0</v>
      </c>
      <c r="BF144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Hacienda])*(Producción_Lecheria[Económico $Constantes]))</f>
        <v>0</v>
      </c>
      <c r="BG144" s="9">
        <f>Tabla283132344554[[#This Row],[Kilos Inicio]]*Tabla283132344554[[#This Row],[U$S/Kg Cierre]]</f>
        <v>0</v>
      </c>
      <c r="BH144" s="31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Hacienda])*(Producción_Lecheria[Económico $Constantes]))</f>
        <v>0</v>
      </c>
      <c r="BI144" s="257">
        <f>(Tabla283132344554[[#This Row],[Kilos Cierre]]+Tabla283132344554[[#This Row],[Kilos Inicio]])*Tabla283132344554[[#This Row],[U$S/Kg Cierre]]</f>
        <v>0</v>
      </c>
      <c r="BJ144" s="10">
        <f>-Tabla283132344554[[#This Row],[Kilos Inicio]]*(Tabla283132344554[[#This Row],[U$S/Kg Cierre]]-Tabla283132344554[[#This Row],[U$S/Kg Inicio]])</f>
        <v>0</v>
      </c>
    </row>
    <row r="145" spans="2:62" x14ac:dyDescent="0.25">
      <c r="D145" s="245">
        <f>IFERROR(MATCH(Tabla28313234[[#This Row],[Categorías Hacienda]],Produccion_Lecheria[Categoría],0),0)</f>
        <v>4</v>
      </c>
      <c r="E145" s="32" t="str">
        <f>Configuración!BM8</f>
        <v>Vaquillona Preñada</v>
      </c>
      <c r="F145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Hacienda])*(Producción_Lecheria[Cabezas]))</f>
        <v>0</v>
      </c>
      <c r="G145" s="9">
        <f>SUMPRODUCT(($F$4=Producción_Lecheria[C. Costo Reporte])*(Económico!$F$5=Producción_Lecheria[Campaña])*(Producción_Lecheria[Cuenta Contable]=Económico!$P$141)*(Tabla28313234[[#This Row],[Categorías Hacienda]]=Producción_Lecheria[Categoría Hacienda])*(Producción_Lecheria[Cabezas]))</f>
        <v>0</v>
      </c>
      <c r="H145" s="31">
        <f>Tabla28313234[[#This Row],[Cabezas Cierre]]-Tabla28313234[[#This Row],[Cabezas Inicio]]</f>
        <v>0</v>
      </c>
      <c r="I145" s="30">
        <f>SUMPRODUCT(($F$4=Producción_Lecheria[C. Costo Reporte])*(Económico!$F$5=Producción_Lecheria[Campaña])*(Producción_Lecheria[Cuenta Contable]=Económico!$N$97)*(Tabla28313234[[#This Row],[Categorías Hacienda]]=Producción_Lecheria[Categoría Hacienda])*(Producción_Lecheria[Kg/Cab]))*Tabla28313234[[#This Row],[Cabezas Inicio]]</f>
        <v>0</v>
      </c>
      <c r="J145" s="9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Hacienda])*(Producción_Lecheria[Kg/Cab]))*Tabla28313234[[#This Row],[Cabezas Cierre]]</f>
        <v>0</v>
      </c>
      <c r="K145" s="31">
        <f>Tabla28313234[[#This Row],[Kilos Cierre]]-Tabla28313234[[#This Row],[Kilos Inicio]]</f>
        <v>0</v>
      </c>
      <c r="L145" s="261">
        <f>IFERROR(Tabla28313234[[#This Row],[Stock Inicio]]/Tabla28313234[[#This Row],[Kilos Inicio]],0)</f>
        <v>0</v>
      </c>
      <c r="M145" s="52">
        <f>IFERROR(Tabla28313234[[#This Row],[Stock Cierre]]/Tabla28313234[[#This Row],[Kilos Cierre]],0)</f>
        <v>0</v>
      </c>
      <c r="N145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Hacienda])*(Producción_Lecheria[Económico U$S Dólares]))</f>
        <v>0</v>
      </c>
      <c r="O145" s="9">
        <f>Tabla28313234[[#This Row],[Kilos Inicio]]*Tabla28313234[[#This Row],[U$S/Kg Cierre]]</f>
        <v>0</v>
      </c>
      <c r="P145" s="31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Hacienda])*(Producción_Lecheria[Económico U$S Dólares]))</f>
        <v>0</v>
      </c>
      <c r="Q145" s="257">
        <f>(Tabla28313234[[#This Row],[Kilos Cierre]]+Tabla28313234[[#This Row],[Kilos Inicio]])*Tabla28313234[[#This Row],[U$S/Kg Cierre]]</f>
        <v>0</v>
      </c>
      <c r="R145" s="10">
        <f>-Tabla28313234[[#This Row],[Kilos Inicio]]*(Tabla28313234[[#This Row],[U$S/Kg Cierre]]-Tabla28313234[[#This Row],[U$S/Kg Inicio]])</f>
        <v>0</v>
      </c>
      <c r="Z145" s="245">
        <f>IFERROR(MATCH(Tabla2831323445[[#This Row],[Categorías Hacienda]],Produccion_Lecheria[Categoría],0),0)</f>
        <v>4</v>
      </c>
      <c r="AA145" s="32" t="str">
        <f>Tabla28313234[[#This Row],[Categorías Hacienda]]</f>
        <v>Vaquillona Preñada</v>
      </c>
      <c r="AB145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Hacienda])*(Producción_Lecheria[Cabezas]))</f>
        <v>0</v>
      </c>
      <c r="AC145" s="9">
        <f>SUMPRODUCT(($F$4=Producción_Lecheria[C. Costo Reporte])*(Económico!$F$5=Producción_Lecheria[Campaña])*(Producción_Lecheria[Cuenta Contable]=Económico!$P$141)*(Tabla2831323445[[#This Row],[Categorías Hacienda]]=Producción_Lecheria[Categoría Hacienda])*(Producción_Lecheria[Cabezas]))</f>
        <v>0</v>
      </c>
      <c r="AD145" s="31">
        <f>Tabla2831323445[[#This Row],[Cabezas Cierre]]-Tabla2831323445[[#This Row],[Cabezas Inicio]]</f>
        <v>0</v>
      </c>
      <c r="AE145" s="30">
        <f>SUMPRODUCT(($F$4=Producción_Lecheria[C. Costo Reporte])*(Económico!$F$5=Producción_Lecheria[Campaña])*(Producción_Lecheria[Cuenta Contable]=Económico!$N$97)*(Tabla2831323445[[#This Row],[Categorías Hacienda]]=Producción_Lecheria[Categoría Hacienda])*(Producción_Lecheria[Kg/Cab]))*Tabla2831323445[[#This Row],[Cabezas Inicio]]</f>
        <v>0</v>
      </c>
      <c r="AF145" s="9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Hacienda])*(Producción_Lecheria[Kg/Cab]))*Tabla2831323445[[#This Row],[Cabezas Cierre]]</f>
        <v>0</v>
      </c>
      <c r="AG145" s="31">
        <f>Tabla2831323445[[#This Row],[Kilos Cierre]]-Tabla2831323445[[#This Row],[Kilos Inicio]]</f>
        <v>0</v>
      </c>
      <c r="AH145" s="261">
        <f>IFERROR(Tabla2831323445[[#This Row],[Stock Inicio]]/Tabla2831323445[[#This Row],[Kilos Inicio]],0)</f>
        <v>0</v>
      </c>
      <c r="AI145" s="52">
        <f>IFERROR(Tabla2831323445[[#This Row],[Stock Cierre]]/Tabla2831323445[[#This Row],[Kilos Cierre]],0)</f>
        <v>0</v>
      </c>
      <c r="AJ145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Hacienda])*(Producción_Lecheria[Económico $Corrientes]))</f>
        <v>0</v>
      </c>
      <c r="AK145" s="9">
        <f>Tabla2831323445[[#This Row],[Kilos Inicio]]*Tabla2831323445[[#This Row],[U$S/Kg Cierre]]</f>
        <v>0</v>
      </c>
      <c r="AL145" s="31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Hacienda])*(Producción_Lecheria[Económico $Corrientes]))</f>
        <v>0</v>
      </c>
      <c r="AM145" s="257">
        <f>(Tabla2831323445[[#This Row],[Kilos Cierre]]+Tabla2831323445[[#This Row],[Kilos Inicio]])*Tabla2831323445[[#This Row],[U$S/Kg Cierre]]</f>
        <v>0</v>
      </c>
      <c r="AN145" s="10">
        <f>-Tabla2831323445[[#This Row],[Kilos Inicio]]*(Tabla2831323445[[#This Row],[U$S/Kg Cierre]]-Tabla2831323445[[#This Row],[U$S/Kg Inicio]])</f>
        <v>0</v>
      </c>
      <c r="AV145" s="245">
        <f>IFERROR(MATCH(Tabla283132344554[[#This Row],[Categorías Hacienda]],Produccion_Lecheria[Categoría],0),0)</f>
        <v>4</v>
      </c>
      <c r="AW145" s="32" t="str">
        <f>Tabla28313234[[#This Row],[Categorías Hacienda]]</f>
        <v>Vaquillona Preñada</v>
      </c>
      <c r="AX145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Hacienda])*(Producción_Lecheria[Cabezas]))</f>
        <v>0</v>
      </c>
      <c r="AY145" s="9">
        <f>SUMPRODUCT(($F$4=Producción_Lecheria[C. Costo Reporte])*(Económico!$F$5=Producción_Lecheria[Campaña])*(Producción_Lecheria[Cuenta Contable]=Económico!$P$141)*(Tabla283132344554[[#This Row],[Categorías Hacienda]]=Producción_Lecheria[Categoría Hacienda])*(Producción_Lecheria[Cabezas]))</f>
        <v>0</v>
      </c>
      <c r="AZ145" s="31">
        <f>Tabla283132344554[[#This Row],[Cabezas Cierre]]-Tabla283132344554[[#This Row],[Cabezas Inicio]]</f>
        <v>0</v>
      </c>
      <c r="BA145" s="30">
        <f>SUMPRODUCT(($F$4=Producción_Lecheria[C. Costo Reporte])*(Económico!$F$5=Producción_Lecheria[Campaña])*(Producción_Lecheria[Cuenta Contable]=Económico!$N$97)*(Tabla283132344554[[#This Row],[Categorías Hacienda]]=Producción_Lecheria[Categoría Hacienda])*(Producción_Lecheria[Kg/Cab]))*Tabla283132344554[[#This Row],[Cabezas Inicio]]</f>
        <v>0</v>
      </c>
      <c r="BB145" s="9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Hacienda])*(Producción_Lecheria[Kg/Cab]))*Tabla283132344554[[#This Row],[Cabezas Cierre]]</f>
        <v>0</v>
      </c>
      <c r="BC145" s="31">
        <f>Tabla283132344554[[#This Row],[Kilos Cierre]]-Tabla283132344554[[#This Row],[Kilos Inicio]]</f>
        <v>0</v>
      </c>
      <c r="BD145" s="261">
        <f>IFERROR(Tabla283132344554[[#This Row],[Stock Inicio]]/Tabla283132344554[[#This Row],[Kilos Inicio]],0)</f>
        <v>0</v>
      </c>
      <c r="BE145" s="52">
        <f>IFERROR(Tabla283132344554[[#This Row],[Stock Cierre]]/Tabla283132344554[[#This Row],[Kilos Cierre]],0)</f>
        <v>0</v>
      </c>
      <c r="BF145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Hacienda])*(Producción_Lecheria[Económico $Constantes]))</f>
        <v>0</v>
      </c>
      <c r="BG145" s="9">
        <f>Tabla283132344554[[#This Row],[Kilos Inicio]]*Tabla283132344554[[#This Row],[U$S/Kg Cierre]]</f>
        <v>0</v>
      </c>
      <c r="BH145" s="31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Hacienda])*(Producción_Lecheria[Económico $Constantes]))</f>
        <v>0</v>
      </c>
      <c r="BI145" s="257">
        <f>(Tabla283132344554[[#This Row],[Kilos Cierre]]+Tabla283132344554[[#This Row],[Kilos Inicio]])*Tabla283132344554[[#This Row],[U$S/Kg Cierre]]</f>
        <v>0</v>
      </c>
      <c r="BJ145" s="10">
        <f>-Tabla283132344554[[#This Row],[Kilos Inicio]]*(Tabla283132344554[[#This Row],[U$S/Kg Cierre]]-Tabla283132344554[[#This Row],[U$S/Kg Inicio]])</f>
        <v>0</v>
      </c>
    </row>
    <row r="146" spans="2:62" x14ac:dyDescent="0.25">
      <c r="D146" s="245">
        <f>IFERROR(MATCH(Tabla28313234[[#This Row],[Categorías Hacienda]],Produccion_Lecheria[Categoría],0),0)</f>
        <v>5</v>
      </c>
      <c r="E146" s="32" t="str">
        <f>Configuración!BM9</f>
        <v>Vaquillona 06-15</v>
      </c>
      <c r="F146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Hacienda])*(Producción_Lecheria[Cabezas]))</f>
        <v>0</v>
      </c>
      <c r="G146" s="9">
        <f>SUMPRODUCT(($F$4=Producción_Lecheria[C. Costo Reporte])*(Económico!$F$5=Producción_Lecheria[Campaña])*(Producción_Lecheria[Cuenta Contable]=Económico!$P$141)*(Tabla28313234[[#This Row],[Categorías Hacienda]]=Producción_Lecheria[Categoría Hacienda])*(Producción_Lecheria[Cabezas]))</f>
        <v>0</v>
      </c>
      <c r="H146" s="31">
        <f>Tabla28313234[[#This Row],[Cabezas Cierre]]-Tabla28313234[[#This Row],[Cabezas Inicio]]</f>
        <v>0</v>
      </c>
      <c r="I146" s="30">
        <f>SUMPRODUCT(($F$4=Producción_Lecheria[C. Costo Reporte])*(Económico!$F$5=Producción_Lecheria[Campaña])*(Producción_Lecheria[Cuenta Contable]=Económico!$N$97)*(Tabla28313234[[#This Row],[Categorías Hacienda]]=Producción_Lecheria[Categoría Hacienda])*(Producción_Lecheria[Kg/Cab]))*Tabla28313234[[#This Row],[Cabezas Inicio]]</f>
        <v>0</v>
      </c>
      <c r="J146" s="9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Hacienda])*(Producción_Lecheria[Kg/Cab]))*Tabla28313234[[#This Row],[Cabezas Cierre]]</f>
        <v>0</v>
      </c>
      <c r="K146" s="31">
        <f>Tabla28313234[[#This Row],[Kilos Cierre]]-Tabla28313234[[#This Row],[Kilos Inicio]]</f>
        <v>0</v>
      </c>
      <c r="L146" s="261">
        <f>IFERROR(Tabla28313234[[#This Row],[Stock Inicio]]/Tabla28313234[[#This Row],[Kilos Inicio]],0)</f>
        <v>0</v>
      </c>
      <c r="M146" s="52">
        <f>IFERROR(Tabla28313234[[#This Row],[Stock Cierre]]/Tabla28313234[[#This Row],[Kilos Cierre]],0)</f>
        <v>0</v>
      </c>
      <c r="N146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Hacienda])*(Producción_Lecheria[Económico U$S Dólares]))</f>
        <v>0</v>
      </c>
      <c r="O146" s="9">
        <f>Tabla28313234[[#This Row],[Kilos Inicio]]*Tabla28313234[[#This Row],[U$S/Kg Cierre]]</f>
        <v>0</v>
      </c>
      <c r="P146" s="31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Hacienda])*(Producción_Lecheria[Económico U$S Dólares]))</f>
        <v>0</v>
      </c>
      <c r="Q146" s="257">
        <f>(Tabla28313234[[#This Row],[Kilos Cierre]]+Tabla28313234[[#This Row],[Kilos Inicio]])*Tabla28313234[[#This Row],[U$S/Kg Cierre]]</f>
        <v>0</v>
      </c>
      <c r="R146" s="10">
        <f>-Tabla28313234[[#This Row],[Kilos Inicio]]*(Tabla28313234[[#This Row],[U$S/Kg Cierre]]-Tabla28313234[[#This Row],[U$S/Kg Inicio]])</f>
        <v>0</v>
      </c>
      <c r="Z146" s="245">
        <f>IFERROR(MATCH(Tabla2831323445[[#This Row],[Categorías Hacienda]],Produccion_Lecheria[Categoría],0),0)</f>
        <v>5</v>
      </c>
      <c r="AA146" s="32" t="str">
        <f>Tabla28313234[[#This Row],[Categorías Hacienda]]</f>
        <v>Vaquillona 06-15</v>
      </c>
      <c r="AB146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Hacienda])*(Producción_Lecheria[Cabezas]))</f>
        <v>0</v>
      </c>
      <c r="AC146" s="9">
        <f>SUMPRODUCT(($F$4=Producción_Lecheria[C. Costo Reporte])*(Económico!$F$5=Producción_Lecheria[Campaña])*(Producción_Lecheria[Cuenta Contable]=Económico!$P$141)*(Tabla2831323445[[#This Row],[Categorías Hacienda]]=Producción_Lecheria[Categoría Hacienda])*(Producción_Lecheria[Cabezas]))</f>
        <v>0</v>
      </c>
      <c r="AD146" s="31">
        <f>Tabla2831323445[[#This Row],[Cabezas Cierre]]-Tabla2831323445[[#This Row],[Cabezas Inicio]]</f>
        <v>0</v>
      </c>
      <c r="AE146" s="30">
        <f>SUMPRODUCT(($F$4=Producción_Lecheria[C. Costo Reporte])*(Económico!$F$5=Producción_Lecheria[Campaña])*(Producción_Lecheria[Cuenta Contable]=Económico!$N$97)*(Tabla2831323445[[#This Row],[Categorías Hacienda]]=Producción_Lecheria[Categoría Hacienda])*(Producción_Lecheria[Kg/Cab]))*Tabla2831323445[[#This Row],[Cabezas Inicio]]</f>
        <v>0</v>
      </c>
      <c r="AF146" s="9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Hacienda])*(Producción_Lecheria[Kg/Cab]))*Tabla2831323445[[#This Row],[Cabezas Cierre]]</f>
        <v>0</v>
      </c>
      <c r="AG146" s="31">
        <f>Tabla2831323445[[#This Row],[Kilos Cierre]]-Tabla2831323445[[#This Row],[Kilos Inicio]]</f>
        <v>0</v>
      </c>
      <c r="AH146" s="261">
        <f>IFERROR(Tabla2831323445[[#This Row],[Stock Inicio]]/Tabla2831323445[[#This Row],[Kilos Inicio]],0)</f>
        <v>0</v>
      </c>
      <c r="AI146" s="52">
        <f>IFERROR(Tabla2831323445[[#This Row],[Stock Cierre]]/Tabla2831323445[[#This Row],[Kilos Cierre]],0)</f>
        <v>0</v>
      </c>
      <c r="AJ146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Hacienda])*(Producción_Lecheria[Económico $Corrientes]))</f>
        <v>0</v>
      </c>
      <c r="AK146" s="9">
        <f>Tabla2831323445[[#This Row],[Kilos Inicio]]*Tabla2831323445[[#This Row],[U$S/Kg Cierre]]</f>
        <v>0</v>
      </c>
      <c r="AL146" s="31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Hacienda])*(Producción_Lecheria[Económico $Corrientes]))</f>
        <v>0</v>
      </c>
      <c r="AM146" s="257">
        <f>(Tabla2831323445[[#This Row],[Kilos Cierre]]+Tabla2831323445[[#This Row],[Kilos Inicio]])*Tabla2831323445[[#This Row],[U$S/Kg Cierre]]</f>
        <v>0</v>
      </c>
      <c r="AN146" s="10">
        <f>-Tabla2831323445[[#This Row],[Kilos Inicio]]*(Tabla2831323445[[#This Row],[U$S/Kg Cierre]]-Tabla2831323445[[#This Row],[U$S/Kg Inicio]])</f>
        <v>0</v>
      </c>
      <c r="AV146" s="245">
        <f>IFERROR(MATCH(Tabla283132344554[[#This Row],[Categorías Hacienda]],Produccion_Lecheria[Categoría],0),0)</f>
        <v>5</v>
      </c>
      <c r="AW146" s="32" t="str">
        <f>Tabla28313234[[#This Row],[Categorías Hacienda]]</f>
        <v>Vaquillona 06-15</v>
      </c>
      <c r="AX146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Hacienda])*(Producción_Lecheria[Cabezas]))</f>
        <v>0</v>
      </c>
      <c r="AY146" s="9">
        <f>SUMPRODUCT(($F$4=Producción_Lecheria[C. Costo Reporte])*(Económico!$F$5=Producción_Lecheria[Campaña])*(Producción_Lecheria[Cuenta Contable]=Económico!$P$141)*(Tabla283132344554[[#This Row],[Categorías Hacienda]]=Producción_Lecheria[Categoría Hacienda])*(Producción_Lecheria[Cabezas]))</f>
        <v>0</v>
      </c>
      <c r="AZ146" s="31">
        <f>Tabla283132344554[[#This Row],[Cabezas Cierre]]-Tabla283132344554[[#This Row],[Cabezas Inicio]]</f>
        <v>0</v>
      </c>
      <c r="BA146" s="30">
        <f>SUMPRODUCT(($F$4=Producción_Lecheria[C. Costo Reporte])*(Económico!$F$5=Producción_Lecheria[Campaña])*(Producción_Lecheria[Cuenta Contable]=Económico!$N$97)*(Tabla283132344554[[#This Row],[Categorías Hacienda]]=Producción_Lecheria[Categoría Hacienda])*(Producción_Lecheria[Kg/Cab]))*Tabla283132344554[[#This Row],[Cabezas Inicio]]</f>
        <v>0</v>
      </c>
      <c r="BB146" s="9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Hacienda])*(Producción_Lecheria[Kg/Cab]))*Tabla283132344554[[#This Row],[Cabezas Cierre]]</f>
        <v>0</v>
      </c>
      <c r="BC146" s="31">
        <f>Tabla283132344554[[#This Row],[Kilos Cierre]]-Tabla283132344554[[#This Row],[Kilos Inicio]]</f>
        <v>0</v>
      </c>
      <c r="BD146" s="261">
        <f>IFERROR(Tabla283132344554[[#This Row],[Stock Inicio]]/Tabla283132344554[[#This Row],[Kilos Inicio]],0)</f>
        <v>0</v>
      </c>
      <c r="BE146" s="52">
        <f>IFERROR(Tabla283132344554[[#This Row],[Stock Cierre]]/Tabla283132344554[[#This Row],[Kilos Cierre]],0)</f>
        <v>0</v>
      </c>
      <c r="BF146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Hacienda])*(Producción_Lecheria[Económico $Constantes]))</f>
        <v>0</v>
      </c>
      <c r="BG146" s="9">
        <f>Tabla283132344554[[#This Row],[Kilos Inicio]]*Tabla283132344554[[#This Row],[U$S/Kg Cierre]]</f>
        <v>0</v>
      </c>
      <c r="BH146" s="31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Hacienda])*(Producción_Lecheria[Económico $Constantes]))</f>
        <v>0</v>
      </c>
      <c r="BI146" s="257">
        <f>(Tabla283132344554[[#This Row],[Kilos Cierre]]+Tabla283132344554[[#This Row],[Kilos Inicio]])*Tabla283132344554[[#This Row],[U$S/Kg Cierre]]</f>
        <v>0</v>
      </c>
      <c r="BJ146" s="10">
        <f>-Tabla283132344554[[#This Row],[Kilos Inicio]]*(Tabla283132344554[[#This Row],[U$S/Kg Cierre]]-Tabla283132344554[[#This Row],[U$S/Kg Inicio]])</f>
        <v>0</v>
      </c>
    </row>
    <row r="147" spans="2:62" x14ac:dyDescent="0.25">
      <c r="D147" s="245">
        <f>IFERROR(MATCH(Tabla28313234[[#This Row],[Categorías Hacienda]],Produccion_Lecheria[Categoría],0),0)</f>
        <v>6</v>
      </c>
      <c r="E147" s="32" t="str">
        <f>Configuración!BM10</f>
        <v>Vaquillona 15-27</v>
      </c>
      <c r="F147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Hacienda])*(Producción_Lecheria[Cabezas]))</f>
        <v>0</v>
      </c>
      <c r="G147" s="9">
        <f>SUMPRODUCT(($F$4=Producción_Lecheria[C. Costo Reporte])*(Económico!$F$5=Producción_Lecheria[Campaña])*(Producción_Lecheria[Cuenta Contable]=Económico!$P$141)*(Tabla28313234[[#This Row],[Categorías Hacienda]]=Producción_Lecheria[Categoría Hacienda])*(Producción_Lecheria[Cabezas]))</f>
        <v>0</v>
      </c>
      <c r="H147" s="31">
        <f>Tabla28313234[[#This Row],[Cabezas Cierre]]-Tabla28313234[[#This Row],[Cabezas Inicio]]</f>
        <v>0</v>
      </c>
      <c r="I147" s="30">
        <f>SUMPRODUCT(($F$4=Producción_Lecheria[C. Costo Reporte])*(Económico!$F$5=Producción_Lecheria[Campaña])*(Producción_Lecheria[Cuenta Contable]=Económico!$N$97)*(Tabla28313234[[#This Row],[Categorías Hacienda]]=Producción_Lecheria[Categoría Hacienda])*(Producción_Lecheria[Kg/Cab]))*Tabla28313234[[#This Row],[Cabezas Inicio]]</f>
        <v>0</v>
      </c>
      <c r="J147" s="9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Hacienda])*(Producción_Lecheria[Kg/Cab]))*Tabla28313234[[#This Row],[Cabezas Cierre]]</f>
        <v>0</v>
      </c>
      <c r="K147" s="31">
        <f>Tabla28313234[[#This Row],[Kilos Cierre]]-Tabla28313234[[#This Row],[Kilos Inicio]]</f>
        <v>0</v>
      </c>
      <c r="L147" s="261">
        <f>IFERROR(Tabla28313234[[#This Row],[Stock Inicio]]/Tabla28313234[[#This Row],[Kilos Inicio]],0)</f>
        <v>0</v>
      </c>
      <c r="M147" s="52">
        <f>IFERROR(Tabla28313234[[#This Row],[Stock Cierre]]/Tabla28313234[[#This Row],[Kilos Cierre]],0)</f>
        <v>0</v>
      </c>
      <c r="N147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Hacienda])*(Producción_Lecheria[Económico U$S Dólares]))</f>
        <v>0</v>
      </c>
      <c r="O147" s="9">
        <f>Tabla28313234[[#This Row],[Kilos Inicio]]*Tabla28313234[[#This Row],[U$S/Kg Cierre]]</f>
        <v>0</v>
      </c>
      <c r="P147" s="31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Hacienda])*(Producción_Lecheria[Económico U$S Dólares]))</f>
        <v>0</v>
      </c>
      <c r="Q147" s="257">
        <f>(Tabla28313234[[#This Row],[Kilos Cierre]]+Tabla28313234[[#This Row],[Kilos Inicio]])*Tabla28313234[[#This Row],[U$S/Kg Cierre]]</f>
        <v>0</v>
      </c>
      <c r="R147" s="10">
        <f>-Tabla28313234[[#This Row],[Kilos Inicio]]*(Tabla28313234[[#This Row],[U$S/Kg Cierre]]-Tabla28313234[[#This Row],[U$S/Kg Inicio]])</f>
        <v>0</v>
      </c>
      <c r="Z147" s="245">
        <f>IFERROR(MATCH(Tabla2831323445[[#This Row],[Categorías Hacienda]],Produccion_Lecheria[Categoría],0),0)</f>
        <v>6</v>
      </c>
      <c r="AA147" s="32" t="str">
        <f>Tabla28313234[[#This Row],[Categorías Hacienda]]</f>
        <v>Vaquillona 15-27</v>
      </c>
      <c r="AB147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Hacienda])*(Producción_Lecheria[Cabezas]))</f>
        <v>0</v>
      </c>
      <c r="AC147" s="9">
        <f>SUMPRODUCT(($F$4=Producción_Lecheria[C. Costo Reporte])*(Económico!$F$5=Producción_Lecheria[Campaña])*(Producción_Lecheria[Cuenta Contable]=Económico!$P$141)*(Tabla2831323445[[#This Row],[Categorías Hacienda]]=Producción_Lecheria[Categoría Hacienda])*(Producción_Lecheria[Cabezas]))</f>
        <v>0</v>
      </c>
      <c r="AD147" s="31">
        <f>Tabla2831323445[[#This Row],[Cabezas Cierre]]-Tabla2831323445[[#This Row],[Cabezas Inicio]]</f>
        <v>0</v>
      </c>
      <c r="AE147" s="30">
        <f>SUMPRODUCT(($F$4=Producción_Lecheria[C. Costo Reporte])*(Económico!$F$5=Producción_Lecheria[Campaña])*(Producción_Lecheria[Cuenta Contable]=Económico!$N$97)*(Tabla2831323445[[#This Row],[Categorías Hacienda]]=Producción_Lecheria[Categoría Hacienda])*(Producción_Lecheria[Kg/Cab]))*Tabla2831323445[[#This Row],[Cabezas Inicio]]</f>
        <v>0</v>
      </c>
      <c r="AF147" s="9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Hacienda])*(Producción_Lecheria[Kg/Cab]))*Tabla2831323445[[#This Row],[Cabezas Cierre]]</f>
        <v>0</v>
      </c>
      <c r="AG147" s="31">
        <f>Tabla2831323445[[#This Row],[Kilos Cierre]]-Tabla2831323445[[#This Row],[Kilos Inicio]]</f>
        <v>0</v>
      </c>
      <c r="AH147" s="261">
        <f>IFERROR(Tabla2831323445[[#This Row],[Stock Inicio]]/Tabla2831323445[[#This Row],[Kilos Inicio]],0)</f>
        <v>0</v>
      </c>
      <c r="AI147" s="52">
        <f>IFERROR(Tabla2831323445[[#This Row],[Stock Cierre]]/Tabla2831323445[[#This Row],[Kilos Cierre]],0)</f>
        <v>0</v>
      </c>
      <c r="AJ147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Hacienda])*(Producción_Lecheria[Económico $Corrientes]))</f>
        <v>0</v>
      </c>
      <c r="AK147" s="9">
        <f>Tabla2831323445[[#This Row],[Kilos Inicio]]*Tabla2831323445[[#This Row],[U$S/Kg Cierre]]</f>
        <v>0</v>
      </c>
      <c r="AL147" s="31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Hacienda])*(Producción_Lecheria[Económico $Corrientes]))</f>
        <v>0</v>
      </c>
      <c r="AM147" s="257">
        <f>(Tabla2831323445[[#This Row],[Kilos Cierre]]+Tabla2831323445[[#This Row],[Kilos Inicio]])*Tabla2831323445[[#This Row],[U$S/Kg Cierre]]</f>
        <v>0</v>
      </c>
      <c r="AN147" s="10">
        <f>-Tabla2831323445[[#This Row],[Kilos Inicio]]*(Tabla2831323445[[#This Row],[U$S/Kg Cierre]]-Tabla2831323445[[#This Row],[U$S/Kg Inicio]])</f>
        <v>0</v>
      </c>
      <c r="AV147" s="245">
        <f>IFERROR(MATCH(Tabla283132344554[[#This Row],[Categorías Hacienda]],Produccion_Lecheria[Categoría],0),0)</f>
        <v>6</v>
      </c>
      <c r="AW147" s="32" t="str">
        <f>Tabla28313234[[#This Row],[Categorías Hacienda]]</f>
        <v>Vaquillona 15-27</v>
      </c>
      <c r="AX147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Hacienda])*(Producción_Lecheria[Cabezas]))</f>
        <v>0</v>
      </c>
      <c r="AY147" s="9">
        <f>SUMPRODUCT(($F$4=Producción_Lecheria[C. Costo Reporte])*(Económico!$F$5=Producción_Lecheria[Campaña])*(Producción_Lecheria[Cuenta Contable]=Económico!$P$141)*(Tabla283132344554[[#This Row],[Categorías Hacienda]]=Producción_Lecheria[Categoría Hacienda])*(Producción_Lecheria[Cabezas]))</f>
        <v>0</v>
      </c>
      <c r="AZ147" s="31">
        <f>Tabla283132344554[[#This Row],[Cabezas Cierre]]-Tabla283132344554[[#This Row],[Cabezas Inicio]]</f>
        <v>0</v>
      </c>
      <c r="BA147" s="30">
        <f>SUMPRODUCT(($F$4=Producción_Lecheria[C. Costo Reporte])*(Económico!$F$5=Producción_Lecheria[Campaña])*(Producción_Lecheria[Cuenta Contable]=Económico!$N$97)*(Tabla283132344554[[#This Row],[Categorías Hacienda]]=Producción_Lecheria[Categoría Hacienda])*(Producción_Lecheria[Kg/Cab]))*Tabla283132344554[[#This Row],[Cabezas Inicio]]</f>
        <v>0</v>
      </c>
      <c r="BB147" s="9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Hacienda])*(Producción_Lecheria[Kg/Cab]))*Tabla283132344554[[#This Row],[Cabezas Cierre]]</f>
        <v>0</v>
      </c>
      <c r="BC147" s="31">
        <f>Tabla283132344554[[#This Row],[Kilos Cierre]]-Tabla283132344554[[#This Row],[Kilos Inicio]]</f>
        <v>0</v>
      </c>
      <c r="BD147" s="261">
        <f>IFERROR(Tabla283132344554[[#This Row],[Stock Inicio]]/Tabla283132344554[[#This Row],[Kilos Inicio]],0)</f>
        <v>0</v>
      </c>
      <c r="BE147" s="52">
        <f>IFERROR(Tabla283132344554[[#This Row],[Stock Cierre]]/Tabla283132344554[[#This Row],[Kilos Cierre]],0)</f>
        <v>0</v>
      </c>
      <c r="BF147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Hacienda])*(Producción_Lecheria[Económico $Constantes]))</f>
        <v>0</v>
      </c>
      <c r="BG147" s="9">
        <f>Tabla283132344554[[#This Row],[Kilos Inicio]]*Tabla283132344554[[#This Row],[U$S/Kg Cierre]]</f>
        <v>0</v>
      </c>
      <c r="BH147" s="31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Hacienda])*(Producción_Lecheria[Económico $Constantes]))</f>
        <v>0</v>
      </c>
      <c r="BI147" s="257">
        <f>(Tabla283132344554[[#This Row],[Kilos Cierre]]+Tabla283132344554[[#This Row],[Kilos Inicio]])*Tabla283132344554[[#This Row],[U$S/Kg Cierre]]</f>
        <v>0</v>
      </c>
      <c r="BJ147" s="10">
        <f>-Tabla283132344554[[#This Row],[Kilos Inicio]]*(Tabla283132344554[[#This Row],[U$S/Kg Cierre]]-Tabla283132344554[[#This Row],[U$S/Kg Inicio]])</f>
        <v>0</v>
      </c>
    </row>
    <row r="148" spans="2:62" x14ac:dyDescent="0.25">
      <c r="D148" s="245">
        <f>IFERROR(MATCH(Tabla28313234[[#This Row],[Categorías Hacienda]],Produccion_Lecheria[Categoría],0),0)</f>
        <v>7</v>
      </c>
      <c r="E148" s="32" t="str">
        <f>Configuración!BM11</f>
        <v>Ternera</v>
      </c>
      <c r="F148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Hacienda])*(Producción_Lecheria[Cabezas]))</f>
        <v>0</v>
      </c>
      <c r="G148" s="9">
        <f>SUMPRODUCT(($F$4=Producción_Lecheria[C. Costo Reporte])*(Económico!$F$5=Producción_Lecheria[Campaña])*(Producción_Lecheria[Cuenta Contable]=Económico!$P$141)*(Tabla28313234[[#This Row],[Categorías Hacienda]]=Producción_Lecheria[Categoría Hacienda])*(Producción_Lecheria[Cabezas]))</f>
        <v>0</v>
      </c>
      <c r="H148" s="31">
        <f>Tabla28313234[[#This Row],[Cabezas Cierre]]-Tabla28313234[[#This Row],[Cabezas Inicio]]</f>
        <v>0</v>
      </c>
      <c r="I148" s="30">
        <f>SUMPRODUCT(($F$4=Producción_Lecheria[C. Costo Reporte])*(Económico!$F$5=Producción_Lecheria[Campaña])*(Producción_Lecheria[Cuenta Contable]=Económico!$N$97)*(Tabla28313234[[#This Row],[Categorías Hacienda]]=Producción_Lecheria[Categoría Hacienda])*(Producción_Lecheria[Kg/Cab]))*Tabla28313234[[#This Row],[Cabezas Inicio]]</f>
        <v>0</v>
      </c>
      <c r="J148" s="9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Hacienda])*(Producción_Lecheria[Kg/Cab]))*Tabla28313234[[#This Row],[Cabezas Cierre]]</f>
        <v>0</v>
      </c>
      <c r="K148" s="31">
        <f>Tabla28313234[[#This Row],[Kilos Cierre]]-Tabla28313234[[#This Row],[Kilos Inicio]]</f>
        <v>0</v>
      </c>
      <c r="L148" s="261">
        <f>IFERROR(Tabla28313234[[#This Row],[Stock Inicio]]/Tabla28313234[[#This Row],[Kilos Inicio]],0)</f>
        <v>0</v>
      </c>
      <c r="M148" s="52">
        <f>IFERROR(Tabla28313234[[#This Row],[Stock Cierre]]/Tabla28313234[[#This Row],[Kilos Cierre]],0)</f>
        <v>0</v>
      </c>
      <c r="N148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Hacienda])*(Producción_Lecheria[Económico U$S Dólares]))</f>
        <v>0</v>
      </c>
      <c r="O148" s="9">
        <f>Tabla28313234[[#This Row],[Kilos Inicio]]*Tabla28313234[[#This Row],[U$S/Kg Cierre]]</f>
        <v>0</v>
      </c>
      <c r="P148" s="31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Hacienda])*(Producción_Lecheria[Económico U$S Dólares]))</f>
        <v>0</v>
      </c>
      <c r="Q148" s="257">
        <f>(Tabla28313234[[#This Row],[Kilos Cierre]]+Tabla28313234[[#This Row],[Kilos Inicio]])*Tabla28313234[[#This Row],[U$S/Kg Cierre]]</f>
        <v>0</v>
      </c>
      <c r="R148" s="10">
        <f>-Tabla28313234[[#This Row],[Kilos Inicio]]*(Tabla28313234[[#This Row],[U$S/Kg Cierre]]-Tabla28313234[[#This Row],[U$S/Kg Inicio]])</f>
        <v>0</v>
      </c>
      <c r="Z148" s="245">
        <f>IFERROR(MATCH(Tabla2831323445[[#This Row],[Categorías Hacienda]],Produccion_Lecheria[Categoría],0),0)</f>
        <v>7</v>
      </c>
      <c r="AA148" s="32" t="str">
        <f>Tabla28313234[[#This Row],[Categorías Hacienda]]</f>
        <v>Ternera</v>
      </c>
      <c r="AB148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Hacienda])*(Producción_Lecheria[Cabezas]))</f>
        <v>0</v>
      </c>
      <c r="AC148" s="9">
        <f>SUMPRODUCT(($F$4=Producción_Lecheria[C. Costo Reporte])*(Económico!$F$5=Producción_Lecheria[Campaña])*(Producción_Lecheria[Cuenta Contable]=Económico!$P$141)*(Tabla2831323445[[#This Row],[Categorías Hacienda]]=Producción_Lecheria[Categoría Hacienda])*(Producción_Lecheria[Cabezas]))</f>
        <v>0</v>
      </c>
      <c r="AD148" s="31">
        <f>Tabla2831323445[[#This Row],[Cabezas Cierre]]-Tabla2831323445[[#This Row],[Cabezas Inicio]]</f>
        <v>0</v>
      </c>
      <c r="AE148" s="30">
        <f>SUMPRODUCT(($F$4=Producción_Lecheria[C. Costo Reporte])*(Económico!$F$5=Producción_Lecheria[Campaña])*(Producción_Lecheria[Cuenta Contable]=Económico!$N$97)*(Tabla2831323445[[#This Row],[Categorías Hacienda]]=Producción_Lecheria[Categoría Hacienda])*(Producción_Lecheria[Kg/Cab]))*Tabla2831323445[[#This Row],[Cabezas Inicio]]</f>
        <v>0</v>
      </c>
      <c r="AF148" s="9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Hacienda])*(Producción_Lecheria[Kg/Cab]))*Tabla2831323445[[#This Row],[Cabezas Cierre]]</f>
        <v>0</v>
      </c>
      <c r="AG148" s="31">
        <f>Tabla2831323445[[#This Row],[Kilos Cierre]]-Tabla2831323445[[#This Row],[Kilos Inicio]]</f>
        <v>0</v>
      </c>
      <c r="AH148" s="261">
        <f>IFERROR(Tabla2831323445[[#This Row],[Stock Inicio]]/Tabla2831323445[[#This Row],[Kilos Inicio]],0)</f>
        <v>0</v>
      </c>
      <c r="AI148" s="52">
        <f>IFERROR(Tabla2831323445[[#This Row],[Stock Cierre]]/Tabla2831323445[[#This Row],[Kilos Cierre]],0)</f>
        <v>0</v>
      </c>
      <c r="AJ148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Hacienda])*(Producción_Lecheria[Económico $Corrientes]))</f>
        <v>0</v>
      </c>
      <c r="AK148" s="9">
        <f>Tabla2831323445[[#This Row],[Kilos Inicio]]*Tabla2831323445[[#This Row],[U$S/Kg Cierre]]</f>
        <v>0</v>
      </c>
      <c r="AL148" s="31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Hacienda])*(Producción_Lecheria[Económico $Corrientes]))</f>
        <v>0</v>
      </c>
      <c r="AM148" s="257">
        <f>(Tabla2831323445[[#This Row],[Kilos Cierre]]+Tabla2831323445[[#This Row],[Kilos Inicio]])*Tabla2831323445[[#This Row],[U$S/Kg Cierre]]</f>
        <v>0</v>
      </c>
      <c r="AN148" s="10">
        <f>-Tabla2831323445[[#This Row],[Kilos Inicio]]*(Tabla2831323445[[#This Row],[U$S/Kg Cierre]]-Tabla2831323445[[#This Row],[U$S/Kg Inicio]])</f>
        <v>0</v>
      </c>
      <c r="AV148" s="245">
        <f>IFERROR(MATCH(Tabla283132344554[[#This Row],[Categorías Hacienda]],Produccion_Lecheria[Categoría],0),0)</f>
        <v>7</v>
      </c>
      <c r="AW148" s="32" t="str">
        <f>Tabla28313234[[#This Row],[Categorías Hacienda]]</f>
        <v>Ternera</v>
      </c>
      <c r="AX148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Hacienda])*(Producción_Lecheria[Cabezas]))</f>
        <v>0</v>
      </c>
      <c r="AY148" s="9">
        <f>SUMPRODUCT(($F$4=Producción_Lecheria[C. Costo Reporte])*(Económico!$F$5=Producción_Lecheria[Campaña])*(Producción_Lecheria[Cuenta Contable]=Económico!$P$141)*(Tabla283132344554[[#This Row],[Categorías Hacienda]]=Producción_Lecheria[Categoría Hacienda])*(Producción_Lecheria[Cabezas]))</f>
        <v>0</v>
      </c>
      <c r="AZ148" s="31">
        <f>Tabla283132344554[[#This Row],[Cabezas Cierre]]-Tabla283132344554[[#This Row],[Cabezas Inicio]]</f>
        <v>0</v>
      </c>
      <c r="BA148" s="30">
        <f>SUMPRODUCT(($F$4=Producción_Lecheria[C. Costo Reporte])*(Económico!$F$5=Producción_Lecheria[Campaña])*(Producción_Lecheria[Cuenta Contable]=Económico!$N$97)*(Tabla283132344554[[#This Row],[Categorías Hacienda]]=Producción_Lecheria[Categoría Hacienda])*(Producción_Lecheria[Kg/Cab]))*Tabla283132344554[[#This Row],[Cabezas Inicio]]</f>
        <v>0</v>
      </c>
      <c r="BB148" s="9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Hacienda])*(Producción_Lecheria[Kg/Cab]))*Tabla283132344554[[#This Row],[Cabezas Cierre]]</f>
        <v>0</v>
      </c>
      <c r="BC148" s="31">
        <f>Tabla283132344554[[#This Row],[Kilos Cierre]]-Tabla283132344554[[#This Row],[Kilos Inicio]]</f>
        <v>0</v>
      </c>
      <c r="BD148" s="261">
        <f>IFERROR(Tabla283132344554[[#This Row],[Stock Inicio]]/Tabla283132344554[[#This Row],[Kilos Inicio]],0)</f>
        <v>0</v>
      </c>
      <c r="BE148" s="52">
        <f>IFERROR(Tabla283132344554[[#This Row],[Stock Cierre]]/Tabla283132344554[[#This Row],[Kilos Cierre]],0)</f>
        <v>0</v>
      </c>
      <c r="BF148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Hacienda])*(Producción_Lecheria[Económico $Constantes]))</f>
        <v>0</v>
      </c>
      <c r="BG148" s="9">
        <f>Tabla283132344554[[#This Row],[Kilos Inicio]]*Tabla283132344554[[#This Row],[U$S/Kg Cierre]]</f>
        <v>0</v>
      </c>
      <c r="BH148" s="31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Hacienda])*(Producción_Lecheria[Económico $Constantes]))</f>
        <v>0</v>
      </c>
      <c r="BI148" s="257">
        <f>(Tabla283132344554[[#This Row],[Kilos Cierre]]+Tabla283132344554[[#This Row],[Kilos Inicio]])*Tabla283132344554[[#This Row],[U$S/Kg Cierre]]</f>
        <v>0</v>
      </c>
      <c r="BJ148" s="10">
        <f>-Tabla283132344554[[#This Row],[Kilos Inicio]]*(Tabla283132344554[[#This Row],[U$S/Kg Cierre]]-Tabla283132344554[[#This Row],[U$S/Kg Inicio]])</f>
        <v>0</v>
      </c>
    </row>
    <row r="149" spans="2:62" x14ac:dyDescent="0.25">
      <c r="D149" s="245">
        <f>IFERROR(MATCH(Tabla28313234[[#This Row],[Categorías Hacienda]],Produccion_Lecheria[Categoría],0),0)</f>
        <v>8</v>
      </c>
      <c r="E149" s="32" t="str">
        <f>Configuración!BM12</f>
        <v>Ternero</v>
      </c>
      <c r="F149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Hacienda])*(Producción_Lecheria[Cabezas]))</f>
        <v>0</v>
      </c>
      <c r="G149" s="9">
        <f>SUMPRODUCT(($F$4=Producción_Lecheria[C. Costo Reporte])*(Económico!$F$5=Producción_Lecheria[Campaña])*(Producción_Lecheria[Cuenta Contable]=Económico!$P$141)*(Tabla28313234[[#This Row],[Categorías Hacienda]]=Producción_Lecheria[Categoría Hacienda])*(Producción_Lecheria[Cabezas]))</f>
        <v>0</v>
      </c>
      <c r="H149" s="31">
        <f>Tabla28313234[[#This Row],[Cabezas Cierre]]-Tabla28313234[[#This Row],[Cabezas Inicio]]</f>
        <v>0</v>
      </c>
      <c r="I149" s="30">
        <f>SUMPRODUCT(($F$4=Producción_Lecheria[C. Costo Reporte])*(Económico!$F$5=Producción_Lecheria[Campaña])*(Producción_Lecheria[Cuenta Contable]=Económico!$N$97)*(Tabla28313234[[#This Row],[Categorías Hacienda]]=Producción_Lecheria[Categoría Hacienda])*(Producción_Lecheria[Kg/Cab]))*Tabla28313234[[#This Row],[Cabezas Inicio]]</f>
        <v>0</v>
      </c>
      <c r="J149" s="9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Hacienda])*(Producción_Lecheria[Kg/Cab]))*Tabla28313234[[#This Row],[Cabezas Cierre]]</f>
        <v>0</v>
      </c>
      <c r="K149" s="31">
        <f>Tabla28313234[[#This Row],[Kilos Cierre]]-Tabla28313234[[#This Row],[Kilos Inicio]]</f>
        <v>0</v>
      </c>
      <c r="L149" s="261">
        <f>IFERROR(Tabla28313234[[#This Row],[Stock Inicio]]/Tabla28313234[[#This Row],[Kilos Inicio]],0)</f>
        <v>0</v>
      </c>
      <c r="M149" s="52">
        <f>IFERROR(Tabla28313234[[#This Row],[Stock Cierre]]/Tabla28313234[[#This Row],[Kilos Cierre]],0)</f>
        <v>0</v>
      </c>
      <c r="N149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Hacienda])*(Producción_Lecheria[Económico U$S Dólares]))</f>
        <v>0</v>
      </c>
      <c r="O149" s="9">
        <f>Tabla28313234[[#This Row],[Kilos Inicio]]*Tabla28313234[[#This Row],[U$S/Kg Cierre]]</f>
        <v>0</v>
      </c>
      <c r="P149" s="31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Hacienda])*(Producción_Lecheria[Económico U$S Dólares]))</f>
        <v>0</v>
      </c>
      <c r="Q149" s="257">
        <f>(Tabla28313234[[#This Row],[Kilos Cierre]]+Tabla28313234[[#This Row],[Kilos Inicio]])*Tabla28313234[[#This Row],[U$S/Kg Cierre]]</f>
        <v>0</v>
      </c>
      <c r="R149" s="10">
        <f>-Tabla28313234[[#This Row],[Kilos Inicio]]*(Tabla28313234[[#This Row],[U$S/Kg Cierre]]-Tabla28313234[[#This Row],[U$S/Kg Inicio]])</f>
        <v>0</v>
      </c>
      <c r="Z149" s="245">
        <f>IFERROR(MATCH(Tabla2831323445[[#This Row],[Categorías Hacienda]],Produccion_Lecheria[Categoría],0),0)</f>
        <v>8</v>
      </c>
      <c r="AA149" s="32" t="str">
        <f>Tabla28313234[[#This Row],[Categorías Hacienda]]</f>
        <v>Ternero</v>
      </c>
      <c r="AB149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Hacienda])*(Producción_Lecheria[Cabezas]))</f>
        <v>0</v>
      </c>
      <c r="AC149" s="9">
        <f>SUMPRODUCT(($F$4=Producción_Lecheria[C. Costo Reporte])*(Económico!$F$5=Producción_Lecheria[Campaña])*(Producción_Lecheria[Cuenta Contable]=Económico!$P$141)*(Tabla2831323445[[#This Row],[Categorías Hacienda]]=Producción_Lecheria[Categoría Hacienda])*(Producción_Lecheria[Cabezas]))</f>
        <v>0</v>
      </c>
      <c r="AD149" s="31">
        <f>Tabla2831323445[[#This Row],[Cabezas Cierre]]-Tabla2831323445[[#This Row],[Cabezas Inicio]]</f>
        <v>0</v>
      </c>
      <c r="AE149" s="30">
        <f>SUMPRODUCT(($F$4=Producción_Lecheria[C. Costo Reporte])*(Económico!$F$5=Producción_Lecheria[Campaña])*(Producción_Lecheria[Cuenta Contable]=Económico!$N$97)*(Tabla2831323445[[#This Row],[Categorías Hacienda]]=Producción_Lecheria[Categoría Hacienda])*(Producción_Lecheria[Kg/Cab]))*Tabla2831323445[[#This Row],[Cabezas Inicio]]</f>
        <v>0</v>
      </c>
      <c r="AF149" s="9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Hacienda])*(Producción_Lecheria[Kg/Cab]))*Tabla2831323445[[#This Row],[Cabezas Cierre]]</f>
        <v>0</v>
      </c>
      <c r="AG149" s="31">
        <f>Tabla2831323445[[#This Row],[Kilos Cierre]]-Tabla2831323445[[#This Row],[Kilos Inicio]]</f>
        <v>0</v>
      </c>
      <c r="AH149" s="261">
        <f>IFERROR(Tabla2831323445[[#This Row],[Stock Inicio]]/Tabla2831323445[[#This Row],[Kilos Inicio]],0)</f>
        <v>0</v>
      </c>
      <c r="AI149" s="52">
        <f>IFERROR(Tabla2831323445[[#This Row],[Stock Cierre]]/Tabla2831323445[[#This Row],[Kilos Cierre]],0)</f>
        <v>0</v>
      </c>
      <c r="AJ149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Hacienda])*(Producción_Lecheria[Económico $Corrientes]))</f>
        <v>0</v>
      </c>
      <c r="AK149" s="9">
        <f>Tabla2831323445[[#This Row],[Kilos Inicio]]*Tabla2831323445[[#This Row],[U$S/Kg Cierre]]</f>
        <v>0</v>
      </c>
      <c r="AL149" s="31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Hacienda])*(Producción_Lecheria[Económico $Corrientes]))</f>
        <v>0</v>
      </c>
      <c r="AM149" s="257">
        <f>(Tabla2831323445[[#This Row],[Kilos Cierre]]+Tabla2831323445[[#This Row],[Kilos Inicio]])*Tabla2831323445[[#This Row],[U$S/Kg Cierre]]</f>
        <v>0</v>
      </c>
      <c r="AN149" s="10">
        <f>-Tabla2831323445[[#This Row],[Kilos Inicio]]*(Tabla2831323445[[#This Row],[U$S/Kg Cierre]]-Tabla2831323445[[#This Row],[U$S/Kg Inicio]])</f>
        <v>0</v>
      </c>
      <c r="AV149" s="245">
        <f>IFERROR(MATCH(Tabla283132344554[[#This Row],[Categorías Hacienda]],Produccion_Lecheria[Categoría],0),0)</f>
        <v>8</v>
      </c>
      <c r="AW149" s="32" t="str">
        <f>Tabla28313234[[#This Row],[Categorías Hacienda]]</f>
        <v>Ternero</v>
      </c>
      <c r="AX149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Hacienda])*(Producción_Lecheria[Cabezas]))</f>
        <v>0</v>
      </c>
      <c r="AY149" s="9">
        <f>SUMPRODUCT(($F$4=Producción_Lecheria[C. Costo Reporte])*(Económico!$F$5=Producción_Lecheria[Campaña])*(Producción_Lecheria[Cuenta Contable]=Económico!$P$141)*(Tabla283132344554[[#This Row],[Categorías Hacienda]]=Producción_Lecheria[Categoría Hacienda])*(Producción_Lecheria[Cabezas]))</f>
        <v>0</v>
      </c>
      <c r="AZ149" s="31">
        <f>Tabla283132344554[[#This Row],[Cabezas Cierre]]-Tabla283132344554[[#This Row],[Cabezas Inicio]]</f>
        <v>0</v>
      </c>
      <c r="BA149" s="30">
        <f>SUMPRODUCT(($F$4=Producción_Lecheria[C. Costo Reporte])*(Económico!$F$5=Producción_Lecheria[Campaña])*(Producción_Lecheria[Cuenta Contable]=Económico!$N$97)*(Tabla283132344554[[#This Row],[Categorías Hacienda]]=Producción_Lecheria[Categoría Hacienda])*(Producción_Lecheria[Kg/Cab]))*Tabla283132344554[[#This Row],[Cabezas Inicio]]</f>
        <v>0</v>
      </c>
      <c r="BB149" s="9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Hacienda])*(Producción_Lecheria[Kg/Cab]))*Tabla283132344554[[#This Row],[Cabezas Cierre]]</f>
        <v>0</v>
      </c>
      <c r="BC149" s="31">
        <f>Tabla283132344554[[#This Row],[Kilos Cierre]]-Tabla283132344554[[#This Row],[Kilos Inicio]]</f>
        <v>0</v>
      </c>
      <c r="BD149" s="261">
        <f>IFERROR(Tabla283132344554[[#This Row],[Stock Inicio]]/Tabla283132344554[[#This Row],[Kilos Inicio]],0)</f>
        <v>0</v>
      </c>
      <c r="BE149" s="52">
        <f>IFERROR(Tabla283132344554[[#This Row],[Stock Cierre]]/Tabla283132344554[[#This Row],[Kilos Cierre]],0)</f>
        <v>0</v>
      </c>
      <c r="BF149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Hacienda])*(Producción_Lecheria[Económico $Constantes]))</f>
        <v>0</v>
      </c>
      <c r="BG149" s="9">
        <f>Tabla283132344554[[#This Row],[Kilos Inicio]]*Tabla283132344554[[#This Row],[U$S/Kg Cierre]]</f>
        <v>0</v>
      </c>
      <c r="BH149" s="31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Hacienda])*(Producción_Lecheria[Económico $Constantes]))</f>
        <v>0</v>
      </c>
      <c r="BI149" s="257">
        <f>(Tabla283132344554[[#This Row],[Kilos Cierre]]+Tabla283132344554[[#This Row],[Kilos Inicio]])*Tabla283132344554[[#This Row],[U$S/Kg Cierre]]</f>
        <v>0</v>
      </c>
      <c r="BJ149" s="10">
        <f>-Tabla283132344554[[#This Row],[Kilos Inicio]]*(Tabla283132344554[[#This Row],[U$S/Kg Cierre]]-Tabla283132344554[[#This Row],[U$S/Kg Inicio]])</f>
        <v>0</v>
      </c>
    </row>
    <row r="150" spans="2:62" x14ac:dyDescent="0.25">
      <c r="D150" s="245">
        <f>IFERROR(MATCH(Tabla28313234[[#This Row],[Categorías Hacienda]],Produccion_Lecheria[Categoría],0),0)</f>
        <v>9</v>
      </c>
      <c r="E150" s="32" t="str">
        <f>Configuración!BM13</f>
        <v>Vaca descarte</v>
      </c>
      <c r="F150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Hacienda])*(Producción_Lecheria[Cabezas]))</f>
        <v>0</v>
      </c>
      <c r="G150" s="9">
        <f>SUMPRODUCT(($F$4=Producción_Lecheria[C. Costo Reporte])*(Económico!$F$5=Producción_Lecheria[Campaña])*(Producción_Lecheria[Cuenta Contable]=Económico!$P$141)*(Tabla28313234[[#This Row],[Categorías Hacienda]]=Producción_Lecheria[Categoría Hacienda])*(Producción_Lecheria[Cabezas]))</f>
        <v>0</v>
      </c>
      <c r="H150" s="31">
        <f>Tabla28313234[[#This Row],[Cabezas Cierre]]-Tabla28313234[[#This Row],[Cabezas Inicio]]</f>
        <v>0</v>
      </c>
      <c r="I150" s="30">
        <f>SUMPRODUCT(($F$4=Producción_Lecheria[C. Costo Reporte])*(Económico!$F$5=Producción_Lecheria[Campaña])*(Producción_Lecheria[Cuenta Contable]=Económico!$N$97)*(Tabla28313234[[#This Row],[Categorías Hacienda]]=Producción_Lecheria[Categoría Hacienda])*(Producción_Lecheria[Kg/Cab]))*Tabla28313234[[#This Row],[Cabezas Inicio]]</f>
        <v>0</v>
      </c>
      <c r="J150" s="9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Hacienda])*(Producción_Lecheria[Kg/Cab]))*Tabla28313234[[#This Row],[Cabezas Cierre]]</f>
        <v>0</v>
      </c>
      <c r="K150" s="31">
        <f>Tabla28313234[[#This Row],[Kilos Cierre]]-Tabla28313234[[#This Row],[Kilos Inicio]]</f>
        <v>0</v>
      </c>
      <c r="L150" s="261">
        <f>IFERROR(Tabla28313234[[#This Row],[Stock Inicio]]/Tabla28313234[[#This Row],[Kilos Inicio]],0)</f>
        <v>0</v>
      </c>
      <c r="M150" s="52">
        <f>IFERROR(Tabla28313234[[#This Row],[Stock Cierre]]/Tabla28313234[[#This Row],[Kilos Cierre]],0)</f>
        <v>0</v>
      </c>
      <c r="N150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Hacienda])*(Producción_Lecheria[Económico U$S Dólares]))</f>
        <v>0</v>
      </c>
      <c r="O150" s="9">
        <f>Tabla28313234[[#This Row],[Kilos Inicio]]*Tabla28313234[[#This Row],[U$S/Kg Cierre]]</f>
        <v>0</v>
      </c>
      <c r="P150" s="31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Hacienda])*(Producción_Lecheria[Económico U$S Dólares]))</f>
        <v>0</v>
      </c>
      <c r="Q150" s="257">
        <f>(Tabla28313234[[#This Row],[Kilos Cierre]]+Tabla28313234[[#This Row],[Kilos Inicio]])*Tabla28313234[[#This Row],[U$S/Kg Cierre]]</f>
        <v>0</v>
      </c>
      <c r="R150" s="10">
        <f>-Tabla28313234[[#This Row],[Kilos Inicio]]*(Tabla28313234[[#This Row],[U$S/Kg Cierre]]-Tabla28313234[[#This Row],[U$S/Kg Inicio]])</f>
        <v>0</v>
      </c>
      <c r="Z150" s="245">
        <f>IFERROR(MATCH(Tabla2831323445[[#This Row],[Categorías Hacienda]],Produccion_Lecheria[Categoría],0),0)</f>
        <v>9</v>
      </c>
      <c r="AA150" s="32" t="str">
        <f>Tabla28313234[[#This Row],[Categorías Hacienda]]</f>
        <v>Vaca descarte</v>
      </c>
      <c r="AB150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Hacienda])*(Producción_Lecheria[Cabezas]))</f>
        <v>0</v>
      </c>
      <c r="AC150" s="9">
        <f>SUMPRODUCT(($F$4=Producción_Lecheria[C. Costo Reporte])*(Económico!$F$5=Producción_Lecheria[Campaña])*(Producción_Lecheria[Cuenta Contable]=Económico!$P$141)*(Tabla2831323445[[#This Row],[Categorías Hacienda]]=Producción_Lecheria[Categoría Hacienda])*(Producción_Lecheria[Cabezas]))</f>
        <v>0</v>
      </c>
      <c r="AD150" s="31">
        <f>Tabla2831323445[[#This Row],[Cabezas Cierre]]-Tabla2831323445[[#This Row],[Cabezas Inicio]]</f>
        <v>0</v>
      </c>
      <c r="AE150" s="30">
        <f>SUMPRODUCT(($F$4=Producción_Lecheria[C. Costo Reporte])*(Económico!$F$5=Producción_Lecheria[Campaña])*(Producción_Lecheria[Cuenta Contable]=Económico!$N$97)*(Tabla2831323445[[#This Row],[Categorías Hacienda]]=Producción_Lecheria[Categoría Hacienda])*(Producción_Lecheria[Kg/Cab]))*Tabla2831323445[[#This Row],[Cabezas Inicio]]</f>
        <v>0</v>
      </c>
      <c r="AF150" s="9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Hacienda])*(Producción_Lecheria[Kg/Cab]))*Tabla2831323445[[#This Row],[Cabezas Cierre]]</f>
        <v>0</v>
      </c>
      <c r="AG150" s="31">
        <f>Tabla2831323445[[#This Row],[Kilos Cierre]]-Tabla2831323445[[#This Row],[Kilos Inicio]]</f>
        <v>0</v>
      </c>
      <c r="AH150" s="261">
        <f>IFERROR(Tabla2831323445[[#This Row],[Stock Inicio]]/Tabla2831323445[[#This Row],[Kilos Inicio]],0)</f>
        <v>0</v>
      </c>
      <c r="AI150" s="52">
        <f>IFERROR(Tabla2831323445[[#This Row],[Stock Cierre]]/Tabla2831323445[[#This Row],[Kilos Cierre]],0)</f>
        <v>0</v>
      </c>
      <c r="AJ150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Hacienda])*(Producción_Lecheria[Económico $Corrientes]))</f>
        <v>0</v>
      </c>
      <c r="AK150" s="9">
        <f>Tabla2831323445[[#This Row],[Kilos Inicio]]*Tabla2831323445[[#This Row],[U$S/Kg Cierre]]</f>
        <v>0</v>
      </c>
      <c r="AL150" s="31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Hacienda])*(Producción_Lecheria[Económico $Corrientes]))</f>
        <v>0</v>
      </c>
      <c r="AM150" s="257">
        <f>(Tabla2831323445[[#This Row],[Kilos Cierre]]+Tabla2831323445[[#This Row],[Kilos Inicio]])*Tabla2831323445[[#This Row],[U$S/Kg Cierre]]</f>
        <v>0</v>
      </c>
      <c r="AN150" s="10">
        <f>-Tabla2831323445[[#This Row],[Kilos Inicio]]*(Tabla2831323445[[#This Row],[U$S/Kg Cierre]]-Tabla2831323445[[#This Row],[U$S/Kg Inicio]])</f>
        <v>0</v>
      </c>
      <c r="AV150" s="245">
        <f>IFERROR(MATCH(Tabla283132344554[[#This Row],[Categorías Hacienda]],Produccion_Lecheria[Categoría],0),0)</f>
        <v>9</v>
      </c>
      <c r="AW150" s="32" t="str">
        <f>Tabla28313234[[#This Row],[Categorías Hacienda]]</f>
        <v>Vaca descarte</v>
      </c>
      <c r="AX150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Hacienda])*(Producción_Lecheria[Cabezas]))</f>
        <v>0</v>
      </c>
      <c r="AY150" s="9">
        <f>SUMPRODUCT(($F$4=Producción_Lecheria[C. Costo Reporte])*(Económico!$F$5=Producción_Lecheria[Campaña])*(Producción_Lecheria[Cuenta Contable]=Económico!$P$141)*(Tabla283132344554[[#This Row],[Categorías Hacienda]]=Producción_Lecheria[Categoría Hacienda])*(Producción_Lecheria[Cabezas]))</f>
        <v>0</v>
      </c>
      <c r="AZ150" s="31">
        <f>Tabla283132344554[[#This Row],[Cabezas Cierre]]-Tabla283132344554[[#This Row],[Cabezas Inicio]]</f>
        <v>0</v>
      </c>
      <c r="BA150" s="30">
        <f>SUMPRODUCT(($F$4=Producción_Lecheria[C. Costo Reporte])*(Económico!$F$5=Producción_Lecheria[Campaña])*(Producción_Lecheria[Cuenta Contable]=Económico!$N$97)*(Tabla283132344554[[#This Row],[Categorías Hacienda]]=Producción_Lecheria[Categoría Hacienda])*(Producción_Lecheria[Kg/Cab]))*Tabla283132344554[[#This Row],[Cabezas Inicio]]</f>
        <v>0</v>
      </c>
      <c r="BB150" s="9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Hacienda])*(Producción_Lecheria[Kg/Cab]))*Tabla283132344554[[#This Row],[Cabezas Cierre]]</f>
        <v>0</v>
      </c>
      <c r="BC150" s="31">
        <f>Tabla283132344554[[#This Row],[Kilos Cierre]]-Tabla283132344554[[#This Row],[Kilos Inicio]]</f>
        <v>0</v>
      </c>
      <c r="BD150" s="261">
        <f>IFERROR(Tabla283132344554[[#This Row],[Stock Inicio]]/Tabla283132344554[[#This Row],[Kilos Inicio]],0)</f>
        <v>0</v>
      </c>
      <c r="BE150" s="52">
        <f>IFERROR(Tabla283132344554[[#This Row],[Stock Cierre]]/Tabla283132344554[[#This Row],[Kilos Cierre]],0)</f>
        <v>0</v>
      </c>
      <c r="BF150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Hacienda])*(Producción_Lecheria[Económico $Constantes]))</f>
        <v>0</v>
      </c>
      <c r="BG150" s="9">
        <f>Tabla283132344554[[#This Row],[Kilos Inicio]]*Tabla283132344554[[#This Row],[U$S/Kg Cierre]]</f>
        <v>0</v>
      </c>
      <c r="BH150" s="31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Hacienda])*(Producción_Lecheria[Económico $Constantes]))</f>
        <v>0</v>
      </c>
      <c r="BI150" s="257">
        <f>(Tabla283132344554[[#This Row],[Kilos Cierre]]+Tabla283132344554[[#This Row],[Kilos Inicio]])*Tabla283132344554[[#This Row],[U$S/Kg Cierre]]</f>
        <v>0</v>
      </c>
      <c r="BJ150" s="10">
        <f>-Tabla283132344554[[#This Row],[Kilos Inicio]]*(Tabla283132344554[[#This Row],[U$S/Kg Cierre]]-Tabla283132344554[[#This Row],[U$S/Kg Inicio]])</f>
        <v>0</v>
      </c>
    </row>
    <row r="151" spans="2:62" x14ac:dyDescent="0.25">
      <c r="D151" s="245">
        <f>IFERROR(MATCH(Tabla28313234[[#This Row],[Categorías Hacienda]],Produccion_Lecheria[Categoría],0),0)</f>
        <v>10</v>
      </c>
      <c r="E151" s="32" t="str">
        <f>Configuración!BM14</f>
        <v>Toro Descarte</v>
      </c>
      <c r="F151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Hacienda])*(Producción_Lecheria[Cabezas]))</f>
        <v>0</v>
      </c>
      <c r="G151" s="9">
        <f>SUMPRODUCT(($F$4=Producción_Lecheria[C. Costo Reporte])*(Económico!$F$5=Producción_Lecheria[Campaña])*(Producción_Lecheria[Cuenta Contable]=Económico!$P$141)*(Tabla28313234[[#This Row],[Categorías Hacienda]]=Producción_Lecheria[Categoría Hacienda])*(Producción_Lecheria[Cabezas]))</f>
        <v>0</v>
      </c>
      <c r="H151" s="31">
        <f>Tabla28313234[[#This Row],[Cabezas Cierre]]-Tabla28313234[[#This Row],[Cabezas Inicio]]</f>
        <v>0</v>
      </c>
      <c r="I151" s="30">
        <f>SUMPRODUCT(($F$4=Producción_Lecheria[C. Costo Reporte])*(Económico!$F$5=Producción_Lecheria[Campaña])*(Producción_Lecheria[Cuenta Contable]=Económico!$N$97)*(Tabla28313234[[#This Row],[Categorías Hacienda]]=Producción_Lecheria[Categoría Hacienda])*(Producción_Lecheria[Kg/Cab]))*Tabla28313234[[#This Row],[Cabezas Inicio]]</f>
        <v>0</v>
      </c>
      <c r="J151" s="9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Hacienda])*(Producción_Lecheria[Kg/Cab]))*Tabla28313234[[#This Row],[Cabezas Cierre]]</f>
        <v>0</v>
      </c>
      <c r="K151" s="31">
        <f>Tabla28313234[[#This Row],[Kilos Cierre]]-Tabla28313234[[#This Row],[Kilos Inicio]]</f>
        <v>0</v>
      </c>
      <c r="L151" s="261">
        <f>IFERROR(Tabla28313234[[#This Row],[Stock Inicio]]/Tabla28313234[[#This Row],[Kilos Inicio]],0)</f>
        <v>0</v>
      </c>
      <c r="M151" s="52">
        <f>IFERROR(Tabla28313234[[#This Row],[Stock Cierre]]/Tabla28313234[[#This Row],[Kilos Cierre]],0)</f>
        <v>0</v>
      </c>
      <c r="N151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Hacienda])*(Producción_Lecheria[Económico U$S Dólares]))</f>
        <v>0</v>
      </c>
      <c r="O151" s="9">
        <f>Tabla28313234[[#This Row],[Kilos Inicio]]*Tabla28313234[[#This Row],[U$S/Kg Cierre]]</f>
        <v>0</v>
      </c>
      <c r="P151" s="31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Hacienda])*(Producción_Lecheria[Económico U$S Dólares]))</f>
        <v>0</v>
      </c>
      <c r="Q151" s="257">
        <f>(Tabla28313234[[#This Row],[Kilos Cierre]]+Tabla28313234[[#This Row],[Kilos Inicio]])*Tabla28313234[[#This Row],[U$S/Kg Cierre]]</f>
        <v>0</v>
      </c>
      <c r="R151" s="10">
        <f>-Tabla28313234[[#This Row],[Kilos Inicio]]*(Tabla28313234[[#This Row],[U$S/Kg Cierre]]-Tabla28313234[[#This Row],[U$S/Kg Inicio]])</f>
        <v>0</v>
      </c>
      <c r="Z151" s="245">
        <f>IFERROR(MATCH(Tabla2831323445[[#This Row],[Categorías Hacienda]],Produccion_Lecheria[Categoría],0),0)</f>
        <v>10</v>
      </c>
      <c r="AA151" s="32" t="str">
        <f>Tabla28313234[[#This Row],[Categorías Hacienda]]</f>
        <v>Toro Descarte</v>
      </c>
      <c r="AB151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Hacienda])*(Producción_Lecheria[Cabezas]))</f>
        <v>0</v>
      </c>
      <c r="AC151" s="9">
        <f>SUMPRODUCT(($F$4=Producción_Lecheria[C. Costo Reporte])*(Económico!$F$5=Producción_Lecheria[Campaña])*(Producción_Lecheria[Cuenta Contable]=Económico!$P$141)*(Tabla2831323445[[#This Row],[Categorías Hacienda]]=Producción_Lecheria[Categoría Hacienda])*(Producción_Lecheria[Cabezas]))</f>
        <v>0</v>
      </c>
      <c r="AD151" s="31">
        <f>Tabla2831323445[[#This Row],[Cabezas Cierre]]-Tabla2831323445[[#This Row],[Cabezas Inicio]]</f>
        <v>0</v>
      </c>
      <c r="AE151" s="30">
        <f>SUMPRODUCT(($F$4=Producción_Lecheria[C. Costo Reporte])*(Económico!$F$5=Producción_Lecheria[Campaña])*(Producción_Lecheria[Cuenta Contable]=Económico!$N$97)*(Tabla2831323445[[#This Row],[Categorías Hacienda]]=Producción_Lecheria[Categoría Hacienda])*(Producción_Lecheria[Kg/Cab]))*Tabla2831323445[[#This Row],[Cabezas Inicio]]</f>
        <v>0</v>
      </c>
      <c r="AF151" s="9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Hacienda])*(Producción_Lecheria[Kg/Cab]))*Tabla2831323445[[#This Row],[Cabezas Cierre]]</f>
        <v>0</v>
      </c>
      <c r="AG151" s="31">
        <f>Tabla2831323445[[#This Row],[Kilos Cierre]]-Tabla2831323445[[#This Row],[Kilos Inicio]]</f>
        <v>0</v>
      </c>
      <c r="AH151" s="261">
        <f>IFERROR(Tabla2831323445[[#This Row],[Stock Inicio]]/Tabla2831323445[[#This Row],[Kilos Inicio]],0)</f>
        <v>0</v>
      </c>
      <c r="AI151" s="52">
        <f>IFERROR(Tabla2831323445[[#This Row],[Stock Cierre]]/Tabla2831323445[[#This Row],[Kilos Cierre]],0)</f>
        <v>0</v>
      </c>
      <c r="AJ151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Hacienda])*(Producción_Lecheria[Económico $Corrientes]))</f>
        <v>0</v>
      </c>
      <c r="AK151" s="9">
        <f>Tabla2831323445[[#This Row],[Kilos Inicio]]*Tabla2831323445[[#This Row],[U$S/Kg Cierre]]</f>
        <v>0</v>
      </c>
      <c r="AL151" s="31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Hacienda])*(Producción_Lecheria[Económico $Corrientes]))</f>
        <v>0</v>
      </c>
      <c r="AM151" s="257">
        <f>(Tabla2831323445[[#This Row],[Kilos Cierre]]+Tabla2831323445[[#This Row],[Kilos Inicio]])*Tabla2831323445[[#This Row],[U$S/Kg Cierre]]</f>
        <v>0</v>
      </c>
      <c r="AN151" s="10">
        <f>-Tabla2831323445[[#This Row],[Kilos Inicio]]*(Tabla2831323445[[#This Row],[U$S/Kg Cierre]]-Tabla2831323445[[#This Row],[U$S/Kg Inicio]])</f>
        <v>0</v>
      </c>
      <c r="AV151" s="245">
        <f>IFERROR(MATCH(Tabla283132344554[[#This Row],[Categorías Hacienda]],Produccion_Lecheria[Categoría],0),0)</f>
        <v>10</v>
      </c>
      <c r="AW151" s="32" t="str">
        <f>Tabla28313234[[#This Row],[Categorías Hacienda]]</f>
        <v>Toro Descarte</v>
      </c>
      <c r="AX151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Hacienda])*(Producción_Lecheria[Cabezas]))</f>
        <v>0</v>
      </c>
      <c r="AY151" s="9">
        <f>SUMPRODUCT(($F$4=Producción_Lecheria[C. Costo Reporte])*(Económico!$F$5=Producción_Lecheria[Campaña])*(Producción_Lecheria[Cuenta Contable]=Económico!$P$141)*(Tabla283132344554[[#This Row],[Categorías Hacienda]]=Producción_Lecheria[Categoría Hacienda])*(Producción_Lecheria[Cabezas]))</f>
        <v>0</v>
      </c>
      <c r="AZ151" s="31">
        <f>Tabla283132344554[[#This Row],[Cabezas Cierre]]-Tabla283132344554[[#This Row],[Cabezas Inicio]]</f>
        <v>0</v>
      </c>
      <c r="BA151" s="30">
        <f>SUMPRODUCT(($F$4=Producción_Lecheria[C. Costo Reporte])*(Económico!$F$5=Producción_Lecheria[Campaña])*(Producción_Lecheria[Cuenta Contable]=Económico!$N$97)*(Tabla283132344554[[#This Row],[Categorías Hacienda]]=Producción_Lecheria[Categoría Hacienda])*(Producción_Lecheria[Kg/Cab]))*Tabla283132344554[[#This Row],[Cabezas Inicio]]</f>
        <v>0</v>
      </c>
      <c r="BB151" s="9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Hacienda])*(Producción_Lecheria[Kg/Cab]))*Tabla283132344554[[#This Row],[Cabezas Cierre]]</f>
        <v>0</v>
      </c>
      <c r="BC151" s="31">
        <f>Tabla283132344554[[#This Row],[Kilos Cierre]]-Tabla283132344554[[#This Row],[Kilos Inicio]]</f>
        <v>0</v>
      </c>
      <c r="BD151" s="261">
        <f>IFERROR(Tabla283132344554[[#This Row],[Stock Inicio]]/Tabla283132344554[[#This Row],[Kilos Inicio]],0)</f>
        <v>0</v>
      </c>
      <c r="BE151" s="52">
        <f>IFERROR(Tabla283132344554[[#This Row],[Stock Cierre]]/Tabla283132344554[[#This Row],[Kilos Cierre]],0)</f>
        <v>0</v>
      </c>
      <c r="BF151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Hacienda])*(Producción_Lecheria[Económico $Constantes]))</f>
        <v>0</v>
      </c>
      <c r="BG151" s="9">
        <f>Tabla283132344554[[#This Row],[Kilos Inicio]]*Tabla283132344554[[#This Row],[U$S/Kg Cierre]]</f>
        <v>0</v>
      </c>
      <c r="BH151" s="31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Hacienda])*(Producción_Lecheria[Económico $Constantes]))</f>
        <v>0</v>
      </c>
      <c r="BI151" s="257">
        <f>(Tabla283132344554[[#This Row],[Kilos Cierre]]+Tabla283132344554[[#This Row],[Kilos Inicio]])*Tabla283132344554[[#This Row],[U$S/Kg Cierre]]</f>
        <v>0</v>
      </c>
      <c r="BJ151" s="10">
        <f>-Tabla283132344554[[#This Row],[Kilos Inicio]]*(Tabla283132344554[[#This Row],[U$S/Kg Cierre]]-Tabla283132344554[[#This Row],[U$S/Kg Inicio]])</f>
        <v>0</v>
      </c>
    </row>
    <row r="152" spans="2:62" x14ac:dyDescent="0.25">
      <c r="D152" s="245">
        <f>IFERROR(MATCH(Tabla28313234[[#This Row],[Categorías Hacienda]],Produccion_Lecheria[Categoría],0),0)</f>
        <v>0</v>
      </c>
      <c r="E152" s="32">
        <f>Configuración!BM15</f>
        <v>0</v>
      </c>
      <c r="F152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Hacienda])*(Producción_Lecheria[Cabezas]))</f>
        <v>0</v>
      </c>
      <c r="G152" s="9">
        <f>SUMPRODUCT(($F$4=Producción_Lecheria[C. Costo Reporte])*(Económico!$F$5=Producción_Lecheria[Campaña])*(Producción_Lecheria[Cuenta Contable]=Económico!$P$141)*(Tabla28313234[[#This Row],[Categorías Hacienda]]=Producción_Lecheria[Categoría Hacienda])*(Producción_Lecheria[Cabezas]))</f>
        <v>0</v>
      </c>
      <c r="H152" s="31">
        <f>Tabla28313234[[#This Row],[Cabezas Cierre]]-Tabla28313234[[#This Row],[Cabezas Inicio]]</f>
        <v>0</v>
      </c>
      <c r="I152" s="30">
        <f>SUMPRODUCT(($F$4=Producción_Lecheria[C. Costo Reporte])*(Económico!$F$5=Producción_Lecheria[Campaña])*(Producción_Lecheria[Cuenta Contable]=Económico!$N$97)*(Tabla28313234[[#This Row],[Categorías Hacienda]]=Producción_Lecheria[Categoría Hacienda])*(Producción_Lecheria[Kg/Cab]))*Tabla28313234[[#This Row],[Cabezas Inicio]]</f>
        <v>0</v>
      </c>
      <c r="J152" s="9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Hacienda])*(Producción_Lecheria[Kg/Cab]))*Tabla28313234[[#This Row],[Cabezas Cierre]]</f>
        <v>0</v>
      </c>
      <c r="K152" s="31">
        <f>Tabla28313234[[#This Row],[Kilos Cierre]]-Tabla28313234[[#This Row],[Kilos Inicio]]</f>
        <v>0</v>
      </c>
      <c r="L152" s="261">
        <f>IFERROR(Tabla28313234[[#This Row],[Stock Inicio]]/Tabla28313234[[#This Row],[Kilos Inicio]],0)</f>
        <v>0</v>
      </c>
      <c r="M152" s="52">
        <f>IFERROR(Tabla28313234[[#This Row],[Stock Cierre]]/Tabla28313234[[#This Row],[Kilos Cierre]],0)</f>
        <v>0</v>
      </c>
      <c r="N152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Hacienda])*(Producción_Lecheria[Económico U$S Dólares]))</f>
        <v>0</v>
      </c>
      <c r="O152" s="9">
        <f>Tabla28313234[[#This Row],[Kilos Inicio]]*Tabla28313234[[#This Row],[U$S/Kg Cierre]]</f>
        <v>0</v>
      </c>
      <c r="P152" s="31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Hacienda])*(Producción_Lecheria[Económico U$S Dólares]))</f>
        <v>0</v>
      </c>
      <c r="Q152" s="257">
        <f>(Tabla28313234[[#This Row],[Kilos Cierre]]+Tabla28313234[[#This Row],[Kilos Inicio]])*Tabla28313234[[#This Row],[U$S/Kg Cierre]]</f>
        <v>0</v>
      </c>
      <c r="R152" s="10">
        <f>-Tabla28313234[[#This Row],[Kilos Inicio]]*(Tabla28313234[[#This Row],[U$S/Kg Cierre]]-Tabla28313234[[#This Row],[U$S/Kg Inicio]])</f>
        <v>0</v>
      </c>
      <c r="Z152" s="245">
        <f>IFERROR(MATCH(Tabla2831323445[[#This Row],[Categorías Hacienda]],Produccion_Lecheria[Categoría],0),0)</f>
        <v>0</v>
      </c>
      <c r="AA152" s="32">
        <f>Tabla28313234[[#This Row],[Categorías Hacienda]]</f>
        <v>0</v>
      </c>
      <c r="AB152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Hacienda])*(Producción_Lecheria[Cabezas]))</f>
        <v>0</v>
      </c>
      <c r="AC152" s="9">
        <f>SUMPRODUCT(($F$4=Producción_Lecheria[C. Costo Reporte])*(Económico!$F$5=Producción_Lecheria[Campaña])*(Producción_Lecheria[Cuenta Contable]=Económico!$P$141)*(Tabla2831323445[[#This Row],[Categorías Hacienda]]=Producción_Lecheria[Categoría Hacienda])*(Producción_Lecheria[Cabezas]))</f>
        <v>0</v>
      </c>
      <c r="AD152" s="31">
        <f>Tabla2831323445[[#This Row],[Cabezas Cierre]]-Tabla2831323445[[#This Row],[Cabezas Inicio]]</f>
        <v>0</v>
      </c>
      <c r="AE152" s="30">
        <f>SUMPRODUCT(($F$4=Producción_Lecheria[C. Costo Reporte])*(Económico!$F$5=Producción_Lecheria[Campaña])*(Producción_Lecheria[Cuenta Contable]=Económico!$N$97)*(Tabla2831323445[[#This Row],[Categorías Hacienda]]=Producción_Lecheria[Categoría Hacienda])*(Producción_Lecheria[Kg/Cab]))*Tabla2831323445[[#This Row],[Cabezas Inicio]]</f>
        <v>0</v>
      </c>
      <c r="AF152" s="9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Hacienda])*(Producción_Lecheria[Kg/Cab]))*Tabla2831323445[[#This Row],[Cabezas Cierre]]</f>
        <v>0</v>
      </c>
      <c r="AG152" s="31">
        <f>Tabla2831323445[[#This Row],[Kilos Cierre]]-Tabla2831323445[[#This Row],[Kilos Inicio]]</f>
        <v>0</v>
      </c>
      <c r="AH152" s="261">
        <f>IFERROR(Tabla2831323445[[#This Row],[Stock Inicio]]/Tabla2831323445[[#This Row],[Kilos Inicio]],0)</f>
        <v>0</v>
      </c>
      <c r="AI152" s="52">
        <f>IFERROR(Tabla2831323445[[#This Row],[Stock Cierre]]/Tabla2831323445[[#This Row],[Kilos Cierre]],0)</f>
        <v>0</v>
      </c>
      <c r="AJ152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Hacienda])*(Producción_Lecheria[Económico $Corrientes]))</f>
        <v>0</v>
      </c>
      <c r="AK152" s="9">
        <f>Tabla2831323445[[#This Row],[Kilos Inicio]]*Tabla2831323445[[#This Row],[U$S/Kg Cierre]]</f>
        <v>0</v>
      </c>
      <c r="AL152" s="31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Hacienda])*(Producción_Lecheria[Económico $Corrientes]))</f>
        <v>0</v>
      </c>
      <c r="AM152" s="257">
        <f>(Tabla2831323445[[#This Row],[Kilos Cierre]]+Tabla2831323445[[#This Row],[Kilos Inicio]])*Tabla2831323445[[#This Row],[U$S/Kg Cierre]]</f>
        <v>0</v>
      </c>
      <c r="AN152" s="10">
        <f>-Tabla2831323445[[#This Row],[Kilos Inicio]]*(Tabla2831323445[[#This Row],[U$S/Kg Cierre]]-Tabla2831323445[[#This Row],[U$S/Kg Inicio]])</f>
        <v>0</v>
      </c>
      <c r="AV152" s="245">
        <f>IFERROR(MATCH(Tabla283132344554[[#This Row],[Categorías Hacienda]],Produccion_Lecheria[Categoría],0),0)</f>
        <v>0</v>
      </c>
      <c r="AW152" s="32">
        <f>Tabla28313234[[#This Row],[Categorías Hacienda]]</f>
        <v>0</v>
      </c>
      <c r="AX152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Hacienda])*(Producción_Lecheria[Cabezas]))</f>
        <v>0</v>
      </c>
      <c r="AY152" s="9">
        <f>SUMPRODUCT(($F$4=Producción_Lecheria[C. Costo Reporte])*(Económico!$F$5=Producción_Lecheria[Campaña])*(Producción_Lecheria[Cuenta Contable]=Económico!$P$141)*(Tabla283132344554[[#This Row],[Categorías Hacienda]]=Producción_Lecheria[Categoría Hacienda])*(Producción_Lecheria[Cabezas]))</f>
        <v>0</v>
      </c>
      <c r="AZ152" s="31">
        <f>Tabla283132344554[[#This Row],[Cabezas Cierre]]-Tabla283132344554[[#This Row],[Cabezas Inicio]]</f>
        <v>0</v>
      </c>
      <c r="BA152" s="30">
        <f>SUMPRODUCT(($F$4=Producción_Lecheria[C. Costo Reporte])*(Económico!$F$5=Producción_Lecheria[Campaña])*(Producción_Lecheria[Cuenta Contable]=Económico!$N$97)*(Tabla283132344554[[#This Row],[Categorías Hacienda]]=Producción_Lecheria[Categoría Hacienda])*(Producción_Lecheria[Kg/Cab]))*Tabla283132344554[[#This Row],[Cabezas Inicio]]</f>
        <v>0</v>
      </c>
      <c r="BB152" s="9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Hacienda])*(Producción_Lecheria[Kg/Cab]))*Tabla283132344554[[#This Row],[Cabezas Cierre]]</f>
        <v>0</v>
      </c>
      <c r="BC152" s="31">
        <f>Tabla283132344554[[#This Row],[Kilos Cierre]]-Tabla283132344554[[#This Row],[Kilos Inicio]]</f>
        <v>0</v>
      </c>
      <c r="BD152" s="261">
        <f>IFERROR(Tabla283132344554[[#This Row],[Stock Inicio]]/Tabla283132344554[[#This Row],[Kilos Inicio]],0)</f>
        <v>0</v>
      </c>
      <c r="BE152" s="52">
        <f>IFERROR(Tabla283132344554[[#This Row],[Stock Cierre]]/Tabla283132344554[[#This Row],[Kilos Cierre]],0)</f>
        <v>0</v>
      </c>
      <c r="BF152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Hacienda])*(Producción_Lecheria[Económico $Constantes]))</f>
        <v>0</v>
      </c>
      <c r="BG152" s="9">
        <f>Tabla283132344554[[#This Row],[Kilos Inicio]]*Tabla283132344554[[#This Row],[U$S/Kg Cierre]]</f>
        <v>0</v>
      </c>
      <c r="BH152" s="31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Hacienda])*(Producción_Lecheria[Económico $Constantes]))</f>
        <v>0</v>
      </c>
      <c r="BI152" s="257">
        <f>(Tabla283132344554[[#This Row],[Kilos Cierre]]+Tabla283132344554[[#This Row],[Kilos Inicio]])*Tabla283132344554[[#This Row],[U$S/Kg Cierre]]</f>
        <v>0</v>
      </c>
      <c r="BJ152" s="10">
        <f>-Tabla283132344554[[#This Row],[Kilos Inicio]]*(Tabla283132344554[[#This Row],[U$S/Kg Cierre]]-Tabla283132344554[[#This Row],[U$S/Kg Inicio]])</f>
        <v>0</v>
      </c>
    </row>
    <row r="153" spans="2:62" x14ac:dyDescent="0.25">
      <c r="B153" s="241" t="s">
        <v>101</v>
      </c>
      <c r="D153" s="245">
        <f>IFERROR(MATCH(Tabla28313234[[#This Row],[Categorías Hacienda]],Produccion_Lecheria[Categoría],0),0)</f>
        <v>0</v>
      </c>
      <c r="E153" s="462" t="s">
        <v>518</v>
      </c>
      <c r="F153" s="30">
        <f>SUM(F142:F152)-SUMPRODUCT(($F$4=Producción_Lecheria[C. Costo Reporte])*(Económico!$F$5=Producción_Lecheria[Campaña])*(Producción_Lecheria[Cuenta Contable]=Económico!$N$141)*(Producción_Lecheria[Cabezas]))</f>
        <v>0</v>
      </c>
      <c r="G153" s="9">
        <f>SUM(G142:G152)-SUMPRODUCT(($F$4=Producción_Lecheria[C. Costo Reporte])*(Económico!$F$5=Producción_Lecheria[Campaña])*(Producción_Lecheria[Cuenta Contable]=Económico!$P$141)*(Producción_Lecheria[Cabezas]))</f>
        <v>0</v>
      </c>
      <c r="H153" s="31">
        <f>Tabla28313234[[#This Row],[Cabezas Cierre]]-Tabla28313234[[#This Row],[Cabezas Inicio]]</f>
        <v>0</v>
      </c>
      <c r="I153" s="30">
        <f>SUMPRODUCT(($F$4=Producción_Lecheria[C. Costo Reporte])*(Económico!$F$5=Producción_Lecheria[Campaña])*(Producción_Lecheria[Cuenta Contable]=Económico!$N$97)*(Tabla28313234[[#This Row],[Categorías Hacienda]]=Producción_Lecheria[Categoría Hacienda])*(Producción_Lecheria[Kg/Cab]))*Tabla28313234[[#This Row],[Cabezas Inicio]]</f>
        <v>0</v>
      </c>
      <c r="J153" s="9">
        <f>SUMPRODUCT(($F$4=Producción_Lecheria[C. Costo Reporte])*(Económico!$F$5=Producción_Lecheria[Campaña])*(Producción_Lecheria[Cuenta Contable]=Económico!$P$97)*(Tabla28313234[[#This Row],[Categorías Hacienda]]=Producción_Lecheria[Categoría Hacienda])*(Producción_Lecheria[Kg/Cab]))*Tabla28313234[[#This Row],[Cabezas Cierre]]</f>
        <v>0</v>
      </c>
      <c r="K153" s="31">
        <f>Tabla28313234[[#This Row],[Kilos Cierre]]-Tabla28313234[[#This Row],[Kilos Inicio]]</f>
        <v>0</v>
      </c>
      <c r="L153" s="261">
        <f>IFERROR(Tabla28313234[[#This Row],[Stock Inicio]]/Tabla28313234[[#This Row],[Kilos Inicio]],0)</f>
        <v>0</v>
      </c>
      <c r="M153" s="52">
        <f>IFERROR(Tabla28313234[[#This Row],[Stock Cierre]]/Tabla28313234[[#This Row],[Kilos Cierre]],0)</f>
        <v>0</v>
      </c>
      <c r="N153" s="30">
        <f>SUMPRODUCT(($F$4=Producción_Lecheria[C. Costo Reporte])*(Económico!$F$5=Producción_Lecheria[Campaña])*(Producción_Lecheria[Cuenta Contable]=Económico!$N$141)*(Tabla28313234[[#This Row],[Categorías Hacienda]]=Producción_Lecheria[Categoría Hacienda])*(Producción_Lecheria[Económico U$S Dólares]))</f>
        <v>0</v>
      </c>
      <c r="O153" s="9">
        <f>Tabla28313234[[#This Row],[Kilos Inicio]]*Tabla28313234[[#This Row],[U$S/Kg Cierre]]</f>
        <v>0</v>
      </c>
      <c r="P153" s="31">
        <f>SUM(P142:P152)-SUMPRODUCT(($F$4=Producción_Lecheria[C. Costo Reporte])*(Económico!$F$5=Producción_Lecheria[Campaña])*(Producción_Lecheria[Cuenta Contable]=Económico!$P$97)*(Producción_Lecheria[Económico U$S Dólares]))</f>
        <v>0</v>
      </c>
      <c r="Q153" s="257">
        <f>(Tabla28313234[[#This Row],[Kilos Cierre]]+Tabla28313234[[#This Row],[Kilos Inicio]])*Tabla28313234[[#This Row],[U$S/Kg Cierre]]</f>
        <v>0</v>
      </c>
      <c r="R153" s="10">
        <f>-Tabla28313234[[#This Row],[Kilos Inicio]]*(Tabla28313234[[#This Row],[U$S/Kg Cierre]]-Tabla28313234[[#This Row],[U$S/Kg Inicio]])</f>
        <v>0</v>
      </c>
      <c r="X153" s="241" t="s">
        <v>101</v>
      </c>
      <c r="Z153" s="245">
        <f>IFERROR(MATCH(Tabla2831323445[[#This Row],[Categorías Hacienda]],Produccion_Lecheria[Categoría],0),0)</f>
        <v>0</v>
      </c>
      <c r="AA153" s="32" t="str">
        <f>Tabla28313234[[#This Row],[Categorías Hacienda]]</f>
        <v>No Imputado</v>
      </c>
      <c r="AB153" s="30">
        <f>SUM(AB142:AB152)-SUMPRODUCT(($F$4=Producción_Lecheria[C. Costo Reporte])*(Económico!$F$5=Producción_Lecheria[Campaña])*(Producción_Lecheria[Cuenta Contable]=Económico!$N$141)*(Producción_Lecheria[Cabezas]))</f>
        <v>0</v>
      </c>
      <c r="AC153" s="9">
        <f>SUM(AC142:AC152)-SUMPRODUCT(($F$4=Producción_Lecheria[C. Costo Reporte])*(Económico!$F$5=Producción_Lecheria[Campaña])*(Producción_Lecheria[Cuenta Contable]=Económico!$P$141)*(Producción_Lecheria[Cabezas]))</f>
        <v>0</v>
      </c>
      <c r="AD153" s="31">
        <f>Tabla2831323445[[#This Row],[Cabezas Cierre]]-Tabla2831323445[[#This Row],[Cabezas Inicio]]</f>
        <v>0</v>
      </c>
      <c r="AE153" s="30">
        <f>SUMPRODUCT(($F$4=Producción_Lecheria[C. Costo Reporte])*(Económico!$F$5=Producción_Lecheria[Campaña])*(Producción_Lecheria[Cuenta Contable]=Económico!$N$97)*(Tabla2831323445[[#This Row],[Categorías Hacienda]]=Producción_Lecheria[Categoría Hacienda])*(Producción_Lecheria[Kg/Cab]))*Tabla2831323445[[#This Row],[Cabezas Inicio]]</f>
        <v>0</v>
      </c>
      <c r="AF153" s="9">
        <f>SUMPRODUCT(($F$4=Producción_Lecheria[C. Costo Reporte])*(Económico!$F$5=Producción_Lecheria[Campaña])*(Producción_Lecheria[Cuenta Contable]=Económico!$P$97)*(Tabla2831323445[[#This Row],[Categorías Hacienda]]=Producción_Lecheria[Categoría Hacienda])*(Producción_Lecheria[Kg/Cab]))*Tabla2831323445[[#This Row],[Cabezas Cierre]]</f>
        <v>0</v>
      </c>
      <c r="AG153" s="31">
        <f>Tabla2831323445[[#This Row],[Kilos Cierre]]-Tabla2831323445[[#This Row],[Kilos Inicio]]</f>
        <v>0</v>
      </c>
      <c r="AH153" s="261">
        <f>IFERROR(Tabla2831323445[[#This Row],[Stock Inicio]]/Tabla2831323445[[#This Row],[Kilos Inicio]],0)</f>
        <v>0</v>
      </c>
      <c r="AI153" s="52">
        <f>IFERROR(Tabla2831323445[[#This Row],[Stock Cierre]]/Tabla2831323445[[#This Row],[Kilos Cierre]],0)</f>
        <v>0</v>
      </c>
      <c r="AJ153" s="30">
        <f>SUMPRODUCT(($F$4=Producción_Lecheria[C. Costo Reporte])*(Económico!$F$5=Producción_Lecheria[Campaña])*(Producción_Lecheria[Cuenta Contable]=Económico!$N$141)*(Tabla2831323445[[#This Row],[Categorías Hacienda]]=Producción_Lecheria[Categoría Hacienda])*(Producción_Lecheria[Económico $Corrientes]))</f>
        <v>0</v>
      </c>
      <c r="AK153" s="9">
        <f>Tabla2831323445[[#This Row],[Kilos Inicio]]*Tabla2831323445[[#This Row],[U$S/Kg Cierre]]</f>
        <v>0</v>
      </c>
      <c r="AL153" s="31">
        <f>SUM(AL142:AL152)-SUMPRODUCT(($F$4=Producción_Lecheria[C. Costo Reporte])*(Económico!$F$5=Producción_Lecheria[Campaña])*(Producción_Lecheria[Cuenta Contable]=Económico!$P$97)*(Producción_Lecheria[Económico $Corrientes]))</f>
        <v>0</v>
      </c>
      <c r="AM153" s="257">
        <f>(Tabla2831323445[[#This Row],[Kilos Cierre]]+Tabla2831323445[[#This Row],[Kilos Inicio]])*Tabla2831323445[[#This Row],[U$S/Kg Cierre]]</f>
        <v>0</v>
      </c>
      <c r="AN153" s="10">
        <f>-Tabla2831323445[[#This Row],[Kilos Inicio]]*(Tabla2831323445[[#This Row],[U$S/Kg Cierre]]-Tabla2831323445[[#This Row],[U$S/Kg Inicio]])</f>
        <v>0</v>
      </c>
      <c r="AT153" s="241" t="s">
        <v>101</v>
      </c>
      <c r="AV153" s="245">
        <f>IFERROR(MATCH(Tabla283132344554[[#This Row],[Categorías Hacienda]],Produccion_Lecheria[Categoría],0),0)</f>
        <v>0</v>
      </c>
      <c r="AW153" s="32" t="str">
        <f>Tabla28313234[[#This Row],[Categorías Hacienda]]</f>
        <v>No Imputado</v>
      </c>
      <c r="AX153" s="30">
        <f>SUM(AX142:AX152)-SUMPRODUCT(($F$4=Producción_Lecheria[C. Costo Reporte])*(Económico!$F$5=Producción_Lecheria[Campaña])*(Producción_Lecheria[Cuenta Contable]=Económico!$N$141)*(Producción_Lecheria[Cabezas]))</f>
        <v>0</v>
      </c>
      <c r="AY153" s="9">
        <f>SUM(AY142:AY152)-SUMPRODUCT(($F$4=Producción_Lecheria[C. Costo Reporte])*(Económico!$F$5=Producción_Lecheria[Campaña])*(Producción_Lecheria[Cuenta Contable]=Económico!$P$141)*(Producción_Lecheria[Cabezas]))</f>
        <v>0</v>
      </c>
      <c r="AZ153" s="31">
        <f>Tabla283132344554[[#This Row],[Cabezas Cierre]]-Tabla283132344554[[#This Row],[Cabezas Inicio]]</f>
        <v>0</v>
      </c>
      <c r="BA153" s="30">
        <f>SUMPRODUCT(($F$4=Producción_Lecheria[C. Costo Reporte])*(Económico!$F$5=Producción_Lecheria[Campaña])*(Producción_Lecheria[Cuenta Contable]=Económico!$N$97)*(Tabla283132344554[[#This Row],[Categorías Hacienda]]=Producción_Lecheria[Categoría Hacienda])*(Producción_Lecheria[Kg/Cab]))*Tabla283132344554[[#This Row],[Cabezas Inicio]]</f>
        <v>0</v>
      </c>
      <c r="BB153" s="9">
        <f>SUMPRODUCT(($F$4=Producción_Lecheria[C. Costo Reporte])*(Económico!$F$5=Producción_Lecheria[Campaña])*(Producción_Lecheria[Cuenta Contable]=Económico!$P$97)*(Tabla283132344554[[#This Row],[Categorías Hacienda]]=Producción_Lecheria[Categoría Hacienda])*(Producción_Lecheria[Kg/Cab]))*Tabla283132344554[[#This Row],[Cabezas Cierre]]</f>
        <v>0</v>
      </c>
      <c r="BC153" s="31">
        <f>Tabla283132344554[[#This Row],[Kilos Cierre]]-Tabla283132344554[[#This Row],[Kilos Inicio]]</f>
        <v>0</v>
      </c>
      <c r="BD153" s="261">
        <f>IFERROR(Tabla283132344554[[#This Row],[Stock Inicio]]/Tabla283132344554[[#This Row],[Kilos Inicio]],0)</f>
        <v>0</v>
      </c>
      <c r="BE153" s="52">
        <f>IFERROR(Tabla283132344554[[#This Row],[Stock Cierre]]/Tabla283132344554[[#This Row],[Kilos Cierre]],0)</f>
        <v>0</v>
      </c>
      <c r="BF153" s="30">
        <f>SUMPRODUCT(($F$4=Producción_Lecheria[C. Costo Reporte])*(Económico!$F$5=Producción_Lecheria[Campaña])*(Producción_Lecheria[Cuenta Contable]=Económico!$N$141)*(Tabla283132344554[[#This Row],[Categorías Hacienda]]=Producción_Lecheria[Categoría Hacienda])*(Producción_Lecheria[Económico $Constantes]))</f>
        <v>0</v>
      </c>
      <c r="BG153" s="9">
        <f>Tabla283132344554[[#This Row],[Kilos Inicio]]*Tabla283132344554[[#This Row],[U$S/Kg Cierre]]</f>
        <v>0</v>
      </c>
      <c r="BH153" s="31">
        <f>SUM(BH142:BH152)-SUMPRODUCT(($F$4=Producción_Lecheria[C. Costo Reporte])*(Económico!$F$5=Producción_Lecheria[Campaña])*(Producción_Lecheria[Cuenta Contable]=Económico!$P$97)*(Producción_Lecheria[Económico $Constantes]))</f>
        <v>0</v>
      </c>
      <c r="BI153" s="257">
        <f>(Tabla283132344554[[#This Row],[Kilos Cierre]]+Tabla283132344554[[#This Row],[Kilos Inicio]])*Tabla283132344554[[#This Row],[U$S/Kg Cierre]]</f>
        <v>0</v>
      </c>
      <c r="BJ153" s="10">
        <f>-Tabla283132344554[[#This Row],[Kilos Inicio]]*(Tabla283132344554[[#This Row],[U$S/Kg Cierre]]-Tabla283132344554[[#This Row],[U$S/Kg Inicio]])</f>
        <v>0</v>
      </c>
    </row>
    <row r="154" spans="2:62" x14ac:dyDescent="0.25">
      <c r="E154" s="92" t="s">
        <v>52</v>
      </c>
      <c r="F154" s="253">
        <f>SUBTOTAL(109,Tabla28313234[Cabezas Inicio])</f>
        <v>0</v>
      </c>
      <c r="G154" s="254">
        <f>SUBTOTAL(109,Tabla28313234[Cabezas Cierre])</f>
        <v>0</v>
      </c>
      <c r="H154" s="255">
        <f>SUBTOTAL(109,Tabla28313234[Diferencia Cabezas])</f>
        <v>0</v>
      </c>
      <c r="I154" s="253">
        <f>SUBTOTAL(109,Tabla28313234[Kilos Inicio])</f>
        <v>0</v>
      </c>
      <c r="J154" s="254">
        <f>SUBTOTAL(109,Tabla28313234[Kilos Cierre])</f>
        <v>0</v>
      </c>
      <c r="K154" s="255">
        <f>SUBTOTAL(109,Tabla28313234[Diferencia Kilos])</f>
        <v>0</v>
      </c>
      <c r="L154" s="262">
        <f>IFERROR(Tabla28313234[[#Totals],[Stock Inicio]]/Tabla28313234[[#Totals],[Kilos Inicio]],0)</f>
        <v>0</v>
      </c>
      <c r="M154" s="263">
        <f>IFERROR(Tabla28313234[[#Totals],[Stock Cierre]]/Tabla28313234[[#Totals],[Kilos Cierre]],0)</f>
        <v>0</v>
      </c>
      <c r="N154" s="253">
        <f>SUBTOTAL(109,Tabla28313234[Stock Inicio])</f>
        <v>0</v>
      </c>
      <c r="O154" s="254">
        <f>SUBTOTAL(109,Tabla28313234[Stock Inicio (Cierre)])</f>
        <v>0</v>
      </c>
      <c r="P154" s="256">
        <f>SUBTOTAL(109,Tabla28313234[Stock Cierre])</f>
        <v>0</v>
      </c>
      <c r="Q154" s="258">
        <f>SUBTOTAL(109,Tabla28313234[Dif. Inventario])</f>
        <v>0</v>
      </c>
      <c r="R154" s="250">
        <f>SUBTOTAL(109,Tabla28313234[Tenencia])</f>
        <v>0</v>
      </c>
      <c r="AA154" s="412" t="s">
        <v>52</v>
      </c>
      <c r="AB154" s="253">
        <f>SUBTOTAL(109,Tabla2831323445[Cabezas Inicio])</f>
        <v>0</v>
      </c>
      <c r="AC154" s="254">
        <f>SUBTOTAL(109,Tabla2831323445[Cabezas Cierre])</f>
        <v>0</v>
      </c>
      <c r="AD154" s="255">
        <f>SUBTOTAL(109,Tabla2831323445[Diferencia Cabezas])</f>
        <v>0</v>
      </c>
      <c r="AE154" s="253">
        <f>SUBTOTAL(109,Tabla2831323445[Kilos Inicio])</f>
        <v>0</v>
      </c>
      <c r="AF154" s="254">
        <f>SUBTOTAL(109,Tabla2831323445[Kilos Cierre])</f>
        <v>0</v>
      </c>
      <c r="AG154" s="255">
        <f>SUBTOTAL(109,Tabla2831323445[Diferencia Kilos])</f>
        <v>0</v>
      </c>
      <c r="AH154" s="262">
        <f>IFERROR(Tabla2831323445[[#Totals],[Stock Inicio]]/Tabla2831323445[[#Totals],[Kilos Inicio]],0)</f>
        <v>0</v>
      </c>
      <c r="AI154" s="263">
        <f>IFERROR(Tabla2831323445[[#Totals],[Stock Cierre]]/Tabla2831323445[[#Totals],[Kilos Cierre]],0)</f>
        <v>0</v>
      </c>
      <c r="AJ154" s="253">
        <f>SUBTOTAL(109,Tabla2831323445[Stock Inicio])</f>
        <v>0</v>
      </c>
      <c r="AK154" s="254">
        <f>SUBTOTAL(109,Tabla2831323445[Stock Inicio (Cierre)])</f>
        <v>0</v>
      </c>
      <c r="AL154" s="256">
        <f>SUBTOTAL(109,Tabla2831323445[Stock Cierre])</f>
        <v>0</v>
      </c>
      <c r="AM154" s="258">
        <f>SUBTOTAL(109,Tabla2831323445[Dif. Inventario])</f>
        <v>0</v>
      </c>
      <c r="AN154" s="250">
        <f>SUBTOTAL(109,Tabla2831323445[Tenencia])</f>
        <v>0</v>
      </c>
      <c r="AW154" s="412" t="s">
        <v>52</v>
      </c>
      <c r="AX154" s="253">
        <f>SUBTOTAL(109,Tabla283132344554[Cabezas Inicio])</f>
        <v>0</v>
      </c>
      <c r="AY154" s="254">
        <f>SUBTOTAL(109,Tabla283132344554[Cabezas Cierre])</f>
        <v>0</v>
      </c>
      <c r="AZ154" s="255">
        <f>SUBTOTAL(109,Tabla283132344554[Diferencia Cabezas])</f>
        <v>0</v>
      </c>
      <c r="BA154" s="253">
        <f>SUBTOTAL(109,Tabla283132344554[Kilos Inicio])</f>
        <v>0</v>
      </c>
      <c r="BB154" s="254">
        <f>SUBTOTAL(109,Tabla283132344554[Kilos Cierre])</f>
        <v>0</v>
      </c>
      <c r="BC154" s="255">
        <f>SUBTOTAL(109,Tabla283132344554[Diferencia Kilos])</f>
        <v>0</v>
      </c>
      <c r="BD154" s="262">
        <f>IFERROR(Tabla283132344554[[#Totals],[Stock Inicio]]/Tabla283132344554[[#Totals],[Kilos Inicio]],0)</f>
        <v>0</v>
      </c>
      <c r="BE154" s="263">
        <f>IFERROR(Tabla283132344554[[#Totals],[Stock Cierre]]/Tabla283132344554[[#Totals],[Kilos Cierre]],0)</f>
        <v>0</v>
      </c>
      <c r="BF154" s="253">
        <f>SUBTOTAL(109,Tabla283132344554[Stock Inicio])</f>
        <v>0</v>
      </c>
      <c r="BG154" s="254">
        <f>SUBTOTAL(109,Tabla283132344554[Stock Inicio (Cierre)])</f>
        <v>0</v>
      </c>
      <c r="BH154" s="256">
        <f>SUBTOTAL(109,Tabla283132344554[Stock Cierre])</f>
        <v>0</v>
      </c>
      <c r="BI154" s="258">
        <f>SUBTOTAL(109,Tabla283132344554[Dif. Inventario])</f>
        <v>0</v>
      </c>
      <c r="BJ154" s="250">
        <f>SUBTOTAL(109,Tabla283132344554[Tenencia])</f>
        <v>0</v>
      </c>
    </row>
    <row r="157" spans="2:62" x14ac:dyDescent="0.25">
      <c r="E157" t="s">
        <v>78</v>
      </c>
      <c r="F157" s="266" t="s">
        <v>140</v>
      </c>
      <c r="G157" s="272" t="s">
        <v>270</v>
      </c>
      <c r="H157" s="270" t="s">
        <v>274</v>
      </c>
      <c r="I157" s="270" t="s">
        <v>275</v>
      </c>
      <c r="J157" s="266" t="s">
        <v>278</v>
      </c>
      <c r="K157" s="23" t="s">
        <v>273</v>
      </c>
      <c r="L157" s="23" t="s">
        <v>276</v>
      </c>
      <c r="M157" s="272" t="s">
        <v>277</v>
      </c>
      <c r="AA157" s="32" t="s">
        <v>78</v>
      </c>
      <c r="AB157" s="266" t="s">
        <v>140</v>
      </c>
      <c r="AC157" s="272" t="s">
        <v>270</v>
      </c>
      <c r="AD157" s="270" t="s">
        <v>274</v>
      </c>
      <c r="AE157" s="270" t="s">
        <v>275</v>
      </c>
      <c r="AF157" s="266" t="s">
        <v>278</v>
      </c>
      <c r="AG157" s="23" t="s">
        <v>273</v>
      </c>
      <c r="AH157" s="23" t="s">
        <v>276</v>
      </c>
      <c r="AI157" s="272" t="s">
        <v>277</v>
      </c>
      <c r="AW157" s="32" t="s">
        <v>78</v>
      </c>
      <c r="AX157" s="266" t="s">
        <v>140</v>
      </c>
      <c r="AY157" s="272" t="s">
        <v>270</v>
      </c>
      <c r="AZ157" s="270" t="s">
        <v>274</v>
      </c>
      <c r="BA157" s="270" t="s">
        <v>275</v>
      </c>
      <c r="BB157" s="266" t="s">
        <v>278</v>
      </c>
      <c r="BC157" s="23" t="s">
        <v>273</v>
      </c>
      <c r="BD157" s="23" t="s">
        <v>276</v>
      </c>
      <c r="BE157" s="272" t="s">
        <v>277</v>
      </c>
    </row>
    <row r="158" spans="2:62" x14ac:dyDescent="0.25">
      <c r="D158" s="245">
        <f>IFERROR(MATCH(Tabla3235[[#This Row],[Cuenta Contable]],Produccion_Lecheria_Cuentas[Cuenta Contable],0),0)</f>
        <v>1</v>
      </c>
      <c r="E158" s="32" t="str">
        <f>Configuración!BG5</f>
        <v>Stock Inicio</v>
      </c>
      <c r="F158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58" s="31">
        <f>IFERROR(Tabla3235[[#This Row],[Prod. Carne]]/Tabla3235[[#This Row],[Cab]],0)</f>
        <v>0</v>
      </c>
      <c r="H158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58" s="257"/>
      <c r="J158" s="30">
        <f>Tabla28313234[[#Totals],[Stock Inicio (Cierre)]]</f>
        <v>0</v>
      </c>
      <c r="K158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58" s="9">
        <f>IFERROR(Tabla3235[[#This Row],[U$S Total]]/Tabla3235[[#Totals],[Litros]],0)</f>
        <v>0</v>
      </c>
      <c r="M158" s="31">
        <f t="array" ref="M158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Z158" s="245">
        <f>IFERROR(MATCH(Tabla323546[[#This Row],[Cuenta Contable]],Produccion_Lecheria_Cuentas[Cuenta Contable],0),0)</f>
        <v>1</v>
      </c>
      <c r="AA158" s="32" t="str">
        <f>Tabla3235[[#This Row],[Cuenta Contable]]</f>
        <v>Stock Inicio</v>
      </c>
      <c r="AB158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58" s="31">
        <f>IFERROR(Tabla323546[[#This Row],[Prod. Carne]]/Tabla323546[[#This Row],[Cab]],0)</f>
        <v>0</v>
      </c>
      <c r="AD158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58" s="257"/>
      <c r="AF158" s="30">
        <f>Tabla2831323445[[#Totals],[Stock Inicio (Cierre)]]</f>
        <v>0</v>
      </c>
      <c r="AG158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58" s="9">
        <f>IFERROR(Tabla323546[[#This Row],[U$S Total]]/Tabla323546[[#Totals],[Litros]],0)</f>
        <v>0</v>
      </c>
      <c r="AI158" s="31">
        <f t="array" ref="AI158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V158" s="245">
        <f>IFERROR(MATCH(Tabla32354655[[#This Row],[Cuenta Contable]],Produccion_Lecheria_Cuentas[Cuenta Contable],0),0)</f>
        <v>1</v>
      </c>
      <c r="AW158" s="32" t="str">
        <f>Tabla3235[[#This Row],[Cuenta Contable]]</f>
        <v>Stock Inicio</v>
      </c>
      <c r="AX158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58" s="31">
        <f>IFERROR(Tabla32354655[[#This Row],[Prod. Carne]]/Tabla32354655[[#This Row],[Cab]],0)</f>
        <v>0</v>
      </c>
      <c r="AZ158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58" s="257"/>
      <c r="BB158" s="30">
        <f>Tabla283132344554[[#Totals],[Stock Inicio (Cierre)]]</f>
        <v>0</v>
      </c>
      <c r="BC158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58" s="9">
        <f>IFERROR(Tabla32354655[[#This Row],[U$S Total]]/Tabla32354655[[#Totals],[Litros]],0)</f>
        <v>0</v>
      </c>
      <c r="BE158" s="31">
        <f t="array" ref="BE158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</row>
    <row r="159" spans="2:62" x14ac:dyDescent="0.25">
      <c r="D159" s="245">
        <f>IFERROR(MATCH(Tabla3235[[#This Row],[Cuenta Contable]],Produccion_Lecheria_Cuentas[Cuenta Contable],0),0)</f>
        <v>2</v>
      </c>
      <c r="E159" s="32" t="str">
        <f>Configuración!BG6</f>
        <v>Stock Cierre</v>
      </c>
      <c r="F159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59" s="31">
        <f>IFERROR(Tabla3235[[#This Row],[Prod. Carne]]/Tabla3235[[#This Row],[Cab]],0)</f>
        <v>0</v>
      </c>
      <c r="H159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59" s="257"/>
      <c r="J159" s="30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59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59" s="9">
        <f>IFERROR(Tabla3235[[#This Row],[U$S Total]]/Tabla3235[[#Totals],[Litros]],0)</f>
        <v>0</v>
      </c>
      <c r="M159" s="31">
        <f t="array" ref="M159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Z159" s="245">
        <f>IFERROR(MATCH(Tabla323546[[#This Row],[Cuenta Contable]],Produccion_Lecheria_Cuentas[Cuenta Contable],0),0)</f>
        <v>2</v>
      </c>
      <c r="AA159" s="32" t="str">
        <f>Tabla3235[[#This Row],[Cuenta Contable]]</f>
        <v>Stock Cierre</v>
      </c>
      <c r="AB159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59" s="31">
        <f>IFERROR(Tabla323546[[#This Row],[Prod. Carne]]/Tabla323546[[#This Row],[Cab]],0)</f>
        <v>0</v>
      </c>
      <c r="AD159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59" s="257"/>
      <c r="AF159" s="30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59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59" s="9">
        <f>IFERROR(Tabla323546[[#This Row],[U$S Total]]/Tabla323546[[#Totals],[Litros]],0)</f>
        <v>0</v>
      </c>
      <c r="AI159" s="31">
        <f t="array" ref="AI159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V159" s="245">
        <f>IFERROR(MATCH(Tabla32354655[[#This Row],[Cuenta Contable]],Produccion_Lecheria_Cuentas[Cuenta Contable],0),0)</f>
        <v>2</v>
      </c>
      <c r="AW159" s="32" t="str">
        <f>Tabla3235[[#This Row],[Cuenta Contable]]</f>
        <v>Stock Cierre</v>
      </c>
      <c r="AX159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59" s="31">
        <f>IFERROR(Tabla32354655[[#This Row],[Prod. Carne]]/Tabla32354655[[#This Row],[Cab]],0)</f>
        <v>0</v>
      </c>
      <c r="AZ159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59" s="257"/>
      <c r="BB159" s="30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59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59" s="9">
        <f>IFERROR(Tabla32354655[[#This Row],[U$S Total]]/Tabla32354655[[#Totals],[Litros]],0)</f>
        <v>0</v>
      </c>
      <c r="BE159" s="31">
        <f t="array" ref="BE159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</row>
    <row r="160" spans="2:62" x14ac:dyDescent="0.25">
      <c r="D160" s="245">
        <f>IFERROR(MATCH(Tabla3235[[#This Row],[Cuenta Contable]],Produccion_Lecheria_Cuentas[Cuenta Contable],0),0)</f>
        <v>3</v>
      </c>
      <c r="E160" s="32" t="str">
        <f>Configuración!BG7</f>
        <v>Venta Hacienda</v>
      </c>
      <c r="F160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60" s="31">
        <f>IFERROR(Tabla3235[[#This Row],[Prod. Carne]]/Tabla3235[[#This Row],[Cab]],0)</f>
        <v>0</v>
      </c>
      <c r="H160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60" s="257"/>
      <c r="J160" s="30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60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60" s="9">
        <f>IFERROR(Tabla3235[[#This Row],[U$S Total]]/Tabla3235[[#Totals],[Litros]],0)</f>
        <v>0</v>
      </c>
      <c r="M160" s="31">
        <f t="array" ref="M160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Z160" s="245">
        <f>IFERROR(MATCH(Tabla323546[[#This Row],[Cuenta Contable]],Produccion_Lecheria_Cuentas[Cuenta Contable],0),0)</f>
        <v>3</v>
      </c>
      <c r="AA160" s="32" t="str">
        <f>Tabla3235[[#This Row],[Cuenta Contable]]</f>
        <v>Venta Hacienda</v>
      </c>
      <c r="AB160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60" s="31">
        <f>IFERROR(Tabla323546[[#This Row],[Prod. Carne]]/Tabla323546[[#This Row],[Cab]],0)</f>
        <v>0</v>
      </c>
      <c r="AD160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60" s="257"/>
      <c r="AF160" s="30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60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60" s="9">
        <f>IFERROR(Tabla323546[[#This Row],[U$S Total]]/Tabla323546[[#Totals],[Litros]],0)</f>
        <v>0</v>
      </c>
      <c r="AI160" s="31">
        <f t="array" ref="AI160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V160" s="245">
        <f>IFERROR(MATCH(Tabla32354655[[#This Row],[Cuenta Contable]],Produccion_Lecheria_Cuentas[Cuenta Contable],0),0)</f>
        <v>3</v>
      </c>
      <c r="AW160" s="32" t="str">
        <f>Tabla3235[[#This Row],[Cuenta Contable]]</f>
        <v>Venta Hacienda</v>
      </c>
      <c r="AX160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60" s="31">
        <f>IFERROR(Tabla32354655[[#This Row],[Prod. Carne]]/Tabla32354655[[#This Row],[Cab]],0)</f>
        <v>0</v>
      </c>
      <c r="AZ160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60" s="257"/>
      <c r="BB160" s="30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60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60" s="9">
        <f>IFERROR(Tabla32354655[[#This Row],[U$S Total]]/Tabla32354655[[#Totals],[Litros]],0)</f>
        <v>0</v>
      </c>
      <c r="BE160" s="31">
        <f t="array" ref="BE160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</row>
    <row r="161" spans="2:60" x14ac:dyDescent="0.25">
      <c r="D161" s="245">
        <f>IFERROR(MATCH(Tabla3235[[#This Row],[Cuenta Contable]],Produccion_Lecheria_Cuentas[Cuenta Contable],0),0)</f>
        <v>4</v>
      </c>
      <c r="E161" s="32" t="str">
        <f>Configuración!BG8</f>
        <v>Salida Traslados</v>
      </c>
      <c r="F161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61" s="31">
        <f>IFERROR(Tabla3235[[#This Row],[Prod. Carne]]/Tabla3235[[#This Row],[Cab]],0)</f>
        <v>0</v>
      </c>
      <c r="H161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61" s="257"/>
      <c r="J161" s="30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61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61" s="9">
        <f>IFERROR(Tabla3235[[#This Row],[U$S Total]]/Tabla3235[[#Totals],[Litros]],0)</f>
        <v>0</v>
      </c>
      <c r="M161" s="31">
        <f t="array" ref="M161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Z161" s="245">
        <f>IFERROR(MATCH(Tabla323546[[#This Row],[Cuenta Contable]],Produccion_Lecheria_Cuentas[Cuenta Contable],0),0)</f>
        <v>4</v>
      </c>
      <c r="AA161" s="32" t="str">
        <f>Tabla3235[[#This Row],[Cuenta Contable]]</f>
        <v>Salida Traslados</v>
      </c>
      <c r="AB161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61" s="31">
        <f>IFERROR(Tabla323546[[#This Row],[Prod. Carne]]/Tabla323546[[#This Row],[Cab]],0)</f>
        <v>0</v>
      </c>
      <c r="AD161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61" s="257"/>
      <c r="AF161" s="30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61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61" s="9">
        <f>IFERROR(Tabla323546[[#This Row],[U$S Total]]/Tabla323546[[#Totals],[Litros]],0)</f>
        <v>0</v>
      </c>
      <c r="AI161" s="31">
        <f t="array" ref="AI161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V161" s="245">
        <f>IFERROR(MATCH(Tabla32354655[[#This Row],[Cuenta Contable]],Produccion_Lecheria_Cuentas[Cuenta Contable],0),0)</f>
        <v>4</v>
      </c>
      <c r="AW161" s="32" t="str">
        <f>Tabla3235[[#This Row],[Cuenta Contable]]</f>
        <v>Salida Traslados</v>
      </c>
      <c r="AX161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61" s="31">
        <f>IFERROR(Tabla32354655[[#This Row],[Prod. Carne]]/Tabla32354655[[#This Row],[Cab]],0)</f>
        <v>0</v>
      </c>
      <c r="AZ161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61" s="257"/>
      <c r="BB161" s="30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61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61" s="9">
        <f>IFERROR(Tabla32354655[[#This Row],[U$S Total]]/Tabla32354655[[#Totals],[Litros]],0)</f>
        <v>0</v>
      </c>
      <c r="BE161" s="31">
        <f t="array" ref="BE161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</row>
    <row r="162" spans="2:60" x14ac:dyDescent="0.25">
      <c r="D162" s="245">
        <f>IFERROR(MATCH(Tabla3235[[#This Row],[Cuenta Contable]],Produccion_Lecheria_Cuentas[Cuenta Contable],0),0)</f>
        <v>7</v>
      </c>
      <c r="E162" s="32" t="str">
        <f>Configuración!BG11</f>
        <v>Compra Hacienda</v>
      </c>
      <c r="F162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62" s="31">
        <f>IFERROR(Tabla3235[[#This Row],[Prod. Carne]]/Tabla3235[[#This Row],[Cab]],0)</f>
        <v>0</v>
      </c>
      <c r="H162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62" s="257"/>
      <c r="J162" s="30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62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62" s="9">
        <f>IFERROR(Tabla3235[[#This Row],[U$S Total]]/Tabla3235[[#Totals],[Litros]],0)</f>
        <v>0</v>
      </c>
      <c r="M162" s="31">
        <f t="array" ref="M162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Z162" s="245">
        <f>IFERROR(MATCH(Tabla323546[[#This Row],[Cuenta Contable]],Produccion_Lecheria_Cuentas[Cuenta Contable],0),0)</f>
        <v>7</v>
      </c>
      <c r="AA162" s="32" t="str">
        <f>Tabla3235[[#This Row],[Cuenta Contable]]</f>
        <v>Compra Hacienda</v>
      </c>
      <c r="AB162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62" s="31">
        <f>IFERROR(Tabla323546[[#This Row],[Prod. Carne]]/Tabla323546[[#This Row],[Cab]],0)</f>
        <v>0</v>
      </c>
      <c r="AD162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62" s="257"/>
      <c r="AF162" s="30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62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62" s="9">
        <f>IFERROR(Tabla323546[[#This Row],[U$S Total]]/Tabla323546[[#Totals],[Litros]],0)</f>
        <v>0</v>
      </c>
      <c r="AI162" s="31">
        <f t="array" ref="AI162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V162" s="245">
        <f>IFERROR(MATCH(Tabla32354655[[#This Row],[Cuenta Contable]],Produccion_Lecheria_Cuentas[Cuenta Contable],0),0)</f>
        <v>7</v>
      </c>
      <c r="AW162" s="32" t="str">
        <f>Tabla3235[[#This Row],[Cuenta Contable]]</f>
        <v>Compra Hacienda</v>
      </c>
      <c r="AX162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62" s="31">
        <f>IFERROR(Tabla32354655[[#This Row],[Prod. Carne]]/Tabla32354655[[#This Row],[Cab]],0)</f>
        <v>0</v>
      </c>
      <c r="AZ162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62" s="257"/>
      <c r="BB162" s="30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62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62" s="9">
        <f>IFERROR(Tabla32354655[[#This Row],[U$S Total]]/Tabla32354655[[#Totals],[Litros]],0)</f>
        <v>0</v>
      </c>
      <c r="BE162" s="31">
        <f t="array" ref="BE162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</row>
    <row r="163" spans="2:60" x14ac:dyDescent="0.25">
      <c r="D163" s="245">
        <f>IFERROR(MATCH(Tabla3235[[#This Row],[Cuenta Contable]],Produccion_Lecheria_Cuentas[Cuenta Contable],0),0)</f>
        <v>8</v>
      </c>
      <c r="E163" s="32" t="str">
        <f>Configuración!BG12</f>
        <v>Entrada Traslados</v>
      </c>
      <c r="F163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63" s="31">
        <f>IFERROR(Tabla3235[[#This Row],[Prod. Carne]]/Tabla3235[[#This Row],[Cab]],0)</f>
        <v>0</v>
      </c>
      <c r="H163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63" s="257"/>
      <c r="J163" s="30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63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63" s="9">
        <f>IFERROR(Tabla3235[[#This Row],[U$S Total]]/Tabla3235[[#Totals],[Litros]],0)</f>
        <v>0</v>
      </c>
      <c r="M163" s="31">
        <f t="array" ref="M163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Z163" s="245">
        <f>IFERROR(MATCH(Tabla323546[[#This Row],[Cuenta Contable]],Produccion_Lecheria_Cuentas[Cuenta Contable],0),0)</f>
        <v>8</v>
      </c>
      <c r="AA163" s="32" t="str">
        <f>Tabla3235[[#This Row],[Cuenta Contable]]</f>
        <v>Entrada Traslados</v>
      </c>
      <c r="AB163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63" s="31">
        <f>IFERROR(Tabla323546[[#This Row],[Prod. Carne]]/Tabla323546[[#This Row],[Cab]],0)</f>
        <v>0</v>
      </c>
      <c r="AD163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63" s="257"/>
      <c r="AF163" s="30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63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63" s="9">
        <f>IFERROR(Tabla323546[[#This Row],[U$S Total]]/Tabla323546[[#Totals],[Litros]],0)</f>
        <v>0</v>
      </c>
      <c r="AI163" s="31">
        <f t="array" ref="AI163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V163" s="245">
        <f>IFERROR(MATCH(Tabla32354655[[#This Row],[Cuenta Contable]],Produccion_Lecheria_Cuentas[Cuenta Contable],0),0)</f>
        <v>8</v>
      </c>
      <c r="AW163" s="32" t="str">
        <f>Tabla3235[[#This Row],[Cuenta Contable]]</f>
        <v>Entrada Traslados</v>
      </c>
      <c r="AX163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63" s="31">
        <f>IFERROR(Tabla32354655[[#This Row],[Prod. Carne]]/Tabla32354655[[#This Row],[Cab]],0)</f>
        <v>0</v>
      </c>
      <c r="AZ163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63" s="257"/>
      <c r="BB163" s="30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63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63" s="9">
        <f>IFERROR(Tabla32354655[[#This Row],[U$S Total]]/Tabla32354655[[#Totals],[Litros]],0)</f>
        <v>0</v>
      </c>
      <c r="BE163" s="31">
        <f t="array" ref="BE163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</row>
    <row r="164" spans="2:60" x14ac:dyDescent="0.25">
      <c r="B164"/>
      <c r="D164" s="245">
        <f>IFERROR(MATCH(Tabla3235[[#This Row],[Cuenta Contable]],Produccion_Lecheria_Cuentas[Cuenta Contable],0),0)</f>
        <v>11</v>
      </c>
      <c r="E164" s="32" t="str">
        <f>Configuración!BG15</f>
        <v>G. Comerciales Venta</v>
      </c>
      <c r="F164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64" s="31">
        <f>IFERROR(Tabla3235[[#This Row],[Prod. Carne]]/Tabla3235[[#This Row],[Cab]],0)</f>
        <v>0</v>
      </c>
      <c r="H164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64" s="257"/>
      <c r="J164" s="30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64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64" s="9">
        <f>IFERROR(Tabla3235[[#This Row],[U$S Total]]/Tabla3235[[#Totals],[Litros]],0)</f>
        <v>0</v>
      </c>
      <c r="M164" s="31">
        <f t="array" ref="M164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N164"/>
      <c r="O164"/>
      <c r="X164"/>
      <c r="Z164" s="245">
        <f>IFERROR(MATCH(Tabla323546[[#This Row],[Cuenta Contable]],Produccion_Lecheria_Cuentas[Cuenta Contable],0),0)</f>
        <v>11</v>
      </c>
      <c r="AA164" s="32" t="str">
        <f>Tabla3235[[#This Row],[Cuenta Contable]]</f>
        <v>G. Comerciales Venta</v>
      </c>
      <c r="AB164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64" s="31">
        <f>IFERROR(Tabla323546[[#This Row],[Prod. Carne]]/Tabla323546[[#This Row],[Cab]],0)</f>
        <v>0</v>
      </c>
      <c r="AD164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64" s="257"/>
      <c r="AF164" s="30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64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64" s="9">
        <f>IFERROR(Tabla323546[[#This Row],[U$S Total]]/Tabla323546[[#Totals],[Litros]],0)</f>
        <v>0</v>
      </c>
      <c r="AI164" s="31">
        <f t="array" ref="AI164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J164"/>
      <c r="AK164"/>
      <c r="AT164"/>
      <c r="AV164" s="245">
        <f>IFERROR(MATCH(Tabla32354655[[#This Row],[Cuenta Contable]],Produccion_Lecheria_Cuentas[Cuenta Contable],0),0)</f>
        <v>11</v>
      </c>
      <c r="AW164" s="32" t="str">
        <f>Tabla3235[[#This Row],[Cuenta Contable]]</f>
        <v>G. Comerciales Venta</v>
      </c>
      <c r="AX164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64" s="31">
        <f>IFERROR(Tabla32354655[[#This Row],[Prod. Carne]]/Tabla32354655[[#This Row],[Cab]],0)</f>
        <v>0</v>
      </c>
      <c r="AZ164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64" s="257"/>
      <c r="BB164" s="30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64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64" s="9">
        <f>IFERROR(Tabla32354655[[#This Row],[U$S Total]]/Tabla32354655[[#Totals],[Litros]],0)</f>
        <v>0</v>
      </c>
      <c r="BE164" s="31">
        <f t="array" ref="BE164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  <c r="BF164"/>
      <c r="BG164"/>
    </row>
    <row r="165" spans="2:60" x14ac:dyDescent="0.25">
      <c r="B165"/>
      <c r="D165" s="245">
        <f>IFERROR(MATCH(Tabla3235[[#This Row],[Cuenta Contable]],Produccion_Lecheria_Cuentas[Cuenta Contable],0),0)</f>
        <v>12</v>
      </c>
      <c r="E165" s="219" t="str">
        <f>Configuración!BG16</f>
        <v>G. Comerciales Compra</v>
      </c>
      <c r="F165" s="277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65" s="278">
        <f>IFERROR(Tabla3235[[#This Row],[Prod. Carne]]/Tabla3235[[#This Row],[Cab]],0)</f>
        <v>0</v>
      </c>
      <c r="H165" s="279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65" s="279"/>
      <c r="J165" s="277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65" s="276">
        <f>IFERROR(Tabla3235[[#This Row],[U$S Total]]/IF($F$4=0,SUMPRODUCT((Tabla1924[Superficie])*($F$5=Tabla1924[Campaña])),SUMPRODUCT(($F$4=Tabla1924[Centro de Costo])*(Tabla1924[Superficie])*($F$5=Tabla1924[Campaña]))),0)</f>
        <v>0</v>
      </c>
      <c r="L165" s="276">
        <f>IFERROR(Tabla3235[[#This Row],[U$S Total]]/Tabla3235[[#Totals],[Litros]],0)</f>
        <v>0</v>
      </c>
      <c r="M165" s="278">
        <f t="array" ref="M165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N165"/>
      <c r="O165"/>
      <c r="X165"/>
      <c r="Z165" s="245">
        <f>IFERROR(MATCH(Tabla323546[[#This Row],[Cuenta Contable]],Produccion_Lecheria_Cuentas[Cuenta Contable],0),0)</f>
        <v>12</v>
      </c>
      <c r="AA165" s="219" t="str">
        <f>Tabla3235[[#This Row],[Cuenta Contable]]</f>
        <v>G. Comerciales Compra</v>
      </c>
      <c r="AB165" s="277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65" s="278">
        <f>IFERROR(Tabla323546[[#This Row],[Prod. Carne]]/Tabla323546[[#This Row],[Cab]],0)</f>
        <v>0</v>
      </c>
      <c r="AD165" s="279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65" s="279"/>
      <c r="AF165" s="277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65" s="276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65" s="276">
        <f>IFERROR(Tabla323546[[#This Row],[U$S Total]]/Tabla323546[[#Totals],[Litros]],0)</f>
        <v>0</v>
      </c>
      <c r="AI165" s="278">
        <f t="array" ref="AI165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J165"/>
      <c r="AK165"/>
      <c r="AT165"/>
      <c r="AV165" s="245">
        <f>IFERROR(MATCH(Tabla32354655[[#This Row],[Cuenta Contable]],Produccion_Lecheria_Cuentas[Cuenta Contable],0),0)</f>
        <v>12</v>
      </c>
      <c r="AW165" s="219" t="str">
        <f>Tabla3235[[#This Row],[Cuenta Contable]]</f>
        <v>G. Comerciales Compra</v>
      </c>
      <c r="AX165" s="277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65" s="278">
        <f>IFERROR(Tabla32354655[[#This Row],[Prod. Carne]]/Tabla32354655[[#This Row],[Cab]],0)</f>
        <v>0</v>
      </c>
      <c r="AZ165" s="279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65" s="279"/>
      <c r="BB165" s="277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65" s="276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65" s="276">
        <f>IFERROR(Tabla32354655[[#This Row],[U$S Total]]/Tabla32354655[[#Totals],[Litros]],0)</f>
        <v>0</v>
      </c>
      <c r="BE165" s="278">
        <f t="array" ref="BE165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  <c r="BF165"/>
      <c r="BG165"/>
    </row>
    <row r="166" spans="2:60" x14ac:dyDescent="0.25">
      <c r="B166"/>
      <c r="D166" s="245">
        <f>IFERROR(MATCH(Tabla3235[[#This Row],[Cuenta Contable]],Produccion_Lecheria_Cuentas[Cuenta Contable],0),0)</f>
        <v>13</v>
      </c>
      <c r="E166" s="219" t="str">
        <f>Configuración!BG17</f>
        <v>Venta de Leche</v>
      </c>
      <c r="F166" s="277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66" s="278">
        <f>IFERROR(Tabla3235[[#This Row],[Prod. Carne]]/Tabla3235[[#This Row],[Cab]],0)</f>
        <v>0</v>
      </c>
      <c r="H166" s="279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66" s="279">
        <f>SUMPRODUCT((Tabla3235[[#This Row],[Cuenta Contable]]=Producción_Lecheria[Cuenta Contable])*(Producción_Lecheria[Cantidad Total])*($F$4=Producción_Lecheria[C. Costo Reporte])*(Económico!$F$5=Producción_Lecheria[Campaña]))</f>
        <v>0</v>
      </c>
      <c r="J166" s="277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66" s="276">
        <f>IFERROR(Tabla3235[[#This Row],[U$S Total]]/IF($F$4=0,SUMPRODUCT((Tabla1924[Superficie])*($F$5=Tabla1924[Campaña])),SUMPRODUCT(($F$4=Tabla1924[Centro de Costo])*(Tabla1924[Superficie])*($F$5=Tabla1924[Campaña]))),0)</f>
        <v>0</v>
      </c>
      <c r="L166" s="276">
        <f>IFERROR(Tabla3235[[#This Row],[U$S Total]]/Tabla3235[[#Totals],[Litros]],0)</f>
        <v>0</v>
      </c>
      <c r="M166" s="278">
        <f t="array" ref="M166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N166"/>
      <c r="O166"/>
      <c r="X166"/>
      <c r="Z166" s="245">
        <f>IFERROR(MATCH(Tabla323546[[#This Row],[Cuenta Contable]],Produccion_Lecheria_Cuentas[Cuenta Contable],0),0)</f>
        <v>13</v>
      </c>
      <c r="AA166" s="219" t="str">
        <f>Tabla3235[[#This Row],[Cuenta Contable]]</f>
        <v>Venta de Leche</v>
      </c>
      <c r="AB166" s="277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66" s="278">
        <f>IFERROR(Tabla323546[[#This Row],[Prod. Carne]]/Tabla323546[[#This Row],[Cab]],0)</f>
        <v>0</v>
      </c>
      <c r="AD166" s="279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66" s="279">
        <f>SUMPRODUCT((Tabla323546[[#This Row],[Cuenta Contable]]=Producción_Lecheria[Cuenta Contable])*(Producción_Lecheria[Cantidad Total])*($F$4=Producción_Lecheria[C. Costo Reporte])*(Económico!$F$5=Producción_Lecheria[Campaña]))</f>
        <v>0</v>
      </c>
      <c r="AF166" s="277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66" s="276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66" s="276">
        <f>IFERROR(Tabla323546[[#This Row],[U$S Total]]/Tabla323546[[#Totals],[Litros]],0)</f>
        <v>0</v>
      </c>
      <c r="AI166" s="278">
        <f t="array" ref="AI166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J166"/>
      <c r="AK166"/>
      <c r="AT166"/>
      <c r="AV166" s="245">
        <f>IFERROR(MATCH(Tabla32354655[[#This Row],[Cuenta Contable]],Produccion_Lecheria_Cuentas[Cuenta Contable],0),0)</f>
        <v>13</v>
      </c>
      <c r="AW166" s="219" t="str">
        <f>Tabla3235[[#This Row],[Cuenta Contable]]</f>
        <v>Venta de Leche</v>
      </c>
      <c r="AX166" s="277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66" s="278">
        <f>IFERROR(Tabla32354655[[#This Row],[Prod. Carne]]/Tabla32354655[[#This Row],[Cab]],0)</f>
        <v>0</v>
      </c>
      <c r="AZ166" s="279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66" s="279">
        <f>SUMPRODUCT((Tabla32354655[[#This Row],[Cuenta Contable]]=Producción_Lecheria[Cuenta Contable])*(Producción_Lecheria[Cantidad Total])*($F$4=Producción_Lecheria[C. Costo Reporte])*(Económico!$F$5=Producción_Lecheria[Campaña]))</f>
        <v>0</v>
      </c>
      <c r="BB166" s="277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66" s="276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66" s="276">
        <f>IFERROR(Tabla32354655[[#This Row],[U$S Total]]/Tabla32354655[[#Totals],[Litros]],0)</f>
        <v>0</v>
      </c>
      <c r="BE166" s="278">
        <f t="array" ref="BE166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  <c r="BF166"/>
      <c r="BG166"/>
    </row>
    <row r="167" spans="2:60" x14ac:dyDescent="0.25">
      <c r="B167"/>
      <c r="D167" s="245">
        <f>IFERROR(MATCH(Tabla3235[[#This Row],[Cuenta Contable]],Produccion_Lecheria_Cuentas[Cuenta Contable],0),0)</f>
        <v>14</v>
      </c>
      <c r="E167" s="32" t="str">
        <f>Configuración!BG18</f>
        <v>Personal</v>
      </c>
      <c r="F167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67" s="31">
        <f>IFERROR(Tabla3235[[#This Row],[Prod. Carne]]/Tabla3235[[#This Row],[Cab]],0)</f>
        <v>0</v>
      </c>
      <c r="H167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67" s="257"/>
      <c r="J167" s="30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67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67" s="9">
        <f>IFERROR(Tabla3235[[#This Row],[U$S Total]]/Tabla3235[[#Totals],[Litros]],0)</f>
        <v>0</v>
      </c>
      <c r="M167" s="31">
        <f t="array" ref="M167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N167"/>
      <c r="O167"/>
      <c r="X167"/>
      <c r="Z167" s="245">
        <f>IFERROR(MATCH(Tabla323546[[#This Row],[Cuenta Contable]],Produccion_Lecheria_Cuentas[Cuenta Contable],0),0)</f>
        <v>14</v>
      </c>
      <c r="AA167" s="32" t="str">
        <f>Tabla3235[[#This Row],[Cuenta Contable]]</f>
        <v>Personal</v>
      </c>
      <c r="AB167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67" s="31">
        <f>IFERROR(Tabla323546[[#This Row],[Prod. Carne]]/Tabla323546[[#This Row],[Cab]],0)</f>
        <v>0</v>
      </c>
      <c r="AD167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67" s="257"/>
      <c r="AF167" s="30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67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67" s="9">
        <f>IFERROR(Tabla323546[[#This Row],[U$S Total]]/Tabla323546[[#Totals],[Litros]],0)</f>
        <v>0</v>
      </c>
      <c r="AI167" s="31">
        <f t="array" ref="AI167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J167"/>
      <c r="AK167"/>
      <c r="AT167"/>
      <c r="AV167" s="245">
        <f>IFERROR(MATCH(Tabla32354655[[#This Row],[Cuenta Contable]],Produccion_Lecheria_Cuentas[Cuenta Contable],0),0)</f>
        <v>14</v>
      </c>
      <c r="AW167" s="32" t="str">
        <f>Tabla3235[[#This Row],[Cuenta Contable]]</f>
        <v>Personal</v>
      </c>
      <c r="AX167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67" s="31">
        <f>IFERROR(Tabla32354655[[#This Row],[Prod. Carne]]/Tabla32354655[[#This Row],[Cab]],0)</f>
        <v>0</v>
      </c>
      <c r="AZ167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67" s="257"/>
      <c r="BB167" s="30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67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67" s="9">
        <f>IFERROR(Tabla32354655[[#This Row],[U$S Total]]/Tabla32354655[[#Totals],[Litros]],0)</f>
        <v>0</v>
      </c>
      <c r="BE167" s="31">
        <f t="array" ref="BE167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  <c r="BF167"/>
      <c r="BG167"/>
    </row>
    <row r="168" spans="2:60" x14ac:dyDescent="0.25">
      <c r="B168"/>
      <c r="D168" s="245">
        <f>IFERROR(MATCH(Tabla3235[[#This Row],[Cuenta Contable]],Produccion_Lecheria_Cuentas[Cuenta Contable],0),0)</f>
        <v>15</v>
      </c>
      <c r="E168" s="32" t="str">
        <f>Configuración!BG19</f>
        <v>Cargas Sociales</v>
      </c>
      <c r="F168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68" s="31">
        <f>IFERROR(Tabla3235[[#This Row],[Prod. Carne]]/Tabla3235[[#This Row],[Cab]],0)</f>
        <v>0</v>
      </c>
      <c r="H168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68" s="257"/>
      <c r="J168" s="30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68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68" s="9">
        <f>IFERROR(Tabla3235[[#This Row],[U$S Total]]/Tabla3235[[#Totals],[Litros]],0)</f>
        <v>0</v>
      </c>
      <c r="M168" s="31">
        <f t="array" ref="M168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N168"/>
      <c r="O168"/>
      <c r="P168"/>
      <c r="X168"/>
      <c r="Z168" s="245">
        <f>IFERROR(MATCH(Tabla323546[[#This Row],[Cuenta Contable]],Produccion_Lecheria_Cuentas[Cuenta Contable],0),0)</f>
        <v>15</v>
      </c>
      <c r="AA168" s="32" t="str">
        <f>Tabla3235[[#This Row],[Cuenta Contable]]</f>
        <v>Cargas Sociales</v>
      </c>
      <c r="AB168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68" s="31">
        <f>IFERROR(Tabla323546[[#This Row],[Prod. Carne]]/Tabla323546[[#This Row],[Cab]],0)</f>
        <v>0</v>
      </c>
      <c r="AD168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68" s="257"/>
      <c r="AF168" s="30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68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68" s="9">
        <f>IFERROR(Tabla323546[[#This Row],[U$S Total]]/Tabla323546[[#Totals],[Litros]],0)</f>
        <v>0</v>
      </c>
      <c r="AI168" s="31">
        <f t="array" ref="AI168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J168"/>
      <c r="AK168"/>
      <c r="AL168"/>
      <c r="AT168"/>
      <c r="AV168" s="245">
        <f>IFERROR(MATCH(Tabla32354655[[#This Row],[Cuenta Contable]],Produccion_Lecheria_Cuentas[Cuenta Contable],0),0)</f>
        <v>15</v>
      </c>
      <c r="AW168" s="32" t="str">
        <f>Tabla3235[[#This Row],[Cuenta Contable]]</f>
        <v>Cargas Sociales</v>
      </c>
      <c r="AX168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68" s="31">
        <f>IFERROR(Tabla32354655[[#This Row],[Prod. Carne]]/Tabla32354655[[#This Row],[Cab]],0)</f>
        <v>0</v>
      </c>
      <c r="AZ168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68" s="257"/>
      <c r="BB168" s="30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68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68" s="9">
        <f>IFERROR(Tabla32354655[[#This Row],[U$S Total]]/Tabla32354655[[#Totals],[Litros]],0)</f>
        <v>0</v>
      </c>
      <c r="BE168" s="31">
        <f t="array" ref="BE168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  <c r="BF168"/>
      <c r="BG168"/>
      <c r="BH168"/>
    </row>
    <row r="169" spans="2:60" x14ac:dyDescent="0.25">
      <c r="B169"/>
      <c r="D169" s="245">
        <f>IFERROR(MATCH(Tabla3235[[#This Row],[Cuenta Contable]],Produccion_Lecheria_Cuentas[Cuenta Contable],0),0)</f>
        <v>16</v>
      </c>
      <c r="E169" s="32" t="str">
        <f>Configuración!BG20</f>
        <v>Manutención Personal</v>
      </c>
      <c r="F169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69" s="31">
        <f>IFERROR(Tabla3235[[#This Row],[Prod. Carne]]/Tabla3235[[#This Row],[Cab]],0)</f>
        <v>0</v>
      </c>
      <c r="H169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69" s="257"/>
      <c r="J169" s="30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69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69" s="9">
        <f>IFERROR(Tabla3235[[#This Row],[U$S Total]]/Tabla3235[[#Totals],[Litros]],0)</f>
        <v>0</v>
      </c>
      <c r="M169" s="31">
        <f t="array" ref="M169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N169"/>
      <c r="O169"/>
      <c r="P169"/>
      <c r="X169"/>
      <c r="Z169" s="245">
        <f>IFERROR(MATCH(Tabla323546[[#This Row],[Cuenta Contable]],Produccion_Lecheria_Cuentas[Cuenta Contable],0),0)</f>
        <v>16</v>
      </c>
      <c r="AA169" s="32" t="str">
        <f>Tabla3235[[#This Row],[Cuenta Contable]]</f>
        <v>Manutención Personal</v>
      </c>
      <c r="AB169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69" s="31">
        <f>IFERROR(Tabla323546[[#This Row],[Prod. Carne]]/Tabla323546[[#This Row],[Cab]],0)</f>
        <v>0</v>
      </c>
      <c r="AD169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69" s="257"/>
      <c r="AF169" s="30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69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69" s="9">
        <f>IFERROR(Tabla323546[[#This Row],[U$S Total]]/Tabla323546[[#Totals],[Litros]],0)</f>
        <v>0</v>
      </c>
      <c r="AI169" s="31">
        <f t="array" ref="AI169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J169"/>
      <c r="AK169"/>
      <c r="AL169"/>
      <c r="AT169"/>
      <c r="AV169" s="245">
        <f>IFERROR(MATCH(Tabla32354655[[#This Row],[Cuenta Contable]],Produccion_Lecheria_Cuentas[Cuenta Contable],0),0)</f>
        <v>16</v>
      </c>
      <c r="AW169" s="32" t="str">
        <f>Tabla3235[[#This Row],[Cuenta Contable]]</f>
        <v>Manutención Personal</v>
      </c>
      <c r="AX169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69" s="31">
        <f>IFERROR(Tabla32354655[[#This Row],[Prod. Carne]]/Tabla32354655[[#This Row],[Cab]],0)</f>
        <v>0</v>
      </c>
      <c r="AZ169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69" s="257"/>
      <c r="BB169" s="30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69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69" s="9">
        <f>IFERROR(Tabla32354655[[#This Row],[U$S Total]]/Tabla32354655[[#Totals],[Litros]],0)</f>
        <v>0</v>
      </c>
      <c r="BE169" s="31">
        <f t="array" ref="BE169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  <c r="BF169"/>
      <c r="BG169"/>
      <c r="BH169"/>
    </row>
    <row r="170" spans="2:60" x14ac:dyDescent="0.25">
      <c r="B170"/>
      <c r="D170" s="245">
        <f>IFERROR(MATCH(Tabla3235[[#This Row],[Cuenta Contable]],Produccion_Lecheria_Cuentas[Cuenta Contable],0),0)</f>
        <v>17</v>
      </c>
      <c r="E170" s="32" t="str">
        <f>Configuración!BG21</f>
        <v>Sanidad Productos</v>
      </c>
      <c r="F170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70" s="31">
        <f>IFERROR(Tabla3235[[#This Row],[Prod. Carne]]/Tabla3235[[#This Row],[Cab]],0)</f>
        <v>0</v>
      </c>
      <c r="H170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70" s="257"/>
      <c r="J170" s="30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70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70" s="9">
        <f>IFERROR(Tabla3235[[#This Row],[U$S Total]]/Tabla3235[[#Totals],[Litros]],0)</f>
        <v>0</v>
      </c>
      <c r="M170" s="31">
        <f t="array" ref="M170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N170"/>
      <c r="O170"/>
      <c r="P170"/>
      <c r="X170"/>
      <c r="Z170" s="245">
        <f>IFERROR(MATCH(Tabla323546[[#This Row],[Cuenta Contable]],Produccion_Lecheria_Cuentas[Cuenta Contable],0),0)</f>
        <v>17</v>
      </c>
      <c r="AA170" s="32" t="str">
        <f>Tabla3235[[#This Row],[Cuenta Contable]]</f>
        <v>Sanidad Productos</v>
      </c>
      <c r="AB170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70" s="31">
        <f>IFERROR(Tabla323546[[#This Row],[Prod. Carne]]/Tabla323546[[#This Row],[Cab]],0)</f>
        <v>0</v>
      </c>
      <c r="AD170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70" s="257"/>
      <c r="AF170" s="30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70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70" s="9">
        <f>IFERROR(Tabla323546[[#This Row],[U$S Total]]/Tabla323546[[#Totals],[Litros]],0)</f>
        <v>0</v>
      </c>
      <c r="AI170" s="31">
        <f t="array" ref="AI170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J170"/>
      <c r="AK170"/>
      <c r="AL170"/>
      <c r="AT170"/>
      <c r="AV170" s="245">
        <f>IFERROR(MATCH(Tabla32354655[[#This Row],[Cuenta Contable]],Produccion_Lecheria_Cuentas[Cuenta Contable],0),0)</f>
        <v>17</v>
      </c>
      <c r="AW170" s="32" t="str">
        <f>Tabla3235[[#This Row],[Cuenta Contable]]</f>
        <v>Sanidad Productos</v>
      </c>
      <c r="AX170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70" s="31">
        <f>IFERROR(Tabla32354655[[#This Row],[Prod. Carne]]/Tabla32354655[[#This Row],[Cab]],0)</f>
        <v>0</v>
      </c>
      <c r="AZ170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70" s="257"/>
      <c r="BB170" s="30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70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70" s="9">
        <f>IFERROR(Tabla32354655[[#This Row],[U$S Total]]/Tabla32354655[[#Totals],[Litros]],0)</f>
        <v>0</v>
      </c>
      <c r="BE170" s="31">
        <f t="array" ref="BE170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  <c r="BF170"/>
      <c r="BG170"/>
      <c r="BH170"/>
    </row>
    <row r="171" spans="2:60" x14ac:dyDescent="0.25">
      <c r="B171"/>
      <c r="D171" s="245">
        <f>IFERROR(MATCH(Tabla3235[[#This Row],[Cuenta Contable]],Produccion_Lecheria_Cuentas[Cuenta Contable],0),0)</f>
        <v>18</v>
      </c>
      <c r="E171" s="32" t="str">
        <f>Configuración!BG22</f>
        <v>Sanidad Honorarios</v>
      </c>
      <c r="F171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71" s="31">
        <f>IFERROR(Tabla3235[[#This Row],[Prod. Carne]]/Tabla3235[[#This Row],[Cab]],0)</f>
        <v>0</v>
      </c>
      <c r="H171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71" s="257"/>
      <c r="J171" s="30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71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71" s="9">
        <f>IFERROR(Tabla3235[[#This Row],[U$S Total]]/Tabla3235[[#Totals],[Litros]],0)</f>
        <v>0</v>
      </c>
      <c r="M171" s="31">
        <f t="array" ref="M171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N171"/>
      <c r="O171"/>
      <c r="P171"/>
      <c r="X171"/>
      <c r="Z171" s="245">
        <f>IFERROR(MATCH(Tabla323546[[#This Row],[Cuenta Contable]],Produccion_Lecheria_Cuentas[Cuenta Contable],0),0)</f>
        <v>18</v>
      </c>
      <c r="AA171" s="32" t="str">
        <f>Tabla3235[[#This Row],[Cuenta Contable]]</f>
        <v>Sanidad Honorarios</v>
      </c>
      <c r="AB171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71" s="31">
        <f>IFERROR(Tabla323546[[#This Row],[Prod. Carne]]/Tabla323546[[#This Row],[Cab]],0)</f>
        <v>0</v>
      </c>
      <c r="AD171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71" s="257"/>
      <c r="AF171" s="30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71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71" s="9">
        <f>IFERROR(Tabla323546[[#This Row],[U$S Total]]/Tabla323546[[#Totals],[Litros]],0)</f>
        <v>0</v>
      </c>
      <c r="AI171" s="31">
        <f t="array" ref="AI171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J171"/>
      <c r="AK171"/>
      <c r="AL171"/>
      <c r="AT171"/>
      <c r="AV171" s="245">
        <f>IFERROR(MATCH(Tabla32354655[[#This Row],[Cuenta Contable]],Produccion_Lecheria_Cuentas[Cuenta Contable],0),0)</f>
        <v>18</v>
      </c>
      <c r="AW171" s="32" t="str">
        <f>Tabla3235[[#This Row],[Cuenta Contable]]</f>
        <v>Sanidad Honorarios</v>
      </c>
      <c r="AX171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71" s="31">
        <f>IFERROR(Tabla32354655[[#This Row],[Prod. Carne]]/Tabla32354655[[#This Row],[Cab]],0)</f>
        <v>0</v>
      </c>
      <c r="AZ171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71" s="257"/>
      <c r="BB171" s="30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71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71" s="9">
        <f>IFERROR(Tabla32354655[[#This Row],[U$S Total]]/Tabla32354655[[#Totals],[Litros]],0)</f>
        <v>0</v>
      </c>
      <c r="BE171" s="31">
        <f t="array" ref="BE171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  <c r="BF171"/>
      <c r="BG171"/>
      <c r="BH171"/>
    </row>
    <row r="172" spans="2:60" x14ac:dyDescent="0.25">
      <c r="B172"/>
      <c r="D172" s="245">
        <f>IFERROR(MATCH(Tabla3235[[#This Row],[Cuenta Contable]],Produccion_Lecheria_Cuentas[Cuenta Contable],0),0)</f>
        <v>19</v>
      </c>
      <c r="E172" s="32" t="str">
        <f>Configuración!BG23</f>
        <v>Alimentación</v>
      </c>
      <c r="F172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72" s="31">
        <f>IFERROR(Tabla3235[[#This Row],[Prod. Carne]]/Tabla3235[[#This Row],[Cab]],0)</f>
        <v>0</v>
      </c>
      <c r="H172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72" s="275"/>
      <c r="J172" s="274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72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72" s="9">
        <f>IFERROR(Tabla3235[[#This Row],[U$S Total]]/Tabla3235[[#Totals],[Litros]],0)</f>
        <v>0</v>
      </c>
      <c r="M172" s="31">
        <f t="array" ref="M172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N172"/>
      <c r="O172"/>
      <c r="P172"/>
      <c r="X172"/>
      <c r="Z172" s="245">
        <f>IFERROR(MATCH(Tabla323546[[#This Row],[Cuenta Contable]],Produccion_Lecheria_Cuentas[Cuenta Contable],0),0)</f>
        <v>19</v>
      </c>
      <c r="AA172" s="32" t="str">
        <f>Tabla3235[[#This Row],[Cuenta Contable]]</f>
        <v>Alimentación</v>
      </c>
      <c r="AB172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72" s="31">
        <f>IFERROR(Tabla323546[[#This Row],[Prod. Carne]]/Tabla323546[[#This Row],[Cab]],0)</f>
        <v>0</v>
      </c>
      <c r="AD172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72" s="275"/>
      <c r="AF172" s="274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72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72" s="9">
        <f>IFERROR(Tabla323546[[#This Row],[U$S Total]]/Tabla323546[[#Totals],[Litros]],0)</f>
        <v>0</v>
      </c>
      <c r="AI172" s="31">
        <f t="array" ref="AI172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J172"/>
      <c r="AK172"/>
      <c r="AL172"/>
      <c r="AT172"/>
      <c r="AV172" s="245">
        <f>IFERROR(MATCH(Tabla32354655[[#This Row],[Cuenta Contable]],Produccion_Lecheria_Cuentas[Cuenta Contable],0),0)</f>
        <v>19</v>
      </c>
      <c r="AW172" s="32" t="str">
        <f>Tabla3235[[#This Row],[Cuenta Contable]]</f>
        <v>Alimentación</v>
      </c>
      <c r="AX172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72" s="31">
        <f>IFERROR(Tabla32354655[[#This Row],[Prod. Carne]]/Tabla32354655[[#This Row],[Cab]],0)</f>
        <v>0</v>
      </c>
      <c r="AZ172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72" s="275"/>
      <c r="BB172" s="274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72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72" s="9">
        <f>IFERROR(Tabla32354655[[#This Row],[U$S Total]]/Tabla32354655[[#Totals],[Litros]],0)</f>
        <v>0</v>
      </c>
      <c r="BE172" s="31">
        <f t="array" ref="BE172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  <c r="BF172"/>
      <c r="BG172"/>
      <c r="BH172"/>
    </row>
    <row r="173" spans="2:60" x14ac:dyDescent="0.25">
      <c r="B173"/>
      <c r="D173" s="245">
        <f>IFERROR(MATCH(Tabla3235[[#This Row],[Cuenta Contable]],Produccion_Lecheria_Cuentas[Cuenta Contable],0),0)</f>
        <v>20</v>
      </c>
      <c r="E173" s="32" t="str">
        <f>Configuración!BG24</f>
        <v>Suplementación</v>
      </c>
      <c r="F173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73" s="31">
        <f>IFERROR(Tabla3235[[#This Row],[Prod. Carne]]/Tabla3235[[#This Row],[Cab]],0)</f>
        <v>0</v>
      </c>
      <c r="H173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73" s="275"/>
      <c r="J173" s="274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73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73" s="9">
        <f>IFERROR(Tabla3235[[#This Row],[U$S Total]]/Tabla3235[[#Totals],[Litros]],0)</f>
        <v>0</v>
      </c>
      <c r="M173" s="31">
        <f t="array" ref="M173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N173"/>
      <c r="O173"/>
      <c r="P173"/>
      <c r="X173"/>
      <c r="Z173" s="245">
        <f>IFERROR(MATCH(Tabla323546[[#This Row],[Cuenta Contable]],Produccion_Lecheria_Cuentas[Cuenta Contable],0),0)</f>
        <v>20</v>
      </c>
      <c r="AA173" s="32" t="str">
        <f>Tabla3235[[#This Row],[Cuenta Contable]]</f>
        <v>Suplementación</v>
      </c>
      <c r="AB173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73" s="31">
        <f>IFERROR(Tabla323546[[#This Row],[Prod. Carne]]/Tabla323546[[#This Row],[Cab]],0)</f>
        <v>0</v>
      </c>
      <c r="AD173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73" s="275"/>
      <c r="AF173" s="274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73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73" s="9">
        <f>IFERROR(Tabla323546[[#This Row],[U$S Total]]/Tabla323546[[#Totals],[Litros]],0)</f>
        <v>0</v>
      </c>
      <c r="AI173" s="31">
        <f t="array" ref="AI173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J173"/>
      <c r="AK173"/>
      <c r="AL173"/>
      <c r="AT173"/>
      <c r="AV173" s="245">
        <f>IFERROR(MATCH(Tabla32354655[[#This Row],[Cuenta Contable]],Produccion_Lecheria_Cuentas[Cuenta Contable],0),0)</f>
        <v>20</v>
      </c>
      <c r="AW173" s="32" t="str">
        <f>Tabla3235[[#This Row],[Cuenta Contable]]</f>
        <v>Suplementación</v>
      </c>
      <c r="AX173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73" s="31">
        <f>IFERROR(Tabla32354655[[#This Row],[Prod. Carne]]/Tabla32354655[[#This Row],[Cab]],0)</f>
        <v>0</v>
      </c>
      <c r="AZ173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73" s="275"/>
      <c r="BB173" s="274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73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73" s="9">
        <f>IFERROR(Tabla32354655[[#This Row],[U$S Total]]/Tabla32354655[[#Totals],[Litros]],0)</f>
        <v>0</v>
      </c>
      <c r="BE173" s="31">
        <f t="array" ref="BE173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  <c r="BF173"/>
      <c r="BG173"/>
      <c r="BH173"/>
    </row>
    <row r="174" spans="2:60" x14ac:dyDescent="0.25">
      <c r="B174"/>
      <c r="D174" s="245">
        <f>IFERROR(MATCH(Tabla3235[[#This Row],[Cuenta Contable]],Produccion_Lecheria_Cuentas[Cuenta Contable],0),0)</f>
        <v>21</v>
      </c>
      <c r="E174" s="32" t="str">
        <f>Configuración!BG25</f>
        <v>Cesión de Granos</v>
      </c>
      <c r="F174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74" s="31">
        <f>IFERROR(Tabla3235[[#This Row],[Prod. Carne]]/Tabla3235[[#This Row],[Cab]],0)</f>
        <v>0</v>
      </c>
      <c r="H174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74" s="275"/>
      <c r="J174" s="274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74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74" s="9">
        <f>IFERROR(Tabla3235[[#This Row],[U$S Total]]/Tabla3235[[#Totals],[Litros]],0)</f>
        <v>0</v>
      </c>
      <c r="M174" s="31">
        <f t="array" ref="M174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N174"/>
      <c r="O174"/>
      <c r="P174"/>
      <c r="X174"/>
      <c r="Z174" s="245">
        <f>IFERROR(MATCH(Tabla323546[[#This Row],[Cuenta Contable]],Produccion_Lecheria_Cuentas[Cuenta Contable],0),0)</f>
        <v>21</v>
      </c>
      <c r="AA174" s="32" t="str">
        <f>Tabla3235[[#This Row],[Cuenta Contable]]</f>
        <v>Cesión de Granos</v>
      </c>
      <c r="AB174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74" s="31">
        <f>IFERROR(Tabla323546[[#This Row],[Prod. Carne]]/Tabla323546[[#This Row],[Cab]],0)</f>
        <v>0</v>
      </c>
      <c r="AD174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74" s="275"/>
      <c r="AF174" s="274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74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74" s="9">
        <f>IFERROR(Tabla323546[[#This Row],[U$S Total]]/Tabla323546[[#Totals],[Litros]],0)</f>
        <v>0</v>
      </c>
      <c r="AI174" s="31">
        <f t="array" ref="AI174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J174"/>
      <c r="AK174"/>
      <c r="AL174"/>
      <c r="AT174"/>
      <c r="AV174" s="245">
        <f>IFERROR(MATCH(Tabla32354655[[#This Row],[Cuenta Contable]],Produccion_Lecheria_Cuentas[Cuenta Contable],0),0)</f>
        <v>21</v>
      </c>
      <c r="AW174" s="32" t="str">
        <f>Tabla3235[[#This Row],[Cuenta Contable]]</f>
        <v>Cesión de Granos</v>
      </c>
      <c r="AX174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74" s="31">
        <f>IFERROR(Tabla32354655[[#This Row],[Prod. Carne]]/Tabla32354655[[#This Row],[Cab]],0)</f>
        <v>0</v>
      </c>
      <c r="AZ174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74" s="275"/>
      <c r="BB174" s="274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74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74" s="9">
        <f>IFERROR(Tabla32354655[[#This Row],[U$S Total]]/Tabla32354655[[#Totals],[Litros]],0)</f>
        <v>0</v>
      </c>
      <c r="BE174" s="31">
        <f t="array" ref="BE174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  <c r="BF174"/>
      <c r="BG174"/>
      <c r="BH174"/>
    </row>
    <row r="175" spans="2:60" x14ac:dyDescent="0.25">
      <c r="B175"/>
      <c r="D175" s="245">
        <f>IFERROR(MATCH(Tabla3235[[#This Row],[Cuenta Contable]],Produccion_Lecheria_Cuentas[Cuenta Contable],0),0)</f>
        <v>22</v>
      </c>
      <c r="E175" s="32" t="str">
        <f>Configuración!BG26</f>
        <v>Labores Propias</v>
      </c>
      <c r="F175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75" s="31">
        <f>IFERROR(Tabla3235[[#This Row],[Prod. Carne]]/Tabla3235[[#This Row],[Cab]],0)</f>
        <v>0</v>
      </c>
      <c r="H175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75" s="275"/>
      <c r="J175" s="274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75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75" s="9">
        <f>IFERROR(Tabla3235[[#This Row],[U$S Total]]/Tabla3235[[#Totals],[Litros]],0)</f>
        <v>0</v>
      </c>
      <c r="M175" s="31">
        <f t="array" ref="M175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N175"/>
      <c r="O175"/>
      <c r="P175"/>
      <c r="X175"/>
      <c r="Z175" s="245">
        <f>IFERROR(MATCH(Tabla323546[[#This Row],[Cuenta Contable]],Produccion_Lecheria_Cuentas[Cuenta Contable],0),0)</f>
        <v>22</v>
      </c>
      <c r="AA175" s="32" t="str">
        <f>Tabla3235[[#This Row],[Cuenta Contable]]</f>
        <v>Labores Propias</v>
      </c>
      <c r="AB175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75" s="31">
        <f>IFERROR(Tabla323546[[#This Row],[Prod. Carne]]/Tabla323546[[#This Row],[Cab]],0)</f>
        <v>0</v>
      </c>
      <c r="AD175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75" s="275"/>
      <c r="AF175" s="274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75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75" s="9">
        <f>IFERROR(Tabla323546[[#This Row],[U$S Total]]/Tabla323546[[#Totals],[Litros]],0)</f>
        <v>0</v>
      </c>
      <c r="AI175" s="31">
        <f t="array" ref="AI175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J175"/>
      <c r="AK175"/>
      <c r="AL175"/>
      <c r="AT175"/>
      <c r="AV175" s="245">
        <f>IFERROR(MATCH(Tabla32354655[[#This Row],[Cuenta Contable]],Produccion_Lecheria_Cuentas[Cuenta Contable],0),0)</f>
        <v>22</v>
      </c>
      <c r="AW175" s="32" t="str">
        <f>Tabla3235[[#This Row],[Cuenta Contable]]</f>
        <v>Labores Propias</v>
      </c>
      <c r="AX175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75" s="31">
        <f>IFERROR(Tabla32354655[[#This Row],[Prod. Carne]]/Tabla32354655[[#This Row],[Cab]],0)</f>
        <v>0</v>
      </c>
      <c r="AZ175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75" s="275"/>
      <c r="BB175" s="274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75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75" s="9">
        <f>IFERROR(Tabla32354655[[#This Row],[U$S Total]]/Tabla32354655[[#Totals],[Litros]],0)</f>
        <v>0</v>
      </c>
      <c r="BE175" s="31">
        <f t="array" ref="BE175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  <c r="BF175"/>
      <c r="BG175"/>
      <c r="BH175"/>
    </row>
    <row r="176" spans="2:60" x14ac:dyDescent="0.25">
      <c r="B176"/>
      <c r="D176" s="245">
        <f>IFERROR(MATCH(Tabla3235[[#This Row],[Cuenta Contable]],Produccion_Lecheria_Cuentas[Cuenta Contable],0),0)</f>
        <v>23</v>
      </c>
      <c r="E176" s="32" t="str">
        <f>Configuración!BG27</f>
        <v>Gerenciamiento</v>
      </c>
      <c r="F176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76" s="31">
        <f>IFERROR(Tabla3235[[#This Row],[Prod. Carne]]/Tabla3235[[#This Row],[Cab]],0)</f>
        <v>0</v>
      </c>
      <c r="H176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76" s="275"/>
      <c r="J176" s="274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76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76" s="9">
        <f>IFERROR(Tabla3235[[#This Row],[U$S Total]]/Tabla3235[[#Totals],[Litros]],0)</f>
        <v>0</v>
      </c>
      <c r="M176" s="31">
        <f t="array" ref="M176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N176"/>
      <c r="O176"/>
      <c r="P176"/>
      <c r="X176"/>
      <c r="Z176" s="245">
        <f>IFERROR(MATCH(Tabla323546[[#This Row],[Cuenta Contable]],Produccion_Lecheria_Cuentas[Cuenta Contable],0),0)</f>
        <v>23</v>
      </c>
      <c r="AA176" s="32" t="str">
        <f>Tabla3235[[#This Row],[Cuenta Contable]]</f>
        <v>Gerenciamiento</v>
      </c>
      <c r="AB176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76" s="31">
        <f>IFERROR(Tabla323546[[#This Row],[Prod. Carne]]/Tabla323546[[#This Row],[Cab]],0)</f>
        <v>0</v>
      </c>
      <c r="AD176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76" s="275"/>
      <c r="AF176" s="274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76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76" s="9">
        <f>IFERROR(Tabla323546[[#This Row],[U$S Total]]/Tabla323546[[#Totals],[Litros]],0)</f>
        <v>0</v>
      </c>
      <c r="AI176" s="31">
        <f t="array" ref="AI176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J176"/>
      <c r="AK176"/>
      <c r="AL176"/>
      <c r="AT176"/>
      <c r="AV176" s="245">
        <f>IFERROR(MATCH(Tabla32354655[[#This Row],[Cuenta Contable]],Produccion_Lecheria_Cuentas[Cuenta Contable],0),0)</f>
        <v>23</v>
      </c>
      <c r="AW176" s="32" t="str">
        <f>Tabla3235[[#This Row],[Cuenta Contable]]</f>
        <v>Gerenciamiento</v>
      </c>
      <c r="AX176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76" s="31">
        <f>IFERROR(Tabla32354655[[#This Row],[Prod. Carne]]/Tabla32354655[[#This Row],[Cab]],0)</f>
        <v>0</v>
      </c>
      <c r="AZ176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76" s="275"/>
      <c r="BB176" s="274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76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76" s="9">
        <f>IFERROR(Tabla32354655[[#This Row],[U$S Total]]/Tabla32354655[[#Totals],[Litros]],0)</f>
        <v>0</v>
      </c>
      <c r="BE176" s="31">
        <f t="array" ref="BE176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  <c r="BF176"/>
      <c r="BG176"/>
      <c r="BH176"/>
    </row>
    <row r="177" spans="1:62" x14ac:dyDescent="0.25">
      <c r="B177"/>
      <c r="D177" s="245">
        <f>IFERROR(MATCH(Tabla3235[[#This Row],[Cuenta Contable]],Produccion_Lecheria_Cuentas[Cuenta Contable],0),0)</f>
        <v>24</v>
      </c>
      <c r="E177" s="32" t="str">
        <f>Configuración!BG28</f>
        <v>Arrendamiento</v>
      </c>
      <c r="F177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77" s="31">
        <f>IFERROR(Tabla3235[[#This Row],[Prod. Carne]]/Tabla3235[[#This Row],[Cab]],0)</f>
        <v>0</v>
      </c>
      <c r="H177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77" s="275"/>
      <c r="J177" s="274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77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77" s="9">
        <f>IFERROR(Tabla3235[[#This Row],[U$S Total]]/Tabla3235[[#Totals],[Litros]],0)</f>
        <v>0</v>
      </c>
      <c r="M177" s="31">
        <f t="array" ref="M177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N177"/>
      <c r="O177"/>
      <c r="P177"/>
      <c r="X177"/>
      <c r="Z177" s="245">
        <f>IFERROR(MATCH(Tabla323546[[#This Row],[Cuenta Contable]],Produccion_Lecheria_Cuentas[Cuenta Contable],0),0)</f>
        <v>24</v>
      </c>
      <c r="AA177" s="32" t="str">
        <f>Tabla3235[[#This Row],[Cuenta Contable]]</f>
        <v>Arrendamiento</v>
      </c>
      <c r="AB177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77" s="31">
        <f>IFERROR(Tabla323546[[#This Row],[Prod. Carne]]/Tabla323546[[#This Row],[Cab]],0)</f>
        <v>0</v>
      </c>
      <c r="AD177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77" s="275"/>
      <c r="AF177" s="274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77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77" s="9">
        <f>IFERROR(Tabla323546[[#This Row],[U$S Total]]/Tabla323546[[#Totals],[Litros]],0)</f>
        <v>0</v>
      </c>
      <c r="AI177" s="31">
        <f t="array" ref="AI177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J177"/>
      <c r="AK177"/>
      <c r="AL177"/>
      <c r="AT177"/>
      <c r="AV177" s="245">
        <f>IFERROR(MATCH(Tabla32354655[[#This Row],[Cuenta Contable]],Produccion_Lecheria_Cuentas[Cuenta Contable],0),0)</f>
        <v>24</v>
      </c>
      <c r="AW177" s="32" t="str">
        <f>Tabla3235[[#This Row],[Cuenta Contable]]</f>
        <v>Arrendamiento</v>
      </c>
      <c r="AX177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77" s="31">
        <f>IFERROR(Tabla32354655[[#This Row],[Prod. Carne]]/Tabla32354655[[#This Row],[Cab]],0)</f>
        <v>0</v>
      </c>
      <c r="AZ177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77" s="275"/>
      <c r="BB177" s="274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77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77" s="9">
        <f>IFERROR(Tabla32354655[[#This Row],[U$S Total]]/Tabla32354655[[#Totals],[Litros]],0)</f>
        <v>0</v>
      </c>
      <c r="BE177" s="31">
        <f t="array" ref="BE177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  <c r="BF177"/>
      <c r="BG177"/>
      <c r="BH177"/>
    </row>
    <row r="178" spans="1:62" x14ac:dyDescent="0.25">
      <c r="B178"/>
      <c r="D178" s="245">
        <f>IFERROR(MATCH(Tabla3235[[#This Row],[Cuenta Contable]],Produccion_Lecheria_Cuentas[Cuenta Contable],0),0)</f>
        <v>25</v>
      </c>
      <c r="E178" s="32" t="str">
        <f>Configuración!BG29</f>
        <v>Costo Oportunidad Tierra</v>
      </c>
      <c r="F178" s="30">
        <f>SUMPRODUCT(($F$4=Producción_Lecheria[C. Costo Reporte])*(Económico!$F$5=Producción_Lecheria[Campaña])*(Tabla3235[[#This Row],[Cuenta Contable]]=Producción_Lecheria[Cuenta Contable])*(Producción_Lecheria[Cabezas]))</f>
        <v>0</v>
      </c>
      <c r="G178" s="31">
        <f>IFERROR(Tabla3235[[#This Row],[Prod. Carne]]/Tabla3235[[#This Row],[Cab]],0)</f>
        <v>0</v>
      </c>
      <c r="H178" s="257">
        <f>SUMPRODUCT(($F$4=Producción_Lecheria[C. Costo Reporte])*(Económico!$F$5=Producción_Lecheria[Campaña])*(Tabla3235[[#This Row],[Cuenta Contable]]=Producción_Lecheria[Cuenta Contable])*(Producción_Lecheria[Cabezas])*(Producción_Lecheria[Kg/Cab]))</f>
        <v>0</v>
      </c>
      <c r="I178" s="275"/>
      <c r="J178" s="274">
        <f>SUMPRODUCT(($F$4=Producción_Lecheria[C. Costo Reporte])*(Económico!$F$5=Producción_Lecheria[Campaña])*(Tabla3235[[#This Row],[Cuenta Contable]]=Producción_Lecheria[Cuenta Contable])*(Producción_Lecheria[Económico U$S Dólares]))</f>
        <v>0</v>
      </c>
      <c r="K178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78" s="9">
        <f>IFERROR(Tabla3235[[#This Row],[U$S Total]]/Tabla3235[[#Totals],[Litros]],0)</f>
        <v>0</v>
      </c>
      <c r="M178" s="31">
        <f t="array" ref="M178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N178"/>
      <c r="O178"/>
      <c r="P178"/>
      <c r="X178"/>
      <c r="Z178" s="245">
        <f>IFERROR(MATCH(Tabla323546[[#This Row],[Cuenta Contable]],Produccion_Lecheria_Cuentas[Cuenta Contable],0),0)</f>
        <v>25</v>
      </c>
      <c r="AA178" s="32" t="str">
        <f>Tabla3235[[#This Row],[Cuenta Contable]]</f>
        <v>Costo Oportunidad Tierra</v>
      </c>
      <c r="AB178" s="30">
        <f>SUMPRODUCT(($F$4=Producción_Lecheria[C. Costo Reporte])*(Económico!$F$5=Producción_Lecheria[Campaña])*(Tabla323546[[#This Row],[Cuenta Contable]]=Producción_Lecheria[Cuenta Contable])*(Producción_Lecheria[Cabezas]))</f>
        <v>0</v>
      </c>
      <c r="AC178" s="31">
        <f>IFERROR(Tabla323546[[#This Row],[Prod. Carne]]/Tabla323546[[#This Row],[Cab]],0)</f>
        <v>0</v>
      </c>
      <c r="AD178" s="257">
        <f>SUMPRODUCT(($F$4=Producción_Lecheria[C. Costo Reporte])*(Económico!$F$5=Producción_Lecheria[Campaña])*(Tabla323546[[#This Row],[Cuenta Contable]]=Producción_Lecheria[Cuenta Contable])*(Producción_Lecheria[Cabezas])*(Producción_Lecheria[Kg/Cab]))</f>
        <v>0</v>
      </c>
      <c r="AE178" s="275"/>
      <c r="AF178" s="274">
        <f>SUMPRODUCT(($F$4=Producción_Lecheria[C. Costo Reporte])*(Económico!$F$5=Producción_Lecheria[Campaña])*(Tabla323546[[#This Row],[Cuenta Contable]]=Producción_Lecheria[Cuenta Contable])*(Producción_Lecheria[Económico $Corrientes]))</f>
        <v>0</v>
      </c>
      <c r="AG178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78" s="9">
        <f>IFERROR(Tabla323546[[#This Row],[U$S Total]]/Tabla323546[[#Totals],[Litros]],0)</f>
        <v>0</v>
      </c>
      <c r="AI178" s="31">
        <f t="array" ref="AI178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J178"/>
      <c r="AK178"/>
      <c r="AL178"/>
      <c r="AT178"/>
      <c r="AV178" s="245">
        <f>IFERROR(MATCH(Tabla32354655[[#This Row],[Cuenta Contable]],Produccion_Lecheria_Cuentas[Cuenta Contable],0),0)</f>
        <v>25</v>
      </c>
      <c r="AW178" s="32" t="str">
        <f>Tabla3235[[#This Row],[Cuenta Contable]]</f>
        <v>Costo Oportunidad Tierra</v>
      </c>
      <c r="AX178" s="30">
        <f>SUMPRODUCT(($F$4=Producción_Lecheria[C. Costo Reporte])*(Económico!$F$5=Producción_Lecheria[Campaña])*(Tabla32354655[[#This Row],[Cuenta Contable]]=Producción_Lecheria[Cuenta Contable])*(Producción_Lecheria[Cabezas]))</f>
        <v>0</v>
      </c>
      <c r="AY178" s="31">
        <f>IFERROR(Tabla32354655[[#This Row],[Prod. Carne]]/Tabla32354655[[#This Row],[Cab]],0)</f>
        <v>0</v>
      </c>
      <c r="AZ178" s="257">
        <f>SUMPRODUCT(($F$4=Producción_Lecheria[C. Costo Reporte])*(Económico!$F$5=Producción_Lecheria[Campaña])*(Tabla32354655[[#This Row],[Cuenta Contable]]=Producción_Lecheria[Cuenta Contable])*(Producción_Lecheria[Cabezas])*(Producción_Lecheria[Kg/Cab]))</f>
        <v>0</v>
      </c>
      <c r="BA178" s="275"/>
      <c r="BB178" s="274">
        <f>SUMPRODUCT(($F$4=Producción_Lecheria[C. Costo Reporte])*(Económico!$F$5=Producción_Lecheria[Campaña])*(Tabla32354655[[#This Row],[Cuenta Contable]]=Producción_Lecheria[Cuenta Contable])*(Producción_Lecheria[Económico $Constantes]))</f>
        <v>0</v>
      </c>
      <c r="BC178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78" s="9">
        <f>IFERROR(Tabla32354655[[#This Row],[U$S Total]]/Tabla32354655[[#Totals],[Litros]],0)</f>
        <v>0</v>
      </c>
      <c r="BE178" s="31">
        <f t="array" ref="BE178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  <c r="BF178"/>
      <c r="BG178"/>
      <c r="BH178"/>
    </row>
    <row r="179" spans="1:62" x14ac:dyDescent="0.25">
      <c r="B179" s="241" t="s">
        <v>101</v>
      </c>
      <c r="D179" s="245">
        <f>IFERROR(MATCH(Tabla3235[[#This Row],[Cuenta Contable]],Produccion_Lecheria_Cuentas[Cuenta Contable],0),0)</f>
        <v>0</v>
      </c>
      <c r="E179" s="462" t="s">
        <v>518</v>
      </c>
      <c r="F179" s="30">
        <f>SUM(F158:F178)-SUMPRODUCT(($F$4=Producción_Lecheria[C. Costo Reporte])*(Económico!$F$5=Producción_Lecheria[Campaña])*(Producción_Lecheria[Cabezas]))</f>
        <v>0</v>
      </c>
      <c r="G179" s="31">
        <f>IFERROR(Tabla3235[[#This Row],[Prod. Carne]]/Tabla3235[[#This Row],[Cab]],0)</f>
        <v>0</v>
      </c>
      <c r="H179" s="257">
        <f>SUM(H158:H178)-SUMPRODUCT(($F$4=Producción_Lecheria[C. Costo Reporte])*(Económico!$F$5=Producción_Lecheria[Campaña])*(Producción_Lecheria[Cabezas])*(Producción_Lecheria[Kg/Cab]))</f>
        <v>0</v>
      </c>
      <c r="I179" s="257"/>
      <c r="J179" s="30">
        <f>SUM(J158:J178)+Tabla28313234[[#Totals],[Tenencia]]-SUMPRODUCT(($F$4=Producción_Lecheria[C. Costo Reporte])*(Económico!$F$5=Producción_Lecheria[Campaña])*(Producción_Lecheria[Económico U$S Dólares]))</f>
        <v>0</v>
      </c>
      <c r="K179" s="9">
        <f>IFERROR(Tabla3235[[#This Row],[U$S Total]]/IF($F$4=0,SUMPRODUCT((Tabla1924[Superficie])*($F$5=Tabla1924[Campaña])),SUMPRODUCT(($F$4=Tabla1924[Centro de Costo])*(Tabla1924[Superficie])*($F$5=Tabla1924[Campaña]))),0)</f>
        <v>0</v>
      </c>
      <c r="L179" s="9">
        <f>IFERROR(Tabla3235[[#This Row],[U$S Total]]/Tabla3235[[#Totals],[Litros]],0)</f>
        <v>0</v>
      </c>
      <c r="M179" s="31">
        <f t="array" ref="M179">IFERROR(IF($F$4=0,Tabla3235[[#This Row],[U$S Total]]/AVERAGE((Económico!$F$5=Tabla27[Campaña])*(Tabla27[V. Ordeñe])),Tabla3235[[#This Row],[U$S Total]]/AVERAGE(($F$4=Tabla27[Centro Costo])*(Económico!$F$5=Tabla27[Campaña])*(Tabla27[V. Ordeñe]))),0)</f>
        <v>0</v>
      </c>
      <c r="N179"/>
      <c r="O179"/>
      <c r="P179"/>
      <c r="X179" s="241" t="s">
        <v>101</v>
      </c>
      <c r="Z179" s="245">
        <f>IFERROR(MATCH(Tabla323546[[#This Row],[Cuenta Contable]],Produccion_Lecheria_Cuentas[Cuenta Contable],0),0)</f>
        <v>0</v>
      </c>
      <c r="AA179" s="462" t="str">
        <f>Tabla3235[[#This Row],[Cuenta Contable]]</f>
        <v>No Imputado</v>
      </c>
      <c r="AB179" s="30">
        <f>SUM(AB158:AB178)-SUMPRODUCT(($F$4=Producción_Lecheria[C. Costo Reporte])*(Económico!$F$5=Producción_Lecheria[Campaña])*(Producción_Lecheria[Cabezas]))</f>
        <v>0</v>
      </c>
      <c r="AC179" s="31">
        <f>IFERROR(Tabla323546[[#This Row],[Prod. Carne]]/Tabla323546[[#This Row],[Cab]],0)</f>
        <v>0</v>
      </c>
      <c r="AD179" s="257">
        <f>SUM(AD158:AD178)-SUMPRODUCT(($F$4=Producción_Lecheria[C. Costo Reporte])*(Económico!$F$5=Producción_Lecheria[Campaña])*(Producción_Lecheria[Cabezas])*(Producción_Lecheria[Kg/Cab]))</f>
        <v>0</v>
      </c>
      <c r="AE179" s="257"/>
      <c r="AF179" s="30">
        <f>SUM(AF158:AF178)+Tabla2831323445[[#Totals],[Tenencia]]-SUMPRODUCT(($F$4=Producción_Lecheria[C. Costo Reporte])*(Económico!$F$5=Producción_Lecheria[Campaña])*(Producción_Lecheria[Económico $Corrientes]))</f>
        <v>0</v>
      </c>
      <c r="AG179" s="9">
        <f>IFERROR(Tabla323546[[#This Row],[U$S Total]]/IF($F$4=0,SUMPRODUCT((Tabla1924[Superficie])*($F$5=Tabla1924[Campaña])),SUMPRODUCT(($F$4=Tabla1924[Centro de Costo])*(Tabla1924[Superficie])*($F$5=Tabla1924[Campaña]))),0)</f>
        <v>0</v>
      </c>
      <c r="AH179" s="9">
        <f>IFERROR(Tabla323546[[#This Row],[U$S Total]]/Tabla323546[[#Totals],[Litros]],0)</f>
        <v>0</v>
      </c>
      <c r="AI179" s="31">
        <f t="array" ref="AI179">IFERROR(IF($F$4=0,Tabla323546[[#This Row],[U$S Total]]/AVERAGE((Económico!$F$5=Tabla27[Campaña])*(Tabla27[V. Ordeñe])),Tabla323546[[#This Row],[U$S Total]]/AVERAGE(($F$4=Tabla27[Centro Costo])*(Económico!$F$5=Tabla27[Campaña])*(Tabla27[V. Ordeñe]))),0)</f>
        <v>0</v>
      </c>
      <c r="AJ179"/>
      <c r="AK179"/>
      <c r="AL179"/>
      <c r="AT179" s="241" t="s">
        <v>101</v>
      </c>
      <c r="AV179" s="245">
        <f>IFERROR(MATCH(Tabla32354655[[#This Row],[Cuenta Contable]],Produccion_Lecheria_Cuentas[Cuenta Contable],0),0)</f>
        <v>0</v>
      </c>
      <c r="AW179" s="462" t="str">
        <f>Tabla3235[[#This Row],[Cuenta Contable]]</f>
        <v>No Imputado</v>
      </c>
      <c r="AX179" s="30">
        <f>SUM(AX158:AX178)-SUMPRODUCT(($F$4=Producción_Lecheria[C. Costo Reporte])*(Económico!$F$5=Producción_Lecheria[Campaña])*(Producción_Lecheria[Cabezas]))</f>
        <v>0</v>
      </c>
      <c r="AY179" s="31">
        <f>IFERROR(Tabla32354655[[#This Row],[Prod. Carne]]/Tabla32354655[[#This Row],[Cab]],0)</f>
        <v>0</v>
      </c>
      <c r="AZ179" s="257">
        <f>SUM(AZ158:AZ178)-SUMPRODUCT(($F$4=Producción_Lecheria[C. Costo Reporte])*(Económico!$F$5=Producción_Lecheria[Campaña])*(Producción_Lecheria[Cabezas])*(Producción_Lecheria[Kg/Cab]))</f>
        <v>0</v>
      </c>
      <c r="BA179" s="257"/>
      <c r="BB179" s="30">
        <f>SUM(BB158:BB178)+Tabla283132344554[[#Totals],[Tenencia]]-SUMPRODUCT(($F$4=Producción_Lecheria[C. Costo Reporte])*(Económico!$F$5=Producción_Lecheria[Campaña])*(Producción_Lecheria[Económico $Constantes]))</f>
        <v>0</v>
      </c>
      <c r="BC179" s="9">
        <f>IFERROR(Tabla32354655[[#This Row],[U$S Total]]/IF($F$4=0,SUMPRODUCT((Tabla1924[Superficie])*($F$5=Tabla1924[Campaña])),SUMPRODUCT(($F$4=Tabla1924[Centro de Costo])*(Tabla1924[Superficie])*($F$5=Tabla1924[Campaña]))),0)</f>
        <v>0</v>
      </c>
      <c r="BD179" s="9">
        <f>IFERROR(Tabla32354655[[#This Row],[U$S Total]]/Tabla32354655[[#Totals],[Litros]],0)</f>
        <v>0</v>
      </c>
      <c r="BE179" s="31">
        <f t="array" ref="BE179">IFERROR(IF($F$4=0,Tabla32354655[[#This Row],[U$S Total]]/AVERAGE((Económico!$F$5=Tabla27[Campaña])*(Tabla27[V. Ordeñe])),Tabla32354655[[#This Row],[U$S Total]]/AVERAGE(($F$4=Tabla27[Centro Costo])*(Económico!$F$5=Tabla27[Campaña])*(Tabla27[V. Ordeñe]))),0)</f>
        <v>0</v>
      </c>
      <c r="BF179"/>
      <c r="BG179"/>
      <c r="BH179"/>
    </row>
    <row r="180" spans="1:62" x14ac:dyDescent="0.25">
      <c r="B180"/>
      <c r="E180" s="265" t="s">
        <v>52</v>
      </c>
      <c r="F180" s="273"/>
      <c r="G180" s="60"/>
      <c r="H180" s="271">
        <f>SUBTOTAL(109,Tabla3235[Prod. Carne])</f>
        <v>0</v>
      </c>
      <c r="I180" s="271">
        <f>SUBTOTAL(109,Tabla3235[Litros])</f>
        <v>0</v>
      </c>
      <c r="J180" s="267">
        <f>SUBTOTAL(109,Tabla3235[U$S Total])</f>
        <v>0</v>
      </c>
      <c r="K180" s="268">
        <f>SUBTOTAL(109,Tabla3235[U$S/ha])</f>
        <v>0</v>
      </c>
      <c r="L180" s="268">
        <f>SUBTOTAL(109,Tabla3235[U$S/Litro])</f>
        <v>0</v>
      </c>
      <c r="M180" s="256">
        <f>SUBTOTAL(109,Tabla3235[U$S/V. O.])</f>
        <v>0</v>
      </c>
      <c r="N180"/>
      <c r="O180"/>
      <c r="P180"/>
      <c r="X180"/>
      <c r="AA180" s="32" t="s">
        <v>52</v>
      </c>
      <c r="AB180" s="273"/>
      <c r="AC180" s="60"/>
      <c r="AD180" s="271">
        <f>SUBTOTAL(109,Tabla323546[Prod. Carne])</f>
        <v>0</v>
      </c>
      <c r="AE180" s="271">
        <f>SUBTOTAL(109,Tabla323546[Litros])</f>
        <v>0</v>
      </c>
      <c r="AF180" s="267">
        <f>SUBTOTAL(109,Tabla323546[U$S Total])</f>
        <v>0</v>
      </c>
      <c r="AG180" s="268">
        <f>SUBTOTAL(109,Tabla323546[U$S/ha])</f>
        <v>0</v>
      </c>
      <c r="AH180" s="268">
        <f>SUBTOTAL(109,Tabla323546[U$S/Litro])</f>
        <v>0</v>
      </c>
      <c r="AI180" s="256">
        <f>SUBTOTAL(109,Tabla323546[U$S/V. O.])</f>
        <v>0</v>
      </c>
      <c r="AJ180"/>
      <c r="AK180"/>
      <c r="AL180"/>
      <c r="AT180"/>
      <c r="AW180" s="32" t="s">
        <v>52</v>
      </c>
      <c r="AX180" s="273"/>
      <c r="AY180" s="60"/>
      <c r="AZ180" s="271">
        <f>SUBTOTAL(109,Tabla32354655[Prod. Carne])</f>
        <v>0</v>
      </c>
      <c r="BA180" s="271">
        <f>SUBTOTAL(109,Tabla32354655[Litros])</f>
        <v>0</v>
      </c>
      <c r="BB180" s="267">
        <f>SUBTOTAL(109,Tabla32354655[U$S Total])</f>
        <v>0</v>
      </c>
      <c r="BC180" s="268">
        <f>SUBTOTAL(109,Tabla32354655[U$S/ha])</f>
        <v>0</v>
      </c>
      <c r="BD180" s="268">
        <f>SUBTOTAL(109,Tabla32354655[U$S/Litro])</f>
        <v>0</v>
      </c>
      <c r="BE180" s="256">
        <f>SUBTOTAL(109,Tabla32354655[U$S/V. O.])</f>
        <v>0</v>
      </c>
      <c r="BF180"/>
      <c r="BG180"/>
      <c r="BH180"/>
    </row>
    <row r="181" spans="1:62" s="243" customFormat="1" x14ac:dyDescent="0.25">
      <c r="B181" s="242"/>
      <c r="C181" s="242"/>
      <c r="D181" s="242"/>
      <c r="E181" s="242"/>
      <c r="F181" s="242"/>
      <c r="G181" s="242"/>
      <c r="H181" s="242"/>
      <c r="I181" s="242"/>
      <c r="J181" s="242"/>
      <c r="K181" s="242"/>
      <c r="L181" s="242"/>
      <c r="M181" s="242"/>
      <c r="N181" s="242"/>
      <c r="O181" s="242"/>
      <c r="P181" s="244"/>
      <c r="V181" s="447"/>
      <c r="X181" s="242"/>
      <c r="Y181" s="242"/>
      <c r="Z181" s="242"/>
      <c r="AA181" s="461"/>
      <c r="AB181" s="242"/>
      <c r="AC181" s="242"/>
      <c r="AD181" s="242"/>
      <c r="AE181" s="242"/>
      <c r="AF181" s="242"/>
      <c r="AG181" s="242"/>
      <c r="AH181" s="242"/>
      <c r="AI181" s="242"/>
      <c r="AJ181" s="242"/>
      <c r="AK181" s="242"/>
      <c r="AL181" s="244"/>
      <c r="AR181" s="447"/>
      <c r="AT181" s="242"/>
      <c r="AU181" s="242"/>
      <c r="AV181" s="242"/>
      <c r="AW181" s="461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4"/>
    </row>
    <row r="183" spans="1:62" ht="30" x14ac:dyDescent="0.25">
      <c r="E183" s="239" t="s">
        <v>86</v>
      </c>
      <c r="F183" s="193" t="s">
        <v>199</v>
      </c>
      <c r="AA183" s="452" t="s">
        <v>86</v>
      </c>
      <c r="AB183" s="193" t="s">
        <v>199</v>
      </c>
      <c r="AW183" s="452" t="s">
        <v>86</v>
      </c>
      <c r="AX183" s="193" t="s">
        <v>199</v>
      </c>
    </row>
    <row r="184" spans="1:62" x14ac:dyDescent="0.25">
      <c r="Q184" s="124"/>
      <c r="AM184" s="124"/>
      <c r="BI184" s="124"/>
    </row>
    <row r="185" spans="1:62" ht="30" x14ac:dyDescent="0.25">
      <c r="A185" s="231"/>
      <c r="B185" s="2"/>
      <c r="C185" s="231"/>
      <c r="D185" s="231"/>
      <c r="E185" s="232" t="s">
        <v>227</v>
      </c>
      <c r="F185" s="233" t="s">
        <v>200</v>
      </c>
      <c r="G185" s="233" t="s">
        <v>43</v>
      </c>
      <c r="H185" s="233" t="s">
        <v>36</v>
      </c>
      <c r="I185" s="233" t="s">
        <v>226</v>
      </c>
      <c r="J185" s="233" t="s">
        <v>207</v>
      </c>
      <c r="K185" s="233" t="s">
        <v>254</v>
      </c>
      <c r="L185" s="233" t="s">
        <v>280</v>
      </c>
      <c r="Q185" s="124"/>
      <c r="R185" s="231"/>
      <c r="X185" s="2"/>
      <c r="Y185" s="231"/>
      <c r="Z185" s="231"/>
      <c r="AA185" s="459" t="s">
        <v>227</v>
      </c>
      <c r="AB185" s="233" t="s">
        <v>200</v>
      </c>
      <c r="AC185" s="233" t="s">
        <v>43</v>
      </c>
      <c r="AD185" s="233" t="s">
        <v>36</v>
      </c>
      <c r="AE185" s="233" t="s">
        <v>226</v>
      </c>
      <c r="AF185" s="233" t="s">
        <v>207</v>
      </c>
      <c r="AG185" s="233" t="s">
        <v>254</v>
      </c>
      <c r="AH185" s="233" t="s">
        <v>280</v>
      </c>
      <c r="AM185" s="124"/>
      <c r="AN185" s="231"/>
      <c r="AT185" s="2"/>
      <c r="AU185" s="231"/>
      <c r="AV185" s="231"/>
      <c r="AW185" s="459" t="s">
        <v>227</v>
      </c>
      <c r="AX185" s="233" t="s">
        <v>200</v>
      </c>
      <c r="AY185" s="233" t="s">
        <v>43</v>
      </c>
      <c r="AZ185" s="233" t="s">
        <v>36</v>
      </c>
      <c r="BA185" s="233" t="s">
        <v>226</v>
      </c>
      <c r="BB185" s="233" t="s">
        <v>207</v>
      </c>
      <c r="BC185" s="233" t="s">
        <v>254</v>
      </c>
      <c r="BD185" s="233" t="s">
        <v>280</v>
      </c>
      <c r="BI185" s="124"/>
      <c r="BJ185" s="231"/>
    </row>
    <row r="186" spans="1:62" x14ac:dyDescent="0.25">
      <c r="D186" s="245">
        <f>IFERROR(MATCH(Tabla283136[[#This Row],[Cuentas Contables]],Otras_Actividades_Cuentas[Cuenta Contable],0),0)</f>
        <v>1</v>
      </c>
      <c r="E186" s="32" t="str">
        <f>Configuración!BY5</f>
        <v>Ingreso Servicios</v>
      </c>
      <c r="F186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186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186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186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186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186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186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186" s="124"/>
      <c r="Z186" s="245">
        <f>IFERROR(MATCH(Tabla28313647[[#This Row],[Cuentas Contables]],Otras_Actividades_Cuentas[Cuenta Contable],0),0)</f>
        <v>1</v>
      </c>
      <c r="AA186" s="32" t="str">
        <f>Tabla283136[[#This Row],[Cuentas Contables]]</f>
        <v>Ingreso Servicios</v>
      </c>
      <c r="AB186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186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186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186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186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186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186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186" s="124"/>
      <c r="AV186" s="245">
        <f>IFERROR(MATCH(Tabla2831364756[[#This Row],[Cuentas Contables]],Otras_Actividades_Cuentas[Cuenta Contable],0),0)</f>
        <v>1</v>
      </c>
      <c r="AW186" s="32" t="str">
        <f>Tabla283136[[#This Row],[Cuentas Contables]]</f>
        <v>Ingreso Servicios</v>
      </c>
      <c r="AX186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186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186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186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186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186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186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186" s="124"/>
    </row>
    <row r="187" spans="1:62" x14ac:dyDescent="0.25">
      <c r="D187" s="245">
        <f>IFERROR(MATCH(Tabla283136[[#This Row],[Cuentas Contables]],Otras_Actividades_Cuentas[Cuenta Contable],0),0)</f>
        <v>2</v>
      </c>
      <c r="E187" s="32" t="str">
        <f>Configuración!BY6</f>
        <v>Arrendamiento</v>
      </c>
      <c r="F187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187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187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187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187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187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187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187" s="124"/>
      <c r="Z187" s="245">
        <f>IFERROR(MATCH(Tabla28313647[[#This Row],[Cuentas Contables]],Otras_Actividades_Cuentas[Cuenta Contable],0),0)</f>
        <v>2</v>
      </c>
      <c r="AA187" s="32" t="str">
        <f>Tabla283136[[#This Row],[Cuentas Contables]]</f>
        <v>Arrendamiento</v>
      </c>
      <c r="AB187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187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187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187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187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187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187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187" s="124"/>
      <c r="AV187" s="245">
        <f>IFERROR(MATCH(Tabla2831364756[[#This Row],[Cuentas Contables]],Otras_Actividades_Cuentas[Cuenta Contable],0),0)</f>
        <v>2</v>
      </c>
      <c r="AW187" s="32" t="str">
        <f>Tabla283136[[#This Row],[Cuentas Contables]]</f>
        <v>Arrendamiento</v>
      </c>
      <c r="AX187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187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187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187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187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187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187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187" s="124"/>
    </row>
    <row r="188" spans="1:62" x14ac:dyDescent="0.25">
      <c r="D188" s="245">
        <f>IFERROR(MATCH(Tabla283136[[#This Row],[Cuentas Contables]],Otras_Actividades_Cuentas[Cuenta Contable],0),0)</f>
        <v>3</v>
      </c>
      <c r="E188" s="32" t="str">
        <f>Configuración!BY7</f>
        <v>Intereses Cobrados</v>
      </c>
      <c r="F188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188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188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188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188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188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188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188" s="124"/>
      <c r="Z188" s="245">
        <f>IFERROR(MATCH(Tabla28313647[[#This Row],[Cuentas Contables]],Otras_Actividades_Cuentas[Cuenta Contable],0),0)</f>
        <v>3</v>
      </c>
      <c r="AA188" s="32" t="str">
        <f>Tabla283136[[#This Row],[Cuentas Contables]]</f>
        <v>Intereses Cobrados</v>
      </c>
      <c r="AB188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188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188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188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188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188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188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188" s="124"/>
      <c r="AV188" s="245">
        <f>IFERROR(MATCH(Tabla2831364756[[#This Row],[Cuentas Contables]],Otras_Actividades_Cuentas[Cuenta Contable],0),0)</f>
        <v>3</v>
      </c>
      <c r="AW188" s="32" t="str">
        <f>Tabla283136[[#This Row],[Cuentas Contables]]</f>
        <v>Intereses Cobrados</v>
      </c>
      <c r="AX188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188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188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188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188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188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188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188" s="124"/>
    </row>
    <row r="189" spans="1:62" x14ac:dyDescent="0.25">
      <c r="D189" s="245">
        <f>IFERROR(MATCH(Tabla283136[[#This Row],[Cuentas Contables]],Otras_Actividades_Cuentas[Cuenta Contable],0),0)</f>
        <v>4</v>
      </c>
      <c r="E189" s="32" t="str">
        <f>Configuración!BY8</f>
        <v>Personal</v>
      </c>
      <c r="F189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189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189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189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189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189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189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189" s="124"/>
      <c r="Z189" s="245">
        <f>IFERROR(MATCH(Tabla28313647[[#This Row],[Cuentas Contables]],Otras_Actividades_Cuentas[Cuenta Contable],0),0)</f>
        <v>4</v>
      </c>
      <c r="AA189" s="32" t="str">
        <f>Tabla283136[[#This Row],[Cuentas Contables]]</f>
        <v>Personal</v>
      </c>
      <c r="AB189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189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189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189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189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189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189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189" s="124"/>
      <c r="AV189" s="245">
        <f>IFERROR(MATCH(Tabla2831364756[[#This Row],[Cuentas Contables]],Otras_Actividades_Cuentas[Cuenta Contable],0),0)</f>
        <v>4</v>
      </c>
      <c r="AW189" s="32" t="str">
        <f>Tabla283136[[#This Row],[Cuentas Contables]]</f>
        <v>Personal</v>
      </c>
      <c r="AX189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189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189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189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189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189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189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189" s="124"/>
    </row>
    <row r="190" spans="1:62" x14ac:dyDescent="0.25">
      <c r="D190" s="245">
        <f>IFERROR(MATCH(Tabla283136[[#This Row],[Cuentas Contables]],Otras_Actividades_Cuentas[Cuenta Contable],0),0)</f>
        <v>5</v>
      </c>
      <c r="E190" s="32" t="str">
        <f>Configuración!BY9</f>
        <v>Cargas Sociales</v>
      </c>
      <c r="F190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190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190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190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190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190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190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190" s="124"/>
      <c r="Z190" s="245">
        <f>IFERROR(MATCH(Tabla28313647[[#This Row],[Cuentas Contables]],Otras_Actividades_Cuentas[Cuenta Contable],0),0)</f>
        <v>5</v>
      </c>
      <c r="AA190" s="32" t="str">
        <f>Tabla283136[[#This Row],[Cuentas Contables]]</f>
        <v>Cargas Sociales</v>
      </c>
      <c r="AB190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190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190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190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190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190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190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190" s="124"/>
      <c r="AV190" s="245">
        <f>IFERROR(MATCH(Tabla2831364756[[#This Row],[Cuentas Contables]],Otras_Actividades_Cuentas[Cuenta Contable],0),0)</f>
        <v>5</v>
      </c>
      <c r="AW190" s="32" t="str">
        <f>Tabla283136[[#This Row],[Cuentas Contables]]</f>
        <v>Cargas Sociales</v>
      </c>
      <c r="AX190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190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190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190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190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190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190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190" s="124"/>
    </row>
    <row r="191" spans="1:62" x14ac:dyDescent="0.25">
      <c r="D191" s="245">
        <f>IFERROR(MATCH(Tabla283136[[#This Row],[Cuentas Contables]],Otras_Actividades_Cuentas[Cuenta Contable],0),0)</f>
        <v>6</v>
      </c>
      <c r="E191" s="32" t="str">
        <f>Configuración!BY10</f>
        <v>Honorarios</v>
      </c>
      <c r="F191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191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191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191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191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191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191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191" s="124"/>
      <c r="Z191" s="245">
        <f>IFERROR(MATCH(Tabla28313647[[#This Row],[Cuentas Contables]],Otras_Actividades_Cuentas[Cuenta Contable],0),0)</f>
        <v>6</v>
      </c>
      <c r="AA191" s="32" t="str">
        <f>Tabla283136[[#This Row],[Cuentas Contables]]</f>
        <v>Honorarios</v>
      </c>
      <c r="AB191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191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191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191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191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191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191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191" s="124"/>
      <c r="AV191" s="245">
        <f>IFERROR(MATCH(Tabla2831364756[[#This Row],[Cuentas Contables]],Otras_Actividades_Cuentas[Cuenta Contable],0),0)</f>
        <v>6</v>
      </c>
      <c r="AW191" s="32" t="str">
        <f>Tabla283136[[#This Row],[Cuentas Contables]]</f>
        <v>Honorarios</v>
      </c>
      <c r="AX191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191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191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191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191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191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191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191" s="124"/>
    </row>
    <row r="192" spans="1:62" x14ac:dyDescent="0.25">
      <c r="D192" s="245">
        <f>IFERROR(MATCH(Tabla283136[[#This Row],[Cuentas Contables]],Otras_Actividades_Cuentas[Cuenta Contable],0),0)</f>
        <v>7</v>
      </c>
      <c r="E192" s="32" t="str">
        <f>Configuración!BY11</f>
        <v>Movilidad - Viáticos</v>
      </c>
      <c r="F192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192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192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192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192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192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192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192" s="124"/>
      <c r="Z192" s="245">
        <f>IFERROR(MATCH(Tabla28313647[[#This Row],[Cuentas Contables]],Otras_Actividades_Cuentas[Cuenta Contable],0),0)</f>
        <v>7</v>
      </c>
      <c r="AA192" s="32" t="str">
        <f>Tabla283136[[#This Row],[Cuentas Contables]]</f>
        <v>Movilidad - Viáticos</v>
      </c>
      <c r="AB192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192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192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192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192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192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192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192" s="124"/>
      <c r="AV192" s="245">
        <f>IFERROR(MATCH(Tabla2831364756[[#This Row],[Cuentas Contables]],Otras_Actividades_Cuentas[Cuenta Contable],0),0)</f>
        <v>7</v>
      </c>
      <c r="AW192" s="32" t="str">
        <f>Tabla283136[[#This Row],[Cuentas Contables]]</f>
        <v>Movilidad - Viáticos</v>
      </c>
      <c r="AX192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192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192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192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192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192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192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192" s="124"/>
    </row>
    <row r="193" spans="2:61" x14ac:dyDescent="0.25">
      <c r="D193" s="245">
        <f>IFERROR(MATCH(Tabla283136[[#This Row],[Cuentas Contables]],Otras_Actividades_Cuentas[Cuenta Contable],0),0)</f>
        <v>8</v>
      </c>
      <c r="E193" s="32" t="str">
        <f>Configuración!BY12</f>
        <v>Repuestos y Reparaciones</v>
      </c>
      <c r="F193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193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193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193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193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193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193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193" s="124"/>
      <c r="Z193" s="245">
        <f>IFERROR(MATCH(Tabla28313647[[#This Row],[Cuentas Contables]],Otras_Actividades_Cuentas[Cuenta Contable],0),0)</f>
        <v>8</v>
      </c>
      <c r="AA193" s="32" t="str">
        <f>Tabla283136[[#This Row],[Cuentas Contables]]</f>
        <v>Repuestos y Reparaciones</v>
      </c>
      <c r="AB193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193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193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193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193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193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193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193" s="124"/>
      <c r="AV193" s="245">
        <f>IFERROR(MATCH(Tabla2831364756[[#This Row],[Cuentas Contables]],Otras_Actividades_Cuentas[Cuenta Contable],0),0)</f>
        <v>8</v>
      </c>
      <c r="AW193" s="32" t="str">
        <f>Tabla283136[[#This Row],[Cuentas Contables]]</f>
        <v>Repuestos y Reparaciones</v>
      </c>
      <c r="AX193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193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193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193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193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193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193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193" s="124"/>
    </row>
    <row r="194" spans="2:61" x14ac:dyDescent="0.25">
      <c r="D194" s="245">
        <f>IFERROR(MATCH(Tabla283136[[#This Row],[Cuentas Contables]],Otras_Actividades_Cuentas[Cuenta Contable],0),0)</f>
        <v>9</v>
      </c>
      <c r="E194" s="32" t="str">
        <f>Configuración!BY13</f>
        <v>Combustibles y Lubricantes</v>
      </c>
      <c r="F194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194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194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194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194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194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194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194" s="124"/>
      <c r="Z194" s="245">
        <f>IFERROR(MATCH(Tabla28313647[[#This Row],[Cuentas Contables]],Otras_Actividades_Cuentas[Cuenta Contable],0),0)</f>
        <v>9</v>
      </c>
      <c r="AA194" s="32" t="str">
        <f>Tabla283136[[#This Row],[Cuentas Contables]]</f>
        <v>Combustibles y Lubricantes</v>
      </c>
      <c r="AB194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194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194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194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194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194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194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194" s="124"/>
      <c r="AV194" s="245">
        <f>IFERROR(MATCH(Tabla2831364756[[#This Row],[Cuentas Contables]],Otras_Actividades_Cuentas[Cuenta Contable],0),0)</f>
        <v>9</v>
      </c>
      <c r="AW194" s="32" t="str">
        <f>Tabla283136[[#This Row],[Cuentas Contables]]</f>
        <v>Combustibles y Lubricantes</v>
      </c>
      <c r="AX194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194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194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194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194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194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194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194" s="124"/>
    </row>
    <row r="195" spans="2:61" x14ac:dyDescent="0.25">
      <c r="D195" s="245">
        <f>IFERROR(MATCH(Tabla283136[[#This Row],[Cuentas Contables]],Otras_Actividades_Cuentas[Cuenta Contable],0),0)</f>
        <v>10</v>
      </c>
      <c r="E195" s="32" t="str">
        <f>Configuración!BY14</f>
        <v>Gastos de Oficina</v>
      </c>
      <c r="F195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195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195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195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195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195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195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195" s="124"/>
      <c r="Z195" s="245">
        <f>IFERROR(MATCH(Tabla28313647[[#This Row],[Cuentas Contables]],Otras_Actividades_Cuentas[Cuenta Contable],0),0)</f>
        <v>10</v>
      </c>
      <c r="AA195" s="32" t="str">
        <f>Tabla283136[[#This Row],[Cuentas Contables]]</f>
        <v>Gastos de Oficina</v>
      </c>
      <c r="AB195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195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195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195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195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195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195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195" s="124"/>
      <c r="AV195" s="245">
        <f>IFERROR(MATCH(Tabla2831364756[[#This Row],[Cuentas Contables]],Otras_Actividades_Cuentas[Cuenta Contable],0),0)</f>
        <v>10</v>
      </c>
      <c r="AW195" s="32" t="str">
        <f>Tabla283136[[#This Row],[Cuentas Contables]]</f>
        <v>Gastos de Oficina</v>
      </c>
      <c r="AX195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195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195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195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195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195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195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195" s="124"/>
    </row>
    <row r="196" spans="2:61" x14ac:dyDescent="0.25">
      <c r="D196" s="245">
        <f>IFERROR(MATCH(Tabla283136[[#This Row],[Cuentas Contables]],Otras_Actividades_Cuentas[Cuenta Contable],0),0)</f>
        <v>11</v>
      </c>
      <c r="E196" s="32" t="str">
        <f>Configuración!BY15</f>
        <v>Conservación de Mejoras</v>
      </c>
      <c r="F196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196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196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196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196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196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196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196" s="124"/>
      <c r="Z196" s="245">
        <f>IFERROR(MATCH(Tabla28313647[[#This Row],[Cuentas Contables]],Otras_Actividades_Cuentas[Cuenta Contable],0),0)</f>
        <v>11</v>
      </c>
      <c r="AA196" s="32" t="str">
        <f>Tabla283136[[#This Row],[Cuentas Contables]]</f>
        <v>Conservación de Mejoras</v>
      </c>
      <c r="AB196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196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196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196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196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196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196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196" s="124"/>
      <c r="AV196" s="245">
        <f>IFERROR(MATCH(Tabla2831364756[[#This Row],[Cuentas Contables]],Otras_Actividades_Cuentas[Cuenta Contable],0),0)</f>
        <v>11</v>
      </c>
      <c r="AW196" s="32" t="str">
        <f>Tabla283136[[#This Row],[Cuentas Contables]]</f>
        <v>Conservación de Mejoras</v>
      </c>
      <c r="AX196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196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196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196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196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196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196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196" s="124"/>
    </row>
    <row r="197" spans="2:61" x14ac:dyDescent="0.25">
      <c r="D197" s="245">
        <f>IFERROR(MATCH(Tabla283136[[#This Row],[Cuentas Contables]],Otras_Actividades_Cuentas[Cuenta Contable],0),0)</f>
        <v>12</v>
      </c>
      <c r="E197" s="32" t="str">
        <f>Configuración!BY16</f>
        <v>Impuestos Nacionales</v>
      </c>
      <c r="F197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197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197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197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197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197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197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197" s="124"/>
      <c r="Z197" s="245">
        <f>IFERROR(MATCH(Tabla28313647[[#This Row],[Cuentas Contables]],Otras_Actividades_Cuentas[Cuenta Contable],0),0)</f>
        <v>12</v>
      </c>
      <c r="AA197" s="32" t="str">
        <f>Tabla283136[[#This Row],[Cuentas Contables]]</f>
        <v>Impuestos Nacionales</v>
      </c>
      <c r="AB197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197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197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197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197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197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197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197" s="124"/>
      <c r="AV197" s="245">
        <f>IFERROR(MATCH(Tabla2831364756[[#This Row],[Cuentas Contables]],Otras_Actividades_Cuentas[Cuenta Contable],0),0)</f>
        <v>12</v>
      </c>
      <c r="AW197" s="32" t="str">
        <f>Tabla283136[[#This Row],[Cuentas Contables]]</f>
        <v>Impuestos Nacionales</v>
      </c>
      <c r="AX197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197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197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197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197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197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197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197" s="124"/>
    </row>
    <row r="198" spans="2:61" x14ac:dyDescent="0.25">
      <c r="D198" s="245">
        <f>IFERROR(MATCH(Tabla283136[[#This Row],[Cuentas Contables]],Otras_Actividades_Cuentas[Cuenta Contable],0),0)</f>
        <v>13</v>
      </c>
      <c r="E198" s="32" t="str">
        <f>Configuración!BY17</f>
        <v>Impuestos Provinciales</v>
      </c>
      <c r="F198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198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198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198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198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198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198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198" s="124"/>
      <c r="Z198" s="245">
        <f>IFERROR(MATCH(Tabla28313647[[#This Row],[Cuentas Contables]],Otras_Actividades_Cuentas[Cuenta Contable],0),0)</f>
        <v>13</v>
      </c>
      <c r="AA198" s="32" t="str">
        <f>Tabla283136[[#This Row],[Cuentas Contables]]</f>
        <v>Impuestos Provinciales</v>
      </c>
      <c r="AB198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198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198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198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198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198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198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198" s="124"/>
      <c r="AV198" s="245">
        <f>IFERROR(MATCH(Tabla2831364756[[#This Row],[Cuentas Contables]],Otras_Actividades_Cuentas[Cuenta Contable],0),0)</f>
        <v>13</v>
      </c>
      <c r="AW198" s="32" t="str">
        <f>Tabla283136[[#This Row],[Cuentas Contables]]</f>
        <v>Impuestos Provinciales</v>
      </c>
      <c r="AX198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198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198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198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198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198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198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198" s="124"/>
    </row>
    <row r="199" spans="2:61" x14ac:dyDescent="0.25">
      <c r="D199" s="245">
        <f>IFERROR(MATCH(Tabla283136[[#This Row],[Cuentas Contables]],Otras_Actividades_Cuentas[Cuenta Contable],0),0)</f>
        <v>14</v>
      </c>
      <c r="E199" s="32" t="str">
        <f>Configuración!BY18</f>
        <v>Tasas y Servicios Municipales</v>
      </c>
      <c r="F199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199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199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199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199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199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199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199" s="124"/>
      <c r="Z199" s="245">
        <f>IFERROR(MATCH(Tabla28313647[[#This Row],[Cuentas Contables]],Otras_Actividades_Cuentas[Cuenta Contable],0),0)</f>
        <v>14</v>
      </c>
      <c r="AA199" s="32" t="str">
        <f>Tabla283136[[#This Row],[Cuentas Contables]]</f>
        <v>Tasas y Servicios Municipales</v>
      </c>
      <c r="AB199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199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199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199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199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199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199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199" s="124"/>
      <c r="AV199" s="245">
        <f>IFERROR(MATCH(Tabla2831364756[[#This Row],[Cuentas Contables]],Otras_Actividades_Cuentas[Cuenta Contable],0),0)</f>
        <v>14</v>
      </c>
      <c r="AW199" s="32" t="str">
        <f>Tabla283136[[#This Row],[Cuentas Contables]]</f>
        <v>Tasas y Servicios Municipales</v>
      </c>
      <c r="AX199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199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199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199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199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199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199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199" s="124"/>
    </row>
    <row r="200" spans="2:61" x14ac:dyDescent="0.25">
      <c r="D200" s="245">
        <f>IFERROR(MATCH(Tabla283136[[#This Row],[Cuentas Contables]],Otras_Actividades_Cuentas[Cuenta Contable],0),0)</f>
        <v>15</v>
      </c>
      <c r="E200" s="32" t="str">
        <f>Configuración!BY19</f>
        <v>Gastos Bancarios</v>
      </c>
      <c r="F200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200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200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200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200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200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200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200" s="124"/>
      <c r="Z200" s="245">
        <f>IFERROR(MATCH(Tabla28313647[[#This Row],[Cuentas Contables]],Otras_Actividades_Cuentas[Cuenta Contable],0),0)</f>
        <v>15</v>
      </c>
      <c r="AA200" s="32" t="str">
        <f>Tabla283136[[#This Row],[Cuentas Contables]]</f>
        <v>Gastos Bancarios</v>
      </c>
      <c r="AB200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200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200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200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200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200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200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200" s="124"/>
      <c r="AV200" s="245">
        <f>IFERROR(MATCH(Tabla2831364756[[#This Row],[Cuentas Contables]],Otras_Actividades_Cuentas[Cuenta Contable],0),0)</f>
        <v>15</v>
      </c>
      <c r="AW200" s="32" t="str">
        <f>Tabla283136[[#This Row],[Cuentas Contables]]</f>
        <v>Gastos Bancarios</v>
      </c>
      <c r="AX200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200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200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200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200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200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200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200" s="124"/>
    </row>
    <row r="201" spans="2:61" x14ac:dyDescent="0.25">
      <c r="D201" s="245">
        <f>IFERROR(MATCH(Tabla283136[[#This Row],[Cuentas Contables]],Otras_Actividades_Cuentas[Cuenta Contable],0),0)</f>
        <v>16</v>
      </c>
      <c r="E201" s="32" t="str">
        <f>Configuración!BY20</f>
        <v>Amortización</v>
      </c>
      <c r="F201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201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201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201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201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201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201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201" s="124"/>
      <c r="Z201" s="245">
        <f>IFERROR(MATCH(Tabla28313647[[#This Row],[Cuentas Contables]],Otras_Actividades_Cuentas[Cuenta Contable],0),0)</f>
        <v>16</v>
      </c>
      <c r="AA201" s="32" t="str">
        <f>Tabla283136[[#This Row],[Cuentas Contables]]</f>
        <v>Amortización</v>
      </c>
      <c r="AB201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201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201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201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201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201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201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201" s="124"/>
      <c r="AV201" s="245">
        <f>IFERROR(MATCH(Tabla2831364756[[#This Row],[Cuentas Contables]],Otras_Actividades_Cuentas[Cuenta Contable],0),0)</f>
        <v>16</v>
      </c>
      <c r="AW201" s="32" t="str">
        <f>Tabla283136[[#This Row],[Cuentas Contables]]</f>
        <v>Amortización</v>
      </c>
      <c r="AX201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201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201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201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201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201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201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201" s="124"/>
    </row>
    <row r="202" spans="2:61" x14ac:dyDescent="0.25">
      <c r="D202" s="245">
        <f>IFERROR(MATCH(Tabla283136[[#This Row],[Cuentas Contables]],Otras_Actividades_Cuentas[Cuenta Contable],0),0)</f>
        <v>0</v>
      </c>
      <c r="E202" s="32">
        <f>Configuración!BY21</f>
        <v>0</v>
      </c>
      <c r="F202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202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202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202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202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202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202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202" s="124"/>
      <c r="Z202" s="245">
        <f>IFERROR(MATCH(Tabla28313647[[#This Row],[Cuentas Contables]],Otras_Actividades_Cuentas[Cuenta Contable],0),0)</f>
        <v>0</v>
      </c>
      <c r="AA202" s="32">
        <f>Tabla283136[[#This Row],[Cuentas Contables]]</f>
        <v>0</v>
      </c>
      <c r="AB202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202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202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202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202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202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202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202" s="124"/>
      <c r="AV202" s="245">
        <f>IFERROR(MATCH(Tabla2831364756[[#This Row],[Cuentas Contables]],Otras_Actividades_Cuentas[Cuenta Contable],0),0)</f>
        <v>0</v>
      </c>
      <c r="AW202" s="32">
        <f>Tabla283136[[#This Row],[Cuentas Contables]]</f>
        <v>0</v>
      </c>
      <c r="AX202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202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202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202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202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202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202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202" s="124"/>
    </row>
    <row r="203" spans="2:61" x14ac:dyDescent="0.25">
      <c r="D203" s="245">
        <f>IFERROR(MATCH(Tabla283136[[#This Row],[Cuentas Contables]],Otras_Actividades_Cuentas[Cuenta Contable],0),0)</f>
        <v>18</v>
      </c>
      <c r="E203" s="32" t="str">
        <f>Configuración!BY22</f>
        <v>Labores Propias</v>
      </c>
      <c r="F203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203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203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203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203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203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203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203" s="124"/>
      <c r="Z203" s="245">
        <f>IFERROR(MATCH(Tabla28313647[[#This Row],[Cuentas Contables]],Otras_Actividades_Cuentas[Cuenta Contable],0),0)</f>
        <v>18</v>
      </c>
      <c r="AA203" s="32" t="str">
        <f>Tabla283136[[#This Row],[Cuentas Contables]]</f>
        <v>Labores Propias</v>
      </c>
      <c r="AB203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203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203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203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203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203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203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203" s="124"/>
      <c r="AV203" s="245">
        <f>IFERROR(MATCH(Tabla2831364756[[#This Row],[Cuentas Contables]],Otras_Actividades_Cuentas[Cuenta Contable],0),0)</f>
        <v>18</v>
      </c>
      <c r="AW203" s="32" t="str">
        <f>Tabla283136[[#This Row],[Cuentas Contables]]</f>
        <v>Labores Propias</v>
      </c>
      <c r="AX203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203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203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203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203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203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203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203" s="124"/>
    </row>
    <row r="204" spans="2:61" x14ac:dyDescent="0.25">
      <c r="D204" s="245">
        <f>IFERROR(MATCH(Tabla283136[[#This Row],[Cuentas Contables]],Otras_Actividades_Cuentas[Cuenta Contable],0),0)</f>
        <v>19</v>
      </c>
      <c r="E204" s="32" t="str">
        <f>Configuración!BY23</f>
        <v>Cosecha Propia</v>
      </c>
      <c r="F204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204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204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204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204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204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204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204" s="124"/>
      <c r="Z204" s="245">
        <f>IFERROR(MATCH(Tabla28313647[[#This Row],[Cuentas Contables]],Otras_Actividades_Cuentas[Cuenta Contable],0),0)</f>
        <v>19</v>
      </c>
      <c r="AA204" s="32" t="str">
        <f>Tabla283136[[#This Row],[Cuentas Contables]]</f>
        <v>Cosecha Propia</v>
      </c>
      <c r="AB204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204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204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204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204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204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204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204" s="124"/>
      <c r="AV204" s="245">
        <f>IFERROR(MATCH(Tabla2831364756[[#This Row],[Cuentas Contables]],Otras_Actividades_Cuentas[Cuenta Contable],0),0)</f>
        <v>19</v>
      </c>
      <c r="AW204" s="32" t="str">
        <f>Tabla283136[[#This Row],[Cuentas Contables]]</f>
        <v>Cosecha Propia</v>
      </c>
      <c r="AX204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204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204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204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204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204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204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204" s="124"/>
    </row>
    <row r="205" spans="2:61" x14ac:dyDescent="0.25">
      <c r="D205" s="245">
        <f>IFERROR(MATCH(Tabla283136[[#This Row],[Cuentas Contables]],Otras_Actividades_Cuentas[Cuenta Contable],0),0)</f>
        <v>20</v>
      </c>
      <c r="E205" s="32" t="str">
        <f>Configuración!BY24</f>
        <v>Fletes Propios</v>
      </c>
      <c r="F205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205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205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205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205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205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205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205" s="124"/>
      <c r="Z205" s="245">
        <f>IFERROR(MATCH(Tabla28313647[[#This Row],[Cuentas Contables]],Otras_Actividades_Cuentas[Cuenta Contable],0),0)</f>
        <v>20</v>
      </c>
      <c r="AA205" s="32" t="str">
        <f>Tabla283136[[#This Row],[Cuentas Contables]]</f>
        <v>Fletes Propios</v>
      </c>
      <c r="AB205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205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205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205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205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205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205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205" s="124"/>
      <c r="AV205" s="245">
        <f>IFERROR(MATCH(Tabla2831364756[[#This Row],[Cuentas Contables]],Otras_Actividades_Cuentas[Cuenta Contable],0),0)</f>
        <v>20</v>
      </c>
      <c r="AW205" s="32" t="str">
        <f>Tabla283136[[#This Row],[Cuentas Contables]]</f>
        <v>Fletes Propios</v>
      </c>
      <c r="AX205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205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205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205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205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205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205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205" s="124"/>
    </row>
    <row r="206" spans="2:61" x14ac:dyDescent="0.25">
      <c r="D206" s="245">
        <f>IFERROR(MATCH(Tabla283136[[#This Row],[Cuentas Contables]],Otras_Actividades_Cuentas[Cuenta Contable],0),0)</f>
        <v>21</v>
      </c>
      <c r="E206" s="32" t="str">
        <f>Configuración!BY25</f>
        <v>Costo Oportunidad Tierra</v>
      </c>
      <c r="F206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206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206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206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206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206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206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206" s="124"/>
      <c r="Z206" s="245">
        <f>IFERROR(MATCH(Tabla28313647[[#This Row],[Cuentas Contables]],Otras_Actividades_Cuentas[Cuenta Contable],0),0)</f>
        <v>21</v>
      </c>
      <c r="AA206" s="32" t="str">
        <f>Tabla283136[[#This Row],[Cuentas Contables]]</f>
        <v>Costo Oportunidad Tierra</v>
      </c>
      <c r="AB206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206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206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206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206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206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206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206" s="124"/>
      <c r="AV206" s="245">
        <f>IFERROR(MATCH(Tabla2831364756[[#This Row],[Cuentas Contables]],Otras_Actividades_Cuentas[Cuenta Contable],0),0)</f>
        <v>21</v>
      </c>
      <c r="AW206" s="32" t="str">
        <f>Tabla283136[[#This Row],[Cuentas Contables]]</f>
        <v>Costo Oportunidad Tierra</v>
      </c>
      <c r="AX206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206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206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206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206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206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206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206" s="124"/>
    </row>
    <row r="207" spans="2:61" x14ac:dyDescent="0.25">
      <c r="B207" s="241" t="s">
        <v>101</v>
      </c>
      <c r="D207" s="245">
        <f>IFERROR(MATCH(Tabla283136[[#This Row],[Cuentas Contables]],Otras_Actividades_Cuentas[Cuenta Contable],0),0)</f>
        <v>0</v>
      </c>
      <c r="E207" s="32"/>
      <c r="F207" s="10">
        <f>IFERROR(SUMPRODUCT((Tabla283136[[#This Row],[Cuentas Contables]]=Otras_Actividades_Base[Cuenta Contable])*(Económico!$F$5=Otras_Actividades_Base[Campaña])*(Otras_Actividades_Base[Económico U$S Dólares])*(F$185=Otras_Actividades_Base[Unidad de Negocio])*($F$4=Otras_Actividades_Base[C. Costo Reporte])),0)</f>
        <v>0</v>
      </c>
      <c r="G207" s="10">
        <f>IFERROR(SUMPRODUCT((Tabla283136[[#This Row],[Cuentas Contables]]=Otras_Actividades_Base[Cuenta Contable])*(Económico!$F$5=Otras_Actividades_Base[Campaña])*(Otras_Actividades_Base[Económico U$S Dólares])*(G$185=Otras_Actividades_Base[Unidad de Negocio])*($F$4=Otras_Actividades_Base[C. Costo Reporte])),0)</f>
        <v>0</v>
      </c>
      <c r="H207" s="10">
        <f>IFERROR(SUMPRODUCT((Tabla283136[[#This Row],[Cuentas Contables]]=Otras_Actividades_Base[Cuenta Contable])*(Económico!$F$5=Otras_Actividades_Base[Campaña])*(Otras_Actividades_Base[Económico U$S Dólares])*(H$185=Otras_Actividades_Base[Unidad de Negocio])*($F$4=Otras_Actividades_Base[C. Costo Reporte])),0)</f>
        <v>0</v>
      </c>
      <c r="I207" s="10">
        <f>IFERROR(SUMPRODUCT((Tabla283136[[#This Row],[Cuentas Contables]]=Otras_Actividades_Base[Cuenta Contable])*(Económico!$F$5=Otras_Actividades_Base[Campaña])*(Otras_Actividades_Base[Económico U$S Dólares])*(I$185=Otras_Actividades_Base[Unidad de Negocio])*($F$4=Otras_Actividades_Base[C. Costo Reporte])),0)</f>
        <v>0</v>
      </c>
      <c r="J207" s="10">
        <f>IFERROR(SUMPRODUCT((Tabla283136[[#This Row],[Cuentas Contables]]=Otras_Actividades_Base[Cuenta Contable])*(Económico!$F$5=Otras_Actividades_Base[Campaña])*(Otras_Actividades_Base[Económico U$S Dólares])*(J$185=Otras_Actividades_Base[Unidad de Negocio])*($F$4=Otras_Actividades_Base[C. Costo Reporte])),0)</f>
        <v>0</v>
      </c>
      <c r="K207" s="10">
        <f>IFERROR(SUMPRODUCT((Tabla283136[[#This Row],[Cuentas Contables]]=Otras_Actividades_Base[Cuenta Contable])*(Económico!$F$5=Otras_Actividades_Base[Campaña])*(Otras_Actividades_Base[Económico U$S Dólares])*(K$185=Otras_Actividades_Base[Unidad de Negocio])*($F$4=Otras_Actividades_Base[C. Costo Reporte])),0)</f>
        <v>0</v>
      </c>
      <c r="L207" s="10">
        <f>IFERROR(SUMPRODUCT((Tabla283136[[#This Row],[Cuentas Contables]]=Otras_Actividades_Base[Cuenta Contable])*(Económico!$F$5=Otras_Actividades_Base[Campaña])*(Otras_Actividades_Base[Económico U$S Dólares])*(L$185=Otras_Actividades_Base[Unidad de Negocio])*($F$4=Otras_Actividades_Base[C. Costo Reporte])),0)</f>
        <v>0</v>
      </c>
      <c r="Q207" s="124"/>
      <c r="X207" s="241" t="s">
        <v>101</v>
      </c>
      <c r="Z207" s="245">
        <f>IFERROR(MATCH(Tabla28313647[[#This Row],[Cuentas Contables]],Otras_Actividades_Cuentas[Cuenta Contable],0),0)</f>
        <v>0</v>
      </c>
      <c r="AB207" s="10">
        <f>IFERROR(SUMPRODUCT((Tabla28313647[[#This Row],[Cuentas Contables]]=Otras_Actividades_Base[Cuenta Contable])*(Económico!$F$5=Otras_Actividades_Base[Campaña])*(Otras_Actividades_Base[Económico $Corrientes])*(AB$185=Otras_Actividades_Base[Unidad de Negocio])*($F$4=Otras_Actividades_Base[C. Costo Reporte])),0)</f>
        <v>0</v>
      </c>
      <c r="AC207" s="10">
        <f>IFERROR(SUMPRODUCT((Tabla28313647[[#This Row],[Cuentas Contables]]=Otras_Actividades_Base[Cuenta Contable])*(Económico!$F$5=Otras_Actividades_Base[Campaña])*(Otras_Actividades_Base[Económico $Corrientes])*(AC$185=Otras_Actividades_Base[Unidad de Negocio])*($F$4=Otras_Actividades_Base[C. Costo Reporte])),0)</f>
        <v>0</v>
      </c>
      <c r="AD207" s="10">
        <f>IFERROR(SUMPRODUCT((Tabla28313647[[#This Row],[Cuentas Contables]]=Otras_Actividades_Base[Cuenta Contable])*(Económico!$F$5=Otras_Actividades_Base[Campaña])*(Otras_Actividades_Base[Económico $Corrientes])*(AD$185=Otras_Actividades_Base[Unidad de Negocio])*($F$4=Otras_Actividades_Base[C. Costo Reporte])),0)</f>
        <v>0</v>
      </c>
      <c r="AE207" s="10">
        <f>IFERROR(SUMPRODUCT((Tabla28313647[[#This Row],[Cuentas Contables]]=Otras_Actividades_Base[Cuenta Contable])*(Económico!$F$5=Otras_Actividades_Base[Campaña])*(Otras_Actividades_Base[Económico $Corrientes])*(AE$185=Otras_Actividades_Base[Unidad de Negocio])*($F$4=Otras_Actividades_Base[C. Costo Reporte])),0)</f>
        <v>0</v>
      </c>
      <c r="AF207" s="10">
        <f>IFERROR(SUMPRODUCT((Tabla28313647[[#This Row],[Cuentas Contables]]=Otras_Actividades_Base[Cuenta Contable])*(Económico!$F$5=Otras_Actividades_Base[Campaña])*(Otras_Actividades_Base[Económico $Corrientes])*(AF$185=Otras_Actividades_Base[Unidad de Negocio])*($F$4=Otras_Actividades_Base[C. Costo Reporte])),0)</f>
        <v>0</v>
      </c>
      <c r="AG207" s="10">
        <f>IFERROR(SUMPRODUCT((Tabla28313647[[#This Row],[Cuentas Contables]]=Otras_Actividades_Base[Cuenta Contable])*(Económico!$F$5=Otras_Actividades_Base[Campaña])*(Otras_Actividades_Base[Económico $Corrientes])*(AG$185=Otras_Actividades_Base[Unidad de Negocio])*($F$4=Otras_Actividades_Base[C. Costo Reporte])),0)</f>
        <v>0</v>
      </c>
      <c r="AH207" s="10">
        <f>IFERROR(SUMPRODUCT((Tabla28313647[[#This Row],[Cuentas Contables]]=Otras_Actividades_Base[Cuenta Contable])*(Económico!$F$5=Otras_Actividades_Base[Campaña])*(Otras_Actividades_Base[Económico $Corrientes])*(AH$185=Otras_Actividades_Base[Unidad de Negocio])*($F$4=Otras_Actividades_Base[C. Costo Reporte])),0)</f>
        <v>0</v>
      </c>
      <c r="AM207" s="124"/>
      <c r="AT207" s="241" t="s">
        <v>101</v>
      </c>
      <c r="AV207" s="245">
        <f>IFERROR(MATCH(Tabla2831364756[[#This Row],[Cuentas Contables]],Otras_Actividades_Cuentas[Cuenta Contable],0),0)</f>
        <v>0</v>
      </c>
      <c r="AX207" s="10">
        <f>IFERROR(SUMPRODUCT((Tabla2831364756[[#This Row],[Cuentas Contables]]=Otras_Actividades_Base[Cuenta Contable])*(Económico!$F$5=Otras_Actividades_Base[Campaña])*(Otras_Actividades_Base[Económico $Constantes])*(AX$185=Otras_Actividades_Base[Unidad de Negocio])*($F$4=Otras_Actividades_Base[C. Costo Reporte])),0)</f>
        <v>0</v>
      </c>
      <c r="AY207" s="10">
        <f>IFERROR(SUMPRODUCT((Tabla2831364756[[#This Row],[Cuentas Contables]]=Otras_Actividades_Base[Cuenta Contable])*(Económico!$F$5=Otras_Actividades_Base[Campaña])*(Otras_Actividades_Base[Económico $Constantes])*(AY$185=Otras_Actividades_Base[Unidad de Negocio])*($F$4=Otras_Actividades_Base[C. Costo Reporte])),0)</f>
        <v>0</v>
      </c>
      <c r="AZ207" s="10">
        <f>IFERROR(SUMPRODUCT((Tabla2831364756[[#This Row],[Cuentas Contables]]=Otras_Actividades_Base[Cuenta Contable])*(Económico!$F$5=Otras_Actividades_Base[Campaña])*(Otras_Actividades_Base[Económico $Constantes])*(AZ$185=Otras_Actividades_Base[Unidad de Negocio])*($F$4=Otras_Actividades_Base[C. Costo Reporte])),0)</f>
        <v>0</v>
      </c>
      <c r="BA207" s="10">
        <f>IFERROR(SUMPRODUCT((Tabla2831364756[[#This Row],[Cuentas Contables]]=Otras_Actividades_Base[Cuenta Contable])*(Económico!$F$5=Otras_Actividades_Base[Campaña])*(Otras_Actividades_Base[Económico $Constantes])*(BA$185=Otras_Actividades_Base[Unidad de Negocio])*($F$4=Otras_Actividades_Base[C. Costo Reporte])),0)</f>
        <v>0</v>
      </c>
      <c r="BB207" s="10">
        <f>IFERROR(SUMPRODUCT((Tabla2831364756[[#This Row],[Cuentas Contables]]=Otras_Actividades_Base[Cuenta Contable])*(Económico!$F$5=Otras_Actividades_Base[Campaña])*(Otras_Actividades_Base[Económico $Constantes])*(BB$185=Otras_Actividades_Base[Unidad de Negocio])*($F$4=Otras_Actividades_Base[C. Costo Reporte])),0)</f>
        <v>0</v>
      </c>
      <c r="BC207" s="10">
        <f>IFERROR(SUMPRODUCT((Tabla2831364756[[#This Row],[Cuentas Contables]]=Otras_Actividades_Base[Cuenta Contable])*(Económico!$F$5=Otras_Actividades_Base[Campaña])*(Otras_Actividades_Base[Económico $Constantes])*(BC$185=Otras_Actividades_Base[Unidad de Negocio])*($F$4=Otras_Actividades_Base[C. Costo Reporte])),0)</f>
        <v>0</v>
      </c>
      <c r="BD207" s="10">
        <f>IFERROR(SUMPRODUCT((Tabla2831364756[[#This Row],[Cuentas Contables]]=Otras_Actividades_Base[Cuenta Contable])*(Económico!$F$5=Otras_Actividades_Base[Campaña])*(Otras_Actividades_Base[Económico $Constantes])*(BD$185=Otras_Actividades_Base[Unidad de Negocio])*($F$4=Otras_Actividades_Base[C. Costo Reporte])),0)</f>
        <v>0</v>
      </c>
      <c r="BI207" s="124"/>
    </row>
    <row r="208" spans="2:61" x14ac:dyDescent="0.25">
      <c r="E208" s="92" t="s">
        <v>249</v>
      </c>
      <c r="F208" s="250">
        <f>SUBTOTAL(109,Tabla283136[Maquinaria])</f>
        <v>0</v>
      </c>
      <c r="G208" s="250">
        <f>SUBTOTAL(109,Tabla283136[Cosecha])</f>
        <v>0</v>
      </c>
      <c r="H208" s="250">
        <f>SUBTOTAL(109,Tabla283136[Inmobiliario])</f>
        <v>0</v>
      </c>
      <c r="I208" s="250">
        <f>SUBTOTAL(109,Tabla283136[Fletes])</f>
        <v>0</v>
      </c>
      <c r="J208" s="250">
        <f>SUBTOTAL(109,Tabla283136[Columna1])</f>
        <v>0</v>
      </c>
      <c r="K208" s="250">
        <f>SUBTOTAL(109,Tabla283136[Columna6])</f>
        <v>0</v>
      </c>
      <c r="L208" s="250">
        <f>SUBTOTAL(109,Tabla283136[Columna7])</f>
        <v>0</v>
      </c>
      <c r="Q208" s="124"/>
      <c r="AA208" s="412" t="s">
        <v>249</v>
      </c>
      <c r="AB208" s="250">
        <f>SUBTOTAL(109,Tabla28313647[Maquinaria])</f>
        <v>0</v>
      </c>
      <c r="AC208" s="250">
        <f>SUBTOTAL(109,Tabla28313647[Cosecha])</f>
        <v>0</v>
      </c>
      <c r="AD208" s="250">
        <f>SUBTOTAL(109,Tabla28313647[Inmobiliario])</f>
        <v>0</v>
      </c>
      <c r="AE208" s="250">
        <f>SUBTOTAL(109,Tabla28313647[Fletes])</f>
        <v>0</v>
      </c>
      <c r="AF208" s="250">
        <f>SUBTOTAL(109,Tabla28313647[Columna1])</f>
        <v>0</v>
      </c>
      <c r="AG208" s="250">
        <f>SUBTOTAL(109,Tabla28313647[Columna6])</f>
        <v>0</v>
      </c>
      <c r="AH208" s="250">
        <f>SUBTOTAL(109,Tabla28313647[Columna7])</f>
        <v>0</v>
      </c>
      <c r="AM208" s="124"/>
      <c r="AW208" s="412" t="s">
        <v>249</v>
      </c>
      <c r="AX208" s="250">
        <f>SUBTOTAL(109,Tabla2831364756[Maquinaria])</f>
        <v>0</v>
      </c>
      <c r="AY208" s="250">
        <f>SUBTOTAL(109,Tabla2831364756[Cosecha])</f>
        <v>0</v>
      </c>
      <c r="AZ208" s="250">
        <f>SUBTOTAL(109,Tabla2831364756[Inmobiliario])</f>
        <v>0</v>
      </c>
      <c r="BA208" s="250">
        <f>SUBTOTAL(109,Tabla2831364756[Fletes])</f>
        <v>0</v>
      </c>
      <c r="BB208" s="250">
        <f>SUBTOTAL(109,Tabla2831364756[Columna1])</f>
        <v>0</v>
      </c>
      <c r="BC208" s="250">
        <f>SUBTOTAL(109,Tabla2831364756[Columna6])</f>
        <v>0</v>
      </c>
      <c r="BD208" s="250">
        <f>SUBTOTAL(109,Tabla2831364756[Columna7])</f>
        <v>0</v>
      </c>
      <c r="BI208" s="124"/>
    </row>
    <row r="209" spans="1:16384" x14ac:dyDescent="0.25">
      <c r="A209" s="243"/>
      <c r="B209" s="242"/>
      <c r="C209" s="243"/>
      <c r="D209" s="243"/>
      <c r="E209" s="243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  <c r="P209" s="244"/>
      <c r="Q209" s="243"/>
      <c r="R209" s="243"/>
      <c r="S209" s="243"/>
      <c r="T209" s="243"/>
      <c r="U209" s="243"/>
      <c r="V209" s="447"/>
      <c r="W209" s="243"/>
      <c r="X209" s="242"/>
      <c r="Y209" s="243"/>
      <c r="Z209" s="243"/>
      <c r="AA209" s="460"/>
      <c r="AB209" s="244"/>
      <c r="AC209" s="244"/>
      <c r="AD209" s="244"/>
      <c r="AE209" s="244"/>
      <c r="AF209" s="244"/>
      <c r="AG209" s="244"/>
      <c r="AH209" s="244"/>
      <c r="AI209" s="244"/>
      <c r="AJ209" s="244"/>
      <c r="AK209" s="244"/>
      <c r="AL209" s="244"/>
      <c r="AM209" s="243"/>
      <c r="AN209" s="243"/>
      <c r="AO209" s="243"/>
      <c r="AP209" s="243"/>
      <c r="AQ209" s="243"/>
      <c r="AR209" s="447"/>
      <c r="AS209" s="243"/>
      <c r="AT209" s="242"/>
      <c r="AU209" s="243"/>
      <c r="AV209" s="243"/>
      <c r="AW209" s="460"/>
      <c r="AX209" s="244"/>
      <c r="AY209" s="244"/>
      <c r="AZ209" s="244"/>
      <c r="BA209" s="244"/>
      <c r="BB209" s="244"/>
      <c r="BC209" s="244"/>
      <c r="BD209" s="244"/>
      <c r="BE209" s="244"/>
      <c r="BF209" s="244"/>
      <c r="BG209" s="244"/>
      <c r="BH209" s="244"/>
      <c r="BI209" s="243"/>
      <c r="BJ209" s="243"/>
      <c r="BK209" s="243"/>
      <c r="BL209" s="243"/>
      <c r="BM209" s="243"/>
      <c r="BN209" s="243"/>
      <c r="BO209" s="243"/>
      <c r="BP209" s="243"/>
      <c r="BQ209" s="243"/>
      <c r="BR209" s="243"/>
      <c r="BS209" s="243"/>
      <c r="BT209" s="243"/>
      <c r="BU209" s="243"/>
      <c r="BV209" s="243"/>
      <c r="BW209" s="243"/>
      <c r="BX209" s="243"/>
      <c r="BY209" s="243"/>
      <c r="BZ209" s="243"/>
      <c r="CA209" s="243"/>
      <c r="CB209" s="243"/>
      <c r="CC209" s="243"/>
      <c r="CD209" s="243"/>
      <c r="CE209" s="243"/>
      <c r="CF209" s="243"/>
      <c r="CG209" s="243"/>
      <c r="CH209" s="243"/>
      <c r="CI209" s="243"/>
      <c r="CJ209" s="243"/>
      <c r="CK209" s="243"/>
      <c r="CL209" s="243"/>
      <c r="CM209" s="243"/>
      <c r="CN209" s="243"/>
      <c r="CO209" s="243"/>
      <c r="CP209" s="243"/>
      <c r="CQ209" s="243"/>
      <c r="CR209" s="243"/>
      <c r="CS209" s="243"/>
      <c r="CT209" s="243"/>
      <c r="CU209" s="243"/>
      <c r="CV209" s="243"/>
      <c r="CW209" s="243"/>
      <c r="CX209" s="243"/>
      <c r="CY209" s="243"/>
      <c r="CZ209" s="243"/>
      <c r="DA209" s="243"/>
      <c r="DB209" s="243"/>
      <c r="DC209" s="243"/>
      <c r="DD209" s="243"/>
      <c r="DE209" s="243"/>
      <c r="DF209" s="243"/>
      <c r="DG209" s="243"/>
      <c r="DH209" s="243"/>
      <c r="DI209" s="243"/>
      <c r="DJ209" s="243"/>
      <c r="DK209" s="243"/>
      <c r="DL209" s="243"/>
      <c r="DM209" s="243"/>
      <c r="DN209" s="243"/>
      <c r="DO209" s="243"/>
      <c r="DP209" s="243"/>
      <c r="DQ209" s="243"/>
      <c r="DR209" s="243"/>
      <c r="DS209" s="243"/>
      <c r="DT209" s="243"/>
      <c r="DU209" s="243"/>
      <c r="DV209" s="243"/>
      <c r="DW209" s="243"/>
      <c r="DX209" s="243"/>
      <c r="DY209" s="243"/>
      <c r="DZ209" s="243"/>
      <c r="EA209" s="243"/>
      <c r="EB209" s="243"/>
      <c r="EC209" s="243"/>
      <c r="ED209" s="243"/>
      <c r="EE209" s="243"/>
      <c r="EF209" s="243"/>
      <c r="EG209" s="243"/>
      <c r="EH209" s="243"/>
      <c r="EI209" s="243"/>
      <c r="EJ209" s="243"/>
      <c r="EK209" s="243"/>
      <c r="EL209" s="243"/>
      <c r="EM209" s="243"/>
      <c r="EN209" s="243"/>
      <c r="EO209" s="243"/>
      <c r="EP209" s="243"/>
      <c r="EQ209" s="243"/>
      <c r="ER209" s="243"/>
      <c r="ES209" s="243"/>
      <c r="ET209" s="243"/>
      <c r="EU209" s="243"/>
      <c r="EV209" s="243"/>
      <c r="EW209" s="243"/>
      <c r="EX209" s="243"/>
      <c r="EY209" s="243"/>
      <c r="EZ209" s="243"/>
      <c r="FA209" s="243"/>
      <c r="FB209" s="243"/>
      <c r="FC209" s="243"/>
      <c r="FD209" s="243"/>
      <c r="FE209" s="243"/>
      <c r="FF209" s="243"/>
      <c r="FG209" s="243"/>
      <c r="FH209" s="243"/>
      <c r="FI209" s="243"/>
      <c r="FJ209" s="243"/>
      <c r="FK209" s="243"/>
      <c r="FL209" s="243"/>
      <c r="FM209" s="243"/>
      <c r="FN209" s="243"/>
      <c r="FO209" s="243"/>
      <c r="FP209" s="243"/>
      <c r="FQ209" s="243"/>
      <c r="FR209" s="243"/>
      <c r="FS209" s="243"/>
      <c r="FT209" s="243"/>
      <c r="FU209" s="243"/>
      <c r="FV209" s="243"/>
      <c r="FW209" s="243"/>
      <c r="FX209" s="243"/>
      <c r="FY209" s="243"/>
      <c r="FZ209" s="243"/>
      <c r="GA209" s="243"/>
      <c r="GB209" s="243"/>
      <c r="GC209" s="243"/>
      <c r="GD209" s="243"/>
      <c r="GE209" s="243"/>
      <c r="GF209" s="243"/>
      <c r="GG209" s="243"/>
      <c r="GH209" s="243"/>
      <c r="GI209" s="243"/>
      <c r="GJ209" s="243"/>
      <c r="GK209" s="243"/>
      <c r="GL209" s="243"/>
      <c r="GM209" s="243"/>
      <c r="GN209" s="243"/>
      <c r="GO209" s="243"/>
      <c r="GP209" s="243"/>
      <c r="GQ209" s="243"/>
      <c r="GR209" s="243"/>
      <c r="GS209" s="243"/>
      <c r="GT209" s="243"/>
      <c r="GU209" s="243"/>
      <c r="GV209" s="243"/>
      <c r="GW209" s="243"/>
      <c r="GX209" s="243"/>
      <c r="GY209" s="243"/>
      <c r="GZ209" s="243"/>
      <c r="HA209" s="243"/>
      <c r="HB209" s="243"/>
      <c r="HC209" s="243"/>
      <c r="HD209" s="243"/>
      <c r="HE209" s="243"/>
      <c r="HF209" s="243"/>
      <c r="HG209" s="243"/>
      <c r="HH209" s="243"/>
      <c r="HI209" s="243"/>
      <c r="HJ209" s="243"/>
      <c r="HK209" s="243"/>
      <c r="HL209" s="243"/>
      <c r="HM209" s="243"/>
      <c r="HN209" s="243"/>
      <c r="HO209" s="243"/>
      <c r="HP209" s="243"/>
      <c r="HQ209" s="243"/>
      <c r="HR209" s="243"/>
      <c r="HS209" s="243"/>
      <c r="HT209" s="243"/>
      <c r="HU209" s="243"/>
      <c r="HV209" s="243"/>
      <c r="HW209" s="243"/>
      <c r="HX209" s="243"/>
      <c r="HY209" s="243"/>
      <c r="HZ209" s="243"/>
      <c r="IA209" s="243"/>
      <c r="IB209" s="243"/>
      <c r="IC209" s="243"/>
      <c r="ID209" s="243"/>
      <c r="IE209" s="243"/>
      <c r="IF209" s="243"/>
      <c r="IG209" s="243"/>
      <c r="IH209" s="243"/>
      <c r="II209" s="243"/>
      <c r="IJ209" s="243"/>
      <c r="IK209" s="243"/>
      <c r="IL209" s="243"/>
      <c r="IM209" s="243"/>
      <c r="IN209" s="243"/>
      <c r="IO209" s="243"/>
      <c r="IP209" s="243"/>
      <c r="IQ209" s="243"/>
      <c r="IR209" s="243"/>
      <c r="IS209" s="243"/>
      <c r="IT209" s="243"/>
      <c r="IU209" s="243"/>
      <c r="IV209" s="243"/>
      <c r="IW209" s="243"/>
      <c r="IX209" s="243"/>
      <c r="IY209" s="243"/>
      <c r="IZ209" s="243"/>
      <c r="JA209" s="243"/>
      <c r="JB209" s="243"/>
      <c r="JC209" s="243"/>
      <c r="JD209" s="243"/>
      <c r="JE209" s="243"/>
      <c r="JF209" s="243"/>
      <c r="JG209" s="243"/>
      <c r="JH209" s="243"/>
      <c r="JI209" s="243"/>
      <c r="JJ209" s="243"/>
      <c r="JK209" s="243"/>
      <c r="JL209" s="243"/>
      <c r="JM209" s="243"/>
      <c r="JN209" s="243"/>
      <c r="JO209" s="243"/>
      <c r="JP209" s="243"/>
      <c r="JQ209" s="243"/>
      <c r="JR209" s="243"/>
      <c r="JS209" s="243"/>
      <c r="JT209" s="243"/>
      <c r="JU209" s="243"/>
      <c r="JV209" s="243"/>
      <c r="JW209" s="243"/>
      <c r="JX209" s="243"/>
      <c r="JY209" s="243"/>
      <c r="JZ209" s="243"/>
      <c r="KA209" s="243"/>
      <c r="KB209" s="243"/>
      <c r="KC209" s="243"/>
      <c r="KD209" s="243"/>
      <c r="KE209" s="243"/>
      <c r="KF209" s="243"/>
      <c r="KG209" s="243"/>
      <c r="KH209" s="243"/>
      <c r="KI209" s="243"/>
      <c r="KJ209" s="243"/>
      <c r="KK209" s="243"/>
      <c r="KL209" s="243"/>
      <c r="KM209" s="243"/>
      <c r="KN209" s="243"/>
      <c r="KO209" s="243"/>
      <c r="KP209" s="243"/>
      <c r="KQ209" s="243"/>
      <c r="KR209" s="243"/>
      <c r="KS209" s="243"/>
      <c r="KT209" s="243"/>
      <c r="KU209" s="243"/>
      <c r="KV209" s="243"/>
      <c r="KW209" s="243"/>
      <c r="KX209" s="243"/>
      <c r="KY209" s="243"/>
      <c r="KZ209" s="243"/>
      <c r="LA209" s="243"/>
      <c r="LB209" s="243"/>
      <c r="LC209" s="243"/>
      <c r="LD209" s="243"/>
      <c r="LE209" s="243"/>
      <c r="LF209" s="243"/>
      <c r="LG209" s="243"/>
      <c r="LH209" s="243"/>
      <c r="LI209" s="243"/>
      <c r="LJ209" s="243"/>
      <c r="LK209" s="243"/>
      <c r="LL209" s="243"/>
      <c r="LM209" s="243"/>
      <c r="LN209" s="243"/>
      <c r="LO209" s="243"/>
      <c r="LP209" s="243"/>
      <c r="LQ209" s="243"/>
      <c r="LR209" s="243"/>
      <c r="LS209" s="243"/>
      <c r="LT209" s="243"/>
      <c r="LU209" s="243"/>
      <c r="LV209" s="243"/>
      <c r="LW209" s="243"/>
      <c r="LX209" s="243"/>
      <c r="LY209" s="243"/>
      <c r="LZ209" s="243"/>
      <c r="MA209" s="243"/>
      <c r="MB209" s="243"/>
      <c r="MC209" s="243"/>
      <c r="MD209" s="243"/>
      <c r="ME209" s="243"/>
      <c r="MF209" s="243"/>
      <c r="MG209" s="243"/>
      <c r="MH209" s="243"/>
      <c r="MI209" s="243"/>
      <c r="MJ209" s="243"/>
      <c r="MK209" s="243"/>
      <c r="ML209" s="243"/>
      <c r="MM209" s="243"/>
      <c r="MN209" s="243"/>
      <c r="MO209" s="243"/>
      <c r="MP209" s="243"/>
      <c r="MQ209" s="243"/>
      <c r="MR209" s="243"/>
      <c r="MS209" s="243"/>
      <c r="MT209" s="243"/>
      <c r="MU209" s="243"/>
      <c r="MV209" s="243"/>
      <c r="MW209" s="243"/>
      <c r="MX209" s="243"/>
      <c r="MY209" s="243"/>
      <c r="MZ209" s="243"/>
      <c r="NA209" s="243"/>
      <c r="NB209" s="243"/>
      <c r="NC209" s="243"/>
      <c r="ND209" s="243"/>
      <c r="NE209" s="243"/>
      <c r="NF209" s="243"/>
      <c r="NG209" s="243"/>
      <c r="NH209" s="243"/>
      <c r="NI209" s="243"/>
      <c r="NJ209" s="243"/>
      <c r="NK209" s="243"/>
      <c r="NL209" s="243"/>
      <c r="NM209" s="243"/>
      <c r="NN209" s="243"/>
      <c r="NO209" s="243"/>
      <c r="NP209" s="243"/>
      <c r="NQ209" s="243"/>
      <c r="NR209" s="243"/>
      <c r="NS209" s="243"/>
      <c r="NT209" s="243"/>
      <c r="NU209" s="243"/>
      <c r="NV209" s="243"/>
      <c r="NW209" s="243"/>
      <c r="NX209" s="243"/>
      <c r="NY209" s="243"/>
      <c r="NZ209" s="243"/>
      <c r="OA209" s="243"/>
      <c r="OB209" s="243"/>
      <c r="OC209" s="243"/>
      <c r="OD209" s="243"/>
      <c r="OE209" s="243"/>
      <c r="OF209" s="243"/>
      <c r="OG209" s="243"/>
      <c r="OH209" s="243"/>
      <c r="OI209" s="243"/>
      <c r="OJ209" s="243"/>
      <c r="OK209" s="243"/>
      <c r="OL209" s="243"/>
      <c r="OM209" s="243"/>
      <c r="ON209" s="243"/>
      <c r="OO209" s="243"/>
      <c r="OP209" s="243"/>
      <c r="OQ209" s="243"/>
      <c r="OR209" s="243"/>
      <c r="OS209" s="243"/>
      <c r="OT209" s="243"/>
      <c r="OU209" s="243"/>
      <c r="OV209" s="243"/>
      <c r="OW209" s="243"/>
      <c r="OX209" s="243"/>
      <c r="OY209" s="243"/>
      <c r="OZ209" s="243"/>
      <c r="PA209" s="243"/>
      <c r="PB209" s="243"/>
      <c r="PC209" s="243"/>
      <c r="PD209" s="243"/>
      <c r="PE209" s="243"/>
      <c r="PF209" s="243"/>
      <c r="PG209" s="243"/>
      <c r="PH209" s="243"/>
      <c r="PI209" s="243"/>
      <c r="PJ209" s="243"/>
      <c r="PK209" s="243"/>
      <c r="PL209" s="243"/>
      <c r="PM209" s="243"/>
      <c r="PN209" s="243"/>
      <c r="PO209" s="243"/>
      <c r="PP209" s="243"/>
      <c r="PQ209" s="243"/>
      <c r="PR209" s="243"/>
      <c r="PS209" s="243"/>
      <c r="PT209" s="243"/>
      <c r="PU209" s="243"/>
      <c r="PV209" s="243"/>
      <c r="PW209" s="243"/>
      <c r="PX209" s="243"/>
      <c r="PY209" s="243"/>
      <c r="PZ209" s="243"/>
      <c r="QA209" s="243"/>
      <c r="QB209" s="243"/>
      <c r="QC209" s="243"/>
      <c r="QD209" s="243"/>
      <c r="QE209" s="243"/>
      <c r="QF209" s="243"/>
      <c r="QG209" s="243"/>
      <c r="QH209" s="243"/>
      <c r="QI209" s="243"/>
      <c r="QJ209" s="243"/>
      <c r="QK209" s="243"/>
      <c r="QL209" s="243"/>
      <c r="QM209" s="243"/>
      <c r="QN209" s="243"/>
      <c r="QO209" s="243"/>
      <c r="QP209" s="243"/>
      <c r="QQ209" s="243"/>
      <c r="QR209" s="243"/>
      <c r="QS209" s="243"/>
      <c r="QT209" s="243"/>
      <c r="QU209" s="243"/>
      <c r="QV209" s="243"/>
      <c r="QW209" s="243"/>
      <c r="QX209" s="243"/>
      <c r="QY209" s="243"/>
      <c r="QZ209" s="243"/>
      <c r="RA209" s="243"/>
      <c r="RB209" s="243"/>
      <c r="RC209" s="243"/>
      <c r="RD209" s="243"/>
      <c r="RE209" s="243"/>
      <c r="RF209" s="243"/>
      <c r="RG209" s="243"/>
      <c r="RH209" s="243"/>
      <c r="RI209" s="243"/>
      <c r="RJ209" s="243"/>
      <c r="RK209" s="243"/>
      <c r="RL209" s="243"/>
      <c r="RM209" s="243"/>
      <c r="RN209" s="243"/>
      <c r="RO209" s="243"/>
      <c r="RP209" s="243"/>
      <c r="RQ209" s="243"/>
      <c r="RR209" s="243"/>
      <c r="RS209" s="243"/>
      <c r="RT209" s="243"/>
      <c r="RU209" s="243"/>
      <c r="RV209" s="243"/>
      <c r="RW209" s="243"/>
      <c r="RX209" s="243"/>
      <c r="RY209" s="243"/>
      <c r="RZ209" s="243"/>
      <c r="SA209" s="243"/>
      <c r="SB209" s="243"/>
      <c r="SC209" s="243"/>
      <c r="SD209" s="243"/>
      <c r="SE209" s="243"/>
      <c r="SF209" s="243"/>
      <c r="SG209" s="243"/>
      <c r="SH209" s="243"/>
      <c r="SI209" s="243"/>
      <c r="SJ209" s="243"/>
      <c r="SK209" s="243"/>
      <c r="SL209" s="243"/>
      <c r="SM209" s="243"/>
      <c r="SN209" s="243"/>
      <c r="SO209" s="243"/>
      <c r="SP209" s="243"/>
      <c r="SQ209" s="243"/>
      <c r="SR209" s="243"/>
      <c r="SS209" s="243"/>
      <c r="ST209" s="243"/>
      <c r="SU209" s="243"/>
      <c r="SV209" s="243"/>
      <c r="SW209" s="243"/>
      <c r="SX209" s="243"/>
      <c r="SY209" s="243"/>
      <c r="SZ209" s="243"/>
      <c r="TA209" s="243"/>
      <c r="TB209" s="243"/>
      <c r="TC209" s="243"/>
      <c r="TD209" s="243"/>
      <c r="TE209" s="243"/>
      <c r="TF209" s="243"/>
      <c r="TG209" s="243"/>
      <c r="TH209" s="243"/>
      <c r="TI209" s="243"/>
      <c r="TJ209" s="243"/>
      <c r="TK209" s="243"/>
      <c r="TL209" s="243"/>
      <c r="TM209" s="243"/>
      <c r="TN209" s="243"/>
      <c r="TO209" s="243"/>
      <c r="TP209" s="243"/>
      <c r="TQ209" s="243"/>
      <c r="TR209" s="243"/>
      <c r="TS209" s="243"/>
      <c r="TT209" s="243"/>
      <c r="TU209" s="243"/>
      <c r="TV209" s="243"/>
      <c r="TW209" s="243"/>
      <c r="TX209" s="243"/>
      <c r="TY209" s="243"/>
      <c r="TZ209" s="243"/>
      <c r="UA209" s="243"/>
      <c r="UB209" s="243"/>
      <c r="UC209" s="243"/>
      <c r="UD209" s="243"/>
      <c r="UE209" s="243"/>
      <c r="UF209" s="243"/>
      <c r="UG209" s="243"/>
      <c r="UH209" s="243"/>
      <c r="UI209" s="243"/>
      <c r="UJ209" s="243"/>
      <c r="UK209" s="243"/>
      <c r="UL209" s="243"/>
      <c r="UM209" s="243"/>
      <c r="UN209" s="243"/>
      <c r="UO209" s="243"/>
      <c r="UP209" s="243"/>
      <c r="UQ209" s="243"/>
      <c r="UR209" s="243"/>
      <c r="US209" s="243"/>
      <c r="UT209" s="243"/>
      <c r="UU209" s="243"/>
      <c r="UV209" s="243"/>
      <c r="UW209" s="243"/>
      <c r="UX209" s="243"/>
      <c r="UY209" s="243"/>
      <c r="UZ209" s="243"/>
      <c r="VA209" s="243"/>
      <c r="VB209" s="243"/>
      <c r="VC209" s="243"/>
      <c r="VD209" s="243"/>
      <c r="VE209" s="243"/>
      <c r="VF209" s="243"/>
      <c r="VG209" s="243"/>
      <c r="VH209" s="243"/>
      <c r="VI209" s="243"/>
      <c r="VJ209" s="243"/>
      <c r="VK209" s="243"/>
      <c r="VL209" s="243"/>
      <c r="VM209" s="243"/>
      <c r="VN209" s="243"/>
      <c r="VO209" s="243"/>
      <c r="VP209" s="243"/>
      <c r="VQ209" s="243"/>
      <c r="VR209" s="243"/>
      <c r="VS209" s="243"/>
      <c r="VT209" s="243"/>
      <c r="VU209" s="243"/>
      <c r="VV209" s="243"/>
      <c r="VW209" s="243"/>
      <c r="VX209" s="243"/>
      <c r="VY209" s="243"/>
      <c r="VZ209" s="243"/>
      <c r="WA209" s="243"/>
      <c r="WB209" s="243"/>
      <c r="WC209" s="243"/>
      <c r="WD209" s="243"/>
      <c r="WE209" s="243"/>
      <c r="WF209" s="243"/>
      <c r="WG209" s="243"/>
      <c r="WH209" s="243"/>
      <c r="WI209" s="243"/>
      <c r="WJ209" s="243"/>
      <c r="WK209" s="243"/>
      <c r="WL209" s="243"/>
      <c r="WM209" s="243"/>
      <c r="WN209" s="243"/>
      <c r="WO209" s="243"/>
      <c r="WP209" s="243"/>
      <c r="WQ209" s="243"/>
      <c r="WR209" s="243"/>
      <c r="WS209" s="243"/>
      <c r="WT209" s="243"/>
      <c r="WU209" s="243"/>
      <c r="WV209" s="243"/>
      <c r="WW209" s="243"/>
      <c r="WX209" s="243"/>
      <c r="WY209" s="243"/>
      <c r="WZ209" s="243"/>
      <c r="XA209" s="243"/>
      <c r="XB209" s="243"/>
      <c r="XC209" s="243"/>
      <c r="XD209" s="243"/>
      <c r="XE209" s="243"/>
      <c r="XF209" s="243"/>
      <c r="XG209" s="243"/>
      <c r="XH209" s="243"/>
      <c r="XI209" s="243"/>
      <c r="XJ209" s="243"/>
      <c r="XK209" s="243"/>
      <c r="XL209" s="243"/>
      <c r="XM209" s="243"/>
      <c r="XN209" s="243"/>
      <c r="XO209" s="243"/>
      <c r="XP209" s="243"/>
      <c r="XQ209" s="243"/>
      <c r="XR209" s="243"/>
      <c r="XS209" s="243"/>
      <c r="XT209" s="243"/>
      <c r="XU209" s="243"/>
      <c r="XV209" s="243"/>
      <c r="XW209" s="243"/>
      <c r="XX209" s="243"/>
      <c r="XY209" s="243"/>
      <c r="XZ209" s="243"/>
      <c r="YA209" s="243"/>
      <c r="YB209" s="243"/>
      <c r="YC209" s="243"/>
      <c r="YD209" s="243"/>
      <c r="YE209" s="243"/>
      <c r="YF209" s="243"/>
      <c r="YG209" s="243"/>
      <c r="YH209" s="243"/>
      <c r="YI209" s="243"/>
      <c r="YJ209" s="243"/>
      <c r="YK209" s="243"/>
      <c r="YL209" s="243"/>
      <c r="YM209" s="243"/>
      <c r="YN209" s="243"/>
      <c r="YO209" s="243"/>
      <c r="YP209" s="243"/>
      <c r="YQ209" s="243"/>
      <c r="YR209" s="243"/>
      <c r="YS209" s="243"/>
      <c r="YT209" s="243"/>
      <c r="YU209" s="243"/>
      <c r="YV209" s="243"/>
      <c r="YW209" s="243"/>
      <c r="YX209" s="243"/>
      <c r="YY209" s="243"/>
      <c r="YZ209" s="243"/>
      <c r="ZA209" s="243"/>
      <c r="ZB209" s="243"/>
      <c r="ZC209" s="243"/>
      <c r="ZD209" s="243"/>
      <c r="ZE209" s="243"/>
      <c r="ZF209" s="243"/>
      <c r="ZG209" s="243"/>
      <c r="ZH209" s="243"/>
      <c r="ZI209" s="243"/>
      <c r="ZJ209" s="243"/>
      <c r="ZK209" s="243"/>
      <c r="ZL209" s="243"/>
      <c r="ZM209" s="243"/>
      <c r="ZN209" s="243"/>
      <c r="ZO209" s="243"/>
      <c r="ZP209" s="243"/>
      <c r="ZQ209" s="243"/>
      <c r="ZR209" s="243"/>
      <c r="ZS209" s="243"/>
      <c r="ZT209" s="243"/>
      <c r="ZU209" s="243"/>
      <c r="ZV209" s="243"/>
      <c r="ZW209" s="243"/>
      <c r="ZX209" s="243"/>
      <c r="ZY209" s="243"/>
      <c r="ZZ209" s="243"/>
      <c r="AAA209" s="243"/>
      <c r="AAB209" s="243"/>
      <c r="AAC209" s="243"/>
      <c r="AAD209" s="243"/>
      <c r="AAE209" s="243"/>
      <c r="AAF209" s="243"/>
      <c r="AAG209" s="243"/>
      <c r="AAH209" s="243"/>
      <c r="AAI209" s="243"/>
      <c r="AAJ209" s="243"/>
      <c r="AAK209" s="243"/>
      <c r="AAL209" s="243"/>
      <c r="AAM209" s="243"/>
      <c r="AAN209" s="243"/>
      <c r="AAO209" s="243"/>
      <c r="AAP209" s="243"/>
      <c r="AAQ209" s="243"/>
      <c r="AAR209" s="243"/>
      <c r="AAS209" s="243"/>
      <c r="AAT209" s="243"/>
      <c r="AAU209" s="243"/>
      <c r="AAV209" s="243"/>
      <c r="AAW209" s="243"/>
      <c r="AAX209" s="243"/>
      <c r="AAY209" s="243"/>
      <c r="AAZ209" s="243"/>
      <c r="ABA209" s="243"/>
      <c r="ABB209" s="243"/>
      <c r="ABC209" s="243"/>
      <c r="ABD209" s="243"/>
      <c r="ABE209" s="243"/>
      <c r="ABF209" s="243"/>
      <c r="ABG209" s="243"/>
      <c r="ABH209" s="243"/>
      <c r="ABI209" s="243"/>
      <c r="ABJ209" s="243"/>
      <c r="ABK209" s="243"/>
      <c r="ABL209" s="243"/>
      <c r="ABM209" s="243"/>
      <c r="ABN209" s="243"/>
      <c r="ABO209" s="243"/>
      <c r="ABP209" s="243"/>
      <c r="ABQ209" s="243"/>
      <c r="ABR209" s="243"/>
      <c r="ABS209" s="243"/>
      <c r="ABT209" s="243"/>
      <c r="ABU209" s="243"/>
      <c r="ABV209" s="243"/>
      <c r="ABW209" s="243"/>
      <c r="ABX209" s="243"/>
      <c r="ABY209" s="243"/>
      <c r="ABZ209" s="243"/>
      <c r="ACA209" s="243"/>
      <c r="ACB209" s="243"/>
      <c r="ACC209" s="243"/>
      <c r="ACD209" s="243"/>
      <c r="ACE209" s="243"/>
      <c r="ACF209" s="243"/>
      <c r="ACG209" s="243"/>
      <c r="ACH209" s="243"/>
      <c r="ACI209" s="243"/>
      <c r="ACJ209" s="243"/>
      <c r="ACK209" s="243"/>
      <c r="ACL209" s="243"/>
      <c r="ACM209" s="243"/>
      <c r="ACN209" s="243"/>
      <c r="ACO209" s="243"/>
      <c r="ACP209" s="243"/>
      <c r="ACQ209" s="243"/>
      <c r="ACR209" s="243"/>
      <c r="ACS209" s="243"/>
      <c r="ACT209" s="243"/>
      <c r="ACU209" s="243"/>
      <c r="ACV209" s="243"/>
      <c r="ACW209" s="243"/>
      <c r="ACX209" s="243"/>
      <c r="ACY209" s="243"/>
      <c r="ACZ209" s="243"/>
      <c r="ADA209" s="243"/>
      <c r="ADB209" s="243"/>
      <c r="ADC209" s="243"/>
      <c r="ADD209" s="243"/>
      <c r="ADE209" s="243"/>
      <c r="ADF209" s="243"/>
      <c r="ADG209" s="243"/>
      <c r="ADH209" s="243"/>
      <c r="ADI209" s="243"/>
      <c r="ADJ209" s="243"/>
      <c r="ADK209" s="243"/>
      <c r="ADL209" s="243"/>
      <c r="ADM209" s="243"/>
      <c r="ADN209" s="243"/>
      <c r="ADO209" s="243"/>
      <c r="ADP209" s="243"/>
      <c r="ADQ209" s="243"/>
      <c r="ADR209" s="243"/>
      <c r="ADS209" s="243"/>
      <c r="ADT209" s="243"/>
      <c r="ADU209" s="243"/>
      <c r="ADV209" s="243"/>
      <c r="ADW209" s="243"/>
      <c r="ADX209" s="243"/>
      <c r="ADY209" s="243"/>
      <c r="ADZ209" s="243"/>
      <c r="AEA209" s="243"/>
      <c r="AEB209" s="243"/>
      <c r="AEC209" s="243"/>
      <c r="AED209" s="243"/>
      <c r="AEE209" s="243"/>
      <c r="AEF209" s="243"/>
      <c r="AEG209" s="243"/>
      <c r="AEH209" s="243"/>
      <c r="AEI209" s="243"/>
      <c r="AEJ209" s="243"/>
      <c r="AEK209" s="243"/>
      <c r="AEL209" s="243"/>
      <c r="AEM209" s="243"/>
      <c r="AEN209" s="243"/>
      <c r="AEO209" s="243"/>
      <c r="AEP209" s="243"/>
      <c r="AEQ209" s="243"/>
      <c r="AER209" s="243"/>
      <c r="AES209" s="243"/>
      <c r="AET209" s="243"/>
      <c r="AEU209" s="243"/>
      <c r="AEV209" s="243"/>
      <c r="AEW209" s="243"/>
      <c r="AEX209" s="243"/>
      <c r="AEY209" s="243"/>
      <c r="AEZ209" s="243"/>
      <c r="AFA209" s="243"/>
      <c r="AFB209" s="243"/>
      <c r="AFC209" s="243"/>
      <c r="AFD209" s="243"/>
      <c r="AFE209" s="243"/>
      <c r="AFF209" s="243"/>
      <c r="AFG209" s="243"/>
      <c r="AFH209" s="243"/>
      <c r="AFI209" s="243"/>
      <c r="AFJ209" s="243"/>
      <c r="AFK209" s="243"/>
      <c r="AFL209" s="243"/>
      <c r="AFM209" s="243"/>
      <c r="AFN209" s="243"/>
      <c r="AFO209" s="243"/>
      <c r="AFP209" s="243"/>
      <c r="AFQ209" s="243"/>
      <c r="AFR209" s="243"/>
      <c r="AFS209" s="243"/>
      <c r="AFT209" s="243"/>
      <c r="AFU209" s="243"/>
      <c r="AFV209" s="243"/>
      <c r="AFW209" s="243"/>
      <c r="AFX209" s="243"/>
      <c r="AFY209" s="243"/>
      <c r="AFZ209" s="243"/>
      <c r="AGA209" s="243"/>
      <c r="AGB209" s="243"/>
      <c r="AGC209" s="243"/>
      <c r="AGD209" s="243"/>
      <c r="AGE209" s="243"/>
      <c r="AGF209" s="243"/>
      <c r="AGG209" s="243"/>
      <c r="AGH209" s="243"/>
      <c r="AGI209" s="243"/>
      <c r="AGJ209" s="243"/>
      <c r="AGK209" s="243"/>
      <c r="AGL209" s="243"/>
      <c r="AGM209" s="243"/>
      <c r="AGN209" s="243"/>
      <c r="AGO209" s="243"/>
      <c r="AGP209" s="243"/>
      <c r="AGQ209" s="243"/>
      <c r="AGR209" s="243"/>
      <c r="AGS209" s="243"/>
      <c r="AGT209" s="243"/>
      <c r="AGU209" s="243"/>
      <c r="AGV209" s="243"/>
      <c r="AGW209" s="243"/>
      <c r="AGX209" s="243"/>
      <c r="AGY209" s="243"/>
      <c r="AGZ209" s="243"/>
      <c r="AHA209" s="243"/>
      <c r="AHB209" s="243"/>
      <c r="AHC209" s="243"/>
      <c r="AHD209" s="243"/>
      <c r="AHE209" s="243"/>
      <c r="AHF209" s="243"/>
      <c r="AHG209" s="243"/>
      <c r="AHH209" s="243"/>
      <c r="AHI209" s="243"/>
      <c r="AHJ209" s="243"/>
      <c r="AHK209" s="243"/>
      <c r="AHL209" s="243"/>
      <c r="AHM209" s="243"/>
      <c r="AHN209" s="243"/>
      <c r="AHO209" s="243"/>
      <c r="AHP209" s="243"/>
      <c r="AHQ209" s="243"/>
      <c r="AHR209" s="243"/>
      <c r="AHS209" s="243"/>
      <c r="AHT209" s="243"/>
      <c r="AHU209" s="243"/>
      <c r="AHV209" s="243"/>
      <c r="AHW209" s="243"/>
      <c r="AHX209" s="243"/>
      <c r="AHY209" s="243"/>
      <c r="AHZ209" s="243"/>
      <c r="AIA209" s="243"/>
      <c r="AIB209" s="243"/>
      <c r="AIC209" s="243"/>
      <c r="AID209" s="243"/>
      <c r="AIE209" s="243"/>
      <c r="AIF209" s="243"/>
      <c r="AIG209" s="243"/>
      <c r="AIH209" s="243"/>
      <c r="AII209" s="243"/>
      <c r="AIJ209" s="243"/>
      <c r="AIK209" s="243"/>
      <c r="AIL209" s="243"/>
      <c r="AIM209" s="243"/>
      <c r="AIN209" s="243"/>
      <c r="AIO209" s="243"/>
      <c r="AIP209" s="243"/>
      <c r="AIQ209" s="243"/>
      <c r="AIR209" s="243"/>
      <c r="AIS209" s="243"/>
      <c r="AIT209" s="243"/>
      <c r="AIU209" s="243"/>
      <c r="AIV209" s="243"/>
      <c r="AIW209" s="243"/>
      <c r="AIX209" s="243"/>
      <c r="AIY209" s="243"/>
      <c r="AIZ209" s="243"/>
      <c r="AJA209" s="243"/>
      <c r="AJB209" s="243"/>
      <c r="AJC209" s="243"/>
      <c r="AJD209" s="243"/>
      <c r="AJE209" s="243"/>
      <c r="AJF209" s="243"/>
      <c r="AJG209" s="243"/>
      <c r="AJH209" s="243"/>
      <c r="AJI209" s="243"/>
      <c r="AJJ209" s="243"/>
      <c r="AJK209" s="243"/>
      <c r="AJL209" s="243"/>
      <c r="AJM209" s="243"/>
      <c r="AJN209" s="243"/>
      <c r="AJO209" s="243"/>
      <c r="AJP209" s="243"/>
      <c r="AJQ209" s="243"/>
      <c r="AJR209" s="243"/>
      <c r="AJS209" s="243"/>
      <c r="AJT209" s="243"/>
      <c r="AJU209" s="243"/>
      <c r="AJV209" s="243"/>
      <c r="AJW209" s="243"/>
      <c r="AJX209" s="243"/>
      <c r="AJY209" s="243"/>
      <c r="AJZ209" s="243"/>
      <c r="AKA209" s="243"/>
      <c r="AKB209" s="243"/>
      <c r="AKC209" s="243"/>
      <c r="AKD209" s="243"/>
      <c r="AKE209" s="243"/>
      <c r="AKF209" s="243"/>
      <c r="AKG209" s="243"/>
      <c r="AKH209" s="243"/>
      <c r="AKI209" s="243"/>
      <c r="AKJ209" s="243"/>
      <c r="AKK209" s="243"/>
      <c r="AKL209" s="243"/>
      <c r="AKM209" s="243"/>
      <c r="AKN209" s="243"/>
      <c r="AKO209" s="243"/>
      <c r="AKP209" s="243"/>
      <c r="AKQ209" s="243"/>
      <c r="AKR209" s="243"/>
      <c r="AKS209" s="243"/>
      <c r="AKT209" s="243"/>
      <c r="AKU209" s="243"/>
      <c r="AKV209" s="243"/>
      <c r="AKW209" s="243"/>
      <c r="AKX209" s="243"/>
      <c r="AKY209" s="243"/>
      <c r="AKZ209" s="243"/>
      <c r="ALA209" s="243"/>
      <c r="ALB209" s="243"/>
      <c r="ALC209" s="243"/>
      <c r="ALD209" s="243"/>
      <c r="ALE209" s="243"/>
      <c r="ALF209" s="243"/>
      <c r="ALG209" s="243"/>
      <c r="ALH209" s="243"/>
      <c r="ALI209" s="243"/>
      <c r="ALJ209" s="243"/>
      <c r="ALK209" s="243"/>
      <c r="ALL209" s="243"/>
      <c r="ALM209" s="243"/>
      <c r="ALN209" s="243"/>
      <c r="ALO209" s="243"/>
      <c r="ALP209" s="243"/>
      <c r="ALQ209" s="243"/>
      <c r="ALR209" s="243"/>
      <c r="ALS209" s="243"/>
      <c r="ALT209" s="243"/>
      <c r="ALU209" s="243"/>
      <c r="ALV209" s="243"/>
      <c r="ALW209" s="243"/>
      <c r="ALX209" s="243"/>
      <c r="ALY209" s="243"/>
      <c r="ALZ209" s="243"/>
      <c r="AMA209" s="243"/>
      <c r="AMB209" s="243"/>
      <c r="AMC209" s="243"/>
      <c r="AMD209" s="243"/>
      <c r="AME209" s="243"/>
      <c r="AMF209" s="243"/>
      <c r="AMG209" s="243"/>
      <c r="AMH209" s="243"/>
      <c r="AMI209" s="243"/>
      <c r="AMJ209" s="243"/>
      <c r="AMK209" s="243"/>
      <c r="AML209" s="243"/>
      <c r="AMM209" s="243"/>
      <c r="AMN209" s="243"/>
      <c r="AMO209" s="243"/>
      <c r="AMP209" s="243"/>
      <c r="AMQ209" s="243"/>
      <c r="AMR209" s="243"/>
      <c r="AMS209" s="243"/>
      <c r="AMT209" s="243"/>
      <c r="AMU209" s="243"/>
      <c r="AMV209" s="243"/>
      <c r="AMW209" s="243"/>
      <c r="AMX209" s="243"/>
      <c r="AMY209" s="243"/>
      <c r="AMZ209" s="243"/>
      <c r="ANA209" s="243"/>
      <c r="ANB209" s="243"/>
      <c r="ANC209" s="243"/>
      <c r="AND209" s="243"/>
      <c r="ANE209" s="243"/>
      <c r="ANF209" s="243"/>
      <c r="ANG209" s="243"/>
      <c r="ANH209" s="243"/>
      <c r="ANI209" s="243"/>
      <c r="ANJ209" s="243"/>
      <c r="ANK209" s="243"/>
      <c r="ANL209" s="243"/>
      <c r="ANM209" s="243"/>
      <c r="ANN209" s="243"/>
      <c r="ANO209" s="243"/>
      <c r="ANP209" s="243"/>
      <c r="ANQ209" s="243"/>
      <c r="ANR209" s="243"/>
      <c r="ANS209" s="243"/>
      <c r="ANT209" s="243"/>
      <c r="ANU209" s="243"/>
      <c r="ANV209" s="243"/>
      <c r="ANW209" s="243"/>
      <c r="ANX209" s="243"/>
      <c r="ANY209" s="243"/>
      <c r="ANZ209" s="243"/>
      <c r="AOA209" s="243"/>
      <c r="AOB209" s="243"/>
      <c r="AOC209" s="243"/>
      <c r="AOD209" s="243"/>
      <c r="AOE209" s="243"/>
      <c r="AOF209" s="243"/>
      <c r="AOG209" s="243"/>
      <c r="AOH209" s="243"/>
      <c r="AOI209" s="243"/>
      <c r="AOJ209" s="243"/>
      <c r="AOK209" s="243"/>
      <c r="AOL209" s="243"/>
      <c r="AOM209" s="243"/>
      <c r="AON209" s="243"/>
      <c r="AOO209" s="243"/>
      <c r="AOP209" s="243"/>
      <c r="AOQ209" s="243"/>
      <c r="AOR209" s="243"/>
      <c r="AOS209" s="243"/>
      <c r="AOT209" s="243"/>
      <c r="AOU209" s="243"/>
      <c r="AOV209" s="243"/>
      <c r="AOW209" s="243"/>
      <c r="AOX209" s="243"/>
      <c r="AOY209" s="243"/>
      <c r="AOZ209" s="243"/>
      <c r="APA209" s="243"/>
      <c r="APB209" s="243"/>
      <c r="APC209" s="243"/>
      <c r="APD209" s="243"/>
      <c r="APE209" s="243"/>
      <c r="APF209" s="243"/>
      <c r="APG209" s="243"/>
      <c r="APH209" s="243"/>
      <c r="API209" s="243"/>
      <c r="APJ209" s="243"/>
      <c r="APK209" s="243"/>
      <c r="APL209" s="243"/>
      <c r="APM209" s="243"/>
      <c r="APN209" s="243"/>
      <c r="APO209" s="243"/>
      <c r="APP209" s="243"/>
      <c r="APQ209" s="243"/>
      <c r="APR209" s="243"/>
      <c r="APS209" s="243"/>
      <c r="APT209" s="243"/>
      <c r="APU209" s="243"/>
      <c r="APV209" s="243"/>
      <c r="APW209" s="243"/>
      <c r="APX209" s="243"/>
      <c r="APY209" s="243"/>
      <c r="APZ209" s="243"/>
      <c r="AQA209" s="243"/>
      <c r="AQB209" s="243"/>
      <c r="AQC209" s="243"/>
      <c r="AQD209" s="243"/>
      <c r="AQE209" s="243"/>
      <c r="AQF209" s="243"/>
      <c r="AQG209" s="243"/>
      <c r="AQH209" s="243"/>
      <c r="AQI209" s="243"/>
      <c r="AQJ209" s="243"/>
      <c r="AQK209" s="243"/>
      <c r="AQL209" s="243"/>
      <c r="AQM209" s="243"/>
      <c r="AQN209" s="243"/>
      <c r="AQO209" s="243"/>
      <c r="AQP209" s="243"/>
      <c r="AQQ209" s="243"/>
      <c r="AQR209" s="243"/>
      <c r="AQS209" s="243"/>
      <c r="AQT209" s="243"/>
      <c r="AQU209" s="243"/>
      <c r="AQV209" s="243"/>
      <c r="AQW209" s="243"/>
      <c r="AQX209" s="243"/>
      <c r="AQY209" s="243"/>
      <c r="AQZ209" s="243"/>
      <c r="ARA209" s="243"/>
      <c r="ARB209" s="243"/>
      <c r="ARC209" s="243"/>
      <c r="ARD209" s="243"/>
      <c r="ARE209" s="243"/>
      <c r="ARF209" s="243"/>
      <c r="ARG209" s="243"/>
      <c r="ARH209" s="243"/>
      <c r="ARI209" s="243"/>
      <c r="ARJ209" s="243"/>
      <c r="ARK209" s="243"/>
      <c r="ARL209" s="243"/>
      <c r="ARM209" s="243"/>
      <c r="ARN209" s="243"/>
      <c r="ARO209" s="243"/>
      <c r="ARP209" s="243"/>
      <c r="ARQ209" s="243"/>
      <c r="ARR209" s="243"/>
      <c r="ARS209" s="243"/>
      <c r="ART209" s="243"/>
      <c r="ARU209" s="243"/>
      <c r="ARV209" s="243"/>
      <c r="ARW209" s="243"/>
      <c r="ARX209" s="243"/>
      <c r="ARY209" s="243"/>
      <c r="ARZ209" s="243"/>
      <c r="ASA209" s="243"/>
      <c r="ASB209" s="243"/>
      <c r="ASC209" s="243"/>
      <c r="ASD209" s="243"/>
      <c r="ASE209" s="243"/>
      <c r="ASF209" s="243"/>
      <c r="ASG209" s="243"/>
      <c r="ASH209" s="243"/>
      <c r="ASI209" s="243"/>
      <c r="ASJ209" s="243"/>
      <c r="ASK209" s="243"/>
      <c r="ASL209" s="243"/>
      <c r="ASM209" s="243"/>
      <c r="ASN209" s="243"/>
      <c r="ASO209" s="243"/>
      <c r="ASP209" s="243"/>
      <c r="ASQ209" s="243"/>
      <c r="ASR209" s="243"/>
      <c r="ASS209" s="243"/>
      <c r="AST209" s="243"/>
      <c r="ASU209" s="243"/>
      <c r="ASV209" s="243"/>
      <c r="ASW209" s="243"/>
      <c r="ASX209" s="243"/>
      <c r="ASY209" s="243"/>
      <c r="ASZ209" s="243"/>
      <c r="ATA209" s="243"/>
      <c r="ATB209" s="243"/>
      <c r="ATC209" s="243"/>
      <c r="ATD209" s="243"/>
      <c r="ATE209" s="243"/>
      <c r="ATF209" s="243"/>
      <c r="ATG209" s="243"/>
      <c r="ATH209" s="243"/>
      <c r="ATI209" s="243"/>
      <c r="ATJ209" s="243"/>
      <c r="ATK209" s="243"/>
      <c r="ATL209" s="243"/>
      <c r="ATM209" s="243"/>
      <c r="ATN209" s="243"/>
      <c r="ATO209" s="243"/>
      <c r="ATP209" s="243"/>
      <c r="ATQ209" s="243"/>
      <c r="ATR209" s="243"/>
      <c r="ATS209" s="243"/>
      <c r="ATT209" s="243"/>
      <c r="ATU209" s="243"/>
      <c r="ATV209" s="243"/>
      <c r="ATW209" s="243"/>
      <c r="ATX209" s="243"/>
      <c r="ATY209" s="243"/>
      <c r="ATZ209" s="243"/>
      <c r="AUA209" s="243"/>
      <c r="AUB209" s="243"/>
      <c r="AUC209" s="243"/>
      <c r="AUD209" s="243"/>
      <c r="AUE209" s="243"/>
      <c r="AUF209" s="243"/>
      <c r="AUG209" s="243"/>
      <c r="AUH209" s="243"/>
      <c r="AUI209" s="243"/>
      <c r="AUJ209" s="243"/>
      <c r="AUK209" s="243"/>
      <c r="AUL209" s="243"/>
      <c r="AUM209" s="243"/>
      <c r="AUN209" s="243"/>
      <c r="AUO209" s="243"/>
      <c r="AUP209" s="243"/>
      <c r="AUQ209" s="243"/>
      <c r="AUR209" s="243"/>
      <c r="AUS209" s="243"/>
      <c r="AUT209" s="243"/>
      <c r="AUU209" s="243"/>
      <c r="AUV209" s="243"/>
      <c r="AUW209" s="243"/>
      <c r="AUX209" s="243"/>
      <c r="AUY209" s="243"/>
      <c r="AUZ209" s="243"/>
      <c r="AVA209" s="243"/>
      <c r="AVB209" s="243"/>
      <c r="AVC209" s="243"/>
      <c r="AVD209" s="243"/>
      <c r="AVE209" s="243"/>
      <c r="AVF209" s="243"/>
      <c r="AVG209" s="243"/>
      <c r="AVH209" s="243"/>
      <c r="AVI209" s="243"/>
      <c r="AVJ209" s="243"/>
      <c r="AVK209" s="243"/>
      <c r="AVL209" s="243"/>
      <c r="AVM209" s="243"/>
      <c r="AVN209" s="243"/>
      <c r="AVO209" s="243"/>
      <c r="AVP209" s="243"/>
      <c r="AVQ209" s="243"/>
      <c r="AVR209" s="243"/>
      <c r="AVS209" s="243"/>
      <c r="AVT209" s="243"/>
      <c r="AVU209" s="243"/>
      <c r="AVV209" s="243"/>
      <c r="AVW209" s="243"/>
      <c r="AVX209" s="243"/>
      <c r="AVY209" s="243"/>
      <c r="AVZ209" s="243"/>
      <c r="AWA209" s="243"/>
      <c r="AWB209" s="243"/>
      <c r="AWC209" s="243"/>
      <c r="AWD209" s="243"/>
      <c r="AWE209" s="243"/>
      <c r="AWF209" s="243"/>
      <c r="AWG209" s="243"/>
      <c r="AWH209" s="243"/>
      <c r="AWI209" s="243"/>
      <c r="AWJ209" s="243"/>
      <c r="AWK209" s="243"/>
      <c r="AWL209" s="243"/>
      <c r="AWM209" s="243"/>
      <c r="AWN209" s="243"/>
      <c r="AWO209" s="243"/>
      <c r="AWP209" s="243"/>
      <c r="AWQ209" s="243"/>
      <c r="AWR209" s="243"/>
      <c r="AWS209" s="243"/>
      <c r="AWT209" s="243"/>
      <c r="AWU209" s="243"/>
      <c r="AWV209" s="243"/>
      <c r="AWW209" s="243"/>
      <c r="AWX209" s="243"/>
      <c r="AWY209" s="243"/>
      <c r="AWZ209" s="243"/>
      <c r="AXA209" s="243"/>
      <c r="AXB209" s="243"/>
      <c r="AXC209" s="243"/>
      <c r="AXD209" s="243"/>
      <c r="AXE209" s="243"/>
      <c r="AXF209" s="243"/>
      <c r="AXG209" s="243"/>
      <c r="AXH209" s="243"/>
      <c r="AXI209" s="243"/>
      <c r="AXJ209" s="243"/>
      <c r="AXK209" s="243"/>
      <c r="AXL209" s="243"/>
      <c r="AXM209" s="243"/>
      <c r="AXN209" s="243"/>
      <c r="AXO209" s="243"/>
      <c r="AXP209" s="243"/>
      <c r="AXQ209" s="243"/>
      <c r="AXR209" s="243"/>
      <c r="AXS209" s="243"/>
      <c r="AXT209" s="243"/>
      <c r="AXU209" s="243"/>
      <c r="AXV209" s="243"/>
      <c r="AXW209" s="243"/>
      <c r="AXX209" s="243"/>
      <c r="AXY209" s="243"/>
      <c r="AXZ209" s="243"/>
      <c r="AYA209" s="243"/>
      <c r="AYB209" s="243"/>
      <c r="AYC209" s="243"/>
      <c r="AYD209" s="243"/>
      <c r="AYE209" s="243"/>
      <c r="AYF209" s="243"/>
      <c r="AYG209" s="243"/>
      <c r="AYH209" s="243"/>
      <c r="AYI209" s="243"/>
      <c r="AYJ209" s="243"/>
      <c r="AYK209" s="243"/>
      <c r="AYL209" s="243"/>
      <c r="AYM209" s="243"/>
      <c r="AYN209" s="243"/>
      <c r="AYO209" s="243"/>
      <c r="AYP209" s="243"/>
      <c r="AYQ209" s="243"/>
      <c r="AYR209" s="243"/>
      <c r="AYS209" s="243"/>
      <c r="AYT209" s="243"/>
      <c r="AYU209" s="243"/>
      <c r="AYV209" s="243"/>
      <c r="AYW209" s="243"/>
      <c r="AYX209" s="243"/>
      <c r="AYY209" s="243"/>
      <c r="AYZ209" s="243"/>
      <c r="AZA209" s="243"/>
      <c r="AZB209" s="243"/>
      <c r="AZC209" s="243"/>
      <c r="AZD209" s="243"/>
      <c r="AZE209" s="243"/>
      <c r="AZF209" s="243"/>
      <c r="AZG209" s="243"/>
      <c r="AZH209" s="243"/>
      <c r="AZI209" s="243"/>
      <c r="AZJ209" s="243"/>
      <c r="AZK209" s="243"/>
      <c r="AZL209" s="243"/>
      <c r="AZM209" s="243"/>
      <c r="AZN209" s="243"/>
      <c r="AZO209" s="243"/>
      <c r="AZP209" s="243"/>
      <c r="AZQ209" s="243"/>
      <c r="AZR209" s="243"/>
      <c r="AZS209" s="243"/>
      <c r="AZT209" s="243"/>
      <c r="AZU209" s="243"/>
      <c r="AZV209" s="243"/>
      <c r="AZW209" s="243"/>
      <c r="AZX209" s="243"/>
      <c r="AZY209" s="243"/>
      <c r="AZZ209" s="243"/>
      <c r="BAA209" s="243"/>
      <c r="BAB209" s="243"/>
      <c r="BAC209" s="243"/>
      <c r="BAD209" s="243"/>
      <c r="BAE209" s="243"/>
      <c r="BAF209" s="243"/>
      <c r="BAG209" s="243"/>
      <c r="BAH209" s="243"/>
      <c r="BAI209" s="243"/>
      <c r="BAJ209" s="243"/>
      <c r="BAK209" s="243"/>
      <c r="BAL209" s="243"/>
      <c r="BAM209" s="243"/>
      <c r="BAN209" s="243"/>
      <c r="BAO209" s="243"/>
      <c r="BAP209" s="243"/>
      <c r="BAQ209" s="243"/>
      <c r="BAR209" s="243"/>
      <c r="BAS209" s="243"/>
      <c r="BAT209" s="243"/>
      <c r="BAU209" s="243"/>
      <c r="BAV209" s="243"/>
      <c r="BAW209" s="243"/>
      <c r="BAX209" s="243"/>
      <c r="BAY209" s="243"/>
      <c r="BAZ209" s="243"/>
      <c r="BBA209" s="243"/>
      <c r="BBB209" s="243"/>
      <c r="BBC209" s="243"/>
      <c r="BBD209" s="243"/>
      <c r="BBE209" s="243"/>
      <c r="BBF209" s="243"/>
      <c r="BBG209" s="243"/>
      <c r="BBH209" s="243"/>
      <c r="BBI209" s="243"/>
      <c r="BBJ209" s="243"/>
      <c r="BBK209" s="243"/>
      <c r="BBL209" s="243"/>
      <c r="BBM209" s="243"/>
      <c r="BBN209" s="243"/>
      <c r="BBO209" s="243"/>
      <c r="BBP209" s="243"/>
      <c r="BBQ209" s="243"/>
      <c r="BBR209" s="243"/>
      <c r="BBS209" s="243"/>
      <c r="BBT209" s="243"/>
      <c r="BBU209" s="243"/>
      <c r="BBV209" s="243"/>
      <c r="BBW209" s="243"/>
      <c r="BBX209" s="243"/>
      <c r="BBY209" s="243"/>
      <c r="BBZ209" s="243"/>
      <c r="BCA209" s="243"/>
      <c r="BCB209" s="243"/>
      <c r="BCC209" s="243"/>
      <c r="BCD209" s="243"/>
      <c r="BCE209" s="243"/>
      <c r="BCF209" s="243"/>
      <c r="BCG209" s="243"/>
      <c r="BCH209" s="243"/>
      <c r="BCI209" s="243"/>
      <c r="BCJ209" s="243"/>
      <c r="BCK209" s="243"/>
      <c r="BCL209" s="243"/>
      <c r="BCM209" s="243"/>
      <c r="BCN209" s="243"/>
      <c r="BCO209" s="243"/>
      <c r="BCP209" s="243"/>
      <c r="BCQ209" s="243"/>
      <c r="BCR209" s="243"/>
      <c r="BCS209" s="243"/>
      <c r="BCT209" s="243"/>
      <c r="BCU209" s="243"/>
      <c r="BCV209" s="243"/>
      <c r="BCW209" s="243"/>
      <c r="BCX209" s="243"/>
      <c r="BCY209" s="243"/>
      <c r="BCZ209" s="243"/>
      <c r="BDA209" s="243"/>
      <c r="BDB209" s="243"/>
      <c r="BDC209" s="243"/>
      <c r="BDD209" s="243"/>
      <c r="BDE209" s="243"/>
      <c r="BDF209" s="243"/>
      <c r="BDG209" s="243"/>
      <c r="BDH209" s="243"/>
      <c r="BDI209" s="243"/>
      <c r="BDJ209" s="243"/>
      <c r="BDK209" s="243"/>
      <c r="BDL209" s="243"/>
      <c r="BDM209" s="243"/>
      <c r="BDN209" s="243"/>
      <c r="BDO209" s="243"/>
      <c r="BDP209" s="243"/>
      <c r="BDQ209" s="243"/>
      <c r="BDR209" s="243"/>
      <c r="BDS209" s="243"/>
      <c r="BDT209" s="243"/>
      <c r="BDU209" s="243"/>
      <c r="BDV209" s="243"/>
      <c r="BDW209" s="243"/>
      <c r="BDX209" s="243"/>
      <c r="BDY209" s="243"/>
      <c r="BDZ209" s="243"/>
      <c r="BEA209" s="243"/>
      <c r="BEB209" s="243"/>
      <c r="BEC209" s="243"/>
      <c r="BED209" s="243"/>
      <c r="BEE209" s="243"/>
      <c r="BEF209" s="243"/>
      <c r="BEG209" s="243"/>
      <c r="BEH209" s="243"/>
      <c r="BEI209" s="243"/>
      <c r="BEJ209" s="243"/>
      <c r="BEK209" s="243"/>
      <c r="BEL209" s="243"/>
      <c r="BEM209" s="243"/>
      <c r="BEN209" s="243"/>
      <c r="BEO209" s="243"/>
      <c r="BEP209" s="243"/>
      <c r="BEQ209" s="243"/>
      <c r="BER209" s="243"/>
      <c r="BES209" s="243"/>
      <c r="BET209" s="243"/>
      <c r="BEU209" s="243"/>
      <c r="BEV209" s="243"/>
      <c r="BEW209" s="243"/>
      <c r="BEX209" s="243"/>
      <c r="BEY209" s="243"/>
      <c r="BEZ209" s="243"/>
      <c r="BFA209" s="243"/>
      <c r="BFB209" s="243"/>
      <c r="BFC209" s="243"/>
      <c r="BFD209" s="243"/>
      <c r="BFE209" s="243"/>
      <c r="BFF209" s="243"/>
      <c r="BFG209" s="243"/>
      <c r="BFH209" s="243"/>
      <c r="BFI209" s="243"/>
      <c r="BFJ209" s="243"/>
      <c r="BFK209" s="243"/>
      <c r="BFL209" s="243"/>
      <c r="BFM209" s="243"/>
      <c r="BFN209" s="243"/>
      <c r="BFO209" s="243"/>
      <c r="BFP209" s="243"/>
      <c r="BFQ209" s="243"/>
      <c r="BFR209" s="243"/>
      <c r="BFS209" s="243"/>
      <c r="BFT209" s="243"/>
      <c r="BFU209" s="243"/>
      <c r="BFV209" s="243"/>
      <c r="BFW209" s="243"/>
      <c r="BFX209" s="243"/>
      <c r="BFY209" s="243"/>
      <c r="BFZ209" s="243"/>
      <c r="BGA209" s="243"/>
      <c r="BGB209" s="243"/>
      <c r="BGC209" s="243"/>
      <c r="BGD209" s="243"/>
      <c r="BGE209" s="243"/>
      <c r="BGF209" s="243"/>
      <c r="BGG209" s="243"/>
      <c r="BGH209" s="243"/>
      <c r="BGI209" s="243"/>
      <c r="BGJ209" s="243"/>
      <c r="BGK209" s="243"/>
      <c r="BGL209" s="243"/>
      <c r="BGM209" s="243"/>
      <c r="BGN209" s="243"/>
      <c r="BGO209" s="243"/>
      <c r="BGP209" s="243"/>
      <c r="BGQ209" s="243"/>
      <c r="BGR209" s="243"/>
      <c r="BGS209" s="243"/>
      <c r="BGT209" s="243"/>
      <c r="BGU209" s="243"/>
      <c r="BGV209" s="243"/>
      <c r="BGW209" s="243"/>
      <c r="BGX209" s="243"/>
      <c r="BGY209" s="243"/>
      <c r="BGZ209" s="243"/>
      <c r="BHA209" s="243"/>
      <c r="BHB209" s="243"/>
      <c r="BHC209" s="243"/>
      <c r="BHD209" s="243"/>
      <c r="BHE209" s="243"/>
      <c r="BHF209" s="243"/>
      <c r="BHG209" s="243"/>
      <c r="BHH209" s="243"/>
      <c r="BHI209" s="243"/>
      <c r="BHJ209" s="243"/>
      <c r="BHK209" s="243"/>
      <c r="BHL209" s="243"/>
      <c r="BHM209" s="243"/>
      <c r="BHN209" s="243"/>
      <c r="BHO209" s="243"/>
      <c r="BHP209" s="243"/>
      <c r="BHQ209" s="243"/>
      <c r="BHR209" s="243"/>
      <c r="BHS209" s="243"/>
      <c r="BHT209" s="243"/>
      <c r="BHU209" s="243"/>
      <c r="BHV209" s="243"/>
      <c r="BHW209" s="243"/>
      <c r="BHX209" s="243"/>
      <c r="BHY209" s="243"/>
      <c r="BHZ209" s="243"/>
      <c r="BIA209" s="243"/>
      <c r="BIB209" s="243"/>
      <c r="BIC209" s="243"/>
      <c r="BID209" s="243"/>
      <c r="BIE209" s="243"/>
      <c r="BIF209" s="243"/>
      <c r="BIG209" s="243"/>
      <c r="BIH209" s="243"/>
      <c r="BII209" s="243"/>
      <c r="BIJ209" s="243"/>
      <c r="BIK209" s="243"/>
      <c r="BIL209" s="243"/>
      <c r="BIM209" s="243"/>
      <c r="BIN209" s="243"/>
      <c r="BIO209" s="243"/>
      <c r="BIP209" s="243"/>
      <c r="BIQ209" s="243"/>
      <c r="BIR209" s="243"/>
      <c r="BIS209" s="243"/>
      <c r="BIT209" s="243"/>
      <c r="BIU209" s="243"/>
      <c r="BIV209" s="243"/>
      <c r="BIW209" s="243"/>
      <c r="BIX209" s="243"/>
      <c r="BIY209" s="243"/>
      <c r="BIZ209" s="243"/>
      <c r="BJA209" s="243"/>
      <c r="BJB209" s="243"/>
      <c r="BJC209" s="243"/>
      <c r="BJD209" s="243"/>
      <c r="BJE209" s="243"/>
      <c r="BJF209" s="243"/>
      <c r="BJG209" s="243"/>
      <c r="BJH209" s="243"/>
      <c r="BJI209" s="243"/>
      <c r="BJJ209" s="243"/>
      <c r="BJK209" s="243"/>
      <c r="BJL209" s="243"/>
      <c r="BJM209" s="243"/>
      <c r="BJN209" s="243"/>
      <c r="BJO209" s="243"/>
      <c r="BJP209" s="243"/>
      <c r="BJQ209" s="243"/>
      <c r="BJR209" s="243"/>
      <c r="BJS209" s="243"/>
      <c r="BJT209" s="243"/>
      <c r="BJU209" s="243"/>
      <c r="BJV209" s="243"/>
      <c r="BJW209" s="243"/>
      <c r="BJX209" s="243"/>
      <c r="BJY209" s="243"/>
      <c r="BJZ209" s="243"/>
      <c r="BKA209" s="243"/>
      <c r="BKB209" s="243"/>
      <c r="BKC209" s="243"/>
      <c r="BKD209" s="243"/>
      <c r="BKE209" s="243"/>
      <c r="BKF209" s="243"/>
      <c r="BKG209" s="243"/>
      <c r="BKH209" s="243"/>
      <c r="BKI209" s="243"/>
      <c r="BKJ209" s="243"/>
      <c r="BKK209" s="243"/>
      <c r="BKL209" s="243"/>
      <c r="BKM209" s="243"/>
      <c r="BKN209" s="243"/>
      <c r="BKO209" s="243"/>
      <c r="BKP209" s="243"/>
      <c r="BKQ209" s="243"/>
      <c r="BKR209" s="243"/>
      <c r="BKS209" s="243"/>
      <c r="BKT209" s="243"/>
      <c r="BKU209" s="243"/>
      <c r="BKV209" s="243"/>
      <c r="BKW209" s="243"/>
      <c r="BKX209" s="243"/>
      <c r="BKY209" s="243"/>
      <c r="BKZ209" s="243"/>
      <c r="BLA209" s="243"/>
      <c r="BLB209" s="243"/>
      <c r="BLC209" s="243"/>
      <c r="BLD209" s="243"/>
      <c r="BLE209" s="243"/>
      <c r="BLF209" s="243"/>
      <c r="BLG209" s="243"/>
      <c r="BLH209" s="243"/>
      <c r="BLI209" s="243"/>
      <c r="BLJ209" s="243"/>
      <c r="BLK209" s="243"/>
      <c r="BLL209" s="243"/>
      <c r="BLM209" s="243"/>
      <c r="BLN209" s="243"/>
      <c r="BLO209" s="243"/>
      <c r="BLP209" s="243"/>
      <c r="BLQ209" s="243"/>
      <c r="BLR209" s="243"/>
      <c r="BLS209" s="243"/>
      <c r="BLT209" s="243"/>
      <c r="BLU209" s="243"/>
      <c r="BLV209" s="243"/>
      <c r="BLW209" s="243"/>
      <c r="BLX209" s="243"/>
      <c r="BLY209" s="243"/>
      <c r="BLZ209" s="243"/>
      <c r="BMA209" s="243"/>
      <c r="BMB209" s="243"/>
      <c r="BMC209" s="243"/>
      <c r="BMD209" s="243"/>
      <c r="BME209" s="243"/>
      <c r="BMF209" s="243"/>
      <c r="BMG209" s="243"/>
      <c r="BMH209" s="243"/>
      <c r="BMI209" s="243"/>
      <c r="BMJ209" s="243"/>
      <c r="BMK209" s="243"/>
      <c r="BML209" s="243"/>
      <c r="BMM209" s="243"/>
      <c r="BMN209" s="243"/>
      <c r="BMO209" s="243"/>
      <c r="BMP209" s="243"/>
      <c r="BMQ209" s="243"/>
      <c r="BMR209" s="243"/>
      <c r="BMS209" s="243"/>
      <c r="BMT209" s="243"/>
      <c r="BMU209" s="243"/>
      <c r="BMV209" s="243"/>
      <c r="BMW209" s="243"/>
      <c r="BMX209" s="243"/>
      <c r="BMY209" s="243"/>
      <c r="BMZ209" s="243"/>
      <c r="BNA209" s="243"/>
      <c r="BNB209" s="243"/>
      <c r="BNC209" s="243"/>
      <c r="BND209" s="243"/>
      <c r="BNE209" s="243"/>
      <c r="BNF209" s="243"/>
      <c r="BNG209" s="243"/>
      <c r="BNH209" s="243"/>
      <c r="BNI209" s="243"/>
      <c r="BNJ209" s="243"/>
      <c r="BNK209" s="243"/>
      <c r="BNL209" s="243"/>
      <c r="BNM209" s="243"/>
      <c r="BNN209" s="243"/>
      <c r="BNO209" s="243"/>
      <c r="BNP209" s="243"/>
      <c r="BNQ209" s="243"/>
      <c r="BNR209" s="243"/>
      <c r="BNS209" s="243"/>
      <c r="BNT209" s="243"/>
      <c r="BNU209" s="243"/>
      <c r="BNV209" s="243"/>
      <c r="BNW209" s="243"/>
      <c r="BNX209" s="243"/>
      <c r="BNY209" s="243"/>
      <c r="BNZ209" s="243"/>
      <c r="BOA209" s="243"/>
      <c r="BOB209" s="243"/>
      <c r="BOC209" s="243"/>
      <c r="BOD209" s="243"/>
      <c r="BOE209" s="243"/>
      <c r="BOF209" s="243"/>
      <c r="BOG209" s="243"/>
      <c r="BOH209" s="243"/>
      <c r="BOI209" s="243"/>
      <c r="BOJ209" s="243"/>
      <c r="BOK209" s="243"/>
      <c r="BOL209" s="243"/>
      <c r="BOM209" s="243"/>
      <c r="BON209" s="243"/>
      <c r="BOO209" s="243"/>
      <c r="BOP209" s="243"/>
      <c r="BOQ209" s="243"/>
      <c r="BOR209" s="243"/>
      <c r="BOS209" s="243"/>
      <c r="BOT209" s="243"/>
      <c r="BOU209" s="243"/>
      <c r="BOV209" s="243"/>
      <c r="BOW209" s="243"/>
      <c r="BOX209" s="243"/>
      <c r="BOY209" s="243"/>
      <c r="BOZ209" s="243"/>
      <c r="BPA209" s="243"/>
      <c r="BPB209" s="243"/>
      <c r="BPC209" s="243"/>
      <c r="BPD209" s="243"/>
      <c r="BPE209" s="243"/>
      <c r="BPF209" s="243"/>
      <c r="BPG209" s="243"/>
      <c r="BPH209" s="243"/>
      <c r="BPI209" s="243"/>
      <c r="BPJ209" s="243"/>
      <c r="BPK209" s="243"/>
      <c r="BPL209" s="243"/>
      <c r="BPM209" s="243"/>
      <c r="BPN209" s="243"/>
      <c r="BPO209" s="243"/>
      <c r="BPP209" s="243"/>
      <c r="BPQ209" s="243"/>
      <c r="BPR209" s="243"/>
      <c r="BPS209" s="243"/>
      <c r="BPT209" s="243"/>
      <c r="BPU209" s="243"/>
      <c r="BPV209" s="243"/>
      <c r="BPW209" s="243"/>
      <c r="BPX209" s="243"/>
      <c r="BPY209" s="243"/>
      <c r="BPZ209" s="243"/>
      <c r="BQA209" s="243"/>
      <c r="BQB209" s="243"/>
      <c r="BQC209" s="243"/>
      <c r="BQD209" s="243"/>
      <c r="BQE209" s="243"/>
      <c r="BQF209" s="243"/>
      <c r="BQG209" s="243"/>
      <c r="BQH209" s="243"/>
      <c r="BQI209" s="243"/>
      <c r="BQJ209" s="243"/>
      <c r="BQK209" s="243"/>
      <c r="BQL209" s="243"/>
      <c r="BQM209" s="243"/>
      <c r="BQN209" s="243"/>
      <c r="BQO209" s="243"/>
      <c r="BQP209" s="243"/>
      <c r="BQQ209" s="243"/>
      <c r="BQR209" s="243"/>
      <c r="BQS209" s="243"/>
      <c r="BQT209" s="243"/>
      <c r="BQU209" s="243"/>
      <c r="BQV209" s="243"/>
      <c r="BQW209" s="243"/>
      <c r="BQX209" s="243"/>
      <c r="BQY209" s="243"/>
      <c r="BQZ209" s="243"/>
      <c r="BRA209" s="243"/>
      <c r="BRB209" s="243"/>
      <c r="BRC209" s="243"/>
      <c r="BRD209" s="243"/>
      <c r="BRE209" s="243"/>
      <c r="BRF209" s="243"/>
      <c r="BRG209" s="243"/>
      <c r="BRH209" s="243"/>
      <c r="BRI209" s="243"/>
      <c r="BRJ209" s="243"/>
      <c r="BRK209" s="243"/>
      <c r="BRL209" s="243"/>
      <c r="BRM209" s="243"/>
      <c r="BRN209" s="243"/>
      <c r="BRO209" s="243"/>
      <c r="BRP209" s="243"/>
      <c r="BRQ209" s="243"/>
      <c r="BRR209" s="243"/>
      <c r="BRS209" s="243"/>
      <c r="BRT209" s="243"/>
      <c r="BRU209" s="243"/>
      <c r="BRV209" s="243"/>
      <c r="BRW209" s="243"/>
      <c r="BRX209" s="243"/>
      <c r="BRY209" s="243"/>
      <c r="BRZ209" s="243"/>
      <c r="BSA209" s="243"/>
      <c r="BSB209" s="243"/>
      <c r="BSC209" s="243"/>
      <c r="BSD209" s="243"/>
      <c r="BSE209" s="243"/>
      <c r="BSF209" s="243"/>
      <c r="BSG209" s="243"/>
      <c r="BSH209" s="243"/>
      <c r="BSI209" s="243"/>
      <c r="BSJ209" s="243"/>
      <c r="BSK209" s="243"/>
      <c r="BSL209" s="243"/>
      <c r="BSM209" s="243"/>
      <c r="BSN209" s="243"/>
      <c r="BSO209" s="243"/>
      <c r="BSP209" s="243"/>
      <c r="BSQ209" s="243"/>
      <c r="BSR209" s="243"/>
      <c r="BSS209" s="243"/>
      <c r="BST209" s="243"/>
      <c r="BSU209" s="243"/>
      <c r="BSV209" s="243"/>
      <c r="BSW209" s="243"/>
      <c r="BSX209" s="243"/>
      <c r="BSY209" s="243"/>
      <c r="BSZ209" s="243"/>
      <c r="BTA209" s="243"/>
      <c r="BTB209" s="243"/>
      <c r="BTC209" s="243"/>
      <c r="BTD209" s="243"/>
      <c r="BTE209" s="243"/>
      <c r="BTF209" s="243"/>
      <c r="BTG209" s="243"/>
      <c r="BTH209" s="243"/>
      <c r="BTI209" s="243"/>
      <c r="BTJ209" s="243"/>
      <c r="BTK209" s="243"/>
      <c r="BTL209" s="243"/>
      <c r="BTM209" s="243"/>
      <c r="BTN209" s="243"/>
      <c r="BTO209" s="243"/>
      <c r="BTP209" s="243"/>
      <c r="BTQ209" s="243"/>
      <c r="BTR209" s="243"/>
      <c r="BTS209" s="243"/>
      <c r="BTT209" s="243"/>
      <c r="BTU209" s="243"/>
      <c r="BTV209" s="243"/>
      <c r="BTW209" s="243"/>
      <c r="BTX209" s="243"/>
      <c r="BTY209" s="243"/>
      <c r="BTZ209" s="243"/>
      <c r="BUA209" s="243"/>
      <c r="BUB209" s="243"/>
      <c r="BUC209" s="243"/>
      <c r="BUD209" s="243"/>
      <c r="BUE209" s="243"/>
      <c r="BUF209" s="243"/>
      <c r="BUG209" s="243"/>
      <c r="BUH209" s="243"/>
      <c r="BUI209" s="243"/>
      <c r="BUJ209" s="243"/>
      <c r="BUK209" s="243"/>
      <c r="BUL209" s="243"/>
      <c r="BUM209" s="243"/>
      <c r="BUN209" s="243"/>
      <c r="BUO209" s="243"/>
      <c r="BUP209" s="243"/>
      <c r="BUQ209" s="243"/>
      <c r="BUR209" s="243"/>
      <c r="BUS209" s="243"/>
      <c r="BUT209" s="243"/>
      <c r="BUU209" s="243"/>
      <c r="BUV209" s="243"/>
      <c r="BUW209" s="243"/>
      <c r="BUX209" s="243"/>
      <c r="BUY209" s="243"/>
      <c r="BUZ209" s="243"/>
      <c r="BVA209" s="243"/>
      <c r="BVB209" s="243"/>
      <c r="BVC209" s="243"/>
      <c r="BVD209" s="243"/>
      <c r="BVE209" s="243"/>
      <c r="BVF209" s="243"/>
      <c r="BVG209" s="243"/>
      <c r="BVH209" s="243"/>
      <c r="BVI209" s="243"/>
      <c r="BVJ209" s="243"/>
      <c r="BVK209" s="243"/>
      <c r="BVL209" s="243"/>
      <c r="BVM209" s="243"/>
      <c r="BVN209" s="243"/>
      <c r="BVO209" s="243"/>
      <c r="BVP209" s="243"/>
      <c r="BVQ209" s="243"/>
      <c r="BVR209" s="243"/>
      <c r="BVS209" s="243"/>
      <c r="BVT209" s="243"/>
      <c r="BVU209" s="243"/>
      <c r="BVV209" s="243"/>
      <c r="BVW209" s="243"/>
      <c r="BVX209" s="243"/>
      <c r="BVY209" s="243"/>
      <c r="BVZ209" s="243"/>
      <c r="BWA209" s="243"/>
      <c r="BWB209" s="243"/>
      <c r="BWC209" s="243"/>
      <c r="BWD209" s="243"/>
      <c r="BWE209" s="243"/>
      <c r="BWF209" s="243"/>
      <c r="BWG209" s="243"/>
      <c r="BWH209" s="243"/>
      <c r="BWI209" s="243"/>
      <c r="BWJ209" s="243"/>
      <c r="BWK209" s="243"/>
      <c r="BWL209" s="243"/>
      <c r="BWM209" s="243"/>
      <c r="BWN209" s="243"/>
      <c r="BWO209" s="243"/>
      <c r="BWP209" s="243"/>
      <c r="BWQ209" s="243"/>
      <c r="BWR209" s="243"/>
      <c r="BWS209" s="243"/>
      <c r="BWT209" s="243"/>
      <c r="BWU209" s="243"/>
      <c r="BWV209" s="243"/>
      <c r="BWW209" s="243"/>
      <c r="BWX209" s="243"/>
      <c r="BWY209" s="243"/>
      <c r="BWZ209" s="243"/>
      <c r="BXA209" s="243"/>
      <c r="BXB209" s="243"/>
      <c r="BXC209" s="243"/>
      <c r="BXD209" s="243"/>
      <c r="BXE209" s="243"/>
      <c r="BXF209" s="243"/>
      <c r="BXG209" s="243"/>
      <c r="BXH209" s="243"/>
      <c r="BXI209" s="243"/>
      <c r="BXJ209" s="243"/>
      <c r="BXK209" s="243"/>
      <c r="BXL209" s="243"/>
      <c r="BXM209" s="243"/>
      <c r="BXN209" s="243"/>
      <c r="BXO209" s="243"/>
      <c r="BXP209" s="243"/>
      <c r="BXQ209" s="243"/>
      <c r="BXR209" s="243"/>
      <c r="BXS209" s="243"/>
      <c r="BXT209" s="243"/>
      <c r="BXU209" s="243"/>
      <c r="BXV209" s="243"/>
      <c r="BXW209" s="243"/>
      <c r="BXX209" s="243"/>
      <c r="BXY209" s="243"/>
      <c r="BXZ209" s="243"/>
      <c r="BYA209" s="243"/>
      <c r="BYB209" s="243"/>
      <c r="BYC209" s="243"/>
      <c r="BYD209" s="243"/>
      <c r="BYE209" s="243"/>
      <c r="BYF209" s="243"/>
      <c r="BYG209" s="243"/>
      <c r="BYH209" s="243"/>
      <c r="BYI209" s="243"/>
      <c r="BYJ209" s="243"/>
      <c r="BYK209" s="243"/>
      <c r="BYL209" s="243"/>
      <c r="BYM209" s="243"/>
      <c r="BYN209" s="243"/>
      <c r="BYO209" s="243"/>
      <c r="BYP209" s="243"/>
      <c r="BYQ209" s="243"/>
      <c r="BYR209" s="243"/>
      <c r="BYS209" s="243"/>
      <c r="BYT209" s="243"/>
      <c r="BYU209" s="243"/>
      <c r="BYV209" s="243"/>
      <c r="BYW209" s="243"/>
      <c r="BYX209" s="243"/>
      <c r="BYY209" s="243"/>
      <c r="BYZ209" s="243"/>
      <c r="BZA209" s="243"/>
      <c r="BZB209" s="243"/>
      <c r="BZC209" s="243"/>
      <c r="BZD209" s="243"/>
      <c r="BZE209" s="243"/>
      <c r="BZF209" s="243"/>
      <c r="BZG209" s="243"/>
      <c r="BZH209" s="243"/>
      <c r="BZI209" s="243"/>
      <c r="BZJ209" s="243"/>
      <c r="BZK209" s="243"/>
      <c r="BZL209" s="243"/>
      <c r="BZM209" s="243"/>
      <c r="BZN209" s="243"/>
      <c r="BZO209" s="243"/>
      <c r="BZP209" s="243"/>
      <c r="BZQ209" s="243"/>
      <c r="BZR209" s="243"/>
      <c r="BZS209" s="243"/>
      <c r="BZT209" s="243"/>
      <c r="BZU209" s="243"/>
      <c r="BZV209" s="243"/>
      <c r="BZW209" s="243"/>
      <c r="BZX209" s="243"/>
      <c r="BZY209" s="243"/>
      <c r="BZZ209" s="243"/>
      <c r="CAA209" s="243"/>
      <c r="CAB209" s="243"/>
      <c r="CAC209" s="243"/>
      <c r="CAD209" s="243"/>
      <c r="CAE209" s="243"/>
      <c r="CAF209" s="243"/>
      <c r="CAG209" s="243"/>
      <c r="CAH209" s="243"/>
      <c r="CAI209" s="243"/>
      <c r="CAJ209" s="243"/>
      <c r="CAK209" s="243"/>
      <c r="CAL209" s="243"/>
      <c r="CAM209" s="243"/>
      <c r="CAN209" s="243"/>
      <c r="CAO209" s="243"/>
      <c r="CAP209" s="243"/>
      <c r="CAQ209" s="243"/>
      <c r="CAR209" s="243"/>
      <c r="CAS209" s="243"/>
      <c r="CAT209" s="243"/>
      <c r="CAU209" s="243"/>
      <c r="CAV209" s="243"/>
      <c r="CAW209" s="243"/>
      <c r="CAX209" s="243"/>
      <c r="CAY209" s="243"/>
      <c r="CAZ209" s="243"/>
      <c r="CBA209" s="243"/>
      <c r="CBB209" s="243"/>
      <c r="CBC209" s="243"/>
      <c r="CBD209" s="243"/>
      <c r="CBE209" s="243"/>
      <c r="CBF209" s="243"/>
      <c r="CBG209" s="243"/>
      <c r="CBH209" s="243"/>
      <c r="CBI209" s="243"/>
      <c r="CBJ209" s="243"/>
      <c r="CBK209" s="243"/>
      <c r="CBL209" s="243"/>
      <c r="CBM209" s="243"/>
      <c r="CBN209" s="243"/>
      <c r="CBO209" s="243"/>
      <c r="CBP209" s="243"/>
      <c r="CBQ209" s="243"/>
      <c r="CBR209" s="243"/>
      <c r="CBS209" s="243"/>
      <c r="CBT209" s="243"/>
      <c r="CBU209" s="243"/>
      <c r="CBV209" s="243"/>
      <c r="CBW209" s="243"/>
      <c r="CBX209" s="243"/>
      <c r="CBY209" s="243"/>
      <c r="CBZ209" s="243"/>
      <c r="CCA209" s="243"/>
      <c r="CCB209" s="243"/>
      <c r="CCC209" s="243"/>
      <c r="CCD209" s="243"/>
      <c r="CCE209" s="243"/>
      <c r="CCF209" s="243"/>
      <c r="CCG209" s="243"/>
      <c r="CCH209" s="243"/>
      <c r="CCI209" s="243"/>
      <c r="CCJ209" s="243"/>
      <c r="CCK209" s="243"/>
      <c r="CCL209" s="243"/>
      <c r="CCM209" s="243"/>
      <c r="CCN209" s="243"/>
      <c r="CCO209" s="243"/>
      <c r="CCP209" s="243"/>
      <c r="CCQ209" s="243"/>
      <c r="CCR209" s="243"/>
      <c r="CCS209" s="243"/>
      <c r="CCT209" s="243"/>
      <c r="CCU209" s="243"/>
      <c r="CCV209" s="243"/>
      <c r="CCW209" s="243"/>
      <c r="CCX209" s="243"/>
      <c r="CCY209" s="243"/>
      <c r="CCZ209" s="243"/>
      <c r="CDA209" s="243"/>
      <c r="CDB209" s="243"/>
      <c r="CDC209" s="243"/>
      <c r="CDD209" s="243"/>
      <c r="CDE209" s="243"/>
      <c r="CDF209" s="243"/>
      <c r="CDG209" s="243"/>
      <c r="CDH209" s="243"/>
      <c r="CDI209" s="243"/>
      <c r="CDJ209" s="243"/>
      <c r="CDK209" s="243"/>
      <c r="CDL209" s="243"/>
      <c r="CDM209" s="243"/>
      <c r="CDN209" s="243"/>
      <c r="CDO209" s="243"/>
      <c r="CDP209" s="243"/>
      <c r="CDQ209" s="243"/>
      <c r="CDR209" s="243"/>
      <c r="CDS209" s="243"/>
      <c r="CDT209" s="243"/>
      <c r="CDU209" s="243"/>
      <c r="CDV209" s="243"/>
      <c r="CDW209" s="243"/>
      <c r="CDX209" s="243"/>
      <c r="CDY209" s="243"/>
      <c r="CDZ209" s="243"/>
      <c r="CEA209" s="243"/>
      <c r="CEB209" s="243"/>
      <c r="CEC209" s="243"/>
      <c r="CED209" s="243"/>
      <c r="CEE209" s="243"/>
      <c r="CEF209" s="243"/>
      <c r="CEG209" s="243"/>
      <c r="CEH209" s="243"/>
      <c r="CEI209" s="243"/>
      <c r="CEJ209" s="243"/>
      <c r="CEK209" s="243"/>
      <c r="CEL209" s="243"/>
      <c r="CEM209" s="243"/>
      <c r="CEN209" s="243"/>
      <c r="CEO209" s="243"/>
      <c r="CEP209" s="243"/>
      <c r="CEQ209" s="243"/>
      <c r="CER209" s="243"/>
      <c r="CES209" s="243"/>
      <c r="CET209" s="243"/>
      <c r="CEU209" s="243"/>
      <c r="CEV209" s="243"/>
      <c r="CEW209" s="243"/>
      <c r="CEX209" s="243"/>
      <c r="CEY209" s="243"/>
      <c r="CEZ209" s="243"/>
      <c r="CFA209" s="243"/>
      <c r="CFB209" s="243"/>
      <c r="CFC209" s="243"/>
      <c r="CFD209" s="243"/>
      <c r="CFE209" s="243"/>
      <c r="CFF209" s="243"/>
      <c r="CFG209" s="243"/>
      <c r="CFH209" s="243"/>
      <c r="CFI209" s="243"/>
      <c r="CFJ209" s="243"/>
      <c r="CFK209" s="243"/>
      <c r="CFL209" s="243"/>
      <c r="CFM209" s="243"/>
      <c r="CFN209" s="243"/>
      <c r="CFO209" s="243"/>
      <c r="CFP209" s="243"/>
      <c r="CFQ209" s="243"/>
      <c r="CFR209" s="243"/>
      <c r="CFS209" s="243"/>
      <c r="CFT209" s="243"/>
      <c r="CFU209" s="243"/>
      <c r="CFV209" s="243"/>
      <c r="CFW209" s="243"/>
      <c r="CFX209" s="243"/>
      <c r="CFY209" s="243"/>
      <c r="CFZ209" s="243"/>
      <c r="CGA209" s="243"/>
      <c r="CGB209" s="243"/>
      <c r="CGC209" s="243"/>
      <c r="CGD209" s="243"/>
      <c r="CGE209" s="243"/>
      <c r="CGF209" s="243"/>
      <c r="CGG209" s="243"/>
      <c r="CGH209" s="243"/>
      <c r="CGI209" s="243"/>
      <c r="CGJ209" s="243"/>
      <c r="CGK209" s="243"/>
      <c r="CGL209" s="243"/>
      <c r="CGM209" s="243"/>
      <c r="CGN209" s="243"/>
      <c r="CGO209" s="243"/>
      <c r="CGP209" s="243"/>
      <c r="CGQ209" s="243"/>
      <c r="CGR209" s="243"/>
      <c r="CGS209" s="243"/>
      <c r="CGT209" s="243"/>
      <c r="CGU209" s="243"/>
      <c r="CGV209" s="243"/>
      <c r="CGW209" s="243"/>
      <c r="CGX209" s="243"/>
      <c r="CGY209" s="243"/>
      <c r="CGZ209" s="243"/>
      <c r="CHA209" s="243"/>
      <c r="CHB209" s="243"/>
      <c r="CHC209" s="243"/>
      <c r="CHD209" s="243"/>
      <c r="CHE209" s="243"/>
      <c r="CHF209" s="243"/>
      <c r="CHG209" s="243"/>
      <c r="CHH209" s="243"/>
      <c r="CHI209" s="243"/>
      <c r="CHJ209" s="243"/>
      <c r="CHK209" s="243"/>
      <c r="CHL209" s="243"/>
      <c r="CHM209" s="243"/>
      <c r="CHN209" s="243"/>
      <c r="CHO209" s="243"/>
      <c r="CHP209" s="243"/>
      <c r="CHQ209" s="243"/>
      <c r="CHR209" s="243"/>
      <c r="CHS209" s="243"/>
      <c r="CHT209" s="243"/>
      <c r="CHU209" s="243"/>
      <c r="CHV209" s="243"/>
      <c r="CHW209" s="243"/>
      <c r="CHX209" s="243"/>
      <c r="CHY209" s="243"/>
      <c r="CHZ209" s="243"/>
      <c r="CIA209" s="243"/>
      <c r="CIB209" s="243"/>
      <c r="CIC209" s="243"/>
      <c r="CID209" s="243"/>
      <c r="CIE209" s="243"/>
      <c r="CIF209" s="243"/>
      <c r="CIG209" s="243"/>
      <c r="CIH209" s="243"/>
      <c r="CII209" s="243"/>
      <c r="CIJ209" s="243"/>
      <c r="CIK209" s="243"/>
      <c r="CIL209" s="243"/>
      <c r="CIM209" s="243"/>
      <c r="CIN209" s="243"/>
      <c r="CIO209" s="243"/>
      <c r="CIP209" s="243"/>
      <c r="CIQ209" s="243"/>
      <c r="CIR209" s="243"/>
      <c r="CIS209" s="243"/>
      <c r="CIT209" s="243"/>
      <c r="CIU209" s="243"/>
      <c r="CIV209" s="243"/>
      <c r="CIW209" s="243"/>
      <c r="CIX209" s="243"/>
      <c r="CIY209" s="243"/>
      <c r="CIZ209" s="243"/>
      <c r="CJA209" s="243"/>
      <c r="CJB209" s="243"/>
      <c r="CJC209" s="243"/>
      <c r="CJD209" s="243"/>
      <c r="CJE209" s="243"/>
      <c r="CJF209" s="243"/>
      <c r="CJG209" s="243"/>
      <c r="CJH209" s="243"/>
      <c r="CJI209" s="243"/>
      <c r="CJJ209" s="243"/>
      <c r="CJK209" s="243"/>
      <c r="CJL209" s="243"/>
      <c r="CJM209" s="243"/>
      <c r="CJN209" s="243"/>
      <c r="CJO209" s="243"/>
      <c r="CJP209" s="243"/>
      <c r="CJQ209" s="243"/>
      <c r="CJR209" s="243"/>
      <c r="CJS209" s="243"/>
      <c r="CJT209" s="243"/>
      <c r="CJU209" s="243"/>
      <c r="CJV209" s="243"/>
      <c r="CJW209" s="243"/>
      <c r="CJX209" s="243"/>
      <c r="CJY209" s="243"/>
      <c r="CJZ209" s="243"/>
      <c r="CKA209" s="243"/>
      <c r="CKB209" s="243"/>
      <c r="CKC209" s="243"/>
      <c r="CKD209" s="243"/>
      <c r="CKE209" s="243"/>
      <c r="CKF209" s="243"/>
      <c r="CKG209" s="243"/>
      <c r="CKH209" s="243"/>
      <c r="CKI209" s="243"/>
      <c r="CKJ209" s="243"/>
      <c r="CKK209" s="243"/>
      <c r="CKL209" s="243"/>
      <c r="CKM209" s="243"/>
      <c r="CKN209" s="243"/>
      <c r="CKO209" s="243"/>
      <c r="CKP209" s="243"/>
      <c r="CKQ209" s="243"/>
      <c r="CKR209" s="243"/>
      <c r="CKS209" s="243"/>
      <c r="CKT209" s="243"/>
      <c r="CKU209" s="243"/>
      <c r="CKV209" s="243"/>
      <c r="CKW209" s="243"/>
      <c r="CKX209" s="243"/>
      <c r="CKY209" s="243"/>
      <c r="CKZ209" s="243"/>
      <c r="CLA209" s="243"/>
      <c r="CLB209" s="243"/>
      <c r="CLC209" s="243"/>
      <c r="CLD209" s="243"/>
      <c r="CLE209" s="243"/>
      <c r="CLF209" s="243"/>
      <c r="CLG209" s="243"/>
      <c r="CLH209" s="243"/>
      <c r="CLI209" s="243"/>
      <c r="CLJ209" s="243"/>
      <c r="CLK209" s="243"/>
      <c r="CLL209" s="243"/>
      <c r="CLM209" s="243"/>
      <c r="CLN209" s="243"/>
      <c r="CLO209" s="243"/>
      <c r="CLP209" s="243"/>
      <c r="CLQ209" s="243"/>
      <c r="CLR209" s="243"/>
      <c r="CLS209" s="243"/>
      <c r="CLT209" s="243"/>
      <c r="CLU209" s="243"/>
      <c r="CLV209" s="243"/>
      <c r="CLW209" s="243"/>
      <c r="CLX209" s="243"/>
      <c r="CLY209" s="243"/>
      <c r="CLZ209" s="243"/>
      <c r="CMA209" s="243"/>
      <c r="CMB209" s="243"/>
      <c r="CMC209" s="243"/>
      <c r="CMD209" s="243"/>
      <c r="CME209" s="243"/>
      <c r="CMF209" s="243"/>
      <c r="CMG209" s="243"/>
      <c r="CMH209" s="243"/>
      <c r="CMI209" s="243"/>
      <c r="CMJ209" s="243"/>
      <c r="CMK209" s="243"/>
      <c r="CML209" s="243"/>
      <c r="CMM209" s="243"/>
      <c r="CMN209" s="243"/>
      <c r="CMO209" s="243"/>
      <c r="CMP209" s="243"/>
      <c r="CMQ209" s="243"/>
      <c r="CMR209" s="243"/>
      <c r="CMS209" s="243"/>
      <c r="CMT209" s="243"/>
      <c r="CMU209" s="243"/>
      <c r="CMV209" s="243"/>
      <c r="CMW209" s="243"/>
      <c r="CMX209" s="243"/>
      <c r="CMY209" s="243"/>
      <c r="CMZ209" s="243"/>
      <c r="CNA209" s="243"/>
      <c r="CNB209" s="243"/>
      <c r="CNC209" s="243"/>
      <c r="CND209" s="243"/>
      <c r="CNE209" s="243"/>
      <c r="CNF209" s="243"/>
      <c r="CNG209" s="243"/>
      <c r="CNH209" s="243"/>
      <c r="CNI209" s="243"/>
      <c r="CNJ209" s="243"/>
      <c r="CNK209" s="243"/>
      <c r="CNL209" s="243"/>
      <c r="CNM209" s="243"/>
      <c r="CNN209" s="243"/>
      <c r="CNO209" s="243"/>
      <c r="CNP209" s="243"/>
      <c r="CNQ209" s="243"/>
      <c r="CNR209" s="243"/>
      <c r="CNS209" s="243"/>
      <c r="CNT209" s="243"/>
      <c r="CNU209" s="243"/>
      <c r="CNV209" s="243"/>
      <c r="CNW209" s="243"/>
      <c r="CNX209" s="243"/>
      <c r="CNY209" s="243"/>
      <c r="CNZ209" s="243"/>
      <c r="COA209" s="243"/>
      <c r="COB209" s="243"/>
      <c r="COC209" s="243"/>
      <c r="COD209" s="243"/>
      <c r="COE209" s="243"/>
      <c r="COF209" s="243"/>
      <c r="COG209" s="243"/>
      <c r="COH209" s="243"/>
      <c r="COI209" s="243"/>
      <c r="COJ209" s="243"/>
      <c r="COK209" s="243"/>
      <c r="COL209" s="243"/>
      <c r="COM209" s="243"/>
      <c r="CON209" s="243"/>
      <c r="COO209" s="243"/>
      <c r="COP209" s="243"/>
      <c r="COQ209" s="243"/>
      <c r="COR209" s="243"/>
      <c r="COS209" s="243"/>
      <c r="COT209" s="243"/>
      <c r="COU209" s="243"/>
      <c r="COV209" s="243"/>
      <c r="COW209" s="243"/>
      <c r="COX209" s="243"/>
      <c r="COY209" s="243"/>
      <c r="COZ209" s="243"/>
      <c r="CPA209" s="243"/>
      <c r="CPB209" s="243"/>
      <c r="CPC209" s="243"/>
      <c r="CPD209" s="243"/>
      <c r="CPE209" s="243"/>
      <c r="CPF209" s="243"/>
      <c r="CPG209" s="243"/>
      <c r="CPH209" s="243"/>
      <c r="CPI209" s="243"/>
      <c r="CPJ209" s="243"/>
      <c r="CPK209" s="243"/>
      <c r="CPL209" s="243"/>
      <c r="CPM209" s="243"/>
      <c r="CPN209" s="243"/>
      <c r="CPO209" s="243"/>
      <c r="CPP209" s="243"/>
      <c r="CPQ209" s="243"/>
      <c r="CPR209" s="243"/>
      <c r="CPS209" s="243"/>
      <c r="CPT209" s="243"/>
      <c r="CPU209" s="243"/>
      <c r="CPV209" s="243"/>
      <c r="CPW209" s="243"/>
      <c r="CPX209" s="243"/>
      <c r="CPY209" s="243"/>
      <c r="CPZ209" s="243"/>
      <c r="CQA209" s="243"/>
      <c r="CQB209" s="243"/>
      <c r="CQC209" s="243"/>
      <c r="CQD209" s="243"/>
      <c r="CQE209" s="243"/>
      <c r="CQF209" s="243"/>
      <c r="CQG209" s="243"/>
      <c r="CQH209" s="243"/>
      <c r="CQI209" s="243"/>
      <c r="CQJ209" s="243"/>
      <c r="CQK209" s="243"/>
      <c r="CQL209" s="243"/>
      <c r="CQM209" s="243"/>
      <c r="CQN209" s="243"/>
      <c r="CQO209" s="243"/>
      <c r="CQP209" s="243"/>
      <c r="CQQ209" s="243"/>
      <c r="CQR209" s="243"/>
      <c r="CQS209" s="243"/>
      <c r="CQT209" s="243"/>
      <c r="CQU209" s="243"/>
      <c r="CQV209" s="243"/>
      <c r="CQW209" s="243"/>
      <c r="CQX209" s="243"/>
      <c r="CQY209" s="243"/>
      <c r="CQZ209" s="243"/>
      <c r="CRA209" s="243"/>
      <c r="CRB209" s="243"/>
      <c r="CRC209" s="243"/>
      <c r="CRD209" s="243"/>
      <c r="CRE209" s="243"/>
      <c r="CRF209" s="243"/>
      <c r="CRG209" s="243"/>
      <c r="CRH209" s="243"/>
      <c r="CRI209" s="243"/>
      <c r="CRJ209" s="243"/>
      <c r="CRK209" s="243"/>
      <c r="CRL209" s="243"/>
      <c r="CRM209" s="243"/>
      <c r="CRN209" s="243"/>
      <c r="CRO209" s="243"/>
      <c r="CRP209" s="243"/>
      <c r="CRQ209" s="243"/>
      <c r="CRR209" s="243"/>
      <c r="CRS209" s="243"/>
      <c r="CRT209" s="243"/>
      <c r="CRU209" s="243"/>
      <c r="CRV209" s="243"/>
      <c r="CRW209" s="243"/>
      <c r="CRX209" s="243"/>
      <c r="CRY209" s="243"/>
      <c r="CRZ209" s="243"/>
      <c r="CSA209" s="243"/>
      <c r="CSB209" s="243"/>
      <c r="CSC209" s="243"/>
      <c r="CSD209" s="243"/>
      <c r="CSE209" s="243"/>
      <c r="CSF209" s="243"/>
      <c r="CSG209" s="243"/>
      <c r="CSH209" s="243"/>
      <c r="CSI209" s="243"/>
      <c r="CSJ209" s="243"/>
      <c r="CSK209" s="243"/>
      <c r="CSL209" s="243"/>
      <c r="CSM209" s="243"/>
      <c r="CSN209" s="243"/>
      <c r="CSO209" s="243"/>
      <c r="CSP209" s="243"/>
      <c r="CSQ209" s="243"/>
      <c r="CSR209" s="243"/>
      <c r="CSS209" s="243"/>
      <c r="CST209" s="243"/>
      <c r="CSU209" s="243"/>
      <c r="CSV209" s="243"/>
      <c r="CSW209" s="243"/>
      <c r="CSX209" s="243"/>
      <c r="CSY209" s="243"/>
      <c r="CSZ209" s="243"/>
      <c r="CTA209" s="243"/>
      <c r="CTB209" s="243"/>
      <c r="CTC209" s="243"/>
      <c r="CTD209" s="243"/>
      <c r="CTE209" s="243"/>
      <c r="CTF209" s="243"/>
      <c r="CTG209" s="243"/>
      <c r="CTH209" s="243"/>
      <c r="CTI209" s="243"/>
      <c r="CTJ209" s="243"/>
      <c r="CTK209" s="243"/>
      <c r="CTL209" s="243"/>
      <c r="CTM209" s="243"/>
      <c r="CTN209" s="243"/>
      <c r="CTO209" s="243"/>
      <c r="CTP209" s="243"/>
      <c r="CTQ209" s="243"/>
      <c r="CTR209" s="243"/>
      <c r="CTS209" s="243"/>
      <c r="CTT209" s="243"/>
      <c r="CTU209" s="243"/>
      <c r="CTV209" s="243"/>
      <c r="CTW209" s="243"/>
      <c r="CTX209" s="243"/>
      <c r="CTY209" s="243"/>
      <c r="CTZ209" s="243"/>
      <c r="CUA209" s="243"/>
      <c r="CUB209" s="243"/>
      <c r="CUC209" s="243"/>
      <c r="CUD209" s="243"/>
      <c r="CUE209" s="243"/>
      <c r="CUF209" s="243"/>
      <c r="CUG209" s="243"/>
      <c r="CUH209" s="243"/>
      <c r="CUI209" s="243"/>
      <c r="CUJ209" s="243"/>
      <c r="CUK209" s="243"/>
      <c r="CUL209" s="243"/>
      <c r="CUM209" s="243"/>
      <c r="CUN209" s="243"/>
      <c r="CUO209" s="243"/>
      <c r="CUP209" s="243"/>
      <c r="CUQ209" s="243"/>
      <c r="CUR209" s="243"/>
      <c r="CUS209" s="243"/>
      <c r="CUT209" s="243"/>
      <c r="CUU209" s="243"/>
      <c r="CUV209" s="243"/>
      <c r="CUW209" s="243"/>
      <c r="CUX209" s="243"/>
      <c r="CUY209" s="243"/>
      <c r="CUZ209" s="243"/>
      <c r="CVA209" s="243"/>
      <c r="CVB209" s="243"/>
      <c r="CVC209" s="243"/>
      <c r="CVD209" s="243"/>
      <c r="CVE209" s="243"/>
      <c r="CVF209" s="243"/>
      <c r="CVG209" s="243"/>
      <c r="CVH209" s="243"/>
      <c r="CVI209" s="243"/>
      <c r="CVJ209" s="243"/>
      <c r="CVK209" s="243"/>
      <c r="CVL209" s="243"/>
      <c r="CVM209" s="243"/>
      <c r="CVN209" s="243"/>
      <c r="CVO209" s="243"/>
      <c r="CVP209" s="243"/>
      <c r="CVQ209" s="243"/>
      <c r="CVR209" s="243"/>
      <c r="CVS209" s="243"/>
      <c r="CVT209" s="243"/>
      <c r="CVU209" s="243"/>
      <c r="CVV209" s="243"/>
      <c r="CVW209" s="243"/>
      <c r="CVX209" s="243"/>
      <c r="CVY209" s="243"/>
      <c r="CVZ209" s="243"/>
      <c r="CWA209" s="243"/>
      <c r="CWB209" s="243"/>
      <c r="CWC209" s="243"/>
      <c r="CWD209" s="243"/>
      <c r="CWE209" s="243"/>
      <c r="CWF209" s="243"/>
      <c r="CWG209" s="243"/>
      <c r="CWH209" s="243"/>
      <c r="CWI209" s="243"/>
      <c r="CWJ209" s="243"/>
      <c r="CWK209" s="243"/>
      <c r="CWL209" s="243"/>
      <c r="CWM209" s="243"/>
      <c r="CWN209" s="243"/>
      <c r="CWO209" s="243"/>
      <c r="CWP209" s="243"/>
      <c r="CWQ209" s="243"/>
      <c r="CWR209" s="243"/>
      <c r="CWS209" s="243"/>
      <c r="CWT209" s="243"/>
      <c r="CWU209" s="243"/>
      <c r="CWV209" s="243"/>
      <c r="CWW209" s="243"/>
      <c r="CWX209" s="243"/>
      <c r="CWY209" s="243"/>
      <c r="CWZ209" s="243"/>
      <c r="CXA209" s="243"/>
      <c r="CXB209" s="243"/>
      <c r="CXC209" s="243"/>
      <c r="CXD209" s="243"/>
      <c r="CXE209" s="243"/>
      <c r="CXF209" s="243"/>
      <c r="CXG209" s="243"/>
      <c r="CXH209" s="243"/>
      <c r="CXI209" s="243"/>
      <c r="CXJ209" s="243"/>
      <c r="CXK209" s="243"/>
      <c r="CXL209" s="243"/>
      <c r="CXM209" s="243"/>
      <c r="CXN209" s="243"/>
      <c r="CXO209" s="243"/>
      <c r="CXP209" s="243"/>
      <c r="CXQ209" s="243"/>
      <c r="CXR209" s="243"/>
      <c r="CXS209" s="243"/>
      <c r="CXT209" s="243"/>
      <c r="CXU209" s="243"/>
      <c r="CXV209" s="243"/>
      <c r="CXW209" s="243"/>
      <c r="CXX209" s="243"/>
      <c r="CXY209" s="243"/>
      <c r="CXZ209" s="243"/>
      <c r="CYA209" s="243"/>
      <c r="CYB209" s="243"/>
      <c r="CYC209" s="243"/>
      <c r="CYD209" s="243"/>
      <c r="CYE209" s="243"/>
      <c r="CYF209" s="243"/>
      <c r="CYG209" s="243"/>
      <c r="CYH209" s="243"/>
      <c r="CYI209" s="243"/>
      <c r="CYJ209" s="243"/>
      <c r="CYK209" s="243"/>
      <c r="CYL209" s="243"/>
      <c r="CYM209" s="243"/>
      <c r="CYN209" s="243"/>
      <c r="CYO209" s="243"/>
      <c r="CYP209" s="243"/>
      <c r="CYQ209" s="243"/>
      <c r="CYR209" s="243"/>
      <c r="CYS209" s="243"/>
      <c r="CYT209" s="243"/>
      <c r="CYU209" s="243"/>
      <c r="CYV209" s="243"/>
      <c r="CYW209" s="243"/>
      <c r="CYX209" s="243"/>
      <c r="CYY209" s="243"/>
      <c r="CYZ209" s="243"/>
      <c r="CZA209" s="243"/>
      <c r="CZB209" s="243"/>
      <c r="CZC209" s="243"/>
      <c r="CZD209" s="243"/>
      <c r="CZE209" s="243"/>
      <c r="CZF209" s="243"/>
      <c r="CZG209" s="243"/>
      <c r="CZH209" s="243"/>
      <c r="CZI209" s="243"/>
      <c r="CZJ209" s="243"/>
      <c r="CZK209" s="243"/>
      <c r="CZL209" s="243"/>
      <c r="CZM209" s="243"/>
      <c r="CZN209" s="243"/>
      <c r="CZO209" s="243"/>
      <c r="CZP209" s="243"/>
      <c r="CZQ209" s="243"/>
      <c r="CZR209" s="243"/>
      <c r="CZS209" s="243"/>
      <c r="CZT209" s="243"/>
      <c r="CZU209" s="243"/>
      <c r="CZV209" s="243"/>
      <c r="CZW209" s="243"/>
      <c r="CZX209" s="243"/>
      <c r="CZY209" s="243"/>
      <c r="CZZ209" s="243"/>
      <c r="DAA209" s="243"/>
      <c r="DAB209" s="243"/>
      <c r="DAC209" s="243"/>
      <c r="DAD209" s="243"/>
      <c r="DAE209" s="243"/>
      <c r="DAF209" s="243"/>
      <c r="DAG209" s="243"/>
      <c r="DAH209" s="243"/>
      <c r="DAI209" s="243"/>
      <c r="DAJ209" s="243"/>
      <c r="DAK209" s="243"/>
      <c r="DAL209" s="243"/>
      <c r="DAM209" s="243"/>
      <c r="DAN209" s="243"/>
      <c r="DAO209" s="243"/>
      <c r="DAP209" s="243"/>
      <c r="DAQ209" s="243"/>
      <c r="DAR209" s="243"/>
      <c r="DAS209" s="243"/>
      <c r="DAT209" s="243"/>
      <c r="DAU209" s="243"/>
      <c r="DAV209" s="243"/>
      <c r="DAW209" s="243"/>
      <c r="DAX209" s="243"/>
      <c r="DAY209" s="243"/>
      <c r="DAZ209" s="243"/>
      <c r="DBA209" s="243"/>
      <c r="DBB209" s="243"/>
      <c r="DBC209" s="243"/>
      <c r="DBD209" s="243"/>
      <c r="DBE209" s="243"/>
      <c r="DBF209" s="243"/>
      <c r="DBG209" s="243"/>
      <c r="DBH209" s="243"/>
      <c r="DBI209" s="243"/>
      <c r="DBJ209" s="243"/>
      <c r="DBK209" s="243"/>
      <c r="DBL209" s="243"/>
      <c r="DBM209" s="243"/>
      <c r="DBN209" s="243"/>
      <c r="DBO209" s="243"/>
      <c r="DBP209" s="243"/>
      <c r="DBQ209" s="243"/>
      <c r="DBR209" s="243"/>
      <c r="DBS209" s="243"/>
      <c r="DBT209" s="243"/>
      <c r="DBU209" s="243"/>
      <c r="DBV209" s="243"/>
      <c r="DBW209" s="243"/>
      <c r="DBX209" s="243"/>
      <c r="DBY209" s="243"/>
      <c r="DBZ209" s="243"/>
      <c r="DCA209" s="243"/>
      <c r="DCB209" s="243"/>
      <c r="DCC209" s="243"/>
      <c r="DCD209" s="243"/>
      <c r="DCE209" s="243"/>
      <c r="DCF209" s="243"/>
      <c r="DCG209" s="243"/>
      <c r="DCH209" s="243"/>
      <c r="DCI209" s="243"/>
      <c r="DCJ209" s="243"/>
      <c r="DCK209" s="243"/>
      <c r="DCL209" s="243"/>
      <c r="DCM209" s="243"/>
      <c r="DCN209" s="243"/>
      <c r="DCO209" s="243"/>
      <c r="DCP209" s="243"/>
      <c r="DCQ209" s="243"/>
      <c r="DCR209" s="243"/>
      <c r="DCS209" s="243"/>
      <c r="DCT209" s="243"/>
      <c r="DCU209" s="243"/>
      <c r="DCV209" s="243"/>
      <c r="DCW209" s="243"/>
      <c r="DCX209" s="243"/>
      <c r="DCY209" s="243"/>
      <c r="DCZ209" s="243"/>
      <c r="DDA209" s="243"/>
      <c r="DDB209" s="243"/>
      <c r="DDC209" s="243"/>
      <c r="DDD209" s="243"/>
      <c r="DDE209" s="243"/>
      <c r="DDF209" s="243"/>
      <c r="DDG209" s="243"/>
      <c r="DDH209" s="243"/>
      <c r="DDI209" s="243"/>
      <c r="DDJ209" s="243"/>
      <c r="DDK209" s="243"/>
      <c r="DDL209" s="243"/>
      <c r="DDM209" s="243"/>
      <c r="DDN209" s="243"/>
      <c r="DDO209" s="243"/>
      <c r="DDP209" s="243"/>
      <c r="DDQ209" s="243"/>
      <c r="DDR209" s="243"/>
      <c r="DDS209" s="243"/>
      <c r="DDT209" s="243"/>
      <c r="DDU209" s="243"/>
      <c r="DDV209" s="243"/>
      <c r="DDW209" s="243"/>
      <c r="DDX209" s="243"/>
      <c r="DDY209" s="243"/>
      <c r="DDZ209" s="243"/>
      <c r="DEA209" s="243"/>
      <c r="DEB209" s="243"/>
      <c r="DEC209" s="243"/>
      <c r="DED209" s="243"/>
      <c r="DEE209" s="243"/>
      <c r="DEF209" s="243"/>
      <c r="DEG209" s="243"/>
      <c r="DEH209" s="243"/>
      <c r="DEI209" s="243"/>
      <c r="DEJ209" s="243"/>
      <c r="DEK209" s="243"/>
      <c r="DEL209" s="243"/>
      <c r="DEM209" s="243"/>
      <c r="DEN209" s="243"/>
      <c r="DEO209" s="243"/>
      <c r="DEP209" s="243"/>
      <c r="DEQ209" s="243"/>
      <c r="DER209" s="243"/>
      <c r="DES209" s="243"/>
      <c r="DET209" s="243"/>
      <c r="DEU209" s="243"/>
      <c r="DEV209" s="243"/>
      <c r="DEW209" s="243"/>
      <c r="DEX209" s="243"/>
      <c r="DEY209" s="243"/>
      <c r="DEZ209" s="243"/>
      <c r="DFA209" s="243"/>
      <c r="DFB209" s="243"/>
      <c r="DFC209" s="243"/>
      <c r="DFD209" s="243"/>
      <c r="DFE209" s="243"/>
      <c r="DFF209" s="243"/>
      <c r="DFG209" s="243"/>
      <c r="DFH209" s="243"/>
      <c r="DFI209" s="243"/>
      <c r="DFJ209" s="243"/>
      <c r="DFK209" s="243"/>
      <c r="DFL209" s="243"/>
      <c r="DFM209" s="243"/>
      <c r="DFN209" s="243"/>
      <c r="DFO209" s="243"/>
      <c r="DFP209" s="243"/>
      <c r="DFQ209" s="243"/>
      <c r="DFR209" s="243"/>
      <c r="DFS209" s="243"/>
      <c r="DFT209" s="243"/>
      <c r="DFU209" s="243"/>
      <c r="DFV209" s="243"/>
      <c r="DFW209" s="243"/>
      <c r="DFX209" s="243"/>
      <c r="DFY209" s="243"/>
      <c r="DFZ209" s="243"/>
      <c r="DGA209" s="243"/>
      <c r="DGB209" s="243"/>
      <c r="DGC209" s="243"/>
      <c r="DGD209" s="243"/>
      <c r="DGE209" s="243"/>
      <c r="DGF209" s="243"/>
      <c r="DGG209" s="243"/>
      <c r="DGH209" s="243"/>
      <c r="DGI209" s="243"/>
      <c r="DGJ209" s="243"/>
      <c r="DGK209" s="243"/>
      <c r="DGL209" s="243"/>
      <c r="DGM209" s="243"/>
      <c r="DGN209" s="243"/>
      <c r="DGO209" s="243"/>
      <c r="DGP209" s="243"/>
      <c r="DGQ209" s="243"/>
      <c r="DGR209" s="243"/>
      <c r="DGS209" s="243"/>
      <c r="DGT209" s="243"/>
      <c r="DGU209" s="243"/>
      <c r="DGV209" s="243"/>
      <c r="DGW209" s="243"/>
      <c r="DGX209" s="243"/>
      <c r="DGY209" s="243"/>
      <c r="DGZ209" s="243"/>
      <c r="DHA209" s="243"/>
      <c r="DHB209" s="243"/>
      <c r="DHC209" s="243"/>
      <c r="DHD209" s="243"/>
      <c r="DHE209" s="243"/>
      <c r="DHF209" s="243"/>
      <c r="DHG209" s="243"/>
      <c r="DHH209" s="243"/>
      <c r="DHI209" s="243"/>
      <c r="DHJ209" s="243"/>
      <c r="DHK209" s="243"/>
      <c r="DHL209" s="243"/>
      <c r="DHM209" s="243"/>
      <c r="DHN209" s="243"/>
      <c r="DHO209" s="243"/>
      <c r="DHP209" s="243"/>
      <c r="DHQ209" s="243"/>
      <c r="DHR209" s="243"/>
      <c r="DHS209" s="243"/>
      <c r="DHT209" s="243"/>
      <c r="DHU209" s="243"/>
      <c r="DHV209" s="243"/>
      <c r="DHW209" s="243"/>
      <c r="DHX209" s="243"/>
      <c r="DHY209" s="243"/>
      <c r="DHZ209" s="243"/>
      <c r="DIA209" s="243"/>
      <c r="DIB209" s="243"/>
      <c r="DIC209" s="243"/>
      <c r="DID209" s="243"/>
      <c r="DIE209" s="243"/>
      <c r="DIF209" s="243"/>
      <c r="DIG209" s="243"/>
      <c r="DIH209" s="243"/>
      <c r="DII209" s="243"/>
      <c r="DIJ209" s="243"/>
      <c r="DIK209" s="243"/>
      <c r="DIL209" s="243"/>
      <c r="DIM209" s="243"/>
      <c r="DIN209" s="243"/>
      <c r="DIO209" s="243"/>
      <c r="DIP209" s="243"/>
      <c r="DIQ209" s="243"/>
      <c r="DIR209" s="243"/>
      <c r="DIS209" s="243"/>
      <c r="DIT209" s="243"/>
      <c r="DIU209" s="243"/>
      <c r="DIV209" s="243"/>
      <c r="DIW209" s="243"/>
      <c r="DIX209" s="243"/>
      <c r="DIY209" s="243"/>
      <c r="DIZ209" s="243"/>
      <c r="DJA209" s="243"/>
      <c r="DJB209" s="243"/>
      <c r="DJC209" s="243"/>
      <c r="DJD209" s="243"/>
      <c r="DJE209" s="243"/>
      <c r="DJF209" s="243"/>
      <c r="DJG209" s="243"/>
      <c r="DJH209" s="243"/>
      <c r="DJI209" s="243"/>
      <c r="DJJ209" s="243"/>
      <c r="DJK209" s="243"/>
      <c r="DJL209" s="243"/>
      <c r="DJM209" s="243"/>
      <c r="DJN209" s="243"/>
      <c r="DJO209" s="243"/>
      <c r="DJP209" s="243"/>
      <c r="DJQ209" s="243"/>
      <c r="DJR209" s="243"/>
      <c r="DJS209" s="243"/>
      <c r="DJT209" s="243"/>
      <c r="DJU209" s="243"/>
      <c r="DJV209" s="243"/>
      <c r="DJW209" s="243"/>
      <c r="DJX209" s="243"/>
      <c r="DJY209" s="243"/>
      <c r="DJZ209" s="243"/>
      <c r="DKA209" s="243"/>
      <c r="DKB209" s="243"/>
      <c r="DKC209" s="243"/>
      <c r="DKD209" s="243"/>
      <c r="DKE209" s="243"/>
      <c r="DKF209" s="243"/>
      <c r="DKG209" s="243"/>
      <c r="DKH209" s="243"/>
      <c r="DKI209" s="243"/>
      <c r="DKJ209" s="243"/>
      <c r="DKK209" s="243"/>
      <c r="DKL209" s="243"/>
      <c r="DKM209" s="243"/>
      <c r="DKN209" s="243"/>
      <c r="DKO209" s="243"/>
      <c r="DKP209" s="243"/>
      <c r="DKQ209" s="243"/>
      <c r="DKR209" s="243"/>
      <c r="DKS209" s="243"/>
      <c r="DKT209" s="243"/>
      <c r="DKU209" s="243"/>
      <c r="DKV209" s="243"/>
      <c r="DKW209" s="243"/>
      <c r="DKX209" s="243"/>
      <c r="DKY209" s="243"/>
      <c r="DKZ209" s="243"/>
      <c r="DLA209" s="243"/>
      <c r="DLB209" s="243"/>
      <c r="DLC209" s="243"/>
      <c r="DLD209" s="243"/>
      <c r="DLE209" s="243"/>
      <c r="DLF209" s="243"/>
      <c r="DLG209" s="243"/>
      <c r="DLH209" s="243"/>
      <c r="DLI209" s="243"/>
      <c r="DLJ209" s="243"/>
      <c r="DLK209" s="243"/>
      <c r="DLL209" s="243"/>
      <c r="DLM209" s="243"/>
      <c r="DLN209" s="243"/>
      <c r="DLO209" s="243"/>
      <c r="DLP209" s="243"/>
      <c r="DLQ209" s="243"/>
      <c r="DLR209" s="243"/>
      <c r="DLS209" s="243"/>
      <c r="DLT209" s="243"/>
      <c r="DLU209" s="243"/>
      <c r="DLV209" s="243"/>
      <c r="DLW209" s="243"/>
      <c r="DLX209" s="243"/>
      <c r="DLY209" s="243"/>
      <c r="DLZ209" s="243"/>
      <c r="DMA209" s="243"/>
      <c r="DMB209" s="243"/>
      <c r="DMC209" s="243"/>
      <c r="DMD209" s="243"/>
      <c r="DME209" s="243"/>
      <c r="DMF209" s="243"/>
      <c r="DMG209" s="243"/>
      <c r="DMH209" s="243"/>
      <c r="DMI209" s="243"/>
      <c r="DMJ209" s="243"/>
      <c r="DMK209" s="243"/>
      <c r="DML209" s="243"/>
      <c r="DMM209" s="243"/>
      <c r="DMN209" s="243"/>
      <c r="DMO209" s="243"/>
      <c r="DMP209" s="243"/>
      <c r="DMQ209" s="243"/>
      <c r="DMR209" s="243"/>
      <c r="DMS209" s="243"/>
      <c r="DMT209" s="243"/>
      <c r="DMU209" s="243"/>
      <c r="DMV209" s="243"/>
      <c r="DMW209" s="243"/>
      <c r="DMX209" s="243"/>
      <c r="DMY209" s="243"/>
      <c r="DMZ209" s="243"/>
      <c r="DNA209" s="243"/>
      <c r="DNB209" s="243"/>
      <c r="DNC209" s="243"/>
      <c r="DND209" s="243"/>
      <c r="DNE209" s="243"/>
      <c r="DNF209" s="243"/>
      <c r="DNG209" s="243"/>
      <c r="DNH209" s="243"/>
      <c r="DNI209" s="243"/>
      <c r="DNJ209" s="243"/>
      <c r="DNK209" s="243"/>
      <c r="DNL209" s="243"/>
      <c r="DNM209" s="243"/>
      <c r="DNN209" s="243"/>
      <c r="DNO209" s="243"/>
      <c r="DNP209" s="243"/>
      <c r="DNQ209" s="243"/>
      <c r="DNR209" s="243"/>
      <c r="DNS209" s="243"/>
      <c r="DNT209" s="243"/>
      <c r="DNU209" s="243"/>
      <c r="DNV209" s="243"/>
      <c r="DNW209" s="243"/>
      <c r="DNX209" s="243"/>
      <c r="DNY209" s="243"/>
      <c r="DNZ209" s="243"/>
      <c r="DOA209" s="243"/>
      <c r="DOB209" s="243"/>
      <c r="DOC209" s="243"/>
      <c r="DOD209" s="243"/>
      <c r="DOE209" s="243"/>
      <c r="DOF209" s="243"/>
      <c r="DOG209" s="243"/>
      <c r="DOH209" s="243"/>
      <c r="DOI209" s="243"/>
      <c r="DOJ209" s="243"/>
      <c r="DOK209" s="243"/>
      <c r="DOL209" s="243"/>
      <c r="DOM209" s="243"/>
      <c r="DON209" s="243"/>
      <c r="DOO209" s="243"/>
      <c r="DOP209" s="243"/>
      <c r="DOQ209" s="243"/>
      <c r="DOR209" s="243"/>
      <c r="DOS209" s="243"/>
      <c r="DOT209" s="243"/>
      <c r="DOU209" s="243"/>
      <c r="DOV209" s="243"/>
      <c r="DOW209" s="243"/>
      <c r="DOX209" s="243"/>
      <c r="DOY209" s="243"/>
      <c r="DOZ209" s="243"/>
      <c r="DPA209" s="243"/>
      <c r="DPB209" s="243"/>
      <c r="DPC209" s="243"/>
      <c r="DPD209" s="243"/>
      <c r="DPE209" s="243"/>
      <c r="DPF209" s="243"/>
      <c r="DPG209" s="243"/>
      <c r="DPH209" s="243"/>
      <c r="DPI209" s="243"/>
      <c r="DPJ209" s="243"/>
      <c r="DPK209" s="243"/>
      <c r="DPL209" s="243"/>
      <c r="DPM209" s="243"/>
      <c r="DPN209" s="243"/>
      <c r="DPO209" s="243"/>
      <c r="DPP209" s="243"/>
      <c r="DPQ209" s="243"/>
      <c r="DPR209" s="243"/>
      <c r="DPS209" s="243"/>
      <c r="DPT209" s="243"/>
      <c r="DPU209" s="243"/>
      <c r="DPV209" s="243"/>
      <c r="DPW209" s="243"/>
      <c r="DPX209" s="243"/>
      <c r="DPY209" s="243"/>
      <c r="DPZ209" s="243"/>
      <c r="DQA209" s="243"/>
      <c r="DQB209" s="243"/>
      <c r="DQC209" s="243"/>
      <c r="DQD209" s="243"/>
      <c r="DQE209" s="243"/>
      <c r="DQF209" s="243"/>
      <c r="DQG209" s="243"/>
      <c r="DQH209" s="243"/>
      <c r="DQI209" s="243"/>
      <c r="DQJ209" s="243"/>
      <c r="DQK209" s="243"/>
      <c r="DQL209" s="243"/>
      <c r="DQM209" s="243"/>
      <c r="DQN209" s="243"/>
      <c r="DQO209" s="243"/>
      <c r="DQP209" s="243"/>
      <c r="DQQ209" s="243"/>
      <c r="DQR209" s="243"/>
      <c r="DQS209" s="243"/>
      <c r="DQT209" s="243"/>
      <c r="DQU209" s="243"/>
      <c r="DQV209" s="243"/>
      <c r="DQW209" s="243"/>
      <c r="DQX209" s="243"/>
      <c r="DQY209" s="243"/>
      <c r="DQZ209" s="243"/>
      <c r="DRA209" s="243"/>
      <c r="DRB209" s="243"/>
      <c r="DRC209" s="243"/>
      <c r="DRD209" s="243"/>
      <c r="DRE209" s="243"/>
      <c r="DRF209" s="243"/>
      <c r="DRG209" s="243"/>
      <c r="DRH209" s="243"/>
      <c r="DRI209" s="243"/>
      <c r="DRJ209" s="243"/>
      <c r="DRK209" s="243"/>
      <c r="DRL209" s="243"/>
      <c r="DRM209" s="243"/>
      <c r="DRN209" s="243"/>
      <c r="DRO209" s="243"/>
      <c r="DRP209" s="243"/>
      <c r="DRQ209" s="243"/>
      <c r="DRR209" s="243"/>
      <c r="DRS209" s="243"/>
      <c r="DRT209" s="243"/>
      <c r="DRU209" s="243"/>
      <c r="DRV209" s="243"/>
      <c r="DRW209" s="243"/>
      <c r="DRX209" s="243"/>
      <c r="DRY209" s="243"/>
      <c r="DRZ209" s="243"/>
      <c r="DSA209" s="243"/>
      <c r="DSB209" s="243"/>
      <c r="DSC209" s="243"/>
      <c r="DSD209" s="243"/>
      <c r="DSE209" s="243"/>
      <c r="DSF209" s="243"/>
      <c r="DSG209" s="243"/>
      <c r="DSH209" s="243"/>
      <c r="DSI209" s="243"/>
      <c r="DSJ209" s="243"/>
      <c r="DSK209" s="243"/>
      <c r="DSL209" s="243"/>
      <c r="DSM209" s="243"/>
      <c r="DSN209" s="243"/>
      <c r="DSO209" s="243"/>
      <c r="DSP209" s="243"/>
      <c r="DSQ209" s="243"/>
      <c r="DSR209" s="243"/>
      <c r="DSS209" s="243"/>
      <c r="DST209" s="243"/>
      <c r="DSU209" s="243"/>
      <c r="DSV209" s="243"/>
      <c r="DSW209" s="243"/>
      <c r="DSX209" s="243"/>
      <c r="DSY209" s="243"/>
      <c r="DSZ209" s="243"/>
      <c r="DTA209" s="243"/>
      <c r="DTB209" s="243"/>
      <c r="DTC209" s="243"/>
      <c r="DTD209" s="243"/>
      <c r="DTE209" s="243"/>
      <c r="DTF209" s="243"/>
      <c r="DTG209" s="243"/>
      <c r="DTH209" s="243"/>
      <c r="DTI209" s="243"/>
      <c r="DTJ209" s="243"/>
      <c r="DTK209" s="243"/>
      <c r="DTL209" s="243"/>
      <c r="DTM209" s="243"/>
      <c r="DTN209" s="243"/>
      <c r="DTO209" s="243"/>
      <c r="DTP209" s="243"/>
      <c r="DTQ209" s="243"/>
      <c r="DTR209" s="243"/>
      <c r="DTS209" s="243"/>
      <c r="DTT209" s="243"/>
      <c r="DTU209" s="243"/>
      <c r="DTV209" s="243"/>
      <c r="DTW209" s="243"/>
      <c r="DTX209" s="243"/>
      <c r="DTY209" s="243"/>
      <c r="DTZ209" s="243"/>
      <c r="DUA209" s="243"/>
      <c r="DUB209" s="243"/>
      <c r="DUC209" s="243"/>
      <c r="DUD209" s="243"/>
      <c r="DUE209" s="243"/>
      <c r="DUF209" s="243"/>
      <c r="DUG209" s="243"/>
      <c r="DUH209" s="243"/>
      <c r="DUI209" s="243"/>
      <c r="DUJ209" s="243"/>
      <c r="DUK209" s="243"/>
      <c r="DUL209" s="243"/>
      <c r="DUM209" s="243"/>
      <c r="DUN209" s="243"/>
      <c r="DUO209" s="243"/>
      <c r="DUP209" s="243"/>
      <c r="DUQ209" s="243"/>
      <c r="DUR209" s="243"/>
      <c r="DUS209" s="243"/>
      <c r="DUT209" s="243"/>
      <c r="DUU209" s="243"/>
      <c r="DUV209" s="243"/>
      <c r="DUW209" s="243"/>
      <c r="DUX209" s="243"/>
      <c r="DUY209" s="243"/>
      <c r="DUZ209" s="243"/>
      <c r="DVA209" s="243"/>
      <c r="DVB209" s="243"/>
      <c r="DVC209" s="243"/>
      <c r="DVD209" s="243"/>
      <c r="DVE209" s="243"/>
      <c r="DVF209" s="243"/>
      <c r="DVG209" s="243"/>
      <c r="DVH209" s="243"/>
      <c r="DVI209" s="243"/>
      <c r="DVJ209" s="243"/>
      <c r="DVK209" s="243"/>
      <c r="DVL209" s="243"/>
      <c r="DVM209" s="243"/>
      <c r="DVN209" s="243"/>
      <c r="DVO209" s="243"/>
      <c r="DVP209" s="243"/>
      <c r="DVQ209" s="243"/>
      <c r="DVR209" s="243"/>
      <c r="DVS209" s="243"/>
      <c r="DVT209" s="243"/>
      <c r="DVU209" s="243"/>
      <c r="DVV209" s="243"/>
      <c r="DVW209" s="243"/>
      <c r="DVX209" s="243"/>
      <c r="DVY209" s="243"/>
      <c r="DVZ209" s="243"/>
      <c r="DWA209" s="243"/>
      <c r="DWB209" s="243"/>
      <c r="DWC209" s="243"/>
      <c r="DWD209" s="243"/>
      <c r="DWE209" s="243"/>
      <c r="DWF209" s="243"/>
      <c r="DWG209" s="243"/>
      <c r="DWH209" s="243"/>
      <c r="DWI209" s="243"/>
      <c r="DWJ209" s="243"/>
      <c r="DWK209" s="243"/>
      <c r="DWL209" s="243"/>
      <c r="DWM209" s="243"/>
      <c r="DWN209" s="243"/>
      <c r="DWO209" s="243"/>
      <c r="DWP209" s="243"/>
      <c r="DWQ209" s="243"/>
      <c r="DWR209" s="243"/>
      <c r="DWS209" s="243"/>
      <c r="DWT209" s="243"/>
      <c r="DWU209" s="243"/>
      <c r="DWV209" s="243"/>
      <c r="DWW209" s="243"/>
      <c r="DWX209" s="243"/>
      <c r="DWY209" s="243"/>
      <c r="DWZ209" s="243"/>
      <c r="DXA209" s="243"/>
      <c r="DXB209" s="243"/>
      <c r="DXC209" s="243"/>
      <c r="DXD209" s="243"/>
      <c r="DXE209" s="243"/>
      <c r="DXF209" s="243"/>
      <c r="DXG209" s="243"/>
      <c r="DXH209" s="243"/>
      <c r="DXI209" s="243"/>
      <c r="DXJ209" s="243"/>
      <c r="DXK209" s="243"/>
      <c r="DXL209" s="243"/>
      <c r="DXM209" s="243"/>
      <c r="DXN209" s="243"/>
      <c r="DXO209" s="243"/>
      <c r="DXP209" s="243"/>
      <c r="DXQ209" s="243"/>
      <c r="DXR209" s="243"/>
      <c r="DXS209" s="243"/>
      <c r="DXT209" s="243"/>
      <c r="DXU209" s="243"/>
      <c r="DXV209" s="243"/>
      <c r="DXW209" s="243"/>
      <c r="DXX209" s="243"/>
      <c r="DXY209" s="243"/>
      <c r="DXZ209" s="243"/>
      <c r="DYA209" s="243"/>
      <c r="DYB209" s="243"/>
      <c r="DYC209" s="243"/>
      <c r="DYD209" s="243"/>
      <c r="DYE209" s="243"/>
      <c r="DYF209" s="243"/>
      <c r="DYG209" s="243"/>
      <c r="DYH209" s="243"/>
      <c r="DYI209" s="243"/>
      <c r="DYJ209" s="243"/>
      <c r="DYK209" s="243"/>
      <c r="DYL209" s="243"/>
      <c r="DYM209" s="243"/>
      <c r="DYN209" s="243"/>
      <c r="DYO209" s="243"/>
      <c r="DYP209" s="243"/>
      <c r="DYQ209" s="243"/>
      <c r="DYR209" s="243"/>
      <c r="DYS209" s="243"/>
      <c r="DYT209" s="243"/>
      <c r="DYU209" s="243"/>
      <c r="DYV209" s="243"/>
      <c r="DYW209" s="243"/>
      <c r="DYX209" s="243"/>
      <c r="DYY209" s="243"/>
      <c r="DYZ209" s="243"/>
      <c r="DZA209" s="243"/>
      <c r="DZB209" s="243"/>
      <c r="DZC209" s="243"/>
      <c r="DZD209" s="243"/>
      <c r="DZE209" s="243"/>
      <c r="DZF209" s="243"/>
      <c r="DZG209" s="243"/>
      <c r="DZH209" s="243"/>
      <c r="DZI209" s="243"/>
      <c r="DZJ209" s="243"/>
      <c r="DZK209" s="243"/>
      <c r="DZL209" s="243"/>
      <c r="DZM209" s="243"/>
      <c r="DZN209" s="243"/>
      <c r="DZO209" s="243"/>
      <c r="DZP209" s="243"/>
      <c r="DZQ209" s="243"/>
      <c r="DZR209" s="243"/>
      <c r="DZS209" s="243"/>
      <c r="DZT209" s="243"/>
      <c r="DZU209" s="243"/>
      <c r="DZV209" s="243"/>
      <c r="DZW209" s="243"/>
      <c r="DZX209" s="243"/>
      <c r="DZY209" s="243"/>
      <c r="DZZ209" s="243"/>
      <c r="EAA209" s="243"/>
      <c r="EAB209" s="243"/>
      <c r="EAC209" s="243"/>
      <c r="EAD209" s="243"/>
      <c r="EAE209" s="243"/>
      <c r="EAF209" s="243"/>
      <c r="EAG209" s="243"/>
      <c r="EAH209" s="243"/>
      <c r="EAI209" s="243"/>
      <c r="EAJ209" s="243"/>
      <c r="EAK209" s="243"/>
      <c r="EAL209" s="243"/>
      <c r="EAM209" s="243"/>
      <c r="EAN209" s="243"/>
      <c r="EAO209" s="243"/>
      <c r="EAP209" s="243"/>
      <c r="EAQ209" s="243"/>
      <c r="EAR209" s="243"/>
      <c r="EAS209" s="243"/>
      <c r="EAT209" s="243"/>
      <c r="EAU209" s="243"/>
      <c r="EAV209" s="243"/>
      <c r="EAW209" s="243"/>
      <c r="EAX209" s="243"/>
      <c r="EAY209" s="243"/>
      <c r="EAZ209" s="243"/>
      <c r="EBA209" s="243"/>
      <c r="EBB209" s="243"/>
      <c r="EBC209" s="243"/>
      <c r="EBD209" s="243"/>
      <c r="EBE209" s="243"/>
      <c r="EBF209" s="243"/>
      <c r="EBG209" s="243"/>
      <c r="EBH209" s="243"/>
      <c r="EBI209" s="243"/>
      <c r="EBJ209" s="243"/>
      <c r="EBK209" s="243"/>
      <c r="EBL209" s="243"/>
      <c r="EBM209" s="243"/>
      <c r="EBN209" s="243"/>
      <c r="EBO209" s="243"/>
      <c r="EBP209" s="243"/>
      <c r="EBQ209" s="243"/>
      <c r="EBR209" s="243"/>
      <c r="EBS209" s="243"/>
      <c r="EBT209" s="243"/>
      <c r="EBU209" s="243"/>
      <c r="EBV209" s="243"/>
      <c r="EBW209" s="243"/>
      <c r="EBX209" s="243"/>
      <c r="EBY209" s="243"/>
      <c r="EBZ209" s="243"/>
      <c r="ECA209" s="243"/>
      <c r="ECB209" s="243"/>
      <c r="ECC209" s="243"/>
      <c r="ECD209" s="243"/>
      <c r="ECE209" s="243"/>
      <c r="ECF209" s="243"/>
      <c r="ECG209" s="243"/>
      <c r="ECH209" s="243"/>
      <c r="ECI209" s="243"/>
      <c r="ECJ209" s="243"/>
      <c r="ECK209" s="243"/>
      <c r="ECL209" s="243"/>
      <c r="ECM209" s="243"/>
      <c r="ECN209" s="243"/>
      <c r="ECO209" s="243"/>
      <c r="ECP209" s="243"/>
      <c r="ECQ209" s="243"/>
      <c r="ECR209" s="243"/>
      <c r="ECS209" s="243"/>
      <c r="ECT209" s="243"/>
      <c r="ECU209" s="243"/>
      <c r="ECV209" s="243"/>
      <c r="ECW209" s="243"/>
      <c r="ECX209" s="243"/>
      <c r="ECY209" s="243"/>
      <c r="ECZ209" s="243"/>
      <c r="EDA209" s="243"/>
      <c r="EDB209" s="243"/>
      <c r="EDC209" s="243"/>
      <c r="EDD209" s="243"/>
      <c r="EDE209" s="243"/>
      <c r="EDF209" s="243"/>
      <c r="EDG209" s="243"/>
      <c r="EDH209" s="243"/>
      <c r="EDI209" s="243"/>
      <c r="EDJ209" s="243"/>
      <c r="EDK209" s="243"/>
      <c r="EDL209" s="243"/>
      <c r="EDM209" s="243"/>
      <c r="EDN209" s="243"/>
      <c r="EDO209" s="243"/>
      <c r="EDP209" s="243"/>
      <c r="EDQ209" s="243"/>
      <c r="EDR209" s="243"/>
      <c r="EDS209" s="243"/>
      <c r="EDT209" s="243"/>
      <c r="EDU209" s="243"/>
      <c r="EDV209" s="243"/>
      <c r="EDW209" s="243"/>
      <c r="EDX209" s="243"/>
      <c r="EDY209" s="243"/>
      <c r="EDZ209" s="243"/>
      <c r="EEA209" s="243"/>
      <c r="EEB209" s="243"/>
      <c r="EEC209" s="243"/>
      <c r="EED209" s="243"/>
      <c r="EEE209" s="243"/>
      <c r="EEF209" s="243"/>
      <c r="EEG209" s="243"/>
      <c r="EEH209" s="243"/>
      <c r="EEI209" s="243"/>
      <c r="EEJ209" s="243"/>
      <c r="EEK209" s="243"/>
      <c r="EEL209" s="243"/>
      <c r="EEM209" s="243"/>
      <c r="EEN209" s="243"/>
      <c r="EEO209" s="243"/>
      <c r="EEP209" s="243"/>
      <c r="EEQ209" s="243"/>
      <c r="EER209" s="243"/>
      <c r="EES209" s="243"/>
      <c r="EET209" s="243"/>
      <c r="EEU209" s="243"/>
      <c r="EEV209" s="243"/>
      <c r="EEW209" s="243"/>
      <c r="EEX209" s="243"/>
      <c r="EEY209" s="243"/>
      <c r="EEZ209" s="243"/>
      <c r="EFA209" s="243"/>
      <c r="EFB209" s="243"/>
      <c r="EFC209" s="243"/>
      <c r="EFD209" s="243"/>
      <c r="EFE209" s="243"/>
      <c r="EFF209" s="243"/>
      <c r="EFG209" s="243"/>
      <c r="EFH209" s="243"/>
      <c r="EFI209" s="243"/>
      <c r="EFJ209" s="243"/>
      <c r="EFK209" s="243"/>
      <c r="EFL209" s="243"/>
      <c r="EFM209" s="243"/>
      <c r="EFN209" s="243"/>
      <c r="EFO209" s="243"/>
      <c r="EFP209" s="243"/>
      <c r="EFQ209" s="243"/>
      <c r="EFR209" s="243"/>
      <c r="EFS209" s="243"/>
      <c r="EFT209" s="243"/>
      <c r="EFU209" s="243"/>
      <c r="EFV209" s="243"/>
      <c r="EFW209" s="243"/>
      <c r="EFX209" s="243"/>
      <c r="EFY209" s="243"/>
      <c r="EFZ209" s="243"/>
      <c r="EGA209" s="243"/>
      <c r="EGB209" s="243"/>
      <c r="EGC209" s="243"/>
      <c r="EGD209" s="243"/>
      <c r="EGE209" s="243"/>
      <c r="EGF209" s="243"/>
      <c r="EGG209" s="243"/>
      <c r="EGH209" s="243"/>
      <c r="EGI209" s="243"/>
      <c r="EGJ209" s="243"/>
      <c r="EGK209" s="243"/>
      <c r="EGL209" s="243"/>
      <c r="EGM209" s="243"/>
      <c r="EGN209" s="243"/>
      <c r="EGO209" s="243"/>
      <c r="EGP209" s="243"/>
      <c r="EGQ209" s="243"/>
      <c r="EGR209" s="243"/>
      <c r="EGS209" s="243"/>
      <c r="EGT209" s="243"/>
      <c r="EGU209" s="243"/>
      <c r="EGV209" s="243"/>
      <c r="EGW209" s="243"/>
      <c r="EGX209" s="243"/>
      <c r="EGY209" s="243"/>
      <c r="EGZ209" s="243"/>
      <c r="EHA209" s="243"/>
      <c r="EHB209" s="243"/>
      <c r="EHC209" s="243"/>
      <c r="EHD209" s="243"/>
      <c r="EHE209" s="243"/>
      <c r="EHF209" s="243"/>
      <c r="EHG209" s="243"/>
      <c r="EHH209" s="243"/>
      <c r="EHI209" s="243"/>
      <c r="EHJ209" s="243"/>
      <c r="EHK209" s="243"/>
      <c r="EHL209" s="243"/>
      <c r="EHM209" s="243"/>
      <c r="EHN209" s="243"/>
      <c r="EHO209" s="243"/>
      <c r="EHP209" s="243"/>
      <c r="EHQ209" s="243"/>
      <c r="EHR209" s="243"/>
      <c r="EHS209" s="243"/>
      <c r="EHT209" s="243"/>
      <c r="EHU209" s="243"/>
      <c r="EHV209" s="243"/>
      <c r="EHW209" s="243"/>
      <c r="EHX209" s="243"/>
      <c r="EHY209" s="243"/>
      <c r="EHZ209" s="243"/>
      <c r="EIA209" s="243"/>
      <c r="EIB209" s="243"/>
      <c r="EIC209" s="243"/>
      <c r="EID209" s="243"/>
      <c r="EIE209" s="243"/>
      <c r="EIF209" s="243"/>
      <c r="EIG209" s="243"/>
      <c r="EIH209" s="243"/>
      <c r="EII209" s="243"/>
      <c r="EIJ209" s="243"/>
      <c r="EIK209" s="243"/>
      <c r="EIL209" s="243"/>
      <c r="EIM209" s="243"/>
      <c r="EIN209" s="243"/>
      <c r="EIO209" s="243"/>
      <c r="EIP209" s="243"/>
      <c r="EIQ209" s="243"/>
      <c r="EIR209" s="243"/>
      <c r="EIS209" s="243"/>
      <c r="EIT209" s="243"/>
      <c r="EIU209" s="243"/>
      <c r="EIV209" s="243"/>
      <c r="EIW209" s="243"/>
      <c r="EIX209" s="243"/>
      <c r="EIY209" s="243"/>
      <c r="EIZ209" s="243"/>
      <c r="EJA209" s="243"/>
      <c r="EJB209" s="243"/>
      <c r="EJC209" s="243"/>
      <c r="EJD209" s="243"/>
      <c r="EJE209" s="243"/>
      <c r="EJF209" s="243"/>
      <c r="EJG209" s="243"/>
      <c r="EJH209" s="243"/>
      <c r="EJI209" s="243"/>
      <c r="EJJ209" s="243"/>
      <c r="EJK209" s="243"/>
      <c r="EJL209" s="243"/>
      <c r="EJM209" s="243"/>
      <c r="EJN209" s="243"/>
      <c r="EJO209" s="243"/>
      <c r="EJP209" s="243"/>
      <c r="EJQ209" s="243"/>
      <c r="EJR209" s="243"/>
      <c r="EJS209" s="243"/>
      <c r="EJT209" s="243"/>
      <c r="EJU209" s="243"/>
      <c r="EJV209" s="243"/>
      <c r="EJW209" s="243"/>
      <c r="EJX209" s="243"/>
      <c r="EJY209" s="243"/>
      <c r="EJZ209" s="243"/>
      <c r="EKA209" s="243"/>
      <c r="EKB209" s="243"/>
      <c r="EKC209" s="243"/>
      <c r="EKD209" s="243"/>
      <c r="EKE209" s="243"/>
      <c r="EKF209" s="243"/>
      <c r="EKG209" s="243"/>
      <c r="EKH209" s="243"/>
      <c r="EKI209" s="243"/>
      <c r="EKJ209" s="243"/>
      <c r="EKK209" s="243"/>
      <c r="EKL209" s="243"/>
      <c r="EKM209" s="243"/>
      <c r="EKN209" s="243"/>
      <c r="EKO209" s="243"/>
      <c r="EKP209" s="243"/>
      <c r="EKQ209" s="243"/>
      <c r="EKR209" s="243"/>
      <c r="EKS209" s="243"/>
      <c r="EKT209" s="243"/>
      <c r="EKU209" s="243"/>
      <c r="EKV209" s="243"/>
      <c r="EKW209" s="243"/>
      <c r="EKX209" s="243"/>
      <c r="EKY209" s="243"/>
      <c r="EKZ209" s="243"/>
      <c r="ELA209" s="243"/>
      <c r="ELB209" s="243"/>
      <c r="ELC209" s="243"/>
      <c r="ELD209" s="243"/>
      <c r="ELE209" s="243"/>
      <c r="ELF209" s="243"/>
      <c r="ELG209" s="243"/>
      <c r="ELH209" s="243"/>
      <c r="ELI209" s="243"/>
      <c r="ELJ209" s="243"/>
      <c r="ELK209" s="243"/>
      <c r="ELL209" s="243"/>
      <c r="ELM209" s="243"/>
      <c r="ELN209" s="243"/>
      <c r="ELO209" s="243"/>
      <c r="ELP209" s="243"/>
      <c r="ELQ209" s="243"/>
      <c r="ELR209" s="243"/>
      <c r="ELS209" s="243"/>
      <c r="ELT209" s="243"/>
      <c r="ELU209" s="243"/>
      <c r="ELV209" s="243"/>
      <c r="ELW209" s="243"/>
      <c r="ELX209" s="243"/>
      <c r="ELY209" s="243"/>
      <c r="ELZ209" s="243"/>
      <c r="EMA209" s="243"/>
      <c r="EMB209" s="243"/>
      <c r="EMC209" s="243"/>
      <c r="EMD209" s="243"/>
      <c r="EME209" s="243"/>
      <c r="EMF209" s="243"/>
      <c r="EMG209" s="243"/>
      <c r="EMH209" s="243"/>
      <c r="EMI209" s="243"/>
      <c r="EMJ209" s="243"/>
      <c r="EMK209" s="243"/>
      <c r="EML209" s="243"/>
      <c r="EMM209" s="243"/>
      <c r="EMN209" s="243"/>
      <c r="EMO209" s="243"/>
      <c r="EMP209" s="243"/>
      <c r="EMQ209" s="243"/>
      <c r="EMR209" s="243"/>
      <c r="EMS209" s="243"/>
      <c r="EMT209" s="243"/>
      <c r="EMU209" s="243"/>
      <c r="EMV209" s="243"/>
      <c r="EMW209" s="243"/>
      <c r="EMX209" s="243"/>
      <c r="EMY209" s="243"/>
      <c r="EMZ209" s="243"/>
      <c r="ENA209" s="243"/>
      <c r="ENB209" s="243"/>
      <c r="ENC209" s="243"/>
      <c r="END209" s="243"/>
      <c r="ENE209" s="243"/>
      <c r="ENF209" s="243"/>
      <c r="ENG209" s="243"/>
      <c r="ENH209" s="243"/>
      <c r="ENI209" s="243"/>
      <c r="ENJ209" s="243"/>
      <c r="ENK209" s="243"/>
      <c r="ENL209" s="243"/>
      <c r="ENM209" s="243"/>
      <c r="ENN209" s="243"/>
      <c r="ENO209" s="243"/>
      <c r="ENP209" s="243"/>
      <c r="ENQ209" s="243"/>
      <c r="ENR209" s="243"/>
      <c r="ENS209" s="243"/>
      <c r="ENT209" s="243"/>
      <c r="ENU209" s="243"/>
      <c r="ENV209" s="243"/>
      <c r="ENW209" s="243"/>
      <c r="ENX209" s="243"/>
      <c r="ENY209" s="243"/>
      <c r="ENZ209" s="243"/>
      <c r="EOA209" s="243"/>
      <c r="EOB209" s="243"/>
      <c r="EOC209" s="243"/>
      <c r="EOD209" s="243"/>
      <c r="EOE209" s="243"/>
      <c r="EOF209" s="243"/>
      <c r="EOG209" s="243"/>
      <c r="EOH209" s="243"/>
      <c r="EOI209" s="243"/>
      <c r="EOJ209" s="243"/>
      <c r="EOK209" s="243"/>
      <c r="EOL209" s="243"/>
      <c r="EOM209" s="243"/>
      <c r="EON209" s="243"/>
      <c r="EOO209" s="243"/>
      <c r="EOP209" s="243"/>
      <c r="EOQ209" s="243"/>
      <c r="EOR209" s="243"/>
      <c r="EOS209" s="243"/>
      <c r="EOT209" s="243"/>
      <c r="EOU209" s="243"/>
      <c r="EOV209" s="243"/>
      <c r="EOW209" s="243"/>
      <c r="EOX209" s="243"/>
      <c r="EOY209" s="243"/>
      <c r="EOZ209" s="243"/>
      <c r="EPA209" s="243"/>
      <c r="EPB209" s="243"/>
      <c r="EPC209" s="243"/>
      <c r="EPD209" s="243"/>
      <c r="EPE209" s="243"/>
      <c r="EPF209" s="243"/>
      <c r="EPG209" s="243"/>
      <c r="EPH209" s="243"/>
      <c r="EPI209" s="243"/>
      <c r="EPJ209" s="243"/>
      <c r="EPK209" s="243"/>
      <c r="EPL209" s="243"/>
      <c r="EPM209" s="243"/>
      <c r="EPN209" s="243"/>
      <c r="EPO209" s="243"/>
      <c r="EPP209" s="243"/>
      <c r="EPQ209" s="243"/>
      <c r="EPR209" s="243"/>
      <c r="EPS209" s="243"/>
      <c r="EPT209" s="243"/>
      <c r="EPU209" s="243"/>
      <c r="EPV209" s="243"/>
      <c r="EPW209" s="243"/>
      <c r="EPX209" s="243"/>
      <c r="EPY209" s="243"/>
      <c r="EPZ209" s="243"/>
      <c r="EQA209" s="243"/>
      <c r="EQB209" s="243"/>
      <c r="EQC209" s="243"/>
      <c r="EQD209" s="243"/>
      <c r="EQE209" s="243"/>
      <c r="EQF209" s="243"/>
      <c r="EQG209" s="243"/>
      <c r="EQH209" s="243"/>
      <c r="EQI209" s="243"/>
      <c r="EQJ209" s="243"/>
      <c r="EQK209" s="243"/>
      <c r="EQL209" s="243"/>
      <c r="EQM209" s="243"/>
      <c r="EQN209" s="243"/>
      <c r="EQO209" s="243"/>
      <c r="EQP209" s="243"/>
      <c r="EQQ209" s="243"/>
      <c r="EQR209" s="243"/>
      <c r="EQS209" s="243"/>
      <c r="EQT209" s="243"/>
      <c r="EQU209" s="243"/>
      <c r="EQV209" s="243"/>
      <c r="EQW209" s="243"/>
      <c r="EQX209" s="243"/>
      <c r="EQY209" s="243"/>
      <c r="EQZ209" s="243"/>
      <c r="ERA209" s="243"/>
      <c r="ERB209" s="243"/>
      <c r="ERC209" s="243"/>
      <c r="ERD209" s="243"/>
      <c r="ERE209" s="243"/>
      <c r="ERF209" s="243"/>
      <c r="ERG209" s="243"/>
      <c r="ERH209" s="243"/>
      <c r="ERI209" s="243"/>
      <c r="ERJ209" s="243"/>
      <c r="ERK209" s="243"/>
      <c r="ERL209" s="243"/>
      <c r="ERM209" s="243"/>
      <c r="ERN209" s="243"/>
      <c r="ERO209" s="243"/>
      <c r="ERP209" s="243"/>
      <c r="ERQ209" s="243"/>
      <c r="ERR209" s="243"/>
      <c r="ERS209" s="243"/>
      <c r="ERT209" s="243"/>
      <c r="ERU209" s="243"/>
      <c r="ERV209" s="243"/>
      <c r="ERW209" s="243"/>
      <c r="ERX209" s="243"/>
      <c r="ERY209" s="243"/>
      <c r="ERZ209" s="243"/>
      <c r="ESA209" s="243"/>
      <c r="ESB209" s="243"/>
      <c r="ESC209" s="243"/>
      <c r="ESD209" s="243"/>
      <c r="ESE209" s="243"/>
      <c r="ESF209" s="243"/>
      <c r="ESG209" s="243"/>
      <c r="ESH209" s="243"/>
      <c r="ESI209" s="243"/>
      <c r="ESJ209" s="243"/>
      <c r="ESK209" s="243"/>
      <c r="ESL209" s="243"/>
      <c r="ESM209" s="243"/>
      <c r="ESN209" s="243"/>
      <c r="ESO209" s="243"/>
      <c r="ESP209" s="243"/>
      <c r="ESQ209" s="243"/>
      <c r="ESR209" s="243"/>
      <c r="ESS209" s="243"/>
      <c r="EST209" s="243"/>
      <c r="ESU209" s="243"/>
      <c r="ESV209" s="243"/>
      <c r="ESW209" s="243"/>
      <c r="ESX209" s="243"/>
      <c r="ESY209" s="243"/>
      <c r="ESZ209" s="243"/>
      <c r="ETA209" s="243"/>
      <c r="ETB209" s="243"/>
      <c r="ETC209" s="243"/>
      <c r="ETD209" s="243"/>
      <c r="ETE209" s="243"/>
      <c r="ETF209" s="243"/>
      <c r="ETG209" s="243"/>
      <c r="ETH209" s="243"/>
      <c r="ETI209" s="243"/>
      <c r="ETJ209" s="243"/>
      <c r="ETK209" s="243"/>
      <c r="ETL209" s="243"/>
      <c r="ETM209" s="243"/>
      <c r="ETN209" s="243"/>
      <c r="ETO209" s="243"/>
      <c r="ETP209" s="243"/>
      <c r="ETQ209" s="243"/>
      <c r="ETR209" s="243"/>
      <c r="ETS209" s="243"/>
      <c r="ETT209" s="243"/>
      <c r="ETU209" s="243"/>
      <c r="ETV209" s="243"/>
      <c r="ETW209" s="243"/>
      <c r="ETX209" s="243"/>
      <c r="ETY209" s="243"/>
      <c r="ETZ209" s="243"/>
      <c r="EUA209" s="243"/>
      <c r="EUB209" s="243"/>
      <c r="EUC209" s="243"/>
      <c r="EUD209" s="243"/>
      <c r="EUE209" s="243"/>
      <c r="EUF209" s="243"/>
      <c r="EUG209" s="243"/>
      <c r="EUH209" s="243"/>
      <c r="EUI209" s="243"/>
      <c r="EUJ209" s="243"/>
      <c r="EUK209" s="243"/>
      <c r="EUL209" s="243"/>
      <c r="EUM209" s="243"/>
      <c r="EUN209" s="243"/>
      <c r="EUO209" s="243"/>
      <c r="EUP209" s="243"/>
      <c r="EUQ209" s="243"/>
      <c r="EUR209" s="243"/>
      <c r="EUS209" s="243"/>
      <c r="EUT209" s="243"/>
      <c r="EUU209" s="243"/>
      <c r="EUV209" s="243"/>
      <c r="EUW209" s="243"/>
      <c r="EUX209" s="243"/>
      <c r="EUY209" s="243"/>
      <c r="EUZ209" s="243"/>
      <c r="EVA209" s="243"/>
      <c r="EVB209" s="243"/>
      <c r="EVC209" s="243"/>
      <c r="EVD209" s="243"/>
      <c r="EVE209" s="243"/>
      <c r="EVF209" s="243"/>
      <c r="EVG209" s="243"/>
      <c r="EVH209" s="243"/>
      <c r="EVI209" s="243"/>
      <c r="EVJ209" s="243"/>
      <c r="EVK209" s="243"/>
      <c r="EVL209" s="243"/>
      <c r="EVM209" s="243"/>
      <c r="EVN209" s="243"/>
      <c r="EVO209" s="243"/>
      <c r="EVP209" s="243"/>
      <c r="EVQ209" s="243"/>
      <c r="EVR209" s="243"/>
      <c r="EVS209" s="243"/>
      <c r="EVT209" s="243"/>
      <c r="EVU209" s="243"/>
      <c r="EVV209" s="243"/>
      <c r="EVW209" s="243"/>
      <c r="EVX209" s="243"/>
      <c r="EVY209" s="243"/>
      <c r="EVZ209" s="243"/>
      <c r="EWA209" s="243"/>
      <c r="EWB209" s="243"/>
      <c r="EWC209" s="243"/>
      <c r="EWD209" s="243"/>
      <c r="EWE209" s="243"/>
      <c r="EWF209" s="243"/>
      <c r="EWG209" s="243"/>
      <c r="EWH209" s="243"/>
      <c r="EWI209" s="243"/>
      <c r="EWJ209" s="243"/>
      <c r="EWK209" s="243"/>
      <c r="EWL209" s="243"/>
      <c r="EWM209" s="243"/>
      <c r="EWN209" s="243"/>
      <c r="EWO209" s="243"/>
      <c r="EWP209" s="243"/>
      <c r="EWQ209" s="243"/>
      <c r="EWR209" s="243"/>
      <c r="EWS209" s="243"/>
      <c r="EWT209" s="243"/>
      <c r="EWU209" s="243"/>
      <c r="EWV209" s="243"/>
      <c r="EWW209" s="243"/>
      <c r="EWX209" s="243"/>
      <c r="EWY209" s="243"/>
      <c r="EWZ209" s="243"/>
      <c r="EXA209" s="243"/>
      <c r="EXB209" s="243"/>
      <c r="EXC209" s="243"/>
      <c r="EXD209" s="243"/>
      <c r="EXE209" s="243"/>
      <c r="EXF209" s="243"/>
      <c r="EXG209" s="243"/>
      <c r="EXH209" s="243"/>
      <c r="EXI209" s="243"/>
      <c r="EXJ209" s="243"/>
      <c r="EXK209" s="243"/>
      <c r="EXL209" s="243"/>
      <c r="EXM209" s="243"/>
      <c r="EXN209" s="243"/>
      <c r="EXO209" s="243"/>
      <c r="EXP209" s="243"/>
      <c r="EXQ209" s="243"/>
      <c r="EXR209" s="243"/>
      <c r="EXS209" s="243"/>
      <c r="EXT209" s="243"/>
      <c r="EXU209" s="243"/>
      <c r="EXV209" s="243"/>
      <c r="EXW209" s="243"/>
      <c r="EXX209" s="243"/>
      <c r="EXY209" s="243"/>
      <c r="EXZ209" s="243"/>
      <c r="EYA209" s="243"/>
      <c r="EYB209" s="243"/>
      <c r="EYC209" s="243"/>
      <c r="EYD209" s="243"/>
      <c r="EYE209" s="243"/>
      <c r="EYF209" s="243"/>
      <c r="EYG209" s="243"/>
      <c r="EYH209" s="243"/>
      <c r="EYI209" s="243"/>
      <c r="EYJ209" s="243"/>
      <c r="EYK209" s="243"/>
      <c r="EYL209" s="243"/>
      <c r="EYM209" s="243"/>
      <c r="EYN209" s="243"/>
      <c r="EYO209" s="243"/>
      <c r="EYP209" s="243"/>
      <c r="EYQ209" s="243"/>
      <c r="EYR209" s="243"/>
      <c r="EYS209" s="243"/>
      <c r="EYT209" s="243"/>
      <c r="EYU209" s="243"/>
      <c r="EYV209" s="243"/>
      <c r="EYW209" s="243"/>
      <c r="EYX209" s="243"/>
      <c r="EYY209" s="243"/>
      <c r="EYZ209" s="243"/>
      <c r="EZA209" s="243"/>
      <c r="EZB209" s="243"/>
      <c r="EZC209" s="243"/>
      <c r="EZD209" s="243"/>
      <c r="EZE209" s="243"/>
      <c r="EZF209" s="243"/>
      <c r="EZG209" s="243"/>
      <c r="EZH209" s="243"/>
      <c r="EZI209" s="243"/>
      <c r="EZJ209" s="243"/>
      <c r="EZK209" s="243"/>
      <c r="EZL209" s="243"/>
      <c r="EZM209" s="243"/>
      <c r="EZN209" s="243"/>
      <c r="EZO209" s="243"/>
      <c r="EZP209" s="243"/>
      <c r="EZQ209" s="243"/>
      <c r="EZR209" s="243"/>
      <c r="EZS209" s="243"/>
      <c r="EZT209" s="243"/>
      <c r="EZU209" s="243"/>
      <c r="EZV209" s="243"/>
      <c r="EZW209" s="243"/>
      <c r="EZX209" s="243"/>
      <c r="EZY209" s="243"/>
      <c r="EZZ209" s="243"/>
      <c r="FAA209" s="243"/>
      <c r="FAB209" s="243"/>
      <c r="FAC209" s="243"/>
      <c r="FAD209" s="243"/>
      <c r="FAE209" s="243"/>
      <c r="FAF209" s="243"/>
      <c r="FAG209" s="243"/>
      <c r="FAH209" s="243"/>
      <c r="FAI209" s="243"/>
      <c r="FAJ209" s="243"/>
      <c r="FAK209" s="243"/>
      <c r="FAL209" s="243"/>
      <c r="FAM209" s="243"/>
      <c r="FAN209" s="243"/>
      <c r="FAO209" s="243"/>
      <c r="FAP209" s="243"/>
      <c r="FAQ209" s="243"/>
      <c r="FAR209" s="243"/>
      <c r="FAS209" s="243"/>
      <c r="FAT209" s="243"/>
      <c r="FAU209" s="243"/>
      <c r="FAV209" s="243"/>
      <c r="FAW209" s="243"/>
      <c r="FAX209" s="243"/>
      <c r="FAY209" s="243"/>
      <c r="FAZ209" s="243"/>
      <c r="FBA209" s="243"/>
      <c r="FBB209" s="243"/>
      <c r="FBC209" s="243"/>
      <c r="FBD209" s="243"/>
      <c r="FBE209" s="243"/>
      <c r="FBF209" s="243"/>
      <c r="FBG209" s="243"/>
      <c r="FBH209" s="243"/>
      <c r="FBI209" s="243"/>
      <c r="FBJ209" s="243"/>
      <c r="FBK209" s="243"/>
      <c r="FBL209" s="243"/>
      <c r="FBM209" s="243"/>
      <c r="FBN209" s="243"/>
      <c r="FBO209" s="243"/>
      <c r="FBP209" s="243"/>
      <c r="FBQ209" s="243"/>
      <c r="FBR209" s="243"/>
      <c r="FBS209" s="243"/>
      <c r="FBT209" s="243"/>
      <c r="FBU209" s="243"/>
      <c r="FBV209" s="243"/>
      <c r="FBW209" s="243"/>
      <c r="FBX209" s="243"/>
      <c r="FBY209" s="243"/>
      <c r="FBZ209" s="243"/>
      <c r="FCA209" s="243"/>
      <c r="FCB209" s="243"/>
      <c r="FCC209" s="243"/>
      <c r="FCD209" s="243"/>
      <c r="FCE209" s="243"/>
      <c r="FCF209" s="243"/>
      <c r="FCG209" s="243"/>
      <c r="FCH209" s="243"/>
      <c r="FCI209" s="243"/>
      <c r="FCJ209" s="243"/>
      <c r="FCK209" s="243"/>
      <c r="FCL209" s="243"/>
      <c r="FCM209" s="243"/>
      <c r="FCN209" s="243"/>
      <c r="FCO209" s="243"/>
      <c r="FCP209" s="243"/>
      <c r="FCQ209" s="243"/>
      <c r="FCR209" s="243"/>
      <c r="FCS209" s="243"/>
      <c r="FCT209" s="243"/>
      <c r="FCU209" s="243"/>
      <c r="FCV209" s="243"/>
      <c r="FCW209" s="243"/>
      <c r="FCX209" s="243"/>
      <c r="FCY209" s="243"/>
      <c r="FCZ209" s="243"/>
      <c r="FDA209" s="243"/>
      <c r="FDB209" s="243"/>
      <c r="FDC209" s="243"/>
      <c r="FDD209" s="243"/>
      <c r="FDE209" s="243"/>
      <c r="FDF209" s="243"/>
      <c r="FDG209" s="243"/>
      <c r="FDH209" s="243"/>
      <c r="FDI209" s="243"/>
      <c r="FDJ209" s="243"/>
      <c r="FDK209" s="243"/>
      <c r="FDL209" s="243"/>
      <c r="FDM209" s="243"/>
      <c r="FDN209" s="243"/>
      <c r="FDO209" s="243"/>
      <c r="FDP209" s="243"/>
      <c r="FDQ209" s="243"/>
      <c r="FDR209" s="243"/>
      <c r="FDS209" s="243"/>
      <c r="FDT209" s="243"/>
      <c r="FDU209" s="243"/>
      <c r="FDV209" s="243"/>
      <c r="FDW209" s="243"/>
      <c r="FDX209" s="243"/>
      <c r="FDY209" s="243"/>
      <c r="FDZ209" s="243"/>
      <c r="FEA209" s="243"/>
      <c r="FEB209" s="243"/>
      <c r="FEC209" s="243"/>
      <c r="FED209" s="243"/>
      <c r="FEE209" s="243"/>
      <c r="FEF209" s="243"/>
      <c r="FEG209" s="243"/>
      <c r="FEH209" s="243"/>
      <c r="FEI209" s="243"/>
      <c r="FEJ209" s="243"/>
      <c r="FEK209" s="243"/>
      <c r="FEL209" s="243"/>
      <c r="FEM209" s="243"/>
      <c r="FEN209" s="243"/>
      <c r="FEO209" s="243"/>
      <c r="FEP209" s="243"/>
      <c r="FEQ209" s="243"/>
      <c r="FER209" s="243"/>
      <c r="FES209" s="243"/>
      <c r="FET209" s="243"/>
      <c r="FEU209" s="243"/>
      <c r="FEV209" s="243"/>
      <c r="FEW209" s="243"/>
      <c r="FEX209" s="243"/>
      <c r="FEY209" s="243"/>
      <c r="FEZ209" s="243"/>
      <c r="FFA209" s="243"/>
      <c r="FFB209" s="243"/>
      <c r="FFC209" s="243"/>
      <c r="FFD209" s="243"/>
      <c r="FFE209" s="243"/>
      <c r="FFF209" s="243"/>
      <c r="FFG209" s="243"/>
      <c r="FFH209" s="243"/>
      <c r="FFI209" s="243"/>
      <c r="FFJ209" s="243"/>
      <c r="FFK209" s="243"/>
      <c r="FFL209" s="243"/>
      <c r="FFM209" s="243"/>
      <c r="FFN209" s="243"/>
      <c r="FFO209" s="243"/>
      <c r="FFP209" s="243"/>
      <c r="FFQ209" s="243"/>
      <c r="FFR209" s="243"/>
      <c r="FFS209" s="243"/>
      <c r="FFT209" s="243"/>
      <c r="FFU209" s="243"/>
      <c r="FFV209" s="243"/>
      <c r="FFW209" s="243"/>
      <c r="FFX209" s="243"/>
      <c r="FFY209" s="243"/>
      <c r="FFZ209" s="243"/>
      <c r="FGA209" s="243"/>
      <c r="FGB209" s="243"/>
      <c r="FGC209" s="243"/>
      <c r="FGD209" s="243"/>
      <c r="FGE209" s="243"/>
      <c r="FGF209" s="243"/>
      <c r="FGG209" s="243"/>
      <c r="FGH209" s="243"/>
      <c r="FGI209" s="243"/>
      <c r="FGJ209" s="243"/>
      <c r="FGK209" s="243"/>
      <c r="FGL209" s="243"/>
      <c r="FGM209" s="243"/>
      <c r="FGN209" s="243"/>
      <c r="FGO209" s="243"/>
      <c r="FGP209" s="243"/>
      <c r="FGQ209" s="243"/>
      <c r="FGR209" s="243"/>
      <c r="FGS209" s="243"/>
      <c r="FGT209" s="243"/>
      <c r="FGU209" s="243"/>
      <c r="FGV209" s="243"/>
      <c r="FGW209" s="243"/>
      <c r="FGX209" s="243"/>
      <c r="FGY209" s="243"/>
      <c r="FGZ209" s="243"/>
      <c r="FHA209" s="243"/>
      <c r="FHB209" s="243"/>
      <c r="FHC209" s="243"/>
      <c r="FHD209" s="243"/>
      <c r="FHE209" s="243"/>
      <c r="FHF209" s="243"/>
      <c r="FHG209" s="243"/>
      <c r="FHH209" s="243"/>
      <c r="FHI209" s="243"/>
      <c r="FHJ209" s="243"/>
      <c r="FHK209" s="243"/>
      <c r="FHL209" s="243"/>
      <c r="FHM209" s="243"/>
      <c r="FHN209" s="243"/>
      <c r="FHO209" s="243"/>
      <c r="FHP209" s="243"/>
      <c r="FHQ209" s="243"/>
      <c r="FHR209" s="243"/>
      <c r="FHS209" s="243"/>
      <c r="FHT209" s="243"/>
      <c r="FHU209" s="243"/>
      <c r="FHV209" s="243"/>
      <c r="FHW209" s="243"/>
      <c r="FHX209" s="243"/>
      <c r="FHY209" s="243"/>
      <c r="FHZ209" s="243"/>
      <c r="FIA209" s="243"/>
      <c r="FIB209" s="243"/>
      <c r="FIC209" s="243"/>
      <c r="FID209" s="243"/>
      <c r="FIE209" s="243"/>
      <c r="FIF209" s="243"/>
      <c r="FIG209" s="243"/>
      <c r="FIH209" s="243"/>
      <c r="FII209" s="243"/>
      <c r="FIJ209" s="243"/>
      <c r="FIK209" s="243"/>
      <c r="FIL209" s="243"/>
      <c r="FIM209" s="243"/>
      <c r="FIN209" s="243"/>
      <c r="FIO209" s="243"/>
      <c r="FIP209" s="243"/>
      <c r="FIQ209" s="243"/>
      <c r="FIR209" s="243"/>
      <c r="FIS209" s="243"/>
      <c r="FIT209" s="243"/>
      <c r="FIU209" s="243"/>
      <c r="FIV209" s="243"/>
      <c r="FIW209" s="243"/>
      <c r="FIX209" s="243"/>
      <c r="FIY209" s="243"/>
      <c r="FIZ209" s="243"/>
      <c r="FJA209" s="243"/>
      <c r="FJB209" s="243"/>
      <c r="FJC209" s="243"/>
      <c r="FJD209" s="243"/>
      <c r="FJE209" s="243"/>
      <c r="FJF209" s="243"/>
      <c r="FJG209" s="243"/>
      <c r="FJH209" s="243"/>
      <c r="FJI209" s="243"/>
      <c r="FJJ209" s="243"/>
      <c r="FJK209" s="243"/>
      <c r="FJL209" s="243"/>
      <c r="FJM209" s="243"/>
      <c r="FJN209" s="243"/>
      <c r="FJO209" s="243"/>
      <c r="FJP209" s="243"/>
      <c r="FJQ209" s="243"/>
      <c r="FJR209" s="243"/>
      <c r="FJS209" s="243"/>
      <c r="FJT209" s="243"/>
      <c r="FJU209" s="243"/>
      <c r="FJV209" s="243"/>
      <c r="FJW209" s="243"/>
      <c r="FJX209" s="243"/>
      <c r="FJY209" s="243"/>
      <c r="FJZ209" s="243"/>
      <c r="FKA209" s="243"/>
      <c r="FKB209" s="243"/>
      <c r="FKC209" s="243"/>
      <c r="FKD209" s="243"/>
      <c r="FKE209" s="243"/>
      <c r="FKF209" s="243"/>
      <c r="FKG209" s="243"/>
      <c r="FKH209" s="243"/>
      <c r="FKI209" s="243"/>
      <c r="FKJ209" s="243"/>
      <c r="FKK209" s="243"/>
      <c r="FKL209" s="243"/>
      <c r="FKM209" s="243"/>
      <c r="FKN209" s="243"/>
      <c r="FKO209" s="243"/>
      <c r="FKP209" s="243"/>
      <c r="FKQ209" s="243"/>
      <c r="FKR209" s="243"/>
      <c r="FKS209" s="243"/>
      <c r="FKT209" s="243"/>
      <c r="FKU209" s="243"/>
      <c r="FKV209" s="243"/>
      <c r="FKW209" s="243"/>
      <c r="FKX209" s="243"/>
      <c r="FKY209" s="243"/>
      <c r="FKZ209" s="243"/>
      <c r="FLA209" s="243"/>
      <c r="FLB209" s="243"/>
      <c r="FLC209" s="243"/>
      <c r="FLD209" s="243"/>
      <c r="FLE209" s="243"/>
      <c r="FLF209" s="243"/>
      <c r="FLG209" s="243"/>
      <c r="FLH209" s="243"/>
      <c r="FLI209" s="243"/>
      <c r="FLJ209" s="243"/>
      <c r="FLK209" s="243"/>
      <c r="FLL209" s="243"/>
      <c r="FLM209" s="243"/>
      <c r="FLN209" s="243"/>
      <c r="FLO209" s="243"/>
      <c r="FLP209" s="243"/>
      <c r="FLQ209" s="243"/>
      <c r="FLR209" s="243"/>
      <c r="FLS209" s="243"/>
      <c r="FLT209" s="243"/>
      <c r="FLU209" s="243"/>
      <c r="FLV209" s="243"/>
      <c r="FLW209" s="243"/>
      <c r="FLX209" s="243"/>
      <c r="FLY209" s="243"/>
      <c r="FLZ209" s="243"/>
      <c r="FMA209" s="243"/>
      <c r="FMB209" s="243"/>
      <c r="FMC209" s="243"/>
      <c r="FMD209" s="243"/>
      <c r="FME209" s="243"/>
      <c r="FMF209" s="243"/>
      <c r="FMG209" s="243"/>
      <c r="FMH209" s="243"/>
      <c r="FMI209" s="243"/>
      <c r="FMJ209" s="243"/>
      <c r="FMK209" s="243"/>
      <c r="FML209" s="243"/>
      <c r="FMM209" s="243"/>
      <c r="FMN209" s="243"/>
      <c r="FMO209" s="243"/>
      <c r="FMP209" s="243"/>
      <c r="FMQ209" s="243"/>
      <c r="FMR209" s="243"/>
      <c r="FMS209" s="243"/>
      <c r="FMT209" s="243"/>
      <c r="FMU209" s="243"/>
      <c r="FMV209" s="243"/>
      <c r="FMW209" s="243"/>
      <c r="FMX209" s="243"/>
      <c r="FMY209" s="243"/>
      <c r="FMZ209" s="243"/>
      <c r="FNA209" s="243"/>
      <c r="FNB209" s="243"/>
      <c r="FNC209" s="243"/>
      <c r="FND209" s="243"/>
      <c r="FNE209" s="243"/>
      <c r="FNF209" s="243"/>
      <c r="FNG209" s="243"/>
      <c r="FNH209" s="243"/>
      <c r="FNI209" s="243"/>
      <c r="FNJ209" s="243"/>
      <c r="FNK209" s="243"/>
      <c r="FNL209" s="243"/>
      <c r="FNM209" s="243"/>
      <c r="FNN209" s="243"/>
      <c r="FNO209" s="243"/>
      <c r="FNP209" s="243"/>
      <c r="FNQ209" s="243"/>
      <c r="FNR209" s="243"/>
      <c r="FNS209" s="243"/>
      <c r="FNT209" s="243"/>
      <c r="FNU209" s="243"/>
      <c r="FNV209" s="243"/>
      <c r="FNW209" s="243"/>
      <c r="FNX209" s="243"/>
      <c r="FNY209" s="243"/>
      <c r="FNZ209" s="243"/>
      <c r="FOA209" s="243"/>
      <c r="FOB209" s="243"/>
      <c r="FOC209" s="243"/>
      <c r="FOD209" s="243"/>
      <c r="FOE209" s="243"/>
      <c r="FOF209" s="243"/>
      <c r="FOG209" s="243"/>
      <c r="FOH209" s="243"/>
      <c r="FOI209" s="243"/>
      <c r="FOJ209" s="243"/>
      <c r="FOK209" s="243"/>
      <c r="FOL209" s="243"/>
      <c r="FOM209" s="243"/>
      <c r="FON209" s="243"/>
      <c r="FOO209" s="243"/>
      <c r="FOP209" s="243"/>
      <c r="FOQ209" s="243"/>
      <c r="FOR209" s="243"/>
      <c r="FOS209" s="243"/>
      <c r="FOT209" s="243"/>
      <c r="FOU209" s="243"/>
      <c r="FOV209" s="243"/>
      <c r="FOW209" s="243"/>
      <c r="FOX209" s="243"/>
      <c r="FOY209" s="243"/>
      <c r="FOZ209" s="243"/>
      <c r="FPA209" s="243"/>
      <c r="FPB209" s="243"/>
      <c r="FPC209" s="243"/>
      <c r="FPD209" s="243"/>
      <c r="FPE209" s="243"/>
      <c r="FPF209" s="243"/>
      <c r="FPG209" s="243"/>
      <c r="FPH209" s="243"/>
      <c r="FPI209" s="243"/>
      <c r="FPJ209" s="243"/>
      <c r="FPK209" s="243"/>
      <c r="FPL209" s="243"/>
      <c r="FPM209" s="243"/>
      <c r="FPN209" s="243"/>
      <c r="FPO209" s="243"/>
      <c r="FPP209" s="243"/>
      <c r="FPQ209" s="243"/>
      <c r="FPR209" s="243"/>
      <c r="FPS209" s="243"/>
      <c r="FPT209" s="243"/>
      <c r="FPU209" s="243"/>
      <c r="FPV209" s="243"/>
      <c r="FPW209" s="243"/>
      <c r="FPX209" s="243"/>
      <c r="FPY209" s="243"/>
      <c r="FPZ209" s="243"/>
      <c r="FQA209" s="243"/>
      <c r="FQB209" s="243"/>
      <c r="FQC209" s="243"/>
      <c r="FQD209" s="243"/>
      <c r="FQE209" s="243"/>
      <c r="FQF209" s="243"/>
      <c r="FQG209" s="243"/>
      <c r="FQH209" s="243"/>
      <c r="FQI209" s="243"/>
      <c r="FQJ209" s="243"/>
      <c r="FQK209" s="243"/>
      <c r="FQL209" s="243"/>
      <c r="FQM209" s="243"/>
      <c r="FQN209" s="243"/>
      <c r="FQO209" s="243"/>
      <c r="FQP209" s="243"/>
      <c r="FQQ209" s="243"/>
      <c r="FQR209" s="243"/>
      <c r="FQS209" s="243"/>
      <c r="FQT209" s="243"/>
      <c r="FQU209" s="243"/>
      <c r="FQV209" s="243"/>
      <c r="FQW209" s="243"/>
      <c r="FQX209" s="243"/>
      <c r="FQY209" s="243"/>
      <c r="FQZ209" s="243"/>
      <c r="FRA209" s="243"/>
      <c r="FRB209" s="243"/>
      <c r="FRC209" s="243"/>
      <c r="FRD209" s="243"/>
      <c r="FRE209" s="243"/>
      <c r="FRF209" s="243"/>
      <c r="FRG209" s="243"/>
      <c r="FRH209" s="243"/>
      <c r="FRI209" s="243"/>
      <c r="FRJ209" s="243"/>
      <c r="FRK209" s="243"/>
      <c r="FRL209" s="243"/>
      <c r="FRM209" s="243"/>
      <c r="FRN209" s="243"/>
      <c r="FRO209" s="243"/>
      <c r="FRP209" s="243"/>
      <c r="FRQ209" s="243"/>
      <c r="FRR209" s="243"/>
      <c r="FRS209" s="243"/>
      <c r="FRT209" s="243"/>
      <c r="FRU209" s="243"/>
      <c r="FRV209" s="243"/>
      <c r="FRW209" s="243"/>
      <c r="FRX209" s="243"/>
      <c r="FRY209" s="243"/>
      <c r="FRZ209" s="243"/>
      <c r="FSA209" s="243"/>
      <c r="FSB209" s="243"/>
      <c r="FSC209" s="243"/>
      <c r="FSD209" s="243"/>
      <c r="FSE209" s="243"/>
      <c r="FSF209" s="243"/>
      <c r="FSG209" s="243"/>
      <c r="FSH209" s="243"/>
      <c r="FSI209" s="243"/>
      <c r="FSJ209" s="243"/>
      <c r="FSK209" s="243"/>
      <c r="FSL209" s="243"/>
      <c r="FSM209" s="243"/>
      <c r="FSN209" s="243"/>
      <c r="FSO209" s="243"/>
      <c r="FSP209" s="243"/>
      <c r="FSQ209" s="243"/>
      <c r="FSR209" s="243"/>
      <c r="FSS209" s="243"/>
      <c r="FST209" s="243"/>
      <c r="FSU209" s="243"/>
      <c r="FSV209" s="243"/>
      <c r="FSW209" s="243"/>
      <c r="FSX209" s="243"/>
      <c r="FSY209" s="243"/>
      <c r="FSZ209" s="243"/>
      <c r="FTA209" s="243"/>
      <c r="FTB209" s="243"/>
      <c r="FTC209" s="243"/>
      <c r="FTD209" s="243"/>
      <c r="FTE209" s="243"/>
      <c r="FTF209" s="243"/>
      <c r="FTG209" s="243"/>
      <c r="FTH209" s="243"/>
      <c r="FTI209" s="243"/>
      <c r="FTJ209" s="243"/>
      <c r="FTK209" s="243"/>
      <c r="FTL209" s="243"/>
      <c r="FTM209" s="243"/>
      <c r="FTN209" s="243"/>
      <c r="FTO209" s="243"/>
      <c r="FTP209" s="243"/>
      <c r="FTQ209" s="243"/>
      <c r="FTR209" s="243"/>
      <c r="FTS209" s="243"/>
      <c r="FTT209" s="243"/>
      <c r="FTU209" s="243"/>
      <c r="FTV209" s="243"/>
      <c r="FTW209" s="243"/>
      <c r="FTX209" s="243"/>
      <c r="FTY209" s="243"/>
      <c r="FTZ209" s="243"/>
      <c r="FUA209" s="243"/>
      <c r="FUB209" s="243"/>
      <c r="FUC209" s="243"/>
      <c r="FUD209" s="243"/>
      <c r="FUE209" s="243"/>
      <c r="FUF209" s="243"/>
      <c r="FUG209" s="243"/>
      <c r="FUH209" s="243"/>
      <c r="FUI209" s="243"/>
      <c r="FUJ209" s="243"/>
      <c r="FUK209" s="243"/>
      <c r="FUL209" s="243"/>
      <c r="FUM209" s="243"/>
      <c r="FUN209" s="243"/>
      <c r="FUO209" s="243"/>
      <c r="FUP209" s="243"/>
      <c r="FUQ209" s="243"/>
      <c r="FUR209" s="243"/>
      <c r="FUS209" s="243"/>
      <c r="FUT209" s="243"/>
      <c r="FUU209" s="243"/>
      <c r="FUV209" s="243"/>
      <c r="FUW209" s="243"/>
      <c r="FUX209" s="243"/>
      <c r="FUY209" s="243"/>
      <c r="FUZ209" s="243"/>
      <c r="FVA209" s="243"/>
      <c r="FVB209" s="243"/>
      <c r="FVC209" s="243"/>
      <c r="FVD209" s="243"/>
      <c r="FVE209" s="243"/>
      <c r="FVF209" s="243"/>
      <c r="FVG209" s="243"/>
      <c r="FVH209" s="243"/>
      <c r="FVI209" s="243"/>
      <c r="FVJ209" s="243"/>
      <c r="FVK209" s="243"/>
      <c r="FVL209" s="243"/>
      <c r="FVM209" s="243"/>
      <c r="FVN209" s="243"/>
      <c r="FVO209" s="243"/>
      <c r="FVP209" s="243"/>
      <c r="FVQ209" s="243"/>
      <c r="FVR209" s="243"/>
      <c r="FVS209" s="243"/>
      <c r="FVT209" s="243"/>
      <c r="FVU209" s="243"/>
      <c r="FVV209" s="243"/>
      <c r="FVW209" s="243"/>
      <c r="FVX209" s="243"/>
      <c r="FVY209" s="243"/>
      <c r="FVZ209" s="243"/>
      <c r="FWA209" s="243"/>
      <c r="FWB209" s="243"/>
      <c r="FWC209" s="243"/>
      <c r="FWD209" s="243"/>
      <c r="FWE209" s="243"/>
      <c r="FWF209" s="243"/>
      <c r="FWG209" s="243"/>
      <c r="FWH209" s="243"/>
      <c r="FWI209" s="243"/>
      <c r="FWJ209" s="243"/>
      <c r="FWK209" s="243"/>
      <c r="FWL209" s="243"/>
      <c r="FWM209" s="243"/>
      <c r="FWN209" s="243"/>
      <c r="FWO209" s="243"/>
      <c r="FWP209" s="243"/>
      <c r="FWQ209" s="243"/>
      <c r="FWR209" s="243"/>
      <c r="FWS209" s="243"/>
      <c r="FWT209" s="243"/>
      <c r="FWU209" s="243"/>
      <c r="FWV209" s="243"/>
      <c r="FWW209" s="243"/>
      <c r="FWX209" s="243"/>
      <c r="FWY209" s="243"/>
      <c r="FWZ209" s="243"/>
      <c r="FXA209" s="243"/>
      <c r="FXB209" s="243"/>
      <c r="FXC209" s="243"/>
      <c r="FXD209" s="243"/>
      <c r="FXE209" s="243"/>
      <c r="FXF209" s="243"/>
      <c r="FXG209" s="243"/>
      <c r="FXH209" s="243"/>
      <c r="FXI209" s="243"/>
      <c r="FXJ209" s="243"/>
      <c r="FXK209" s="243"/>
      <c r="FXL209" s="243"/>
      <c r="FXM209" s="243"/>
      <c r="FXN209" s="243"/>
      <c r="FXO209" s="243"/>
      <c r="FXP209" s="243"/>
      <c r="FXQ209" s="243"/>
      <c r="FXR209" s="243"/>
      <c r="FXS209" s="243"/>
      <c r="FXT209" s="243"/>
      <c r="FXU209" s="243"/>
      <c r="FXV209" s="243"/>
      <c r="FXW209" s="243"/>
      <c r="FXX209" s="243"/>
      <c r="FXY209" s="243"/>
      <c r="FXZ209" s="243"/>
      <c r="FYA209" s="243"/>
      <c r="FYB209" s="243"/>
      <c r="FYC209" s="243"/>
      <c r="FYD209" s="243"/>
      <c r="FYE209" s="243"/>
      <c r="FYF209" s="243"/>
      <c r="FYG209" s="243"/>
      <c r="FYH209" s="243"/>
      <c r="FYI209" s="243"/>
      <c r="FYJ209" s="243"/>
      <c r="FYK209" s="243"/>
      <c r="FYL209" s="243"/>
      <c r="FYM209" s="243"/>
      <c r="FYN209" s="243"/>
      <c r="FYO209" s="243"/>
      <c r="FYP209" s="243"/>
      <c r="FYQ209" s="243"/>
      <c r="FYR209" s="243"/>
      <c r="FYS209" s="243"/>
      <c r="FYT209" s="243"/>
      <c r="FYU209" s="243"/>
      <c r="FYV209" s="243"/>
      <c r="FYW209" s="243"/>
      <c r="FYX209" s="243"/>
      <c r="FYY209" s="243"/>
      <c r="FYZ209" s="243"/>
      <c r="FZA209" s="243"/>
      <c r="FZB209" s="243"/>
      <c r="FZC209" s="243"/>
      <c r="FZD209" s="243"/>
      <c r="FZE209" s="243"/>
      <c r="FZF209" s="243"/>
      <c r="FZG209" s="243"/>
      <c r="FZH209" s="243"/>
      <c r="FZI209" s="243"/>
      <c r="FZJ209" s="243"/>
      <c r="FZK209" s="243"/>
      <c r="FZL209" s="243"/>
      <c r="FZM209" s="243"/>
      <c r="FZN209" s="243"/>
      <c r="FZO209" s="243"/>
      <c r="FZP209" s="243"/>
      <c r="FZQ209" s="243"/>
      <c r="FZR209" s="243"/>
      <c r="FZS209" s="243"/>
      <c r="FZT209" s="243"/>
      <c r="FZU209" s="243"/>
      <c r="FZV209" s="243"/>
      <c r="FZW209" s="243"/>
      <c r="FZX209" s="243"/>
      <c r="FZY209" s="243"/>
      <c r="FZZ209" s="243"/>
      <c r="GAA209" s="243"/>
      <c r="GAB209" s="243"/>
      <c r="GAC209" s="243"/>
      <c r="GAD209" s="243"/>
      <c r="GAE209" s="243"/>
      <c r="GAF209" s="243"/>
      <c r="GAG209" s="243"/>
      <c r="GAH209" s="243"/>
      <c r="GAI209" s="243"/>
      <c r="GAJ209" s="243"/>
      <c r="GAK209" s="243"/>
      <c r="GAL209" s="243"/>
      <c r="GAM209" s="243"/>
      <c r="GAN209" s="243"/>
      <c r="GAO209" s="243"/>
      <c r="GAP209" s="243"/>
      <c r="GAQ209" s="243"/>
      <c r="GAR209" s="243"/>
      <c r="GAS209" s="243"/>
      <c r="GAT209" s="243"/>
      <c r="GAU209" s="243"/>
      <c r="GAV209" s="243"/>
      <c r="GAW209" s="243"/>
      <c r="GAX209" s="243"/>
      <c r="GAY209" s="243"/>
      <c r="GAZ209" s="243"/>
      <c r="GBA209" s="243"/>
      <c r="GBB209" s="243"/>
      <c r="GBC209" s="243"/>
      <c r="GBD209" s="243"/>
      <c r="GBE209" s="243"/>
      <c r="GBF209" s="243"/>
      <c r="GBG209" s="243"/>
      <c r="GBH209" s="243"/>
      <c r="GBI209" s="243"/>
      <c r="GBJ209" s="243"/>
      <c r="GBK209" s="243"/>
      <c r="GBL209" s="243"/>
      <c r="GBM209" s="243"/>
      <c r="GBN209" s="243"/>
      <c r="GBO209" s="243"/>
      <c r="GBP209" s="243"/>
      <c r="GBQ209" s="243"/>
      <c r="GBR209" s="243"/>
      <c r="GBS209" s="243"/>
      <c r="GBT209" s="243"/>
      <c r="GBU209" s="243"/>
      <c r="GBV209" s="243"/>
      <c r="GBW209" s="243"/>
      <c r="GBX209" s="243"/>
      <c r="GBY209" s="243"/>
      <c r="GBZ209" s="243"/>
      <c r="GCA209" s="243"/>
      <c r="GCB209" s="243"/>
      <c r="GCC209" s="243"/>
      <c r="GCD209" s="243"/>
      <c r="GCE209" s="243"/>
      <c r="GCF209" s="243"/>
      <c r="GCG209" s="243"/>
      <c r="GCH209" s="243"/>
      <c r="GCI209" s="243"/>
      <c r="GCJ209" s="243"/>
      <c r="GCK209" s="243"/>
      <c r="GCL209" s="243"/>
      <c r="GCM209" s="243"/>
      <c r="GCN209" s="243"/>
      <c r="GCO209" s="243"/>
      <c r="GCP209" s="243"/>
      <c r="GCQ209" s="243"/>
      <c r="GCR209" s="243"/>
      <c r="GCS209" s="243"/>
      <c r="GCT209" s="243"/>
      <c r="GCU209" s="243"/>
      <c r="GCV209" s="243"/>
      <c r="GCW209" s="243"/>
      <c r="GCX209" s="243"/>
      <c r="GCY209" s="243"/>
      <c r="GCZ209" s="243"/>
      <c r="GDA209" s="243"/>
      <c r="GDB209" s="243"/>
      <c r="GDC209" s="243"/>
      <c r="GDD209" s="243"/>
      <c r="GDE209" s="243"/>
      <c r="GDF209" s="243"/>
      <c r="GDG209" s="243"/>
      <c r="GDH209" s="243"/>
      <c r="GDI209" s="243"/>
      <c r="GDJ209" s="243"/>
      <c r="GDK209" s="243"/>
      <c r="GDL209" s="243"/>
      <c r="GDM209" s="243"/>
      <c r="GDN209" s="243"/>
      <c r="GDO209" s="243"/>
      <c r="GDP209" s="243"/>
      <c r="GDQ209" s="243"/>
      <c r="GDR209" s="243"/>
      <c r="GDS209" s="243"/>
      <c r="GDT209" s="243"/>
      <c r="GDU209" s="243"/>
      <c r="GDV209" s="243"/>
      <c r="GDW209" s="243"/>
      <c r="GDX209" s="243"/>
      <c r="GDY209" s="243"/>
      <c r="GDZ209" s="243"/>
      <c r="GEA209" s="243"/>
      <c r="GEB209" s="243"/>
      <c r="GEC209" s="243"/>
      <c r="GED209" s="243"/>
      <c r="GEE209" s="243"/>
      <c r="GEF209" s="243"/>
      <c r="GEG209" s="243"/>
      <c r="GEH209" s="243"/>
      <c r="GEI209" s="243"/>
      <c r="GEJ209" s="243"/>
      <c r="GEK209" s="243"/>
      <c r="GEL209" s="243"/>
      <c r="GEM209" s="243"/>
      <c r="GEN209" s="243"/>
      <c r="GEO209" s="243"/>
      <c r="GEP209" s="243"/>
      <c r="GEQ209" s="243"/>
      <c r="GER209" s="243"/>
      <c r="GES209" s="243"/>
      <c r="GET209" s="243"/>
      <c r="GEU209" s="243"/>
      <c r="GEV209" s="243"/>
      <c r="GEW209" s="243"/>
      <c r="GEX209" s="243"/>
      <c r="GEY209" s="243"/>
      <c r="GEZ209" s="243"/>
      <c r="GFA209" s="243"/>
      <c r="GFB209" s="243"/>
      <c r="GFC209" s="243"/>
      <c r="GFD209" s="243"/>
      <c r="GFE209" s="243"/>
      <c r="GFF209" s="243"/>
      <c r="GFG209" s="243"/>
      <c r="GFH209" s="243"/>
      <c r="GFI209" s="243"/>
      <c r="GFJ209" s="243"/>
      <c r="GFK209" s="243"/>
      <c r="GFL209" s="243"/>
      <c r="GFM209" s="243"/>
      <c r="GFN209" s="243"/>
      <c r="GFO209" s="243"/>
      <c r="GFP209" s="243"/>
      <c r="GFQ209" s="243"/>
      <c r="GFR209" s="243"/>
      <c r="GFS209" s="243"/>
      <c r="GFT209" s="243"/>
      <c r="GFU209" s="243"/>
      <c r="GFV209" s="243"/>
      <c r="GFW209" s="243"/>
      <c r="GFX209" s="243"/>
      <c r="GFY209" s="243"/>
      <c r="GFZ209" s="243"/>
      <c r="GGA209" s="243"/>
      <c r="GGB209" s="243"/>
      <c r="GGC209" s="243"/>
      <c r="GGD209" s="243"/>
      <c r="GGE209" s="243"/>
      <c r="GGF209" s="243"/>
      <c r="GGG209" s="243"/>
      <c r="GGH209" s="243"/>
      <c r="GGI209" s="243"/>
      <c r="GGJ209" s="243"/>
      <c r="GGK209" s="243"/>
      <c r="GGL209" s="243"/>
      <c r="GGM209" s="243"/>
      <c r="GGN209" s="243"/>
      <c r="GGO209" s="243"/>
      <c r="GGP209" s="243"/>
      <c r="GGQ209" s="243"/>
      <c r="GGR209" s="243"/>
      <c r="GGS209" s="243"/>
      <c r="GGT209" s="243"/>
      <c r="GGU209" s="243"/>
      <c r="GGV209" s="243"/>
      <c r="GGW209" s="243"/>
      <c r="GGX209" s="243"/>
      <c r="GGY209" s="243"/>
      <c r="GGZ209" s="243"/>
      <c r="GHA209" s="243"/>
      <c r="GHB209" s="243"/>
      <c r="GHC209" s="243"/>
      <c r="GHD209" s="243"/>
      <c r="GHE209" s="243"/>
      <c r="GHF209" s="243"/>
      <c r="GHG209" s="243"/>
      <c r="GHH209" s="243"/>
      <c r="GHI209" s="243"/>
      <c r="GHJ209" s="243"/>
      <c r="GHK209" s="243"/>
      <c r="GHL209" s="243"/>
      <c r="GHM209" s="243"/>
      <c r="GHN209" s="243"/>
      <c r="GHO209" s="243"/>
      <c r="GHP209" s="243"/>
      <c r="GHQ209" s="243"/>
      <c r="GHR209" s="243"/>
      <c r="GHS209" s="243"/>
      <c r="GHT209" s="243"/>
      <c r="GHU209" s="243"/>
      <c r="GHV209" s="243"/>
      <c r="GHW209" s="243"/>
      <c r="GHX209" s="243"/>
      <c r="GHY209" s="243"/>
      <c r="GHZ209" s="243"/>
      <c r="GIA209" s="243"/>
      <c r="GIB209" s="243"/>
      <c r="GIC209" s="243"/>
      <c r="GID209" s="243"/>
      <c r="GIE209" s="243"/>
      <c r="GIF209" s="243"/>
      <c r="GIG209" s="243"/>
      <c r="GIH209" s="243"/>
      <c r="GII209" s="243"/>
      <c r="GIJ209" s="243"/>
      <c r="GIK209" s="243"/>
      <c r="GIL209" s="243"/>
      <c r="GIM209" s="243"/>
      <c r="GIN209" s="243"/>
      <c r="GIO209" s="243"/>
      <c r="GIP209" s="243"/>
      <c r="GIQ209" s="243"/>
      <c r="GIR209" s="243"/>
      <c r="GIS209" s="243"/>
      <c r="GIT209" s="243"/>
      <c r="GIU209" s="243"/>
      <c r="GIV209" s="243"/>
      <c r="GIW209" s="243"/>
      <c r="GIX209" s="243"/>
      <c r="GIY209" s="243"/>
      <c r="GIZ209" s="243"/>
      <c r="GJA209" s="243"/>
      <c r="GJB209" s="243"/>
      <c r="GJC209" s="243"/>
      <c r="GJD209" s="243"/>
      <c r="GJE209" s="243"/>
      <c r="GJF209" s="243"/>
      <c r="GJG209" s="243"/>
      <c r="GJH209" s="243"/>
      <c r="GJI209" s="243"/>
      <c r="GJJ209" s="243"/>
      <c r="GJK209" s="243"/>
      <c r="GJL209" s="243"/>
      <c r="GJM209" s="243"/>
      <c r="GJN209" s="243"/>
      <c r="GJO209" s="243"/>
      <c r="GJP209" s="243"/>
      <c r="GJQ209" s="243"/>
      <c r="GJR209" s="243"/>
      <c r="GJS209" s="243"/>
      <c r="GJT209" s="243"/>
      <c r="GJU209" s="243"/>
      <c r="GJV209" s="243"/>
      <c r="GJW209" s="243"/>
      <c r="GJX209" s="243"/>
      <c r="GJY209" s="243"/>
      <c r="GJZ209" s="243"/>
      <c r="GKA209" s="243"/>
      <c r="GKB209" s="243"/>
      <c r="GKC209" s="243"/>
      <c r="GKD209" s="243"/>
      <c r="GKE209" s="243"/>
      <c r="GKF209" s="243"/>
      <c r="GKG209" s="243"/>
      <c r="GKH209" s="243"/>
      <c r="GKI209" s="243"/>
      <c r="GKJ209" s="243"/>
      <c r="GKK209" s="243"/>
      <c r="GKL209" s="243"/>
      <c r="GKM209" s="243"/>
      <c r="GKN209" s="243"/>
      <c r="GKO209" s="243"/>
      <c r="GKP209" s="243"/>
      <c r="GKQ209" s="243"/>
      <c r="GKR209" s="243"/>
      <c r="GKS209" s="243"/>
      <c r="GKT209" s="243"/>
      <c r="GKU209" s="243"/>
      <c r="GKV209" s="243"/>
      <c r="GKW209" s="243"/>
      <c r="GKX209" s="243"/>
      <c r="GKY209" s="243"/>
      <c r="GKZ209" s="243"/>
      <c r="GLA209" s="243"/>
      <c r="GLB209" s="243"/>
      <c r="GLC209" s="243"/>
      <c r="GLD209" s="243"/>
      <c r="GLE209" s="243"/>
      <c r="GLF209" s="243"/>
      <c r="GLG209" s="243"/>
      <c r="GLH209" s="243"/>
      <c r="GLI209" s="243"/>
      <c r="GLJ209" s="243"/>
      <c r="GLK209" s="243"/>
      <c r="GLL209" s="243"/>
      <c r="GLM209" s="243"/>
      <c r="GLN209" s="243"/>
      <c r="GLO209" s="243"/>
      <c r="GLP209" s="243"/>
      <c r="GLQ209" s="243"/>
      <c r="GLR209" s="243"/>
      <c r="GLS209" s="243"/>
      <c r="GLT209" s="243"/>
      <c r="GLU209" s="243"/>
      <c r="GLV209" s="243"/>
      <c r="GLW209" s="243"/>
      <c r="GLX209" s="243"/>
      <c r="GLY209" s="243"/>
      <c r="GLZ209" s="243"/>
      <c r="GMA209" s="243"/>
      <c r="GMB209" s="243"/>
      <c r="GMC209" s="243"/>
      <c r="GMD209" s="243"/>
      <c r="GME209" s="243"/>
      <c r="GMF209" s="243"/>
      <c r="GMG209" s="243"/>
      <c r="GMH209" s="243"/>
      <c r="GMI209" s="243"/>
      <c r="GMJ209" s="243"/>
      <c r="GMK209" s="243"/>
      <c r="GML209" s="243"/>
      <c r="GMM209" s="243"/>
      <c r="GMN209" s="243"/>
      <c r="GMO209" s="243"/>
      <c r="GMP209" s="243"/>
      <c r="GMQ209" s="243"/>
      <c r="GMR209" s="243"/>
      <c r="GMS209" s="243"/>
      <c r="GMT209" s="243"/>
      <c r="GMU209" s="243"/>
      <c r="GMV209" s="243"/>
      <c r="GMW209" s="243"/>
      <c r="GMX209" s="243"/>
      <c r="GMY209" s="243"/>
      <c r="GMZ209" s="243"/>
      <c r="GNA209" s="243"/>
      <c r="GNB209" s="243"/>
      <c r="GNC209" s="243"/>
      <c r="GND209" s="243"/>
      <c r="GNE209" s="243"/>
      <c r="GNF209" s="243"/>
      <c r="GNG209" s="243"/>
      <c r="GNH209" s="243"/>
      <c r="GNI209" s="243"/>
      <c r="GNJ209" s="243"/>
      <c r="GNK209" s="243"/>
      <c r="GNL209" s="243"/>
      <c r="GNM209" s="243"/>
      <c r="GNN209" s="243"/>
      <c r="GNO209" s="243"/>
      <c r="GNP209" s="243"/>
      <c r="GNQ209" s="243"/>
      <c r="GNR209" s="243"/>
      <c r="GNS209" s="243"/>
      <c r="GNT209" s="243"/>
      <c r="GNU209" s="243"/>
      <c r="GNV209" s="243"/>
      <c r="GNW209" s="243"/>
      <c r="GNX209" s="243"/>
      <c r="GNY209" s="243"/>
      <c r="GNZ209" s="243"/>
      <c r="GOA209" s="243"/>
      <c r="GOB209" s="243"/>
      <c r="GOC209" s="243"/>
      <c r="GOD209" s="243"/>
      <c r="GOE209" s="243"/>
      <c r="GOF209" s="243"/>
      <c r="GOG209" s="243"/>
      <c r="GOH209" s="243"/>
      <c r="GOI209" s="243"/>
      <c r="GOJ209" s="243"/>
      <c r="GOK209" s="243"/>
      <c r="GOL209" s="243"/>
      <c r="GOM209" s="243"/>
      <c r="GON209" s="243"/>
      <c r="GOO209" s="243"/>
      <c r="GOP209" s="243"/>
      <c r="GOQ209" s="243"/>
      <c r="GOR209" s="243"/>
      <c r="GOS209" s="243"/>
      <c r="GOT209" s="243"/>
      <c r="GOU209" s="243"/>
      <c r="GOV209" s="243"/>
      <c r="GOW209" s="243"/>
      <c r="GOX209" s="243"/>
      <c r="GOY209" s="243"/>
      <c r="GOZ209" s="243"/>
      <c r="GPA209" s="243"/>
      <c r="GPB209" s="243"/>
      <c r="GPC209" s="243"/>
      <c r="GPD209" s="243"/>
      <c r="GPE209" s="243"/>
      <c r="GPF209" s="243"/>
      <c r="GPG209" s="243"/>
      <c r="GPH209" s="243"/>
      <c r="GPI209" s="243"/>
      <c r="GPJ209" s="243"/>
      <c r="GPK209" s="243"/>
      <c r="GPL209" s="243"/>
      <c r="GPM209" s="243"/>
      <c r="GPN209" s="243"/>
      <c r="GPO209" s="243"/>
      <c r="GPP209" s="243"/>
      <c r="GPQ209" s="243"/>
      <c r="GPR209" s="243"/>
      <c r="GPS209" s="243"/>
      <c r="GPT209" s="243"/>
      <c r="GPU209" s="243"/>
      <c r="GPV209" s="243"/>
      <c r="GPW209" s="243"/>
      <c r="GPX209" s="243"/>
      <c r="GPY209" s="243"/>
      <c r="GPZ209" s="243"/>
      <c r="GQA209" s="243"/>
      <c r="GQB209" s="243"/>
      <c r="GQC209" s="243"/>
      <c r="GQD209" s="243"/>
      <c r="GQE209" s="243"/>
      <c r="GQF209" s="243"/>
      <c r="GQG209" s="243"/>
      <c r="GQH209" s="243"/>
      <c r="GQI209" s="243"/>
      <c r="GQJ209" s="243"/>
      <c r="GQK209" s="243"/>
      <c r="GQL209" s="243"/>
      <c r="GQM209" s="243"/>
      <c r="GQN209" s="243"/>
      <c r="GQO209" s="243"/>
      <c r="GQP209" s="243"/>
      <c r="GQQ209" s="243"/>
      <c r="GQR209" s="243"/>
      <c r="GQS209" s="243"/>
      <c r="GQT209" s="243"/>
      <c r="GQU209" s="243"/>
      <c r="GQV209" s="243"/>
      <c r="GQW209" s="243"/>
      <c r="GQX209" s="243"/>
      <c r="GQY209" s="243"/>
      <c r="GQZ209" s="243"/>
      <c r="GRA209" s="243"/>
      <c r="GRB209" s="243"/>
      <c r="GRC209" s="243"/>
      <c r="GRD209" s="243"/>
      <c r="GRE209" s="243"/>
      <c r="GRF209" s="243"/>
      <c r="GRG209" s="243"/>
      <c r="GRH209" s="243"/>
      <c r="GRI209" s="243"/>
      <c r="GRJ209" s="243"/>
      <c r="GRK209" s="243"/>
      <c r="GRL209" s="243"/>
      <c r="GRM209" s="243"/>
      <c r="GRN209" s="243"/>
      <c r="GRO209" s="243"/>
      <c r="GRP209" s="243"/>
      <c r="GRQ209" s="243"/>
      <c r="GRR209" s="243"/>
      <c r="GRS209" s="243"/>
      <c r="GRT209" s="243"/>
      <c r="GRU209" s="243"/>
      <c r="GRV209" s="243"/>
      <c r="GRW209" s="243"/>
      <c r="GRX209" s="243"/>
      <c r="GRY209" s="243"/>
      <c r="GRZ209" s="243"/>
      <c r="GSA209" s="243"/>
      <c r="GSB209" s="243"/>
      <c r="GSC209" s="243"/>
      <c r="GSD209" s="243"/>
      <c r="GSE209" s="243"/>
      <c r="GSF209" s="243"/>
      <c r="GSG209" s="243"/>
      <c r="GSH209" s="243"/>
      <c r="GSI209" s="243"/>
      <c r="GSJ209" s="243"/>
      <c r="GSK209" s="243"/>
      <c r="GSL209" s="243"/>
      <c r="GSM209" s="243"/>
      <c r="GSN209" s="243"/>
      <c r="GSO209" s="243"/>
      <c r="GSP209" s="243"/>
      <c r="GSQ209" s="243"/>
      <c r="GSR209" s="243"/>
      <c r="GSS209" s="243"/>
      <c r="GST209" s="243"/>
      <c r="GSU209" s="243"/>
      <c r="GSV209" s="243"/>
      <c r="GSW209" s="243"/>
      <c r="GSX209" s="243"/>
      <c r="GSY209" s="243"/>
      <c r="GSZ209" s="243"/>
      <c r="GTA209" s="243"/>
      <c r="GTB209" s="243"/>
      <c r="GTC209" s="243"/>
      <c r="GTD209" s="243"/>
      <c r="GTE209" s="243"/>
      <c r="GTF209" s="243"/>
      <c r="GTG209" s="243"/>
      <c r="GTH209" s="243"/>
      <c r="GTI209" s="243"/>
      <c r="GTJ209" s="243"/>
      <c r="GTK209" s="243"/>
      <c r="GTL209" s="243"/>
      <c r="GTM209" s="243"/>
      <c r="GTN209" s="243"/>
      <c r="GTO209" s="243"/>
      <c r="GTP209" s="243"/>
      <c r="GTQ209" s="243"/>
      <c r="GTR209" s="243"/>
      <c r="GTS209" s="243"/>
      <c r="GTT209" s="243"/>
      <c r="GTU209" s="243"/>
      <c r="GTV209" s="243"/>
      <c r="GTW209" s="243"/>
      <c r="GTX209" s="243"/>
      <c r="GTY209" s="243"/>
      <c r="GTZ209" s="243"/>
      <c r="GUA209" s="243"/>
      <c r="GUB209" s="243"/>
      <c r="GUC209" s="243"/>
      <c r="GUD209" s="243"/>
      <c r="GUE209" s="243"/>
      <c r="GUF209" s="243"/>
      <c r="GUG209" s="243"/>
      <c r="GUH209" s="243"/>
      <c r="GUI209" s="243"/>
      <c r="GUJ209" s="243"/>
      <c r="GUK209" s="243"/>
      <c r="GUL209" s="243"/>
      <c r="GUM209" s="243"/>
      <c r="GUN209" s="243"/>
      <c r="GUO209" s="243"/>
      <c r="GUP209" s="243"/>
      <c r="GUQ209" s="243"/>
      <c r="GUR209" s="243"/>
      <c r="GUS209" s="243"/>
      <c r="GUT209" s="243"/>
      <c r="GUU209" s="243"/>
      <c r="GUV209" s="243"/>
      <c r="GUW209" s="243"/>
      <c r="GUX209" s="243"/>
      <c r="GUY209" s="243"/>
      <c r="GUZ209" s="243"/>
      <c r="GVA209" s="243"/>
      <c r="GVB209" s="243"/>
      <c r="GVC209" s="243"/>
      <c r="GVD209" s="243"/>
      <c r="GVE209" s="243"/>
      <c r="GVF209" s="243"/>
      <c r="GVG209" s="243"/>
      <c r="GVH209" s="243"/>
      <c r="GVI209" s="243"/>
      <c r="GVJ209" s="243"/>
      <c r="GVK209" s="243"/>
      <c r="GVL209" s="243"/>
      <c r="GVM209" s="243"/>
      <c r="GVN209" s="243"/>
      <c r="GVO209" s="243"/>
      <c r="GVP209" s="243"/>
      <c r="GVQ209" s="243"/>
      <c r="GVR209" s="243"/>
      <c r="GVS209" s="243"/>
      <c r="GVT209" s="243"/>
      <c r="GVU209" s="243"/>
      <c r="GVV209" s="243"/>
      <c r="GVW209" s="243"/>
      <c r="GVX209" s="243"/>
      <c r="GVY209" s="243"/>
      <c r="GVZ209" s="243"/>
      <c r="GWA209" s="243"/>
      <c r="GWB209" s="243"/>
      <c r="GWC209" s="243"/>
      <c r="GWD209" s="243"/>
      <c r="GWE209" s="243"/>
      <c r="GWF209" s="243"/>
      <c r="GWG209" s="243"/>
      <c r="GWH209" s="243"/>
      <c r="GWI209" s="243"/>
      <c r="GWJ209" s="243"/>
      <c r="GWK209" s="243"/>
      <c r="GWL209" s="243"/>
      <c r="GWM209" s="243"/>
      <c r="GWN209" s="243"/>
      <c r="GWO209" s="243"/>
      <c r="GWP209" s="243"/>
      <c r="GWQ209" s="243"/>
      <c r="GWR209" s="243"/>
      <c r="GWS209" s="243"/>
      <c r="GWT209" s="243"/>
      <c r="GWU209" s="243"/>
      <c r="GWV209" s="243"/>
      <c r="GWW209" s="243"/>
      <c r="GWX209" s="243"/>
      <c r="GWY209" s="243"/>
      <c r="GWZ209" s="243"/>
      <c r="GXA209" s="243"/>
      <c r="GXB209" s="243"/>
      <c r="GXC209" s="243"/>
      <c r="GXD209" s="243"/>
      <c r="GXE209" s="243"/>
      <c r="GXF209" s="243"/>
      <c r="GXG209" s="243"/>
      <c r="GXH209" s="243"/>
      <c r="GXI209" s="243"/>
      <c r="GXJ209" s="243"/>
      <c r="GXK209" s="243"/>
      <c r="GXL209" s="243"/>
      <c r="GXM209" s="243"/>
      <c r="GXN209" s="243"/>
      <c r="GXO209" s="243"/>
      <c r="GXP209" s="243"/>
      <c r="GXQ209" s="243"/>
      <c r="GXR209" s="243"/>
      <c r="GXS209" s="243"/>
      <c r="GXT209" s="243"/>
      <c r="GXU209" s="243"/>
      <c r="GXV209" s="243"/>
      <c r="GXW209" s="243"/>
      <c r="GXX209" s="243"/>
      <c r="GXY209" s="243"/>
      <c r="GXZ209" s="243"/>
      <c r="GYA209" s="243"/>
      <c r="GYB209" s="243"/>
      <c r="GYC209" s="243"/>
      <c r="GYD209" s="243"/>
      <c r="GYE209" s="243"/>
      <c r="GYF209" s="243"/>
      <c r="GYG209" s="243"/>
      <c r="GYH209" s="243"/>
      <c r="GYI209" s="243"/>
      <c r="GYJ209" s="243"/>
      <c r="GYK209" s="243"/>
      <c r="GYL209" s="243"/>
      <c r="GYM209" s="243"/>
      <c r="GYN209" s="243"/>
      <c r="GYO209" s="243"/>
      <c r="GYP209" s="243"/>
      <c r="GYQ209" s="243"/>
      <c r="GYR209" s="243"/>
      <c r="GYS209" s="243"/>
      <c r="GYT209" s="243"/>
      <c r="GYU209" s="243"/>
      <c r="GYV209" s="243"/>
      <c r="GYW209" s="243"/>
      <c r="GYX209" s="243"/>
      <c r="GYY209" s="243"/>
      <c r="GYZ209" s="243"/>
      <c r="GZA209" s="243"/>
      <c r="GZB209" s="243"/>
      <c r="GZC209" s="243"/>
      <c r="GZD209" s="243"/>
      <c r="GZE209" s="243"/>
      <c r="GZF209" s="243"/>
      <c r="GZG209" s="243"/>
      <c r="GZH209" s="243"/>
      <c r="GZI209" s="243"/>
      <c r="GZJ209" s="243"/>
      <c r="GZK209" s="243"/>
      <c r="GZL209" s="243"/>
      <c r="GZM209" s="243"/>
      <c r="GZN209" s="243"/>
      <c r="GZO209" s="243"/>
      <c r="GZP209" s="243"/>
      <c r="GZQ209" s="243"/>
      <c r="GZR209" s="243"/>
      <c r="GZS209" s="243"/>
      <c r="GZT209" s="243"/>
      <c r="GZU209" s="243"/>
      <c r="GZV209" s="243"/>
      <c r="GZW209" s="243"/>
      <c r="GZX209" s="243"/>
      <c r="GZY209" s="243"/>
      <c r="GZZ209" s="243"/>
      <c r="HAA209" s="243"/>
      <c r="HAB209" s="243"/>
      <c r="HAC209" s="243"/>
      <c r="HAD209" s="243"/>
      <c r="HAE209" s="243"/>
      <c r="HAF209" s="243"/>
      <c r="HAG209" s="243"/>
      <c r="HAH209" s="243"/>
      <c r="HAI209" s="243"/>
      <c r="HAJ209" s="243"/>
      <c r="HAK209" s="243"/>
      <c r="HAL209" s="243"/>
      <c r="HAM209" s="243"/>
      <c r="HAN209" s="243"/>
      <c r="HAO209" s="243"/>
      <c r="HAP209" s="243"/>
      <c r="HAQ209" s="243"/>
      <c r="HAR209" s="243"/>
      <c r="HAS209" s="243"/>
      <c r="HAT209" s="243"/>
      <c r="HAU209" s="243"/>
      <c r="HAV209" s="243"/>
      <c r="HAW209" s="243"/>
      <c r="HAX209" s="243"/>
      <c r="HAY209" s="243"/>
      <c r="HAZ209" s="243"/>
      <c r="HBA209" s="243"/>
      <c r="HBB209" s="243"/>
      <c r="HBC209" s="243"/>
      <c r="HBD209" s="243"/>
      <c r="HBE209" s="243"/>
      <c r="HBF209" s="243"/>
      <c r="HBG209" s="243"/>
      <c r="HBH209" s="243"/>
      <c r="HBI209" s="243"/>
      <c r="HBJ209" s="243"/>
      <c r="HBK209" s="243"/>
      <c r="HBL209" s="243"/>
      <c r="HBM209" s="243"/>
      <c r="HBN209" s="243"/>
      <c r="HBO209" s="243"/>
      <c r="HBP209" s="243"/>
      <c r="HBQ209" s="243"/>
      <c r="HBR209" s="243"/>
      <c r="HBS209" s="243"/>
      <c r="HBT209" s="243"/>
      <c r="HBU209" s="243"/>
      <c r="HBV209" s="243"/>
      <c r="HBW209" s="243"/>
      <c r="HBX209" s="243"/>
      <c r="HBY209" s="243"/>
      <c r="HBZ209" s="243"/>
      <c r="HCA209" s="243"/>
      <c r="HCB209" s="243"/>
      <c r="HCC209" s="243"/>
      <c r="HCD209" s="243"/>
      <c r="HCE209" s="243"/>
      <c r="HCF209" s="243"/>
      <c r="HCG209" s="243"/>
      <c r="HCH209" s="243"/>
      <c r="HCI209" s="243"/>
      <c r="HCJ209" s="243"/>
      <c r="HCK209" s="243"/>
      <c r="HCL209" s="243"/>
      <c r="HCM209" s="243"/>
      <c r="HCN209" s="243"/>
      <c r="HCO209" s="243"/>
      <c r="HCP209" s="243"/>
      <c r="HCQ209" s="243"/>
      <c r="HCR209" s="243"/>
      <c r="HCS209" s="243"/>
      <c r="HCT209" s="243"/>
      <c r="HCU209" s="243"/>
      <c r="HCV209" s="243"/>
      <c r="HCW209" s="243"/>
      <c r="HCX209" s="243"/>
      <c r="HCY209" s="243"/>
      <c r="HCZ209" s="243"/>
      <c r="HDA209" s="243"/>
      <c r="HDB209" s="243"/>
      <c r="HDC209" s="243"/>
      <c r="HDD209" s="243"/>
      <c r="HDE209" s="243"/>
      <c r="HDF209" s="243"/>
      <c r="HDG209" s="243"/>
      <c r="HDH209" s="243"/>
      <c r="HDI209" s="243"/>
      <c r="HDJ209" s="243"/>
      <c r="HDK209" s="243"/>
      <c r="HDL209" s="243"/>
      <c r="HDM209" s="243"/>
      <c r="HDN209" s="243"/>
      <c r="HDO209" s="243"/>
      <c r="HDP209" s="243"/>
      <c r="HDQ209" s="243"/>
      <c r="HDR209" s="243"/>
      <c r="HDS209" s="243"/>
      <c r="HDT209" s="243"/>
      <c r="HDU209" s="243"/>
      <c r="HDV209" s="243"/>
      <c r="HDW209" s="243"/>
      <c r="HDX209" s="243"/>
      <c r="HDY209" s="243"/>
      <c r="HDZ209" s="243"/>
      <c r="HEA209" s="243"/>
      <c r="HEB209" s="243"/>
      <c r="HEC209" s="243"/>
      <c r="HED209" s="243"/>
      <c r="HEE209" s="243"/>
      <c r="HEF209" s="243"/>
      <c r="HEG209" s="243"/>
      <c r="HEH209" s="243"/>
      <c r="HEI209" s="243"/>
      <c r="HEJ209" s="243"/>
      <c r="HEK209" s="243"/>
      <c r="HEL209" s="243"/>
      <c r="HEM209" s="243"/>
      <c r="HEN209" s="243"/>
      <c r="HEO209" s="243"/>
      <c r="HEP209" s="243"/>
      <c r="HEQ209" s="243"/>
      <c r="HER209" s="243"/>
      <c r="HES209" s="243"/>
      <c r="HET209" s="243"/>
      <c r="HEU209" s="243"/>
      <c r="HEV209" s="243"/>
      <c r="HEW209" s="243"/>
      <c r="HEX209" s="243"/>
      <c r="HEY209" s="243"/>
      <c r="HEZ209" s="243"/>
      <c r="HFA209" s="243"/>
      <c r="HFB209" s="243"/>
      <c r="HFC209" s="243"/>
      <c r="HFD209" s="243"/>
      <c r="HFE209" s="243"/>
      <c r="HFF209" s="243"/>
      <c r="HFG209" s="243"/>
      <c r="HFH209" s="243"/>
      <c r="HFI209" s="243"/>
      <c r="HFJ209" s="243"/>
      <c r="HFK209" s="243"/>
      <c r="HFL209" s="243"/>
      <c r="HFM209" s="243"/>
      <c r="HFN209" s="243"/>
      <c r="HFO209" s="243"/>
      <c r="HFP209" s="243"/>
      <c r="HFQ209" s="243"/>
      <c r="HFR209" s="243"/>
      <c r="HFS209" s="243"/>
      <c r="HFT209" s="243"/>
      <c r="HFU209" s="243"/>
      <c r="HFV209" s="243"/>
      <c r="HFW209" s="243"/>
      <c r="HFX209" s="243"/>
      <c r="HFY209" s="243"/>
      <c r="HFZ209" s="243"/>
      <c r="HGA209" s="243"/>
      <c r="HGB209" s="243"/>
      <c r="HGC209" s="243"/>
      <c r="HGD209" s="243"/>
      <c r="HGE209" s="243"/>
      <c r="HGF209" s="243"/>
      <c r="HGG209" s="243"/>
      <c r="HGH209" s="243"/>
      <c r="HGI209" s="243"/>
      <c r="HGJ209" s="243"/>
      <c r="HGK209" s="243"/>
      <c r="HGL209" s="243"/>
      <c r="HGM209" s="243"/>
      <c r="HGN209" s="243"/>
      <c r="HGO209" s="243"/>
      <c r="HGP209" s="243"/>
      <c r="HGQ209" s="243"/>
      <c r="HGR209" s="243"/>
      <c r="HGS209" s="243"/>
      <c r="HGT209" s="243"/>
      <c r="HGU209" s="243"/>
      <c r="HGV209" s="243"/>
      <c r="HGW209" s="243"/>
      <c r="HGX209" s="243"/>
      <c r="HGY209" s="243"/>
      <c r="HGZ209" s="243"/>
      <c r="HHA209" s="243"/>
      <c r="HHB209" s="243"/>
      <c r="HHC209" s="243"/>
      <c r="HHD209" s="243"/>
      <c r="HHE209" s="243"/>
      <c r="HHF209" s="243"/>
      <c r="HHG209" s="243"/>
      <c r="HHH209" s="243"/>
      <c r="HHI209" s="243"/>
      <c r="HHJ209" s="243"/>
      <c r="HHK209" s="243"/>
      <c r="HHL209" s="243"/>
      <c r="HHM209" s="243"/>
      <c r="HHN209" s="243"/>
      <c r="HHO209" s="243"/>
      <c r="HHP209" s="243"/>
      <c r="HHQ209" s="243"/>
      <c r="HHR209" s="243"/>
      <c r="HHS209" s="243"/>
      <c r="HHT209" s="243"/>
      <c r="HHU209" s="243"/>
      <c r="HHV209" s="243"/>
      <c r="HHW209" s="243"/>
      <c r="HHX209" s="243"/>
      <c r="HHY209" s="243"/>
      <c r="HHZ209" s="243"/>
      <c r="HIA209" s="243"/>
      <c r="HIB209" s="243"/>
      <c r="HIC209" s="243"/>
      <c r="HID209" s="243"/>
      <c r="HIE209" s="243"/>
      <c r="HIF209" s="243"/>
      <c r="HIG209" s="243"/>
      <c r="HIH209" s="243"/>
      <c r="HII209" s="243"/>
      <c r="HIJ209" s="243"/>
      <c r="HIK209" s="243"/>
      <c r="HIL209" s="243"/>
      <c r="HIM209" s="243"/>
      <c r="HIN209" s="243"/>
      <c r="HIO209" s="243"/>
      <c r="HIP209" s="243"/>
      <c r="HIQ209" s="243"/>
      <c r="HIR209" s="243"/>
      <c r="HIS209" s="243"/>
      <c r="HIT209" s="243"/>
      <c r="HIU209" s="243"/>
      <c r="HIV209" s="243"/>
      <c r="HIW209" s="243"/>
      <c r="HIX209" s="243"/>
      <c r="HIY209" s="243"/>
      <c r="HIZ209" s="243"/>
      <c r="HJA209" s="243"/>
      <c r="HJB209" s="243"/>
      <c r="HJC209" s="243"/>
      <c r="HJD209" s="243"/>
      <c r="HJE209" s="243"/>
      <c r="HJF209" s="243"/>
      <c r="HJG209" s="243"/>
      <c r="HJH209" s="243"/>
      <c r="HJI209" s="243"/>
      <c r="HJJ209" s="243"/>
      <c r="HJK209" s="243"/>
      <c r="HJL209" s="243"/>
      <c r="HJM209" s="243"/>
      <c r="HJN209" s="243"/>
      <c r="HJO209" s="243"/>
      <c r="HJP209" s="243"/>
      <c r="HJQ209" s="243"/>
      <c r="HJR209" s="243"/>
      <c r="HJS209" s="243"/>
      <c r="HJT209" s="243"/>
      <c r="HJU209" s="243"/>
      <c r="HJV209" s="243"/>
      <c r="HJW209" s="243"/>
      <c r="HJX209" s="243"/>
      <c r="HJY209" s="243"/>
      <c r="HJZ209" s="243"/>
      <c r="HKA209" s="243"/>
      <c r="HKB209" s="243"/>
      <c r="HKC209" s="243"/>
      <c r="HKD209" s="243"/>
      <c r="HKE209" s="243"/>
      <c r="HKF209" s="243"/>
      <c r="HKG209" s="243"/>
      <c r="HKH209" s="243"/>
      <c r="HKI209" s="243"/>
      <c r="HKJ209" s="243"/>
      <c r="HKK209" s="243"/>
      <c r="HKL209" s="243"/>
      <c r="HKM209" s="243"/>
      <c r="HKN209" s="243"/>
      <c r="HKO209" s="243"/>
      <c r="HKP209" s="243"/>
      <c r="HKQ209" s="243"/>
      <c r="HKR209" s="243"/>
      <c r="HKS209" s="243"/>
      <c r="HKT209" s="243"/>
      <c r="HKU209" s="243"/>
      <c r="HKV209" s="243"/>
      <c r="HKW209" s="243"/>
      <c r="HKX209" s="243"/>
      <c r="HKY209" s="243"/>
      <c r="HKZ209" s="243"/>
      <c r="HLA209" s="243"/>
      <c r="HLB209" s="243"/>
      <c r="HLC209" s="243"/>
      <c r="HLD209" s="243"/>
      <c r="HLE209" s="243"/>
      <c r="HLF209" s="243"/>
      <c r="HLG209" s="243"/>
      <c r="HLH209" s="243"/>
      <c r="HLI209" s="243"/>
      <c r="HLJ209" s="243"/>
      <c r="HLK209" s="243"/>
      <c r="HLL209" s="243"/>
      <c r="HLM209" s="243"/>
      <c r="HLN209" s="243"/>
      <c r="HLO209" s="243"/>
      <c r="HLP209" s="243"/>
      <c r="HLQ209" s="243"/>
      <c r="HLR209" s="243"/>
      <c r="HLS209" s="243"/>
      <c r="HLT209" s="243"/>
      <c r="HLU209" s="243"/>
      <c r="HLV209" s="243"/>
      <c r="HLW209" s="243"/>
      <c r="HLX209" s="243"/>
      <c r="HLY209" s="243"/>
      <c r="HLZ209" s="243"/>
      <c r="HMA209" s="243"/>
      <c r="HMB209" s="243"/>
      <c r="HMC209" s="243"/>
      <c r="HMD209" s="243"/>
      <c r="HME209" s="243"/>
      <c r="HMF209" s="243"/>
      <c r="HMG209" s="243"/>
      <c r="HMH209" s="243"/>
      <c r="HMI209" s="243"/>
      <c r="HMJ209" s="243"/>
      <c r="HMK209" s="243"/>
      <c r="HML209" s="243"/>
      <c r="HMM209" s="243"/>
      <c r="HMN209" s="243"/>
      <c r="HMO209" s="243"/>
      <c r="HMP209" s="243"/>
      <c r="HMQ209" s="243"/>
      <c r="HMR209" s="243"/>
      <c r="HMS209" s="243"/>
      <c r="HMT209" s="243"/>
      <c r="HMU209" s="243"/>
      <c r="HMV209" s="243"/>
      <c r="HMW209" s="243"/>
      <c r="HMX209" s="243"/>
      <c r="HMY209" s="243"/>
      <c r="HMZ209" s="243"/>
      <c r="HNA209" s="243"/>
      <c r="HNB209" s="243"/>
      <c r="HNC209" s="243"/>
      <c r="HND209" s="243"/>
      <c r="HNE209" s="243"/>
      <c r="HNF209" s="243"/>
      <c r="HNG209" s="243"/>
      <c r="HNH209" s="243"/>
      <c r="HNI209" s="243"/>
      <c r="HNJ209" s="243"/>
      <c r="HNK209" s="243"/>
      <c r="HNL209" s="243"/>
      <c r="HNM209" s="243"/>
      <c r="HNN209" s="243"/>
      <c r="HNO209" s="243"/>
      <c r="HNP209" s="243"/>
      <c r="HNQ209" s="243"/>
      <c r="HNR209" s="243"/>
      <c r="HNS209" s="243"/>
      <c r="HNT209" s="243"/>
      <c r="HNU209" s="243"/>
      <c r="HNV209" s="243"/>
      <c r="HNW209" s="243"/>
      <c r="HNX209" s="243"/>
      <c r="HNY209" s="243"/>
      <c r="HNZ209" s="243"/>
      <c r="HOA209" s="243"/>
      <c r="HOB209" s="243"/>
      <c r="HOC209" s="243"/>
      <c r="HOD209" s="243"/>
      <c r="HOE209" s="243"/>
      <c r="HOF209" s="243"/>
      <c r="HOG209" s="243"/>
      <c r="HOH209" s="243"/>
      <c r="HOI209" s="243"/>
      <c r="HOJ209" s="243"/>
      <c r="HOK209" s="243"/>
      <c r="HOL209" s="243"/>
      <c r="HOM209" s="243"/>
      <c r="HON209" s="243"/>
      <c r="HOO209" s="243"/>
      <c r="HOP209" s="243"/>
      <c r="HOQ209" s="243"/>
      <c r="HOR209" s="243"/>
      <c r="HOS209" s="243"/>
      <c r="HOT209" s="243"/>
      <c r="HOU209" s="243"/>
      <c r="HOV209" s="243"/>
      <c r="HOW209" s="243"/>
      <c r="HOX209" s="243"/>
      <c r="HOY209" s="243"/>
      <c r="HOZ209" s="243"/>
      <c r="HPA209" s="243"/>
      <c r="HPB209" s="243"/>
      <c r="HPC209" s="243"/>
      <c r="HPD209" s="243"/>
      <c r="HPE209" s="243"/>
      <c r="HPF209" s="243"/>
      <c r="HPG209" s="243"/>
      <c r="HPH209" s="243"/>
      <c r="HPI209" s="243"/>
      <c r="HPJ209" s="243"/>
      <c r="HPK209" s="243"/>
      <c r="HPL209" s="243"/>
      <c r="HPM209" s="243"/>
      <c r="HPN209" s="243"/>
      <c r="HPO209" s="243"/>
      <c r="HPP209" s="243"/>
      <c r="HPQ209" s="243"/>
      <c r="HPR209" s="243"/>
      <c r="HPS209" s="243"/>
      <c r="HPT209" s="243"/>
      <c r="HPU209" s="243"/>
      <c r="HPV209" s="243"/>
      <c r="HPW209" s="243"/>
      <c r="HPX209" s="243"/>
      <c r="HPY209" s="243"/>
      <c r="HPZ209" s="243"/>
      <c r="HQA209" s="243"/>
      <c r="HQB209" s="243"/>
      <c r="HQC209" s="243"/>
      <c r="HQD209" s="243"/>
      <c r="HQE209" s="243"/>
      <c r="HQF209" s="243"/>
      <c r="HQG209" s="243"/>
      <c r="HQH209" s="243"/>
      <c r="HQI209" s="243"/>
      <c r="HQJ209" s="243"/>
      <c r="HQK209" s="243"/>
      <c r="HQL209" s="243"/>
      <c r="HQM209" s="243"/>
      <c r="HQN209" s="243"/>
      <c r="HQO209" s="243"/>
      <c r="HQP209" s="243"/>
      <c r="HQQ209" s="243"/>
      <c r="HQR209" s="243"/>
      <c r="HQS209" s="243"/>
      <c r="HQT209" s="243"/>
      <c r="HQU209" s="243"/>
      <c r="HQV209" s="243"/>
      <c r="HQW209" s="243"/>
      <c r="HQX209" s="243"/>
      <c r="HQY209" s="243"/>
      <c r="HQZ209" s="243"/>
      <c r="HRA209" s="243"/>
      <c r="HRB209" s="243"/>
      <c r="HRC209" s="243"/>
      <c r="HRD209" s="243"/>
      <c r="HRE209" s="243"/>
      <c r="HRF209" s="243"/>
      <c r="HRG209" s="243"/>
      <c r="HRH209" s="243"/>
      <c r="HRI209" s="243"/>
      <c r="HRJ209" s="243"/>
      <c r="HRK209" s="243"/>
      <c r="HRL209" s="243"/>
      <c r="HRM209" s="243"/>
      <c r="HRN209" s="243"/>
      <c r="HRO209" s="243"/>
      <c r="HRP209" s="243"/>
      <c r="HRQ209" s="243"/>
      <c r="HRR209" s="243"/>
      <c r="HRS209" s="243"/>
      <c r="HRT209" s="243"/>
      <c r="HRU209" s="243"/>
      <c r="HRV209" s="243"/>
      <c r="HRW209" s="243"/>
      <c r="HRX209" s="243"/>
      <c r="HRY209" s="243"/>
      <c r="HRZ209" s="243"/>
      <c r="HSA209" s="243"/>
      <c r="HSB209" s="243"/>
      <c r="HSC209" s="243"/>
      <c r="HSD209" s="243"/>
      <c r="HSE209" s="243"/>
      <c r="HSF209" s="243"/>
      <c r="HSG209" s="243"/>
      <c r="HSH209" s="243"/>
      <c r="HSI209" s="243"/>
      <c r="HSJ209" s="243"/>
      <c r="HSK209" s="243"/>
      <c r="HSL209" s="243"/>
      <c r="HSM209" s="243"/>
      <c r="HSN209" s="243"/>
      <c r="HSO209" s="243"/>
      <c r="HSP209" s="243"/>
      <c r="HSQ209" s="243"/>
      <c r="HSR209" s="243"/>
      <c r="HSS209" s="243"/>
      <c r="HST209" s="243"/>
      <c r="HSU209" s="243"/>
      <c r="HSV209" s="243"/>
      <c r="HSW209" s="243"/>
      <c r="HSX209" s="243"/>
      <c r="HSY209" s="243"/>
      <c r="HSZ209" s="243"/>
      <c r="HTA209" s="243"/>
      <c r="HTB209" s="243"/>
      <c r="HTC209" s="243"/>
      <c r="HTD209" s="243"/>
      <c r="HTE209" s="243"/>
      <c r="HTF209" s="243"/>
      <c r="HTG209" s="243"/>
      <c r="HTH209" s="243"/>
      <c r="HTI209" s="243"/>
      <c r="HTJ209" s="243"/>
      <c r="HTK209" s="243"/>
      <c r="HTL209" s="243"/>
      <c r="HTM209" s="243"/>
      <c r="HTN209" s="243"/>
      <c r="HTO209" s="243"/>
      <c r="HTP209" s="243"/>
      <c r="HTQ209" s="243"/>
      <c r="HTR209" s="243"/>
      <c r="HTS209" s="243"/>
      <c r="HTT209" s="243"/>
      <c r="HTU209" s="243"/>
      <c r="HTV209" s="243"/>
      <c r="HTW209" s="243"/>
      <c r="HTX209" s="243"/>
      <c r="HTY209" s="243"/>
      <c r="HTZ209" s="243"/>
      <c r="HUA209" s="243"/>
      <c r="HUB209" s="243"/>
      <c r="HUC209" s="243"/>
      <c r="HUD209" s="243"/>
      <c r="HUE209" s="243"/>
      <c r="HUF209" s="243"/>
      <c r="HUG209" s="243"/>
      <c r="HUH209" s="243"/>
      <c r="HUI209" s="243"/>
      <c r="HUJ209" s="243"/>
      <c r="HUK209" s="243"/>
      <c r="HUL209" s="243"/>
      <c r="HUM209" s="243"/>
      <c r="HUN209" s="243"/>
      <c r="HUO209" s="243"/>
      <c r="HUP209" s="243"/>
      <c r="HUQ209" s="243"/>
      <c r="HUR209" s="243"/>
      <c r="HUS209" s="243"/>
      <c r="HUT209" s="243"/>
      <c r="HUU209" s="243"/>
      <c r="HUV209" s="243"/>
      <c r="HUW209" s="243"/>
      <c r="HUX209" s="243"/>
      <c r="HUY209" s="243"/>
      <c r="HUZ209" s="243"/>
      <c r="HVA209" s="243"/>
      <c r="HVB209" s="243"/>
      <c r="HVC209" s="243"/>
      <c r="HVD209" s="243"/>
      <c r="HVE209" s="243"/>
      <c r="HVF209" s="243"/>
      <c r="HVG209" s="243"/>
      <c r="HVH209" s="243"/>
      <c r="HVI209" s="243"/>
      <c r="HVJ209" s="243"/>
      <c r="HVK209" s="243"/>
      <c r="HVL209" s="243"/>
      <c r="HVM209" s="243"/>
      <c r="HVN209" s="243"/>
      <c r="HVO209" s="243"/>
      <c r="HVP209" s="243"/>
      <c r="HVQ209" s="243"/>
      <c r="HVR209" s="243"/>
      <c r="HVS209" s="243"/>
      <c r="HVT209" s="243"/>
      <c r="HVU209" s="243"/>
      <c r="HVV209" s="243"/>
      <c r="HVW209" s="243"/>
      <c r="HVX209" s="243"/>
      <c r="HVY209" s="243"/>
      <c r="HVZ209" s="243"/>
      <c r="HWA209" s="243"/>
      <c r="HWB209" s="243"/>
      <c r="HWC209" s="243"/>
      <c r="HWD209" s="243"/>
      <c r="HWE209" s="243"/>
      <c r="HWF209" s="243"/>
      <c r="HWG209" s="243"/>
      <c r="HWH209" s="243"/>
      <c r="HWI209" s="243"/>
      <c r="HWJ209" s="243"/>
      <c r="HWK209" s="243"/>
      <c r="HWL209" s="243"/>
      <c r="HWM209" s="243"/>
      <c r="HWN209" s="243"/>
      <c r="HWO209" s="243"/>
      <c r="HWP209" s="243"/>
      <c r="HWQ209" s="243"/>
      <c r="HWR209" s="243"/>
      <c r="HWS209" s="243"/>
      <c r="HWT209" s="243"/>
      <c r="HWU209" s="243"/>
      <c r="HWV209" s="243"/>
      <c r="HWW209" s="243"/>
      <c r="HWX209" s="243"/>
      <c r="HWY209" s="243"/>
      <c r="HWZ209" s="243"/>
      <c r="HXA209" s="243"/>
      <c r="HXB209" s="243"/>
      <c r="HXC209" s="243"/>
      <c r="HXD209" s="243"/>
      <c r="HXE209" s="243"/>
      <c r="HXF209" s="243"/>
      <c r="HXG209" s="243"/>
      <c r="HXH209" s="243"/>
      <c r="HXI209" s="243"/>
      <c r="HXJ209" s="243"/>
      <c r="HXK209" s="243"/>
      <c r="HXL209" s="243"/>
      <c r="HXM209" s="243"/>
      <c r="HXN209" s="243"/>
      <c r="HXO209" s="243"/>
      <c r="HXP209" s="243"/>
      <c r="HXQ209" s="243"/>
      <c r="HXR209" s="243"/>
      <c r="HXS209" s="243"/>
      <c r="HXT209" s="243"/>
      <c r="HXU209" s="243"/>
      <c r="HXV209" s="243"/>
      <c r="HXW209" s="243"/>
      <c r="HXX209" s="243"/>
      <c r="HXY209" s="243"/>
      <c r="HXZ209" s="243"/>
      <c r="HYA209" s="243"/>
      <c r="HYB209" s="243"/>
      <c r="HYC209" s="243"/>
      <c r="HYD209" s="243"/>
      <c r="HYE209" s="243"/>
      <c r="HYF209" s="243"/>
      <c r="HYG209" s="243"/>
      <c r="HYH209" s="243"/>
      <c r="HYI209" s="243"/>
      <c r="HYJ209" s="243"/>
      <c r="HYK209" s="243"/>
      <c r="HYL209" s="243"/>
      <c r="HYM209" s="243"/>
      <c r="HYN209" s="243"/>
      <c r="HYO209" s="243"/>
      <c r="HYP209" s="243"/>
      <c r="HYQ209" s="243"/>
      <c r="HYR209" s="243"/>
      <c r="HYS209" s="243"/>
      <c r="HYT209" s="243"/>
      <c r="HYU209" s="243"/>
      <c r="HYV209" s="243"/>
      <c r="HYW209" s="243"/>
      <c r="HYX209" s="243"/>
      <c r="HYY209" s="243"/>
      <c r="HYZ209" s="243"/>
      <c r="HZA209" s="243"/>
      <c r="HZB209" s="243"/>
      <c r="HZC209" s="243"/>
      <c r="HZD209" s="243"/>
      <c r="HZE209" s="243"/>
      <c r="HZF209" s="243"/>
      <c r="HZG209" s="243"/>
      <c r="HZH209" s="243"/>
      <c r="HZI209" s="243"/>
      <c r="HZJ209" s="243"/>
      <c r="HZK209" s="243"/>
      <c r="HZL209" s="243"/>
      <c r="HZM209" s="243"/>
      <c r="HZN209" s="243"/>
      <c r="HZO209" s="243"/>
      <c r="HZP209" s="243"/>
      <c r="HZQ209" s="243"/>
      <c r="HZR209" s="243"/>
      <c r="HZS209" s="243"/>
      <c r="HZT209" s="243"/>
      <c r="HZU209" s="243"/>
      <c r="HZV209" s="243"/>
      <c r="HZW209" s="243"/>
      <c r="HZX209" s="243"/>
      <c r="HZY209" s="243"/>
      <c r="HZZ209" s="243"/>
      <c r="IAA209" s="243"/>
      <c r="IAB209" s="243"/>
      <c r="IAC209" s="243"/>
      <c r="IAD209" s="243"/>
      <c r="IAE209" s="243"/>
      <c r="IAF209" s="243"/>
      <c r="IAG209" s="243"/>
      <c r="IAH209" s="243"/>
      <c r="IAI209" s="243"/>
      <c r="IAJ209" s="243"/>
      <c r="IAK209" s="243"/>
      <c r="IAL209" s="243"/>
      <c r="IAM209" s="243"/>
      <c r="IAN209" s="243"/>
      <c r="IAO209" s="243"/>
      <c r="IAP209" s="243"/>
      <c r="IAQ209" s="243"/>
      <c r="IAR209" s="243"/>
      <c r="IAS209" s="243"/>
      <c r="IAT209" s="243"/>
      <c r="IAU209" s="243"/>
      <c r="IAV209" s="243"/>
      <c r="IAW209" s="243"/>
      <c r="IAX209" s="243"/>
      <c r="IAY209" s="243"/>
      <c r="IAZ209" s="243"/>
      <c r="IBA209" s="243"/>
      <c r="IBB209" s="243"/>
      <c r="IBC209" s="243"/>
      <c r="IBD209" s="243"/>
      <c r="IBE209" s="243"/>
      <c r="IBF209" s="243"/>
      <c r="IBG209" s="243"/>
      <c r="IBH209" s="243"/>
      <c r="IBI209" s="243"/>
      <c r="IBJ209" s="243"/>
      <c r="IBK209" s="243"/>
      <c r="IBL209" s="243"/>
      <c r="IBM209" s="243"/>
      <c r="IBN209" s="243"/>
      <c r="IBO209" s="243"/>
      <c r="IBP209" s="243"/>
      <c r="IBQ209" s="243"/>
      <c r="IBR209" s="243"/>
      <c r="IBS209" s="243"/>
      <c r="IBT209" s="243"/>
      <c r="IBU209" s="243"/>
      <c r="IBV209" s="243"/>
      <c r="IBW209" s="243"/>
      <c r="IBX209" s="243"/>
      <c r="IBY209" s="243"/>
      <c r="IBZ209" s="243"/>
      <c r="ICA209" s="243"/>
      <c r="ICB209" s="243"/>
      <c r="ICC209" s="243"/>
      <c r="ICD209" s="243"/>
      <c r="ICE209" s="243"/>
      <c r="ICF209" s="243"/>
      <c r="ICG209" s="243"/>
      <c r="ICH209" s="243"/>
      <c r="ICI209" s="243"/>
      <c r="ICJ209" s="243"/>
      <c r="ICK209" s="243"/>
      <c r="ICL209" s="243"/>
      <c r="ICM209" s="243"/>
      <c r="ICN209" s="243"/>
      <c r="ICO209" s="243"/>
      <c r="ICP209" s="243"/>
      <c r="ICQ209" s="243"/>
      <c r="ICR209" s="243"/>
      <c r="ICS209" s="243"/>
      <c r="ICT209" s="243"/>
      <c r="ICU209" s="243"/>
      <c r="ICV209" s="243"/>
      <c r="ICW209" s="243"/>
      <c r="ICX209" s="243"/>
      <c r="ICY209" s="243"/>
      <c r="ICZ209" s="243"/>
      <c r="IDA209" s="243"/>
      <c r="IDB209" s="243"/>
      <c r="IDC209" s="243"/>
      <c r="IDD209" s="243"/>
      <c r="IDE209" s="243"/>
      <c r="IDF209" s="243"/>
      <c r="IDG209" s="243"/>
      <c r="IDH209" s="243"/>
      <c r="IDI209" s="243"/>
      <c r="IDJ209" s="243"/>
      <c r="IDK209" s="243"/>
      <c r="IDL209" s="243"/>
      <c r="IDM209" s="243"/>
      <c r="IDN209" s="243"/>
      <c r="IDO209" s="243"/>
      <c r="IDP209" s="243"/>
      <c r="IDQ209" s="243"/>
      <c r="IDR209" s="243"/>
      <c r="IDS209" s="243"/>
      <c r="IDT209" s="243"/>
      <c r="IDU209" s="243"/>
      <c r="IDV209" s="243"/>
      <c r="IDW209" s="243"/>
      <c r="IDX209" s="243"/>
      <c r="IDY209" s="243"/>
      <c r="IDZ209" s="243"/>
      <c r="IEA209" s="243"/>
      <c r="IEB209" s="243"/>
      <c r="IEC209" s="243"/>
      <c r="IED209" s="243"/>
      <c r="IEE209" s="243"/>
      <c r="IEF209" s="243"/>
      <c r="IEG209" s="243"/>
      <c r="IEH209" s="243"/>
      <c r="IEI209" s="243"/>
      <c r="IEJ209" s="243"/>
      <c r="IEK209" s="243"/>
      <c r="IEL209" s="243"/>
      <c r="IEM209" s="243"/>
      <c r="IEN209" s="243"/>
      <c r="IEO209" s="243"/>
      <c r="IEP209" s="243"/>
      <c r="IEQ209" s="243"/>
      <c r="IER209" s="243"/>
      <c r="IES209" s="243"/>
      <c r="IET209" s="243"/>
      <c r="IEU209" s="243"/>
      <c r="IEV209" s="243"/>
      <c r="IEW209" s="243"/>
      <c r="IEX209" s="243"/>
      <c r="IEY209" s="243"/>
      <c r="IEZ209" s="243"/>
      <c r="IFA209" s="243"/>
      <c r="IFB209" s="243"/>
      <c r="IFC209" s="243"/>
      <c r="IFD209" s="243"/>
      <c r="IFE209" s="243"/>
      <c r="IFF209" s="243"/>
      <c r="IFG209" s="243"/>
      <c r="IFH209" s="243"/>
      <c r="IFI209" s="243"/>
      <c r="IFJ209" s="243"/>
      <c r="IFK209" s="243"/>
      <c r="IFL209" s="243"/>
      <c r="IFM209" s="243"/>
      <c r="IFN209" s="243"/>
      <c r="IFO209" s="243"/>
      <c r="IFP209" s="243"/>
      <c r="IFQ209" s="243"/>
      <c r="IFR209" s="243"/>
      <c r="IFS209" s="243"/>
      <c r="IFT209" s="243"/>
      <c r="IFU209" s="243"/>
      <c r="IFV209" s="243"/>
      <c r="IFW209" s="243"/>
      <c r="IFX209" s="243"/>
      <c r="IFY209" s="243"/>
      <c r="IFZ209" s="243"/>
      <c r="IGA209" s="243"/>
      <c r="IGB209" s="243"/>
      <c r="IGC209" s="243"/>
      <c r="IGD209" s="243"/>
      <c r="IGE209" s="243"/>
      <c r="IGF209" s="243"/>
      <c r="IGG209" s="243"/>
      <c r="IGH209" s="243"/>
      <c r="IGI209" s="243"/>
      <c r="IGJ209" s="243"/>
      <c r="IGK209" s="243"/>
      <c r="IGL209" s="243"/>
      <c r="IGM209" s="243"/>
      <c r="IGN209" s="243"/>
      <c r="IGO209" s="243"/>
      <c r="IGP209" s="243"/>
      <c r="IGQ209" s="243"/>
      <c r="IGR209" s="243"/>
      <c r="IGS209" s="243"/>
      <c r="IGT209" s="243"/>
      <c r="IGU209" s="243"/>
      <c r="IGV209" s="243"/>
      <c r="IGW209" s="243"/>
      <c r="IGX209" s="243"/>
      <c r="IGY209" s="243"/>
      <c r="IGZ209" s="243"/>
      <c r="IHA209" s="243"/>
      <c r="IHB209" s="243"/>
      <c r="IHC209" s="243"/>
      <c r="IHD209" s="243"/>
      <c r="IHE209" s="243"/>
      <c r="IHF209" s="243"/>
      <c r="IHG209" s="243"/>
      <c r="IHH209" s="243"/>
      <c r="IHI209" s="243"/>
      <c r="IHJ209" s="243"/>
      <c r="IHK209" s="243"/>
      <c r="IHL209" s="243"/>
      <c r="IHM209" s="243"/>
      <c r="IHN209" s="243"/>
      <c r="IHO209" s="243"/>
      <c r="IHP209" s="243"/>
      <c r="IHQ209" s="243"/>
      <c r="IHR209" s="243"/>
      <c r="IHS209" s="243"/>
      <c r="IHT209" s="243"/>
      <c r="IHU209" s="243"/>
      <c r="IHV209" s="243"/>
      <c r="IHW209" s="243"/>
      <c r="IHX209" s="243"/>
      <c r="IHY209" s="243"/>
      <c r="IHZ209" s="243"/>
      <c r="IIA209" s="243"/>
      <c r="IIB209" s="243"/>
      <c r="IIC209" s="243"/>
      <c r="IID209" s="243"/>
      <c r="IIE209" s="243"/>
      <c r="IIF209" s="243"/>
      <c r="IIG209" s="243"/>
      <c r="IIH209" s="243"/>
      <c r="III209" s="243"/>
      <c r="IIJ209" s="243"/>
      <c r="IIK209" s="243"/>
      <c r="IIL209" s="243"/>
      <c r="IIM209" s="243"/>
      <c r="IIN209" s="243"/>
      <c r="IIO209" s="243"/>
      <c r="IIP209" s="243"/>
      <c r="IIQ209" s="243"/>
      <c r="IIR209" s="243"/>
      <c r="IIS209" s="243"/>
      <c r="IIT209" s="243"/>
      <c r="IIU209" s="243"/>
      <c r="IIV209" s="243"/>
      <c r="IIW209" s="243"/>
      <c r="IIX209" s="243"/>
      <c r="IIY209" s="243"/>
      <c r="IIZ209" s="243"/>
      <c r="IJA209" s="243"/>
      <c r="IJB209" s="243"/>
      <c r="IJC209" s="243"/>
      <c r="IJD209" s="243"/>
      <c r="IJE209" s="243"/>
      <c r="IJF209" s="243"/>
      <c r="IJG209" s="243"/>
      <c r="IJH209" s="243"/>
      <c r="IJI209" s="243"/>
      <c r="IJJ209" s="243"/>
      <c r="IJK209" s="243"/>
      <c r="IJL209" s="243"/>
      <c r="IJM209" s="243"/>
      <c r="IJN209" s="243"/>
      <c r="IJO209" s="243"/>
      <c r="IJP209" s="243"/>
      <c r="IJQ209" s="243"/>
      <c r="IJR209" s="243"/>
      <c r="IJS209" s="243"/>
      <c r="IJT209" s="243"/>
      <c r="IJU209" s="243"/>
      <c r="IJV209" s="243"/>
      <c r="IJW209" s="243"/>
      <c r="IJX209" s="243"/>
      <c r="IJY209" s="243"/>
      <c r="IJZ209" s="243"/>
      <c r="IKA209" s="243"/>
      <c r="IKB209" s="243"/>
      <c r="IKC209" s="243"/>
      <c r="IKD209" s="243"/>
      <c r="IKE209" s="243"/>
      <c r="IKF209" s="243"/>
      <c r="IKG209" s="243"/>
      <c r="IKH209" s="243"/>
      <c r="IKI209" s="243"/>
      <c r="IKJ209" s="243"/>
      <c r="IKK209" s="243"/>
      <c r="IKL209" s="243"/>
      <c r="IKM209" s="243"/>
      <c r="IKN209" s="243"/>
      <c r="IKO209" s="243"/>
      <c r="IKP209" s="243"/>
      <c r="IKQ209" s="243"/>
      <c r="IKR209" s="243"/>
      <c r="IKS209" s="243"/>
      <c r="IKT209" s="243"/>
      <c r="IKU209" s="243"/>
      <c r="IKV209" s="243"/>
      <c r="IKW209" s="243"/>
      <c r="IKX209" s="243"/>
      <c r="IKY209" s="243"/>
      <c r="IKZ209" s="243"/>
      <c r="ILA209" s="243"/>
      <c r="ILB209" s="243"/>
      <c r="ILC209" s="243"/>
      <c r="ILD209" s="243"/>
      <c r="ILE209" s="243"/>
      <c r="ILF209" s="243"/>
      <c r="ILG209" s="243"/>
      <c r="ILH209" s="243"/>
      <c r="ILI209" s="243"/>
      <c r="ILJ209" s="243"/>
      <c r="ILK209" s="243"/>
      <c r="ILL209" s="243"/>
      <c r="ILM209" s="243"/>
      <c r="ILN209" s="243"/>
      <c r="ILO209" s="243"/>
      <c r="ILP209" s="243"/>
      <c r="ILQ209" s="243"/>
      <c r="ILR209" s="243"/>
      <c r="ILS209" s="243"/>
      <c r="ILT209" s="243"/>
      <c r="ILU209" s="243"/>
      <c r="ILV209" s="243"/>
      <c r="ILW209" s="243"/>
      <c r="ILX209" s="243"/>
      <c r="ILY209" s="243"/>
      <c r="ILZ209" s="243"/>
      <c r="IMA209" s="243"/>
      <c r="IMB209" s="243"/>
      <c r="IMC209" s="243"/>
      <c r="IMD209" s="243"/>
      <c r="IME209" s="243"/>
      <c r="IMF209" s="243"/>
      <c r="IMG209" s="243"/>
      <c r="IMH209" s="243"/>
      <c r="IMI209" s="243"/>
      <c r="IMJ209" s="243"/>
      <c r="IMK209" s="243"/>
      <c r="IML209" s="243"/>
      <c r="IMM209" s="243"/>
      <c r="IMN209" s="243"/>
      <c r="IMO209" s="243"/>
      <c r="IMP209" s="243"/>
      <c r="IMQ209" s="243"/>
      <c r="IMR209" s="243"/>
      <c r="IMS209" s="243"/>
      <c r="IMT209" s="243"/>
      <c r="IMU209" s="243"/>
      <c r="IMV209" s="243"/>
      <c r="IMW209" s="243"/>
      <c r="IMX209" s="243"/>
      <c r="IMY209" s="243"/>
      <c r="IMZ209" s="243"/>
      <c r="INA209" s="243"/>
      <c r="INB209" s="243"/>
      <c r="INC209" s="243"/>
      <c r="IND209" s="243"/>
      <c r="INE209" s="243"/>
      <c r="INF209" s="243"/>
      <c r="ING209" s="243"/>
      <c r="INH209" s="243"/>
      <c r="INI209" s="243"/>
      <c r="INJ209" s="243"/>
      <c r="INK209" s="243"/>
      <c r="INL209" s="243"/>
      <c r="INM209" s="243"/>
      <c r="INN209" s="243"/>
      <c r="INO209" s="243"/>
      <c r="INP209" s="243"/>
      <c r="INQ209" s="243"/>
      <c r="INR209" s="243"/>
      <c r="INS209" s="243"/>
      <c r="INT209" s="243"/>
      <c r="INU209" s="243"/>
      <c r="INV209" s="243"/>
      <c r="INW209" s="243"/>
      <c r="INX209" s="243"/>
      <c r="INY209" s="243"/>
      <c r="INZ209" s="243"/>
      <c r="IOA209" s="243"/>
      <c r="IOB209" s="243"/>
      <c r="IOC209" s="243"/>
      <c r="IOD209" s="243"/>
      <c r="IOE209" s="243"/>
      <c r="IOF209" s="243"/>
      <c r="IOG209" s="243"/>
      <c r="IOH209" s="243"/>
      <c r="IOI209" s="243"/>
      <c r="IOJ209" s="243"/>
      <c r="IOK209" s="243"/>
      <c r="IOL209" s="243"/>
      <c r="IOM209" s="243"/>
      <c r="ION209" s="243"/>
      <c r="IOO209" s="243"/>
      <c r="IOP209" s="243"/>
      <c r="IOQ209" s="243"/>
      <c r="IOR209" s="243"/>
      <c r="IOS209" s="243"/>
      <c r="IOT209" s="243"/>
      <c r="IOU209" s="243"/>
      <c r="IOV209" s="243"/>
      <c r="IOW209" s="243"/>
      <c r="IOX209" s="243"/>
      <c r="IOY209" s="243"/>
      <c r="IOZ209" s="243"/>
      <c r="IPA209" s="243"/>
      <c r="IPB209" s="243"/>
      <c r="IPC209" s="243"/>
      <c r="IPD209" s="243"/>
      <c r="IPE209" s="243"/>
      <c r="IPF209" s="243"/>
      <c r="IPG209" s="243"/>
      <c r="IPH209" s="243"/>
      <c r="IPI209" s="243"/>
      <c r="IPJ209" s="243"/>
      <c r="IPK209" s="243"/>
      <c r="IPL209" s="243"/>
      <c r="IPM209" s="243"/>
      <c r="IPN209" s="243"/>
      <c r="IPO209" s="243"/>
      <c r="IPP209" s="243"/>
      <c r="IPQ209" s="243"/>
      <c r="IPR209" s="243"/>
      <c r="IPS209" s="243"/>
      <c r="IPT209" s="243"/>
      <c r="IPU209" s="243"/>
      <c r="IPV209" s="243"/>
      <c r="IPW209" s="243"/>
      <c r="IPX209" s="243"/>
      <c r="IPY209" s="243"/>
      <c r="IPZ209" s="243"/>
      <c r="IQA209" s="243"/>
      <c r="IQB209" s="243"/>
      <c r="IQC209" s="243"/>
      <c r="IQD209" s="243"/>
      <c r="IQE209" s="243"/>
      <c r="IQF209" s="243"/>
      <c r="IQG209" s="243"/>
      <c r="IQH209" s="243"/>
      <c r="IQI209" s="243"/>
      <c r="IQJ209" s="243"/>
      <c r="IQK209" s="243"/>
      <c r="IQL209" s="243"/>
      <c r="IQM209" s="243"/>
      <c r="IQN209" s="243"/>
      <c r="IQO209" s="243"/>
      <c r="IQP209" s="243"/>
      <c r="IQQ209" s="243"/>
      <c r="IQR209" s="243"/>
      <c r="IQS209" s="243"/>
      <c r="IQT209" s="243"/>
      <c r="IQU209" s="243"/>
      <c r="IQV209" s="243"/>
      <c r="IQW209" s="243"/>
      <c r="IQX209" s="243"/>
      <c r="IQY209" s="243"/>
      <c r="IQZ209" s="243"/>
      <c r="IRA209" s="243"/>
      <c r="IRB209" s="243"/>
      <c r="IRC209" s="243"/>
      <c r="IRD209" s="243"/>
      <c r="IRE209" s="243"/>
      <c r="IRF209" s="243"/>
      <c r="IRG209" s="243"/>
      <c r="IRH209" s="243"/>
      <c r="IRI209" s="243"/>
      <c r="IRJ209" s="243"/>
      <c r="IRK209" s="243"/>
      <c r="IRL209" s="243"/>
      <c r="IRM209" s="243"/>
      <c r="IRN209" s="243"/>
      <c r="IRO209" s="243"/>
      <c r="IRP209" s="243"/>
      <c r="IRQ209" s="243"/>
      <c r="IRR209" s="243"/>
      <c r="IRS209" s="243"/>
      <c r="IRT209" s="243"/>
      <c r="IRU209" s="243"/>
      <c r="IRV209" s="243"/>
      <c r="IRW209" s="243"/>
      <c r="IRX209" s="243"/>
      <c r="IRY209" s="243"/>
      <c r="IRZ209" s="243"/>
      <c r="ISA209" s="243"/>
      <c r="ISB209" s="243"/>
      <c r="ISC209" s="243"/>
      <c r="ISD209" s="243"/>
      <c r="ISE209" s="243"/>
      <c r="ISF209" s="243"/>
      <c r="ISG209" s="243"/>
      <c r="ISH209" s="243"/>
      <c r="ISI209" s="243"/>
      <c r="ISJ209" s="243"/>
      <c r="ISK209" s="243"/>
      <c r="ISL209" s="243"/>
      <c r="ISM209" s="243"/>
      <c r="ISN209" s="243"/>
      <c r="ISO209" s="243"/>
      <c r="ISP209" s="243"/>
      <c r="ISQ209" s="243"/>
      <c r="ISR209" s="243"/>
      <c r="ISS209" s="243"/>
      <c r="IST209" s="243"/>
      <c r="ISU209" s="243"/>
      <c r="ISV209" s="243"/>
      <c r="ISW209" s="243"/>
      <c r="ISX209" s="243"/>
      <c r="ISY209" s="243"/>
      <c r="ISZ209" s="243"/>
      <c r="ITA209" s="243"/>
      <c r="ITB209" s="243"/>
      <c r="ITC209" s="243"/>
      <c r="ITD209" s="243"/>
      <c r="ITE209" s="243"/>
      <c r="ITF209" s="243"/>
      <c r="ITG209" s="243"/>
      <c r="ITH209" s="243"/>
      <c r="ITI209" s="243"/>
      <c r="ITJ209" s="243"/>
      <c r="ITK209" s="243"/>
      <c r="ITL209" s="243"/>
      <c r="ITM209" s="243"/>
      <c r="ITN209" s="243"/>
      <c r="ITO209" s="243"/>
      <c r="ITP209" s="243"/>
      <c r="ITQ209" s="243"/>
      <c r="ITR209" s="243"/>
      <c r="ITS209" s="243"/>
      <c r="ITT209" s="243"/>
      <c r="ITU209" s="243"/>
      <c r="ITV209" s="243"/>
      <c r="ITW209" s="243"/>
      <c r="ITX209" s="243"/>
      <c r="ITY209" s="243"/>
      <c r="ITZ209" s="243"/>
      <c r="IUA209" s="243"/>
      <c r="IUB209" s="243"/>
      <c r="IUC209" s="243"/>
      <c r="IUD209" s="243"/>
      <c r="IUE209" s="243"/>
      <c r="IUF209" s="243"/>
      <c r="IUG209" s="243"/>
      <c r="IUH209" s="243"/>
      <c r="IUI209" s="243"/>
      <c r="IUJ209" s="243"/>
      <c r="IUK209" s="243"/>
      <c r="IUL209" s="243"/>
      <c r="IUM209" s="243"/>
      <c r="IUN209" s="243"/>
      <c r="IUO209" s="243"/>
      <c r="IUP209" s="243"/>
      <c r="IUQ209" s="243"/>
      <c r="IUR209" s="243"/>
      <c r="IUS209" s="243"/>
      <c r="IUT209" s="243"/>
      <c r="IUU209" s="243"/>
      <c r="IUV209" s="243"/>
      <c r="IUW209" s="243"/>
      <c r="IUX209" s="243"/>
      <c r="IUY209" s="243"/>
      <c r="IUZ209" s="243"/>
      <c r="IVA209" s="243"/>
      <c r="IVB209" s="243"/>
      <c r="IVC209" s="243"/>
      <c r="IVD209" s="243"/>
      <c r="IVE209" s="243"/>
      <c r="IVF209" s="243"/>
      <c r="IVG209" s="243"/>
      <c r="IVH209" s="243"/>
      <c r="IVI209" s="243"/>
      <c r="IVJ209" s="243"/>
      <c r="IVK209" s="243"/>
      <c r="IVL209" s="243"/>
      <c r="IVM209" s="243"/>
      <c r="IVN209" s="243"/>
      <c r="IVO209" s="243"/>
      <c r="IVP209" s="243"/>
      <c r="IVQ209" s="243"/>
      <c r="IVR209" s="243"/>
      <c r="IVS209" s="243"/>
      <c r="IVT209" s="243"/>
      <c r="IVU209" s="243"/>
      <c r="IVV209" s="243"/>
      <c r="IVW209" s="243"/>
      <c r="IVX209" s="243"/>
      <c r="IVY209" s="243"/>
      <c r="IVZ209" s="243"/>
      <c r="IWA209" s="243"/>
      <c r="IWB209" s="243"/>
      <c r="IWC209" s="243"/>
      <c r="IWD209" s="243"/>
      <c r="IWE209" s="243"/>
      <c r="IWF209" s="243"/>
      <c r="IWG209" s="243"/>
      <c r="IWH209" s="243"/>
      <c r="IWI209" s="243"/>
      <c r="IWJ209" s="243"/>
      <c r="IWK209" s="243"/>
      <c r="IWL209" s="243"/>
      <c r="IWM209" s="243"/>
      <c r="IWN209" s="243"/>
      <c r="IWO209" s="243"/>
      <c r="IWP209" s="243"/>
      <c r="IWQ209" s="243"/>
      <c r="IWR209" s="243"/>
      <c r="IWS209" s="243"/>
      <c r="IWT209" s="243"/>
      <c r="IWU209" s="243"/>
      <c r="IWV209" s="243"/>
      <c r="IWW209" s="243"/>
      <c r="IWX209" s="243"/>
      <c r="IWY209" s="243"/>
      <c r="IWZ209" s="243"/>
      <c r="IXA209" s="243"/>
      <c r="IXB209" s="243"/>
      <c r="IXC209" s="243"/>
      <c r="IXD209" s="243"/>
      <c r="IXE209" s="243"/>
      <c r="IXF209" s="243"/>
      <c r="IXG209" s="243"/>
      <c r="IXH209" s="243"/>
      <c r="IXI209" s="243"/>
      <c r="IXJ209" s="243"/>
      <c r="IXK209" s="243"/>
      <c r="IXL209" s="243"/>
      <c r="IXM209" s="243"/>
      <c r="IXN209" s="243"/>
      <c r="IXO209" s="243"/>
      <c r="IXP209" s="243"/>
      <c r="IXQ209" s="243"/>
      <c r="IXR209" s="243"/>
      <c r="IXS209" s="243"/>
      <c r="IXT209" s="243"/>
      <c r="IXU209" s="243"/>
      <c r="IXV209" s="243"/>
      <c r="IXW209" s="243"/>
      <c r="IXX209" s="243"/>
      <c r="IXY209" s="243"/>
      <c r="IXZ209" s="243"/>
      <c r="IYA209" s="243"/>
      <c r="IYB209" s="243"/>
      <c r="IYC209" s="243"/>
      <c r="IYD209" s="243"/>
      <c r="IYE209" s="243"/>
      <c r="IYF209" s="243"/>
      <c r="IYG209" s="243"/>
      <c r="IYH209" s="243"/>
      <c r="IYI209" s="243"/>
      <c r="IYJ209" s="243"/>
      <c r="IYK209" s="243"/>
      <c r="IYL209" s="243"/>
      <c r="IYM209" s="243"/>
      <c r="IYN209" s="243"/>
      <c r="IYO209" s="243"/>
      <c r="IYP209" s="243"/>
      <c r="IYQ209" s="243"/>
      <c r="IYR209" s="243"/>
      <c r="IYS209" s="243"/>
      <c r="IYT209" s="243"/>
      <c r="IYU209" s="243"/>
      <c r="IYV209" s="243"/>
      <c r="IYW209" s="243"/>
      <c r="IYX209" s="243"/>
      <c r="IYY209" s="243"/>
      <c r="IYZ209" s="243"/>
      <c r="IZA209" s="243"/>
      <c r="IZB209" s="243"/>
      <c r="IZC209" s="243"/>
      <c r="IZD209" s="243"/>
      <c r="IZE209" s="243"/>
      <c r="IZF209" s="243"/>
      <c r="IZG209" s="243"/>
      <c r="IZH209" s="243"/>
      <c r="IZI209" s="243"/>
      <c r="IZJ209" s="243"/>
      <c r="IZK209" s="243"/>
      <c r="IZL209" s="243"/>
      <c r="IZM209" s="243"/>
      <c r="IZN209" s="243"/>
      <c r="IZO209" s="243"/>
      <c r="IZP209" s="243"/>
      <c r="IZQ209" s="243"/>
      <c r="IZR209" s="243"/>
      <c r="IZS209" s="243"/>
      <c r="IZT209" s="243"/>
      <c r="IZU209" s="243"/>
      <c r="IZV209" s="243"/>
      <c r="IZW209" s="243"/>
      <c r="IZX209" s="243"/>
      <c r="IZY209" s="243"/>
      <c r="IZZ209" s="243"/>
      <c r="JAA209" s="243"/>
      <c r="JAB209" s="243"/>
      <c r="JAC209" s="243"/>
      <c r="JAD209" s="243"/>
      <c r="JAE209" s="243"/>
      <c r="JAF209" s="243"/>
      <c r="JAG209" s="243"/>
      <c r="JAH209" s="243"/>
      <c r="JAI209" s="243"/>
      <c r="JAJ209" s="243"/>
      <c r="JAK209" s="243"/>
      <c r="JAL209" s="243"/>
      <c r="JAM209" s="243"/>
      <c r="JAN209" s="243"/>
      <c r="JAO209" s="243"/>
      <c r="JAP209" s="243"/>
      <c r="JAQ209" s="243"/>
      <c r="JAR209" s="243"/>
      <c r="JAS209" s="243"/>
      <c r="JAT209" s="243"/>
      <c r="JAU209" s="243"/>
      <c r="JAV209" s="243"/>
      <c r="JAW209" s="243"/>
      <c r="JAX209" s="243"/>
      <c r="JAY209" s="243"/>
      <c r="JAZ209" s="243"/>
      <c r="JBA209" s="243"/>
      <c r="JBB209" s="243"/>
      <c r="JBC209" s="243"/>
      <c r="JBD209" s="243"/>
      <c r="JBE209" s="243"/>
      <c r="JBF209" s="243"/>
      <c r="JBG209" s="243"/>
      <c r="JBH209" s="243"/>
      <c r="JBI209" s="243"/>
      <c r="JBJ209" s="243"/>
      <c r="JBK209" s="243"/>
      <c r="JBL209" s="243"/>
      <c r="JBM209" s="243"/>
      <c r="JBN209" s="243"/>
      <c r="JBO209" s="243"/>
      <c r="JBP209" s="243"/>
      <c r="JBQ209" s="243"/>
      <c r="JBR209" s="243"/>
      <c r="JBS209" s="243"/>
      <c r="JBT209" s="243"/>
      <c r="JBU209" s="243"/>
      <c r="JBV209" s="243"/>
      <c r="JBW209" s="243"/>
      <c r="JBX209" s="243"/>
      <c r="JBY209" s="243"/>
      <c r="JBZ209" s="243"/>
      <c r="JCA209" s="243"/>
      <c r="JCB209" s="243"/>
      <c r="JCC209" s="243"/>
      <c r="JCD209" s="243"/>
      <c r="JCE209" s="243"/>
      <c r="JCF209" s="243"/>
      <c r="JCG209" s="243"/>
      <c r="JCH209" s="243"/>
      <c r="JCI209" s="243"/>
      <c r="JCJ209" s="243"/>
      <c r="JCK209" s="243"/>
      <c r="JCL209" s="243"/>
      <c r="JCM209" s="243"/>
      <c r="JCN209" s="243"/>
      <c r="JCO209" s="243"/>
      <c r="JCP209" s="243"/>
      <c r="JCQ209" s="243"/>
      <c r="JCR209" s="243"/>
      <c r="JCS209" s="243"/>
      <c r="JCT209" s="243"/>
      <c r="JCU209" s="243"/>
      <c r="JCV209" s="243"/>
      <c r="JCW209" s="243"/>
      <c r="JCX209" s="243"/>
      <c r="JCY209" s="243"/>
      <c r="JCZ209" s="243"/>
      <c r="JDA209" s="243"/>
      <c r="JDB209" s="243"/>
      <c r="JDC209" s="243"/>
      <c r="JDD209" s="243"/>
      <c r="JDE209" s="243"/>
      <c r="JDF209" s="243"/>
      <c r="JDG209" s="243"/>
      <c r="JDH209" s="243"/>
      <c r="JDI209" s="243"/>
      <c r="JDJ209" s="243"/>
      <c r="JDK209" s="243"/>
      <c r="JDL209" s="243"/>
      <c r="JDM209" s="243"/>
      <c r="JDN209" s="243"/>
      <c r="JDO209" s="243"/>
      <c r="JDP209" s="243"/>
      <c r="JDQ209" s="243"/>
      <c r="JDR209" s="243"/>
      <c r="JDS209" s="243"/>
      <c r="JDT209" s="243"/>
      <c r="JDU209" s="243"/>
      <c r="JDV209" s="243"/>
      <c r="JDW209" s="243"/>
      <c r="JDX209" s="243"/>
      <c r="JDY209" s="243"/>
      <c r="JDZ209" s="243"/>
      <c r="JEA209" s="243"/>
      <c r="JEB209" s="243"/>
      <c r="JEC209" s="243"/>
      <c r="JED209" s="243"/>
      <c r="JEE209" s="243"/>
      <c r="JEF209" s="243"/>
      <c r="JEG209" s="243"/>
      <c r="JEH209" s="243"/>
      <c r="JEI209" s="243"/>
      <c r="JEJ209" s="243"/>
      <c r="JEK209" s="243"/>
      <c r="JEL209" s="243"/>
      <c r="JEM209" s="243"/>
      <c r="JEN209" s="243"/>
      <c r="JEO209" s="243"/>
      <c r="JEP209" s="243"/>
      <c r="JEQ209" s="243"/>
      <c r="JER209" s="243"/>
      <c r="JES209" s="243"/>
      <c r="JET209" s="243"/>
      <c r="JEU209" s="243"/>
      <c r="JEV209" s="243"/>
      <c r="JEW209" s="243"/>
      <c r="JEX209" s="243"/>
      <c r="JEY209" s="243"/>
      <c r="JEZ209" s="243"/>
      <c r="JFA209" s="243"/>
      <c r="JFB209" s="243"/>
      <c r="JFC209" s="243"/>
      <c r="JFD209" s="243"/>
      <c r="JFE209" s="243"/>
      <c r="JFF209" s="243"/>
      <c r="JFG209" s="243"/>
      <c r="JFH209" s="243"/>
      <c r="JFI209" s="243"/>
      <c r="JFJ209" s="243"/>
      <c r="JFK209" s="243"/>
      <c r="JFL209" s="243"/>
      <c r="JFM209" s="243"/>
      <c r="JFN209" s="243"/>
      <c r="JFO209" s="243"/>
      <c r="JFP209" s="243"/>
      <c r="JFQ209" s="243"/>
      <c r="JFR209" s="243"/>
      <c r="JFS209" s="243"/>
      <c r="JFT209" s="243"/>
      <c r="JFU209" s="243"/>
      <c r="JFV209" s="243"/>
      <c r="JFW209" s="243"/>
      <c r="JFX209" s="243"/>
      <c r="JFY209" s="243"/>
      <c r="JFZ209" s="243"/>
      <c r="JGA209" s="243"/>
      <c r="JGB209" s="243"/>
      <c r="JGC209" s="243"/>
      <c r="JGD209" s="243"/>
      <c r="JGE209" s="243"/>
      <c r="JGF209" s="243"/>
      <c r="JGG209" s="243"/>
      <c r="JGH209" s="243"/>
      <c r="JGI209" s="243"/>
      <c r="JGJ209" s="243"/>
      <c r="JGK209" s="243"/>
      <c r="JGL209" s="243"/>
      <c r="JGM209" s="243"/>
      <c r="JGN209" s="243"/>
      <c r="JGO209" s="243"/>
      <c r="JGP209" s="243"/>
      <c r="JGQ209" s="243"/>
      <c r="JGR209" s="243"/>
      <c r="JGS209" s="243"/>
      <c r="JGT209" s="243"/>
      <c r="JGU209" s="243"/>
      <c r="JGV209" s="243"/>
      <c r="JGW209" s="243"/>
      <c r="JGX209" s="243"/>
      <c r="JGY209" s="243"/>
      <c r="JGZ209" s="243"/>
      <c r="JHA209" s="243"/>
      <c r="JHB209" s="243"/>
      <c r="JHC209" s="243"/>
      <c r="JHD209" s="243"/>
      <c r="JHE209" s="243"/>
      <c r="JHF209" s="243"/>
      <c r="JHG209" s="243"/>
      <c r="JHH209" s="243"/>
      <c r="JHI209" s="243"/>
      <c r="JHJ209" s="243"/>
      <c r="JHK209" s="243"/>
      <c r="JHL209" s="243"/>
      <c r="JHM209" s="243"/>
      <c r="JHN209" s="243"/>
      <c r="JHO209" s="243"/>
      <c r="JHP209" s="243"/>
      <c r="JHQ209" s="243"/>
      <c r="JHR209" s="243"/>
      <c r="JHS209" s="243"/>
      <c r="JHT209" s="243"/>
      <c r="JHU209" s="243"/>
      <c r="JHV209" s="243"/>
      <c r="JHW209" s="243"/>
      <c r="JHX209" s="243"/>
      <c r="JHY209" s="243"/>
      <c r="JHZ209" s="243"/>
      <c r="JIA209" s="243"/>
      <c r="JIB209" s="243"/>
      <c r="JIC209" s="243"/>
      <c r="JID209" s="243"/>
      <c r="JIE209" s="243"/>
      <c r="JIF209" s="243"/>
      <c r="JIG209" s="243"/>
      <c r="JIH209" s="243"/>
      <c r="JII209" s="243"/>
      <c r="JIJ209" s="243"/>
      <c r="JIK209" s="243"/>
      <c r="JIL209" s="243"/>
      <c r="JIM209" s="243"/>
      <c r="JIN209" s="243"/>
      <c r="JIO209" s="243"/>
      <c r="JIP209" s="243"/>
      <c r="JIQ209" s="243"/>
      <c r="JIR209" s="243"/>
      <c r="JIS209" s="243"/>
      <c r="JIT209" s="243"/>
      <c r="JIU209" s="243"/>
      <c r="JIV209" s="243"/>
      <c r="JIW209" s="243"/>
      <c r="JIX209" s="243"/>
      <c r="JIY209" s="243"/>
      <c r="JIZ209" s="243"/>
      <c r="JJA209" s="243"/>
      <c r="JJB209" s="243"/>
      <c r="JJC209" s="243"/>
      <c r="JJD209" s="243"/>
      <c r="JJE209" s="243"/>
      <c r="JJF209" s="243"/>
      <c r="JJG209" s="243"/>
      <c r="JJH209" s="243"/>
      <c r="JJI209" s="243"/>
      <c r="JJJ209" s="243"/>
      <c r="JJK209" s="243"/>
      <c r="JJL209" s="243"/>
      <c r="JJM209" s="243"/>
      <c r="JJN209" s="243"/>
      <c r="JJO209" s="243"/>
      <c r="JJP209" s="243"/>
      <c r="JJQ209" s="243"/>
      <c r="JJR209" s="243"/>
      <c r="JJS209" s="243"/>
      <c r="JJT209" s="243"/>
      <c r="JJU209" s="243"/>
      <c r="JJV209" s="243"/>
      <c r="JJW209" s="243"/>
      <c r="JJX209" s="243"/>
      <c r="JJY209" s="243"/>
      <c r="JJZ209" s="243"/>
      <c r="JKA209" s="243"/>
      <c r="JKB209" s="243"/>
      <c r="JKC209" s="243"/>
      <c r="JKD209" s="243"/>
      <c r="JKE209" s="243"/>
      <c r="JKF209" s="243"/>
      <c r="JKG209" s="243"/>
      <c r="JKH209" s="243"/>
      <c r="JKI209" s="243"/>
      <c r="JKJ209" s="243"/>
      <c r="JKK209" s="243"/>
      <c r="JKL209" s="243"/>
      <c r="JKM209" s="243"/>
      <c r="JKN209" s="243"/>
      <c r="JKO209" s="243"/>
      <c r="JKP209" s="243"/>
      <c r="JKQ209" s="243"/>
      <c r="JKR209" s="243"/>
      <c r="JKS209" s="243"/>
      <c r="JKT209" s="243"/>
      <c r="JKU209" s="243"/>
      <c r="JKV209" s="243"/>
      <c r="JKW209" s="243"/>
      <c r="JKX209" s="243"/>
      <c r="JKY209" s="243"/>
      <c r="JKZ209" s="243"/>
      <c r="JLA209" s="243"/>
      <c r="JLB209" s="243"/>
      <c r="JLC209" s="243"/>
      <c r="JLD209" s="243"/>
      <c r="JLE209" s="243"/>
      <c r="JLF209" s="243"/>
      <c r="JLG209" s="243"/>
      <c r="JLH209" s="243"/>
      <c r="JLI209" s="243"/>
      <c r="JLJ209" s="243"/>
      <c r="JLK209" s="243"/>
      <c r="JLL209" s="243"/>
      <c r="JLM209" s="243"/>
      <c r="JLN209" s="243"/>
      <c r="JLO209" s="243"/>
      <c r="JLP209" s="243"/>
      <c r="JLQ209" s="243"/>
      <c r="JLR209" s="243"/>
      <c r="JLS209" s="243"/>
      <c r="JLT209" s="243"/>
      <c r="JLU209" s="243"/>
      <c r="JLV209" s="243"/>
      <c r="JLW209" s="243"/>
      <c r="JLX209" s="243"/>
      <c r="JLY209" s="243"/>
      <c r="JLZ209" s="243"/>
      <c r="JMA209" s="243"/>
      <c r="JMB209" s="243"/>
      <c r="JMC209" s="243"/>
      <c r="JMD209" s="243"/>
      <c r="JME209" s="243"/>
      <c r="JMF209" s="243"/>
      <c r="JMG209" s="243"/>
      <c r="JMH209" s="243"/>
      <c r="JMI209" s="243"/>
      <c r="JMJ209" s="243"/>
      <c r="JMK209" s="243"/>
      <c r="JML209" s="243"/>
      <c r="JMM209" s="243"/>
      <c r="JMN209" s="243"/>
      <c r="JMO209" s="243"/>
      <c r="JMP209" s="243"/>
      <c r="JMQ209" s="243"/>
      <c r="JMR209" s="243"/>
      <c r="JMS209" s="243"/>
      <c r="JMT209" s="243"/>
      <c r="JMU209" s="243"/>
      <c r="JMV209" s="243"/>
      <c r="JMW209" s="243"/>
      <c r="JMX209" s="243"/>
      <c r="JMY209" s="243"/>
      <c r="JMZ209" s="243"/>
      <c r="JNA209" s="243"/>
      <c r="JNB209" s="243"/>
      <c r="JNC209" s="243"/>
      <c r="JND209" s="243"/>
      <c r="JNE209" s="243"/>
      <c r="JNF209" s="243"/>
      <c r="JNG209" s="243"/>
      <c r="JNH209" s="243"/>
      <c r="JNI209" s="243"/>
      <c r="JNJ209" s="243"/>
      <c r="JNK209" s="243"/>
      <c r="JNL209" s="243"/>
      <c r="JNM209" s="243"/>
      <c r="JNN209" s="243"/>
      <c r="JNO209" s="243"/>
      <c r="JNP209" s="243"/>
      <c r="JNQ209" s="243"/>
      <c r="JNR209" s="243"/>
      <c r="JNS209" s="243"/>
      <c r="JNT209" s="243"/>
      <c r="JNU209" s="243"/>
      <c r="JNV209" s="243"/>
      <c r="JNW209" s="243"/>
      <c r="JNX209" s="243"/>
      <c r="JNY209" s="243"/>
      <c r="JNZ209" s="243"/>
      <c r="JOA209" s="243"/>
      <c r="JOB209" s="243"/>
      <c r="JOC209" s="243"/>
      <c r="JOD209" s="243"/>
      <c r="JOE209" s="243"/>
      <c r="JOF209" s="243"/>
      <c r="JOG209" s="243"/>
      <c r="JOH209" s="243"/>
      <c r="JOI209" s="243"/>
      <c r="JOJ209" s="243"/>
      <c r="JOK209" s="243"/>
      <c r="JOL209" s="243"/>
      <c r="JOM209" s="243"/>
      <c r="JON209" s="243"/>
      <c r="JOO209" s="243"/>
      <c r="JOP209" s="243"/>
      <c r="JOQ209" s="243"/>
      <c r="JOR209" s="243"/>
      <c r="JOS209" s="243"/>
      <c r="JOT209" s="243"/>
      <c r="JOU209" s="243"/>
      <c r="JOV209" s="243"/>
      <c r="JOW209" s="243"/>
      <c r="JOX209" s="243"/>
      <c r="JOY209" s="243"/>
      <c r="JOZ209" s="243"/>
      <c r="JPA209" s="243"/>
      <c r="JPB209" s="243"/>
      <c r="JPC209" s="243"/>
      <c r="JPD209" s="243"/>
      <c r="JPE209" s="243"/>
      <c r="JPF209" s="243"/>
      <c r="JPG209" s="243"/>
      <c r="JPH209" s="243"/>
      <c r="JPI209" s="243"/>
      <c r="JPJ209" s="243"/>
      <c r="JPK209" s="243"/>
      <c r="JPL209" s="243"/>
      <c r="JPM209" s="243"/>
      <c r="JPN209" s="243"/>
      <c r="JPO209" s="243"/>
      <c r="JPP209" s="243"/>
      <c r="JPQ209" s="243"/>
      <c r="JPR209" s="243"/>
      <c r="JPS209" s="243"/>
      <c r="JPT209" s="243"/>
      <c r="JPU209" s="243"/>
      <c r="JPV209" s="243"/>
      <c r="JPW209" s="243"/>
      <c r="JPX209" s="243"/>
      <c r="JPY209" s="243"/>
      <c r="JPZ209" s="243"/>
      <c r="JQA209" s="243"/>
      <c r="JQB209" s="243"/>
      <c r="JQC209" s="243"/>
      <c r="JQD209" s="243"/>
      <c r="JQE209" s="243"/>
      <c r="JQF209" s="243"/>
      <c r="JQG209" s="243"/>
      <c r="JQH209" s="243"/>
      <c r="JQI209" s="243"/>
      <c r="JQJ209" s="243"/>
      <c r="JQK209" s="243"/>
      <c r="JQL209" s="243"/>
      <c r="JQM209" s="243"/>
      <c r="JQN209" s="243"/>
      <c r="JQO209" s="243"/>
      <c r="JQP209" s="243"/>
      <c r="JQQ209" s="243"/>
      <c r="JQR209" s="243"/>
      <c r="JQS209" s="243"/>
      <c r="JQT209" s="243"/>
      <c r="JQU209" s="243"/>
      <c r="JQV209" s="243"/>
      <c r="JQW209" s="243"/>
      <c r="JQX209" s="243"/>
      <c r="JQY209" s="243"/>
      <c r="JQZ209" s="243"/>
      <c r="JRA209" s="243"/>
      <c r="JRB209" s="243"/>
      <c r="JRC209" s="243"/>
      <c r="JRD209" s="243"/>
      <c r="JRE209" s="243"/>
      <c r="JRF209" s="243"/>
      <c r="JRG209" s="243"/>
      <c r="JRH209" s="243"/>
      <c r="JRI209" s="243"/>
      <c r="JRJ209" s="243"/>
      <c r="JRK209" s="243"/>
      <c r="JRL209" s="243"/>
      <c r="JRM209" s="243"/>
      <c r="JRN209" s="243"/>
      <c r="JRO209" s="243"/>
      <c r="JRP209" s="243"/>
      <c r="JRQ209" s="243"/>
      <c r="JRR209" s="243"/>
      <c r="JRS209" s="243"/>
      <c r="JRT209" s="243"/>
      <c r="JRU209" s="243"/>
      <c r="JRV209" s="243"/>
      <c r="JRW209" s="243"/>
      <c r="JRX209" s="243"/>
      <c r="JRY209" s="243"/>
      <c r="JRZ209" s="243"/>
      <c r="JSA209" s="243"/>
      <c r="JSB209" s="243"/>
      <c r="JSC209" s="243"/>
      <c r="JSD209" s="243"/>
      <c r="JSE209" s="243"/>
      <c r="JSF209" s="243"/>
      <c r="JSG209" s="243"/>
      <c r="JSH209" s="243"/>
      <c r="JSI209" s="243"/>
      <c r="JSJ209" s="243"/>
      <c r="JSK209" s="243"/>
      <c r="JSL209" s="243"/>
      <c r="JSM209" s="243"/>
      <c r="JSN209" s="243"/>
      <c r="JSO209" s="243"/>
      <c r="JSP209" s="243"/>
      <c r="JSQ209" s="243"/>
      <c r="JSR209" s="243"/>
      <c r="JSS209" s="243"/>
      <c r="JST209" s="243"/>
      <c r="JSU209" s="243"/>
      <c r="JSV209" s="243"/>
      <c r="JSW209" s="243"/>
      <c r="JSX209" s="243"/>
      <c r="JSY209" s="243"/>
      <c r="JSZ209" s="243"/>
      <c r="JTA209" s="243"/>
      <c r="JTB209" s="243"/>
      <c r="JTC209" s="243"/>
      <c r="JTD209" s="243"/>
      <c r="JTE209" s="243"/>
      <c r="JTF209" s="243"/>
      <c r="JTG209" s="243"/>
      <c r="JTH209" s="243"/>
      <c r="JTI209" s="243"/>
      <c r="JTJ209" s="243"/>
      <c r="JTK209" s="243"/>
      <c r="JTL209" s="243"/>
      <c r="JTM209" s="243"/>
      <c r="JTN209" s="243"/>
      <c r="JTO209" s="243"/>
      <c r="JTP209" s="243"/>
      <c r="JTQ209" s="243"/>
      <c r="JTR209" s="243"/>
      <c r="JTS209" s="243"/>
      <c r="JTT209" s="243"/>
      <c r="JTU209" s="243"/>
      <c r="JTV209" s="243"/>
      <c r="JTW209" s="243"/>
      <c r="JTX209" s="243"/>
      <c r="JTY209" s="243"/>
      <c r="JTZ209" s="243"/>
      <c r="JUA209" s="243"/>
      <c r="JUB209" s="243"/>
      <c r="JUC209" s="243"/>
      <c r="JUD209" s="243"/>
      <c r="JUE209" s="243"/>
      <c r="JUF209" s="243"/>
      <c r="JUG209" s="243"/>
      <c r="JUH209" s="243"/>
      <c r="JUI209" s="243"/>
      <c r="JUJ209" s="243"/>
      <c r="JUK209" s="243"/>
      <c r="JUL209" s="243"/>
      <c r="JUM209" s="243"/>
      <c r="JUN209" s="243"/>
      <c r="JUO209" s="243"/>
      <c r="JUP209" s="243"/>
      <c r="JUQ209" s="243"/>
      <c r="JUR209" s="243"/>
      <c r="JUS209" s="243"/>
      <c r="JUT209" s="243"/>
      <c r="JUU209" s="243"/>
      <c r="JUV209" s="243"/>
      <c r="JUW209" s="243"/>
      <c r="JUX209" s="243"/>
      <c r="JUY209" s="243"/>
      <c r="JUZ209" s="243"/>
      <c r="JVA209" s="243"/>
      <c r="JVB209" s="243"/>
      <c r="JVC209" s="243"/>
      <c r="JVD209" s="243"/>
      <c r="JVE209" s="243"/>
      <c r="JVF209" s="243"/>
      <c r="JVG209" s="243"/>
      <c r="JVH209" s="243"/>
      <c r="JVI209" s="243"/>
      <c r="JVJ209" s="243"/>
      <c r="JVK209" s="243"/>
      <c r="JVL209" s="243"/>
      <c r="JVM209" s="243"/>
      <c r="JVN209" s="243"/>
      <c r="JVO209" s="243"/>
      <c r="JVP209" s="243"/>
      <c r="JVQ209" s="243"/>
      <c r="JVR209" s="243"/>
      <c r="JVS209" s="243"/>
      <c r="JVT209" s="243"/>
      <c r="JVU209" s="243"/>
      <c r="JVV209" s="243"/>
      <c r="JVW209" s="243"/>
      <c r="JVX209" s="243"/>
      <c r="JVY209" s="243"/>
      <c r="JVZ209" s="243"/>
      <c r="JWA209" s="243"/>
      <c r="JWB209" s="243"/>
      <c r="JWC209" s="243"/>
      <c r="JWD209" s="243"/>
      <c r="JWE209" s="243"/>
      <c r="JWF209" s="243"/>
      <c r="JWG209" s="243"/>
      <c r="JWH209" s="243"/>
      <c r="JWI209" s="243"/>
      <c r="JWJ209" s="243"/>
      <c r="JWK209" s="243"/>
      <c r="JWL209" s="243"/>
      <c r="JWM209" s="243"/>
      <c r="JWN209" s="243"/>
      <c r="JWO209" s="243"/>
      <c r="JWP209" s="243"/>
      <c r="JWQ209" s="243"/>
      <c r="JWR209" s="243"/>
      <c r="JWS209" s="243"/>
      <c r="JWT209" s="243"/>
      <c r="JWU209" s="243"/>
      <c r="JWV209" s="243"/>
      <c r="JWW209" s="243"/>
      <c r="JWX209" s="243"/>
      <c r="JWY209" s="243"/>
      <c r="JWZ209" s="243"/>
      <c r="JXA209" s="243"/>
      <c r="JXB209" s="243"/>
      <c r="JXC209" s="243"/>
      <c r="JXD209" s="243"/>
      <c r="JXE209" s="243"/>
      <c r="JXF209" s="243"/>
      <c r="JXG209" s="243"/>
      <c r="JXH209" s="243"/>
      <c r="JXI209" s="243"/>
      <c r="JXJ209" s="243"/>
      <c r="JXK209" s="243"/>
      <c r="JXL209" s="243"/>
      <c r="JXM209" s="243"/>
      <c r="JXN209" s="243"/>
      <c r="JXO209" s="243"/>
      <c r="JXP209" s="243"/>
      <c r="JXQ209" s="243"/>
      <c r="JXR209" s="243"/>
      <c r="JXS209" s="243"/>
      <c r="JXT209" s="243"/>
      <c r="JXU209" s="243"/>
      <c r="JXV209" s="243"/>
      <c r="JXW209" s="243"/>
      <c r="JXX209" s="243"/>
      <c r="JXY209" s="243"/>
      <c r="JXZ209" s="243"/>
      <c r="JYA209" s="243"/>
      <c r="JYB209" s="243"/>
      <c r="JYC209" s="243"/>
      <c r="JYD209" s="243"/>
      <c r="JYE209" s="243"/>
      <c r="JYF209" s="243"/>
      <c r="JYG209" s="243"/>
      <c r="JYH209" s="243"/>
      <c r="JYI209" s="243"/>
      <c r="JYJ209" s="243"/>
      <c r="JYK209" s="243"/>
      <c r="JYL209" s="243"/>
      <c r="JYM209" s="243"/>
      <c r="JYN209" s="243"/>
      <c r="JYO209" s="243"/>
      <c r="JYP209" s="243"/>
      <c r="JYQ209" s="243"/>
      <c r="JYR209" s="243"/>
      <c r="JYS209" s="243"/>
      <c r="JYT209" s="243"/>
      <c r="JYU209" s="243"/>
      <c r="JYV209" s="243"/>
      <c r="JYW209" s="243"/>
      <c r="JYX209" s="243"/>
      <c r="JYY209" s="243"/>
      <c r="JYZ209" s="243"/>
      <c r="JZA209" s="243"/>
      <c r="JZB209" s="243"/>
      <c r="JZC209" s="243"/>
      <c r="JZD209" s="243"/>
      <c r="JZE209" s="243"/>
      <c r="JZF209" s="243"/>
      <c r="JZG209" s="243"/>
      <c r="JZH209" s="243"/>
      <c r="JZI209" s="243"/>
      <c r="JZJ209" s="243"/>
      <c r="JZK209" s="243"/>
      <c r="JZL209" s="243"/>
      <c r="JZM209" s="243"/>
      <c r="JZN209" s="243"/>
      <c r="JZO209" s="243"/>
      <c r="JZP209" s="243"/>
      <c r="JZQ209" s="243"/>
      <c r="JZR209" s="243"/>
      <c r="JZS209" s="243"/>
      <c r="JZT209" s="243"/>
      <c r="JZU209" s="243"/>
      <c r="JZV209" s="243"/>
      <c r="JZW209" s="243"/>
      <c r="JZX209" s="243"/>
      <c r="JZY209" s="243"/>
      <c r="JZZ209" s="243"/>
      <c r="KAA209" s="243"/>
      <c r="KAB209" s="243"/>
      <c r="KAC209" s="243"/>
      <c r="KAD209" s="243"/>
      <c r="KAE209" s="243"/>
      <c r="KAF209" s="243"/>
      <c r="KAG209" s="243"/>
      <c r="KAH209" s="243"/>
      <c r="KAI209" s="243"/>
      <c r="KAJ209" s="243"/>
      <c r="KAK209" s="243"/>
      <c r="KAL209" s="243"/>
      <c r="KAM209" s="243"/>
      <c r="KAN209" s="243"/>
      <c r="KAO209" s="243"/>
      <c r="KAP209" s="243"/>
      <c r="KAQ209" s="243"/>
      <c r="KAR209" s="243"/>
      <c r="KAS209" s="243"/>
      <c r="KAT209" s="243"/>
      <c r="KAU209" s="243"/>
      <c r="KAV209" s="243"/>
      <c r="KAW209" s="243"/>
      <c r="KAX209" s="243"/>
      <c r="KAY209" s="243"/>
      <c r="KAZ209" s="243"/>
      <c r="KBA209" s="243"/>
      <c r="KBB209" s="243"/>
      <c r="KBC209" s="243"/>
      <c r="KBD209" s="243"/>
      <c r="KBE209" s="243"/>
      <c r="KBF209" s="243"/>
      <c r="KBG209" s="243"/>
      <c r="KBH209" s="243"/>
      <c r="KBI209" s="243"/>
      <c r="KBJ209" s="243"/>
      <c r="KBK209" s="243"/>
      <c r="KBL209" s="243"/>
      <c r="KBM209" s="243"/>
      <c r="KBN209" s="243"/>
      <c r="KBO209" s="243"/>
      <c r="KBP209" s="243"/>
      <c r="KBQ209" s="243"/>
      <c r="KBR209" s="243"/>
      <c r="KBS209" s="243"/>
      <c r="KBT209" s="243"/>
      <c r="KBU209" s="243"/>
      <c r="KBV209" s="243"/>
      <c r="KBW209" s="243"/>
      <c r="KBX209" s="243"/>
      <c r="KBY209" s="243"/>
      <c r="KBZ209" s="243"/>
      <c r="KCA209" s="243"/>
      <c r="KCB209" s="243"/>
      <c r="KCC209" s="243"/>
      <c r="KCD209" s="243"/>
      <c r="KCE209" s="243"/>
      <c r="KCF209" s="243"/>
      <c r="KCG209" s="243"/>
      <c r="KCH209" s="243"/>
      <c r="KCI209" s="243"/>
      <c r="KCJ209" s="243"/>
      <c r="KCK209" s="243"/>
      <c r="KCL209" s="243"/>
      <c r="KCM209" s="243"/>
      <c r="KCN209" s="243"/>
      <c r="KCO209" s="243"/>
      <c r="KCP209" s="243"/>
      <c r="KCQ209" s="243"/>
      <c r="KCR209" s="243"/>
      <c r="KCS209" s="243"/>
      <c r="KCT209" s="243"/>
      <c r="KCU209" s="243"/>
      <c r="KCV209" s="243"/>
      <c r="KCW209" s="243"/>
      <c r="KCX209" s="243"/>
      <c r="KCY209" s="243"/>
      <c r="KCZ209" s="243"/>
      <c r="KDA209" s="243"/>
      <c r="KDB209" s="243"/>
      <c r="KDC209" s="243"/>
      <c r="KDD209" s="243"/>
      <c r="KDE209" s="243"/>
      <c r="KDF209" s="243"/>
      <c r="KDG209" s="243"/>
      <c r="KDH209" s="243"/>
      <c r="KDI209" s="243"/>
      <c r="KDJ209" s="243"/>
      <c r="KDK209" s="243"/>
      <c r="KDL209" s="243"/>
      <c r="KDM209" s="243"/>
      <c r="KDN209" s="243"/>
      <c r="KDO209" s="243"/>
      <c r="KDP209" s="243"/>
      <c r="KDQ209" s="243"/>
      <c r="KDR209" s="243"/>
      <c r="KDS209" s="243"/>
      <c r="KDT209" s="243"/>
      <c r="KDU209" s="243"/>
      <c r="KDV209" s="243"/>
      <c r="KDW209" s="243"/>
      <c r="KDX209" s="243"/>
      <c r="KDY209" s="243"/>
      <c r="KDZ209" s="243"/>
      <c r="KEA209" s="243"/>
      <c r="KEB209" s="243"/>
      <c r="KEC209" s="243"/>
      <c r="KED209" s="243"/>
      <c r="KEE209" s="243"/>
      <c r="KEF209" s="243"/>
      <c r="KEG209" s="243"/>
      <c r="KEH209" s="243"/>
      <c r="KEI209" s="243"/>
      <c r="KEJ209" s="243"/>
      <c r="KEK209" s="243"/>
      <c r="KEL209" s="243"/>
      <c r="KEM209" s="243"/>
      <c r="KEN209" s="243"/>
      <c r="KEO209" s="243"/>
      <c r="KEP209" s="243"/>
      <c r="KEQ209" s="243"/>
      <c r="KER209" s="243"/>
      <c r="KES209" s="243"/>
      <c r="KET209" s="243"/>
      <c r="KEU209" s="243"/>
      <c r="KEV209" s="243"/>
      <c r="KEW209" s="243"/>
      <c r="KEX209" s="243"/>
      <c r="KEY209" s="243"/>
      <c r="KEZ209" s="243"/>
      <c r="KFA209" s="243"/>
      <c r="KFB209" s="243"/>
      <c r="KFC209" s="243"/>
      <c r="KFD209" s="243"/>
      <c r="KFE209" s="243"/>
      <c r="KFF209" s="243"/>
      <c r="KFG209" s="243"/>
      <c r="KFH209" s="243"/>
      <c r="KFI209" s="243"/>
      <c r="KFJ209" s="243"/>
      <c r="KFK209" s="243"/>
      <c r="KFL209" s="243"/>
      <c r="KFM209" s="243"/>
      <c r="KFN209" s="243"/>
      <c r="KFO209" s="243"/>
      <c r="KFP209" s="243"/>
      <c r="KFQ209" s="243"/>
      <c r="KFR209" s="243"/>
      <c r="KFS209" s="243"/>
      <c r="KFT209" s="243"/>
      <c r="KFU209" s="243"/>
      <c r="KFV209" s="243"/>
      <c r="KFW209" s="243"/>
      <c r="KFX209" s="243"/>
      <c r="KFY209" s="243"/>
      <c r="KFZ209" s="243"/>
      <c r="KGA209" s="243"/>
      <c r="KGB209" s="243"/>
      <c r="KGC209" s="243"/>
      <c r="KGD209" s="243"/>
      <c r="KGE209" s="243"/>
      <c r="KGF209" s="243"/>
      <c r="KGG209" s="243"/>
      <c r="KGH209" s="243"/>
      <c r="KGI209" s="243"/>
      <c r="KGJ209" s="243"/>
      <c r="KGK209" s="243"/>
      <c r="KGL209" s="243"/>
      <c r="KGM209" s="243"/>
      <c r="KGN209" s="243"/>
      <c r="KGO209" s="243"/>
      <c r="KGP209" s="243"/>
      <c r="KGQ209" s="243"/>
      <c r="KGR209" s="243"/>
      <c r="KGS209" s="243"/>
      <c r="KGT209" s="243"/>
      <c r="KGU209" s="243"/>
      <c r="KGV209" s="243"/>
      <c r="KGW209" s="243"/>
      <c r="KGX209" s="243"/>
      <c r="KGY209" s="243"/>
      <c r="KGZ209" s="243"/>
      <c r="KHA209" s="243"/>
      <c r="KHB209" s="243"/>
      <c r="KHC209" s="243"/>
      <c r="KHD209" s="243"/>
      <c r="KHE209" s="243"/>
      <c r="KHF209" s="243"/>
      <c r="KHG209" s="243"/>
      <c r="KHH209" s="243"/>
      <c r="KHI209" s="243"/>
      <c r="KHJ209" s="243"/>
      <c r="KHK209" s="243"/>
      <c r="KHL209" s="243"/>
      <c r="KHM209" s="243"/>
      <c r="KHN209" s="243"/>
      <c r="KHO209" s="243"/>
      <c r="KHP209" s="243"/>
      <c r="KHQ209" s="243"/>
      <c r="KHR209" s="243"/>
      <c r="KHS209" s="243"/>
      <c r="KHT209" s="243"/>
      <c r="KHU209" s="243"/>
      <c r="KHV209" s="243"/>
      <c r="KHW209" s="243"/>
      <c r="KHX209" s="243"/>
      <c r="KHY209" s="243"/>
      <c r="KHZ209" s="243"/>
      <c r="KIA209" s="243"/>
      <c r="KIB209" s="243"/>
      <c r="KIC209" s="243"/>
      <c r="KID209" s="243"/>
      <c r="KIE209" s="243"/>
      <c r="KIF209" s="243"/>
      <c r="KIG209" s="243"/>
      <c r="KIH209" s="243"/>
      <c r="KII209" s="243"/>
      <c r="KIJ209" s="243"/>
      <c r="KIK209" s="243"/>
      <c r="KIL209" s="243"/>
      <c r="KIM209" s="243"/>
      <c r="KIN209" s="243"/>
      <c r="KIO209" s="243"/>
      <c r="KIP209" s="243"/>
      <c r="KIQ209" s="243"/>
      <c r="KIR209" s="243"/>
      <c r="KIS209" s="243"/>
      <c r="KIT209" s="243"/>
      <c r="KIU209" s="243"/>
      <c r="KIV209" s="243"/>
      <c r="KIW209" s="243"/>
      <c r="KIX209" s="243"/>
      <c r="KIY209" s="243"/>
      <c r="KIZ209" s="243"/>
      <c r="KJA209" s="243"/>
      <c r="KJB209" s="243"/>
      <c r="KJC209" s="243"/>
      <c r="KJD209" s="243"/>
      <c r="KJE209" s="243"/>
      <c r="KJF209" s="243"/>
      <c r="KJG209" s="243"/>
      <c r="KJH209" s="243"/>
      <c r="KJI209" s="243"/>
      <c r="KJJ209" s="243"/>
      <c r="KJK209" s="243"/>
      <c r="KJL209" s="243"/>
      <c r="KJM209" s="243"/>
      <c r="KJN209" s="243"/>
      <c r="KJO209" s="243"/>
      <c r="KJP209" s="243"/>
      <c r="KJQ209" s="243"/>
      <c r="KJR209" s="243"/>
      <c r="KJS209" s="243"/>
      <c r="KJT209" s="243"/>
      <c r="KJU209" s="243"/>
      <c r="KJV209" s="243"/>
      <c r="KJW209" s="243"/>
      <c r="KJX209" s="243"/>
      <c r="KJY209" s="243"/>
      <c r="KJZ209" s="243"/>
      <c r="KKA209" s="243"/>
      <c r="KKB209" s="243"/>
      <c r="KKC209" s="243"/>
      <c r="KKD209" s="243"/>
      <c r="KKE209" s="243"/>
      <c r="KKF209" s="243"/>
      <c r="KKG209" s="243"/>
      <c r="KKH209" s="243"/>
      <c r="KKI209" s="243"/>
      <c r="KKJ209" s="243"/>
      <c r="KKK209" s="243"/>
      <c r="KKL209" s="243"/>
      <c r="KKM209" s="243"/>
      <c r="KKN209" s="243"/>
      <c r="KKO209" s="243"/>
      <c r="KKP209" s="243"/>
      <c r="KKQ209" s="243"/>
      <c r="KKR209" s="243"/>
      <c r="KKS209" s="243"/>
      <c r="KKT209" s="243"/>
      <c r="KKU209" s="243"/>
      <c r="KKV209" s="243"/>
      <c r="KKW209" s="243"/>
      <c r="KKX209" s="243"/>
      <c r="KKY209" s="243"/>
      <c r="KKZ209" s="243"/>
      <c r="KLA209" s="243"/>
      <c r="KLB209" s="243"/>
      <c r="KLC209" s="243"/>
      <c r="KLD209" s="243"/>
      <c r="KLE209" s="243"/>
      <c r="KLF209" s="243"/>
      <c r="KLG209" s="243"/>
      <c r="KLH209" s="243"/>
      <c r="KLI209" s="243"/>
      <c r="KLJ209" s="243"/>
      <c r="KLK209" s="243"/>
      <c r="KLL209" s="243"/>
      <c r="KLM209" s="243"/>
      <c r="KLN209" s="243"/>
      <c r="KLO209" s="243"/>
      <c r="KLP209" s="243"/>
      <c r="KLQ209" s="243"/>
      <c r="KLR209" s="243"/>
      <c r="KLS209" s="243"/>
      <c r="KLT209" s="243"/>
      <c r="KLU209" s="243"/>
      <c r="KLV209" s="243"/>
      <c r="KLW209" s="243"/>
      <c r="KLX209" s="243"/>
      <c r="KLY209" s="243"/>
      <c r="KLZ209" s="243"/>
      <c r="KMA209" s="243"/>
      <c r="KMB209" s="243"/>
      <c r="KMC209" s="243"/>
      <c r="KMD209" s="243"/>
      <c r="KME209" s="243"/>
      <c r="KMF209" s="243"/>
      <c r="KMG209" s="243"/>
      <c r="KMH209" s="243"/>
      <c r="KMI209" s="243"/>
      <c r="KMJ209" s="243"/>
      <c r="KMK209" s="243"/>
      <c r="KML209" s="243"/>
      <c r="KMM209" s="243"/>
      <c r="KMN209" s="243"/>
      <c r="KMO209" s="243"/>
      <c r="KMP209" s="243"/>
      <c r="KMQ209" s="243"/>
      <c r="KMR209" s="243"/>
      <c r="KMS209" s="243"/>
      <c r="KMT209" s="243"/>
      <c r="KMU209" s="243"/>
      <c r="KMV209" s="243"/>
      <c r="KMW209" s="243"/>
      <c r="KMX209" s="243"/>
      <c r="KMY209" s="243"/>
      <c r="KMZ209" s="243"/>
      <c r="KNA209" s="243"/>
      <c r="KNB209" s="243"/>
      <c r="KNC209" s="243"/>
      <c r="KND209" s="243"/>
      <c r="KNE209" s="243"/>
      <c r="KNF209" s="243"/>
      <c r="KNG209" s="243"/>
      <c r="KNH209" s="243"/>
      <c r="KNI209" s="243"/>
      <c r="KNJ209" s="243"/>
      <c r="KNK209" s="243"/>
      <c r="KNL209" s="243"/>
      <c r="KNM209" s="243"/>
      <c r="KNN209" s="243"/>
      <c r="KNO209" s="243"/>
      <c r="KNP209" s="243"/>
      <c r="KNQ209" s="243"/>
      <c r="KNR209" s="243"/>
      <c r="KNS209" s="243"/>
      <c r="KNT209" s="243"/>
      <c r="KNU209" s="243"/>
      <c r="KNV209" s="243"/>
      <c r="KNW209" s="243"/>
      <c r="KNX209" s="243"/>
      <c r="KNY209" s="243"/>
      <c r="KNZ209" s="243"/>
      <c r="KOA209" s="243"/>
      <c r="KOB209" s="243"/>
      <c r="KOC209" s="243"/>
      <c r="KOD209" s="243"/>
      <c r="KOE209" s="243"/>
      <c r="KOF209" s="243"/>
      <c r="KOG209" s="243"/>
      <c r="KOH209" s="243"/>
      <c r="KOI209" s="243"/>
      <c r="KOJ209" s="243"/>
      <c r="KOK209" s="243"/>
      <c r="KOL209" s="243"/>
      <c r="KOM209" s="243"/>
      <c r="KON209" s="243"/>
      <c r="KOO209" s="243"/>
      <c r="KOP209" s="243"/>
      <c r="KOQ209" s="243"/>
      <c r="KOR209" s="243"/>
      <c r="KOS209" s="243"/>
      <c r="KOT209" s="243"/>
      <c r="KOU209" s="243"/>
      <c r="KOV209" s="243"/>
      <c r="KOW209" s="243"/>
      <c r="KOX209" s="243"/>
      <c r="KOY209" s="243"/>
      <c r="KOZ209" s="243"/>
      <c r="KPA209" s="243"/>
      <c r="KPB209" s="243"/>
      <c r="KPC209" s="243"/>
      <c r="KPD209" s="243"/>
      <c r="KPE209" s="243"/>
      <c r="KPF209" s="243"/>
      <c r="KPG209" s="243"/>
      <c r="KPH209" s="243"/>
      <c r="KPI209" s="243"/>
      <c r="KPJ209" s="243"/>
      <c r="KPK209" s="243"/>
      <c r="KPL209" s="243"/>
      <c r="KPM209" s="243"/>
      <c r="KPN209" s="243"/>
      <c r="KPO209" s="243"/>
      <c r="KPP209" s="243"/>
      <c r="KPQ209" s="243"/>
      <c r="KPR209" s="243"/>
      <c r="KPS209" s="243"/>
      <c r="KPT209" s="243"/>
      <c r="KPU209" s="243"/>
      <c r="KPV209" s="243"/>
      <c r="KPW209" s="243"/>
      <c r="KPX209" s="243"/>
      <c r="KPY209" s="243"/>
      <c r="KPZ209" s="243"/>
      <c r="KQA209" s="243"/>
      <c r="KQB209" s="243"/>
      <c r="KQC209" s="243"/>
      <c r="KQD209" s="243"/>
      <c r="KQE209" s="243"/>
      <c r="KQF209" s="243"/>
      <c r="KQG209" s="243"/>
      <c r="KQH209" s="243"/>
      <c r="KQI209" s="243"/>
      <c r="KQJ209" s="243"/>
      <c r="KQK209" s="243"/>
      <c r="KQL209" s="243"/>
      <c r="KQM209" s="243"/>
      <c r="KQN209" s="243"/>
      <c r="KQO209" s="243"/>
      <c r="KQP209" s="243"/>
      <c r="KQQ209" s="243"/>
      <c r="KQR209" s="243"/>
      <c r="KQS209" s="243"/>
      <c r="KQT209" s="243"/>
      <c r="KQU209" s="243"/>
      <c r="KQV209" s="243"/>
      <c r="KQW209" s="243"/>
      <c r="KQX209" s="243"/>
      <c r="KQY209" s="243"/>
      <c r="KQZ209" s="243"/>
      <c r="KRA209" s="243"/>
      <c r="KRB209" s="243"/>
      <c r="KRC209" s="243"/>
      <c r="KRD209" s="243"/>
      <c r="KRE209" s="243"/>
      <c r="KRF209" s="243"/>
      <c r="KRG209" s="243"/>
      <c r="KRH209" s="243"/>
      <c r="KRI209" s="243"/>
      <c r="KRJ209" s="243"/>
      <c r="KRK209" s="243"/>
      <c r="KRL209" s="243"/>
      <c r="KRM209" s="243"/>
      <c r="KRN209" s="243"/>
      <c r="KRO209" s="243"/>
      <c r="KRP209" s="243"/>
      <c r="KRQ209" s="243"/>
      <c r="KRR209" s="243"/>
      <c r="KRS209" s="243"/>
      <c r="KRT209" s="243"/>
      <c r="KRU209" s="243"/>
      <c r="KRV209" s="243"/>
      <c r="KRW209" s="243"/>
      <c r="KRX209" s="243"/>
      <c r="KRY209" s="243"/>
      <c r="KRZ209" s="243"/>
      <c r="KSA209" s="243"/>
      <c r="KSB209" s="243"/>
      <c r="KSC209" s="243"/>
      <c r="KSD209" s="243"/>
      <c r="KSE209" s="243"/>
      <c r="KSF209" s="243"/>
      <c r="KSG209" s="243"/>
      <c r="KSH209" s="243"/>
      <c r="KSI209" s="243"/>
      <c r="KSJ209" s="243"/>
      <c r="KSK209" s="243"/>
      <c r="KSL209" s="243"/>
      <c r="KSM209" s="243"/>
      <c r="KSN209" s="243"/>
      <c r="KSO209" s="243"/>
      <c r="KSP209" s="243"/>
      <c r="KSQ209" s="243"/>
      <c r="KSR209" s="243"/>
      <c r="KSS209" s="243"/>
      <c r="KST209" s="243"/>
      <c r="KSU209" s="243"/>
      <c r="KSV209" s="243"/>
      <c r="KSW209" s="243"/>
      <c r="KSX209" s="243"/>
      <c r="KSY209" s="243"/>
      <c r="KSZ209" s="243"/>
      <c r="KTA209" s="243"/>
      <c r="KTB209" s="243"/>
      <c r="KTC209" s="243"/>
      <c r="KTD209" s="243"/>
      <c r="KTE209" s="243"/>
      <c r="KTF209" s="243"/>
      <c r="KTG209" s="243"/>
      <c r="KTH209" s="243"/>
      <c r="KTI209" s="243"/>
      <c r="KTJ209" s="243"/>
      <c r="KTK209" s="243"/>
      <c r="KTL209" s="243"/>
      <c r="KTM209" s="243"/>
      <c r="KTN209" s="243"/>
      <c r="KTO209" s="243"/>
      <c r="KTP209" s="243"/>
      <c r="KTQ209" s="243"/>
      <c r="KTR209" s="243"/>
      <c r="KTS209" s="243"/>
      <c r="KTT209" s="243"/>
      <c r="KTU209" s="243"/>
      <c r="KTV209" s="243"/>
      <c r="KTW209" s="243"/>
      <c r="KTX209" s="243"/>
      <c r="KTY209" s="243"/>
      <c r="KTZ209" s="243"/>
      <c r="KUA209" s="243"/>
      <c r="KUB209" s="243"/>
      <c r="KUC209" s="243"/>
      <c r="KUD209" s="243"/>
      <c r="KUE209" s="243"/>
      <c r="KUF209" s="243"/>
      <c r="KUG209" s="243"/>
      <c r="KUH209" s="243"/>
      <c r="KUI209" s="243"/>
      <c r="KUJ209" s="243"/>
      <c r="KUK209" s="243"/>
      <c r="KUL209" s="243"/>
      <c r="KUM209" s="243"/>
      <c r="KUN209" s="243"/>
      <c r="KUO209" s="243"/>
      <c r="KUP209" s="243"/>
      <c r="KUQ209" s="243"/>
      <c r="KUR209" s="243"/>
      <c r="KUS209" s="243"/>
      <c r="KUT209" s="243"/>
      <c r="KUU209" s="243"/>
      <c r="KUV209" s="243"/>
      <c r="KUW209" s="243"/>
      <c r="KUX209" s="243"/>
      <c r="KUY209" s="243"/>
      <c r="KUZ209" s="243"/>
      <c r="KVA209" s="243"/>
      <c r="KVB209" s="243"/>
      <c r="KVC209" s="243"/>
      <c r="KVD209" s="243"/>
      <c r="KVE209" s="243"/>
      <c r="KVF209" s="243"/>
      <c r="KVG209" s="243"/>
      <c r="KVH209" s="243"/>
      <c r="KVI209" s="243"/>
      <c r="KVJ209" s="243"/>
      <c r="KVK209" s="243"/>
      <c r="KVL209" s="243"/>
      <c r="KVM209" s="243"/>
      <c r="KVN209" s="243"/>
      <c r="KVO209" s="243"/>
      <c r="KVP209" s="243"/>
      <c r="KVQ209" s="243"/>
      <c r="KVR209" s="243"/>
      <c r="KVS209" s="243"/>
      <c r="KVT209" s="243"/>
      <c r="KVU209" s="243"/>
      <c r="KVV209" s="243"/>
      <c r="KVW209" s="243"/>
      <c r="KVX209" s="243"/>
      <c r="KVY209" s="243"/>
      <c r="KVZ209" s="243"/>
      <c r="KWA209" s="243"/>
      <c r="KWB209" s="243"/>
      <c r="KWC209" s="243"/>
      <c r="KWD209" s="243"/>
      <c r="KWE209" s="243"/>
      <c r="KWF209" s="243"/>
      <c r="KWG209" s="243"/>
      <c r="KWH209" s="243"/>
      <c r="KWI209" s="243"/>
      <c r="KWJ209" s="243"/>
      <c r="KWK209" s="243"/>
      <c r="KWL209" s="243"/>
      <c r="KWM209" s="243"/>
      <c r="KWN209" s="243"/>
      <c r="KWO209" s="243"/>
      <c r="KWP209" s="243"/>
      <c r="KWQ209" s="243"/>
      <c r="KWR209" s="243"/>
      <c r="KWS209" s="243"/>
      <c r="KWT209" s="243"/>
      <c r="KWU209" s="243"/>
      <c r="KWV209" s="243"/>
      <c r="KWW209" s="243"/>
      <c r="KWX209" s="243"/>
      <c r="KWY209" s="243"/>
      <c r="KWZ209" s="243"/>
      <c r="KXA209" s="243"/>
      <c r="KXB209" s="243"/>
      <c r="KXC209" s="243"/>
      <c r="KXD209" s="243"/>
      <c r="KXE209" s="243"/>
      <c r="KXF209" s="243"/>
      <c r="KXG209" s="243"/>
      <c r="KXH209" s="243"/>
      <c r="KXI209" s="243"/>
      <c r="KXJ209" s="243"/>
      <c r="KXK209" s="243"/>
      <c r="KXL209" s="243"/>
      <c r="KXM209" s="243"/>
      <c r="KXN209" s="243"/>
      <c r="KXO209" s="243"/>
      <c r="KXP209" s="243"/>
      <c r="KXQ209" s="243"/>
      <c r="KXR209" s="243"/>
      <c r="KXS209" s="243"/>
      <c r="KXT209" s="243"/>
      <c r="KXU209" s="243"/>
      <c r="KXV209" s="243"/>
      <c r="KXW209" s="243"/>
      <c r="KXX209" s="243"/>
      <c r="KXY209" s="243"/>
      <c r="KXZ209" s="243"/>
      <c r="KYA209" s="243"/>
      <c r="KYB209" s="243"/>
      <c r="KYC209" s="243"/>
      <c r="KYD209" s="243"/>
      <c r="KYE209" s="243"/>
      <c r="KYF209" s="243"/>
      <c r="KYG209" s="243"/>
      <c r="KYH209" s="243"/>
      <c r="KYI209" s="243"/>
      <c r="KYJ209" s="243"/>
      <c r="KYK209" s="243"/>
      <c r="KYL209" s="243"/>
      <c r="KYM209" s="243"/>
      <c r="KYN209" s="243"/>
      <c r="KYO209" s="243"/>
      <c r="KYP209" s="243"/>
      <c r="KYQ209" s="243"/>
      <c r="KYR209" s="243"/>
      <c r="KYS209" s="243"/>
      <c r="KYT209" s="243"/>
      <c r="KYU209" s="243"/>
      <c r="KYV209" s="243"/>
      <c r="KYW209" s="243"/>
      <c r="KYX209" s="243"/>
      <c r="KYY209" s="243"/>
      <c r="KYZ209" s="243"/>
      <c r="KZA209" s="243"/>
      <c r="KZB209" s="243"/>
      <c r="KZC209" s="243"/>
      <c r="KZD209" s="243"/>
      <c r="KZE209" s="243"/>
      <c r="KZF209" s="243"/>
      <c r="KZG209" s="243"/>
      <c r="KZH209" s="243"/>
      <c r="KZI209" s="243"/>
      <c r="KZJ209" s="243"/>
      <c r="KZK209" s="243"/>
      <c r="KZL209" s="243"/>
      <c r="KZM209" s="243"/>
      <c r="KZN209" s="243"/>
      <c r="KZO209" s="243"/>
      <c r="KZP209" s="243"/>
      <c r="KZQ209" s="243"/>
      <c r="KZR209" s="243"/>
      <c r="KZS209" s="243"/>
      <c r="KZT209" s="243"/>
      <c r="KZU209" s="243"/>
      <c r="KZV209" s="243"/>
      <c r="KZW209" s="243"/>
      <c r="KZX209" s="243"/>
      <c r="KZY209" s="243"/>
      <c r="KZZ209" s="243"/>
      <c r="LAA209" s="243"/>
      <c r="LAB209" s="243"/>
      <c r="LAC209" s="243"/>
      <c r="LAD209" s="243"/>
      <c r="LAE209" s="243"/>
      <c r="LAF209" s="243"/>
      <c r="LAG209" s="243"/>
      <c r="LAH209" s="243"/>
      <c r="LAI209" s="243"/>
      <c r="LAJ209" s="243"/>
      <c r="LAK209" s="243"/>
      <c r="LAL209" s="243"/>
      <c r="LAM209" s="243"/>
      <c r="LAN209" s="243"/>
      <c r="LAO209" s="243"/>
      <c r="LAP209" s="243"/>
      <c r="LAQ209" s="243"/>
      <c r="LAR209" s="243"/>
      <c r="LAS209" s="243"/>
      <c r="LAT209" s="243"/>
      <c r="LAU209" s="243"/>
      <c r="LAV209" s="243"/>
      <c r="LAW209" s="243"/>
      <c r="LAX209" s="243"/>
      <c r="LAY209" s="243"/>
      <c r="LAZ209" s="243"/>
      <c r="LBA209" s="243"/>
      <c r="LBB209" s="243"/>
      <c r="LBC209" s="243"/>
      <c r="LBD209" s="243"/>
      <c r="LBE209" s="243"/>
      <c r="LBF209" s="243"/>
      <c r="LBG209" s="243"/>
      <c r="LBH209" s="243"/>
      <c r="LBI209" s="243"/>
      <c r="LBJ209" s="243"/>
      <c r="LBK209" s="243"/>
      <c r="LBL209" s="243"/>
      <c r="LBM209" s="243"/>
      <c r="LBN209" s="243"/>
      <c r="LBO209" s="243"/>
      <c r="LBP209" s="243"/>
      <c r="LBQ209" s="243"/>
      <c r="LBR209" s="243"/>
      <c r="LBS209" s="243"/>
      <c r="LBT209" s="243"/>
      <c r="LBU209" s="243"/>
      <c r="LBV209" s="243"/>
      <c r="LBW209" s="243"/>
      <c r="LBX209" s="243"/>
      <c r="LBY209" s="243"/>
      <c r="LBZ209" s="243"/>
      <c r="LCA209" s="243"/>
      <c r="LCB209" s="243"/>
      <c r="LCC209" s="243"/>
      <c r="LCD209" s="243"/>
      <c r="LCE209" s="243"/>
      <c r="LCF209" s="243"/>
      <c r="LCG209" s="243"/>
      <c r="LCH209" s="243"/>
      <c r="LCI209" s="243"/>
      <c r="LCJ209" s="243"/>
      <c r="LCK209" s="243"/>
      <c r="LCL209" s="243"/>
      <c r="LCM209" s="243"/>
      <c r="LCN209" s="243"/>
      <c r="LCO209" s="243"/>
      <c r="LCP209" s="243"/>
      <c r="LCQ209" s="243"/>
      <c r="LCR209" s="243"/>
      <c r="LCS209" s="243"/>
      <c r="LCT209" s="243"/>
      <c r="LCU209" s="243"/>
      <c r="LCV209" s="243"/>
      <c r="LCW209" s="243"/>
      <c r="LCX209" s="243"/>
      <c r="LCY209" s="243"/>
      <c r="LCZ209" s="243"/>
      <c r="LDA209" s="243"/>
      <c r="LDB209" s="243"/>
      <c r="LDC209" s="243"/>
      <c r="LDD209" s="243"/>
      <c r="LDE209" s="243"/>
      <c r="LDF209" s="243"/>
      <c r="LDG209" s="243"/>
      <c r="LDH209" s="243"/>
      <c r="LDI209" s="243"/>
      <c r="LDJ209" s="243"/>
      <c r="LDK209" s="243"/>
      <c r="LDL209" s="243"/>
      <c r="LDM209" s="243"/>
      <c r="LDN209" s="243"/>
      <c r="LDO209" s="243"/>
      <c r="LDP209" s="243"/>
      <c r="LDQ209" s="243"/>
      <c r="LDR209" s="243"/>
      <c r="LDS209" s="243"/>
      <c r="LDT209" s="243"/>
      <c r="LDU209" s="243"/>
      <c r="LDV209" s="243"/>
      <c r="LDW209" s="243"/>
      <c r="LDX209" s="243"/>
      <c r="LDY209" s="243"/>
      <c r="LDZ209" s="243"/>
      <c r="LEA209" s="243"/>
      <c r="LEB209" s="243"/>
      <c r="LEC209" s="243"/>
      <c r="LED209" s="243"/>
      <c r="LEE209" s="243"/>
      <c r="LEF209" s="243"/>
      <c r="LEG209" s="243"/>
      <c r="LEH209" s="243"/>
      <c r="LEI209" s="243"/>
      <c r="LEJ209" s="243"/>
      <c r="LEK209" s="243"/>
      <c r="LEL209" s="243"/>
      <c r="LEM209" s="243"/>
      <c r="LEN209" s="243"/>
      <c r="LEO209" s="243"/>
      <c r="LEP209" s="243"/>
      <c r="LEQ209" s="243"/>
      <c r="LER209" s="243"/>
      <c r="LES209" s="243"/>
      <c r="LET209" s="243"/>
      <c r="LEU209" s="243"/>
      <c r="LEV209" s="243"/>
      <c r="LEW209" s="243"/>
      <c r="LEX209" s="243"/>
      <c r="LEY209" s="243"/>
      <c r="LEZ209" s="243"/>
      <c r="LFA209" s="243"/>
      <c r="LFB209" s="243"/>
      <c r="LFC209" s="243"/>
      <c r="LFD209" s="243"/>
      <c r="LFE209" s="243"/>
      <c r="LFF209" s="243"/>
      <c r="LFG209" s="243"/>
      <c r="LFH209" s="243"/>
      <c r="LFI209" s="243"/>
      <c r="LFJ209" s="243"/>
      <c r="LFK209" s="243"/>
      <c r="LFL209" s="243"/>
      <c r="LFM209" s="243"/>
      <c r="LFN209" s="243"/>
      <c r="LFO209" s="243"/>
      <c r="LFP209" s="243"/>
      <c r="LFQ209" s="243"/>
      <c r="LFR209" s="243"/>
      <c r="LFS209" s="243"/>
      <c r="LFT209" s="243"/>
      <c r="LFU209" s="243"/>
      <c r="LFV209" s="243"/>
      <c r="LFW209" s="243"/>
      <c r="LFX209" s="243"/>
      <c r="LFY209" s="243"/>
      <c r="LFZ209" s="243"/>
      <c r="LGA209" s="243"/>
      <c r="LGB209" s="243"/>
      <c r="LGC209" s="243"/>
      <c r="LGD209" s="243"/>
      <c r="LGE209" s="243"/>
      <c r="LGF209" s="243"/>
      <c r="LGG209" s="243"/>
      <c r="LGH209" s="243"/>
      <c r="LGI209" s="243"/>
      <c r="LGJ209" s="243"/>
      <c r="LGK209" s="243"/>
      <c r="LGL209" s="243"/>
      <c r="LGM209" s="243"/>
      <c r="LGN209" s="243"/>
      <c r="LGO209" s="243"/>
      <c r="LGP209" s="243"/>
      <c r="LGQ209" s="243"/>
      <c r="LGR209" s="243"/>
      <c r="LGS209" s="243"/>
      <c r="LGT209" s="243"/>
      <c r="LGU209" s="243"/>
      <c r="LGV209" s="243"/>
      <c r="LGW209" s="243"/>
      <c r="LGX209" s="243"/>
      <c r="LGY209" s="243"/>
      <c r="LGZ209" s="243"/>
      <c r="LHA209" s="243"/>
      <c r="LHB209" s="243"/>
      <c r="LHC209" s="243"/>
      <c r="LHD209" s="243"/>
      <c r="LHE209" s="243"/>
      <c r="LHF209" s="243"/>
      <c r="LHG209" s="243"/>
      <c r="LHH209" s="243"/>
      <c r="LHI209" s="243"/>
      <c r="LHJ209" s="243"/>
      <c r="LHK209" s="243"/>
      <c r="LHL209" s="243"/>
      <c r="LHM209" s="243"/>
      <c r="LHN209" s="243"/>
      <c r="LHO209" s="243"/>
      <c r="LHP209" s="243"/>
      <c r="LHQ209" s="243"/>
      <c r="LHR209" s="243"/>
      <c r="LHS209" s="243"/>
      <c r="LHT209" s="243"/>
      <c r="LHU209" s="243"/>
      <c r="LHV209" s="243"/>
      <c r="LHW209" s="243"/>
      <c r="LHX209" s="243"/>
      <c r="LHY209" s="243"/>
      <c r="LHZ209" s="243"/>
      <c r="LIA209" s="243"/>
      <c r="LIB209" s="243"/>
      <c r="LIC209" s="243"/>
      <c r="LID209" s="243"/>
      <c r="LIE209" s="243"/>
      <c r="LIF209" s="243"/>
      <c r="LIG209" s="243"/>
      <c r="LIH209" s="243"/>
      <c r="LII209" s="243"/>
      <c r="LIJ209" s="243"/>
      <c r="LIK209" s="243"/>
      <c r="LIL209" s="243"/>
      <c r="LIM209" s="243"/>
      <c r="LIN209" s="243"/>
      <c r="LIO209" s="243"/>
      <c r="LIP209" s="243"/>
      <c r="LIQ209" s="243"/>
      <c r="LIR209" s="243"/>
      <c r="LIS209" s="243"/>
      <c r="LIT209" s="243"/>
      <c r="LIU209" s="243"/>
      <c r="LIV209" s="243"/>
      <c r="LIW209" s="243"/>
      <c r="LIX209" s="243"/>
      <c r="LIY209" s="243"/>
      <c r="LIZ209" s="243"/>
      <c r="LJA209" s="243"/>
      <c r="LJB209" s="243"/>
      <c r="LJC209" s="243"/>
      <c r="LJD209" s="243"/>
      <c r="LJE209" s="243"/>
      <c r="LJF209" s="243"/>
      <c r="LJG209" s="243"/>
      <c r="LJH209" s="243"/>
      <c r="LJI209" s="243"/>
      <c r="LJJ209" s="243"/>
      <c r="LJK209" s="243"/>
      <c r="LJL209" s="243"/>
      <c r="LJM209" s="243"/>
      <c r="LJN209" s="243"/>
      <c r="LJO209" s="243"/>
      <c r="LJP209" s="243"/>
      <c r="LJQ209" s="243"/>
      <c r="LJR209" s="243"/>
      <c r="LJS209" s="243"/>
      <c r="LJT209" s="243"/>
      <c r="LJU209" s="243"/>
      <c r="LJV209" s="243"/>
      <c r="LJW209" s="243"/>
      <c r="LJX209" s="243"/>
      <c r="LJY209" s="243"/>
      <c r="LJZ209" s="243"/>
      <c r="LKA209" s="243"/>
      <c r="LKB209" s="243"/>
      <c r="LKC209" s="243"/>
      <c r="LKD209" s="243"/>
      <c r="LKE209" s="243"/>
      <c r="LKF209" s="243"/>
      <c r="LKG209" s="243"/>
      <c r="LKH209" s="243"/>
      <c r="LKI209" s="243"/>
      <c r="LKJ209" s="243"/>
      <c r="LKK209" s="243"/>
      <c r="LKL209" s="243"/>
      <c r="LKM209" s="243"/>
      <c r="LKN209" s="243"/>
      <c r="LKO209" s="243"/>
      <c r="LKP209" s="243"/>
      <c r="LKQ209" s="243"/>
      <c r="LKR209" s="243"/>
      <c r="LKS209" s="243"/>
      <c r="LKT209" s="243"/>
      <c r="LKU209" s="243"/>
      <c r="LKV209" s="243"/>
      <c r="LKW209" s="243"/>
      <c r="LKX209" s="243"/>
      <c r="LKY209" s="243"/>
      <c r="LKZ209" s="243"/>
      <c r="LLA209" s="243"/>
      <c r="LLB209" s="243"/>
      <c r="LLC209" s="243"/>
      <c r="LLD209" s="243"/>
      <c r="LLE209" s="243"/>
      <c r="LLF209" s="243"/>
      <c r="LLG209" s="243"/>
      <c r="LLH209" s="243"/>
      <c r="LLI209" s="243"/>
      <c r="LLJ209" s="243"/>
      <c r="LLK209" s="243"/>
      <c r="LLL209" s="243"/>
      <c r="LLM209" s="243"/>
      <c r="LLN209" s="243"/>
      <c r="LLO209" s="243"/>
      <c r="LLP209" s="243"/>
      <c r="LLQ209" s="243"/>
      <c r="LLR209" s="243"/>
      <c r="LLS209" s="243"/>
      <c r="LLT209" s="243"/>
      <c r="LLU209" s="243"/>
      <c r="LLV209" s="243"/>
      <c r="LLW209" s="243"/>
      <c r="LLX209" s="243"/>
      <c r="LLY209" s="243"/>
      <c r="LLZ209" s="243"/>
      <c r="LMA209" s="243"/>
      <c r="LMB209" s="243"/>
      <c r="LMC209" s="243"/>
      <c r="LMD209" s="243"/>
      <c r="LME209" s="243"/>
      <c r="LMF209" s="243"/>
      <c r="LMG209" s="243"/>
      <c r="LMH209" s="243"/>
      <c r="LMI209" s="243"/>
      <c r="LMJ209" s="243"/>
      <c r="LMK209" s="243"/>
      <c r="LML209" s="243"/>
      <c r="LMM209" s="243"/>
      <c r="LMN209" s="243"/>
      <c r="LMO209" s="243"/>
      <c r="LMP209" s="243"/>
      <c r="LMQ209" s="243"/>
      <c r="LMR209" s="243"/>
      <c r="LMS209" s="243"/>
      <c r="LMT209" s="243"/>
      <c r="LMU209" s="243"/>
      <c r="LMV209" s="243"/>
      <c r="LMW209" s="243"/>
      <c r="LMX209" s="243"/>
      <c r="LMY209" s="243"/>
      <c r="LMZ209" s="243"/>
      <c r="LNA209" s="243"/>
      <c r="LNB209" s="243"/>
      <c r="LNC209" s="243"/>
      <c r="LND209" s="243"/>
      <c r="LNE209" s="243"/>
      <c r="LNF209" s="243"/>
      <c r="LNG209" s="243"/>
      <c r="LNH209" s="243"/>
      <c r="LNI209" s="243"/>
      <c r="LNJ209" s="243"/>
      <c r="LNK209" s="243"/>
      <c r="LNL209" s="243"/>
      <c r="LNM209" s="243"/>
      <c r="LNN209" s="243"/>
      <c r="LNO209" s="243"/>
      <c r="LNP209" s="243"/>
      <c r="LNQ209" s="243"/>
      <c r="LNR209" s="243"/>
      <c r="LNS209" s="243"/>
      <c r="LNT209" s="243"/>
      <c r="LNU209" s="243"/>
      <c r="LNV209" s="243"/>
      <c r="LNW209" s="243"/>
      <c r="LNX209" s="243"/>
      <c r="LNY209" s="243"/>
      <c r="LNZ209" s="243"/>
      <c r="LOA209" s="243"/>
      <c r="LOB209" s="243"/>
      <c r="LOC209" s="243"/>
      <c r="LOD209" s="243"/>
      <c r="LOE209" s="243"/>
      <c r="LOF209" s="243"/>
      <c r="LOG209" s="243"/>
      <c r="LOH209" s="243"/>
      <c r="LOI209" s="243"/>
      <c r="LOJ209" s="243"/>
      <c r="LOK209" s="243"/>
      <c r="LOL209" s="243"/>
      <c r="LOM209" s="243"/>
      <c r="LON209" s="243"/>
      <c r="LOO209" s="243"/>
      <c r="LOP209" s="243"/>
      <c r="LOQ209" s="243"/>
      <c r="LOR209" s="243"/>
      <c r="LOS209" s="243"/>
      <c r="LOT209" s="243"/>
      <c r="LOU209" s="243"/>
      <c r="LOV209" s="243"/>
      <c r="LOW209" s="243"/>
      <c r="LOX209" s="243"/>
      <c r="LOY209" s="243"/>
      <c r="LOZ209" s="243"/>
      <c r="LPA209" s="243"/>
      <c r="LPB209" s="243"/>
      <c r="LPC209" s="243"/>
      <c r="LPD209" s="243"/>
      <c r="LPE209" s="243"/>
      <c r="LPF209" s="243"/>
      <c r="LPG209" s="243"/>
      <c r="LPH209" s="243"/>
      <c r="LPI209" s="243"/>
      <c r="LPJ209" s="243"/>
      <c r="LPK209" s="243"/>
      <c r="LPL209" s="243"/>
      <c r="LPM209" s="243"/>
      <c r="LPN209" s="243"/>
      <c r="LPO209" s="243"/>
      <c r="LPP209" s="243"/>
      <c r="LPQ209" s="243"/>
      <c r="LPR209" s="243"/>
      <c r="LPS209" s="243"/>
      <c r="LPT209" s="243"/>
      <c r="LPU209" s="243"/>
      <c r="LPV209" s="243"/>
      <c r="LPW209" s="243"/>
      <c r="LPX209" s="243"/>
      <c r="LPY209" s="243"/>
      <c r="LPZ209" s="243"/>
      <c r="LQA209" s="243"/>
      <c r="LQB209" s="243"/>
      <c r="LQC209" s="243"/>
      <c r="LQD209" s="243"/>
      <c r="LQE209" s="243"/>
      <c r="LQF209" s="243"/>
      <c r="LQG209" s="243"/>
      <c r="LQH209" s="243"/>
      <c r="LQI209" s="243"/>
      <c r="LQJ209" s="243"/>
      <c r="LQK209" s="243"/>
      <c r="LQL209" s="243"/>
      <c r="LQM209" s="243"/>
      <c r="LQN209" s="243"/>
      <c r="LQO209" s="243"/>
      <c r="LQP209" s="243"/>
      <c r="LQQ209" s="243"/>
      <c r="LQR209" s="243"/>
      <c r="LQS209" s="243"/>
      <c r="LQT209" s="243"/>
      <c r="LQU209" s="243"/>
      <c r="LQV209" s="243"/>
      <c r="LQW209" s="243"/>
      <c r="LQX209" s="243"/>
      <c r="LQY209" s="243"/>
      <c r="LQZ209" s="243"/>
      <c r="LRA209" s="243"/>
      <c r="LRB209" s="243"/>
      <c r="LRC209" s="243"/>
      <c r="LRD209" s="243"/>
      <c r="LRE209" s="243"/>
      <c r="LRF209" s="243"/>
      <c r="LRG209" s="243"/>
      <c r="LRH209" s="243"/>
      <c r="LRI209" s="243"/>
      <c r="LRJ209" s="243"/>
      <c r="LRK209" s="243"/>
      <c r="LRL209" s="243"/>
      <c r="LRM209" s="243"/>
      <c r="LRN209" s="243"/>
      <c r="LRO209" s="243"/>
      <c r="LRP209" s="243"/>
      <c r="LRQ209" s="243"/>
      <c r="LRR209" s="243"/>
      <c r="LRS209" s="243"/>
      <c r="LRT209" s="243"/>
      <c r="LRU209" s="243"/>
      <c r="LRV209" s="243"/>
      <c r="LRW209" s="243"/>
      <c r="LRX209" s="243"/>
      <c r="LRY209" s="243"/>
      <c r="LRZ209" s="243"/>
      <c r="LSA209" s="243"/>
      <c r="LSB209" s="243"/>
      <c r="LSC209" s="243"/>
      <c r="LSD209" s="243"/>
      <c r="LSE209" s="243"/>
      <c r="LSF209" s="243"/>
      <c r="LSG209" s="243"/>
      <c r="LSH209" s="243"/>
      <c r="LSI209" s="243"/>
      <c r="LSJ209" s="243"/>
      <c r="LSK209" s="243"/>
      <c r="LSL209" s="243"/>
      <c r="LSM209" s="243"/>
      <c r="LSN209" s="243"/>
      <c r="LSO209" s="243"/>
      <c r="LSP209" s="243"/>
      <c r="LSQ209" s="243"/>
      <c r="LSR209" s="243"/>
      <c r="LSS209" s="243"/>
      <c r="LST209" s="243"/>
      <c r="LSU209" s="243"/>
      <c r="LSV209" s="243"/>
      <c r="LSW209" s="243"/>
      <c r="LSX209" s="243"/>
      <c r="LSY209" s="243"/>
      <c r="LSZ209" s="243"/>
      <c r="LTA209" s="243"/>
      <c r="LTB209" s="243"/>
      <c r="LTC209" s="243"/>
      <c r="LTD209" s="243"/>
      <c r="LTE209" s="243"/>
      <c r="LTF209" s="243"/>
      <c r="LTG209" s="243"/>
      <c r="LTH209" s="243"/>
      <c r="LTI209" s="243"/>
      <c r="LTJ209" s="243"/>
      <c r="LTK209" s="243"/>
      <c r="LTL209" s="243"/>
      <c r="LTM209" s="243"/>
      <c r="LTN209" s="243"/>
      <c r="LTO209" s="243"/>
      <c r="LTP209" s="243"/>
      <c r="LTQ209" s="243"/>
      <c r="LTR209" s="243"/>
      <c r="LTS209" s="243"/>
      <c r="LTT209" s="243"/>
      <c r="LTU209" s="243"/>
      <c r="LTV209" s="243"/>
      <c r="LTW209" s="243"/>
      <c r="LTX209" s="243"/>
      <c r="LTY209" s="243"/>
      <c r="LTZ209" s="243"/>
      <c r="LUA209" s="243"/>
      <c r="LUB209" s="243"/>
      <c r="LUC209" s="243"/>
      <c r="LUD209" s="243"/>
      <c r="LUE209" s="243"/>
      <c r="LUF209" s="243"/>
      <c r="LUG209" s="243"/>
      <c r="LUH209" s="243"/>
      <c r="LUI209" s="243"/>
      <c r="LUJ209" s="243"/>
      <c r="LUK209" s="243"/>
      <c r="LUL209" s="243"/>
      <c r="LUM209" s="243"/>
      <c r="LUN209" s="243"/>
      <c r="LUO209" s="243"/>
      <c r="LUP209" s="243"/>
      <c r="LUQ209" s="243"/>
      <c r="LUR209" s="243"/>
      <c r="LUS209" s="243"/>
      <c r="LUT209" s="243"/>
      <c r="LUU209" s="243"/>
      <c r="LUV209" s="243"/>
      <c r="LUW209" s="243"/>
      <c r="LUX209" s="243"/>
      <c r="LUY209" s="243"/>
      <c r="LUZ209" s="243"/>
      <c r="LVA209" s="243"/>
      <c r="LVB209" s="243"/>
      <c r="LVC209" s="243"/>
      <c r="LVD209" s="243"/>
      <c r="LVE209" s="243"/>
      <c r="LVF209" s="243"/>
      <c r="LVG209" s="243"/>
      <c r="LVH209" s="243"/>
      <c r="LVI209" s="243"/>
      <c r="LVJ209" s="243"/>
      <c r="LVK209" s="243"/>
      <c r="LVL209" s="243"/>
      <c r="LVM209" s="243"/>
      <c r="LVN209" s="243"/>
      <c r="LVO209" s="243"/>
      <c r="LVP209" s="243"/>
      <c r="LVQ209" s="243"/>
      <c r="LVR209" s="243"/>
      <c r="LVS209" s="243"/>
      <c r="LVT209" s="243"/>
      <c r="LVU209" s="243"/>
      <c r="LVV209" s="243"/>
      <c r="LVW209" s="243"/>
      <c r="LVX209" s="243"/>
      <c r="LVY209" s="243"/>
      <c r="LVZ209" s="243"/>
      <c r="LWA209" s="243"/>
      <c r="LWB209" s="243"/>
      <c r="LWC209" s="243"/>
      <c r="LWD209" s="243"/>
      <c r="LWE209" s="243"/>
      <c r="LWF209" s="243"/>
      <c r="LWG209" s="243"/>
      <c r="LWH209" s="243"/>
      <c r="LWI209" s="243"/>
      <c r="LWJ209" s="243"/>
      <c r="LWK209" s="243"/>
      <c r="LWL209" s="243"/>
      <c r="LWM209" s="243"/>
      <c r="LWN209" s="243"/>
      <c r="LWO209" s="243"/>
      <c r="LWP209" s="243"/>
      <c r="LWQ209" s="243"/>
      <c r="LWR209" s="243"/>
      <c r="LWS209" s="243"/>
      <c r="LWT209" s="243"/>
      <c r="LWU209" s="243"/>
      <c r="LWV209" s="243"/>
      <c r="LWW209" s="243"/>
      <c r="LWX209" s="243"/>
      <c r="LWY209" s="243"/>
      <c r="LWZ209" s="243"/>
      <c r="LXA209" s="243"/>
      <c r="LXB209" s="243"/>
      <c r="LXC209" s="243"/>
      <c r="LXD209" s="243"/>
      <c r="LXE209" s="243"/>
      <c r="LXF209" s="243"/>
      <c r="LXG209" s="243"/>
      <c r="LXH209" s="243"/>
      <c r="LXI209" s="243"/>
      <c r="LXJ209" s="243"/>
      <c r="LXK209" s="243"/>
      <c r="LXL209" s="243"/>
      <c r="LXM209" s="243"/>
      <c r="LXN209" s="243"/>
      <c r="LXO209" s="243"/>
      <c r="LXP209" s="243"/>
      <c r="LXQ209" s="243"/>
      <c r="LXR209" s="243"/>
      <c r="LXS209" s="243"/>
      <c r="LXT209" s="243"/>
      <c r="LXU209" s="243"/>
      <c r="LXV209" s="243"/>
      <c r="LXW209" s="243"/>
      <c r="LXX209" s="243"/>
      <c r="LXY209" s="243"/>
      <c r="LXZ209" s="243"/>
      <c r="LYA209" s="243"/>
      <c r="LYB209" s="243"/>
      <c r="LYC209" s="243"/>
      <c r="LYD209" s="243"/>
      <c r="LYE209" s="243"/>
      <c r="LYF209" s="243"/>
      <c r="LYG209" s="243"/>
      <c r="LYH209" s="243"/>
      <c r="LYI209" s="243"/>
      <c r="LYJ209" s="243"/>
      <c r="LYK209" s="243"/>
      <c r="LYL209" s="243"/>
      <c r="LYM209" s="243"/>
      <c r="LYN209" s="243"/>
      <c r="LYO209" s="243"/>
      <c r="LYP209" s="243"/>
      <c r="LYQ209" s="243"/>
      <c r="LYR209" s="243"/>
      <c r="LYS209" s="243"/>
      <c r="LYT209" s="243"/>
      <c r="LYU209" s="243"/>
      <c r="LYV209" s="243"/>
      <c r="LYW209" s="243"/>
      <c r="LYX209" s="243"/>
      <c r="LYY209" s="243"/>
      <c r="LYZ209" s="243"/>
      <c r="LZA209" s="243"/>
      <c r="LZB209" s="243"/>
      <c r="LZC209" s="243"/>
      <c r="LZD209" s="243"/>
      <c r="LZE209" s="243"/>
      <c r="LZF209" s="243"/>
      <c r="LZG209" s="243"/>
      <c r="LZH209" s="243"/>
      <c r="LZI209" s="243"/>
      <c r="LZJ209" s="243"/>
      <c r="LZK209" s="243"/>
      <c r="LZL209" s="243"/>
      <c r="LZM209" s="243"/>
      <c r="LZN209" s="243"/>
      <c r="LZO209" s="243"/>
      <c r="LZP209" s="243"/>
      <c r="LZQ209" s="243"/>
      <c r="LZR209" s="243"/>
      <c r="LZS209" s="243"/>
      <c r="LZT209" s="243"/>
      <c r="LZU209" s="243"/>
      <c r="LZV209" s="243"/>
      <c r="LZW209" s="243"/>
      <c r="LZX209" s="243"/>
      <c r="LZY209" s="243"/>
      <c r="LZZ209" s="243"/>
      <c r="MAA209" s="243"/>
      <c r="MAB209" s="243"/>
      <c r="MAC209" s="243"/>
      <c r="MAD209" s="243"/>
      <c r="MAE209" s="243"/>
      <c r="MAF209" s="243"/>
      <c r="MAG209" s="243"/>
      <c r="MAH209" s="243"/>
      <c r="MAI209" s="243"/>
      <c r="MAJ209" s="243"/>
      <c r="MAK209" s="243"/>
      <c r="MAL209" s="243"/>
      <c r="MAM209" s="243"/>
      <c r="MAN209" s="243"/>
      <c r="MAO209" s="243"/>
      <c r="MAP209" s="243"/>
      <c r="MAQ209" s="243"/>
      <c r="MAR209" s="243"/>
      <c r="MAS209" s="243"/>
      <c r="MAT209" s="243"/>
      <c r="MAU209" s="243"/>
      <c r="MAV209" s="243"/>
      <c r="MAW209" s="243"/>
      <c r="MAX209" s="243"/>
      <c r="MAY209" s="243"/>
      <c r="MAZ209" s="243"/>
      <c r="MBA209" s="243"/>
      <c r="MBB209" s="243"/>
      <c r="MBC209" s="243"/>
      <c r="MBD209" s="243"/>
      <c r="MBE209" s="243"/>
      <c r="MBF209" s="243"/>
      <c r="MBG209" s="243"/>
      <c r="MBH209" s="243"/>
      <c r="MBI209" s="243"/>
      <c r="MBJ209" s="243"/>
      <c r="MBK209" s="243"/>
      <c r="MBL209" s="243"/>
      <c r="MBM209" s="243"/>
      <c r="MBN209" s="243"/>
      <c r="MBO209" s="243"/>
      <c r="MBP209" s="243"/>
      <c r="MBQ209" s="243"/>
      <c r="MBR209" s="243"/>
      <c r="MBS209" s="243"/>
      <c r="MBT209" s="243"/>
      <c r="MBU209" s="243"/>
      <c r="MBV209" s="243"/>
      <c r="MBW209" s="243"/>
      <c r="MBX209" s="243"/>
      <c r="MBY209" s="243"/>
      <c r="MBZ209" s="243"/>
      <c r="MCA209" s="243"/>
      <c r="MCB209" s="243"/>
      <c r="MCC209" s="243"/>
      <c r="MCD209" s="243"/>
      <c r="MCE209" s="243"/>
      <c r="MCF209" s="243"/>
      <c r="MCG209" s="243"/>
      <c r="MCH209" s="243"/>
      <c r="MCI209" s="243"/>
      <c r="MCJ209" s="243"/>
      <c r="MCK209" s="243"/>
      <c r="MCL209" s="243"/>
      <c r="MCM209" s="243"/>
      <c r="MCN209" s="243"/>
      <c r="MCO209" s="243"/>
      <c r="MCP209" s="243"/>
      <c r="MCQ209" s="243"/>
      <c r="MCR209" s="243"/>
      <c r="MCS209" s="243"/>
      <c r="MCT209" s="243"/>
      <c r="MCU209" s="243"/>
      <c r="MCV209" s="243"/>
      <c r="MCW209" s="243"/>
      <c r="MCX209" s="243"/>
      <c r="MCY209" s="243"/>
      <c r="MCZ209" s="243"/>
      <c r="MDA209" s="243"/>
      <c r="MDB209" s="243"/>
      <c r="MDC209" s="243"/>
      <c r="MDD209" s="243"/>
      <c r="MDE209" s="243"/>
      <c r="MDF209" s="243"/>
      <c r="MDG209" s="243"/>
      <c r="MDH209" s="243"/>
      <c r="MDI209" s="243"/>
      <c r="MDJ209" s="243"/>
      <c r="MDK209" s="243"/>
      <c r="MDL209" s="243"/>
      <c r="MDM209" s="243"/>
      <c r="MDN209" s="243"/>
      <c r="MDO209" s="243"/>
      <c r="MDP209" s="243"/>
      <c r="MDQ209" s="243"/>
      <c r="MDR209" s="243"/>
      <c r="MDS209" s="243"/>
      <c r="MDT209" s="243"/>
      <c r="MDU209" s="243"/>
      <c r="MDV209" s="243"/>
      <c r="MDW209" s="243"/>
      <c r="MDX209" s="243"/>
      <c r="MDY209" s="243"/>
      <c r="MDZ209" s="243"/>
      <c r="MEA209" s="243"/>
      <c r="MEB209" s="243"/>
      <c r="MEC209" s="243"/>
      <c r="MED209" s="243"/>
      <c r="MEE209" s="243"/>
      <c r="MEF209" s="243"/>
      <c r="MEG209" s="243"/>
      <c r="MEH209" s="243"/>
      <c r="MEI209" s="243"/>
      <c r="MEJ209" s="243"/>
      <c r="MEK209" s="243"/>
      <c r="MEL209" s="243"/>
      <c r="MEM209" s="243"/>
      <c r="MEN209" s="243"/>
      <c r="MEO209" s="243"/>
      <c r="MEP209" s="243"/>
      <c r="MEQ209" s="243"/>
      <c r="MER209" s="243"/>
      <c r="MES209" s="243"/>
      <c r="MET209" s="243"/>
      <c r="MEU209" s="243"/>
      <c r="MEV209" s="243"/>
      <c r="MEW209" s="243"/>
      <c r="MEX209" s="243"/>
      <c r="MEY209" s="243"/>
      <c r="MEZ209" s="243"/>
      <c r="MFA209" s="243"/>
      <c r="MFB209" s="243"/>
      <c r="MFC209" s="243"/>
      <c r="MFD209" s="243"/>
      <c r="MFE209" s="243"/>
      <c r="MFF209" s="243"/>
      <c r="MFG209" s="243"/>
      <c r="MFH209" s="243"/>
      <c r="MFI209" s="243"/>
      <c r="MFJ209" s="243"/>
      <c r="MFK209" s="243"/>
      <c r="MFL209" s="243"/>
      <c r="MFM209" s="243"/>
      <c r="MFN209" s="243"/>
      <c r="MFO209" s="243"/>
      <c r="MFP209" s="243"/>
      <c r="MFQ209" s="243"/>
      <c r="MFR209" s="243"/>
      <c r="MFS209" s="243"/>
      <c r="MFT209" s="243"/>
      <c r="MFU209" s="243"/>
      <c r="MFV209" s="243"/>
      <c r="MFW209" s="243"/>
      <c r="MFX209" s="243"/>
      <c r="MFY209" s="243"/>
      <c r="MFZ209" s="243"/>
      <c r="MGA209" s="243"/>
      <c r="MGB209" s="243"/>
      <c r="MGC209" s="243"/>
      <c r="MGD209" s="243"/>
      <c r="MGE209" s="243"/>
      <c r="MGF209" s="243"/>
      <c r="MGG209" s="243"/>
      <c r="MGH209" s="243"/>
      <c r="MGI209" s="243"/>
      <c r="MGJ209" s="243"/>
      <c r="MGK209" s="243"/>
      <c r="MGL209" s="243"/>
      <c r="MGM209" s="243"/>
      <c r="MGN209" s="243"/>
      <c r="MGO209" s="243"/>
      <c r="MGP209" s="243"/>
      <c r="MGQ209" s="243"/>
      <c r="MGR209" s="243"/>
      <c r="MGS209" s="243"/>
      <c r="MGT209" s="243"/>
      <c r="MGU209" s="243"/>
      <c r="MGV209" s="243"/>
      <c r="MGW209" s="243"/>
      <c r="MGX209" s="243"/>
      <c r="MGY209" s="243"/>
      <c r="MGZ209" s="243"/>
      <c r="MHA209" s="243"/>
      <c r="MHB209" s="243"/>
      <c r="MHC209" s="243"/>
      <c r="MHD209" s="243"/>
      <c r="MHE209" s="243"/>
      <c r="MHF209" s="243"/>
      <c r="MHG209" s="243"/>
      <c r="MHH209" s="243"/>
      <c r="MHI209" s="243"/>
      <c r="MHJ209" s="243"/>
      <c r="MHK209" s="243"/>
      <c r="MHL209" s="243"/>
      <c r="MHM209" s="243"/>
      <c r="MHN209" s="243"/>
      <c r="MHO209" s="243"/>
      <c r="MHP209" s="243"/>
      <c r="MHQ209" s="243"/>
      <c r="MHR209" s="243"/>
      <c r="MHS209" s="243"/>
      <c r="MHT209" s="243"/>
      <c r="MHU209" s="243"/>
      <c r="MHV209" s="243"/>
      <c r="MHW209" s="243"/>
      <c r="MHX209" s="243"/>
      <c r="MHY209" s="243"/>
      <c r="MHZ209" s="243"/>
      <c r="MIA209" s="243"/>
      <c r="MIB209" s="243"/>
      <c r="MIC209" s="243"/>
      <c r="MID209" s="243"/>
      <c r="MIE209" s="243"/>
      <c r="MIF209" s="243"/>
      <c r="MIG209" s="243"/>
      <c r="MIH209" s="243"/>
      <c r="MII209" s="243"/>
      <c r="MIJ209" s="243"/>
      <c r="MIK209" s="243"/>
      <c r="MIL209" s="243"/>
      <c r="MIM209" s="243"/>
      <c r="MIN209" s="243"/>
      <c r="MIO209" s="243"/>
      <c r="MIP209" s="243"/>
      <c r="MIQ209" s="243"/>
      <c r="MIR209" s="243"/>
      <c r="MIS209" s="243"/>
      <c r="MIT209" s="243"/>
      <c r="MIU209" s="243"/>
      <c r="MIV209" s="243"/>
      <c r="MIW209" s="243"/>
      <c r="MIX209" s="243"/>
      <c r="MIY209" s="243"/>
      <c r="MIZ209" s="243"/>
      <c r="MJA209" s="243"/>
      <c r="MJB209" s="243"/>
      <c r="MJC209" s="243"/>
      <c r="MJD209" s="243"/>
      <c r="MJE209" s="243"/>
      <c r="MJF209" s="243"/>
      <c r="MJG209" s="243"/>
      <c r="MJH209" s="243"/>
      <c r="MJI209" s="243"/>
      <c r="MJJ209" s="243"/>
      <c r="MJK209" s="243"/>
      <c r="MJL209" s="243"/>
      <c r="MJM209" s="243"/>
      <c r="MJN209" s="243"/>
      <c r="MJO209" s="243"/>
      <c r="MJP209" s="243"/>
      <c r="MJQ209" s="243"/>
      <c r="MJR209" s="243"/>
      <c r="MJS209" s="243"/>
      <c r="MJT209" s="243"/>
      <c r="MJU209" s="243"/>
      <c r="MJV209" s="243"/>
      <c r="MJW209" s="243"/>
      <c r="MJX209" s="243"/>
      <c r="MJY209" s="243"/>
      <c r="MJZ209" s="243"/>
      <c r="MKA209" s="243"/>
      <c r="MKB209" s="243"/>
      <c r="MKC209" s="243"/>
      <c r="MKD209" s="243"/>
      <c r="MKE209" s="243"/>
      <c r="MKF209" s="243"/>
      <c r="MKG209" s="243"/>
      <c r="MKH209" s="243"/>
      <c r="MKI209" s="243"/>
      <c r="MKJ209" s="243"/>
      <c r="MKK209" s="243"/>
      <c r="MKL209" s="243"/>
      <c r="MKM209" s="243"/>
      <c r="MKN209" s="243"/>
      <c r="MKO209" s="243"/>
      <c r="MKP209" s="243"/>
      <c r="MKQ209" s="243"/>
      <c r="MKR209" s="243"/>
      <c r="MKS209" s="243"/>
      <c r="MKT209" s="243"/>
      <c r="MKU209" s="243"/>
      <c r="MKV209" s="243"/>
      <c r="MKW209" s="243"/>
      <c r="MKX209" s="243"/>
      <c r="MKY209" s="243"/>
      <c r="MKZ209" s="243"/>
      <c r="MLA209" s="243"/>
      <c r="MLB209" s="243"/>
      <c r="MLC209" s="243"/>
      <c r="MLD209" s="243"/>
      <c r="MLE209" s="243"/>
      <c r="MLF209" s="243"/>
      <c r="MLG209" s="243"/>
      <c r="MLH209" s="243"/>
      <c r="MLI209" s="243"/>
      <c r="MLJ209" s="243"/>
      <c r="MLK209" s="243"/>
      <c r="MLL209" s="243"/>
      <c r="MLM209" s="243"/>
      <c r="MLN209" s="243"/>
      <c r="MLO209" s="243"/>
      <c r="MLP209" s="243"/>
      <c r="MLQ209" s="243"/>
      <c r="MLR209" s="243"/>
      <c r="MLS209" s="243"/>
      <c r="MLT209" s="243"/>
      <c r="MLU209" s="243"/>
      <c r="MLV209" s="243"/>
      <c r="MLW209" s="243"/>
      <c r="MLX209" s="243"/>
      <c r="MLY209" s="243"/>
      <c r="MLZ209" s="243"/>
      <c r="MMA209" s="243"/>
      <c r="MMB209" s="243"/>
      <c r="MMC209" s="243"/>
      <c r="MMD209" s="243"/>
      <c r="MME209" s="243"/>
      <c r="MMF209" s="243"/>
      <c r="MMG209" s="243"/>
      <c r="MMH209" s="243"/>
      <c r="MMI209" s="243"/>
      <c r="MMJ209" s="243"/>
      <c r="MMK209" s="243"/>
      <c r="MML209" s="243"/>
      <c r="MMM209" s="243"/>
      <c r="MMN209" s="243"/>
      <c r="MMO209" s="243"/>
      <c r="MMP209" s="243"/>
      <c r="MMQ209" s="243"/>
      <c r="MMR209" s="243"/>
      <c r="MMS209" s="243"/>
      <c r="MMT209" s="243"/>
      <c r="MMU209" s="243"/>
      <c r="MMV209" s="243"/>
      <c r="MMW209" s="243"/>
      <c r="MMX209" s="243"/>
      <c r="MMY209" s="243"/>
      <c r="MMZ209" s="243"/>
      <c r="MNA209" s="243"/>
      <c r="MNB209" s="243"/>
      <c r="MNC209" s="243"/>
      <c r="MND209" s="243"/>
      <c r="MNE209" s="243"/>
      <c r="MNF209" s="243"/>
      <c r="MNG209" s="243"/>
      <c r="MNH209" s="243"/>
      <c r="MNI209" s="243"/>
      <c r="MNJ209" s="243"/>
      <c r="MNK209" s="243"/>
      <c r="MNL209" s="243"/>
      <c r="MNM209" s="243"/>
      <c r="MNN209" s="243"/>
      <c r="MNO209" s="243"/>
      <c r="MNP209" s="243"/>
      <c r="MNQ209" s="243"/>
      <c r="MNR209" s="243"/>
      <c r="MNS209" s="243"/>
      <c r="MNT209" s="243"/>
      <c r="MNU209" s="243"/>
      <c r="MNV209" s="243"/>
      <c r="MNW209" s="243"/>
      <c r="MNX209" s="243"/>
      <c r="MNY209" s="243"/>
      <c r="MNZ209" s="243"/>
      <c r="MOA209" s="243"/>
      <c r="MOB209" s="243"/>
      <c r="MOC209" s="243"/>
      <c r="MOD209" s="243"/>
      <c r="MOE209" s="243"/>
      <c r="MOF209" s="243"/>
      <c r="MOG209" s="243"/>
      <c r="MOH209" s="243"/>
      <c r="MOI209" s="243"/>
      <c r="MOJ209" s="243"/>
      <c r="MOK209" s="243"/>
      <c r="MOL209" s="243"/>
      <c r="MOM209" s="243"/>
      <c r="MON209" s="243"/>
      <c r="MOO209" s="243"/>
      <c r="MOP209" s="243"/>
      <c r="MOQ209" s="243"/>
      <c r="MOR209" s="243"/>
      <c r="MOS209" s="243"/>
      <c r="MOT209" s="243"/>
      <c r="MOU209" s="243"/>
      <c r="MOV209" s="243"/>
      <c r="MOW209" s="243"/>
      <c r="MOX209" s="243"/>
      <c r="MOY209" s="243"/>
      <c r="MOZ209" s="243"/>
      <c r="MPA209" s="243"/>
      <c r="MPB209" s="243"/>
      <c r="MPC209" s="243"/>
      <c r="MPD209" s="243"/>
      <c r="MPE209" s="243"/>
      <c r="MPF209" s="243"/>
      <c r="MPG209" s="243"/>
      <c r="MPH209" s="243"/>
      <c r="MPI209" s="243"/>
      <c r="MPJ209" s="243"/>
      <c r="MPK209" s="243"/>
      <c r="MPL209" s="243"/>
      <c r="MPM209" s="243"/>
      <c r="MPN209" s="243"/>
      <c r="MPO209" s="243"/>
      <c r="MPP209" s="243"/>
      <c r="MPQ209" s="243"/>
      <c r="MPR209" s="243"/>
      <c r="MPS209" s="243"/>
      <c r="MPT209" s="243"/>
      <c r="MPU209" s="243"/>
      <c r="MPV209" s="243"/>
      <c r="MPW209" s="243"/>
      <c r="MPX209" s="243"/>
      <c r="MPY209" s="243"/>
      <c r="MPZ209" s="243"/>
      <c r="MQA209" s="243"/>
      <c r="MQB209" s="243"/>
      <c r="MQC209" s="243"/>
      <c r="MQD209" s="243"/>
      <c r="MQE209" s="243"/>
      <c r="MQF209" s="243"/>
      <c r="MQG209" s="243"/>
      <c r="MQH209" s="243"/>
      <c r="MQI209" s="243"/>
      <c r="MQJ209" s="243"/>
      <c r="MQK209" s="243"/>
      <c r="MQL209" s="243"/>
      <c r="MQM209" s="243"/>
      <c r="MQN209" s="243"/>
      <c r="MQO209" s="243"/>
      <c r="MQP209" s="243"/>
      <c r="MQQ209" s="243"/>
      <c r="MQR209" s="243"/>
      <c r="MQS209" s="243"/>
      <c r="MQT209" s="243"/>
      <c r="MQU209" s="243"/>
      <c r="MQV209" s="243"/>
      <c r="MQW209" s="243"/>
      <c r="MQX209" s="243"/>
      <c r="MQY209" s="243"/>
      <c r="MQZ209" s="243"/>
      <c r="MRA209" s="243"/>
      <c r="MRB209" s="243"/>
      <c r="MRC209" s="243"/>
      <c r="MRD209" s="243"/>
      <c r="MRE209" s="243"/>
      <c r="MRF209" s="243"/>
      <c r="MRG209" s="243"/>
      <c r="MRH209" s="243"/>
      <c r="MRI209" s="243"/>
      <c r="MRJ209" s="243"/>
      <c r="MRK209" s="243"/>
      <c r="MRL209" s="243"/>
      <c r="MRM209" s="243"/>
      <c r="MRN209" s="243"/>
      <c r="MRO209" s="243"/>
      <c r="MRP209" s="243"/>
      <c r="MRQ209" s="243"/>
      <c r="MRR209" s="243"/>
      <c r="MRS209" s="243"/>
      <c r="MRT209" s="243"/>
      <c r="MRU209" s="243"/>
      <c r="MRV209" s="243"/>
      <c r="MRW209" s="243"/>
      <c r="MRX209" s="243"/>
      <c r="MRY209" s="243"/>
      <c r="MRZ209" s="243"/>
      <c r="MSA209" s="243"/>
      <c r="MSB209" s="243"/>
      <c r="MSC209" s="243"/>
      <c r="MSD209" s="243"/>
      <c r="MSE209" s="243"/>
      <c r="MSF209" s="243"/>
      <c r="MSG209" s="243"/>
      <c r="MSH209" s="243"/>
      <c r="MSI209" s="243"/>
      <c r="MSJ209" s="243"/>
      <c r="MSK209" s="243"/>
      <c r="MSL209" s="243"/>
      <c r="MSM209" s="243"/>
      <c r="MSN209" s="243"/>
      <c r="MSO209" s="243"/>
      <c r="MSP209" s="243"/>
      <c r="MSQ209" s="243"/>
      <c r="MSR209" s="243"/>
      <c r="MSS209" s="243"/>
      <c r="MST209" s="243"/>
      <c r="MSU209" s="243"/>
      <c r="MSV209" s="243"/>
      <c r="MSW209" s="243"/>
      <c r="MSX209" s="243"/>
      <c r="MSY209" s="243"/>
      <c r="MSZ209" s="243"/>
      <c r="MTA209" s="243"/>
      <c r="MTB209" s="243"/>
      <c r="MTC209" s="243"/>
      <c r="MTD209" s="243"/>
      <c r="MTE209" s="243"/>
      <c r="MTF209" s="243"/>
      <c r="MTG209" s="243"/>
      <c r="MTH209" s="243"/>
      <c r="MTI209" s="243"/>
      <c r="MTJ209" s="243"/>
      <c r="MTK209" s="243"/>
      <c r="MTL209" s="243"/>
      <c r="MTM209" s="243"/>
      <c r="MTN209" s="243"/>
      <c r="MTO209" s="243"/>
      <c r="MTP209" s="243"/>
      <c r="MTQ209" s="243"/>
      <c r="MTR209" s="243"/>
      <c r="MTS209" s="243"/>
      <c r="MTT209" s="243"/>
      <c r="MTU209" s="243"/>
      <c r="MTV209" s="243"/>
      <c r="MTW209" s="243"/>
      <c r="MTX209" s="243"/>
      <c r="MTY209" s="243"/>
      <c r="MTZ209" s="243"/>
      <c r="MUA209" s="243"/>
      <c r="MUB209" s="243"/>
      <c r="MUC209" s="243"/>
      <c r="MUD209" s="243"/>
      <c r="MUE209" s="243"/>
      <c r="MUF209" s="243"/>
      <c r="MUG209" s="243"/>
      <c r="MUH209" s="243"/>
      <c r="MUI209" s="243"/>
      <c r="MUJ209" s="243"/>
      <c r="MUK209" s="243"/>
      <c r="MUL209" s="243"/>
      <c r="MUM209" s="243"/>
      <c r="MUN209" s="243"/>
      <c r="MUO209" s="243"/>
      <c r="MUP209" s="243"/>
      <c r="MUQ209" s="243"/>
      <c r="MUR209" s="243"/>
      <c r="MUS209" s="243"/>
      <c r="MUT209" s="243"/>
      <c r="MUU209" s="243"/>
      <c r="MUV209" s="243"/>
      <c r="MUW209" s="243"/>
      <c r="MUX209" s="243"/>
      <c r="MUY209" s="243"/>
      <c r="MUZ209" s="243"/>
      <c r="MVA209" s="243"/>
      <c r="MVB209" s="243"/>
      <c r="MVC209" s="243"/>
      <c r="MVD209" s="243"/>
      <c r="MVE209" s="243"/>
      <c r="MVF209" s="243"/>
      <c r="MVG209" s="243"/>
      <c r="MVH209" s="243"/>
      <c r="MVI209" s="243"/>
      <c r="MVJ209" s="243"/>
      <c r="MVK209" s="243"/>
      <c r="MVL209" s="243"/>
      <c r="MVM209" s="243"/>
      <c r="MVN209" s="243"/>
      <c r="MVO209" s="243"/>
      <c r="MVP209" s="243"/>
      <c r="MVQ209" s="243"/>
      <c r="MVR209" s="243"/>
      <c r="MVS209" s="243"/>
      <c r="MVT209" s="243"/>
      <c r="MVU209" s="243"/>
      <c r="MVV209" s="243"/>
      <c r="MVW209" s="243"/>
      <c r="MVX209" s="243"/>
      <c r="MVY209" s="243"/>
      <c r="MVZ209" s="243"/>
      <c r="MWA209" s="243"/>
      <c r="MWB209" s="243"/>
      <c r="MWC209" s="243"/>
      <c r="MWD209" s="243"/>
      <c r="MWE209" s="243"/>
      <c r="MWF209" s="243"/>
      <c r="MWG209" s="243"/>
      <c r="MWH209" s="243"/>
      <c r="MWI209" s="243"/>
      <c r="MWJ209" s="243"/>
      <c r="MWK209" s="243"/>
      <c r="MWL209" s="243"/>
      <c r="MWM209" s="243"/>
      <c r="MWN209" s="243"/>
      <c r="MWO209" s="243"/>
      <c r="MWP209" s="243"/>
      <c r="MWQ209" s="243"/>
      <c r="MWR209" s="243"/>
      <c r="MWS209" s="243"/>
      <c r="MWT209" s="243"/>
      <c r="MWU209" s="243"/>
      <c r="MWV209" s="243"/>
      <c r="MWW209" s="243"/>
      <c r="MWX209" s="243"/>
      <c r="MWY209" s="243"/>
      <c r="MWZ209" s="243"/>
      <c r="MXA209" s="243"/>
      <c r="MXB209" s="243"/>
      <c r="MXC209" s="243"/>
      <c r="MXD209" s="243"/>
      <c r="MXE209" s="243"/>
      <c r="MXF209" s="243"/>
      <c r="MXG209" s="243"/>
      <c r="MXH209" s="243"/>
      <c r="MXI209" s="243"/>
      <c r="MXJ209" s="243"/>
      <c r="MXK209" s="243"/>
      <c r="MXL209" s="243"/>
      <c r="MXM209" s="243"/>
      <c r="MXN209" s="243"/>
      <c r="MXO209" s="243"/>
      <c r="MXP209" s="243"/>
      <c r="MXQ209" s="243"/>
      <c r="MXR209" s="243"/>
      <c r="MXS209" s="243"/>
      <c r="MXT209" s="243"/>
      <c r="MXU209" s="243"/>
      <c r="MXV209" s="243"/>
      <c r="MXW209" s="243"/>
      <c r="MXX209" s="243"/>
      <c r="MXY209" s="243"/>
      <c r="MXZ209" s="243"/>
      <c r="MYA209" s="243"/>
      <c r="MYB209" s="243"/>
      <c r="MYC209" s="243"/>
      <c r="MYD209" s="243"/>
      <c r="MYE209" s="243"/>
      <c r="MYF209" s="243"/>
      <c r="MYG209" s="243"/>
      <c r="MYH209" s="243"/>
      <c r="MYI209" s="243"/>
      <c r="MYJ209" s="243"/>
      <c r="MYK209" s="243"/>
      <c r="MYL209" s="243"/>
      <c r="MYM209" s="243"/>
      <c r="MYN209" s="243"/>
      <c r="MYO209" s="243"/>
      <c r="MYP209" s="243"/>
      <c r="MYQ209" s="243"/>
      <c r="MYR209" s="243"/>
      <c r="MYS209" s="243"/>
      <c r="MYT209" s="243"/>
      <c r="MYU209" s="243"/>
      <c r="MYV209" s="243"/>
      <c r="MYW209" s="243"/>
      <c r="MYX209" s="243"/>
      <c r="MYY209" s="243"/>
      <c r="MYZ209" s="243"/>
      <c r="MZA209" s="243"/>
      <c r="MZB209" s="243"/>
      <c r="MZC209" s="243"/>
      <c r="MZD209" s="243"/>
      <c r="MZE209" s="243"/>
      <c r="MZF209" s="243"/>
      <c r="MZG209" s="243"/>
      <c r="MZH209" s="243"/>
      <c r="MZI209" s="243"/>
      <c r="MZJ209" s="243"/>
      <c r="MZK209" s="243"/>
      <c r="MZL209" s="243"/>
      <c r="MZM209" s="243"/>
      <c r="MZN209" s="243"/>
      <c r="MZO209" s="243"/>
      <c r="MZP209" s="243"/>
      <c r="MZQ209" s="243"/>
      <c r="MZR209" s="243"/>
      <c r="MZS209" s="243"/>
      <c r="MZT209" s="243"/>
      <c r="MZU209" s="243"/>
      <c r="MZV209" s="243"/>
      <c r="MZW209" s="243"/>
      <c r="MZX209" s="243"/>
      <c r="MZY209" s="243"/>
      <c r="MZZ209" s="243"/>
      <c r="NAA209" s="243"/>
      <c r="NAB209" s="243"/>
      <c r="NAC209" s="243"/>
      <c r="NAD209" s="243"/>
      <c r="NAE209" s="243"/>
      <c r="NAF209" s="243"/>
      <c r="NAG209" s="243"/>
      <c r="NAH209" s="243"/>
      <c r="NAI209" s="243"/>
      <c r="NAJ209" s="243"/>
      <c r="NAK209" s="243"/>
      <c r="NAL209" s="243"/>
      <c r="NAM209" s="243"/>
      <c r="NAN209" s="243"/>
      <c r="NAO209" s="243"/>
      <c r="NAP209" s="243"/>
      <c r="NAQ209" s="243"/>
      <c r="NAR209" s="243"/>
      <c r="NAS209" s="243"/>
      <c r="NAT209" s="243"/>
      <c r="NAU209" s="243"/>
      <c r="NAV209" s="243"/>
      <c r="NAW209" s="243"/>
      <c r="NAX209" s="243"/>
      <c r="NAY209" s="243"/>
      <c r="NAZ209" s="243"/>
      <c r="NBA209" s="243"/>
      <c r="NBB209" s="243"/>
      <c r="NBC209" s="243"/>
      <c r="NBD209" s="243"/>
      <c r="NBE209" s="243"/>
      <c r="NBF209" s="243"/>
      <c r="NBG209" s="243"/>
      <c r="NBH209" s="243"/>
      <c r="NBI209" s="243"/>
      <c r="NBJ209" s="243"/>
      <c r="NBK209" s="243"/>
      <c r="NBL209" s="243"/>
      <c r="NBM209" s="243"/>
      <c r="NBN209" s="243"/>
      <c r="NBO209" s="243"/>
      <c r="NBP209" s="243"/>
      <c r="NBQ209" s="243"/>
      <c r="NBR209" s="243"/>
      <c r="NBS209" s="243"/>
      <c r="NBT209" s="243"/>
      <c r="NBU209" s="243"/>
      <c r="NBV209" s="243"/>
      <c r="NBW209" s="243"/>
      <c r="NBX209" s="243"/>
      <c r="NBY209" s="243"/>
      <c r="NBZ209" s="243"/>
      <c r="NCA209" s="243"/>
      <c r="NCB209" s="243"/>
      <c r="NCC209" s="243"/>
      <c r="NCD209" s="243"/>
      <c r="NCE209" s="243"/>
      <c r="NCF209" s="243"/>
      <c r="NCG209" s="243"/>
      <c r="NCH209" s="243"/>
      <c r="NCI209" s="243"/>
      <c r="NCJ209" s="243"/>
      <c r="NCK209" s="243"/>
      <c r="NCL209" s="243"/>
      <c r="NCM209" s="243"/>
      <c r="NCN209" s="243"/>
      <c r="NCO209" s="243"/>
      <c r="NCP209" s="243"/>
      <c r="NCQ209" s="243"/>
      <c r="NCR209" s="243"/>
      <c r="NCS209" s="243"/>
      <c r="NCT209" s="243"/>
      <c r="NCU209" s="243"/>
      <c r="NCV209" s="243"/>
      <c r="NCW209" s="243"/>
      <c r="NCX209" s="243"/>
      <c r="NCY209" s="243"/>
      <c r="NCZ209" s="243"/>
      <c r="NDA209" s="243"/>
      <c r="NDB209" s="243"/>
      <c r="NDC209" s="243"/>
      <c r="NDD209" s="243"/>
      <c r="NDE209" s="243"/>
      <c r="NDF209" s="243"/>
      <c r="NDG209" s="243"/>
      <c r="NDH209" s="243"/>
      <c r="NDI209" s="243"/>
      <c r="NDJ209" s="243"/>
      <c r="NDK209" s="243"/>
      <c r="NDL209" s="243"/>
      <c r="NDM209" s="243"/>
      <c r="NDN209" s="243"/>
      <c r="NDO209" s="243"/>
      <c r="NDP209" s="243"/>
      <c r="NDQ209" s="243"/>
      <c r="NDR209" s="243"/>
      <c r="NDS209" s="243"/>
      <c r="NDT209" s="243"/>
      <c r="NDU209" s="243"/>
      <c r="NDV209" s="243"/>
      <c r="NDW209" s="243"/>
      <c r="NDX209" s="243"/>
      <c r="NDY209" s="243"/>
      <c r="NDZ209" s="243"/>
      <c r="NEA209" s="243"/>
      <c r="NEB209" s="243"/>
      <c r="NEC209" s="243"/>
      <c r="NED209" s="243"/>
      <c r="NEE209" s="243"/>
      <c r="NEF209" s="243"/>
      <c r="NEG209" s="243"/>
      <c r="NEH209" s="243"/>
      <c r="NEI209" s="243"/>
      <c r="NEJ209" s="243"/>
      <c r="NEK209" s="243"/>
      <c r="NEL209" s="243"/>
      <c r="NEM209" s="243"/>
      <c r="NEN209" s="243"/>
      <c r="NEO209" s="243"/>
      <c r="NEP209" s="243"/>
      <c r="NEQ209" s="243"/>
      <c r="NER209" s="243"/>
      <c r="NES209" s="243"/>
      <c r="NET209" s="243"/>
      <c r="NEU209" s="243"/>
      <c r="NEV209" s="243"/>
      <c r="NEW209" s="243"/>
      <c r="NEX209" s="243"/>
      <c r="NEY209" s="243"/>
      <c r="NEZ209" s="243"/>
      <c r="NFA209" s="243"/>
      <c r="NFB209" s="243"/>
      <c r="NFC209" s="243"/>
      <c r="NFD209" s="243"/>
      <c r="NFE209" s="243"/>
      <c r="NFF209" s="243"/>
      <c r="NFG209" s="243"/>
      <c r="NFH209" s="243"/>
      <c r="NFI209" s="243"/>
      <c r="NFJ209" s="243"/>
      <c r="NFK209" s="243"/>
      <c r="NFL209" s="243"/>
      <c r="NFM209" s="243"/>
      <c r="NFN209" s="243"/>
      <c r="NFO209" s="243"/>
      <c r="NFP209" s="243"/>
      <c r="NFQ209" s="243"/>
      <c r="NFR209" s="243"/>
      <c r="NFS209" s="243"/>
      <c r="NFT209" s="243"/>
      <c r="NFU209" s="243"/>
      <c r="NFV209" s="243"/>
      <c r="NFW209" s="243"/>
      <c r="NFX209" s="243"/>
      <c r="NFY209" s="243"/>
      <c r="NFZ209" s="243"/>
      <c r="NGA209" s="243"/>
      <c r="NGB209" s="243"/>
      <c r="NGC209" s="243"/>
      <c r="NGD209" s="243"/>
      <c r="NGE209" s="243"/>
      <c r="NGF209" s="243"/>
      <c r="NGG209" s="243"/>
      <c r="NGH209" s="243"/>
      <c r="NGI209" s="243"/>
      <c r="NGJ209" s="243"/>
      <c r="NGK209" s="243"/>
      <c r="NGL209" s="243"/>
      <c r="NGM209" s="243"/>
      <c r="NGN209" s="243"/>
      <c r="NGO209" s="243"/>
      <c r="NGP209" s="243"/>
      <c r="NGQ209" s="243"/>
      <c r="NGR209" s="243"/>
      <c r="NGS209" s="243"/>
      <c r="NGT209" s="243"/>
      <c r="NGU209" s="243"/>
      <c r="NGV209" s="243"/>
      <c r="NGW209" s="243"/>
      <c r="NGX209" s="243"/>
      <c r="NGY209" s="243"/>
      <c r="NGZ209" s="243"/>
      <c r="NHA209" s="243"/>
      <c r="NHB209" s="243"/>
      <c r="NHC209" s="243"/>
      <c r="NHD209" s="243"/>
      <c r="NHE209" s="243"/>
      <c r="NHF209" s="243"/>
      <c r="NHG209" s="243"/>
      <c r="NHH209" s="243"/>
      <c r="NHI209" s="243"/>
      <c r="NHJ209" s="243"/>
      <c r="NHK209" s="243"/>
      <c r="NHL209" s="243"/>
      <c r="NHM209" s="243"/>
      <c r="NHN209" s="243"/>
      <c r="NHO209" s="243"/>
      <c r="NHP209" s="243"/>
      <c r="NHQ209" s="243"/>
      <c r="NHR209" s="243"/>
      <c r="NHS209" s="243"/>
      <c r="NHT209" s="243"/>
      <c r="NHU209" s="243"/>
      <c r="NHV209" s="243"/>
      <c r="NHW209" s="243"/>
      <c r="NHX209" s="243"/>
      <c r="NHY209" s="243"/>
      <c r="NHZ209" s="243"/>
      <c r="NIA209" s="243"/>
      <c r="NIB209" s="243"/>
      <c r="NIC209" s="243"/>
      <c r="NID209" s="243"/>
      <c r="NIE209" s="243"/>
      <c r="NIF209" s="243"/>
      <c r="NIG209" s="243"/>
      <c r="NIH209" s="243"/>
      <c r="NII209" s="243"/>
      <c r="NIJ209" s="243"/>
      <c r="NIK209" s="243"/>
      <c r="NIL209" s="243"/>
      <c r="NIM209" s="243"/>
      <c r="NIN209" s="243"/>
      <c r="NIO209" s="243"/>
      <c r="NIP209" s="243"/>
      <c r="NIQ209" s="243"/>
      <c r="NIR209" s="243"/>
      <c r="NIS209" s="243"/>
      <c r="NIT209" s="243"/>
      <c r="NIU209" s="243"/>
      <c r="NIV209" s="243"/>
      <c r="NIW209" s="243"/>
      <c r="NIX209" s="243"/>
      <c r="NIY209" s="243"/>
      <c r="NIZ209" s="243"/>
      <c r="NJA209" s="243"/>
      <c r="NJB209" s="243"/>
      <c r="NJC209" s="243"/>
      <c r="NJD209" s="243"/>
      <c r="NJE209" s="243"/>
      <c r="NJF209" s="243"/>
      <c r="NJG209" s="243"/>
      <c r="NJH209" s="243"/>
      <c r="NJI209" s="243"/>
      <c r="NJJ209" s="243"/>
      <c r="NJK209" s="243"/>
      <c r="NJL209" s="243"/>
      <c r="NJM209" s="243"/>
      <c r="NJN209" s="243"/>
      <c r="NJO209" s="243"/>
      <c r="NJP209" s="243"/>
      <c r="NJQ209" s="243"/>
      <c r="NJR209" s="243"/>
      <c r="NJS209" s="243"/>
      <c r="NJT209" s="243"/>
      <c r="NJU209" s="243"/>
      <c r="NJV209" s="243"/>
      <c r="NJW209" s="243"/>
      <c r="NJX209" s="243"/>
      <c r="NJY209" s="243"/>
      <c r="NJZ209" s="243"/>
      <c r="NKA209" s="243"/>
      <c r="NKB209" s="243"/>
      <c r="NKC209" s="243"/>
      <c r="NKD209" s="243"/>
      <c r="NKE209" s="243"/>
      <c r="NKF209" s="243"/>
      <c r="NKG209" s="243"/>
      <c r="NKH209" s="243"/>
      <c r="NKI209" s="243"/>
      <c r="NKJ209" s="243"/>
      <c r="NKK209" s="243"/>
      <c r="NKL209" s="243"/>
      <c r="NKM209" s="243"/>
      <c r="NKN209" s="243"/>
      <c r="NKO209" s="243"/>
      <c r="NKP209" s="243"/>
      <c r="NKQ209" s="243"/>
      <c r="NKR209" s="243"/>
      <c r="NKS209" s="243"/>
      <c r="NKT209" s="243"/>
      <c r="NKU209" s="243"/>
      <c r="NKV209" s="243"/>
      <c r="NKW209" s="243"/>
      <c r="NKX209" s="243"/>
      <c r="NKY209" s="243"/>
      <c r="NKZ209" s="243"/>
      <c r="NLA209" s="243"/>
      <c r="NLB209" s="243"/>
      <c r="NLC209" s="243"/>
      <c r="NLD209" s="243"/>
      <c r="NLE209" s="243"/>
      <c r="NLF209" s="243"/>
      <c r="NLG209" s="243"/>
      <c r="NLH209" s="243"/>
      <c r="NLI209" s="243"/>
      <c r="NLJ209" s="243"/>
      <c r="NLK209" s="243"/>
      <c r="NLL209" s="243"/>
      <c r="NLM209" s="243"/>
      <c r="NLN209" s="243"/>
      <c r="NLO209" s="243"/>
      <c r="NLP209" s="243"/>
      <c r="NLQ209" s="243"/>
      <c r="NLR209" s="243"/>
      <c r="NLS209" s="243"/>
      <c r="NLT209" s="243"/>
      <c r="NLU209" s="243"/>
      <c r="NLV209" s="243"/>
      <c r="NLW209" s="243"/>
      <c r="NLX209" s="243"/>
      <c r="NLY209" s="243"/>
      <c r="NLZ209" s="243"/>
      <c r="NMA209" s="243"/>
      <c r="NMB209" s="243"/>
      <c r="NMC209" s="243"/>
      <c r="NMD209" s="243"/>
      <c r="NME209" s="243"/>
      <c r="NMF209" s="243"/>
      <c r="NMG209" s="243"/>
      <c r="NMH209" s="243"/>
      <c r="NMI209" s="243"/>
      <c r="NMJ209" s="243"/>
      <c r="NMK209" s="243"/>
      <c r="NML209" s="243"/>
      <c r="NMM209" s="243"/>
      <c r="NMN209" s="243"/>
      <c r="NMO209" s="243"/>
      <c r="NMP209" s="243"/>
      <c r="NMQ209" s="243"/>
      <c r="NMR209" s="243"/>
      <c r="NMS209" s="243"/>
      <c r="NMT209" s="243"/>
      <c r="NMU209" s="243"/>
      <c r="NMV209" s="243"/>
      <c r="NMW209" s="243"/>
      <c r="NMX209" s="243"/>
      <c r="NMY209" s="243"/>
      <c r="NMZ209" s="243"/>
      <c r="NNA209" s="243"/>
      <c r="NNB209" s="243"/>
      <c r="NNC209" s="243"/>
      <c r="NND209" s="243"/>
      <c r="NNE209" s="243"/>
      <c r="NNF209" s="243"/>
      <c r="NNG209" s="243"/>
      <c r="NNH209" s="243"/>
      <c r="NNI209" s="243"/>
      <c r="NNJ209" s="243"/>
      <c r="NNK209" s="243"/>
      <c r="NNL209" s="243"/>
      <c r="NNM209" s="243"/>
      <c r="NNN209" s="243"/>
      <c r="NNO209" s="243"/>
      <c r="NNP209" s="243"/>
      <c r="NNQ209" s="243"/>
      <c r="NNR209" s="243"/>
      <c r="NNS209" s="243"/>
      <c r="NNT209" s="243"/>
      <c r="NNU209" s="243"/>
      <c r="NNV209" s="243"/>
      <c r="NNW209" s="243"/>
      <c r="NNX209" s="243"/>
      <c r="NNY209" s="243"/>
      <c r="NNZ209" s="243"/>
      <c r="NOA209" s="243"/>
      <c r="NOB209" s="243"/>
      <c r="NOC209" s="243"/>
      <c r="NOD209" s="243"/>
      <c r="NOE209" s="243"/>
      <c r="NOF209" s="243"/>
      <c r="NOG209" s="243"/>
      <c r="NOH209" s="243"/>
      <c r="NOI209" s="243"/>
      <c r="NOJ209" s="243"/>
      <c r="NOK209" s="243"/>
      <c r="NOL209" s="243"/>
      <c r="NOM209" s="243"/>
      <c r="NON209" s="243"/>
      <c r="NOO209" s="243"/>
      <c r="NOP209" s="243"/>
      <c r="NOQ209" s="243"/>
      <c r="NOR209" s="243"/>
      <c r="NOS209" s="243"/>
      <c r="NOT209" s="243"/>
      <c r="NOU209" s="243"/>
      <c r="NOV209" s="243"/>
      <c r="NOW209" s="243"/>
      <c r="NOX209" s="243"/>
      <c r="NOY209" s="243"/>
      <c r="NOZ209" s="243"/>
      <c r="NPA209" s="243"/>
      <c r="NPB209" s="243"/>
      <c r="NPC209" s="243"/>
      <c r="NPD209" s="243"/>
      <c r="NPE209" s="243"/>
      <c r="NPF209" s="243"/>
      <c r="NPG209" s="243"/>
      <c r="NPH209" s="243"/>
      <c r="NPI209" s="243"/>
      <c r="NPJ209" s="243"/>
      <c r="NPK209" s="243"/>
      <c r="NPL209" s="243"/>
      <c r="NPM209" s="243"/>
      <c r="NPN209" s="243"/>
      <c r="NPO209" s="243"/>
      <c r="NPP209" s="243"/>
      <c r="NPQ209" s="243"/>
      <c r="NPR209" s="243"/>
      <c r="NPS209" s="243"/>
      <c r="NPT209" s="243"/>
      <c r="NPU209" s="243"/>
      <c r="NPV209" s="243"/>
      <c r="NPW209" s="243"/>
      <c r="NPX209" s="243"/>
      <c r="NPY209" s="243"/>
      <c r="NPZ209" s="243"/>
      <c r="NQA209" s="243"/>
      <c r="NQB209" s="243"/>
      <c r="NQC209" s="243"/>
      <c r="NQD209" s="243"/>
      <c r="NQE209" s="243"/>
      <c r="NQF209" s="243"/>
      <c r="NQG209" s="243"/>
      <c r="NQH209" s="243"/>
      <c r="NQI209" s="243"/>
      <c r="NQJ209" s="243"/>
      <c r="NQK209" s="243"/>
      <c r="NQL209" s="243"/>
      <c r="NQM209" s="243"/>
      <c r="NQN209" s="243"/>
      <c r="NQO209" s="243"/>
      <c r="NQP209" s="243"/>
      <c r="NQQ209" s="243"/>
      <c r="NQR209" s="243"/>
      <c r="NQS209" s="243"/>
      <c r="NQT209" s="243"/>
      <c r="NQU209" s="243"/>
      <c r="NQV209" s="243"/>
      <c r="NQW209" s="243"/>
      <c r="NQX209" s="243"/>
      <c r="NQY209" s="243"/>
      <c r="NQZ209" s="243"/>
      <c r="NRA209" s="243"/>
      <c r="NRB209" s="243"/>
      <c r="NRC209" s="243"/>
      <c r="NRD209" s="243"/>
      <c r="NRE209" s="243"/>
      <c r="NRF209" s="243"/>
      <c r="NRG209" s="243"/>
      <c r="NRH209" s="243"/>
      <c r="NRI209" s="243"/>
      <c r="NRJ209" s="243"/>
      <c r="NRK209" s="243"/>
      <c r="NRL209" s="243"/>
      <c r="NRM209" s="243"/>
      <c r="NRN209" s="243"/>
      <c r="NRO209" s="243"/>
      <c r="NRP209" s="243"/>
      <c r="NRQ209" s="243"/>
      <c r="NRR209" s="243"/>
      <c r="NRS209" s="243"/>
      <c r="NRT209" s="243"/>
      <c r="NRU209" s="243"/>
      <c r="NRV209" s="243"/>
      <c r="NRW209" s="243"/>
      <c r="NRX209" s="243"/>
      <c r="NRY209" s="243"/>
      <c r="NRZ209" s="243"/>
      <c r="NSA209" s="243"/>
      <c r="NSB209" s="243"/>
      <c r="NSC209" s="243"/>
      <c r="NSD209" s="243"/>
      <c r="NSE209" s="243"/>
      <c r="NSF209" s="243"/>
      <c r="NSG209" s="243"/>
      <c r="NSH209" s="243"/>
      <c r="NSI209" s="243"/>
      <c r="NSJ209" s="243"/>
      <c r="NSK209" s="243"/>
      <c r="NSL209" s="243"/>
      <c r="NSM209" s="243"/>
      <c r="NSN209" s="243"/>
      <c r="NSO209" s="243"/>
      <c r="NSP209" s="243"/>
      <c r="NSQ209" s="243"/>
      <c r="NSR209" s="243"/>
      <c r="NSS209" s="243"/>
      <c r="NST209" s="243"/>
      <c r="NSU209" s="243"/>
      <c r="NSV209" s="243"/>
      <c r="NSW209" s="243"/>
      <c r="NSX209" s="243"/>
      <c r="NSY209" s="243"/>
      <c r="NSZ209" s="243"/>
      <c r="NTA209" s="243"/>
      <c r="NTB209" s="243"/>
      <c r="NTC209" s="243"/>
      <c r="NTD209" s="243"/>
      <c r="NTE209" s="243"/>
      <c r="NTF209" s="243"/>
      <c r="NTG209" s="243"/>
      <c r="NTH209" s="243"/>
      <c r="NTI209" s="243"/>
      <c r="NTJ209" s="243"/>
      <c r="NTK209" s="243"/>
      <c r="NTL209" s="243"/>
      <c r="NTM209" s="243"/>
      <c r="NTN209" s="243"/>
      <c r="NTO209" s="243"/>
      <c r="NTP209" s="243"/>
      <c r="NTQ209" s="243"/>
      <c r="NTR209" s="243"/>
      <c r="NTS209" s="243"/>
      <c r="NTT209" s="243"/>
      <c r="NTU209" s="243"/>
      <c r="NTV209" s="243"/>
      <c r="NTW209" s="243"/>
      <c r="NTX209" s="243"/>
      <c r="NTY209" s="243"/>
      <c r="NTZ209" s="243"/>
      <c r="NUA209" s="243"/>
      <c r="NUB209" s="243"/>
      <c r="NUC209" s="243"/>
      <c r="NUD209" s="243"/>
      <c r="NUE209" s="243"/>
      <c r="NUF209" s="243"/>
      <c r="NUG209" s="243"/>
      <c r="NUH209" s="243"/>
      <c r="NUI209" s="243"/>
      <c r="NUJ209" s="243"/>
      <c r="NUK209" s="243"/>
      <c r="NUL209" s="243"/>
      <c r="NUM209" s="243"/>
      <c r="NUN209" s="243"/>
      <c r="NUO209" s="243"/>
      <c r="NUP209" s="243"/>
      <c r="NUQ209" s="243"/>
      <c r="NUR209" s="243"/>
      <c r="NUS209" s="243"/>
      <c r="NUT209" s="243"/>
      <c r="NUU209" s="243"/>
      <c r="NUV209" s="243"/>
      <c r="NUW209" s="243"/>
      <c r="NUX209" s="243"/>
      <c r="NUY209" s="243"/>
      <c r="NUZ209" s="243"/>
      <c r="NVA209" s="243"/>
      <c r="NVB209" s="243"/>
      <c r="NVC209" s="243"/>
      <c r="NVD209" s="243"/>
      <c r="NVE209" s="243"/>
      <c r="NVF209" s="243"/>
      <c r="NVG209" s="243"/>
      <c r="NVH209" s="243"/>
      <c r="NVI209" s="243"/>
      <c r="NVJ209" s="243"/>
      <c r="NVK209" s="243"/>
      <c r="NVL209" s="243"/>
      <c r="NVM209" s="243"/>
      <c r="NVN209" s="243"/>
      <c r="NVO209" s="243"/>
      <c r="NVP209" s="243"/>
      <c r="NVQ209" s="243"/>
      <c r="NVR209" s="243"/>
      <c r="NVS209" s="243"/>
      <c r="NVT209" s="243"/>
      <c r="NVU209" s="243"/>
      <c r="NVV209" s="243"/>
      <c r="NVW209" s="243"/>
      <c r="NVX209" s="243"/>
      <c r="NVY209" s="243"/>
      <c r="NVZ209" s="243"/>
      <c r="NWA209" s="243"/>
      <c r="NWB209" s="243"/>
      <c r="NWC209" s="243"/>
      <c r="NWD209" s="243"/>
      <c r="NWE209" s="243"/>
      <c r="NWF209" s="243"/>
      <c r="NWG209" s="243"/>
      <c r="NWH209" s="243"/>
      <c r="NWI209" s="243"/>
      <c r="NWJ209" s="243"/>
      <c r="NWK209" s="243"/>
      <c r="NWL209" s="243"/>
      <c r="NWM209" s="243"/>
      <c r="NWN209" s="243"/>
      <c r="NWO209" s="243"/>
      <c r="NWP209" s="243"/>
      <c r="NWQ209" s="243"/>
      <c r="NWR209" s="243"/>
      <c r="NWS209" s="243"/>
      <c r="NWT209" s="243"/>
      <c r="NWU209" s="243"/>
      <c r="NWV209" s="243"/>
      <c r="NWW209" s="243"/>
      <c r="NWX209" s="243"/>
      <c r="NWY209" s="243"/>
      <c r="NWZ209" s="243"/>
      <c r="NXA209" s="243"/>
      <c r="NXB209" s="243"/>
      <c r="NXC209" s="243"/>
      <c r="NXD209" s="243"/>
      <c r="NXE209" s="243"/>
      <c r="NXF209" s="243"/>
      <c r="NXG209" s="243"/>
      <c r="NXH209" s="243"/>
      <c r="NXI209" s="243"/>
      <c r="NXJ209" s="243"/>
      <c r="NXK209" s="243"/>
      <c r="NXL209" s="243"/>
      <c r="NXM209" s="243"/>
      <c r="NXN209" s="243"/>
      <c r="NXO209" s="243"/>
      <c r="NXP209" s="243"/>
      <c r="NXQ209" s="243"/>
      <c r="NXR209" s="243"/>
      <c r="NXS209" s="243"/>
      <c r="NXT209" s="243"/>
      <c r="NXU209" s="243"/>
      <c r="NXV209" s="243"/>
      <c r="NXW209" s="243"/>
      <c r="NXX209" s="243"/>
      <c r="NXY209" s="243"/>
      <c r="NXZ209" s="243"/>
      <c r="NYA209" s="243"/>
      <c r="NYB209" s="243"/>
      <c r="NYC209" s="243"/>
      <c r="NYD209" s="243"/>
      <c r="NYE209" s="243"/>
      <c r="NYF209" s="243"/>
      <c r="NYG209" s="243"/>
      <c r="NYH209" s="243"/>
      <c r="NYI209" s="243"/>
      <c r="NYJ209" s="243"/>
      <c r="NYK209" s="243"/>
      <c r="NYL209" s="243"/>
      <c r="NYM209" s="243"/>
      <c r="NYN209" s="243"/>
      <c r="NYO209" s="243"/>
      <c r="NYP209" s="243"/>
      <c r="NYQ209" s="243"/>
      <c r="NYR209" s="243"/>
      <c r="NYS209" s="243"/>
      <c r="NYT209" s="243"/>
      <c r="NYU209" s="243"/>
      <c r="NYV209" s="243"/>
      <c r="NYW209" s="243"/>
      <c r="NYX209" s="243"/>
      <c r="NYY209" s="243"/>
      <c r="NYZ209" s="243"/>
      <c r="NZA209" s="243"/>
      <c r="NZB209" s="243"/>
      <c r="NZC209" s="243"/>
      <c r="NZD209" s="243"/>
      <c r="NZE209" s="243"/>
      <c r="NZF209" s="243"/>
      <c r="NZG209" s="243"/>
      <c r="NZH209" s="243"/>
      <c r="NZI209" s="243"/>
      <c r="NZJ209" s="243"/>
      <c r="NZK209" s="243"/>
      <c r="NZL209" s="243"/>
      <c r="NZM209" s="243"/>
      <c r="NZN209" s="243"/>
      <c r="NZO209" s="243"/>
      <c r="NZP209" s="243"/>
      <c r="NZQ209" s="243"/>
      <c r="NZR209" s="243"/>
      <c r="NZS209" s="243"/>
      <c r="NZT209" s="243"/>
      <c r="NZU209" s="243"/>
      <c r="NZV209" s="243"/>
      <c r="NZW209" s="243"/>
      <c r="NZX209" s="243"/>
      <c r="NZY209" s="243"/>
      <c r="NZZ209" s="243"/>
      <c r="OAA209" s="243"/>
      <c r="OAB209" s="243"/>
      <c r="OAC209" s="243"/>
      <c r="OAD209" s="243"/>
      <c r="OAE209" s="243"/>
      <c r="OAF209" s="243"/>
      <c r="OAG209" s="243"/>
      <c r="OAH209" s="243"/>
      <c r="OAI209" s="243"/>
      <c r="OAJ209" s="243"/>
      <c r="OAK209" s="243"/>
      <c r="OAL209" s="243"/>
      <c r="OAM209" s="243"/>
      <c r="OAN209" s="243"/>
      <c r="OAO209" s="243"/>
      <c r="OAP209" s="243"/>
      <c r="OAQ209" s="243"/>
      <c r="OAR209" s="243"/>
      <c r="OAS209" s="243"/>
      <c r="OAT209" s="243"/>
      <c r="OAU209" s="243"/>
      <c r="OAV209" s="243"/>
      <c r="OAW209" s="243"/>
      <c r="OAX209" s="243"/>
      <c r="OAY209" s="243"/>
      <c r="OAZ209" s="243"/>
      <c r="OBA209" s="243"/>
      <c r="OBB209" s="243"/>
      <c r="OBC209" s="243"/>
      <c r="OBD209" s="243"/>
      <c r="OBE209" s="243"/>
      <c r="OBF209" s="243"/>
      <c r="OBG209" s="243"/>
      <c r="OBH209" s="243"/>
      <c r="OBI209" s="243"/>
      <c r="OBJ209" s="243"/>
      <c r="OBK209" s="243"/>
      <c r="OBL209" s="243"/>
      <c r="OBM209" s="243"/>
      <c r="OBN209" s="243"/>
      <c r="OBO209" s="243"/>
      <c r="OBP209" s="243"/>
      <c r="OBQ209" s="243"/>
      <c r="OBR209" s="243"/>
      <c r="OBS209" s="243"/>
      <c r="OBT209" s="243"/>
      <c r="OBU209" s="243"/>
      <c r="OBV209" s="243"/>
      <c r="OBW209" s="243"/>
      <c r="OBX209" s="243"/>
      <c r="OBY209" s="243"/>
      <c r="OBZ209" s="243"/>
      <c r="OCA209" s="243"/>
      <c r="OCB209" s="243"/>
      <c r="OCC209" s="243"/>
      <c r="OCD209" s="243"/>
      <c r="OCE209" s="243"/>
      <c r="OCF209" s="243"/>
      <c r="OCG209" s="243"/>
      <c r="OCH209" s="243"/>
      <c r="OCI209" s="243"/>
      <c r="OCJ209" s="243"/>
      <c r="OCK209" s="243"/>
      <c r="OCL209" s="243"/>
      <c r="OCM209" s="243"/>
      <c r="OCN209" s="243"/>
      <c r="OCO209" s="243"/>
      <c r="OCP209" s="243"/>
      <c r="OCQ209" s="243"/>
      <c r="OCR209" s="243"/>
      <c r="OCS209" s="243"/>
      <c r="OCT209" s="243"/>
      <c r="OCU209" s="243"/>
      <c r="OCV209" s="243"/>
      <c r="OCW209" s="243"/>
      <c r="OCX209" s="243"/>
      <c r="OCY209" s="243"/>
      <c r="OCZ209" s="243"/>
      <c r="ODA209" s="243"/>
      <c r="ODB209" s="243"/>
      <c r="ODC209" s="243"/>
      <c r="ODD209" s="243"/>
      <c r="ODE209" s="243"/>
      <c r="ODF209" s="243"/>
      <c r="ODG209" s="243"/>
      <c r="ODH209" s="243"/>
      <c r="ODI209" s="243"/>
      <c r="ODJ209" s="243"/>
      <c r="ODK209" s="243"/>
      <c r="ODL209" s="243"/>
      <c r="ODM209" s="243"/>
      <c r="ODN209" s="243"/>
      <c r="ODO209" s="243"/>
      <c r="ODP209" s="243"/>
      <c r="ODQ209" s="243"/>
      <c r="ODR209" s="243"/>
      <c r="ODS209" s="243"/>
      <c r="ODT209" s="243"/>
      <c r="ODU209" s="243"/>
      <c r="ODV209" s="243"/>
      <c r="ODW209" s="243"/>
      <c r="ODX209" s="243"/>
      <c r="ODY209" s="243"/>
      <c r="ODZ209" s="243"/>
      <c r="OEA209" s="243"/>
      <c r="OEB209" s="243"/>
      <c r="OEC209" s="243"/>
      <c r="OED209" s="243"/>
      <c r="OEE209" s="243"/>
      <c r="OEF209" s="243"/>
      <c r="OEG209" s="243"/>
      <c r="OEH209" s="243"/>
      <c r="OEI209" s="243"/>
      <c r="OEJ209" s="243"/>
      <c r="OEK209" s="243"/>
      <c r="OEL209" s="243"/>
      <c r="OEM209" s="243"/>
      <c r="OEN209" s="243"/>
      <c r="OEO209" s="243"/>
      <c r="OEP209" s="243"/>
      <c r="OEQ209" s="243"/>
      <c r="OER209" s="243"/>
      <c r="OES209" s="243"/>
      <c r="OET209" s="243"/>
      <c r="OEU209" s="243"/>
      <c r="OEV209" s="243"/>
      <c r="OEW209" s="243"/>
      <c r="OEX209" s="243"/>
      <c r="OEY209" s="243"/>
      <c r="OEZ209" s="243"/>
      <c r="OFA209" s="243"/>
      <c r="OFB209" s="243"/>
      <c r="OFC209" s="243"/>
      <c r="OFD209" s="243"/>
      <c r="OFE209" s="243"/>
      <c r="OFF209" s="243"/>
      <c r="OFG209" s="243"/>
      <c r="OFH209" s="243"/>
      <c r="OFI209" s="243"/>
      <c r="OFJ209" s="243"/>
      <c r="OFK209" s="243"/>
      <c r="OFL209" s="243"/>
      <c r="OFM209" s="243"/>
      <c r="OFN209" s="243"/>
      <c r="OFO209" s="243"/>
      <c r="OFP209" s="243"/>
      <c r="OFQ209" s="243"/>
      <c r="OFR209" s="243"/>
      <c r="OFS209" s="243"/>
      <c r="OFT209" s="243"/>
      <c r="OFU209" s="243"/>
      <c r="OFV209" s="243"/>
      <c r="OFW209" s="243"/>
      <c r="OFX209" s="243"/>
      <c r="OFY209" s="243"/>
      <c r="OFZ209" s="243"/>
      <c r="OGA209" s="243"/>
      <c r="OGB209" s="243"/>
      <c r="OGC209" s="243"/>
      <c r="OGD209" s="243"/>
      <c r="OGE209" s="243"/>
      <c r="OGF209" s="243"/>
      <c r="OGG209" s="243"/>
      <c r="OGH209" s="243"/>
      <c r="OGI209" s="243"/>
      <c r="OGJ209" s="243"/>
      <c r="OGK209" s="243"/>
      <c r="OGL209" s="243"/>
      <c r="OGM209" s="243"/>
      <c r="OGN209" s="243"/>
      <c r="OGO209" s="243"/>
      <c r="OGP209" s="243"/>
      <c r="OGQ209" s="243"/>
      <c r="OGR209" s="243"/>
      <c r="OGS209" s="243"/>
      <c r="OGT209" s="243"/>
      <c r="OGU209" s="243"/>
      <c r="OGV209" s="243"/>
      <c r="OGW209" s="243"/>
      <c r="OGX209" s="243"/>
      <c r="OGY209" s="243"/>
      <c r="OGZ209" s="243"/>
      <c r="OHA209" s="243"/>
      <c r="OHB209" s="243"/>
      <c r="OHC209" s="243"/>
      <c r="OHD209" s="243"/>
      <c r="OHE209" s="243"/>
      <c r="OHF209" s="243"/>
      <c r="OHG209" s="243"/>
      <c r="OHH209" s="243"/>
      <c r="OHI209" s="243"/>
      <c r="OHJ209" s="243"/>
      <c r="OHK209" s="243"/>
      <c r="OHL209" s="243"/>
      <c r="OHM209" s="243"/>
      <c r="OHN209" s="243"/>
      <c r="OHO209" s="243"/>
      <c r="OHP209" s="243"/>
      <c r="OHQ209" s="243"/>
      <c r="OHR209" s="243"/>
      <c r="OHS209" s="243"/>
      <c r="OHT209" s="243"/>
      <c r="OHU209" s="243"/>
      <c r="OHV209" s="243"/>
      <c r="OHW209" s="243"/>
      <c r="OHX209" s="243"/>
      <c r="OHY209" s="243"/>
      <c r="OHZ209" s="243"/>
      <c r="OIA209" s="243"/>
      <c r="OIB209" s="243"/>
      <c r="OIC209" s="243"/>
      <c r="OID209" s="243"/>
      <c r="OIE209" s="243"/>
      <c r="OIF209" s="243"/>
      <c r="OIG209" s="243"/>
      <c r="OIH209" s="243"/>
      <c r="OII209" s="243"/>
      <c r="OIJ209" s="243"/>
      <c r="OIK209" s="243"/>
      <c r="OIL209" s="243"/>
      <c r="OIM209" s="243"/>
      <c r="OIN209" s="243"/>
      <c r="OIO209" s="243"/>
      <c r="OIP209" s="243"/>
      <c r="OIQ209" s="243"/>
      <c r="OIR209" s="243"/>
      <c r="OIS209" s="243"/>
      <c r="OIT209" s="243"/>
      <c r="OIU209" s="243"/>
      <c r="OIV209" s="243"/>
      <c r="OIW209" s="243"/>
      <c r="OIX209" s="243"/>
      <c r="OIY209" s="243"/>
      <c r="OIZ209" s="243"/>
      <c r="OJA209" s="243"/>
      <c r="OJB209" s="243"/>
      <c r="OJC209" s="243"/>
      <c r="OJD209" s="243"/>
      <c r="OJE209" s="243"/>
      <c r="OJF209" s="243"/>
      <c r="OJG209" s="243"/>
      <c r="OJH209" s="243"/>
      <c r="OJI209" s="243"/>
      <c r="OJJ209" s="243"/>
      <c r="OJK209" s="243"/>
      <c r="OJL209" s="243"/>
      <c r="OJM209" s="243"/>
      <c r="OJN209" s="243"/>
      <c r="OJO209" s="243"/>
      <c r="OJP209" s="243"/>
      <c r="OJQ209" s="243"/>
      <c r="OJR209" s="243"/>
      <c r="OJS209" s="243"/>
      <c r="OJT209" s="243"/>
      <c r="OJU209" s="243"/>
      <c r="OJV209" s="243"/>
      <c r="OJW209" s="243"/>
      <c r="OJX209" s="243"/>
      <c r="OJY209" s="243"/>
      <c r="OJZ209" s="243"/>
      <c r="OKA209" s="243"/>
      <c r="OKB209" s="243"/>
      <c r="OKC209" s="243"/>
      <c r="OKD209" s="243"/>
      <c r="OKE209" s="243"/>
      <c r="OKF209" s="243"/>
      <c r="OKG209" s="243"/>
      <c r="OKH209" s="243"/>
      <c r="OKI209" s="243"/>
      <c r="OKJ209" s="243"/>
      <c r="OKK209" s="243"/>
      <c r="OKL209" s="243"/>
      <c r="OKM209" s="243"/>
      <c r="OKN209" s="243"/>
      <c r="OKO209" s="243"/>
      <c r="OKP209" s="243"/>
      <c r="OKQ209" s="243"/>
      <c r="OKR209" s="243"/>
      <c r="OKS209" s="243"/>
      <c r="OKT209" s="243"/>
      <c r="OKU209" s="243"/>
      <c r="OKV209" s="243"/>
      <c r="OKW209" s="243"/>
      <c r="OKX209" s="243"/>
      <c r="OKY209" s="243"/>
      <c r="OKZ209" s="243"/>
      <c r="OLA209" s="243"/>
      <c r="OLB209" s="243"/>
      <c r="OLC209" s="243"/>
      <c r="OLD209" s="243"/>
      <c r="OLE209" s="243"/>
      <c r="OLF209" s="243"/>
      <c r="OLG209" s="243"/>
      <c r="OLH209" s="243"/>
      <c r="OLI209" s="243"/>
      <c r="OLJ209" s="243"/>
      <c r="OLK209" s="243"/>
      <c r="OLL209" s="243"/>
      <c r="OLM209" s="243"/>
      <c r="OLN209" s="243"/>
      <c r="OLO209" s="243"/>
      <c r="OLP209" s="243"/>
      <c r="OLQ209" s="243"/>
      <c r="OLR209" s="243"/>
      <c r="OLS209" s="243"/>
      <c r="OLT209" s="243"/>
      <c r="OLU209" s="243"/>
      <c r="OLV209" s="243"/>
      <c r="OLW209" s="243"/>
      <c r="OLX209" s="243"/>
      <c r="OLY209" s="243"/>
      <c r="OLZ209" s="243"/>
      <c r="OMA209" s="243"/>
      <c r="OMB209" s="243"/>
      <c r="OMC209" s="243"/>
      <c r="OMD209" s="243"/>
      <c r="OME209" s="243"/>
      <c r="OMF209" s="243"/>
      <c r="OMG209" s="243"/>
      <c r="OMH209" s="243"/>
      <c r="OMI209" s="243"/>
      <c r="OMJ209" s="243"/>
      <c r="OMK209" s="243"/>
      <c r="OML209" s="243"/>
      <c r="OMM209" s="243"/>
      <c r="OMN209" s="243"/>
      <c r="OMO209" s="243"/>
      <c r="OMP209" s="243"/>
      <c r="OMQ209" s="243"/>
      <c r="OMR209" s="243"/>
      <c r="OMS209" s="243"/>
      <c r="OMT209" s="243"/>
      <c r="OMU209" s="243"/>
      <c r="OMV209" s="243"/>
      <c r="OMW209" s="243"/>
      <c r="OMX209" s="243"/>
      <c r="OMY209" s="243"/>
      <c r="OMZ209" s="243"/>
      <c r="ONA209" s="243"/>
      <c r="ONB209" s="243"/>
      <c r="ONC209" s="243"/>
      <c r="OND209" s="243"/>
      <c r="ONE209" s="243"/>
      <c r="ONF209" s="243"/>
      <c r="ONG209" s="243"/>
      <c r="ONH209" s="243"/>
      <c r="ONI209" s="243"/>
      <c r="ONJ209" s="243"/>
      <c r="ONK209" s="243"/>
      <c r="ONL209" s="243"/>
      <c r="ONM209" s="243"/>
      <c r="ONN209" s="243"/>
      <c r="ONO209" s="243"/>
      <c r="ONP209" s="243"/>
      <c r="ONQ209" s="243"/>
      <c r="ONR209" s="243"/>
      <c r="ONS209" s="243"/>
      <c r="ONT209" s="243"/>
      <c r="ONU209" s="243"/>
      <c r="ONV209" s="243"/>
      <c r="ONW209" s="243"/>
      <c r="ONX209" s="243"/>
      <c r="ONY209" s="243"/>
      <c r="ONZ209" s="243"/>
      <c r="OOA209" s="243"/>
      <c r="OOB209" s="243"/>
      <c r="OOC209" s="243"/>
      <c r="OOD209" s="243"/>
      <c r="OOE209" s="243"/>
      <c r="OOF209" s="243"/>
      <c r="OOG209" s="243"/>
      <c r="OOH209" s="243"/>
      <c r="OOI209" s="243"/>
      <c r="OOJ209" s="243"/>
      <c r="OOK209" s="243"/>
      <c r="OOL209" s="243"/>
      <c r="OOM209" s="243"/>
      <c r="OON209" s="243"/>
      <c r="OOO209" s="243"/>
      <c r="OOP209" s="243"/>
      <c r="OOQ209" s="243"/>
      <c r="OOR209" s="243"/>
      <c r="OOS209" s="243"/>
      <c r="OOT209" s="243"/>
      <c r="OOU209" s="243"/>
      <c r="OOV209" s="243"/>
      <c r="OOW209" s="243"/>
      <c r="OOX209" s="243"/>
      <c r="OOY209" s="243"/>
      <c r="OOZ209" s="243"/>
      <c r="OPA209" s="243"/>
      <c r="OPB209" s="243"/>
      <c r="OPC209" s="243"/>
      <c r="OPD209" s="243"/>
      <c r="OPE209" s="243"/>
      <c r="OPF209" s="243"/>
      <c r="OPG209" s="243"/>
      <c r="OPH209" s="243"/>
      <c r="OPI209" s="243"/>
      <c r="OPJ209" s="243"/>
      <c r="OPK209" s="243"/>
      <c r="OPL209" s="243"/>
      <c r="OPM209" s="243"/>
      <c r="OPN209" s="243"/>
      <c r="OPO209" s="243"/>
      <c r="OPP209" s="243"/>
      <c r="OPQ209" s="243"/>
      <c r="OPR209" s="243"/>
      <c r="OPS209" s="243"/>
      <c r="OPT209" s="243"/>
      <c r="OPU209" s="243"/>
      <c r="OPV209" s="243"/>
      <c r="OPW209" s="243"/>
      <c r="OPX209" s="243"/>
      <c r="OPY209" s="243"/>
      <c r="OPZ209" s="243"/>
      <c r="OQA209" s="243"/>
      <c r="OQB209" s="243"/>
      <c r="OQC209" s="243"/>
      <c r="OQD209" s="243"/>
      <c r="OQE209" s="243"/>
      <c r="OQF209" s="243"/>
      <c r="OQG209" s="243"/>
      <c r="OQH209" s="243"/>
      <c r="OQI209" s="243"/>
      <c r="OQJ209" s="243"/>
      <c r="OQK209" s="243"/>
      <c r="OQL209" s="243"/>
      <c r="OQM209" s="243"/>
      <c r="OQN209" s="243"/>
      <c r="OQO209" s="243"/>
      <c r="OQP209" s="243"/>
      <c r="OQQ209" s="243"/>
      <c r="OQR209" s="243"/>
      <c r="OQS209" s="243"/>
      <c r="OQT209" s="243"/>
      <c r="OQU209" s="243"/>
      <c r="OQV209" s="243"/>
      <c r="OQW209" s="243"/>
      <c r="OQX209" s="243"/>
      <c r="OQY209" s="243"/>
      <c r="OQZ209" s="243"/>
      <c r="ORA209" s="243"/>
      <c r="ORB209" s="243"/>
      <c r="ORC209" s="243"/>
      <c r="ORD209" s="243"/>
      <c r="ORE209" s="243"/>
      <c r="ORF209" s="243"/>
      <c r="ORG209" s="243"/>
      <c r="ORH209" s="243"/>
      <c r="ORI209" s="243"/>
      <c r="ORJ209" s="243"/>
      <c r="ORK209" s="243"/>
      <c r="ORL209" s="243"/>
      <c r="ORM209" s="243"/>
      <c r="ORN209" s="243"/>
      <c r="ORO209" s="243"/>
      <c r="ORP209" s="243"/>
      <c r="ORQ209" s="243"/>
      <c r="ORR209" s="243"/>
      <c r="ORS209" s="243"/>
      <c r="ORT209" s="243"/>
      <c r="ORU209" s="243"/>
      <c r="ORV209" s="243"/>
      <c r="ORW209" s="243"/>
      <c r="ORX209" s="243"/>
      <c r="ORY209" s="243"/>
      <c r="ORZ209" s="243"/>
      <c r="OSA209" s="243"/>
      <c r="OSB209" s="243"/>
      <c r="OSC209" s="243"/>
      <c r="OSD209" s="243"/>
      <c r="OSE209" s="243"/>
      <c r="OSF209" s="243"/>
      <c r="OSG209" s="243"/>
      <c r="OSH209" s="243"/>
      <c r="OSI209" s="243"/>
      <c r="OSJ209" s="243"/>
      <c r="OSK209" s="243"/>
      <c r="OSL209" s="243"/>
      <c r="OSM209" s="243"/>
      <c r="OSN209" s="243"/>
      <c r="OSO209" s="243"/>
      <c r="OSP209" s="243"/>
      <c r="OSQ209" s="243"/>
      <c r="OSR209" s="243"/>
      <c r="OSS209" s="243"/>
      <c r="OST209" s="243"/>
      <c r="OSU209" s="243"/>
      <c r="OSV209" s="243"/>
      <c r="OSW209" s="243"/>
      <c r="OSX209" s="243"/>
      <c r="OSY209" s="243"/>
      <c r="OSZ209" s="243"/>
      <c r="OTA209" s="243"/>
      <c r="OTB209" s="243"/>
      <c r="OTC209" s="243"/>
      <c r="OTD209" s="243"/>
      <c r="OTE209" s="243"/>
      <c r="OTF209" s="243"/>
      <c r="OTG209" s="243"/>
      <c r="OTH209" s="243"/>
      <c r="OTI209" s="243"/>
      <c r="OTJ209" s="243"/>
      <c r="OTK209" s="243"/>
      <c r="OTL209" s="243"/>
      <c r="OTM209" s="243"/>
      <c r="OTN209" s="243"/>
      <c r="OTO209" s="243"/>
      <c r="OTP209" s="243"/>
      <c r="OTQ209" s="243"/>
      <c r="OTR209" s="243"/>
      <c r="OTS209" s="243"/>
      <c r="OTT209" s="243"/>
      <c r="OTU209" s="243"/>
      <c r="OTV209" s="243"/>
      <c r="OTW209" s="243"/>
      <c r="OTX209" s="243"/>
      <c r="OTY209" s="243"/>
      <c r="OTZ209" s="243"/>
      <c r="OUA209" s="243"/>
      <c r="OUB209" s="243"/>
      <c r="OUC209" s="243"/>
      <c r="OUD209" s="243"/>
      <c r="OUE209" s="243"/>
      <c r="OUF209" s="243"/>
      <c r="OUG209" s="243"/>
      <c r="OUH209" s="243"/>
      <c r="OUI209" s="243"/>
      <c r="OUJ209" s="243"/>
      <c r="OUK209" s="243"/>
      <c r="OUL209" s="243"/>
      <c r="OUM209" s="243"/>
      <c r="OUN209" s="243"/>
      <c r="OUO209" s="243"/>
      <c r="OUP209" s="243"/>
      <c r="OUQ209" s="243"/>
      <c r="OUR209" s="243"/>
      <c r="OUS209" s="243"/>
      <c r="OUT209" s="243"/>
      <c r="OUU209" s="243"/>
      <c r="OUV209" s="243"/>
      <c r="OUW209" s="243"/>
      <c r="OUX209" s="243"/>
      <c r="OUY209" s="243"/>
      <c r="OUZ209" s="243"/>
      <c r="OVA209" s="243"/>
      <c r="OVB209" s="243"/>
      <c r="OVC209" s="243"/>
      <c r="OVD209" s="243"/>
      <c r="OVE209" s="243"/>
      <c r="OVF209" s="243"/>
      <c r="OVG209" s="243"/>
      <c r="OVH209" s="243"/>
      <c r="OVI209" s="243"/>
      <c r="OVJ209" s="243"/>
      <c r="OVK209" s="243"/>
      <c r="OVL209" s="243"/>
      <c r="OVM209" s="243"/>
      <c r="OVN209" s="243"/>
      <c r="OVO209" s="243"/>
      <c r="OVP209" s="243"/>
      <c r="OVQ209" s="243"/>
      <c r="OVR209" s="243"/>
      <c r="OVS209" s="243"/>
      <c r="OVT209" s="243"/>
      <c r="OVU209" s="243"/>
      <c r="OVV209" s="243"/>
      <c r="OVW209" s="243"/>
      <c r="OVX209" s="243"/>
      <c r="OVY209" s="243"/>
      <c r="OVZ209" s="243"/>
      <c r="OWA209" s="243"/>
      <c r="OWB209" s="243"/>
      <c r="OWC209" s="243"/>
      <c r="OWD209" s="243"/>
      <c r="OWE209" s="243"/>
      <c r="OWF209" s="243"/>
      <c r="OWG209" s="243"/>
      <c r="OWH209" s="243"/>
      <c r="OWI209" s="243"/>
      <c r="OWJ209" s="243"/>
      <c r="OWK209" s="243"/>
      <c r="OWL209" s="243"/>
      <c r="OWM209" s="243"/>
      <c r="OWN209" s="243"/>
      <c r="OWO209" s="243"/>
      <c r="OWP209" s="243"/>
      <c r="OWQ209" s="243"/>
      <c r="OWR209" s="243"/>
      <c r="OWS209" s="243"/>
      <c r="OWT209" s="243"/>
      <c r="OWU209" s="243"/>
      <c r="OWV209" s="243"/>
      <c r="OWW209" s="243"/>
      <c r="OWX209" s="243"/>
      <c r="OWY209" s="243"/>
      <c r="OWZ209" s="243"/>
      <c r="OXA209" s="243"/>
      <c r="OXB209" s="243"/>
      <c r="OXC209" s="243"/>
      <c r="OXD209" s="243"/>
      <c r="OXE209" s="243"/>
      <c r="OXF209" s="243"/>
      <c r="OXG209" s="243"/>
      <c r="OXH209" s="243"/>
      <c r="OXI209" s="243"/>
      <c r="OXJ209" s="243"/>
      <c r="OXK209" s="243"/>
      <c r="OXL209" s="243"/>
      <c r="OXM209" s="243"/>
      <c r="OXN209" s="243"/>
      <c r="OXO209" s="243"/>
      <c r="OXP209" s="243"/>
      <c r="OXQ209" s="243"/>
      <c r="OXR209" s="243"/>
      <c r="OXS209" s="243"/>
      <c r="OXT209" s="243"/>
      <c r="OXU209" s="243"/>
      <c r="OXV209" s="243"/>
      <c r="OXW209" s="243"/>
      <c r="OXX209" s="243"/>
      <c r="OXY209" s="243"/>
      <c r="OXZ209" s="243"/>
      <c r="OYA209" s="243"/>
      <c r="OYB209" s="243"/>
      <c r="OYC209" s="243"/>
      <c r="OYD209" s="243"/>
      <c r="OYE209" s="243"/>
      <c r="OYF209" s="243"/>
      <c r="OYG209" s="243"/>
      <c r="OYH209" s="243"/>
      <c r="OYI209" s="243"/>
      <c r="OYJ209" s="243"/>
      <c r="OYK209" s="243"/>
      <c r="OYL209" s="243"/>
      <c r="OYM209" s="243"/>
      <c r="OYN209" s="243"/>
      <c r="OYO209" s="243"/>
      <c r="OYP209" s="243"/>
      <c r="OYQ209" s="243"/>
      <c r="OYR209" s="243"/>
      <c r="OYS209" s="243"/>
      <c r="OYT209" s="243"/>
      <c r="OYU209" s="243"/>
      <c r="OYV209" s="243"/>
      <c r="OYW209" s="243"/>
      <c r="OYX209" s="243"/>
      <c r="OYY209" s="243"/>
      <c r="OYZ209" s="243"/>
      <c r="OZA209" s="243"/>
      <c r="OZB209" s="243"/>
      <c r="OZC209" s="243"/>
      <c r="OZD209" s="243"/>
      <c r="OZE209" s="243"/>
      <c r="OZF209" s="243"/>
      <c r="OZG209" s="243"/>
      <c r="OZH209" s="243"/>
      <c r="OZI209" s="243"/>
      <c r="OZJ209" s="243"/>
      <c r="OZK209" s="243"/>
      <c r="OZL209" s="243"/>
      <c r="OZM209" s="243"/>
      <c r="OZN209" s="243"/>
      <c r="OZO209" s="243"/>
      <c r="OZP209" s="243"/>
      <c r="OZQ209" s="243"/>
      <c r="OZR209" s="243"/>
      <c r="OZS209" s="243"/>
      <c r="OZT209" s="243"/>
      <c r="OZU209" s="243"/>
      <c r="OZV209" s="243"/>
      <c r="OZW209" s="243"/>
      <c r="OZX209" s="243"/>
      <c r="OZY209" s="243"/>
      <c r="OZZ209" s="243"/>
      <c r="PAA209" s="243"/>
      <c r="PAB209" s="243"/>
      <c r="PAC209" s="243"/>
      <c r="PAD209" s="243"/>
      <c r="PAE209" s="243"/>
      <c r="PAF209" s="243"/>
      <c r="PAG209" s="243"/>
      <c r="PAH209" s="243"/>
      <c r="PAI209" s="243"/>
      <c r="PAJ209" s="243"/>
      <c r="PAK209" s="243"/>
      <c r="PAL209" s="243"/>
      <c r="PAM209" s="243"/>
      <c r="PAN209" s="243"/>
      <c r="PAO209" s="243"/>
      <c r="PAP209" s="243"/>
      <c r="PAQ209" s="243"/>
      <c r="PAR209" s="243"/>
      <c r="PAS209" s="243"/>
      <c r="PAT209" s="243"/>
      <c r="PAU209" s="243"/>
      <c r="PAV209" s="243"/>
      <c r="PAW209" s="243"/>
      <c r="PAX209" s="243"/>
      <c r="PAY209" s="243"/>
      <c r="PAZ209" s="243"/>
      <c r="PBA209" s="243"/>
      <c r="PBB209" s="243"/>
      <c r="PBC209" s="243"/>
      <c r="PBD209" s="243"/>
      <c r="PBE209" s="243"/>
      <c r="PBF209" s="243"/>
      <c r="PBG209" s="243"/>
      <c r="PBH209" s="243"/>
      <c r="PBI209" s="243"/>
      <c r="PBJ209" s="243"/>
      <c r="PBK209" s="243"/>
      <c r="PBL209" s="243"/>
      <c r="PBM209" s="243"/>
      <c r="PBN209" s="243"/>
      <c r="PBO209" s="243"/>
      <c r="PBP209" s="243"/>
      <c r="PBQ209" s="243"/>
      <c r="PBR209" s="243"/>
      <c r="PBS209" s="243"/>
      <c r="PBT209" s="243"/>
      <c r="PBU209" s="243"/>
      <c r="PBV209" s="243"/>
      <c r="PBW209" s="243"/>
      <c r="PBX209" s="243"/>
      <c r="PBY209" s="243"/>
      <c r="PBZ209" s="243"/>
      <c r="PCA209" s="243"/>
      <c r="PCB209" s="243"/>
      <c r="PCC209" s="243"/>
      <c r="PCD209" s="243"/>
      <c r="PCE209" s="243"/>
      <c r="PCF209" s="243"/>
      <c r="PCG209" s="243"/>
      <c r="PCH209" s="243"/>
      <c r="PCI209" s="243"/>
      <c r="PCJ209" s="243"/>
      <c r="PCK209" s="243"/>
      <c r="PCL209" s="243"/>
      <c r="PCM209" s="243"/>
      <c r="PCN209" s="243"/>
      <c r="PCO209" s="243"/>
      <c r="PCP209" s="243"/>
      <c r="PCQ209" s="243"/>
      <c r="PCR209" s="243"/>
      <c r="PCS209" s="243"/>
      <c r="PCT209" s="243"/>
      <c r="PCU209" s="243"/>
      <c r="PCV209" s="243"/>
      <c r="PCW209" s="243"/>
      <c r="PCX209" s="243"/>
      <c r="PCY209" s="243"/>
      <c r="PCZ209" s="243"/>
      <c r="PDA209" s="243"/>
      <c r="PDB209" s="243"/>
      <c r="PDC209" s="243"/>
      <c r="PDD209" s="243"/>
      <c r="PDE209" s="243"/>
      <c r="PDF209" s="243"/>
      <c r="PDG209" s="243"/>
      <c r="PDH209" s="243"/>
      <c r="PDI209" s="243"/>
      <c r="PDJ209" s="243"/>
      <c r="PDK209" s="243"/>
      <c r="PDL209" s="243"/>
      <c r="PDM209" s="243"/>
      <c r="PDN209" s="243"/>
      <c r="PDO209" s="243"/>
      <c r="PDP209" s="243"/>
      <c r="PDQ209" s="243"/>
      <c r="PDR209" s="243"/>
      <c r="PDS209" s="243"/>
      <c r="PDT209" s="243"/>
      <c r="PDU209" s="243"/>
      <c r="PDV209" s="243"/>
      <c r="PDW209" s="243"/>
      <c r="PDX209" s="243"/>
      <c r="PDY209" s="243"/>
      <c r="PDZ209" s="243"/>
      <c r="PEA209" s="243"/>
      <c r="PEB209" s="243"/>
      <c r="PEC209" s="243"/>
      <c r="PED209" s="243"/>
      <c r="PEE209" s="243"/>
      <c r="PEF209" s="243"/>
      <c r="PEG209" s="243"/>
      <c r="PEH209" s="243"/>
      <c r="PEI209" s="243"/>
      <c r="PEJ209" s="243"/>
      <c r="PEK209" s="243"/>
      <c r="PEL209" s="243"/>
      <c r="PEM209" s="243"/>
      <c r="PEN209" s="243"/>
      <c r="PEO209" s="243"/>
      <c r="PEP209" s="243"/>
      <c r="PEQ209" s="243"/>
      <c r="PER209" s="243"/>
      <c r="PES209" s="243"/>
      <c r="PET209" s="243"/>
      <c r="PEU209" s="243"/>
      <c r="PEV209" s="243"/>
      <c r="PEW209" s="243"/>
      <c r="PEX209" s="243"/>
      <c r="PEY209" s="243"/>
      <c r="PEZ209" s="243"/>
      <c r="PFA209" s="243"/>
      <c r="PFB209" s="243"/>
      <c r="PFC209" s="243"/>
      <c r="PFD209" s="243"/>
      <c r="PFE209" s="243"/>
      <c r="PFF209" s="243"/>
      <c r="PFG209" s="243"/>
      <c r="PFH209" s="243"/>
      <c r="PFI209" s="243"/>
      <c r="PFJ209" s="243"/>
      <c r="PFK209" s="243"/>
      <c r="PFL209" s="243"/>
      <c r="PFM209" s="243"/>
      <c r="PFN209" s="243"/>
      <c r="PFO209" s="243"/>
      <c r="PFP209" s="243"/>
      <c r="PFQ209" s="243"/>
      <c r="PFR209" s="243"/>
      <c r="PFS209" s="243"/>
      <c r="PFT209" s="243"/>
      <c r="PFU209" s="243"/>
      <c r="PFV209" s="243"/>
      <c r="PFW209" s="243"/>
      <c r="PFX209" s="243"/>
      <c r="PFY209" s="243"/>
      <c r="PFZ209" s="243"/>
      <c r="PGA209" s="243"/>
      <c r="PGB209" s="243"/>
      <c r="PGC209" s="243"/>
      <c r="PGD209" s="243"/>
      <c r="PGE209" s="243"/>
      <c r="PGF209" s="243"/>
      <c r="PGG209" s="243"/>
      <c r="PGH209" s="243"/>
      <c r="PGI209" s="243"/>
      <c r="PGJ209" s="243"/>
      <c r="PGK209" s="243"/>
      <c r="PGL209" s="243"/>
      <c r="PGM209" s="243"/>
      <c r="PGN209" s="243"/>
      <c r="PGO209" s="243"/>
      <c r="PGP209" s="243"/>
      <c r="PGQ209" s="243"/>
      <c r="PGR209" s="243"/>
      <c r="PGS209" s="243"/>
      <c r="PGT209" s="243"/>
      <c r="PGU209" s="243"/>
      <c r="PGV209" s="243"/>
      <c r="PGW209" s="243"/>
      <c r="PGX209" s="243"/>
      <c r="PGY209" s="243"/>
      <c r="PGZ209" s="243"/>
      <c r="PHA209" s="243"/>
      <c r="PHB209" s="243"/>
      <c r="PHC209" s="243"/>
      <c r="PHD209" s="243"/>
      <c r="PHE209" s="243"/>
      <c r="PHF209" s="243"/>
      <c r="PHG209" s="243"/>
      <c r="PHH209" s="243"/>
      <c r="PHI209" s="243"/>
      <c r="PHJ209" s="243"/>
      <c r="PHK209" s="243"/>
      <c r="PHL209" s="243"/>
      <c r="PHM209" s="243"/>
      <c r="PHN209" s="243"/>
      <c r="PHO209" s="243"/>
      <c r="PHP209" s="243"/>
      <c r="PHQ209" s="243"/>
      <c r="PHR209" s="243"/>
      <c r="PHS209" s="243"/>
      <c r="PHT209" s="243"/>
      <c r="PHU209" s="243"/>
      <c r="PHV209" s="243"/>
      <c r="PHW209" s="243"/>
      <c r="PHX209" s="243"/>
      <c r="PHY209" s="243"/>
      <c r="PHZ209" s="243"/>
      <c r="PIA209" s="243"/>
      <c r="PIB209" s="243"/>
      <c r="PIC209" s="243"/>
      <c r="PID209" s="243"/>
      <c r="PIE209" s="243"/>
      <c r="PIF209" s="243"/>
      <c r="PIG209" s="243"/>
      <c r="PIH209" s="243"/>
      <c r="PII209" s="243"/>
      <c r="PIJ209" s="243"/>
      <c r="PIK209" s="243"/>
      <c r="PIL209" s="243"/>
      <c r="PIM209" s="243"/>
      <c r="PIN209" s="243"/>
      <c r="PIO209" s="243"/>
      <c r="PIP209" s="243"/>
      <c r="PIQ209" s="243"/>
      <c r="PIR209" s="243"/>
      <c r="PIS209" s="243"/>
      <c r="PIT209" s="243"/>
      <c r="PIU209" s="243"/>
      <c r="PIV209" s="243"/>
      <c r="PIW209" s="243"/>
      <c r="PIX209" s="243"/>
      <c r="PIY209" s="243"/>
      <c r="PIZ209" s="243"/>
      <c r="PJA209" s="243"/>
      <c r="PJB209" s="243"/>
      <c r="PJC209" s="243"/>
      <c r="PJD209" s="243"/>
      <c r="PJE209" s="243"/>
      <c r="PJF209" s="243"/>
      <c r="PJG209" s="243"/>
      <c r="PJH209" s="243"/>
      <c r="PJI209" s="243"/>
      <c r="PJJ209" s="243"/>
      <c r="PJK209" s="243"/>
      <c r="PJL209" s="243"/>
      <c r="PJM209" s="243"/>
      <c r="PJN209" s="243"/>
      <c r="PJO209" s="243"/>
      <c r="PJP209" s="243"/>
      <c r="PJQ209" s="243"/>
      <c r="PJR209" s="243"/>
      <c r="PJS209" s="243"/>
      <c r="PJT209" s="243"/>
      <c r="PJU209" s="243"/>
      <c r="PJV209" s="243"/>
      <c r="PJW209" s="243"/>
      <c r="PJX209" s="243"/>
      <c r="PJY209" s="243"/>
      <c r="PJZ209" s="243"/>
      <c r="PKA209" s="243"/>
      <c r="PKB209" s="243"/>
      <c r="PKC209" s="243"/>
      <c r="PKD209" s="243"/>
      <c r="PKE209" s="243"/>
      <c r="PKF209" s="243"/>
      <c r="PKG209" s="243"/>
      <c r="PKH209" s="243"/>
      <c r="PKI209" s="243"/>
      <c r="PKJ209" s="243"/>
      <c r="PKK209" s="243"/>
      <c r="PKL209" s="243"/>
      <c r="PKM209" s="243"/>
      <c r="PKN209" s="243"/>
      <c r="PKO209" s="243"/>
      <c r="PKP209" s="243"/>
      <c r="PKQ209" s="243"/>
      <c r="PKR209" s="243"/>
      <c r="PKS209" s="243"/>
      <c r="PKT209" s="243"/>
      <c r="PKU209" s="243"/>
      <c r="PKV209" s="243"/>
      <c r="PKW209" s="243"/>
      <c r="PKX209" s="243"/>
      <c r="PKY209" s="243"/>
      <c r="PKZ209" s="243"/>
      <c r="PLA209" s="243"/>
      <c r="PLB209" s="243"/>
      <c r="PLC209" s="243"/>
      <c r="PLD209" s="243"/>
      <c r="PLE209" s="243"/>
      <c r="PLF209" s="243"/>
      <c r="PLG209" s="243"/>
      <c r="PLH209" s="243"/>
      <c r="PLI209" s="243"/>
      <c r="PLJ209" s="243"/>
      <c r="PLK209" s="243"/>
      <c r="PLL209" s="243"/>
      <c r="PLM209" s="243"/>
      <c r="PLN209" s="243"/>
      <c r="PLO209" s="243"/>
      <c r="PLP209" s="243"/>
      <c r="PLQ209" s="243"/>
      <c r="PLR209" s="243"/>
      <c r="PLS209" s="243"/>
      <c r="PLT209" s="243"/>
      <c r="PLU209" s="243"/>
      <c r="PLV209" s="243"/>
      <c r="PLW209" s="243"/>
      <c r="PLX209" s="243"/>
      <c r="PLY209" s="243"/>
      <c r="PLZ209" s="243"/>
      <c r="PMA209" s="243"/>
      <c r="PMB209" s="243"/>
      <c r="PMC209" s="243"/>
      <c r="PMD209" s="243"/>
      <c r="PME209" s="243"/>
      <c r="PMF209" s="243"/>
      <c r="PMG209" s="243"/>
      <c r="PMH209" s="243"/>
      <c r="PMI209" s="243"/>
      <c r="PMJ209" s="243"/>
      <c r="PMK209" s="243"/>
      <c r="PML209" s="243"/>
      <c r="PMM209" s="243"/>
      <c r="PMN209" s="243"/>
      <c r="PMO209" s="243"/>
      <c r="PMP209" s="243"/>
      <c r="PMQ209" s="243"/>
      <c r="PMR209" s="243"/>
      <c r="PMS209" s="243"/>
      <c r="PMT209" s="243"/>
      <c r="PMU209" s="243"/>
      <c r="PMV209" s="243"/>
      <c r="PMW209" s="243"/>
      <c r="PMX209" s="243"/>
      <c r="PMY209" s="243"/>
      <c r="PMZ209" s="243"/>
      <c r="PNA209" s="243"/>
      <c r="PNB209" s="243"/>
      <c r="PNC209" s="243"/>
      <c r="PND209" s="243"/>
      <c r="PNE209" s="243"/>
      <c r="PNF209" s="243"/>
      <c r="PNG209" s="243"/>
      <c r="PNH209" s="243"/>
      <c r="PNI209" s="243"/>
      <c r="PNJ209" s="243"/>
      <c r="PNK209" s="243"/>
      <c r="PNL209" s="243"/>
      <c r="PNM209" s="243"/>
      <c r="PNN209" s="243"/>
      <c r="PNO209" s="243"/>
      <c r="PNP209" s="243"/>
      <c r="PNQ209" s="243"/>
      <c r="PNR209" s="243"/>
      <c r="PNS209" s="243"/>
      <c r="PNT209" s="243"/>
      <c r="PNU209" s="243"/>
      <c r="PNV209" s="243"/>
      <c r="PNW209" s="243"/>
      <c r="PNX209" s="243"/>
      <c r="PNY209" s="243"/>
      <c r="PNZ209" s="243"/>
      <c r="POA209" s="243"/>
      <c r="POB209" s="243"/>
      <c r="POC209" s="243"/>
      <c r="POD209" s="243"/>
      <c r="POE209" s="243"/>
      <c r="POF209" s="243"/>
      <c r="POG209" s="243"/>
      <c r="POH209" s="243"/>
      <c r="POI209" s="243"/>
      <c r="POJ209" s="243"/>
      <c r="POK209" s="243"/>
      <c r="POL209" s="243"/>
      <c r="POM209" s="243"/>
      <c r="PON209" s="243"/>
      <c r="POO209" s="243"/>
      <c r="POP209" s="243"/>
      <c r="POQ209" s="243"/>
      <c r="POR209" s="243"/>
      <c r="POS209" s="243"/>
      <c r="POT209" s="243"/>
      <c r="POU209" s="243"/>
      <c r="POV209" s="243"/>
      <c r="POW209" s="243"/>
      <c r="POX209" s="243"/>
      <c r="POY209" s="243"/>
      <c r="POZ209" s="243"/>
      <c r="PPA209" s="243"/>
      <c r="PPB209" s="243"/>
      <c r="PPC209" s="243"/>
      <c r="PPD209" s="243"/>
      <c r="PPE209" s="243"/>
      <c r="PPF209" s="243"/>
      <c r="PPG209" s="243"/>
      <c r="PPH209" s="243"/>
      <c r="PPI209" s="243"/>
      <c r="PPJ209" s="243"/>
      <c r="PPK209" s="243"/>
      <c r="PPL209" s="243"/>
      <c r="PPM209" s="243"/>
      <c r="PPN209" s="243"/>
      <c r="PPO209" s="243"/>
      <c r="PPP209" s="243"/>
      <c r="PPQ209" s="243"/>
      <c r="PPR209" s="243"/>
      <c r="PPS209" s="243"/>
      <c r="PPT209" s="243"/>
      <c r="PPU209" s="243"/>
      <c r="PPV209" s="243"/>
      <c r="PPW209" s="243"/>
      <c r="PPX209" s="243"/>
      <c r="PPY209" s="243"/>
      <c r="PPZ209" s="243"/>
      <c r="PQA209" s="243"/>
      <c r="PQB209" s="243"/>
      <c r="PQC209" s="243"/>
      <c r="PQD209" s="243"/>
      <c r="PQE209" s="243"/>
      <c r="PQF209" s="243"/>
      <c r="PQG209" s="243"/>
      <c r="PQH209" s="243"/>
      <c r="PQI209" s="243"/>
      <c r="PQJ209" s="243"/>
      <c r="PQK209" s="243"/>
      <c r="PQL209" s="243"/>
      <c r="PQM209" s="243"/>
      <c r="PQN209" s="243"/>
      <c r="PQO209" s="243"/>
      <c r="PQP209" s="243"/>
      <c r="PQQ209" s="243"/>
      <c r="PQR209" s="243"/>
      <c r="PQS209" s="243"/>
      <c r="PQT209" s="243"/>
      <c r="PQU209" s="243"/>
      <c r="PQV209" s="243"/>
      <c r="PQW209" s="243"/>
      <c r="PQX209" s="243"/>
      <c r="PQY209" s="243"/>
      <c r="PQZ209" s="243"/>
      <c r="PRA209" s="243"/>
      <c r="PRB209" s="243"/>
      <c r="PRC209" s="243"/>
      <c r="PRD209" s="243"/>
      <c r="PRE209" s="243"/>
      <c r="PRF209" s="243"/>
      <c r="PRG209" s="243"/>
      <c r="PRH209" s="243"/>
      <c r="PRI209" s="243"/>
      <c r="PRJ209" s="243"/>
      <c r="PRK209" s="243"/>
      <c r="PRL209" s="243"/>
      <c r="PRM209" s="243"/>
      <c r="PRN209" s="243"/>
      <c r="PRO209" s="243"/>
      <c r="PRP209" s="243"/>
      <c r="PRQ209" s="243"/>
      <c r="PRR209" s="243"/>
      <c r="PRS209" s="243"/>
      <c r="PRT209" s="243"/>
      <c r="PRU209" s="243"/>
      <c r="PRV209" s="243"/>
      <c r="PRW209" s="243"/>
      <c r="PRX209" s="243"/>
      <c r="PRY209" s="243"/>
      <c r="PRZ209" s="243"/>
      <c r="PSA209" s="243"/>
      <c r="PSB209" s="243"/>
      <c r="PSC209" s="243"/>
      <c r="PSD209" s="243"/>
      <c r="PSE209" s="243"/>
      <c r="PSF209" s="243"/>
      <c r="PSG209" s="243"/>
      <c r="PSH209" s="243"/>
      <c r="PSI209" s="243"/>
      <c r="PSJ209" s="243"/>
      <c r="PSK209" s="243"/>
      <c r="PSL209" s="243"/>
      <c r="PSM209" s="243"/>
      <c r="PSN209" s="243"/>
      <c r="PSO209" s="243"/>
      <c r="PSP209" s="243"/>
      <c r="PSQ209" s="243"/>
      <c r="PSR209" s="243"/>
      <c r="PSS209" s="243"/>
      <c r="PST209" s="243"/>
      <c r="PSU209" s="243"/>
      <c r="PSV209" s="243"/>
      <c r="PSW209" s="243"/>
      <c r="PSX209" s="243"/>
      <c r="PSY209" s="243"/>
      <c r="PSZ209" s="243"/>
      <c r="PTA209" s="243"/>
      <c r="PTB209" s="243"/>
      <c r="PTC209" s="243"/>
      <c r="PTD209" s="243"/>
      <c r="PTE209" s="243"/>
      <c r="PTF209" s="243"/>
      <c r="PTG209" s="243"/>
      <c r="PTH209" s="243"/>
      <c r="PTI209" s="243"/>
      <c r="PTJ209" s="243"/>
      <c r="PTK209" s="243"/>
      <c r="PTL209" s="243"/>
      <c r="PTM209" s="243"/>
      <c r="PTN209" s="243"/>
      <c r="PTO209" s="243"/>
      <c r="PTP209" s="243"/>
      <c r="PTQ209" s="243"/>
      <c r="PTR209" s="243"/>
      <c r="PTS209" s="243"/>
      <c r="PTT209" s="243"/>
      <c r="PTU209" s="243"/>
      <c r="PTV209" s="243"/>
      <c r="PTW209" s="243"/>
      <c r="PTX209" s="243"/>
      <c r="PTY209" s="243"/>
      <c r="PTZ209" s="243"/>
      <c r="PUA209" s="243"/>
      <c r="PUB209" s="243"/>
      <c r="PUC209" s="243"/>
      <c r="PUD209" s="243"/>
      <c r="PUE209" s="243"/>
      <c r="PUF209" s="243"/>
      <c r="PUG209" s="243"/>
      <c r="PUH209" s="243"/>
      <c r="PUI209" s="243"/>
      <c r="PUJ209" s="243"/>
      <c r="PUK209" s="243"/>
      <c r="PUL209" s="243"/>
      <c r="PUM209" s="243"/>
      <c r="PUN209" s="243"/>
      <c r="PUO209" s="243"/>
      <c r="PUP209" s="243"/>
      <c r="PUQ209" s="243"/>
      <c r="PUR209" s="243"/>
      <c r="PUS209" s="243"/>
      <c r="PUT209" s="243"/>
      <c r="PUU209" s="243"/>
      <c r="PUV209" s="243"/>
      <c r="PUW209" s="243"/>
      <c r="PUX209" s="243"/>
      <c r="PUY209" s="243"/>
      <c r="PUZ209" s="243"/>
      <c r="PVA209" s="243"/>
      <c r="PVB209" s="243"/>
      <c r="PVC209" s="243"/>
      <c r="PVD209" s="243"/>
      <c r="PVE209" s="243"/>
      <c r="PVF209" s="243"/>
      <c r="PVG209" s="243"/>
      <c r="PVH209" s="243"/>
      <c r="PVI209" s="243"/>
      <c r="PVJ209" s="243"/>
      <c r="PVK209" s="243"/>
      <c r="PVL209" s="243"/>
      <c r="PVM209" s="243"/>
      <c r="PVN209" s="243"/>
      <c r="PVO209" s="243"/>
      <c r="PVP209" s="243"/>
      <c r="PVQ209" s="243"/>
      <c r="PVR209" s="243"/>
      <c r="PVS209" s="243"/>
      <c r="PVT209" s="243"/>
      <c r="PVU209" s="243"/>
      <c r="PVV209" s="243"/>
      <c r="PVW209" s="243"/>
      <c r="PVX209" s="243"/>
      <c r="PVY209" s="243"/>
      <c r="PVZ209" s="243"/>
      <c r="PWA209" s="243"/>
      <c r="PWB209" s="243"/>
      <c r="PWC209" s="243"/>
      <c r="PWD209" s="243"/>
      <c r="PWE209" s="243"/>
      <c r="PWF209" s="243"/>
      <c r="PWG209" s="243"/>
      <c r="PWH209" s="243"/>
      <c r="PWI209" s="243"/>
      <c r="PWJ209" s="243"/>
      <c r="PWK209" s="243"/>
      <c r="PWL209" s="243"/>
      <c r="PWM209" s="243"/>
      <c r="PWN209" s="243"/>
      <c r="PWO209" s="243"/>
      <c r="PWP209" s="243"/>
      <c r="PWQ209" s="243"/>
      <c r="PWR209" s="243"/>
      <c r="PWS209" s="243"/>
      <c r="PWT209" s="243"/>
      <c r="PWU209" s="243"/>
      <c r="PWV209" s="243"/>
      <c r="PWW209" s="243"/>
      <c r="PWX209" s="243"/>
      <c r="PWY209" s="243"/>
      <c r="PWZ209" s="243"/>
      <c r="PXA209" s="243"/>
      <c r="PXB209" s="243"/>
      <c r="PXC209" s="243"/>
      <c r="PXD209" s="243"/>
      <c r="PXE209" s="243"/>
      <c r="PXF209" s="243"/>
      <c r="PXG209" s="243"/>
      <c r="PXH209" s="243"/>
      <c r="PXI209" s="243"/>
      <c r="PXJ209" s="243"/>
      <c r="PXK209" s="243"/>
      <c r="PXL209" s="243"/>
      <c r="PXM209" s="243"/>
      <c r="PXN209" s="243"/>
      <c r="PXO209" s="243"/>
      <c r="PXP209" s="243"/>
      <c r="PXQ209" s="243"/>
      <c r="PXR209" s="243"/>
      <c r="PXS209" s="243"/>
      <c r="PXT209" s="243"/>
      <c r="PXU209" s="243"/>
      <c r="PXV209" s="243"/>
      <c r="PXW209" s="243"/>
      <c r="PXX209" s="243"/>
      <c r="PXY209" s="243"/>
      <c r="PXZ209" s="243"/>
      <c r="PYA209" s="243"/>
      <c r="PYB209" s="243"/>
      <c r="PYC209" s="243"/>
      <c r="PYD209" s="243"/>
      <c r="PYE209" s="243"/>
      <c r="PYF209" s="243"/>
      <c r="PYG209" s="243"/>
      <c r="PYH209" s="243"/>
      <c r="PYI209" s="243"/>
      <c r="PYJ209" s="243"/>
      <c r="PYK209" s="243"/>
      <c r="PYL209" s="243"/>
      <c r="PYM209" s="243"/>
      <c r="PYN209" s="243"/>
      <c r="PYO209" s="243"/>
      <c r="PYP209" s="243"/>
      <c r="PYQ209" s="243"/>
      <c r="PYR209" s="243"/>
      <c r="PYS209" s="243"/>
      <c r="PYT209" s="243"/>
      <c r="PYU209" s="243"/>
      <c r="PYV209" s="243"/>
      <c r="PYW209" s="243"/>
      <c r="PYX209" s="243"/>
      <c r="PYY209" s="243"/>
      <c r="PYZ209" s="243"/>
      <c r="PZA209" s="243"/>
      <c r="PZB209" s="243"/>
      <c r="PZC209" s="243"/>
      <c r="PZD209" s="243"/>
      <c r="PZE209" s="243"/>
      <c r="PZF209" s="243"/>
      <c r="PZG209" s="243"/>
      <c r="PZH209" s="243"/>
      <c r="PZI209" s="243"/>
      <c r="PZJ209" s="243"/>
      <c r="PZK209" s="243"/>
      <c r="PZL209" s="243"/>
      <c r="PZM209" s="243"/>
      <c r="PZN209" s="243"/>
      <c r="PZO209" s="243"/>
      <c r="PZP209" s="243"/>
      <c r="PZQ209" s="243"/>
      <c r="PZR209" s="243"/>
      <c r="PZS209" s="243"/>
      <c r="PZT209" s="243"/>
      <c r="PZU209" s="243"/>
      <c r="PZV209" s="243"/>
      <c r="PZW209" s="243"/>
      <c r="PZX209" s="243"/>
      <c r="PZY209" s="243"/>
      <c r="PZZ209" s="243"/>
      <c r="QAA209" s="243"/>
      <c r="QAB209" s="243"/>
      <c r="QAC209" s="243"/>
      <c r="QAD209" s="243"/>
      <c r="QAE209" s="243"/>
      <c r="QAF209" s="243"/>
      <c r="QAG209" s="243"/>
      <c r="QAH209" s="243"/>
      <c r="QAI209" s="243"/>
      <c r="QAJ209" s="243"/>
      <c r="QAK209" s="243"/>
      <c r="QAL209" s="243"/>
      <c r="QAM209" s="243"/>
      <c r="QAN209" s="243"/>
      <c r="QAO209" s="243"/>
      <c r="QAP209" s="243"/>
      <c r="QAQ209" s="243"/>
      <c r="QAR209" s="243"/>
      <c r="QAS209" s="243"/>
      <c r="QAT209" s="243"/>
      <c r="QAU209" s="243"/>
      <c r="QAV209" s="243"/>
      <c r="QAW209" s="243"/>
      <c r="QAX209" s="243"/>
      <c r="QAY209" s="243"/>
      <c r="QAZ209" s="243"/>
      <c r="QBA209" s="243"/>
      <c r="QBB209" s="243"/>
      <c r="QBC209" s="243"/>
      <c r="QBD209" s="243"/>
      <c r="QBE209" s="243"/>
      <c r="QBF209" s="243"/>
      <c r="QBG209" s="243"/>
      <c r="QBH209" s="243"/>
      <c r="QBI209" s="243"/>
      <c r="QBJ209" s="243"/>
      <c r="QBK209" s="243"/>
      <c r="QBL209" s="243"/>
      <c r="QBM209" s="243"/>
      <c r="QBN209" s="243"/>
      <c r="QBO209" s="243"/>
      <c r="QBP209" s="243"/>
      <c r="QBQ209" s="243"/>
      <c r="QBR209" s="243"/>
      <c r="QBS209" s="243"/>
      <c r="QBT209" s="243"/>
      <c r="QBU209" s="243"/>
      <c r="QBV209" s="243"/>
      <c r="QBW209" s="243"/>
      <c r="QBX209" s="243"/>
      <c r="QBY209" s="243"/>
      <c r="QBZ209" s="243"/>
      <c r="QCA209" s="243"/>
      <c r="QCB209" s="243"/>
      <c r="QCC209" s="243"/>
      <c r="QCD209" s="243"/>
      <c r="QCE209" s="243"/>
      <c r="QCF209" s="243"/>
      <c r="QCG209" s="243"/>
      <c r="QCH209" s="243"/>
      <c r="QCI209" s="243"/>
      <c r="QCJ209" s="243"/>
      <c r="QCK209" s="243"/>
      <c r="QCL209" s="243"/>
      <c r="QCM209" s="243"/>
      <c r="QCN209" s="243"/>
      <c r="QCO209" s="243"/>
      <c r="QCP209" s="243"/>
      <c r="QCQ209" s="243"/>
      <c r="QCR209" s="243"/>
      <c r="QCS209" s="243"/>
      <c r="QCT209" s="243"/>
      <c r="QCU209" s="243"/>
      <c r="QCV209" s="243"/>
      <c r="QCW209" s="243"/>
      <c r="QCX209" s="243"/>
      <c r="QCY209" s="243"/>
      <c r="QCZ209" s="243"/>
      <c r="QDA209" s="243"/>
      <c r="QDB209" s="243"/>
      <c r="QDC209" s="243"/>
      <c r="QDD209" s="243"/>
      <c r="QDE209" s="243"/>
      <c r="QDF209" s="243"/>
      <c r="QDG209" s="243"/>
      <c r="QDH209" s="243"/>
      <c r="QDI209" s="243"/>
      <c r="QDJ209" s="243"/>
      <c r="QDK209" s="243"/>
      <c r="QDL209" s="243"/>
      <c r="QDM209" s="243"/>
      <c r="QDN209" s="243"/>
      <c r="QDO209" s="243"/>
      <c r="QDP209" s="243"/>
      <c r="QDQ209" s="243"/>
      <c r="QDR209" s="243"/>
      <c r="QDS209" s="243"/>
      <c r="QDT209" s="243"/>
      <c r="QDU209" s="243"/>
      <c r="QDV209" s="243"/>
      <c r="QDW209" s="243"/>
      <c r="QDX209" s="243"/>
      <c r="QDY209" s="243"/>
      <c r="QDZ209" s="243"/>
      <c r="QEA209" s="243"/>
      <c r="QEB209" s="243"/>
      <c r="QEC209" s="243"/>
      <c r="QED209" s="243"/>
      <c r="QEE209" s="243"/>
      <c r="QEF209" s="243"/>
      <c r="QEG209" s="243"/>
      <c r="QEH209" s="243"/>
      <c r="QEI209" s="243"/>
      <c r="QEJ209" s="243"/>
      <c r="QEK209" s="243"/>
      <c r="QEL209" s="243"/>
      <c r="QEM209" s="243"/>
      <c r="QEN209" s="243"/>
      <c r="QEO209" s="243"/>
      <c r="QEP209" s="243"/>
      <c r="QEQ209" s="243"/>
      <c r="QER209" s="243"/>
      <c r="QES209" s="243"/>
      <c r="QET209" s="243"/>
      <c r="QEU209" s="243"/>
      <c r="QEV209" s="243"/>
      <c r="QEW209" s="243"/>
      <c r="QEX209" s="243"/>
      <c r="QEY209" s="243"/>
      <c r="QEZ209" s="243"/>
      <c r="QFA209" s="243"/>
      <c r="QFB209" s="243"/>
      <c r="QFC209" s="243"/>
      <c r="QFD209" s="243"/>
      <c r="QFE209" s="243"/>
      <c r="QFF209" s="243"/>
      <c r="QFG209" s="243"/>
      <c r="QFH209" s="243"/>
      <c r="QFI209" s="243"/>
      <c r="QFJ209" s="243"/>
      <c r="QFK209" s="243"/>
      <c r="QFL209" s="243"/>
      <c r="QFM209" s="243"/>
      <c r="QFN209" s="243"/>
      <c r="QFO209" s="243"/>
      <c r="QFP209" s="243"/>
      <c r="QFQ209" s="243"/>
      <c r="QFR209" s="243"/>
      <c r="QFS209" s="243"/>
      <c r="QFT209" s="243"/>
      <c r="QFU209" s="243"/>
      <c r="QFV209" s="243"/>
      <c r="QFW209" s="243"/>
      <c r="QFX209" s="243"/>
      <c r="QFY209" s="243"/>
      <c r="QFZ209" s="243"/>
      <c r="QGA209" s="243"/>
      <c r="QGB209" s="243"/>
      <c r="QGC209" s="243"/>
      <c r="QGD209" s="243"/>
      <c r="QGE209" s="243"/>
      <c r="QGF209" s="243"/>
      <c r="QGG209" s="243"/>
      <c r="QGH209" s="243"/>
      <c r="QGI209" s="243"/>
      <c r="QGJ209" s="243"/>
      <c r="QGK209" s="243"/>
      <c r="QGL209" s="243"/>
      <c r="QGM209" s="243"/>
      <c r="QGN209" s="243"/>
      <c r="QGO209" s="243"/>
      <c r="QGP209" s="243"/>
      <c r="QGQ209" s="243"/>
      <c r="QGR209" s="243"/>
      <c r="QGS209" s="243"/>
      <c r="QGT209" s="243"/>
      <c r="QGU209" s="243"/>
      <c r="QGV209" s="243"/>
      <c r="QGW209" s="243"/>
      <c r="QGX209" s="243"/>
      <c r="QGY209" s="243"/>
      <c r="QGZ209" s="243"/>
      <c r="QHA209" s="243"/>
      <c r="QHB209" s="243"/>
      <c r="QHC209" s="243"/>
      <c r="QHD209" s="243"/>
      <c r="QHE209" s="243"/>
      <c r="QHF209" s="243"/>
      <c r="QHG209" s="243"/>
      <c r="QHH209" s="243"/>
      <c r="QHI209" s="243"/>
      <c r="QHJ209" s="243"/>
      <c r="QHK209" s="243"/>
      <c r="QHL209" s="243"/>
      <c r="QHM209" s="243"/>
      <c r="QHN209" s="243"/>
      <c r="QHO209" s="243"/>
      <c r="QHP209" s="243"/>
      <c r="QHQ209" s="243"/>
      <c r="QHR209" s="243"/>
      <c r="QHS209" s="243"/>
      <c r="QHT209" s="243"/>
      <c r="QHU209" s="243"/>
      <c r="QHV209" s="243"/>
      <c r="QHW209" s="243"/>
      <c r="QHX209" s="243"/>
      <c r="QHY209" s="243"/>
      <c r="QHZ209" s="243"/>
      <c r="QIA209" s="243"/>
      <c r="QIB209" s="243"/>
      <c r="QIC209" s="243"/>
      <c r="QID209" s="243"/>
      <c r="QIE209" s="243"/>
      <c r="QIF209" s="243"/>
      <c r="QIG209" s="243"/>
      <c r="QIH209" s="243"/>
      <c r="QII209" s="243"/>
      <c r="QIJ209" s="243"/>
      <c r="QIK209" s="243"/>
      <c r="QIL209" s="243"/>
      <c r="QIM209" s="243"/>
      <c r="QIN209" s="243"/>
      <c r="QIO209" s="243"/>
      <c r="QIP209" s="243"/>
      <c r="QIQ209" s="243"/>
      <c r="QIR209" s="243"/>
      <c r="QIS209" s="243"/>
      <c r="QIT209" s="243"/>
      <c r="QIU209" s="243"/>
      <c r="QIV209" s="243"/>
      <c r="QIW209" s="243"/>
      <c r="QIX209" s="243"/>
      <c r="QIY209" s="243"/>
      <c r="QIZ209" s="243"/>
      <c r="QJA209" s="243"/>
      <c r="QJB209" s="243"/>
      <c r="QJC209" s="243"/>
      <c r="QJD209" s="243"/>
      <c r="QJE209" s="243"/>
      <c r="QJF209" s="243"/>
      <c r="QJG209" s="243"/>
      <c r="QJH209" s="243"/>
      <c r="QJI209" s="243"/>
      <c r="QJJ209" s="243"/>
      <c r="QJK209" s="243"/>
      <c r="QJL209" s="243"/>
      <c r="QJM209" s="243"/>
      <c r="QJN209" s="243"/>
      <c r="QJO209" s="243"/>
      <c r="QJP209" s="243"/>
      <c r="QJQ209" s="243"/>
      <c r="QJR209" s="243"/>
      <c r="QJS209" s="243"/>
      <c r="QJT209" s="243"/>
      <c r="QJU209" s="243"/>
      <c r="QJV209" s="243"/>
      <c r="QJW209" s="243"/>
      <c r="QJX209" s="243"/>
      <c r="QJY209" s="243"/>
      <c r="QJZ209" s="243"/>
      <c r="QKA209" s="243"/>
      <c r="QKB209" s="243"/>
      <c r="QKC209" s="243"/>
      <c r="QKD209" s="243"/>
      <c r="QKE209" s="243"/>
      <c r="QKF209" s="243"/>
      <c r="QKG209" s="243"/>
      <c r="QKH209" s="243"/>
      <c r="QKI209" s="243"/>
      <c r="QKJ209" s="243"/>
      <c r="QKK209" s="243"/>
      <c r="QKL209" s="243"/>
      <c r="QKM209" s="243"/>
      <c r="QKN209" s="243"/>
      <c r="QKO209" s="243"/>
      <c r="QKP209" s="243"/>
      <c r="QKQ209" s="243"/>
      <c r="QKR209" s="243"/>
      <c r="QKS209" s="243"/>
      <c r="QKT209" s="243"/>
      <c r="QKU209" s="243"/>
      <c r="QKV209" s="243"/>
      <c r="QKW209" s="243"/>
      <c r="QKX209" s="243"/>
      <c r="QKY209" s="243"/>
      <c r="QKZ209" s="243"/>
      <c r="QLA209" s="243"/>
      <c r="QLB209" s="243"/>
      <c r="QLC209" s="243"/>
      <c r="QLD209" s="243"/>
      <c r="QLE209" s="243"/>
      <c r="QLF209" s="243"/>
      <c r="QLG209" s="243"/>
      <c r="QLH209" s="243"/>
      <c r="QLI209" s="243"/>
      <c r="QLJ209" s="243"/>
      <c r="QLK209" s="243"/>
      <c r="QLL209" s="243"/>
      <c r="QLM209" s="243"/>
      <c r="QLN209" s="243"/>
      <c r="QLO209" s="243"/>
      <c r="QLP209" s="243"/>
      <c r="QLQ209" s="243"/>
      <c r="QLR209" s="243"/>
      <c r="QLS209" s="243"/>
      <c r="QLT209" s="243"/>
      <c r="QLU209" s="243"/>
      <c r="QLV209" s="243"/>
      <c r="QLW209" s="243"/>
      <c r="QLX209" s="243"/>
      <c r="QLY209" s="243"/>
      <c r="QLZ209" s="243"/>
      <c r="QMA209" s="243"/>
      <c r="QMB209" s="243"/>
      <c r="QMC209" s="243"/>
      <c r="QMD209" s="243"/>
      <c r="QME209" s="243"/>
      <c r="QMF209" s="243"/>
      <c r="QMG209" s="243"/>
      <c r="QMH209" s="243"/>
      <c r="QMI209" s="243"/>
      <c r="QMJ209" s="243"/>
      <c r="QMK209" s="243"/>
      <c r="QML209" s="243"/>
      <c r="QMM209" s="243"/>
      <c r="QMN209" s="243"/>
      <c r="QMO209" s="243"/>
      <c r="QMP209" s="243"/>
      <c r="QMQ209" s="243"/>
      <c r="QMR209" s="243"/>
      <c r="QMS209" s="243"/>
      <c r="QMT209" s="243"/>
      <c r="QMU209" s="243"/>
      <c r="QMV209" s="243"/>
      <c r="QMW209" s="243"/>
      <c r="QMX209" s="243"/>
      <c r="QMY209" s="243"/>
      <c r="QMZ209" s="243"/>
      <c r="QNA209" s="243"/>
      <c r="QNB209" s="243"/>
      <c r="QNC209" s="243"/>
      <c r="QND209" s="243"/>
      <c r="QNE209" s="243"/>
      <c r="QNF209" s="243"/>
      <c r="QNG209" s="243"/>
      <c r="QNH209" s="243"/>
      <c r="QNI209" s="243"/>
      <c r="QNJ209" s="243"/>
      <c r="QNK209" s="243"/>
      <c r="QNL209" s="243"/>
      <c r="QNM209" s="243"/>
      <c r="QNN209" s="243"/>
      <c r="QNO209" s="243"/>
      <c r="QNP209" s="243"/>
      <c r="QNQ209" s="243"/>
      <c r="QNR209" s="243"/>
      <c r="QNS209" s="243"/>
      <c r="QNT209" s="243"/>
      <c r="QNU209" s="243"/>
      <c r="QNV209" s="243"/>
      <c r="QNW209" s="243"/>
      <c r="QNX209" s="243"/>
      <c r="QNY209" s="243"/>
      <c r="QNZ209" s="243"/>
      <c r="QOA209" s="243"/>
      <c r="QOB209" s="243"/>
      <c r="QOC209" s="243"/>
      <c r="QOD209" s="243"/>
      <c r="QOE209" s="243"/>
      <c r="QOF209" s="243"/>
      <c r="QOG209" s="243"/>
      <c r="QOH209" s="243"/>
      <c r="QOI209" s="243"/>
      <c r="QOJ209" s="243"/>
      <c r="QOK209" s="243"/>
      <c r="QOL209" s="243"/>
      <c r="QOM209" s="243"/>
      <c r="QON209" s="243"/>
      <c r="QOO209" s="243"/>
      <c r="QOP209" s="243"/>
      <c r="QOQ209" s="243"/>
      <c r="QOR209" s="243"/>
      <c r="QOS209" s="243"/>
      <c r="QOT209" s="243"/>
      <c r="QOU209" s="243"/>
      <c r="QOV209" s="243"/>
      <c r="QOW209" s="243"/>
      <c r="QOX209" s="243"/>
      <c r="QOY209" s="243"/>
      <c r="QOZ209" s="243"/>
      <c r="QPA209" s="243"/>
      <c r="QPB209" s="243"/>
      <c r="QPC209" s="243"/>
      <c r="QPD209" s="243"/>
      <c r="QPE209" s="243"/>
      <c r="QPF209" s="243"/>
      <c r="QPG209" s="243"/>
      <c r="QPH209" s="243"/>
      <c r="QPI209" s="243"/>
      <c r="QPJ209" s="243"/>
      <c r="QPK209" s="243"/>
      <c r="QPL209" s="243"/>
      <c r="QPM209" s="243"/>
      <c r="QPN209" s="243"/>
      <c r="QPO209" s="243"/>
      <c r="QPP209" s="243"/>
      <c r="QPQ209" s="243"/>
      <c r="QPR209" s="243"/>
      <c r="QPS209" s="243"/>
      <c r="QPT209" s="243"/>
      <c r="QPU209" s="243"/>
      <c r="QPV209" s="243"/>
      <c r="QPW209" s="243"/>
      <c r="QPX209" s="243"/>
      <c r="QPY209" s="243"/>
      <c r="QPZ209" s="243"/>
      <c r="QQA209" s="243"/>
      <c r="QQB209" s="243"/>
      <c r="QQC209" s="243"/>
      <c r="QQD209" s="243"/>
      <c r="QQE209" s="243"/>
      <c r="QQF209" s="243"/>
      <c r="QQG209" s="243"/>
      <c r="QQH209" s="243"/>
      <c r="QQI209" s="243"/>
      <c r="QQJ209" s="243"/>
      <c r="QQK209" s="243"/>
      <c r="QQL209" s="243"/>
      <c r="QQM209" s="243"/>
      <c r="QQN209" s="243"/>
      <c r="QQO209" s="243"/>
      <c r="QQP209" s="243"/>
      <c r="QQQ209" s="243"/>
      <c r="QQR209" s="243"/>
      <c r="QQS209" s="243"/>
      <c r="QQT209" s="243"/>
      <c r="QQU209" s="243"/>
      <c r="QQV209" s="243"/>
      <c r="QQW209" s="243"/>
      <c r="QQX209" s="243"/>
      <c r="QQY209" s="243"/>
      <c r="QQZ209" s="243"/>
      <c r="QRA209" s="243"/>
      <c r="QRB209" s="243"/>
      <c r="QRC209" s="243"/>
      <c r="QRD209" s="243"/>
      <c r="QRE209" s="243"/>
      <c r="QRF209" s="243"/>
      <c r="QRG209" s="243"/>
      <c r="QRH209" s="243"/>
      <c r="QRI209" s="243"/>
      <c r="QRJ209" s="243"/>
      <c r="QRK209" s="243"/>
      <c r="QRL209" s="243"/>
      <c r="QRM209" s="243"/>
      <c r="QRN209" s="243"/>
      <c r="QRO209" s="243"/>
      <c r="QRP209" s="243"/>
      <c r="QRQ209" s="243"/>
      <c r="QRR209" s="243"/>
      <c r="QRS209" s="243"/>
      <c r="QRT209" s="243"/>
      <c r="QRU209" s="243"/>
      <c r="QRV209" s="243"/>
      <c r="QRW209" s="243"/>
      <c r="QRX209" s="243"/>
      <c r="QRY209" s="243"/>
      <c r="QRZ209" s="243"/>
      <c r="QSA209" s="243"/>
      <c r="QSB209" s="243"/>
      <c r="QSC209" s="243"/>
      <c r="QSD209" s="243"/>
      <c r="QSE209" s="243"/>
      <c r="QSF209" s="243"/>
      <c r="QSG209" s="243"/>
      <c r="QSH209" s="243"/>
      <c r="QSI209" s="243"/>
      <c r="QSJ209" s="243"/>
      <c r="QSK209" s="243"/>
      <c r="QSL209" s="243"/>
      <c r="QSM209" s="243"/>
      <c r="QSN209" s="243"/>
      <c r="QSO209" s="243"/>
      <c r="QSP209" s="243"/>
      <c r="QSQ209" s="243"/>
      <c r="QSR209" s="243"/>
      <c r="QSS209" s="243"/>
      <c r="QST209" s="243"/>
      <c r="QSU209" s="243"/>
      <c r="QSV209" s="243"/>
      <c r="QSW209" s="243"/>
      <c r="QSX209" s="243"/>
      <c r="QSY209" s="243"/>
      <c r="QSZ209" s="243"/>
      <c r="QTA209" s="243"/>
      <c r="QTB209" s="243"/>
      <c r="QTC209" s="243"/>
      <c r="QTD209" s="243"/>
      <c r="QTE209" s="243"/>
      <c r="QTF209" s="243"/>
      <c r="QTG209" s="243"/>
      <c r="QTH209" s="243"/>
      <c r="QTI209" s="243"/>
      <c r="QTJ209" s="243"/>
      <c r="QTK209" s="243"/>
      <c r="QTL209" s="243"/>
      <c r="QTM209" s="243"/>
      <c r="QTN209" s="243"/>
      <c r="QTO209" s="243"/>
      <c r="QTP209" s="243"/>
      <c r="QTQ209" s="243"/>
      <c r="QTR209" s="243"/>
      <c r="QTS209" s="243"/>
      <c r="QTT209" s="243"/>
      <c r="QTU209" s="243"/>
      <c r="QTV209" s="243"/>
      <c r="QTW209" s="243"/>
      <c r="QTX209" s="243"/>
      <c r="QTY209" s="243"/>
      <c r="QTZ209" s="243"/>
      <c r="QUA209" s="243"/>
      <c r="QUB209" s="243"/>
      <c r="QUC209" s="243"/>
      <c r="QUD209" s="243"/>
      <c r="QUE209" s="243"/>
      <c r="QUF209" s="243"/>
      <c r="QUG209" s="243"/>
      <c r="QUH209" s="243"/>
      <c r="QUI209" s="243"/>
      <c r="QUJ209" s="243"/>
      <c r="QUK209" s="243"/>
      <c r="QUL209" s="243"/>
      <c r="QUM209" s="243"/>
      <c r="QUN209" s="243"/>
      <c r="QUO209" s="243"/>
      <c r="QUP209" s="243"/>
      <c r="QUQ209" s="243"/>
      <c r="QUR209" s="243"/>
      <c r="QUS209" s="243"/>
      <c r="QUT209" s="243"/>
      <c r="QUU209" s="243"/>
      <c r="QUV209" s="243"/>
      <c r="QUW209" s="243"/>
      <c r="QUX209" s="243"/>
      <c r="QUY209" s="243"/>
      <c r="QUZ209" s="243"/>
      <c r="QVA209" s="243"/>
      <c r="QVB209" s="243"/>
      <c r="QVC209" s="243"/>
      <c r="QVD209" s="243"/>
      <c r="QVE209" s="243"/>
      <c r="QVF209" s="243"/>
      <c r="QVG209" s="243"/>
      <c r="QVH209" s="243"/>
      <c r="QVI209" s="243"/>
      <c r="QVJ209" s="243"/>
      <c r="QVK209" s="243"/>
      <c r="QVL209" s="243"/>
      <c r="QVM209" s="243"/>
      <c r="QVN209" s="243"/>
      <c r="QVO209" s="243"/>
      <c r="QVP209" s="243"/>
      <c r="QVQ209" s="243"/>
      <c r="QVR209" s="243"/>
      <c r="QVS209" s="243"/>
      <c r="QVT209" s="243"/>
      <c r="QVU209" s="243"/>
      <c r="QVV209" s="243"/>
      <c r="QVW209" s="243"/>
      <c r="QVX209" s="243"/>
      <c r="QVY209" s="243"/>
      <c r="QVZ209" s="243"/>
      <c r="QWA209" s="243"/>
      <c r="QWB209" s="243"/>
      <c r="QWC209" s="243"/>
      <c r="QWD209" s="243"/>
      <c r="QWE209" s="243"/>
      <c r="QWF209" s="243"/>
      <c r="QWG209" s="243"/>
      <c r="QWH209" s="243"/>
      <c r="QWI209" s="243"/>
      <c r="QWJ209" s="243"/>
      <c r="QWK209" s="243"/>
      <c r="QWL209" s="243"/>
      <c r="QWM209" s="243"/>
      <c r="QWN209" s="243"/>
      <c r="QWO209" s="243"/>
      <c r="QWP209" s="243"/>
      <c r="QWQ209" s="243"/>
      <c r="QWR209" s="243"/>
      <c r="QWS209" s="243"/>
      <c r="QWT209" s="243"/>
      <c r="QWU209" s="243"/>
      <c r="QWV209" s="243"/>
      <c r="QWW209" s="243"/>
      <c r="QWX209" s="243"/>
      <c r="QWY209" s="243"/>
      <c r="QWZ209" s="243"/>
      <c r="QXA209" s="243"/>
      <c r="QXB209" s="243"/>
      <c r="QXC209" s="243"/>
      <c r="QXD209" s="243"/>
      <c r="QXE209" s="243"/>
      <c r="QXF209" s="243"/>
      <c r="QXG209" s="243"/>
      <c r="QXH209" s="243"/>
      <c r="QXI209" s="243"/>
      <c r="QXJ209" s="243"/>
      <c r="QXK209" s="243"/>
      <c r="QXL209" s="243"/>
      <c r="QXM209" s="243"/>
      <c r="QXN209" s="243"/>
      <c r="QXO209" s="243"/>
      <c r="QXP209" s="243"/>
      <c r="QXQ209" s="243"/>
      <c r="QXR209" s="243"/>
      <c r="QXS209" s="243"/>
      <c r="QXT209" s="243"/>
      <c r="QXU209" s="243"/>
      <c r="QXV209" s="243"/>
      <c r="QXW209" s="243"/>
      <c r="QXX209" s="243"/>
      <c r="QXY209" s="243"/>
      <c r="QXZ209" s="243"/>
      <c r="QYA209" s="243"/>
      <c r="QYB209" s="243"/>
      <c r="QYC209" s="243"/>
      <c r="QYD209" s="243"/>
      <c r="QYE209" s="243"/>
      <c r="QYF209" s="243"/>
      <c r="QYG209" s="243"/>
      <c r="QYH209" s="243"/>
      <c r="QYI209" s="243"/>
      <c r="QYJ209" s="243"/>
      <c r="QYK209" s="243"/>
      <c r="QYL209" s="243"/>
      <c r="QYM209" s="243"/>
      <c r="QYN209" s="243"/>
      <c r="QYO209" s="243"/>
      <c r="QYP209" s="243"/>
      <c r="QYQ209" s="243"/>
      <c r="QYR209" s="243"/>
      <c r="QYS209" s="243"/>
      <c r="QYT209" s="243"/>
      <c r="QYU209" s="243"/>
      <c r="QYV209" s="243"/>
      <c r="QYW209" s="243"/>
      <c r="QYX209" s="243"/>
      <c r="QYY209" s="243"/>
      <c r="QYZ209" s="243"/>
      <c r="QZA209" s="243"/>
      <c r="QZB209" s="243"/>
      <c r="QZC209" s="243"/>
      <c r="QZD209" s="243"/>
      <c r="QZE209" s="243"/>
      <c r="QZF209" s="243"/>
      <c r="QZG209" s="243"/>
      <c r="QZH209" s="243"/>
      <c r="QZI209" s="243"/>
      <c r="QZJ209" s="243"/>
      <c r="QZK209" s="243"/>
      <c r="QZL209" s="243"/>
      <c r="QZM209" s="243"/>
      <c r="QZN209" s="243"/>
      <c r="QZO209" s="243"/>
      <c r="QZP209" s="243"/>
      <c r="QZQ209" s="243"/>
      <c r="QZR209" s="243"/>
      <c r="QZS209" s="243"/>
      <c r="QZT209" s="243"/>
      <c r="QZU209" s="243"/>
      <c r="QZV209" s="243"/>
      <c r="QZW209" s="243"/>
      <c r="QZX209" s="243"/>
      <c r="QZY209" s="243"/>
      <c r="QZZ209" s="243"/>
      <c r="RAA209" s="243"/>
      <c r="RAB209" s="243"/>
      <c r="RAC209" s="243"/>
      <c r="RAD209" s="243"/>
      <c r="RAE209" s="243"/>
      <c r="RAF209" s="243"/>
      <c r="RAG209" s="243"/>
      <c r="RAH209" s="243"/>
      <c r="RAI209" s="243"/>
      <c r="RAJ209" s="243"/>
      <c r="RAK209" s="243"/>
      <c r="RAL209" s="243"/>
      <c r="RAM209" s="243"/>
      <c r="RAN209" s="243"/>
      <c r="RAO209" s="243"/>
      <c r="RAP209" s="243"/>
      <c r="RAQ209" s="243"/>
      <c r="RAR209" s="243"/>
      <c r="RAS209" s="243"/>
      <c r="RAT209" s="243"/>
      <c r="RAU209" s="243"/>
      <c r="RAV209" s="243"/>
      <c r="RAW209" s="243"/>
      <c r="RAX209" s="243"/>
      <c r="RAY209" s="243"/>
      <c r="RAZ209" s="243"/>
      <c r="RBA209" s="243"/>
      <c r="RBB209" s="243"/>
      <c r="RBC209" s="243"/>
      <c r="RBD209" s="243"/>
      <c r="RBE209" s="243"/>
      <c r="RBF209" s="243"/>
      <c r="RBG209" s="243"/>
      <c r="RBH209" s="243"/>
      <c r="RBI209" s="243"/>
      <c r="RBJ209" s="243"/>
      <c r="RBK209" s="243"/>
      <c r="RBL209" s="243"/>
      <c r="RBM209" s="243"/>
      <c r="RBN209" s="243"/>
      <c r="RBO209" s="243"/>
      <c r="RBP209" s="243"/>
      <c r="RBQ209" s="243"/>
      <c r="RBR209" s="243"/>
      <c r="RBS209" s="243"/>
      <c r="RBT209" s="243"/>
      <c r="RBU209" s="243"/>
      <c r="RBV209" s="243"/>
      <c r="RBW209" s="243"/>
      <c r="RBX209" s="243"/>
      <c r="RBY209" s="243"/>
      <c r="RBZ209" s="243"/>
      <c r="RCA209" s="243"/>
      <c r="RCB209" s="243"/>
      <c r="RCC209" s="243"/>
      <c r="RCD209" s="243"/>
      <c r="RCE209" s="243"/>
      <c r="RCF209" s="243"/>
      <c r="RCG209" s="243"/>
      <c r="RCH209" s="243"/>
      <c r="RCI209" s="243"/>
      <c r="RCJ209" s="243"/>
      <c r="RCK209" s="243"/>
      <c r="RCL209" s="243"/>
      <c r="RCM209" s="243"/>
      <c r="RCN209" s="243"/>
      <c r="RCO209" s="243"/>
      <c r="RCP209" s="243"/>
      <c r="RCQ209" s="243"/>
      <c r="RCR209" s="243"/>
      <c r="RCS209" s="243"/>
      <c r="RCT209" s="243"/>
      <c r="RCU209" s="243"/>
      <c r="RCV209" s="243"/>
      <c r="RCW209" s="243"/>
      <c r="RCX209" s="243"/>
      <c r="RCY209" s="243"/>
      <c r="RCZ209" s="243"/>
      <c r="RDA209" s="243"/>
      <c r="RDB209" s="243"/>
      <c r="RDC209" s="243"/>
      <c r="RDD209" s="243"/>
      <c r="RDE209" s="243"/>
      <c r="RDF209" s="243"/>
      <c r="RDG209" s="243"/>
      <c r="RDH209" s="243"/>
      <c r="RDI209" s="243"/>
      <c r="RDJ209" s="243"/>
      <c r="RDK209" s="243"/>
      <c r="RDL209" s="243"/>
      <c r="RDM209" s="243"/>
      <c r="RDN209" s="243"/>
      <c r="RDO209" s="243"/>
      <c r="RDP209" s="243"/>
      <c r="RDQ209" s="243"/>
      <c r="RDR209" s="243"/>
      <c r="RDS209" s="243"/>
      <c r="RDT209" s="243"/>
      <c r="RDU209" s="243"/>
      <c r="RDV209" s="243"/>
      <c r="RDW209" s="243"/>
      <c r="RDX209" s="243"/>
      <c r="RDY209" s="243"/>
      <c r="RDZ209" s="243"/>
      <c r="REA209" s="243"/>
      <c r="REB209" s="243"/>
      <c r="REC209" s="243"/>
      <c r="RED209" s="243"/>
      <c r="REE209" s="243"/>
      <c r="REF209" s="243"/>
      <c r="REG209" s="243"/>
      <c r="REH209" s="243"/>
      <c r="REI209" s="243"/>
      <c r="REJ209" s="243"/>
      <c r="REK209" s="243"/>
      <c r="REL209" s="243"/>
      <c r="REM209" s="243"/>
      <c r="REN209" s="243"/>
      <c r="REO209" s="243"/>
      <c r="REP209" s="243"/>
      <c r="REQ209" s="243"/>
      <c r="RER209" s="243"/>
      <c r="RES209" s="243"/>
      <c r="RET209" s="243"/>
      <c r="REU209" s="243"/>
      <c r="REV209" s="243"/>
      <c r="REW209" s="243"/>
      <c r="REX209" s="243"/>
      <c r="REY209" s="243"/>
      <c r="REZ209" s="243"/>
      <c r="RFA209" s="243"/>
      <c r="RFB209" s="243"/>
      <c r="RFC209" s="243"/>
      <c r="RFD209" s="243"/>
      <c r="RFE209" s="243"/>
      <c r="RFF209" s="243"/>
      <c r="RFG209" s="243"/>
      <c r="RFH209" s="243"/>
      <c r="RFI209" s="243"/>
      <c r="RFJ209" s="243"/>
      <c r="RFK209" s="243"/>
      <c r="RFL209" s="243"/>
      <c r="RFM209" s="243"/>
      <c r="RFN209" s="243"/>
      <c r="RFO209" s="243"/>
      <c r="RFP209" s="243"/>
      <c r="RFQ209" s="243"/>
      <c r="RFR209" s="243"/>
      <c r="RFS209" s="243"/>
      <c r="RFT209" s="243"/>
      <c r="RFU209" s="243"/>
      <c r="RFV209" s="243"/>
      <c r="RFW209" s="243"/>
      <c r="RFX209" s="243"/>
      <c r="RFY209" s="243"/>
      <c r="RFZ209" s="243"/>
      <c r="RGA209" s="243"/>
      <c r="RGB209" s="243"/>
      <c r="RGC209" s="243"/>
      <c r="RGD209" s="243"/>
      <c r="RGE209" s="243"/>
      <c r="RGF209" s="243"/>
      <c r="RGG209" s="243"/>
      <c r="RGH209" s="243"/>
      <c r="RGI209" s="243"/>
      <c r="RGJ209" s="243"/>
      <c r="RGK209" s="243"/>
      <c r="RGL209" s="243"/>
      <c r="RGM209" s="243"/>
      <c r="RGN209" s="243"/>
      <c r="RGO209" s="243"/>
      <c r="RGP209" s="243"/>
      <c r="RGQ209" s="243"/>
      <c r="RGR209" s="243"/>
      <c r="RGS209" s="243"/>
      <c r="RGT209" s="243"/>
      <c r="RGU209" s="243"/>
      <c r="RGV209" s="243"/>
      <c r="RGW209" s="243"/>
      <c r="RGX209" s="243"/>
      <c r="RGY209" s="243"/>
      <c r="RGZ209" s="243"/>
      <c r="RHA209" s="243"/>
      <c r="RHB209" s="243"/>
      <c r="RHC209" s="243"/>
      <c r="RHD209" s="243"/>
      <c r="RHE209" s="243"/>
      <c r="RHF209" s="243"/>
      <c r="RHG209" s="243"/>
      <c r="RHH209" s="243"/>
      <c r="RHI209" s="243"/>
      <c r="RHJ209" s="243"/>
      <c r="RHK209" s="243"/>
      <c r="RHL209" s="243"/>
      <c r="RHM209" s="243"/>
      <c r="RHN209" s="243"/>
      <c r="RHO209" s="243"/>
      <c r="RHP209" s="243"/>
      <c r="RHQ209" s="243"/>
      <c r="RHR209" s="243"/>
      <c r="RHS209" s="243"/>
      <c r="RHT209" s="243"/>
      <c r="RHU209" s="243"/>
      <c r="RHV209" s="243"/>
      <c r="RHW209" s="243"/>
      <c r="RHX209" s="243"/>
      <c r="RHY209" s="243"/>
      <c r="RHZ209" s="243"/>
      <c r="RIA209" s="243"/>
      <c r="RIB209" s="243"/>
      <c r="RIC209" s="243"/>
      <c r="RID209" s="243"/>
      <c r="RIE209" s="243"/>
      <c r="RIF209" s="243"/>
      <c r="RIG209" s="243"/>
      <c r="RIH209" s="243"/>
      <c r="RII209" s="243"/>
      <c r="RIJ209" s="243"/>
      <c r="RIK209" s="243"/>
      <c r="RIL209" s="243"/>
      <c r="RIM209" s="243"/>
      <c r="RIN209" s="243"/>
      <c r="RIO209" s="243"/>
      <c r="RIP209" s="243"/>
      <c r="RIQ209" s="243"/>
      <c r="RIR209" s="243"/>
      <c r="RIS209" s="243"/>
      <c r="RIT209" s="243"/>
      <c r="RIU209" s="243"/>
      <c r="RIV209" s="243"/>
      <c r="RIW209" s="243"/>
      <c r="RIX209" s="243"/>
      <c r="RIY209" s="243"/>
      <c r="RIZ209" s="243"/>
      <c r="RJA209" s="243"/>
      <c r="RJB209" s="243"/>
      <c r="RJC209" s="243"/>
      <c r="RJD209" s="243"/>
      <c r="RJE209" s="243"/>
      <c r="RJF209" s="243"/>
      <c r="RJG209" s="243"/>
      <c r="RJH209" s="243"/>
      <c r="RJI209" s="243"/>
      <c r="RJJ209" s="243"/>
      <c r="RJK209" s="243"/>
      <c r="RJL209" s="243"/>
      <c r="RJM209" s="243"/>
      <c r="RJN209" s="243"/>
      <c r="RJO209" s="243"/>
      <c r="RJP209" s="243"/>
      <c r="RJQ209" s="243"/>
      <c r="RJR209" s="243"/>
      <c r="RJS209" s="243"/>
      <c r="RJT209" s="243"/>
      <c r="RJU209" s="243"/>
      <c r="RJV209" s="243"/>
      <c r="RJW209" s="243"/>
      <c r="RJX209" s="243"/>
      <c r="RJY209" s="243"/>
      <c r="RJZ209" s="243"/>
      <c r="RKA209" s="243"/>
      <c r="RKB209" s="243"/>
      <c r="RKC209" s="243"/>
      <c r="RKD209" s="243"/>
      <c r="RKE209" s="243"/>
      <c r="RKF209" s="243"/>
      <c r="RKG209" s="243"/>
      <c r="RKH209" s="243"/>
      <c r="RKI209" s="243"/>
      <c r="RKJ209" s="243"/>
      <c r="RKK209" s="243"/>
      <c r="RKL209" s="243"/>
      <c r="RKM209" s="243"/>
      <c r="RKN209" s="243"/>
      <c r="RKO209" s="243"/>
      <c r="RKP209" s="243"/>
      <c r="RKQ209" s="243"/>
      <c r="RKR209" s="243"/>
      <c r="RKS209" s="243"/>
      <c r="RKT209" s="243"/>
      <c r="RKU209" s="243"/>
      <c r="RKV209" s="243"/>
      <c r="RKW209" s="243"/>
      <c r="RKX209" s="243"/>
      <c r="RKY209" s="243"/>
      <c r="RKZ209" s="243"/>
      <c r="RLA209" s="243"/>
      <c r="RLB209" s="243"/>
      <c r="RLC209" s="243"/>
      <c r="RLD209" s="243"/>
      <c r="RLE209" s="243"/>
      <c r="RLF209" s="243"/>
      <c r="RLG209" s="243"/>
      <c r="RLH209" s="243"/>
      <c r="RLI209" s="243"/>
      <c r="RLJ209" s="243"/>
      <c r="RLK209" s="243"/>
      <c r="RLL209" s="243"/>
      <c r="RLM209" s="243"/>
      <c r="RLN209" s="243"/>
      <c r="RLO209" s="243"/>
      <c r="RLP209" s="243"/>
      <c r="RLQ209" s="243"/>
      <c r="RLR209" s="243"/>
      <c r="RLS209" s="243"/>
      <c r="RLT209" s="243"/>
      <c r="RLU209" s="243"/>
      <c r="RLV209" s="243"/>
      <c r="RLW209" s="243"/>
      <c r="RLX209" s="243"/>
      <c r="RLY209" s="243"/>
      <c r="RLZ209" s="243"/>
      <c r="RMA209" s="243"/>
      <c r="RMB209" s="243"/>
      <c r="RMC209" s="243"/>
      <c r="RMD209" s="243"/>
      <c r="RME209" s="243"/>
      <c r="RMF209" s="243"/>
      <c r="RMG209" s="243"/>
      <c r="RMH209" s="243"/>
      <c r="RMI209" s="243"/>
      <c r="RMJ209" s="243"/>
      <c r="RMK209" s="243"/>
      <c r="RML209" s="243"/>
      <c r="RMM209" s="243"/>
      <c r="RMN209" s="243"/>
      <c r="RMO209" s="243"/>
      <c r="RMP209" s="243"/>
      <c r="RMQ209" s="243"/>
      <c r="RMR209" s="243"/>
      <c r="RMS209" s="243"/>
      <c r="RMT209" s="243"/>
      <c r="RMU209" s="243"/>
      <c r="RMV209" s="243"/>
      <c r="RMW209" s="243"/>
      <c r="RMX209" s="243"/>
      <c r="RMY209" s="243"/>
      <c r="RMZ209" s="243"/>
      <c r="RNA209" s="243"/>
      <c r="RNB209" s="243"/>
      <c r="RNC209" s="243"/>
      <c r="RND209" s="243"/>
      <c r="RNE209" s="243"/>
      <c r="RNF209" s="243"/>
      <c r="RNG209" s="243"/>
      <c r="RNH209" s="243"/>
      <c r="RNI209" s="243"/>
      <c r="RNJ209" s="243"/>
      <c r="RNK209" s="243"/>
      <c r="RNL209" s="243"/>
      <c r="RNM209" s="243"/>
      <c r="RNN209" s="243"/>
      <c r="RNO209" s="243"/>
      <c r="RNP209" s="243"/>
      <c r="RNQ209" s="243"/>
      <c r="RNR209" s="243"/>
      <c r="RNS209" s="243"/>
      <c r="RNT209" s="243"/>
      <c r="RNU209" s="243"/>
      <c r="RNV209" s="243"/>
      <c r="RNW209" s="243"/>
      <c r="RNX209" s="243"/>
      <c r="RNY209" s="243"/>
      <c r="RNZ209" s="243"/>
      <c r="ROA209" s="243"/>
      <c r="ROB209" s="243"/>
      <c r="ROC209" s="243"/>
      <c r="ROD209" s="243"/>
      <c r="ROE209" s="243"/>
      <c r="ROF209" s="243"/>
      <c r="ROG209" s="243"/>
      <c r="ROH209" s="243"/>
      <c r="ROI209" s="243"/>
      <c r="ROJ209" s="243"/>
      <c r="ROK209" s="243"/>
      <c r="ROL209" s="243"/>
      <c r="ROM209" s="243"/>
      <c r="RON209" s="243"/>
      <c r="ROO209" s="243"/>
      <c r="ROP209" s="243"/>
      <c r="ROQ209" s="243"/>
      <c r="ROR209" s="243"/>
      <c r="ROS209" s="243"/>
      <c r="ROT209" s="243"/>
      <c r="ROU209" s="243"/>
      <c r="ROV209" s="243"/>
      <c r="ROW209" s="243"/>
      <c r="ROX209" s="243"/>
      <c r="ROY209" s="243"/>
      <c r="ROZ209" s="243"/>
      <c r="RPA209" s="243"/>
      <c r="RPB209" s="243"/>
      <c r="RPC209" s="243"/>
      <c r="RPD209" s="243"/>
      <c r="RPE209" s="243"/>
      <c r="RPF209" s="243"/>
      <c r="RPG209" s="243"/>
      <c r="RPH209" s="243"/>
      <c r="RPI209" s="243"/>
      <c r="RPJ209" s="243"/>
      <c r="RPK209" s="243"/>
      <c r="RPL209" s="243"/>
      <c r="RPM209" s="243"/>
      <c r="RPN209" s="243"/>
      <c r="RPO209" s="243"/>
      <c r="RPP209" s="243"/>
      <c r="RPQ209" s="243"/>
      <c r="RPR209" s="243"/>
      <c r="RPS209" s="243"/>
      <c r="RPT209" s="243"/>
      <c r="RPU209" s="243"/>
      <c r="RPV209" s="243"/>
      <c r="RPW209" s="243"/>
      <c r="RPX209" s="243"/>
      <c r="RPY209" s="243"/>
      <c r="RPZ209" s="243"/>
      <c r="RQA209" s="243"/>
      <c r="RQB209" s="243"/>
      <c r="RQC209" s="243"/>
      <c r="RQD209" s="243"/>
      <c r="RQE209" s="243"/>
      <c r="RQF209" s="243"/>
      <c r="RQG209" s="243"/>
      <c r="RQH209" s="243"/>
      <c r="RQI209" s="243"/>
      <c r="RQJ209" s="243"/>
      <c r="RQK209" s="243"/>
      <c r="RQL209" s="243"/>
      <c r="RQM209" s="243"/>
      <c r="RQN209" s="243"/>
      <c r="RQO209" s="243"/>
      <c r="RQP209" s="243"/>
      <c r="RQQ209" s="243"/>
      <c r="RQR209" s="243"/>
      <c r="RQS209" s="243"/>
      <c r="RQT209" s="243"/>
      <c r="RQU209" s="243"/>
      <c r="RQV209" s="243"/>
      <c r="RQW209" s="243"/>
      <c r="RQX209" s="243"/>
      <c r="RQY209" s="243"/>
      <c r="RQZ209" s="243"/>
      <c r="RRA209" s="243"/>
      <c r="RRB209" s="243"/>
      <c r="RRC209" s="243"/>
      <c r="RRD209" s="243"/>
      <c r="RRE209" s="243"/>
      <c r="RRF209" s="243"/>
      <c r="RRG209" s="243"/>
      <c r="RRH209" s="243"/>
      <c r="RRI209" s="243"/>
      <c r="RRJ209" s="243"/>
      <c r="RRK209" s="243"/>
      <c r="RRL209" s="243"/>
      <c r="RRM209" s="243"/>
      <c r="RRN209" s="243"/>
      <c r="RRO209" s="243"/>
      <c r="RRP209" s="243"/>
      <c r="RRQ209" s="243"/>
      <c r="RRR209" s="243"/>
      <c r="RRS209" s="243"/>
      <c r="RRT209" s="243"/>
      <c r="RRU209" s="243"/>
      <c r="RRV209" s="243"/>
      <c r="RRW209" s="243"/>
      <c r="RRX209" s="243"/>
      <c r="RRY209" s="243"/>
      <c r="RRZ209" s="243"/>
      <c r="RSA209" s="243"/>
      <c r="RSB209" s="243"/>
      <c r="RSC209" s="243"/>
      <c r="RSD209" s="243"/>
      <c r="RSE209" s="243"/>
      <c r="RSF209" s="243"/>
      <c r="RSG209" s="243"/>
      <c r="RSH209" s="243"/>
      <c r="RSI209" s="243"/>
      <c r="RSJ209" s="243"/>
      <c r="RSK209" s="243"/>
      <c r="RSL209" s="243"/>
      <c r="RSM209" s="243"/>
      <c r="RSN209" s="243"/>
      <c r="RSO209" s="243"/>
      <c r="RSP209" s="243"/>
      <c r="RSQ209" s="243"/>
      <c r="RSR209" s="243"/>
      <c r="RSS209" s="243"/>
      <c r="RST209" s="243"/>
      <c r="RSU209" s="243"/>
      <c r="RSV209" s="243"/>
      <c r="RSW209" s="243"/>
      <c r="RSX209" s="243"/>
      <c r="RSY209" s="243"/>
      <c r="RSZ209" s="243"/>
      <c r="RTA209" s="243"/>
      <c r="RTB209" s="243"/>
      <c r="RTC209" s="243"/>
      <c r="RTD209" s="243"/>
      <c r="RTE209" s="243"/>
      <c r="RTF209" s="243"/>
      <c r="RTG209" s="243"/>
      <c r="RTH209" s="243"/>
      <c r="RTI209" s="243"/>
      <c r="RTJ209" s="243"/>
      <c r="RTK209" s="243"/>
      <c r="RTL209" s="243"/>
      <c r="RTM209" s="243"/>
      <c r="RTN209" s="243"/>
      <c r="RTO209" s="243"/>
      <c r="RTP209" s="243"/>
      <c r="RTQ209" s="243"/>
      <c r="RTR209" s="243"/>
      <c r="RTS209" s="243"/>
      <c r="RTT209" s="243"/>
      <c r="RTU209" s="243"/>
      <c r="RTV209" s="243"/>
      <c r="RTW209" s="243"/>
      <c r="RTX209" s="243"/>
      <c r="RTY209" s="243"/>
      <c r="RTZ209" s="243"/>
      <c r="RUA209" s="243"/>
      <c r="RUB209" s="243"/>
      <c r="RUC209" s="243"/>
      <c r="RUD209" s="243"/>
      <c r="RUE209" s="243"/>
      <c r="RUF209" s="243"/>
      <c r="RUG209" s="243"/>
      <c r="RUH209" s="243"/>
      <c r="RUI209" s="243"/>
      <c r="RUJ209" s="243"/>
      <c r="RUK209" s="243"/>
      <c r="RUL209" s="243"/>
      <c r="RUM209" s="243"/>
      <c r="RUN209" s="243"/>
      <c r="RUO209" s="243"/>
      <c r="RUP209" s="243"/>
      <c r="RUQ209" s="243"/>
      <c r="RUR209" s="243"/>
      <c r="RUS209" s="243"/>
      <c r="RUT209" s="243"/>
      <c r="RUU209" s="243"/>
      <c r="RUV209" s="243"/>
      <c r="RUW209" s="243"/>
      <c r="RUX209" s="243"/>
      <c r="RUY209" s="243"/>
      <c r="RUZ209" s="243"/>
      <c r="RVA209" s="243"/>
      <c r="RVB209" s="243"/>
      <c r="RVC209" s="243"/>
      <c r="RVD209" s="243"/>
      <c r="RVE209" s="243"/>
      <c r="RVF209" s="243"/>
      <c r="RVG209" s="243"/>
      <c r="RVH209" s="243"/>
      <c r="RVI209" s="243"/>
      <c r="RVJ209" s="243"/>
      <c r="RVK209" s="243"/>
      <c r="RVL209" s="243"/>
      <c r="RVM209" s="243"/>
      <c r="RVN209" s="243"/>
      <c r="RVO209" s="243"/>
      <c r="RVP209" s="243"/>
      <c r="RVQ209" s="243"/>
      <c r="RVR209" s="243"/>
      <c r="RVS209" s="243"/>
      <c r="RVT209" s="243"/>
      <c r="RVU209" s="243"/>
      <c r="RVV209" s="243"/>
      <c r="RVW209" s="243"/>
      <c r="RVX209" s="243"/>
      <c r="RVY209" s="243"/>
      <c r="RVZ209" s="243"/>
      <c r="RWA209" s="243"/>
      <c r="RWB209" s="243"/>
      <c r="RWC209" s="243"/>
      <c r="RWD209" s="243"/>
      <c r="RWE209" s="243"/>
      <c r="RWF209" s="243"/>
      <c r="RWG209" s="243"/>
      <c r="RWH209" s="243"/>
      <c r="RWI209" s="243"/>
      <c r="RWJ209" s="243"/>
      <c r="RWK209" s="243"/>
      <c r="RWL209" s="243"/>
      <c r="RWM209" s="243"/>
      <c r="RWN209" s="243"/>
      <c r="RWO209" s="243"/>
      <c r="RWP209" s="243"/>
      <c r="RWQ209" s="243"/>
      <c r="RWR209" s="243"/>
      <c r="RWS209" s="243"/>
      <c r="RWT209" s="243"/>
      <c r="RWU209" s="243"/>
      <c r="RWV209" s="243"/>
      <c r="RWW209" s="243"/>
      <c r="RWX209" s="243"/>
      <c r="RWY209" s="243"/>
      <c r="RWZ209" s="243"/>
      <c r="RXA209" s="243"/>
      <c r="RXB209" s="243"/>
      <c r="RXC209" s="243"/>
      <c r="RXD209" s="243"/>
      <c r="RXE209" s="243"/>
      <c r="RXF209" s="243"/>
      <c r="RXG209" s="243"/>
      <c r="RXH209" s="243"/>
      <c r="RXI209" s="243"/>
      <c r="RXJ209" s="243"/>
      <c r="RXK209" s="243"/>
      <c r="RXL209" s="243"/>
      <c r="RXM209" s="243"/>
      <c r="RXN209" s="243"/>
      <c r="RXO209" s="243"/>
      <c r="RXP209" s="243"/>
      <c r="RXQ209" s="243"/>
      <c r="RXR209" s="243"/>
      <c r="RXS209" s="243"/>
      <c r="RXT209" s="243"/>
      <c r="RXU209" s="243"/>
      <c r="RXV209" s="243"/>
      <c r="RXW209" s="243"/>
      <c r="RXX209" s="243"/>
      <c r="RXY209" s="243"/>
      <c r="RXZ209" s="243"/>
      <c r="RYA209" s="243"/>
      <c r="RYB209" s="243"/>
      <c r="RYC209" s="243"/>
      <c r="RYD209" s="243"/>
      <c r="RYE209" s="243"/>
      <c r="RYF209" s="243"/>
      <c r="RYG209" s="243"/>
      <c r="RYH209" s="243"/>
      <c r="RYI209" s="243"/>
      <c r="RYJ209" s="243"/>
      <c r="RYK209" s="243"/>
      <c r="RYL209" s="243"/>
      <c r="RYM209" s="243"/>
      <c r="RYN209" s="243"/>
      <c r="RYO209" s="243"/>
      <c r="RYP209" s="243"/>
      <c r="RYQ209" s="243"/>
      <c r="RYR209" s="243"/>
      <c r="RYS209" s="243"/>
      <c r="RYT209" s="243"/>
      <c r="RYU209" s="243"/>
      <c r="RYV209" s="243"/>
      <c r="RYW209" s="243"/>
      <c r="RYX209" s="243"/>
      <c r="RYY209" s="243"/>
      <c r="RYZ209" s="243"/>
      <c r="RZA209" s="243"/>
      <c r="RZB209" s="243"/>
      <c r="RZC209" s="243"/>
      <c r="RZD209" s="243"/>
      <c r="RZE209" s="243"/>
      <c r="RZF209" s="243"/>
      <c r="RZG209" s="243"/>
      <c r="RZH209" s="243"/>
      <c r="RZI209" s="243"/>
      <c r="RZJ209" s="243"/>
      <c r="RZK209" s="243"/>
      <c r="RZL209" s="243"/>
      <c r="RZM209" s="243"/>
      <c r="RZN209" s="243"/>
      <c r="RZO209" s="243"/>
      <c r="RZP209" s="243"/>
      <c r="RZQ209" s="243"/>
      <c r="RZR209" s="243"/>
      <c r="RZS209" s="243"/>
      <c r="RZT209" s="243"/>
      <c r="RZU209" s="243"/>
      <c r="RZV209" s="243"/>
      <c r="RZW209" s="243"/>
      <c r="RZX209" s="243"/>
      <c r="RZY209" s="243"/>
      <c r="RZZ209" s="243"/>
      <c r="SAA209" s="243"/>
      <c r="SAB209" s="243"/>
      <c r="SAC209" s="243"/>
      <c r="SAD209" s="243"/>
      <c r="SAE209" s="243"/>
      <c r="SAF209" s="243"/>
      <c r="SAG209" s="243"/>
      <c r="SAH209" s="243"/>
      <c r="SAI209" s="243"/>
      <c r="SAJ209" s="243"/>
      <c r="SAK209" s="243"/>
      <c r="SAL209" s="243"/>
      <c r="SAM209" s="243"/>
      <c r="SAN209" s="243"/>
      <c r="SAO209" s="243"/>
      <c r="SAP209" s="243"/>
      <c r="SAQ209" s="243"/>
      <c r="SAR209" s="243"/>
      <c r="SAS209" s="243"/>
      <c r="SAT209" s="243"/>
      <c r="SAU209" s="243"/>
      <c r="SAV209" s="243"/>
      <c r="SAW209" s="243"/>
      <c r="SAX209" s="243"/>
      <c r="SAY209" s="243"/>
      <c r="SAZ209" s="243"/>
      <c r="SBA209" s="243"/>
      <c r="SBB209" s="243"/>
      <c r="SBC209" s="243"/>
      <c r="SBD209" s="243"/>
      <c r="SBE209" s="243"/>
      <c r="SBF209" s="243"/>
      <c r="SBG209" s="243"/>
      <c r="SBH209" s="243"/>
      <c r="SBI209" s="243"/>
      <c r="SBJ209" s="243"/>
      <c r="SBK209" s="243"/>
      <c r="SBL209" s="243"/>
      <c r="SBM209" s="243"/>
      <c r="SBN209" s="243"/>
      <c r="SBO209" s="243"/>
      <c r="SBP209" s="243"/>
      <c r="SBQ209" s="243"/>
      <c r="SBR209" s="243"/>
      <c r="SBS209" s="243"/>
      <c r="SBT209" s="243"/>
      <c r="SBU209" s="243"/>
      <c r="SBV209" s="243"/>
      <c r="SBW209" s="243"/>
      <c r="SBX209" s="243"/>
      <c r="SBY209" s="243"/>
      <c r="SBZ209" s="243"/>
      <c r="SCA209" s="243"/>
      <c r="SCB209" s="243"/>
      <c r="SCC209" s="243"/>
      <c r="SCD209" s="243"/>
      <c r="SCE209" s="243"/>
      <c r="SCF209" s="243"/>
      <c r="SCG209" s="243"/>
      <c r="SCH209" s="243"/>
      <c r="SCI209" s="243"/>
      <c r="SCJ209" s="243"/>
      <c r="SCK209" s="243"/>
      <c r="SCL209" s="243"/>
      <c r="SCM209" s="243"/>
      <c r="SCN209" s="243"/>
      <c r="SCO209" s="243"/>
      <c r="SCP209" s="243"/>
      <c r="SCQ209" s="243"/>
      <c r="SCR209" s="243"/>
      <c r="SCS209" s="243"/>
      <c r="SCT209" s="243"/>
      <c r="SCU209" s="243"/>
      <c r="SCV209" s="243"/>
      <c r="SCW209" s="243"/>
      <c r="SCX209" s="243"/>
      <c r="SCY209" s="243"/>
      <c r="SCZ209" s="243"/>
      <c r="SDA209" s="243"/>
      <c r="SDB209" s="243"/>
      <c r="SDC209" s="243"/>
      <c r="SDD209" s="243"/>
      <c r="SDE209" s="243"/>
      <c r="SDF209" s="243"/>
      <c r="SDG209" s="243"/>
      <c r="SDH209" s="243"/>
      <c r="SDI209" s="243"/>
      <c r="SDJ209" s="243"/>
      <c r="SDK209" s="243"/>
      <c r="SDL209" s="243"/>
      <c r="SDM209" s="243"/>
      <c r="SDN209" s="243"/>
      <c r="SDO209" s="243"/>
      <c r="SDP209" s="243"/>
      <c r="SDQ209" s="243"/>
      <c r="SDR209" s="243"/>
      <c r="SDS209" s="243"/>
      <c r="SDT209" s="243"/>
      <c r="SDU209" s="243"/>
      <c r="SDV209" s="243"/>
      <c r="SDW209" s="243"/>
      <c r="SDX209" s="243"/>
      <c r="SDY209" s="243"/>
      <c r="SDZ209" s="243"/>
      <c r="SEA209" s="243"/>
      <c r="SEB209" s="243"/>
      <c r="SEC209" s="243"/>
      <c r="SED209" s="243"/>
      <c r="SEE209" s="243"/>
      <c r="SEF209" s="243"/>
      <c r="SEG209" s="243"/>
      <c r="SEH209" s="243"/>
      <c r="SEI209" s="243"/>
      <c r="SEJ209" s="243"/>
      <c r="SEK209" s="243"/>
      <c r="SEL209" s="243"/>
      <c r="SEM209" s="243"/>
      <c r="SEN209" s="243"/>
      <c r="SEO209" s="243"/>
      <c r="SEP209" s="243"/>
      <c r="SEQ209" s="243"/>
      <c r="SER209" s="243"/>
      <c r="SES209" s="243"/>
      <c r="SET209" s="243"/>
      <c r="SEU209" s="243"/>
      <c r="SEV209" s="243"/>
      <c r="SEW209" s="243"/>
      <c r="SEX209" s="243"/>
      <c r="SEY209" s="243"/>
      <c r="SEZ209" s="243"/>
      <c r="SFA209" s="243"/>
      <c r="SFB209" s="243"/>
      <c r="SFC209" s="243"/>
      <c r="SFD209" s="243"/>
      <c r="SFE209" s="243"/>
      <c r="SFF209" s="243"/>
      <c r="SFG209" s="243"/>
      <c r="SFH209" s="243"/>
      <c r="SFI209" s="243"/>
      <c r="SFJ209" s="243"/>
      <c r="SFK209" s="243"/>
      <c r="SFL209" s="243"/>
      <c r="SFM209" s="243"/>
      <c r="SFN209" s="243"/>
      <c r="SFO209" s="243"/>
      <c r="SFP209" s="243"/>
      <c r="SFQ209" s="243"/>
      <c r="SFR209" s="243"/>
      <c r="SFS209" s="243"/>
      <c r="SFT209" s="243"/>
      <c r="SFU209" s="243"/>
      <c r="SFV209" s="243"/>
      <c r="SFW209" s="243"/>
      <c r="SFX209" s="243"/>
      <c r="SFY209" s="243"/>
      <c r="SFZ209" s="243"/>
      <c r="SGA209" s="243"/>
      <c r="SGB209" s="243"/>
      <c r="SGC209" s="243"/>
      <c r="SGD209" s="243"/>
      <c r="SGE209" s="243"/>
      <c r="SGF209" s="243"/>
      <c r="SGG209" s="243"/>
      <c r="SGH209" s="243"/>
      <c r="SGI209" s="243"/>
      <c r="SGJ209" s="243"/>
      <c r="SGK209" s="243"/>
      <c r="SGL209" s="243"/>
      <c r="SGM209" s="243"/>
      <c r="SGN209" s="243"/>
      <c r="SGO209" s="243"/>
      <c r="SGP209" s="243"/>
      <c r="SGQ209" s="243"/>
      <c r="SGR209" s="243"/>
      <c r="SGS209" s="243"/>
      <c r="SGT209" s="243"/>
      <c r="SGU209" s="243"/>
      <c r="SGV209" s="243"/>
      <c r="SGW209" s="243"/>
      <c r="SGX209" s="243"/>
      <c r="SGY209" s="243"/>
      <c r="SGZ209" s="243"/>
      <c r="SHA209" s="243"/>
      <c r="SHB209" s="243"/>
      <c r="SHC209" s="243"/>
      <c r="SHD209" s="243"/>
      <c r="SHE209" s="243"/>
      <c r="SHF209" s="243"/>
      <c r="SHG209" s="243"/>
      <c r="SHH209" s="243"/>
      <c r="SHI209" s="243"/>
      <c r="SHJ209" s="243"/>
      <c r="SHK209" s="243"/>
      <c r="SHL209" s="243"/>
      <c r="SHM209" s="243"/>
      <c r="SHN209" s="243"/>
      <c r="SHO209" s="243"/>
      <c r="SHP209" s="243"/>
      <c r="SHQ209" s="243"/>
      <c r="SHR209" s="243"/>
      <c r="SHS209" s="243"/>
      <c r="SHT209" s="243"/>
      <c r="SHU209" s="243"/>
      <c r="SHV209" s="243"/>
      <c r="SHW209" s="243"/>
      <c r="SHX209" s="243"/>
      <c r="SHY209" s="243"/>
      <c r="SHZ209" s="243"/>
      <c r="SIA209" s="243"/>
      <c r="SIB209" s="243"/>
      <c r="SIC209" s="243"/>
      <c r="SID209" s="243"/>
      <c r="SIE209" s="243"/>
      <c r="SIF209" s="243"/>
      <c r="SIG209" s="243"/>
      <c r="SIH209" s="243"/>
      <c r="SII209" s="243"/>
      <c r="SIJ209" s="243"/>
      <c r="SIK209" s="243"/>
      <c r="SIL209" s="243"/>
      <c r="SIM209" s="243"/>
      <c r="SIN209" s="243"/>
      <c r="SIO209" s="243"/>
      <c r="SIP209" s="243"/>
      <c r="SIQ209" s="243"/>
      <c r="SIR209" s="243"/>
      <c r="SIS209" s="243"/>
      <c r="SIT209" s="243"/>
      <c r="SIU209" s="243"/>
      <c r="SIV209" s="243"/>
      <c r="SIW209" s="243"/>
      <c r="SIX209" s="243"/>
      <c r="SIY209" s="243"/>
      <c r="SIZ209" s="243"/>
      <c r="SJA209" s="243"/>
      <c r="SJB209" s="243"/>
      <c r="SJC209" s="243"/>
      <c r="SJD209" s="243"/>
      <c r="SJE209" s="243"/>
      <c r="SJF209" s="243"/>
      <c r="SJG209" s="243"/>
      <c r="SJH209" s="243"/>
      <c r="SJI209" s="243"/>
      <c r="SJJ209" s="243"/>
      <c r="SJK209" s="243"/>
      <c r="SJL209" s="243"/>
      <c r="SJM209" s="243"/>
      <c r="SJN209" s="243"/>
      <c r="SJO209" s="243"/>
      <c r="SJP209" s="243"/>
      <c r="SJQ209" s="243"/>
      <c r="SJR209" s="243"/>
      <c r="SJS209" s="243"/>
      <c r="SJT209" s="243"/>
      <c r="SJU209" s="243"/>
      <c r="SJV209" s="243"/>
      <c r="SJW209" s="243"/>
      <c r="SJX209" s="243"/>
      <c r="SJY209" s="243"/>
      <c r="SJZ209" s="243"/>
      <c r="SKA209" s="243"/>
      <c r="SKB209" s="243"/>
      <c r="SKC209" s="243"/>
      <c r="SKD209" s="243"/>
      <c r="SKE209" s="243"/>
      <c r="SKF209" s="243"/>
      <c r="SKG209" s="243"/>
      <c r="SKH209" s="243"/>
      <c r="SKI209" s="243"/>
      <c r="SKJ209" s="243"/>
      <c r="SKK209" s="243"/>
      <c r="SKL209" s="243"/>
      <c r="SKM209" s="243"/>
      <c r="SKN209" s="243"/>
      <c r="SKO209" s="243"/>
      <c r="SKP209" s="243"/>
      <c r="SKQ209" s="243"/>
      <c r="SKR209" s="243"/>
      <c r="SKS209" s="243"/>
      <c r="SKT209" s="243"/>
      <c r="SKU209" s="243"/>
      <c r="SKV209" s="243"/>
      <c r="SKW209" s="243"/>
      <c r="SKX209" s="243"/>
      <c r="SKY209" s="243"/>
      <c r="SKZ209" s="243"/>
      <c r="SLA209" s="243"/>
      <c r="SLB209" s="243"/>
      <c r="SLC209" s="243"/>
      <c r="SLD209" s="243"/>
      <c r="SLE209" s="243"/>
      <c r="SLF209" s="243"/>
      <c r="SLG209" s="243"/>
      <c r="SLH209" s="243"/>
      <c r="SLI209" s="243"/>
      <c r="SLJ209" s="243"/>
      <c r="SLK209" s="243"/>
      <c r="SLL209" s="243"/>
      <c r="SLM209" s="243"/>
      <c r="SLN209" s="243"/>
      <c r="SLO209" s="243"/>
      <c r="SLP209" s="243"/>
      <c r="SLQ209" s="243"/>
      <c r="SLR209" s="243"/>
      <c r="SLS209" s="243"/>
      <c r="SLT209" s="243"/>
      <c r="SLU209" s="243"/>
      <c r="SLV209" s="243"/>
      <c r="SLW209" s="243"/>
      <c r="SLX209" s="243"/>
      <c r="SLY209" s="243"/>
      <c r="SLZ209" s="243"/>
      <c r="SMA209" s="243"/>
      <c r="SMB209" s="243"/>
      <c r="SMC209" s="243"/>
      <c r="SMD209" s="243"/>
      <c r="SME209" s="243"/>
      <c r="SMF209" s="243"/>
      <c r="SMG209" s="243"/>
      <c r="SMH209" s="243"/>
      <c r="SMI209" s="243"/>
      <c r="SMJ209" s="243"/>
      <c r="SMK209" s="243"/>
      <c r="SML209" s="243"/>
      <c r="SMM209" s="243"/>
      <c r="SMN209" s="243"/>
      <c r="SMO209" s="243"/>
      <c r="SMP209" s="243"/>
      <c r="SMQ209" s="243"/>
      <c r="SMR209" s="243"/>
      <c r="SMS209" s="243"/>
      <c r="SMT209" s="243"/>
      <c r="SMU209" s="243"/>
      <c r="SMV209" s="243"/>
      <c r="SMW209" s="243"/>
      <c r="SMX209" s="243"/>
      <c r="SMY209" s="243"/>
      <c r="SMZ209" s="243"/>
      <c r="SNA209" s="243"/>
      <c r="SNB209" s="243"/>
      <c r="SNC209" s="243"/>
      <c r="SND209" s="243"/>
      <c r="SNE209" s="243"/>
      <c r="SNF209" s="243"/>
      <c r="SNG209" s="243"/>
      <c r="SNH209" s="243"/>
      <c r="SNI209" s="243"/>
      <c r="SNJ209" s="243"/>
      <c r="SNK209" s="243"/>
      <c r="SNL209" s="243"/>
      <c r="SNM209" s="243"/>
      <c r="SNN209" s="243"/>
      <c r="SNO209" s="243"/>
      <c r="SNP209" s="243"/>
      <c r="SNQ209" s="243"/>
      <c r="SNR209" s="243"/>
      <c r="SNS209" s="243"/>
      <c r="SNT209" s="243"/>
      <c r="SNU209" s="243"/>
      <c r="SNV209" s="243"/>
      <c r="SNW209" s="243"/>
      <c r="SNX209" s="243"/>
      <c r="SNY209" s="243"/>
      <c r="SNZ209" s="243"/>
      <c r="SOA209" s="243"/>
      <c r="SOB209" s="243"/>
      <c r="SOC209" s="243"/>
      <c r="SOD209" s="243"/>
      <c r="SOE209" s="243"/>
      <c r="SOF209" s="243"/>
      <c r="SOG209" s="243"/>
      <c r="SOH209" s="243"/>
      <c r="SOI209" s="243"/>
      <c r="SOJ209" s="243"/>
      <c r="SOK209" s="243"/>
      <c r="SOL209" s="243"/>
      <c r="SOM209" s="243"/>
      <c r="SON209" s="243"/>
      <c r="SOO209" s="243"/>
      <c r="SOP209" s="243"/>
      <c r="SOQ209" s="243"/>
      <c r="SOR209" s="243"/>
      <c r="SOS209" s="243"/>
      <c r="SOT209" s="243"/>
      <c r="SOU209" s="243"/>
      <c r="SOV209" s="243"/>
      <c r="SOW209" s="243"/>
      <c r="SOX209" s="243"/>
      <c r="SOY209" s="243"/>
      <c r="SOZ209" s="243"/>
      <c r="SPA209" s="243"/>
      <c r="SPB209" s="243"/>
      <c r="SPC209" s="243"/>
      <c r="SPD209" s="243"/>
      <c r="SPE209" s="243"/>
      <c r="SPF209" s="243"/>
      <c r="SPG209" s="243"/>
      <c r="SPH209" s="243"/>
      <c r="SPI209" s="243"/>
      <c r="SPJ209" s="243"/>
      <c r="SPK209" s="243"/>
      <c r="SPL209" s="243"/>
      <c r="SPM209" s="243"/>
      <c r="SPN209" s="243"/>
      <c r="SPO209" s="243"/>
      <c r="SPP209" s="243"/>
      <c r="SPQ209" s="243"/>
      <c r="SPR209" s="243"/>
      <c r="SPS209" s="243"/>
      <c r="SPT209" s="243"/>
      <c r="SPU209" s="243"/>
      <c r="SPV209" s="243"/>
      <c r="SPW209" s="243"/>
      <c r="SPX209" s="243"/>
      <c r="SPY209" s="243"/>
      <c r="SPZ209" s="243"/>
      <c r="SQA209" s="243"/>
      <c r="SQB209" s="243"/>
      <c r="SQC209" s="243"/>
      <c r="SQD209" s="243"/>
      <c r="SQE209" s="243"/>
      <c r="SQF209" s="243"/>
      <c r="SQG209" s="243"/>
      <c r="SQH209" s="243"/>
      <c r="SQI209" s="243"/>
      <c r="SQJ209" s="243"/>
      <c r="SQK209" s="243"/>
      <c r="SQL209" s="243"/>
      <c r="SQM209" s="243"/>
      <c r="SQN209" s="243"/>
      <c r="SQO209" s="243"/>
      <c r="SQP209" s="243"/>
      <c r="SQQ209" s="243"/>
      <c r="SQR209" s="243"/>
      <c r="SQS209" s="243"/>
      <c r="SQT209" s="243"/>
      <c r="SQU209" s="243"/>
      <c r="SQV209" s="243"/>
      <c r="SQW209" s="243"/>
      <c r="SQX209" s="243"/>
      <c r="SQY209" s="243"/>
      <c r="SQZ209" s="243"/>
      <c r="SRA209" s="243"/>
      <c r="SRB209" s="243"/>
      <c r="SRC209" s="243"/>
      <c r="SRD209" s="243"/>
      <c r="SRE209" s="243"/>
      <c r="SRF209" s="243"/>
      <c r="SRG209" s="243"/>
      <c r="SRH209" s="243"/>
      <c r="SRI209" s="243"/>
      <c r="SRJ209" s="243"/>
      <c r="SRK209" s="243"/>
      <c r="SRL209" s="243"/>
      <c r="SRM209" s="243"/>
      <c r="SRN209" s="243"/>
      <c r="SRO209" s="243"/>
      <c r="SRP209" s="243"/>
      <c r="SRQ209" s="243"/>
      <c r="SRR209" s="243"/>
      <c r="SRS209" s="243"/>
      <c r="SRT209" s="243"/>
      <c r="SRU209" s="243"/>
      <c r="SRV209" s="243"/>
      <c r="SRW209" s="243"/>
      <c r="SRX209" s="243"/>
      <c r="SRY209" s="243"/>
      <c r="SRZ209" s="243"/>
      <c r="SSA209" s="243"/>
      <c r="SSB209" s="243"/>
      <c r="SSC209" s="243"/>
      <c r="SSD209" s="243"/>
      <c r="SSE209" s="243"/>
      <c r="SSF209" s="243"/>
      <c r="SSG209" s="243"/>
      <c r="SSH209" s="243"/>
      <c r="SSI209" s="243"/>
      <c r="SSJ209" s="243"/>
      <c r="SSK209" s="243"/>
      <c r="SSL209" s="243"/>
      <c r="SSM209" s="243"/>
      <c r="SSN209" s="243"/>
      <c r="SSO209" s="243"/>
      <c r="SSP209" s="243"/>
      <c r="SSQ209" s="243"/>
      <c r="SSR209" s="243"/>
      <c r="SSS209" s="243"/>
      <c r="SST209" s="243"/>
      <c r="SSU209" s="243"/>
      <c r="SSV209" s="243"/>
      <c r="SSW209" s="243"/>
      <c r="SSX209" s="243"/>
      <c r="SSY209" s="243"/>
      <c r="SSZ209" s="243"/>
      <c r="STA209" s="243"/>
      <c r="STB209" s="243"/>
      <c r="STC209" s="243"/>
      <c r="STD209" s="243"/>
      <c r="STE209" s="243"/>
      <c r="STF209" s="243"/>
      <c r="STG209" s="243"/>
      <c r="STH209" s="243"/>
      <c r="STI209" s="243"/>
      <c r="STJ209" s="243"/>
      <c r="STK209" s="243"/>
      <c r="STL209" s="243"/>
      <c r="STM209" s="243"/>
      <c r="STN209" s="243"/>
      <c r="STO209" s="243"/>
      <c r="STP209" s="243"/>
      <c r="STQ209" s="243"/>
      <c r="STR209" s="243"/>
      <c r="STS209" s="243"/>
      <c r="STT209" s="243"/>
      <c r="STU209" s="243"/>
      <c r="STV209" s="243"/>
      <c r="STW209" s="243"/>
      <c r="STX209" s="243"/>
      <c r="STY209" s="243"/>
      <c r="STZ209" s="243"/>
      <c r="SUA209" s="243"/>
      <c r="SUB209" s="243"/>
      <c r="SUC209" s="243"/>
      <c r="SUD209" s="243"/>
      <c r="SUE209" s="243"/>
      <c r="SUF209" s="243"/>
      <c r="SUG209" s="243"/>
      <c r="SUH209" s="243"/>
      <c r="SUI209" s="243"/>
      <c r="SUJ209" s="243"/>
      <c r="SUK209" s="243"/>
      <c r="SUL209" s="243"/>
      <c r="SUM209" s="243"/>
      <c r="SUN209" s="243"/>
      <c r="SUO209" s="243"/>
      <c r="SUP209" s="243"/>
      <c r="SUQ209" s="243"/>
      <c r="SUR209" s="243"/>
      <c r="SUS209" s="243"/>
      <c r="SUT209" s="243"/>
      <c r="SUU209" s="243"/>
      <c r="SUV209" s="243"/>
      <c r="SUW209" s="243"/>
      <c r="SUX209" s="243"/>
      <c r="SUY209" s="243"/>
      <c r="SUZ209" s="243"/>
      <c r="SVA209" s="243"/>
      <c r="SVB209" s="243"/>
      <c r="SVC209" s="243"/>
      <c r="SVD209" s="243"/>
      <c r="SVE209" s="243"/>
      <c r="SVF209" s="243"/>
      <c r="SVG209" s="243"/>
      <c r="SVH209" s="243"/>
      <c r="SVI209" s="243"/>
      <c r="SVJ209" s="243"/>
      <c r="SVK209" s="243"/>
      <c r="SVL209" s="243"/>
      <c r="SVM209" s="243"/>
      <c r="SVN209" s="243"/>
      <c r="SVO209" s="243"/>
      <c r="SVP209" s="243"/>
      <c r="SVQ209" s="243"/>
      <c r="SVR209" s="243"/>
      <c r="SVS209" s="243"/>
      <c r="SVT209" s="243"/>
      <c r="SVU209" s="243"/>
      <c r="SVV209" s="243"/>
      <c r="SVW209" s="243"/>
      <c r="SVX209" s="243"/>
      <c r="SVY209" s="243"/>
      <c r="SVZ209" s="243"/>
      <c r="SWA209" s="243"/>
      <c r="SWB209" s="243"/>
      <c r="SWC209" s="243"/>
      <c r="SWD209" s="243"/>
      <c r="SWE209" s="243"/>
      <c r="SWF209" s="243"/>
      <c r="SWG209" s="243"/>
      <c r="SWH209" s="243"/>
      <c r="SWI209" s="243"/>
      <c r="SWJ209" s="243"/>
      <c r="SWK209" s="243"/>
      <c r="SWL209" s="243"/>
      <c r="SWM209" s="243"/>
      <c r="SWN209" s="243"/>
      <c r="SWO209" s="243"/>
      <c r="SWP209" s="243"/>
      <c r="SWQ209" s="243"/>
      <c r="SWR209" s="243"/>
      <c r="SWS209" s="243"/>
      <c r="SWT209" s="243"/>
      <c r="SWU209" s="243"/>
      <c r="SWV209" s="243"/>
      <c r="SWW209" s="243"/>
      <c r="SWX209" s="243"/>
      <c r="SWY209" s="243"/>
      <c r="SWZ209" s="243"/>
      <c r="SXA209" s="243"/>
      <c r="SXB209" s="243"/>
      <c r="SXC209" s="243"/>
      <c r="SXD209" s="243"/>
      <c r="SXE209" s="243"/>
      <c r="SXF209" s="243"/>
      <c r="SXG209" s="243"/>
      <c r="SXH209" s="243"/>
      <c r="SXI209" s="243"/>
      <c r="SXJ209" s="243"/>
      <c r="SXK209" s="243"/>
      <c r="SXL209" s="243"/>
      <c r="SXM209" s="243"/>
      <c r="SXN209" s="243"/>
      <c r="SXO209" s="243"/>
      <c r="SXP209" s="243"/>
      <c r="SXQ209" s="243"/>
      <c r="SXR209" s="243"/>
      <c r="SXS209" s="243"/>
      <c r="SXT209" s="243"/>
      <c r="SXU209" s="243"/>
      <c r="SXV209" s="243"/>
      <c r="SXW209" s="243"/>
      <c r="SXX209" s="243"/>
      <c r="SXY209" s="243"/>
      <c r="SXZ209" s="243"/>
      <c r="SYA209" s="243"/>
      <c r="SYB209" s="243"/>
      <c r="SYC209" s="243"/>
      <c r="SYD209" s="243"/>
      <c r="SYE209" s="243"/>
      <c r="SYF209" s="243"/>
      <c r="SYG209" s="243"/>
      <c r="SYH209" s="243"/>
      <c r="SYI209" s="243"/>
      <c r="SYJ209" s="243"/>
      <c r="SYK209" s="243"/>
      <c r="SYL209" s="243"/>
      <c r="SYM209" s="243"/>
      <c r="SYN209" s="243"/>
      <c r="SYO209" s="243"/>
      <c r="SYP209" s="243"/>
      <c r="SYQ209" s="243"/>
      <c r="SYR209" s="243"/>
      <c r="SYS209" s="243"/>
      <c r="SYT209" s="243"/>
      <c r="SYU209" s="243"/>
      <c r="SYV209" s="243"/>
      <c r="SYW209" s="243"/>
      <c r="SYX209" s="243"/>
      <c r="SYY209" s="243"/>
      <c r="SYZ209" s="243"/>
      <c r="SZA209" s="243"/>
      <c r="SZB209" s="243"/>
      <c r="SZC209" s="243"/>
      <c r="SZD209" s="243"/>
      <c r="SZE209" s="243"/>
      <c r="SZF209" s="243"/>
      <c r="SZG209" s="243"/>
      <c r="SZH209" s="243"/>
      <c r="SZI209" s="243"/>
      <c r="SZJ209" s="243"/>
      <c r="SZK209" s="243"/>
      <c r="SZL209" s="243"/>
      <c r="SZM209" s="243"/>
      <c r="SZN209" s="243"/>
      <c r="SZO209" s="243"/>
      <c r="SZP209" s="243"/>
      <c r="SZQ209" s="243"/>
      <c r="SZR209" s="243"/>
      <c r="SZS209" s="243"/>
      <c r="SZT209" s="243"/>
      <c r="SZU209" s="243"/>
      <c r="SZV209" s="243"/>
      <c r="SZW209" s="243"/>
      <c r="SZX209" s="243"/>
      <c r="SZY209" s="243"/>
      <c r="SZZ209" s="243"/>
      <c r="TAA209" s="243"/>
      <c r="TAB209" s="243"/>
      <c r="TAC209" s="243"/>
      <c r="TAD209" s="243"/>
      <c r="TAE209" s="243"/>
      <c r="TAF209" s="243"/>
      <c r="TAG209" s="243"/>
      <c r="TAH209" s="243"/>
      <c r="TAI209" s="243"/>
      <c r="TAJ209" s="243"/>
      <c r="TAK209" s="243"/>
      <c r="TAL209" s="243"/>
      <c r="TAM209" s="243"/>
      <c r="TAN209" s="243"/>
      <c r="TAO209" s="243"/>
      <c r="TAP209" s="243"/>
      <c r="TAQ209" s="243"/>
      <c r="TAR209" s="243"/>
      <c r="TAS209" s="243"/>
      <c r="TAT209" s="243"/>
      <c r="TAU209" s="243"/>
      <c r="TAV209" s="243"/>
      <c r="TAW209" s="243"/>
      <c r="TAX209" s="243"/>
      <c r="TAY209" s="243"/>
      <c r="TAZ209" s="243"/>
      <c r="TBA209" s="243"/>
      <c r="TBB209" s="243"/>
      <c r="TBC209" s="243"/>
      <c r="TBD209" s="243"/>
      <c r="TBE209" s="243"/>
      <c r="TBF209" s="243"/>
      <c r="TBG209" s="243"/>
      <c r="TBH209" s="243"/>
      <c r="TBI209" s="243"/>
      <c r="TBJ209" s="243"/>
      <c r="TBK209" s="243"/>
      <c r="TBL209" s="243"/>
      <c r="TBM209" s="243"/>
      <c r="TBN209" s="243"/>
      <c r="TBO209" s="243"/>
      <c r="TBP209" s="243"/>
      <c r="TBQ209" s="243"/>
      <c r="TBR209" s="243"/>
      <c r="TBS209" s="243"/>
      <c r="TBT209" s="243"/>
      <c r="TBU209" s="243"/>
      <c r="TBV209" s="243"/>
      <c r="TBW209" s="243"/>
      <c r="TBX209" s="243"/>
      <c r="TBY209" s="243"/>
      <c r="TBZ209" s="243"/>
      <c r="TCA209" s="243"/>
      <c r="TCB209" s="243"/>
      <c r="TCC209" s="243"/>
      <c r="TCD209" s="243"/>
      <c r="TCE209" s="243"/>
      <c r="TCF209" s="243"/>
      <c r="TCG209" s="243"/>
      <c r="TCH209" s="243"/>
      <c r="TCI209" s="243"/>
      <c r="TCJ209" s="243"/>
      <c r="TCK209" s="243"/>
      <c r="TCL209" s="243"/>
      <c r="TCM209" s="243"/>
      <c r="TCN209" s="243"/>
      <c r="TCO209" s="243"/>
      <c r="TCP209" s="243"/>
      <c r="TCQ209" s="243"/>
      <c r="TCR209" s="243"/>
      <c r="TCS209" s="243"/>
      <c r="TCT209" s="243"/>
      <c r="TCU209" s="243"/>
      <c r="TCV209" s="243"/>
      <c r="TCW209" s="243"/>
      <c r="TCX209" s="243"/>
      <c r="TCY209" s="243"/>
      <c r="TCZ209" s="243"/>
      <c r="TDA209" s="243"/>
      <c r="TDB209" s="243"/>
      <c r="TDC209" s="243"/>
      <c r="TDD209" s="243"/>
      <c r="TDE209" s="243"/>
      <c r="TDF209" s="243"/>
      <c r="TDG209" s="243"/>
      <c r="TDH209" s="243"/>
      <c r="TDI209" s="243"/>
      <c r="TDJ209" s="243"/>
      <c r="TDK209" s="243"/>
      <c r="TDL209" s="243"/>
      <c r="TDM209" s="243"/>
      <c r="TDN209" s="243"/>
      <c r="TDO209" s="243"/>
      <c r="TDP209" s="243"/>
      <c r="TDQ209" s="243"/>
      <c r="TDR209" s="243"/>
      <c r="TDS209" s="243"/>
      <c r="TDT209" s="243"/>
      <c r="TDU209" s="243"/>
      <c r="TDV209" s="243"/>
      <c r="TDW209" s="243"/>
      <c r="TDX209" s="243"/>
      <c r="TDY209" s="243"/>
      <c r="TDZ209" s="243"/>
      <c r="TEA209" s="243"/>
      <c r="TEB209" s="243"/>
      <c r="TEC209" s="243"/>
      <c r="TED209" s="243"/>
      <c r="TEE209" s="243"/>
      <c r="TEF209" s="243"/>
      <c r="TEG209" s="243"/>
      <c r="TEH209" s="243"/>
      <c r="TEI209" s="243"/>
      <c r="TEJ209" s="243"/>
      <c r="TEK209" s="243"/>
      <c r="TEL209" s="243"/>
      <c r="TEM209" s="243"/>
      <c r="TEN209" s="243"/>
      <c r="TEO209" s="243"/>
      <c r="TEP209" s="243"/>
      <c r="TEQ209" s="243"/>
      <c r="TER209" s="243"/>
      <c r="TES209" s="243"/>
      <c r="TET209" s="243"/>
      <c r="TEU209" s="243"/>
      <c r="TEV209" s="243"/>
      <c r="TEW209" s="243"/>
      <c r="TEX209" s="243"/>
      <c r="TEY209" s="243"/>
      <c r="TEZ209" s="243"/>
      <c r="TFA209" s="243"/>
      <c r="TFB209" s="243"/>
      <c r="TFC209" s="243"/>
      <c r="TFD209" s="243"/>
      <c r="TFE209" s="243"/>
      <c r="TFF209" s="243"/>
      <c r="TFG209" s="243"/>
      <c r="TFH209" s="243"/>
      <c r="TFI209" s="243"/>
      <c r="TFJ209" s="243"/>
      <c r="TFK209" s="243"/>
      <c r="TFL209" s="243"/>
      <c r="TFM209" s="243"/>
      <c r="TFN209" s="243"/>
      <c r="TFO209" s="243"/>
      <c r="TFP209" s="243"/>
      <c r="TFQ209" s="243"/>
      <c r="TFR209" s="243"/>
      <c r="TFS209" s="243"/>
      <c r="TFT209" s="243"/>
      <c r="TFU209" s="243"/>
      <c r="TFV209" s="243"/>
      <c r="TFW209" s="243"/>
      <c r="TFX209" s="243"/>
      <c r="TFY209" s="243"/>
      <c r="TFZ209" s="243"/>
      <c r="TGA209" s="243"/>
      <c r="TGB209" s="243"/>
      <c r="TGC209" s="243"/>
      <c r="TGD209" s="243"/>
      <c r="TGE209" s="243"/>
      <c r="TGF209" s="243"/>
      <c r="TGG209" s="243"/>
      <c r="TGH209" s="243"/>
      <c r="TGI209" s="243"/>
      <c r="TGJ209" s="243"/>
      <c r="TGK209" s="243"/>
      <c r="TGL209" s="243"/>
      <c r="TGM209" s="243"/>
      <c r="TGN209" s="243"/>
      <c r="TGO209" s="243"/>
      <c r="TGP209" s="243"/>
      <c r="TGQ209" s="243"/>
      <c r="TGR209" s="243"/>
      <c r="TGS209" s="243"/>
      <c r="TGT209" s="243"/>
      <c r="TGU209" s="243"/>
      <c r="TGV209" s="243"/>
      <c r="TGW209" s="243"/>
      <c r="TGX209" s="243"/>
      <c r="TGY209" s="243"/>
      <c r="TGZ209" s="243"/>
      <c r="THA209" s="243"/>
      <c r="THB209" s="243"/>
      <c r="THC209" s="243"/>
      <c r="THD209" s="243"/>
      <c r="THE209" s="243"/>
      <c r="THF209" s="243"/>
      <c r="THG209" s="243"/>
      <c r="THH209" s="243"/>
      <c r="THI209" s="243"/>
      <c r="THJ209" s="243"/>
      <c r="THK209" s="243"/>
      <c r="THL209" s="243"/>
      <c r="THM209" s="243"/>
      <c r="THN209" s="243"/>
      <c r="THO209" s="243"/>
      <c r="THP209" s="243"/>
      <c r="THQ209" s="243"/>
      <c r="THR209" s="243"/>
      <c r="THS209" s="243"/>
      <c r="THT209" s="243"/>
      <c r="THU209" s="243"/>
      <c r="THV209" s="243"/>
      <c r="THW209" s="243"/>
      <c r="THX209" s="243"/>
      <c r="THY209" s="243"/>
      <c r="THZ209" s="243"/>
      <c r="TIA209" s="243"/>
      <c r="TIB209" s="243"/>
      <c r="TIC209" s="243"/>
      <c r="TID209" s="243"/>
      <c r="TIE209" s="243"/>
      <c r="TIF209" s="243"/>
      <c r="TIG209" s="243"/>
      <c r="TIH209" s="243"/>
      <c r="TII209" s="243"/>
      <c r="TIJ209" s="243"/>
      <c r="TIK209" s="243"/>
      <c r="TIL209" s="243"/>
      <c r="TIM209" s="243"/>
      <c r="TIN209" s="243"/>
      <c r="TIO209" s="243"/>
      <c r="TIP209" s="243"/>
      <c r="TIQ209" s="243"/>
      <c r="TIR209" s="243"/>
      <c r="TIS209" s="243"/>
      <c r="TIT209" s="243"/>
      <c r="TIU209" s="243"/>
      <c r="TIV209" s="243"/>
      <c r="TIW209" s="243"/>
      <c r="TIX209" s="243"/>
      <c r="TIY209" s="243"/>
      <c r="TIZ209" s="243"/>
      <c r="TJA209" s="243"/>
      <c r="TJB209" s="243"/>
      <c r="TJC209" s="243"/>
      <c r="TJD209" s="243"/>
      <c r="TJE209" s="243"/>
      <c r="TJF209" s="243"/>
      <c r="TJG209" s="243"/>
      <c r="TJH209" s="243"/>
      <c r="TJI209" s="243"/>
      <c r="TJJ209" s="243"/>
      <c r="TJK209" s="243"/>
      <c r="TJL209" s="243"/>
      <c r="TJM209" s="243"/>
      <c r="TJN209" s="243"/>
      <c r="TJO209" s="243"/>
      <c r="TJP209" s="243"/>
      <c r="TJQ209" s="243"/>
      <c r="TJR209" s="243"/>
      <c r="TJS209" s="243"/>
      <c r="TJT209" s="243"/>
      <c r="TJU209" s="243"/>
      <c r="TJV209" s="243"/>
      <c r="TJW209" s="243"/>
      <c r="TJX209" s="243"/>
      <c r="TJY209" s="243"/>
      <c r="TJZ209" s="243"/>
      <c r="TKA209" s="243"/>
      <c r="TKB209" s="243"/>
      <c r="TKC209" s="243"/>
      <c r="TKD209" s="243"/>
      <c r="TKE209" s="243"/>
      <c r="TKF209" s="243"/>
      <c r="TKG209" s="243"/>
      <c r="TKH209" s="243"/>
      <c r="TKI209" s="243"/>
      <c r="TKJ209" s="243"/>
      <c r="TKK209" s="243"/>
      <c r="TKL209" s="243"/>
      <c r="TKM209" s="243"/>
      <c r="TKN209" s="243"/>
      <c r="TKO209" s="243"/>
      <c r="TKP209" s="243"/>
      <c r="TKQ209" s="243"/>
      <c r="TKR209" s="243"/>
      <c r="TKS209" s="243"/>
      <c r="TKT209" s="243"/>
      <c r="TKU209" s="243"/>
      <c r="TKV209" s="243"/>
      <c r="TKW209" s="243"/>
      <c r="TKX209" s="243"/>
      <c r="TKY209" s="243"/>
      <c r="TKZ209" s="243"/>
      <c r="TLA209" s="243"/>
      <c r="TLB209" s="243"/>
      <c r="TLC209" s="243"/>
      <c r="TLD209" s="243"/>
      <c r="TLE209" s="243"/>
      <c r="TLF209" s="243"/>
      <c r="TLG209" s="243"/>
      <c r="TLH209" s="243"/>
      <c r="TLI209" s="243"/>
      <c r="TLJ209" s="243"/>
      <c r="TLK209" s="243"/>
      <c r="TLL209" s="243"/>
      <c r="TLM209" s="243"/>
      <c r="TLN209" s="243"/>
      <c r="TLO209" s="243"/>
      <c r="TLP209" s="243"/>
      <c r="TLQ209" s="243"/>
      <c r="TLR209" s="243"/>
      <c r="TLS209" s="243"/>
      <c r="TLT209" s="243"/>
      <c r="TLU209" s="243"/>
      <c r="TLV209" s="243"/>
      <c r="TLW209" s="243"/>
      <c r="TLX209" s="243"/>
      <c r="TLY209" s="243"/>
      <c r="TLZ209" s="243"/>
      <c r="TMA209" s="243"/>
      <c r="TMB209" s="243"/>
      <c r="TMC209" s="243"/>
      <c r="TMD209" s="243"/>
      <c r="TME209" s="243"/>
      <c r="TMF209" s="243"/>
      <c r="TMG209" s="243"/>
      <c r="TMH209" s="243"/>
      <c r="TMI209" s="243"/>
      <c r="TMJ209" s="243"/>
      <c r="TMK209" s="243"/>
      <c r="TML209" s="243"/>
      <c r="TMM209" s="243"/>
      <c r="TMN209" s="243"/>
      <c r="TMO209" s="243"/>
      <c r="TMP209" s="243"/>
      <c r="TMQ209" s="243"/>
      <c r="TMR209" s="243"/>
      <c r="TMS209" s="243"/>
      <c r="TMT209" s="243"/>
      <c r="TMU209" s="243"/>
      <c r="TMV209" s="243"/>
      <c r="TMW209" s="243"/>
      <c r="TMX209" s="243"/>
      <c r="TMY209" s="243"/>
      <c r="TMZ209" s="243"/>
      <c r="TNA209" s="243"/>
      <c r="TNB209" s="243"/>
      <c r="TNC209" s="243"/>
      <c r="TND209" s="243"/>
      <c r="TNE209" s="243"/>
      <c r="TNF209" s="243"/>
      <c r="TNG209" s="243"/>
      <c r="TNH209" s="243"/>
      <c r="TNI209" s="243"/>
      <c r="TNJ209" s="243"/>
      <c r="TNK209" s="243"/>
      <c r="TNL209" s="243"/>
      <c r="TNM209" s="243"/>
      <c r="TNN209" s="243"/>
      <c r="TNO209" s="243"/>
      <c r="TNP209" s="243"/>
      <c r="TNQ209" s="243"/>
      <c r="TNR209" s="243"/>
      <c r="TNS209" s="243"/>
      <c r="TNT209" s="243"/>
      <c r="TNU209" s="243"/>
      <c r="TNV209" s="243"/>
      <c r="TNW209" s="243"/>
      <c r="TNX209" s="243"/>
      <c r="TNY209" s="243"/>
      <c r="TNZ209" s="243"/>
      <c r="TOA209" s="243"/>
      <c r="TOB209" s="243"/>
      <c r="TOC209" s="243"/>
      <c r="TOD209" s="243"/>
      <c r="TOE209" s="243"/>
      <c r="TOF209" s="243"/>
      <c r="TOG209" s="243"/>
      <c r="TOH209" s="243"/>
      <c r="TOI209" s="243"/>
      <c r="TOJ209" s="243"/>
      <c r="TOK209" s="243"/>
      <c r="TOL209" s="243"/>
      <c r="TOM209" s="243"/>
      <c r="TON209" s="243"/>
      <c r="TOO209" s="243"/>
      <c r="TOP209" s="243"/>
      <c r="TOQ209" s="243"/>
      <c r="TOR209" s="243"/>
      <c r="TOS209" s="243"/>
      <c r="TOT209" s="243"/>
      <c r="TOU209" s="243"/>
      <c r="TOV209" s="243"/>
      <c r="TOW209" s="243"/>
      <c r="TOX209" s="243"/>
      <c r="TOY209" s="243"/>
      <c r="TOZ209" s="243"/>
      <c r="TPA209" s="243"/>
      <c r="TPB209" s="243"/>
      <c r="TPC209" s="243"/>
      <c r="TPD209" s="243"/>
      <c r="TPE209" s="243"/>
      <c r="TPF209" s="243"/>
      <c r="TPG209" s="243"/>
      <c r="TPH209" s="243"/>
      <c r="TPI209" s="243"/>
      <c r="TPJ209" s="243"/>
      <c r="TPK209" s="243"/>
      <c r="TPL209" s="243"/>
      <c r="TPM209" s="243"/>
      <c r="TPN209" s="243"/>
      <c r="TPO209" s="243"/>
      <c r="TPP209" s="243"/>
      <c r="TPQ209" s="243"/>
      <c r="TPR209" s="243"/>
      <c r="TPS209" s="243"/>
      <c r="TPT209" s="243"/>
      <c r="TPU209" s="243"/>
      <c r="TPV209" s="243"/>
      <c r="TPW209" s="243"/>
      <c r="TPX209" s="243"/>
      <c r="TPY209" s="243"/>
      <c r="TPZ209" s="243"/>
      <c r="TQA209" s="243"/>
      <c r="TQB209" s="243"/>
      <c r="TQC209" s="243"/>
      <c r="TQD209" s="243"/>
      <c r="TQE209" s="243"/>
      <c r="TQF209" s="243"/>
      <c r="TQG209" s="243"/>
      <c r="TQH209" s="243"/>
      <c r="TQI209" s="243"/>
      <c r="TQJ209" s="243"/>
      <c r="TQK209" s="243"/>
      <c r="TQL209" s="243"/>
      <c r="TQM209" s="243"/>
      <c r="TQN209" s="243"/>
      <c r="TQO209" s="243"/>
      <c r="TQP209" s="243"/>
      <c r="TQQ209" s="243"/>
      <c r="TQR209" s="243"/>
      <c r="TQS209" s="243"/>
      <c r="TQT209" s="243"/>
      <c r="TQU209" s="243"/>
      <c r="TQV209" s="243"/>
      <c r="TQW209" s="243"/>
      <c r="TQX209" s="243"/>
      <c r="TQY209" s="243"/>
      <c r="TQZ209" s="243"/>
      <c r="TRA209" s="243"/>
      <c r="TRB209" s="243"/>
      <c r="TRC209" s="243"/>
      <c r="TRD209" s="243"/>
      <c r="TRE209" s="243"/>
      <c r="TRF209" s="243"/>
      <c r="TRG209" s="243"/>
      <c r="TRH209" s="243"/>
      <c r="TRI209" s="243"/>
      <c r="TRJ209" s="243"/>
      <c r="TRK209" s="243"/>
      <c r="TRL209" s="243"/>
      <c r="TRM209" s="243"/>
      <c r="TRN209" s="243"/>
      <c r="TRO209" s="243"/>
      <c r="TRP209" s="243"/>
      <c r="TRQ209" s="243"/>
      <c r="TRR209" s="243"/>
      <c r="TRS209" s="243"/>
      <c r="TRT209" s="243"/>
      <c r="TRU209" s="243"/>
      <c r="TRV209" s="243"/>
      <c r="TRW209" s="243"/>
      <c r="TRX209" s="243"/>
      <c r="TRY209" s="243"/>
      <c r="TRZ209" s="243"/>
      <c r="TSA209" s="243"/>
      <c r="TSB209" s="243"/>
      <c r="TSC209" s="243"/>
      <c r="TSD209" s="243"/>
      <c r="TSE209" s="243"/>
      <c r="TSF209" s="243"/>
      <c r="TSG209" s="243"/>
      <c r="TSH209" s="243"/>
      <c r="TSI209" s="243"/>
      <c r="TSJ209" s="243"/>
      <c r="TSK209" s="243"/>
      <c r="TSL209" s="243"/>
      <c r="TSM209" s="243"/>
      <c r="TSN209" s="243"/>
      <c r="TSO209" s="243"/>
      <c r="TSP209" s="243"/>
      <c r="TSQ209" s="243"/>
      <c r="TSR209" s="243"/>
      <c r="TSS209" s="243"/>
      <c r="TST209" s="243"/>
      <c r="TSU209" s="243"/>
      <c r="TSV209" s="243"/>
      <c r="TSW209" s="243"/>
      <c r="TSX209" s="243"/>
      <c r="TSY209" s="243"/>
      <c r="TSZ209" s="243"/>
      <c r="TTA209" s="243"/>
      <c r="TTB209" s="243"/>
      <c r="TTC209" s="243"/>
      <c r="TTD209" s="243"/>
      <c r="TTE209" s="243"/>
      <c r="TTF209" s="243"/>
      <c r="TTG209" s="243"/>
      <c r="TTH209" s="243"/>
      <c r="TTI209" s="243"/>
      <c r="TTJ209" s="243"/>
      <c r="TTK209" s="243"/>
      <c r="TTL209" s="243"/>
      <c r="TTM209" s="243"/>
      <c r="TTN209" s="243"/>
      <c r="TTO209" s="243"/>
      <c r="TTP209" s="243"/>
      <c r="TTQ209" s="243"/>
      <c r="TTR209" s="243"/>
      <c r="TTS209" s="243"/>
      <c r="TTT209" s="243"/>
      <c r="TTU209" s="243"/>
      <c r="TTV209" s="243"/>
      <c r="TTW209" s="243"/>
      <c r="TTX209" s="243"/>
      <c r="TTY209" s="243"/>
      <c r="TTZ209" s="243"/>
      <c r="TUA209" s="243"/>
      <c r="TUB209" s="243"/>
      <c r="TUC209" s="243"/>
      <c r="TUD209" s="243"/>
      <c r="TUE209" s="243"/>
      <c r="TUF209" s="243"/>
      <c r="TUG209" s="243"/>
      <c r="TUH209" s="243"/>
      <c r="TUI209" s="243"/>
      <c r="TUJ209" s="243"/>
      <c r="TUK209" s="243"/>
      <c r="TUL209" s="243"/>
      <c r="TUM209" s="243"/>
      <c r="TUN209" s="243"/>
      <c r="TUO209" s="243"/>
      <c r="TUP209" s="243"/>
      <c r="TUQ209" s="243"/>
      <c r="TUR209" s="243"/>
      <c r="TUS209" s="243"/>
      <c r="TUT209" s="243"/>
      <c r="TUU209" s="243"/>
      <c r="TUV209" s="243"/>
      <c r="TUW209" s="243"/>
      <c r="TUX209" s="243"/>
      <c r="TUY209" s="243"/>
      <c r="TUZ209" s="243"/>
      <c r="TVA209" s="243"/>
      <c r="TVB209" s="243"/>
      <c r="TVC209" s="243"/>
      <c r="TVD209" s="243"/>
      <c r="TVE209" s="243"/>
      <c r="TVF209" s="243"/>
      <c r="TVG209" s="243"/>
      <c r="TVH209" s="243"/>
      <c r="TVI209" s="243"/>
      <c r="TVJ209" s="243"/>
      <c r="TVK209" s="243"/>
      <c r="TVL209" s="243"/>
      <c r="TVM209" s="243"/>
      <c r="TVN209" s="243"/>
      <c r="TVO209" s="243"/>
      <c r="TVP209" s="243"/>
      <c r="TVQ209" s="243"/>
      <c r="TVR209" s="243"/>
      <c r="TVS209" s="243"/>
      <c r="TVT209" s="243"/>
      <c r="TVU209" s="243"/>
      <c r="TVV209" s="243"/>
      <c r="TVW209" s="243"/>
      <c r="TVX209" s="243"/>
      <c r="TVY209" s="243"/>
      <c r="TVZ209" s="243"/>
      <c r="TWA209" s="243"/>
      <c r="TWB209" s="243"/>
      <c r="TWC209" s="243"/>
      <c r="TWD209" s="243"/>
      <c r="TWE209" s="243"/>
      <c r="TWF209" s="243"/>
      <c r="TWG209" s="243"/>
      <c r="TWH209" s="243"/>
      <c r="TWI209" s="243"/>
      <c r="TWJ209" s="243"/>
      <c r="TWK209" s="243"/>
      <c r="TWL209" s="243"/>
      <c r="TWM209" s="243"/>
      <c r="TWN209" s="243"/>
      <c r="TWO209" s="243"/>
      <c r="TWP209" s="243"/>
      <c r="TWQ209" s="243"/>
      <c r="TWR209" s="243"/>
      <c r="TWS209" s="243"/>
      <c r="TWT209" s="243"/>
      <c r="TWU209" s="243"/>
      <c r="TWV209" s="243"/>
      <c r="TWW209" s="243"/>
      <c r="TWX209" s="243"/>
      <c r="TWY209" s="243"/>
      <c r="TWZ209" s="243"/>
      <c r="TXA209" s="243"/>
      <c r="TXB209" s="243"/>
      <c r="TXC209" s="243"/>
      <c r="TXD209" s="243"/>
      <c r="TXE209" s="243"/>
      <c r="TXF209" s="243"/>
      <c r="TXG209" s="243"/>
      <c r="TXH209" s="243"/>
      <c r="TXI209" s="243"/>
      <c r="TXJ209" s="243"/>
      <c r="TXK209" s="243"/>
      <c r="TXL209" s="243"/>
      <c r="TXM209" s="243"/>
      <c r="TXN209" s="243"/>
      <c r="TXO209" s="243"/>
      <c r="TXP209" s="243"/>
      <c r="TXQ209" s="243"/>
      <c r="TXR209" s="243"/>
      <c r="TXS209" s="243"/>
      <c r="TXT209" s="243"/>
      <c r="TXU209" s="243"/>
      <c r="TXV209" s="243"/>
      <c r="TXW209" s="243"/>
      <c r="TXX209" s="243"/>
      <c r="TXY209" s="243"/>
      <c r="TXZ209" s="243"/>
      <c r="TYA209" s="243"/>
      <c r="TYB209" s="243"/>
      <c r="TYC209" s="243"/>
      <c r="TYD209" s="243"/>
      <c r="TYE209" s="243"/>
      <c r="TYF209" s="243"/>
      <c r="TYG209" s="243"/>
      <c r="TYH209" s="243"/>
      <c r="TYI209" s="243"/>
      <c r="TYJ209" s="243"/>
      <c r="TYK209" s="243"/>
      <c r="TYL209" s="243"/>
      <c r="TYM209" s="243"/>
      <c r="TYN209" s="243"/>
      <c r="TYO209" s="243"/>
      <c r="TYP209" s="243"/>
      <c r="TYQ209" s="243"/>
      <c r="TYR209" s="243"/>
      <c r="TYS209" s="243"/>
      <c r="TYT209" s="243"/>
      <c r="TYU209" s="243"/>
      <c r="TYV209" s="243"/>
      <c r="TYW209" s="243"/>
      <c r="TYX209" s="243"/>
      <c r="TYY209" s="243"/>
      <c r="TYZ209" s="243"/>
      <c r="TZA209" s="243"/>
      <c r="TZB209" s="243"/>
      <c r="TZC209" s="243"/>
      <c r="TZD209" s="243"/>
      <c r="TZE209" s="243"/>
      <c r="TZF209" s="243"/>
      <c r="TZG209" s="243"/>
      <c r="TZH209" s="243"/>
      <c r="TZI209" s="243"/>
      <c r="TZJ209" s="243"/>
      <c r="TZK209" s="243"/>
      <c r="TZL209" s="243"/>
      <c r="TZM209" s="243"/>
      <c r="TZN209" s="243"/>
      <c r="TZO209" s="243"/>
      <c r="TZP209" s="243"/>
      <c r="TZQ209" s="243"/>
      <c r="TZR209" s="243"/>
      <c r="TZS209" s="243"/>
      <c r="TZT209" s="243"/>
      <c r="TZU209" s="243"/>
      <c r="TZV209" s="243"/>
      <c r="TZW209" s="243"/>
      <c r="TZX209" s="243"/>
      <c r="TZY209" s="243"/>
      <c r="TZZ209" s="243"/>
      <c r="UAA209" s="243"/>
      <c r="UAB209" s="243"/>
      <c r="UAC209" s="243"/>
      <c r="UAD209" s="243"/>
      <c r="UAE209" s="243"/>
      <c r="UAF209" s="243"/>
      <c r="UAG209" s="243"/>
      <c r="UAH209" s="243"/>
      <c r="UAI209" s="243"/>
      <c r="UAJ209" s="243"/>
      <c r="UAK209" s="243"/>
      <c r="UAL209" s="243"/>
      <c r="UAM209" s="243"/>
      <c r="UAN209" s="243"/>
      <c r="UAO209" s="243"/>
      <c r="UAP209" s="243"/>
      <c r="UAQ209" s="243"/>
      <c r="UAR209" s="243"/>
      <c r="UAS209" s="243"/>
      <c r="UAT209" s="243"/>
      <c r="UAU209" s="243"/>
      <c r="UAV209" s="243"/>
      <c r="UAW209" s="243"/>
      <c r="UAX209" s="243"/>
      <c r="UAY209" s="243"/>
      <c r="UAZ209" s="243"/>
      <c r="UBA209" s="243"/>
      <c r="UBB209" s="243"/>
      <c r="UBC209" s="243"/>
      <c r="UBD209" s="243"/>
      <c r="UBE209" s="243"/>
      <c r="UBF209" s="243"/>
      <c r="UBG209" s="243"/>
      <c r="UBH209" s="243"/>
      <c r="UBI209" s="243"/>
      <c r="UBJ209" s="243"/>
      <c r="UBK209" s="243"/>
      <c r="UBL209" s="243"/>
      <c r="UBM209" s="243"/>
      <c r="UBN209" s="243"/>
      <c r="UBO209" s="243"/>
      <c r="UBP209" s="243"/>
      <c r="UBQ209" s="243"/>
      <c r="UBR209" s="243"/>
      <c r="UBS209" s="243"/>
      <c r="UBT209" s="243"/>
      <c r="UBU209" s="243"/>
      <c r="UBV209" s="243"/>
      <c r="UBW209" s="243"/>
      <c r="UBX209" s="243"/>
      <c r="UBY209" s="243"/>
      <c r="UBZ209" s="243"/>
      <c r="UCA209" s="243"/>
      <c r="UCB209" s="243"/>
      <c r="UCC209" s="243"/>
      <c r="UCD209" s="243"/>
      <c r="UCE209" s="243"/>
      <c r="UCF209" s="243"/>
      <c r="UCG209" s="243"/>
      <c r="UCH209" s="243"/>
      <c r="UCI209" s="243"/>
      <c r="UCJ209" s="243"/>
      <c r="UCK209" s="243"/>
      <c r="UCL209" s="243"/>
      <c r="UCM209" s="243"/>
      <c r="UCN209" s="243"/>
      <c r="UCO209" s="243"/>
      <c r="UCP209" s="243"/>
      <c r="UCQ209" s="243"/>
      <c r="UCR209" s="243"/>
      <c r="UCS209" s="243"/>
      <c r="UCT209" s="243"/>
      <c r="UCU209" s="243"/>
      <c r="UCV209" s="243"/>
      <c r="UCW209" s="243"/>
      <c r="UCX209" s="243"/>
      <c r="UCY209" s="243"/>
      <c r="UCZ209" s="243"/>
      <c r="UDA209" s="243"/>
      <c r="UDB209" s="243"/>
      <c r="UDC209" s="243"/>
      <c r="UDD209" s="243"/>
      <c r="UDE209" s="243"/>
      <c r="UDF209" s="243"/>
      <c r="UDG209" s="243"/>
      <c r="UDH209" s="243"/>
      <c r="UDI209" s="243"/>
      <c r="UDJ209" s="243"/>
      <c r="UDK209" s="243"/>
      <c r="UDL209" s="243"/>
      <c r="UDM209" s="243"/>
      <c r="UDN209" s="243"/>
      <c r="UDO209" s="243"/>
      <c r="UDP209" s="243"/>
      <c r="UDQ209" s="243"/>
      <c r="UDR209" s="243"/>
      <c r="UDS209" s="243"/>
      <c r="UDT209" s="243"/>
      <c r="UDU209" s="243"/>
      <c r="UDV209" s="243"/>
      <c r="UDW209" s="243"/>
      <c r="UDX209" s="243"/>
      <c r="UDY209" s="243"/>
      <c r="UDZ209" s="243"/>
      <c r="UEA209" s="243"/>
      <c r="UEB209" s="243"/>
      <c r="UEC209" s="243"/>
      <c r="UED209" s="243"/>
      <c r="UEE209" s="243"/>
      <c r="UEF209" s="243"/>
      <c r="UEG209" s="243"/>
      <c r="UEH209" s="243"/>
      <c r="UEI209" s="243"/>
      <c r="UEJ209" s="243"/>
      <c r="UEK209" s="243"/>
      <c r="UEL209" s="243"/>
      <c r="UEM209" s="243"/>
      <c r="UEN209" s="243"/>
      <c r="UEO209" s="243"/>
      <c r="UEP209" s="243"/>
      <c r="UEQ209" s="243"/>
      <c r="UER209" s="243"/>
      <c r="UES209" s="243"/>
      <c r="UET209" s="243"/>
      <c r="UEU209" s="243"/>
      <c r="UEV209" s="243"/>
      <c r="UEW209" s="243"/>
      <c r="UEX209" s="243"/>
      <c r="UEY209" s="243"/>
      <c r="UEZ209" s="243"/>
      <c r="UFA209" s="243"/>
      <c r="UFB209" s="243"/>
      <c r="UFC209" s="243"/>
      <c r="UFD209" s="243"/>
      <c r="UFE209" s="243"/>
      <c r="UFF209" s="243"/>
      <c r="UFG209" s="243"/>
      <c r="UFH209" s="243"/>
      <c r="UFI209" s="243"/>
      <c r="UFJ209" s="243"/>
      <c r="UFK209" s="243"/>
      <c r="UFL209" s="243"/>
      <c r="UFM209" s="243"/>
      <c r="UFN209" s="243"/>
      <c r="UFO209" s="243"/>
      <c r="UFP209" s="243"/>
      <c r="UFQ209" s="243"/>
      <c r="UFR209" s="243"/>
      <c r="UFS209" s="243"/>
      <c r="UFT209" s="243"/>
      <c r="UFU209" s="243"/>
      <c r="UFV209" s="243"/>
      <c r="UFW209" s="243"/>
      <c r="UFX209" s="243"/>
      <c r="UFY209" s="243"/>
      <c r="UFZ209" s="243"/>
      <c r="UGA209" s="243"/>
      <c r="UGB209" s="243"/>
      <c r="UGC209" s="243"/>
      <c r="UGD209" s="243"/>
      <c r="UGE209" s="243"/>
      <c r="UGF209" s="243"/>
      <c r="UGG209" s="243"/>
      <c r="UGH209" s="243"/>
      <c r="UGI209" s="243"/>
      <c r="UGJ209" s="243"/>
      <c r="UGK209" s="243"/>
      <c r="UGL209" s="243"/>
      <c r="UGM209" s="243"/>
      <c r="UGN209" s="243"/>
      <c r="UGO209" s="243"/>
      <c r="UGP209" s="243"/>
      <c r="UGQ209" s="243"/>
      <c r="UGR209" s="243"/>
      <c r="UGS209" s="243"/>
      <c r="UGT209" s="243"/>
      <c r="UGU209" s="243"/>
      <c r="UGV209" s="243"/>
      <c r="UGW209" s="243"/>
      <c r="UGX209" s="243"/>
      <c r="UGY209" s="243"/>
      <c r="UGZ209" s="243"/>
      <c r="UHA209" s="243"/>
      <c r="UHB209" s="243"/>
      <c r="UHC209" s="243"/>
      <c r="UHD209" s="243"/>
      <c r="UHE209" s="243"/>
      <c r="UHF209" s="243"/>
      <c r="UHG209" s="243"/>
      <c r="UHH209" s="243"/>
      <c r="UHI209" s="243"/>
      <c r="UHJ209" s="243"/>
      <c r="UHK209" s="243"/>
      <c r="UHL209" s="243"/>
      <c r="UHM209" s="243"/>
      <c r="UHN209" s="243"/>
      <c r="UHO209" s="243"/>
      <c r="UHP209" s="243"/>
      <c r="UHQ209" s="243"/>
      <c r="UHR209" s="243"/>
      <c r="UHS209" s="243"/>
      <c r="UHT209" s="243"/>
      <c r="UHU209" s="243"/>
      <c r="UHV209" s="243"/>
      <c r="UHW209" s="243"/>
      <c r="UHX209" s="243"/>
      <c r="UHY209" s="243"/>
      <c r="UHZ209" s="243"/>
      <c r="UIA209" s="243"/>
      <c r="UIB209" s="243"/>
      <c r="UIC209" s="243"/>
      <c r="UID209" s="243"/>
      <c r="UIE209" s="243"/>
      <c r="UIF209" s="243"/>
      <c r="UIG209" s="243"/>
      <c r="UIH209" s="243"/>
      <c r="UII209" s="243"/>
      <c r="UIJ209" s="243"/>
      <c r="UIK209" s="243"/>
      <c r="UIL209" s="243"/>
      <c r="UIM209" s="243"/>
      <c r="UIN209" s="243"/>
      <c r="UIO209" s="243"/>
      <c r="UIP209" s="243"/>
      <c r="UIQ209" s="243"/>
      <c r="UIR209" s="243"/>
      <c r="UIS209" s="243"/>
      <c r="UIT209" s="243"/>
      <c r="UIU209" s="243"/>
      <c r="UIV209" s="243"/>
      <c r="UIW209" s="243"/>
      <c r="UIX209" s="243"/>
      <c r="UIY209" s="243"/>
      <c r="UIZ209" s="243"/>
      <c r="UJA209" s="243"/>
      <c r="UJB209" s="243"/>
      <c r="UJC209" s="243"/>
      <c r="UJD209" s="243"/>
      <c r="UJE209" s="243"/>
      <c r="UJF209" s="243"/>
      <c r="UJG209" s="243"/>
      <c r="UJH209" s="243"/>
      <c r="UJI209" s="243"/>
      <c r="UJJ209" s="243"/>
      <c r="UJK209" s="243"/>
      <c r="UJL209" s="243"/>
      <c r="UJM209" s="243"/>
      <c r="UJN209" s="243"/>
      <c r="UJO209" s="243"/>
      <c r="UJP209" s="243"/>
      <c r="UJQ209" s="243"/>
      <c r="UJR209" s="243"/>
      <c r="UJS209" s="243"/>
      <c r="UJT209" s="243"/>
      <c r="UJU209" s="243"/>
      <c r="UJV209" s="243"/>
      <c r="UJW209" s="243"/>
      <c r="UJX209" s="243"/>
      <c r="UJY209" s="243"/>
      <c r="UJZ209" s="243"/>
      <c r="UKA209" s="243"/>
      <c r="UKB209" s="243"/>
      <c r="UKC209" s="243"/>
      <c r="UKD209" s="243"/>
      <c r="UKE209" s="243"/>
      <c r="UKF209" s="243"/>
      <c r="UKG209" s="243"/>
      <c r="UKH209" s="243"/>
      <c r="UKI209" s="243"/>
      <c r="UKJ209" s="243"/>
      <c r="UKK209" s="243"/>
      <c r="UKL209" s="243"/>
      <c r="UKM209" s="243"/>
      <c r="UKN209" s="243"/>
      <c r="UKO209" s="243"/>
      <c r="UKP209" s="243"/>
      <c r="UKQ209" s="243"/>
      <c r="UKR209" s="243"/>
      <c r="UKS209" s="243"/>
      <c r="UKT209" s="243"/>
      <c r="UKU209" s="243"/>
      <c r="UKV209" s="243"/>
      <c r="UKW209" s="243"/>
      <c r="UKX209" s="243"/>
      <c r="UKY209" s="243"/>
      <c r="UKZ209" s="243"/>
      <c r="ULA209" s="243"/>
      <c r="ULB209" s="243"/>
      <c r="ULC209" s="243"/>
      <c r="ULD209" s="243"/>
      <c r="ULE209" s="243"/>
      <c r="ULF209" s="243"/>
      <c r="ULG209" s="243"/>
      <c r="ULH209" s="243"/>
      <c r="ULI209" s="243"/>
      <c r="ULJ209" s="243"/>
      <c r="ULK209" s="243"/>
      <c r="ULL209" s="243"/>
      <c r="ULM209" s="243"/>
      <c r="ULN209" s="243"/>
      <c r="ULO209" s="243"/>
      <c r="ULP209" s="243"/>
      <c r="ULQ209" s="243"/>
      <c r="ULR209" s="243"/>
      <c r="ULS209" s="243"/>
      <c r="ULT209" s="243"/>
      <c r="ULU209" s="243"/>
      <c r="ULV209" s="243"/>
      <c r="ULW209" s="243"/>
      <c r="ULX209" s="243"/>
      <c r="ULY209" s="243"/>
      <c r="ULZ209" s="243"/>
      <c r="UMA209" s="243"/>
      <c r="UMB209" s="243"/>
      <c r="UMC209" s="243"/>
      <c r="UMD209" s="243"/>
      <c r="UME209" s="243"/>
      <c r="UMF209" s="243"/>
      <c r="UMG209" s="243"/>
      <c r="UMH209" s="243"/>
      <c r="UMI209" s="243"/>
      <c r="UMJ209" s="243"/>
      <c r="UMK209" s="243"/>
      <c r="UML209" s="243"/>
      <c r="UMM209" s="243"/>
      <c r="UMN209" s="243"/>
      <c r="UMO209" s="243"/>
      <c r="UMP209" s="243"/>
      <c r="UMQ209" s="243"/>
      <c r="UMR209" s="243"/>
      <c r="UMS209" s="243"/>
      <c r="UMT209" s="243"/>
      <c r="UMU209" s="243"/>
      <c r="UMV209" s="243"/>
      <c r="UMW209" s="243"/>
      <c r="UMX209" s="243"/>
      <c r="UMY209" s="243"/>
      <c r="UMZ209" s="243"/>
      <c r="UNA209" s="243"/>
      <c r="UNB209" s="243"/>
      <c r="UNC209" s="243"/>
      <c r="UND209" s="243"/>
      <c r="UNE209" s="243"/>
      <c r="UNF209" s="243"/>
      <c r="UNG209" s="243"/>
      <c r="UNH209" s="243"/>
      <c r="UNI209" s="243"/>
      <c r="UNJ209" s="243"/>
      <c r="UNK209" s="243"/>
      <c r="UNL209" s="243"/>
      <c r="UNM209" s="243"/>
      <c r="UNN209" s="243"/>
      <c r="UNO209" s="243"/>
      <c r="UNP209" s="243"/>
      <c r="UNQ209" s="243"/>
      <c r="UNR209" s="243"/>
      <c r="UNS209" s="243"/>
      <c r="UNT209" s="243"/>
      <c r="UNU209" s="243"/>
      <c r="UNV209" s="243"/>
      <c r="UNW209" s="243"/>
      <c r="UNX209" s="243"/>
      <c r="UNY209" s="243"/>
      <c r="UNZ209" s="243"/>
      <c r="UOA209" s="243"/>
      <c r="UOB209" s="243"/>
      <c r="UOC209" s="243"/>
      <c r="UOD209" s="243"/>
      <c r="UOE209" s="243"/>
      <c r="UOF209" s="243"/>
      <c r="UOG209" s="243"/>
      <c r="UOH209" s="243"/>
      <c r="UOI209" s="243"/>
      <c r="UOJ209" s="243"/>
      <c r="UOK209" s="243"/>
      <c r="UOL209" s="243"/>
      <c r="UOM209" s="243"/>
      <c r="UON209" s="243"/>
      <c r="UOO209" s="243"/>
      <c r="UOP209" s="243"/>
      <c r="UOQ209" s="243"/>
      <c r="UOR209" s="243"/>
      <c r="UOS209" s="243"/>
      <c r="UOT209" s="243"/>
      <c r="UOU209" s="243"/>
      <c r="UOV209" s="243"/>
      <c r="UOW209" s="243"/>
      <c r="UOX209" s="243"/>
      <c r="UOY209" s="243"/>
      <c r="UOZ209" s="243"/>
      <c r="UPA209" s="243"/>
      <c r="UPB209" s="243"/>
      <c r="UPC209" s="243"/>
      <c r="UPD209" s="243"/>
      <c r="UPE209" s="243"/>
      <c r="UPF209" s="243"/>
      <c r="UPG209" s="243"/>
      <c r="UPH209" s="243"/>
      <c r="UPI209" s="243"/>
      <c r="UPJ209" s="243"/>
      <c r="UPK209" s="243"/>
      <c r="UPL209" s="243"/>
      <c r="UPM209" s="243"/>
      <c r="UPN209" s="243"/>
      <c r="UPO209" s="243"/>
      <c r="UPP209" s="243"/>
      <c r="UPQ209" s="243"/>
      <c r="UPR209" s="243"/>
      <c r="UPS209" s="243"/>
      <c r="UPT209" s="243"/>
      <c r="UPU209" s="243"/>
      <c r="UPV209" s="243"/>
      <c r="UPW209" s="243"/>
      <c r="UPX209" s="243"/>
      <c r="UPY209" s="243"/>
      <c r="UPZ209" s="243"/>
      <c r="UQA209" s="243"/>
      <c r="UQB209" s="243"/>
      <c r="UQC209" s="243"/>
      <c r="UQD209" s="243"/>
      <c r="UQE209" s="243"/>
      <c r="UQF209" s="243"/>
      <c r="UQG209" s="243"/>
      <c r="UQH209" s="243"/>
      <c r="UQI209" s="243"/>
      <c r="UQJ209" s="243"/>
      <c r="UQK209" s="243"/>
      <c r="UQL209" s="243"/>
      <c r="UQM209" s="243"/>
      <c r="UQN209" s="243"/>
      <c r="UQO209" s="243"/>
      <c r="UQP209" s="243"/>
      <c r="UQQ209" s="243"/>
      <c r="UQR209" s="243"/>
      <c r="UQS209" s="243"/>
      <c r="UQT209" s="243"/>
      <c r="UQU209" s="243"/>
      <c r="UQV209" s="243"/>
      <c r="UQW209" s="243"/>
      <c r="UQX209" s="243"/>
      <c r="UQY209" s="243"/>
      <c r="UQZ209" s="243"/>
      <c r="URA209" s="243"/>
      <c r="URB209" s="243"/>
      <c r="URC209" s="243"/>
      <c r="URD209" s="243"/>
      <c r="URE209" s="243"/>
      <c r="URF209" s="243"/>
      <c r="URG209" s="243"/>
      <c r="URH209" s="243"/>
      <c r="URI209" s="243"/>
      <c r="URJ209" s="243"/>
      <c r="URK209" s="243"/>
      <c r="URL209" s="243"/>
      <c r="URM209" s="243"/>
      <c r="URN209" s="243"/>
      <c r="URO209" s="243"/>
      <c r="URP209" s="243"/>
      <c r="URQ209" s="243"/>
      <c r="URR209" s="243"/>
      <c r="URS209" s="243"/>
      <c r="URT209" s="243"/>
      <c r="URU209" s="243"/>
      <c r="URV209" s="243"/>
      <c r="URW209" s="243"/>
      <c r="URX209" s="243"/>
      <c r="URY209" s="243"/>
      <c r="URZ209" s="243"/>
      <c r="USA209" s="243"/>
      <c r="USB209" s="243"/>
      <c r="USC209" s="243"/>
      <c r="USD209" s="243"/>
      <c r="USE209" s="243"/>
      <c r="USF209" s="243"/>
      <c r="USG209" s="243"/>
      <c r="USH209" s="243"/>
      <c r="USI209" s="243"/>
      <c r="USJ209" s="243"/>
      <c r="USK209" s="243"/>
      <c r="USL209" s="243"/>
      <c r="USM209" s="243"/>
      <c r="USN209" s="243"/>
      <c r="USO209" s="243"/>
      <c r="USP209" s="243"/>
      <c r="USQ209" s="243"/>
      <c r="USR209" s="243"/>
      <c r="USS209" s="243"/>
      <c r="UST209" s="243"/>
      <c r="USU209" s="243"/>
      <c r="USV209" s="243"/>
      <c r="USW209" s="243"/>
      <c r="USX209" s="243"/>
      <c r="USY209" s="243"/>
      <c r="USZ209" s="243"/>
      <c r="UTA209" s="243"/>
      <c r="UTB209" s="243"/>
      <c r="UTC209" s="243"/>
      <c r="UTD209" s="243"/>
      <c r="UTE209" s="243"/>
      <c r="UTF209" s="243"/>
      <c r="UTG209" s="243"/>
      <c r="UTH209" s="243"/>
      <c r="UTI209" s="243"/>
      <c r="UTJ209" s="243"/>
      <c r="UTK209" s="243"/>
      <c r="UTL209" s="243"/>
      <c r="UTM209" s="243"/>
      <c r="UTN209" s="243"/>
      <c r="UTO209" s="243"/>
      <c r="UTP209" s="243"/>
      <c r="UTQ209" s="243"/>
      <c r="UTR209" s="243"/>
      <c r="UTS209" s="243"/>
      <c r="UTT209" s="243"/>
      <c r="UTU209" s="243"/>
      <c r="UTV209" s="243"/>
      <c r="UTW209" s="243"/>
      <c r="UTX209" s="243"/>
      <c r="UTY209" s="243"/>
      <c r="UTZ209" s="243"/>
      <c r="UUA209" s="243"/>
      <c r="UUB209" s="243"/>
      <c r="UUC209" s="243"/>
      <c r="UUD209" s="243"/>
      <c r="UUE209" s="243"/>
      <c r="UUF209" s="243"/>
      <c r="UUG209" s="243"/>
      <c r="UUH209" s="243"/>
      <c r="UUI209" s="243"/>
      <c r="UUJ209" s="243"/>
      <c r="UUK209" s="243"/>
      <c r="UUL209" s="243"/>
      <c r="UUM209" s="243"/>
      <c r="UUN209" s="243"/>
      <c r="UUO209" s="243"/>
      <c r="UUP209" s="243"/>
      <c r="UUQ209" s="243"/>
      <c r="UUR209" s="243"/>
      <c r="UUS209" s="243"/>
      <c r="UUT209" s="243"/>
      <c r="UUU209" s="243"/>
      <c r="UUV209" s="243"/>
      <c r="UUW209" s="243"/>
      <c r="UUX209" s="243"/>
      <c r="UUY209" s="243"/>
      <c r="UUZ209" s="243"/>
      <c r="UVA209" s="243"/>
      <c r="UVB209" s="243"/>
      <c r="UVC209" s="243"/>
      <c r="UVD209" s="243"/>
      <c r="UVE209" s="243"/>
      <c r="UVF209" s="243"/>
      <c r="UVG209" s="243"/>
      <c r="UVH209" s="243"/>
      <c r="UVI209" s="243"/>
      <c r="UVJ209" s="243"/>
      <c r="UVK209" s="243"/>
      <c r="UVL209" s="243"/>
      <c r="UVM209" s="243"/>
      <c r="UVN209" s="243"/>
      <c r="UVO209" s="243"/>
      <c r="UVP209" s="243"/>
      <c r="UVQ209" s="243"/>
      <c r="UVR209" s="243"/>
      <c r="UVS209" s="243"/>
      <c r="UVT209" s="243"/>
      <c r="UVU209" s="243"/>
      <c r="UVV209" s="243"/>
      <c r="UVW209" s="243"/>
      <c r="UVX209" s="243"/>
      <c r="UVY209" s="243"/>
      <c r="UVZ209" s="243"/>
      <c r="UWA209" s="243"/>
      <c r="UWB209" s="243"/>
      <c r="UWC209" s="243"/>
      <c r="UWD209" s="243"/>
      <c r="UWE209" s="243"/>
      <c r="UWF209" s="243"/>
      <c r="UWG209" s="243"/>
      <c r="UWH209" s="243"/>
      <c r="UWI209" s="243"/>
      <c r="UWJ209" s="243"/>
      <c r="UWK209" s="243"/>
      <c r="UWL209" s="243"/>
      <c r="UWM209" s="243"/>
      <c r="UWN209" s="243"/>
      <c r="UWO209" s="243"/>
      <c r="UWP209" s="243"/>
      <c r="UWQ209" s="243"/>
      <c r="UWR209" s="243"/>
      <c r="UWS209" s="243"/>
      <c r="UWT209" s="243"/>
      <c r="UWU209" s="243"/>
      <c r="UWV209" s="243"/>
      <c r="UWW209" s="243"/>
      <c r="UWX209" s="243"/>
      <c r="UWY209" s="243"/>
      <c r="UWZ209" s="243"/>
      <c r="UXA209" s="243"/>
      <c r="UXB209" s="243"/>
      <c r="UXC209" s="243"/>
      <c r="UXD209" s="243"/>
      <c r="UXE209" s="243"/>
      <c r="UXF209" s="243"/>
      <c r="UXG209" s="243"/>
      <c r="UXH209" s="243"/>
      <c r="UXI209" s="243"/>
      <c r="UXJ209" s="243"/>
      <c r="UXK209" s="243"/>
      <c r="UXL209" s="243"/>
      <c r="UXM209" s="243"/>
      <c r="UXN209" s="243"/>
      <c r="UXO209" s="243"/>
      <c r="UXP209" s="243"/>
      <c r="UXQ209" s="243"/>
      <c r="UXR209" s="243"/>
      <c r="UXS209" s="243"/>
      <c r="UXT209" s="243"/>
      <c r="UXU209" s="243"/>
      <c r="UXV209" s="243"/>
      <c r="UXW209" s="243"/>
      <c r="UXX209" s="243"/>
      <c r="UXY209" s="243"/>
      <c r="UXZ209" s="243"/>
      <c r="UYA209" s="243"/>
      <c r="UYB209" s="243"/>
      <c r="UYC209" s="243"/>
      <c r="UYD209" s="243"/>
      <c r="UYE209" s="243"/>
      <c r="UYF209" s="243"/>
      <c r="UYG209" s="243"/>
      <c r="UYH209" s="243"/>
      <c r="UYI209" s="243"/>
      <c r="UYJ209" s="243"/>
      <c r="UYK209" s="243"/>
      <c r="UYL209" s="243"/>
      <c r="UYM209" s="243"/>
      <c r="UYN209" s="243"/>
      <c r="UYO209" s="243"/>
      <c r="UYP209" s="243"/>
      <c r="UYQ209" s="243"/>
      <c r="UYR209" s="243"/>
      <c r="UYS209" s="243"/>
      <c r="UYT209" s="243"/>
      <c r="UYU209" s="243"/>
      <c r="UYV209" s="243"/>
      <c r="UYW209" s="243"/>
      <c r="UYX209" s="243"/>
      <c r="UYY209" s="243"/>
      <c r="UYZ209" s="243"/>
      <c r="UZA209" s="243"/>
      <c r="UZB209" s="243"/>
      <c r="UZC209" s="243"/>
      <c r="UZD209" s="243"/>
      <c r="UZE209" s="243"/>
      <c r="UZF209" s="243"/>
      <c r="UZG209" s="243"/>
      <c r="UZH209" s="243"/>
      <c r="UZI209" s="243"/>
      <c r="UZJ209" s="243"/>
      <c r="UZK209" s="243"/>
      <c r="UZL209" s="243"/>
      <c r="UZM209" s="243"/>
      <c r="UZN209" s="243"/>
      <c r="UZO209" s="243"/>
      <c r="UZP209" s="243"/>
      <c r="UZQ209" s="243"/>
      <c r="UZR209" s="243"/>
      <c r="UZS209" s="243"/>
      <c r="UZT209" s="243"/>
      <c r="UZU209" s="243"/>
      <c r="UZV209" s="243"/>
      <c r="UZW209" s="243"/>
      <c r="UZX209" s="243"/>
      <c r="UZY209" s="243"/>
      <c r="UZZ209" s="243"/>
      <c r="VAA209" s="243"/>
      <c r="VAB209" s="243"/>
      <c r="VAC209" s="243"/>
      <c r="VAD209" s="243"/>
      <c r="VAE209" s="243"/>
      <c r="VAF209" s="243"/>
      <c r="VAG209" s="243"/>
      <c r="VAH209" s="243"/>
      <c r="VAI209" s="243"/>
      <c r="VAJ209" s="243"/>
      <c r="VAK209" s="243"/>
      <c r="VAL209" s="243"/>
      <c r="VAM209" s="243"/>
      <c r="VAN209" s="243"/>
      <c r="VAO209" s="243"/>
      <c r="VAP209" s="243"/>
      <c r="VAQ209" s="243"/>
      <c r="VAR209" s="243"/>
      <c r="VAS209" s="243"/>
      <c r="VAT209" s="243"/>
      <c r="VAU209" s="243"/>
      <c r="VAV209" s="243"/>
      <c r="VAW209" s="243"/>
      <c r="VAX209" s="243"/>
      <c r="VAY209" s="243"/>
      <c r="VAZ209" s="243"/>
      <c r="VBA209" s="243"/>
      <c r="VBB209" s="243"/>
      <c r="VBC209" s="243"/>
      <c r="VBD209" s="243"/>
      <c r="VBE209" s="243"/>
      <c r="VBF209" s="243"/>
      <c r="VBG209" s="243"/>
      <c r="VBH209" s="243"/>
      <c r="VBI209" s="243"/>
      <c r="VBJ209" s="243"/>
      <c r="VBK209" s="243"/>
      <c r="VBL209" s="243"/>
      <c r="VBM209" s="243"/>
      <c r="VBN209" s="243"/>
      <c r="VBO209" s="243"/>
      <c r="VBP209" s="243"/>
      <c r="VBQ209" s="243"/>
      <c r="VBR209" s="243"/>
      <c r="VBS209" s="243"/>
      <c r="VBT209" s="243"/>
      <c r="VBU209" s="243"/>
      <c r="VBV209" s="243"/>
      <c r="VBW209" s="243"/>
      <c r="VBX209" s="243"/>
      <c r="VBY209" s="243"/>
      <c r="VBZ209" s="243"/>
      <c r="VCA209" s="243"/>
      <c r="VCB209" s="243"/>
      <c r="VCC209" s="243"/>
      <c r="VCD209" s="243"/>
      <c r="VCE209" s="243"/>
      <c r="VCF209" s="243"/>
      <c r="VCG209" s="243"/>
      <c r="VCH209" s="243"/>
      <c r="VCI209" s="243"/>
      <c r="VCJ209" s="243"/>
      <c r="VCK209" s="243"/>
      <c r="VCL209" s="243"/>
      <c r="VCM209" s="243"/>
      <c r="VCN209" s="243"/>
      <c r="VCO209" s="243"/>
      <c r="VCP209" s="243"/>
      <c r="VCQ209" s="243"/>
      <c r="VCR209" s="243"/>
      <c r="VCS209" s="243"/>
      <c r="VCT209" s="243"/>
      <c r="VCU209" s="243"/>
      <c r="VCV209" s="243"/>
      <c r="VCW209" s="243"/>
      <c r="VCX209" s="243"/>
      <c r="VCY209" s="243"/>
      <c r="VCZ209" s="243"/>
      <c r="VDA209" s="243"/>
      <c r="VDB209" s="243"/>
      <c r="VDC209" s="243"/>
      <c r="VDD209" s="243"/>
      <c r="VDE209" s="243"/>
      <c r="VDF209" s="243"/>
      <c r="VDG209" s="243"/>
      <c r="VDH209" s="243"/>
      <c r="VDI209" s="243"/>
      <c r="VDJ209" s="243"/>
      <c r="VDK209" s="243"/>
      <c r="VDL209" s="243"/>
      <c r="VDM209" s="243"/>
      <c r="VDN209" s="243"/>
      <c r="VDO209" s="243"/>
      <c r="VDP209" s="243"/>
      <c r="VDQ209" s="243"/>
      <c r="VDR209" s="243"/>
      <c r="VDS209" s="243"/>
      <c r="VDT209" s="243"/>
      <c r="VDU209" s="243"/>
      <c r="VDV209" s="243"/>
      <c r="VDW209" s="243"/>
      <c r="VDX209" s="243"/>
      <c r="VDY209" s="243"/>
      <c r="VDZ209" s="243"/>
      <c r="VEA209" s="243"/>
      <c r="VEB209" s="243"/>
      <c r="VEC209" s="243"/>
      <c r="VED209" s="243"/>
      <c r="VEE209" s="243"/>
      <c r="VEF209" s="243"/>
      <c r="VEG209" s="243"/>
      <c r="VEH209" s="243"/>
      <c r="VEI209" s="243"/>
      <c r="VEJ209" s="243"/>
      <c r="VEK209" s="243"/>
      <c r="VEL209" s="243"/>
      <c r="VEM209" s="243"/>
      <c r="VEN209" s="243"/>
      <c r="VEO209" s="243"/>
      <c r="VEP209" s="243"/>
      <c r="VEQ209" s="243"/>
      <c r="VER209" s="243"/>
      <c r="VES209" s="243"/>
      <c r="VET209" s="243"/>
      <c r="VEU209" s="243"/>
      <c r="VEV209" s="243"/>
      <c r="VEW209" s="243"/>
      <c r="VEX209" s="243"/>
      <c r="VEY209" s="243"/>
      <c r="VEZ209" s="243"/>
      <c r="VFA209" s="243"/>
      <c r="VFB209" s="243"/>
      <c r="VFC209" s="243"/>
      <c r="VFD209" s="243"/>
      <c r="VFE209" s="243"/>
      <c r="VFF209" s="243"/>
      <c r="VFG209" s="243"/>
      <c r="VFH209" s="243"/>
      <c r="VFI209" s="243"/>
      <c r="VFJ209" s="243"/>
      <c r="VFK209" s="243"/>
      <c r="VFL209" s="243"/>
      <c r="VFM209" s="243"/>
      <c r="VFN209" s="243"/>
      <c r="VFO209" s="243"/>
      <c r="VFP209" s="243"/>
      <c r="VFQ209" s="243"/>
      <c r="VFR209" s="243"/>
      <c r="VFS209" s="243"/>
      <c r="VFT209" s="243"/>
      <c r="VFU209" s="243"/>
      <c r="VFV209" s="243"/>
      <c r="VFW209" s="243"/>
      <c r="VFX209" s="243"/>
      <c r="VFY209" s="243"/>
      <c r="VFZ209" s="243"/>
      <c r="VGA209" s="243"/>
      <c r="VGB209" s="243"/>
      <c r="VGC209" s="243"/>
      <c r="VGD209" s="243"/>
      <c r="VGE209" s="243"/>
      <c r="VGF209" s="243"/>
      <c r="VGG209" s="243"/>
      <c r="VGH209" s="243"/>
      <c r="VGI209" s="243"/>
      <c r="VGJ209" s="243"/>
      <c r="VGK209" s="243"/>
      <c r="VGL209" s="243"/>
      <c r="VGM209" s="243"/>
      <c r="VGN209" s="243"/>
      <c r="VGO209" s="243"/>
      <c r="VGP209" s="243"/>
      <c r="VGQ209" s="243"/>
      <c r="VGR209" s="243"/>
      <c r="VGS209" s="243"/>
      <c r="VGT209" s="243"/>
      <c r="VGU209" s="243"/>
      <c r="VGV209" s="243"/>
      <c r="VGW209" s="243"/>
      <c r="VGX209" s="243"/>
      <c r="VGY209" s="243"/>
      <c r="VGZ209" s="243"/>
      <c r="VHA209" s="243"/>
      <c r="VHB209" s="243"/>
      <c r="VHC209" s="243"/>
      <c r="VHD209" s="243"/>
      <c r="VHE209" s="243"/>
      <c r="VHF209" s="243"/>
      <c r="VHG209" s="243"/>
      <c r="VHH209" s="243"/>
      <c r="VHI209" s="243"/>
      <c r="VHJ209" s="243"/>
      <c r="VHK209" s="243"/>
      <c r="VHL209" s="243"/>
      <c r="VHM209" s="243"/>
      <c r="VHN209" s="243"/>
      <c r="VHO209" s="243"/>
      <c r="VHP209" s="243"/>
      <c r="VHQ209" s="243"/>
      <c r="VHR209" s="243"/>
      <c r="VHS209" s="243"/>
      <c r="VHT209" s="243"/>
      <c r="VHU209" s="243"/>
      <c r="VHV209" s="243"/>
      <c r="VHW209" s="243"/>
      <c r="VHX209" s="243"/>
      <c r="VHY209" s="243"/>
      <c r="VHZ209" s="243"/>
      <c r="VIA209" s="243"/>
      <c r="VIB209" s="243"/>
      <c r="VIC209" s="243"/>
      <c r="VID209" s="243"/>
      <c r="VIE209" s="243"/>
      <c r="VIF209" s="243"/>
      <c r="VIG209" s="243"/>
      <c r="VIH209" s="243"/>
      <c r="VII209" s="243"/>
      <c r="VIJ209" s="243"/>
      <c r="VIK209" s="243"/>
      <c r="VIL209" s="243"/>
      <c r="VIM209" s="243"/>
      <c r="VIN209" s="243"/>
      <c r="VIO209" s="243"/>
      <c r="VIP209" s="243"/>
      <c r="VIQ209" s="243"/>
      <c r="VIR209" s="243"/>
      <c r="VIS209" s="243"/>
      <c r="VIT209" s="243"/>
      <c r="VIU209" s="243"/>
      <c r="VIV209" s="243"/>
      <c r="VIW209" s="243"/>
      <c r="VIX209" s="243"/>
      <c r="VIY209" s="243"/>
      <c r="VIZ209" s="243"/>
      <c r="VJA209" s="243"/>
      <c r="VJB209" s="243"/>
      <c r="VJC209" s="243"/>
      <c r="VJD209" s="243"/>
      <c r="VJE209" s="243"/>
      <c r="VJF209" s="243"/>
      <c r="VJG209" s="243"/>
      <c r="VJH209" s="243"/>
      <c r="VJI209" s="243"/>
      <c r="VJJ209" s="243"/>
      <c r="VJK209" s="243"/>
      <c r="VJL209" s="243"/>
      <c r="VJM209" s="243"/>
      <c r="VJN209" s="243"/>
      <c r="VJO209" s="243"/>
      <c r="VJP209" s="243"/>
      <c r="VJQ209" s="243"/>
      <c r="VJR209" s="243"/>
      <c r="VJS209" s="243"/>
      <c r="VJT209" s="243"/>
      <c r="VJU209" s="243"/>
      <c r="VJV209" s="243"/>
      <c r="VJW209" s="243"/>
      <c r="VJX209" s="243"/>
      <c r="VJY209" s="243"/>
      <c r="VJZ209" s="243"/>
      <c r="VKA209" s="243"/>
      <c r="VKB209" s="243"/>
      <c r="VKC209" s="243"/>
      <c r="VKD209" s="243"/>
      <c r="VKE209" s="243"/>
      <c r="VKF209" s="243"/>
      <c r="VKG209" s="243"/>
      <c r="VKH209" s="243"/>
      <c r="VKI209" s="243"/>
      <c r="VKJ209" s="243"/>
      <c r="VKK209" s="243"/>
      <c r="VKL209" s="243"/>
      <c r="VKM209" s="243"/>
      <c r="VKN209" s="243"/>
      <c r="VKO209" s="243"/>
      <c r="VKP209" s="243"/>
      <c r="VKQ209" s="243"/>
      <c r="VKR209" s="243"/>
      <c r="VKS209" s="243"/>
      <c r="VKT209" s="243"/>
      <c r="VKU209" s="243"/>
      <c r="VKV209" s="243"/>
      <c r="VKW209" s="243"/>
      <c r="VKX209" s="243"/>
      <c r="VKY209" s="243"/>
      <c r="VKZ209" s="243"/>
      <c r="VLA209" s="243"/>
      <c r="VLB209" s="243"/>
      <c r="VLC209" s="243"/>
      <c r="VLD209" s="243"/>
      <c r="VLE209" s="243"/>
      <c r="VLF209" s="243"/>
      <c r="VLG209" s="243"/>
      <c r="VLH209" s="243"/>
      <c r="VLI209" s="243"/>
      <c r="VLJ209" s="243"/>
      <c r="VLK209" s="243"/>
      <c r="VLL209" s="243"/>
      <c r="VLM209" s="243"/>
      <c r="VLN209" s="243"/>
      <c r="VLO209" s="243"/>
      <c r="VLP209" s="243"/>
      <c r="VLQ209" s="243"/>
      <c r="VLR209" s="243"/>
      <c r="VLS209" s="243"/>
      <c r="VLT209" s="243"/>
      <c r="VLU209" s="243"/>
      <c r="VLV209" s="243"/>
      <c r="VLW209" s="243"/>
      <c r="VLX209" s="243"/>
      <c r="VLY209" s="243"/>
      <c r="VLZ209" s="243"/>
      <c r="VMA209" s="243"/>
      <c r="VMB209" s="243"/>
      <c r="VMC209" s="243"/>
      <c r="VMD209" s="243"/>
      <c r="VME209" s="243"/>
      <c r="VMF209" s="243"/>
      <c r="VMG209" s="243"/>
      <c r="VMH209" s="243"/>
      <c r="VMI209" s="243"/>
      <c r="VMJ209" s="243"/>
      <c r="VMK209" s="243"/>
      <c r="VML209" s="243"/>
      <c r="VMM209" s="243"/>
      <c r="VMN209" s="243"/>
      <c r="VMO209" s="243"/>
      <c r="VMP209" s="243"/>
      <c r="VMQ209" s="243"/>
      <c r="VMR209" s="243"/>
      <c r="VMS209" s="243"/>
      <c r="VMT209" s="243"/>
      <c r="VMU209" s="243"/>
      <c r="VMV209" s="243"/>
      <c r="VMW209" s="243"/>
      <c r="VMX209" s="243"/>
      <c r="VMY209" s="243"/>
      <c r="VMZ209" s="243"/>
      <c r="VNA209" s="243"/>
      <c r="VNB209" s="243"/>
      <c r="VNC209" s="243"/>
      <c r="VND209" s="243"/>
      <c r="VNE209" s="243"/>
      <c r="VNF209" s="243"/>
      <c r="VNG209" s="243"/>
      <c r="VNH209" s="243"/>
      <c r="VNI209" s="243"/>
      <c r="VNJ209" s="243"/>
      <c r="VNK209" s="243"/>
      <c r="VNL209" s="243"/>
      <c r="VNM209" s="243"/>
      <c r="VNN209" s="243"/>
      <c r="VNO209" s="243"/>
      <c r="VNP209" s="243"/>
      <c r="VNQ209" s="243"/>
      <c r="VNR209" s="243"/>
      <c r="VNS209" s="243"/>
      <c r="VNT209" s="243"/>
      <c r="VNU209" s="243"/>
      <c r="VNV209" s="243"/>
      <c r="VNW209" s="243"/>
      <c r="VNX209" s="243"/>
      <c r="VNY209" s="243"/>
      <c r="VNZ209" s="243"/>
      <c r="VOA209" s="243"/>
      <c r="VOB209" s="243"/>
      <c r="VOC209" s="243"/>
      <c r="VOD209" s="243"/>
      <c r="VOE209" s="243"/>
      <c r="VOF209" s="243"/>
      <c r="VOG209" s="243"/>
      <c r="VOH209" s="243"/>
      <c r="VOI209" s="243"/>
      <c r="VOJ209" s="243"/>
      <c r="VOK209" s="243"/>
      <c r="VOL209" s="243"/>
      <c r="VOM209" s="243"/>
      <c r="VON209" s="243"/>
      <c r="VOO209" s="243"/>
      <c r="VOP209" s="243"/>
      <c r="VOQ209" s="243"/>
      <c r="VOR209" s="243"/>
      <c r="VOS209" s="243"/>
      <c r="VOT209" s="243"/>
      <c r="VOU209" s="243"/>
      <c r="VOV209" s="243"/>
      <c r="VOW209" s="243"/>
      <c r="VOX209" s="243"/>
      <c r="VOY209" s="243"/>
      <c r="VOZ209" s="243"/>
      <c r="VPA209" s="243"/>
      <c r="VPB209" s="243"/>
      <c r="VPC209" s="243"/>
      <c r="VPD209" s="243"/>
      <c r="VPE209" s="243"/>
      <c r="VPF209" s="243"/>
      <c r="VPG209" s="243"/>
      <c r="VPH209" s="243"/>
      <c r="VPI209" s="243"/>
      <c r="VPJ209" s="243"/>
      <c r="VPK209" s="243"/>
      <c r="VPL209" s="243"/>
      <c r="VPM209" s="243"/>
      <c r="VPN209" s="243"/>
      <c r="VPO209" s="243"/>
      <c r="VPP209" s="243"/>
      <c r="VPQ209" s="243"/>
      <c r="VPR209" s="243"/>
      <c r="VPS209" s="243"/>
      <c r="VPT209" s="243"/>
      <c r="VPU209" s="243"/>
      <c r="VPV209" s="243"/>
      <c r="VPW209" s="243"/>
      <c r="VPX209" s="243"/>
      <c r="VPY209" s="243"/>
      <c r="VPZ209" s="243"/>
      <c r="VQA209" s="243"/>
      <c r="VQB209" s="243"/>
      <c r="VQC209" s="243"/>
      <c r="VQD209" s="243"/>
      <c r="VQE209" s="243"/>
      <c r="VQF209" s="243"/>
      <c r="VQG209" s="243"/>
      <c r="VQH209" s="243"/>
      <c r="VQI209" s="243"/>
      <c r="VQJ209" s="243"/>
      <c r="VQK209" s="243"/>
      <c r="VQL209" s="243"/>
      <c r="VQM209" s="243"/>
      <c r="VQN209" s="243"/>
      <c r="VQO209" s="243"/>
      <c r="VQP209" s="243"/>
      <c r="VQQ209" s="243"/>
      <c r="VQR209" s="243"/>
      <c r="VQS209" s="243"/>
      <c r="VQT209" s="243"/>
      <c r="VQU209" s="243"/>
      <c r="VQV209" s="243"/>
      <c r="VQW209" s="243"/>
      <c r="VQX209" s="243"/>
      <c r="VQY209" s="243"/>
      <c r="VQZ209" s="243"/>
      <c r="VRA209" s="243"/>
      <c r="VRB209" s="243"/>
      <c r="VRC209" s="243"/>
      <c r="VRD209" s="243"/>
      <c r="VRE209" s="243"/>
      <c r="VRF209" s="243"/>
      <c r="VRG209" s="243"/>
      <c r="VRH209" s="243"/>
      <c r="VRI209" s="243"/>
      <c r="VRJ209" s="243"/>
      <c r="VRK209" s="243"/>
      <c r="VRL209" s="243"/>
      <c r="VRM209" s="243"/>
      <c r="VRN209" s="243"/>
      <c r="VRO209" s="243"/>
      <c r="VRP209" s="243"/>
      <c r="VRQ209" s="243"/>
      <c r="VRR209" s="243"/>
      <c r="VRS209" s="243"/>
      <c r="VRT209" s="243"/>
      <c r="VRU209" s="243"/>
      <c r="VRV209" s="243"/>
      <c r="VRW209" s="243"/>
      <c r="VRX209" s="243"/>
      <c r="VRY209" s="243"/>
      <c r="VRZ209" s="243"/>
      <c r="VSA209" s="243"/>
      <c r="VSB209" s="243"/>
      <c r="VSC209" s="243"/>
      <c r="VSD209" s="243"/>
      <c r="VSE209" s="243"/>
      <c r="VSF209" s="243"/>
      <c r="VSG209" s="243"/>
      <c r="VSH209" s="243"/>
      <c r="VSI209" s="243"/>
      <c r="VSJ209" s="243"/>
      <c r="VSK209" s="243"/>
      <c r="VSL209" s="243"/>
      <c r="VSM209" s="243"/>
      <c r="VSN209" s="243"/>
      <c r="VSO209" s="243"/>
      <c r="VSP209" s="243"/>
      <c r="VSQ209" s="243"/>
      <c r="VSR209" s="243"/>
      <c r="VSS209" s="243"/>
      <c r="VST209" s="243"/>
      <c r="VSU209" s="243"/>
      <c r="VSV209" s="243"/>
      <c r="VSW209" s="243"/>
      <c r="VSX209" s="243"/>
      <c r="VSY209" s="243"/>
      <c r="VSZ209" s="243"/>
      <c r="VTA209" s="243"/>
      <c r="VTB209" s="243"/>
      <c r="VTC209" s="243"/>
      <c r="VTD209" s="243"/>
      <c r="VTE209" s="243"/>
      <c r="VTF209" s="243"/>
      <c r="VTG209" s="243"/>
      <c r="VTH209" s="243"/>
      <c r="VTI209" s="243"/>
      <c r="VTJ209" s="243"/>
      <c r="VTK209" s="243"/>
      <c r="VTL209" s="243"/>
      <c r="VTM209" s="243"/>
      <c r="VTN209" s="243"/>
      <c r="VTO209" s="243"/>
      <c r="VTP209" s="243"/>
      <c r="VTQ209" s="243"/>
      <c r="VTR209" s="243"/>
      <c r="VTS209" s="243"/>
      <c r="VTT209" s="243"/>
      <c r="VTU209" s="243"/>
      <c r="VTV209" s="243"/>
      <c r="VTW209" s="243"/>
      <c r="VTX209" s="243"/>
      <c r="VTY209" s="243"/>
      <c r="VTZ209" s="243"/>
      <c r="VUA209" s="243"/>
      <c r="VUB209" s="243"/>
      <c r="VUC209" s="243"/>
      <c r="VUD209" s="243"/>
      <c r="VUE209" s="243"/>
      <c r="VUF209" s="243"/>
      <c r="VUG209" s="243"/>
      <c r="VUH209" s="243"/>
      <c r="VUI209" s="243"/>
      <c r="VUJ209" s="243"/>
      <c r="VUK209" s="243"/>
      <c r="VUL209" s="243"/>
      <c r="VUM209" s="243"/>
      <c r="VUN209" s="243"/>
      <c r="VUO209" s="243"/>
      <c r="VUP209" s="243"/>
      <c r="VUQ209" s="243"/>
      <c r="VUR209" s="243"/>
      <c r="VUS209" s="243"/>
      <c r="VUT209" s="243"/>
      <c r="VUU209" s="243"/>
      <c r="VUV209" s="243"/>
      <c r="VUW209" s="243"/>
      <c r="VUX209" s="243"/>
      <c r="VUY209" s="243"/>
      <c r="VUZ209" s="243"/>
      <c r="VVA209" s="243"/>
      <c r="VVB209" s="243"/>
      <c r="VVC209" s="243"/>
      <c r="VVD209" s="243"/>
      <c r="VVE209" s="243"/>
      <c r="VVF209" s="243"/>
      <c r="VVG209" s="243"/>
      <c r="VVH209" s="243"/>
      <c r="VVI209" s="243"/>
      <c r="VVJ209" s="243"/>
      <c r="VVK209" s="243"/>
      <c r="VVL209" s="243"/>
      <c r="VVM209" s="243"/>
      <c r="VVN209" s="243"/>
      <c r="VVO209" s="243"/>
      <c r="VVP209" s="243"/>
      <c r="VVQ209" s="243"/>
      <c r="VVR209" s="243"/>
      <c r="VVS209" s="243"/>
      <c r="VVT209" s="243"/>
      <c r="VVU209" s="243"/>
      <c r="VVV209" s="243"/>
      <c r="VVW209" s="243"/>
      <c r="VVX209" s="243"/>
      <c r="VVY209" s="243"/>
      <c r="VVZ209" s="243"/>
      <c r="VWA209" s="243"/>
      <c r="VWB209" s="243"/>
      <c r="VWC209" s="243"/>
      <c r="VWD209" s="243"/>
      <c r="VWE209" s="243"/>
      <c r="VWF209" s="243"/>
      <c r="VWG209" s="243"/>
      <c r="VWH209" s="243"/>
      <c r="VWI209" s="243"/>
      <c r="VWJ209" s="243"/>
      <c r="VWK209" s="243"/>
      <c r="VWL209" s="243"/>
      <c r="VWM209" s="243"/>
      <c r="VWN209" s="243"/>
      <c r="VWO209" s="243"/>
      <c r="VWP209" s="243"/>
      <c r="VWQ209" s="243"/>
      <c r="VWR209" s="243"/>
      <c r="VWS209" s="243"/>
      <c r="VWT209" s="243"/>
      <c r="VWU209" s="243"/>
      <c r="VWV209" s="243"/>
      <c r="VWW209" s="243"/>
      <c r="VWX209" s="243"/>
      <c r="VWY209" s="243"/>
      <c r="VWZ209" s="243"/>
      <c r="VXA209" s="243"/>
      <c r="VXB209" s="243"/>
      <c r="VXC209" s="243"/>
      <c r="VXD209" s="243"/>
      <c r="VXE209" s="243"/>
      <c r="VXF209" s="243"/>
      <c r="VXG209" s="243"/>
      <c r="VXH209" s="243"/>
      <c r="VXI209" s="243"/>
      <c r="VXJ209" s="243"/>
      <c r="VXK209" s="243"/>
      <c r="VXL209" s="243"/>
      <c r="VXM209" s="243"/>
      <c r="VXN209" s="243"/>
      <c r="VXO209" s="243"/>
      <c r="VXP209" s="243"/>
      <c r="VXQ209" s="243"/>
      <c r="VXR209" s="243"/>
      <c r="VXS209" s="243"/>
      <c r="VXT209" s="243"/>
      <c r="VXU209" s="243"/>
      <c r="VXV209" s="243"/>
      <c r="VXW209" s="243"/>
      <c r="VXX209" s="243"/>
      <c r="VXY209" s="243"/>
      <c r="VXZ209" s="243"/>
      <c r="VYA209" s="243"/>
      <c r="VYB209" s="243"/>
      <c r="VYC209" s="243"/>
      <c r="VYD209" s="243"/>
      <c r="VYE209" s="243"/>
      <c r="VYF209" s="243"/>
      <c r="VYG209" s="243"/>
      <c r="VYH209" s="243"/>
      <c r="VYI209" s="243"/>
      <c r="VYJ209" s="243"/>
      <c r="VYK209" s="243"/>
      <c r="VYL209" s="243"/>
      <c r="VYM209" s="243"/>
      <c r="VYN209" s="243"/>
      <c r="VYO209" s="243"/>
      <c r="VYP209" s="243"/>
      <c r="VYQ209" s="243"/>
      <c r="VYR209" s="243"/>
      <c r="VYS209" s="243"/>
      <c r="VYT209" s="243"/>
      <c r="VYU209" s="243"/>
      <c r="VYV209" s="243"/>
      <c r="VYW209" s="243"/>
      <c r="VYX209" s="243"/>
      <c r="VYY209" s="243"/>
      <c r="VYZ209" s="243"/>
      <c r="VZA209" s="243"/>
      <c r="VZB209" s="243"/>
      <c r="VZC209" s="243"/>
      <c r="VZD209" s="243"/>
      <c r="VZE209" s="243"/>
      <c r="VZF209" s="243"/>
      <c r="VZG209" s="243"/>
      <c r="VZH209" s="243"/>
      <c r="VZI209" s="243"/>
      <c r="VZJ209" s="243"/>
      <c r="VZK209" s="243"/>
      <c r="VZL209" s="243"/>
      <c r="VZM209" s="243"/>
      <c r="VZN209" s="243"/>
      <c r="VZO209" s="243"/>
      <c r="VZP209" s="243"/>
      <c r="VZQ209" s="243"/>
      <c r="VZR209" s="243"/>
      <c r="VZS209" s="243"/>
      <c r="VZT209" s="243"/>
      <c r="VZU209" s="243"/>
      <c r="VZV209" s="243"/>
      <c r="VZW209" s="243"/>
      <c r="VZX209" s="243"/>
      <c r="VZY209" s="243"/>
      <c r="VZZ209" s="243"/>
      <c r="WAA209" s="243"/>
      <c r="WAB209" s="243"/>
      <c r="WAC209" s="243"/>
      <c r="WAD209" s="243"/>
      <c r="WAE209" s="243"/>
      <c r="WAF209" s="243"/>
      <c r="WAG209" s="243"/>
      <c r="WAH209" s="243"/>
      <c r="WAI209" s="243"/>
      <c r="WAJ209" s="243"/>
      <c r="WAK209" s="243"/>
      <c r="WAL209" s="243"/>
      <c r="WAM209" s="243"/>
      <c r="WAN209" s="243"/>
      <c r="WAO209" s="243"/>
      <c r="WAP209" s="243"/>
      <c r="WAQ209" s="243"/>
      <c r="WAR209" s="243"/>
      <c r="WAS209" s="243"/>
      <c r="WAT209" s="243"/>
      <c r="WAU209" s="243"/>
      <c r="WAV209" s="243"/>
      <c r="WAW209" s="243"/>
      <c r="WAX209" s="243"/>
      <c r="WAY209" s="243"/>
      <c r="WAZ209" s="243"/>
      <c r="WBA209" s="243"/>
      <c r="WBB209" s="243"/>
      <c r="WBC209" s="243"/>
      <c r="WBD209" s="243"/>
      <c r="WBE209" s="243"/>
      <c r="WBF209" s="243"/>
      <c r="WBG209" s="243"/>
      <c r="WBH209" s="243"/>
      <c r="WBI209" s="243"/>
      <c r="WBJ209" s="243"/>
      <c r="WBK209" s="243"/>
      <c r="WBL209" s="243"/>
      <c r="WBM209" s="243"/>
      <c r="WBN209" s="243"/>
      <c r="WBO209" s="243"/>
      <c r="WBP209" s="243"/>
      <c r="WBQ209" s="243"/>
      <c r="WBR209" s="243"/>
      <c r="WBS209" s="243"/>
      <c r="WBT209" s="243"/>
      <c r="WBU209" s="243"/>
      <c r="WBV209" s="243"/>
      <c r="WBW209" s="243"/>
      <c r="WBX209" s="243"/>
      <c r="WBY209" s="243"/>
      <c r="WBZ209" s="243"/>
      <c r="WCA209" s="243"/>
      <c r="WCB209" s="243"/>
      <c r="WCC209" s="243"/>
      <c r="WCD209" s="243"/>
      <c r="WCE209" s="243"/>
      <c r="WCF209" s="243"/>
      <c r="WCG209" s="243"/>
      <c r="WCH209" s="243"/>
      <c r="WCI209" s="243"/>
      <c r="WCJ209" s="243"/>
      <c r="WCK209" s="243"/>
      <c r="WCL209" s="243"/>
      <c r="WCM209" s="243"/>
      <c r="WCN209" s="243"/>
      <c r="WCO209" s="243"/>
      <c r="WCP209" s="243"/>
      <c r="WCQ209" s="243"/>
      <c r="WCR209" s="243"/>
      <c r="WCS209" s="243"/>
      <c r="WCT209" s="243"/>
      <c r="WCU209" s="243"/>
      <c r="WCV209" s="243"/>
      <c r="WCW209" s="243"/>
      <c r="WCX209" s="243"/>
      <c r="WCY209" s="243"/>
      <c r="WCZ209" s="243"/>
      <c r="WDA209" s="243"/>
      <c r="WDB209" s="243"/>
      <c r="WDC209" s="243"/>
      <c r="WDD209" s="243"/>
      <c r="WDE209" s="243"/>
      <c r="WDF209" s="243"/>
      <c r="WDG209" s="243"/>
      <c r="WDH209" s="243"/>
      <c r="WDI209" s="243"/>
      <c r="WDJ209" s="243"/>
      <c r="WDK209" s="243"/>
      <c r="WDL209" s="243"/>
      <c r="WDM209" s="243"/>
      <c r="WDN209" s="243"/>
      <c r="WDO209" s="243"/>
      <c r="WDP209" s="243"/>
      <c r="WDQ209" s="243"/>
      <c r="WDR209" s="243"/>
      <c r="WDS209" s="243"/>
      <c r="WDT209" s="243"/>
      <c r="WDU209" s="243"/>
      <c r="WDV209" s="243"/>
      <c r="WDW209" s="243"/>
      <c r="WDX209" s="243"/>
      <c r="WDY209" s="243"/>
      <c r="WDZ209" s="243"/>
      <c r="WEA209" s="243"/>
      <c r="WEB209" s="243"/>
      <c r="WEC209" s="243"/>
      <c r="WED209" s="243"/>
      <c r="WEE209" s="243"/>
      <c r="WEF209" s="243"/>
      <c r="WEG209" s="243"/>
      <c r="WEH209" s="243"/>
      <c r="WEI209" s="243"/>
      <c r="WEJ209" s="243"/>
      <c r="WEK209" s="243"/>
      <c r="WEL209" s="243"/>
      <c r="WEM209" s="243"/>
      <c r="WEN209" s="243"/>
      <c r="WEO209" s="243"/>
      <c r="WEP209" s="243"/>
      <c r="WEQ209" s="243"/>
      <c r="WER209" s="243"/>
      <c r="WES209" s="243"/>
      <c r="WET209" s="243"/>
      <c r="WEU209" s="243"/>
      <c r="WEV209" s="243"/>
      <c r="WEW209" s="243"/>
      <c r="WEX209" s="243"/>
      <c r="WEY209" s="243"/>
      <c r="WEZ209" s="243"/>
      <c r="WFA209" s="243"/>
      <c r="WFB209" s="243"/>
      <c r="WFC209" s="243"/>
      <c r="WFD209" s="243"/>
      <c r="WFE209" s="243"/>
      <c r="WFF209" s="243"/>
      <c r="WFG209" s="243"/>
      <c r="WFH209" s="243"/>
      <c r="WFI209" s="243"/>
      <c r="WFJ209" s="243"/>
      <c r="WFK209" s="243"/>
      <c r="WFL209" s="243"/>
      <c r="WFM209" s="243"/>
      <c r="WFN209" s="243"/>
      <c r="WFO209" s="243"/>
      <c r="WFP209" s="243"/>
      <c r="WFQ209" s="243"/>
      <c r="WFR209" s="243"/>
      <c r="WFS209" s="243"/>
      <c r="WFT209" s="243"/>
      <c r="WFU209" s="243"/>
      <c r="WFV209" s="243"/>
      <c r="WFW209" s="243"/>
      <c r="WFX209" s="243"/>
      <c r="WFY209" s="243"/>
      <c r="WFZ209" s="243"/>
      <c r="WGA209" s="243"/>
      <c r="WGB209" s="243"/>
      <c r="WGC209" s="243"/>
      <c r="WGD209" s="243"/>
      <c r="WGE209" s="243"/>
      <c r="WGF209" s="243"/>
      <c r="WGG209" s="243"/>
      <c r="WGH209" s="243"/>
      <c r="WGI209" s="243"/>
      <c r="WGJ209" s="243"/>
      <c r="WGK209" s="243"/>
      <c r="WGL209" s="243"/>
      <c r="WGM209" s="243"/>
      <c r="WGN209" s="243"/>
      <c r="WGO209" s="243"/>
      <c r="WGP209" s="243"/>
      <c r="WGQ209" s="243"/>
      <c r="WGR209" s="243"/>
      <c r="WGS209" s="243"/>
      <c r="WGT209" s="243"/>
      <c r="WGU209" s="243"/>
      <c r="WGV209" s="243"/>
      <c r="WGW209" s="243"/>
      <c r="WGX209" s="243"/>
      <c r="WGY209" s="243"/>
      <c r="WGZ209" s="243"/>
      <c r="WHA209" s="243"/>
      <c r="WHB209" s="243"/>
      <c r="WHC209" s="243"/>
      <c r="WHD209" s="243"/>
      <c r="WHE209" s="243"/>
      <c r="WHF209" s="243"/>
      <c r="WHG209" s="243"/>
      <c r="WHH209" s="243"/>
      <c r="WHI209" s="243"/>
      <c r="WHJ209" s="243"/>
      <c r="WHK209" s="243"/>
      <c r="WHL209" s="243"/>
      <c r="WHM209" s="243"/>
      <c r="WHN209" s="243"/>
      <c r="WHO209" s="243"/>
      <c r="WHP209" s="243"/>
      <c r="WHQ209" s="243"/>
      <c r="WHR209" s="243"/>
      <c r="WHS209" s="243"/>
      <c r="WHT209" s="243"/>
      <c r="WHU209" s="243"/>
      <c r="WHV209" s="243"/>
      <c r="WHW209" s="243"/>
      <c r="WHX209" s="243"/>
      <c r="WHY209" s="243"/>
      <c r="WHZ209" s="243"/>
      <c r="WIA209" s="243"/>
      <c r="WIB209" s="243"/>
      <c r="WIC209" s="243"/>
      <c r="WID209" s="243"/>
      <c r="WIE209" s="243"/>
      <c r="WIF209" s="243"/>
      <c r="WIG209" s="243"/>
      <c r="WIH209" s="243"/>
      <c r="WII209" s="243"/>
      <c r="WIJ209" s="243"/>
      <c r="WIK209" s="243"/>
      <c r="WIL209" s="243"/>
      <c r="WIM209" s="243"/>
      <c r="WIN209" s="243"/>
      <c r="WIO209" s="243"/>
      <c r="WIP209" s="243"/>
      <c r="WIQ209" s="243"/>
      <c r="WIR209" s="243"/>
      <c r="WIS209" s="243"/>
      <c r="WIT209" s="243"/>
      <c r="WIU209" s="243"/>
      <c r="WIV209" s="243"/>
      <c r="WIW209" s="243"/>
      <c r="WIX209" s="243"/>
      <c r="WIY209" s="243"/>
      <c r="WIZ209" s="243"/>
      <c r="WJA209" s="243"/>
      <c r="WJB209" s="243"/>
      <c r="WJC209" s="243"/>
      <c r="WJD209" s="243"/>
      <c r="WJE209" s="243"/>
      <c r="WJF209" s="243"/>
      <c r="WJG209" s="243"/>
      <c r="WJH209" s="243"/>
      <c r="WJI209" s="243"/>
      <c r="WJJ209" s="243"/>
      <c r="WJK209" s="243"/>
      <c r="WJL209" s="243"/>
      <c r="WJM209" s="243"/>
      <c r="WJN209" s="243"/>
      <c r="WJO209" s="243"/>
      <c r="WJP209" s="243"/>
      <c r="WJQ209" s="243"/>
      <c r="WJR209" s="243"/>
      <c r="WJS209" s="243"/>
      <c r="WJT209" s="243"/>
      <c r="WJU209" s="243"/>
      <c r="WJV209" s="243"/>
      <c r="WJW209" s="243"/>
      <c r="WJX209" s="243"/>
      <c r="WJY209" s="243"/>
      <c r="WJZ209" s="243"/>
      <c r="WKA209" s="243"/>
      <c r="WKB209" s="243"/>
      <c r="WKC209" s="243"/>
      <c r="WKD209" s="243"/>
      <c r="WKE209" s="243"/>
      <c r="WKF209" s="243"/>
      <c r="WKG209" s="243"/>
      <c r="WKH209" s="243"/>
      <c r="WKI209" s="243"/>
      <c r="WKJ209" s="243"/>
      <c r="WKK209" s="243"/>
      <c r="WKL209" s="243"/>
      <c r="WKM209" s="243"/>
      <c r="WKN209" s="243"/>
      <c r="WKO209" s="243"/>
      <c r="WKP209" s="243"/>
      <c r="WKQ209" s="243"/>
      <c r="WKR209" s="243"/>
      <c r="WKS209" s="243"/>
      <c r="WKT209" s="243"/>
      <c r="WKU209" s="243"/>
      <c r="WKV209" s="243"/>
      <c r="WKW209" s="243"/>
      <c r="WKX209" s="243"/>
      <c r="WKY209" s="243"/>
      <c r="WKZ209" s="243"/>
      <c r="WLA209" s="243"/>
      <c r="WLB209" s="243"/>
      <c r="WLC209" s="243"/>
      <c r="WLD209" s="243"/>
      <c r="WLE209" s="243"/>
      <c r="WLF209" s="243"/>
      <c r="WLG209" s="243"/>
      <c r="WLH209" s="243"/>
      <c r="WLI209" s="243"/>
      <c r="WLJ209" s="243"/>
      <c r="WLK209" s="243"/>
      <c r="WLL209" s="243"/>
      <c r="WLM209" s="243"/>
      <c r="WLN209" s="243"/>
      <c r="WLO209" s="243"/>
      <c r="WLP209" s="243"/>
      <c r="WLQ209" s="243"/>
      <c r="WLR209" s="243"/>
      <c r="WLS209" s="243"/>
      <c r="WLT209" s="243"/>
      <c r="WLU209" s="243"/>
      <c r="WLV209" s="243"/>
      <c r="WLW209" s="243"/>
      <c r="WLX209" s="243"/>
      <c r="WLY209" s="243"/>
      <c r="WLZ209" s="243"/>
      <c r="WMA209" s="243"/>
      <c r="WMB209" s="243"/>
      <c r="WMC209" s="243"/>
      <c r="WMD209" s="243"/>
      <c r="WME209" s="243"/>
      <c r="WMF209" s="243"/>
      <c r="WMG209" s="243"/>
      <c r="WMH209" s="243"/>
      <c r="WMI209" s="243"/>
      <c r="WMJ209" s="243"/>
      <c r="WMK209" s="243"/>
      <c r="WML209" s="243"/>
      <c r="WMM209" s="243"/>
      <c r="WMN209" s="243"/>
      <c r="WMO209" s="243"/>
      <c r="WMP209" s="243"/>
      <c r="WMQ209" s="243"/>
      <c r="WMR209" s="243"/>
      <c r="WMS209" s="243"/>
      <c r="WMT209" s="243"/>
      <c r="WMU209" s="243"/>
      <c r="WMV209" s="243"/>
      <c r="WMW209" s="243"/>
      <c r="WMX209" s="243"/>
      <c r="WMY209" s="243"/>
      <c r="WMZ209" s="243"/>
      <c r="WNA209" s="243"/>
      <c r="WNB209" s="243"/>
      <c r="WNC209" s="243"/>
      <c r="WND209" s="243"/>
      <c r="WNE209" s="243"/>
      <c r="WNF209" s="243"/>
      <c r="WNG209" s="243"/>
      <c r="WNH209" s="243"/>
      <c r="WNI209" s="243"/>
      <c r="WNJ209" s="243"/>
      <c r="WNK209" s="243"/>
      <c r="WNL209" s="243"/>
      <c r="WNM209" s="243"/>
      <c r="WNN209" s="243"/>
      <c r="WNO209" s="243"/>
      <c r="WNP209" s="243"/>
      <c r="WNQ209" s="243"/>
      <c r="WNR209" s="243"/>
      <c r="WNS209" s="243"/>
      <c r="WNT209" s="243"/>
      <c r="WNU209" s="243"/>
      <c r="WNV209" s="243"/>
      <c r="WNW209" s="243"/>
      <c r="WNX209" s="243"/>
      <c r="WNY209" s="243"/>
      <c r="WNZ209" s="243"/>
      <c r="WOA209" s="243"/>
      <c r="WOB209" s="243"/>
      <c r="WOC209" s="243"/>
      <c r="WOD209" s="243"/>
      <c r="WOE209" s="243"/>
      <c r="WOF209" s="243"/>
      <c r="WOG209" s="243"/>
      <c r="WOH209" s="243"/>
      <c r="WOI209" s="243"/>
      <c r="WOJ209" s="243"/>
      <c r="WOK209" s="243"/>
      <c r="WOL209" s="243"/>
      <c r="WOM209" s="243"/>
      <c r="WON209" s="243"/>
      <c r="WOO209" s="243"/>
      <c r="WOP209" s="243"/>
      <c r="WOQ209" s="243"/>
      <c r="WOR209" s="243"/>
      <c r="WOS209" s="243"/>
      <c r="WOT209" s="243"/>
      <c r="WOU209" s="243"/>
      <c r="WOV209" s="243"/>
      <c r="WOW209" s="243"/>
      <c r="WOX209" s="243"/>
      <c r="WOY209" s="243"/>
      <c r="WOZ209" s="243"/>
      <c r="WPA209" s="243"/>
      <c r="WPB209" s="243"/>
      <c r="WPC209" s="243"/>
      <c r="WPD209" s="243"/>
      <c r="WPE209" s="243"/>
      <c r="WPF209" s="243"/>
      <c r="WPG209" s="243"/>
      <c r="WPH209" s="243"/>
      <c r="WPI209" s="243"/>
      <c r="WPJ209" s="243"/>
      <c r="WPK209" s="243"/>
      <c r="WPL209" s="243"/>
      <c r="WPM209" s="243"/>
      <c r="WPN209" s="243"/>
      <c r="WPO209" s="243"/>
      <c r="WPP209" s="243"/>
      <c r="WPQ209" s="243"/>
      <c r="WPR209" s="243"/>
      <c r="WPS209" s="243"/>
      <c r="WPT209" s="243"/>
      <c r="WPU209" s="243"/>
      <c r="WPV209" s="243"/>
      <c r="WPW209" s="243"/>
      <c r="WPX209" s="243"/>
      <c r="WPY209" s="243"/>
      <c r="WPZ209" s="243"/>
      <c r="WQA209" s="243"/>
      <c r="WQB209" s="243"/>
      <c r="WQC209" s="243"/>
      <c r="WQD209" s="243"/>
      <c r="WQE209" s="243"/>
      <c r="WQF209" s="243"/>
      <c r="WQG209" s="243"/>
      <c r="WQH209" s="243"/>
      <c r="WQI209" s="243"/>
      <c r="WQJ209" s="243"/>
      <c r="WQK209" s="243"/>
      <c r="WQL209" s="243"/>
      <c r="WQM209" s="243"/>
      <c r="WQN209" s="243"/>
      <c r="WQO209" s="243"/>
      <c r="WQP209" s="243"/>
      <c r="WQQ209" s="243"/>
      <c r="WQR209" s="243"/>
      <c r="WQS209" s="243"/>
      <c r="WQT209" s="243"/>
      <c r="WQU209" s="243"/>
      <c r="WQV209" s="243"/>
      <c r="WQW209" s="243"/>
      <c r="WQX209" s="243"/>
      <c r="WQY209" s="243"/>
      <c r="WQZ209" s="243"/>
      <c r="WRA209" s="243"/>
      <c r="WRB209" s="243"/>
      <c r="WRC209" s="243"/>
      <c r="WRD209" s="243"/>
      <c r="WRE209" s="243"/>
      <c r="WRF209" s="243"/>
      <c r="WRG209" s="243"/>
      <c r="WRH209" s="243"/>
      <c r="WRI209" s="243"/>
      <c r="WRJ209" s="243"/>
      <c r="WRK209" s="243"/>
      <c r="WRL209" s="243"/>
      <c r="WRM209" s="243"/>
      <c r="WRN209" s="243"/>
      <c r="WRO209" s="243"/>
      <c r="WRP209" s="243"/>
      <c r="WRQ209" s="243"/>
      <c r="WRR209" s="243"/>
      <c r="WRS209" s="243"/>
      <c r="WRT209" s="243"/>
      <c r="WRU209" s="243"/>
      <c r="WRV209" s="243"/>
      <c r="WRW209" s="243"/>
      <c r="WRX209" s="243"/>
      <c r="WRY209" s="243"/>
      <c r="WRZ209" s="243"/>
      <c r="WSA209" s="243"/>
      <c r="WSB209" s="243"/>
      <c r="WSC209" s="243"/>
      <c r="WSD209" s="243"/>
      <c r="WSE209" s="243"/>
      <c r="WSF209" s="243"/>
      <c r="WSG209" s="243"/>
      <c r="WSH209" s="243"/>
      <c r="WSI209" s="243"/>
      <c r="WSJ209" s="243"/>
      <c r="WSK209" s="243"/>
      <c r="WSL209" s="243"/>
      <c r="WSM209" s="243"/>
      <c r="WSN209" s="243"/>
      <c r="WSO209" s="243"/>
      <c r="WSP209" s="243"/>
      <c r="WSQ209" s="243"/>
      <c r="WSR209" s="243"/>
      <c r="WSS209" s="243"/>
      <c r="WST209" s="243"/>
      <c r="WSU209" s="243"/>
      <c r="WSV209" s="243"/>
      <c r="WSW209" s="243"/>
      <c r="WSX209" s="243"/>
      <c r="WSY209" s="243"/>
      <c r="WSZ209" s="243"/>
      <c r="WTA209" s="243"/>
      <c r="WTB209" s="243"/>
      <c r="WTC209" s="243"/>
      <c r="WTD209" s="243"/>
      <c r="WTE209" s="243"/>
      <c r="WTF209" s="243"/>
      <c r="WTG209" s="243"/>
      <c r="WTH209" s="243"/>
      <c r="WTI209" s="243"/>
      <c r="WTJ209" s="243"/>
      <c r="WTK209" s="243"/>
      <c r="WTL209" s="243"/>
      <c r="WTM209" s="243"/>
      <c r="WTN209" s="243"/>
      <c r="WTO209" s="243"/>
      <c r="WTP209" s="243"/>
      <c r="WTQ209" s="243"/>
      <c r="WTR209" s="243"/>
      <c r="WTS209" s="243"/>
      <c r="WTT209" s="243"/>
      <c r="WTU209" s="243"/>
      <c r="WTV209" s="243"/>
      <c r="WTW209" s="243"/>
      <c r="WTX209" s="243"/>
      <c r="WTY209" s="243"/>
      <c r="WTZ209" s="243"/>
      <c r="WUA209" s="243"/>
      <c r="WUB209" s="243"/>
      <c r="WUC209" s="243"/>
      <c r="WUD209" s="243"/>
      <c r="WUE209" s="243"/>
      <c r="WUF209" s="243"/>
      <c r="WUG209" s="243"/>
      <c r="WUH209" s="243"/>
      <c r="WUI209" s="243"/>
      <c r="WUJ209" s="243"/>
      <c r="WUK209" s="243"/>
      <c r="WUL209" s="243"/>
      <c r="WUM209" s="243"/>
      <c r="WUN209" s="243"/>
      <c r="WUO209" s="243"/>
      <c r="WUP209" s="243"/>
      <c r="WUQ209" s="243"/>
      <c r="WUR209" s="243"/>
      <c r="WUS209" s="243"/>
      <c r="WUT209" s="243"/>
      <c r="WUU209" s="243"/>
      <c r="WUV209" s="243"/>
      <c r="WUW209" s="243"/>
      <c r="WUX209" s="243"/>
      <c r="WUY209" s="243"/>
      <c r="WUZ209" s="243"/>
      <c r="WVA209" s="243"/>
      <c r="WVB209" s="243"/>
      <c r="WVC209" s="243"/>
      <c r="WVD209" s="243"/>
      <c r="WVE209" s="243"/>
      <c r="WVF209" s="243"/>
      <c r="WVG209" s="243"/>
      <c r="WVH209" s="243"/>
      <c r="WVI209" s="243"/>
      <c r="WVJ209" s="243"/>
      <c r="WVK209" s="243"/>
      <c r="WVL209" s="243"/>
      <c r="WVM209" s="243"/>
      <c r="WVN209" s="243"/>
      <c r="WVO209" s="243"/>
      <c r="WVP209" s="243"/>
      <c r="WVQ209" s="243"/>
      <c r="WVR209" s="243"/>
      <c r="WVS209" s="243"/>
      <c r="WVT209" s="243"/>
      <c r="WVU209" s="243"/>
      <c r="WVV209" s="243"/>
      <c r="WVW209" s="243"/>
      <c r="WVX209" s="243"/>
      <c r="WVY209" s="243"/>
      <c r="WVZ209" s="243"/>
      <c r="WWA209" s="243"/>
      <c r="WWB209" s="243"/>
      <c r="WWC209" s="243"/>
      <c r="WWD209" s="243"/>
      <c r="WWE209" s="243"/>
      <c r="WWF209" s="243"/>
      <c r="WWG209" s="243"/>
      <c r="WWH209" s="243"/>
      <c r="WWI209" s="243"/>
      <c r="WWJ209" s="243"/>
      <c r="WWK209" s="243"/>
      <c r="WWL209" s="243"/>
      <c r="WWM209" s="243"/>
      <c r="WWN209" s="243"/>
      <c r="WWO209" s="243"/>
      <c r="WWP209" s="243"/>
      <c r="WWQ209" s="243"/>
      <c r="WWR209" s="243"/>
      <c r="WWS209" s="243"/>
      <c r="WWT209" s="243"/>
      <c r="WWU209" s="243"/>
      <c r="WWV209" s="243"/>
      <c r="WWW209" s="243"/>
      <c r="WWX209" s="243"/>
      <c r="WWY209" s="243"/>
      <c r="WWZ209" s="243"/>
      <c r="WXA209" s="243"/>
      <c r="WXB209" s="243"/>
      <c r="WXC209" s="243"/>
      <c r="WXD209" s="243"/>
      <c r="WXE209" s="243"/>
      <c r="WXF209" s="243"/>
      <c r="WXG209" s="243"/>
      <c r="WXH209" s="243"/>
      <c r="WXI209" s="243"/>
      <c r="WXJ209" s="243"/>
      <c r="WXK209" s="243"/>
      <c r="WXL209" s="243"/>
      <c r="WXM209" s="243"/>
      <c r="WXN209" s="243"/>
      <c r="WXO209" s="243"/>
      <c r="WXP209" s="243"/>
      <c r="WXQ209" s="243"/>
      <c r="WXR209" s="243"/>
      <c r="WXS209" s="243"/>
      <c r="WXT209" s="243"/>
      <c r="WXU209" s="243"/>
      <c r="WXV209" s="243"/>
      <c r="WXW209" s="243"/>
      <c r="WXX209" s="243"/>
      <c r="WXY209" s="243"/>
      <c r="WXZ209" s="243"/>
      <c r="WYA209" s="243"/>
      <c r="WYB209" s="243"/>
      <c r="WYC209" s="243"/>
      <c r="WYD209" s="243"/>
      <c r="WYE209" s="243"/>
      <c r="WYF209" s="243"/>
      <c r="WYG209" s="243"/>
      <c r="WYH209" s="243"/>
      <c r="WYI209" s="243"/>
      <c r="WYJ209" s="243"/>
      <c r="WYK209" s="243"/>
      <c r="WYL209" s="243"/>
      <c r="WYM209" s="243"/>
      <c r="WYN209" s="243"/>
      <c r="WYO209" s="243"/>
      <c r="WYP209" s="243"/>
      <c r="WYQ209" s="243"/>
      <c r="WYR209" s="243"/>
      <c r="WYS209" s="243"/>
      <c r="WYT209" s="243"/>
      <c r="WYU209" s="243"/>
      <c r="WYV209" s="243"/>
      <c r="WYW209" s="243"/>
      <c r="WYX209" s="243"/>
      <c r="WYY209" s="243"/>
      <c r="WYZ209" s="243"/>
      <c r="WZA209" s="243"/>
      <c r="WZB209" s="243"/>
      <c r="WZC209" s="243"/>
      <c r="WZD209" s="243"/>
      <c r="WZE209" s="243"/>
      <c r="WZF209" s="243"/>
      <c r="WZG209" s="243"/>
      <c r="WZH209" s="243"/>
      <c r="WZI209" s="243"/>
      <c r="WZJ209" s="243"/>
      <c r="WZK209" s="243"/>
      <c r="WZL209" s="243"/>
      <c r="WZM209" s="243"/>
      <c r="WZN209" s="243"/>
      <c r="WZO209" s="243"/>
      <c r="WZP209" s="243"/>
      <c r="WZQ209" s="243"/>
      <c r="WZR209" s="243"/>
      <c r="WZS209" s="243"/>
      <c r="WZT209" s="243"/>
      <c r="WZU209" s="243"/>
      <c r="WZV209" s="243"/>
      <c r="WZW209" s="243"/>
      <c r="WZX209" s="243"/>
      <c r="WZY209" s="243"/>
      <c r="WZZ209" s="243"/>
      <c r="XAA209" s="243"/>
      <c r="XAB209" s="243"/>
      <c r="XAC209" s="243"/>
      <c r="XAD209" s="243"/>
      <c r="XAE209" s="243"/>
      <c r="XAF209" s="243"/>
      <c r="XAG209" s="243"/>
      <c r="XAH209" s="243"/>
      <c r="XAI209" s="243"/>
      <c r="XAJ209" s="243"/>
      <c r="XAK209" s="243"/>
      <c r="XAL209" s="243"/>
      <c r="XAM209" s="243"/>
      <c r="XAN209" s="243"/>
      <c r="XAO209" s="243"/>
      <c r="XAP209" s="243"/>
      <c r="XAQ209" s="243"/>
      <c r="XAR209" s="243"/>
      <c r="XAS209" s="243"/>
      <c r="XAT209" s="243"/>
      <c r="XAU209" s="243"/>
      <c r="XAV209" s="243"/>
      <c r="XAW209" s="243"/>
      <c r="XAX209" s="243"/>
      <c r="XAY209" s="243"/>
      <c r="XAZ209" s="243"/>
      <c r="XBA209" s="243"/>
      <c r="XBB209" s="243"/>
      <c r="XBC209" s="243"/>
      <c r="XBD209" s="243"/>
      <c r="XBE209" s="243"/>
      <c r="XBF209" s="243"/>
      <c r="XBG209" s="243"/>
      <c r="XBH209" s="243"/>
      <c r="XBI209" s="243"/>
      <c r="XBJ209" s="243"/>
      <c r="XBK209" s="243"/>
      <c r="XBL209" s="243"/>
      <c r="XBM209" s="243"/>
      <c r="XBN209" s="243"/>
      <c r="XBO209" s="243"/>
      <c r="XBP209" s="243"/>
      <c r="XBQ209" s="243"/>
      <c r="XBR209" s="243"/>
      <c r="XBS209" s="243"/>
      <c r="XBT209" s="243"/>
      <c r="XBU209" s="243"/>
      <c r="XBV209" s="243"/>
      <c r="XBW209" s="243"/>
      <c r="XBX209" s="243"/>
      <c r="XBY209" s="243"/>
      <c r="XBZ209" s="243"/>
      <c r="XCA209" s="243"/>
      <c r="XCB209" s="243"/>
      <c r="XCC209" s="243"/>
      <c r="XCD209" s="243"/>
      <c r="XCE209" s="243"/>
      <c r="XCF209" s="243"/>
      <c r="XCG209" s="243"/>
      <c r="XCH209" s="243"/>
      <c r="XCI209" s="243"/>
      <c r="XCJ209" s="243"/>
      <c r="XCK209" s="243"/>
      <c r="XCL209" s="243"/>
      <c r="XCM209" s="243"/>
      <c r="XCN209" s="243"/>
      <c r="XCO209" s="243"/>
      <c r="XCP209" s="243"/>
      <c r="XCQ209" s="243"/>
      <c r="XCR209" s="243"/>
      <c r="XCS209" s="243"/>
      <c r="XCT209" s="243"/>
      <c r="XCU209" s="243"/>
      <c r="XCV209" s="243"/>
      <c r="XCW209" s="243"/>
      <c r="XCX209" s="243"/>
      <c r="XCY209" s="243"/>
      <c r="XCZ209" s="243"/>
      <c r="XDA209" s="243"/>
      <c r="XDB209" s="243"/>
      <c r="XDC209" s="243"/>
      <c r="XDD209" s="243"/>
      <c r="XDE209" s="243"/>
      <c r="XDF209" s="243"/>
      <c r="XDG209" s="243"/>
      <c r="XDH209" s="243"/>
      <c r="XDI209" s="243"/>
      <c r="XDJ209" s="243"/>
      <c r="XDK209" s="243"/>
      <c r="XDL209" s="243"/>
      <c r="XDM209" s="243"/>
      <c r="XDN209" s="243"/>
      <c r="XDO209" s="243"/>
      <c r="XDP209" s="243"/>
      <c r="XDQ209" s="243"/>
      <c r="XDR209" s="243"/>
      <c r="XDS209" s="243"/>
      <c r="XDT209" s="243"/>
      <c r="XDU209" s="243"/>
      <c r="XDV209" s="243"/>
      <c r="XDW209" s="243"/>
      <c r="XDX209" s="243"/>
      <c r="XDY209" s="243"/>
      <c r="XDZ209" s="243"/>
      <c r="XEA209" s="243"/>
      <c r="XEB209" s="243"/>
      <c r="XEC209" s="243"/>
      <c r="XED209" s="243"/>
      <c r="XEE209" s="243"/>
      <c r="XEF209" s="243"/>
      <c r="XEG209" s="243"/>
      <c r="XEH209" s="243"/>
      <c r="XEI209" s="243"/>
      <c r="XEJ209" s="243"/>
      <c r="XEK209" s="243"/>
      <c r="XEL209" s="243"/>
      <c r="XEM209" s="243"/>
      <c r="XEN209" s="243"/>
      <c r="XEO209" s="243"/>
      <c r="XEP209" s="243"/>
      <c r="XEQ209" s="243"/>
      <c r="XER209" s="243"/>
      <c r="XES209" s="243"/>
      <c r="XET209" s="243"/>
      <c r="XEU209" s="243"/>
      <c r="XEV209" s="243"/>
      <c r="XEW209" s="243"/>
      <c r="XEX209" s="243"/>
      <c r="XEY209" s="243"/>
      <c r="XEZ209" s="243"/>
      <c r="XFA209" s="243"/>
      <c r="XFB209" s="243"/>
      <c r="XFC209" s="243"/>
      <c r="XFD209" s="243"/>
    </row>
    <row r="211" spans="1:16384" x14ac:dyDescent="0.25">
      <c r="E211" s="239" t="s">
        <v>86</v>
      </c>
      <c r="F211" s="193" t="s">
        <v>105</v>
      </c>
      <c r="H211" s="184"/>
      <c r="AA211" s="452" t="s">
        <v>86</v>
      </c>
      <c r="AB211" s="193" t="s">
        <v>105</v>
      </c>
      <c r="AD211" s="184"/>
      <c r="AW211" s="452" t="s">
        <v>86</v>
      </c>
      <c r="AX211" s="193" t="s">
        <v>105</v>
      </c>
      <c r="AZ211" s="184"/>
    </row>
    <row r="212" spans="1:16384" x14ac:dyDescent="0.25">
      <c r="Q212" s="124"/>
      <c r="AM212" s="124"/>
      <c r="BI212" s="124"/>
    </row>
    <row r="213" spans="1:16384" ht="30" x14ac:dyDescent="0.25">
      <c r="A213" s="231"/>
      <c r="B213" s="2"/>
      <c r="C213" s="231"/>
      <c r="D213" s="231"/>
      <c r="E213" s="232" t="s">
        <v>227</v>
      </c>
      <c r="F213" s="233" t="s">
        <v>6</v>
      </c>
      <c r="G213" s="233" t="s">
        <v>5</v>
      </c>
      <c r="H213" s="233" t="s">
        <v>114</v>
      </c>
      <c r="I213" s="233" t="s">
        <v>283</v>
      </c>
      <c r="J213" s="233" t="s">
        <v>230</v>
      </c>
      <c r="K213" s="233" t="s">
        <v>211</v>
      </c>
      <c r="L213" s="233" t="s">
        <v>252</v>
      </c>
      <c r="Q213" s="124"/>
      <c r="R213" s="231"/>
      <c r="X213" s="2"/>
      <c r="Y213" s="231"/>
      <c r="Z213" s="231"/>
      <c r="AA213" s="459" t="s">
        <v>227</v>
      </c>
      <c r="AB213" s="233" t="s">
        <v>6</v>
      </c>
      <c r="AC213" s="233" t="s">
        <v>5</v>
      </c>
      <c r="AD213" s="233" t="s">
        <v>114</v>
      </c>
      <c r="AE213" s="233" t="s">
        <v>283</v>
      </c>
      <c r="AF213" s="233" t="s">
        <v>230</v>
      </c>
      <c r="AG213" s="233" t="s">
        <v>211</v>
      </c>
      <c r="AH213" s="233" t="s">
        <v>252</v>
      </c>
      <c r="AM213" s="124"/>
      <c r="AN213" s="231"/>
      <c r="AT213" s="2"/>
      <c r="AU213" s="231"/>
      <c r="AV213" s="231"/>
      <c r="AW213" s="459" t="s">
        <v>227</v>
      </c>
      <c r="AX213" s="233" t="s">
        <v>6</v>
      </c>
      <c r="AY213" s="233" t="s">
        <v>5</v>
      </c>
      <c r="AZ213" s="233" t="s">
        <v>114</v>
      </c>
      <c r="BA213" s="233" t="s">
        <v>283</v>
      </c>
      <c r="BB213" s="233" t="s">
        <v>230</v>
      </c>
      <c r="BC213" s="233" t="s">
        <v>211</v>
      </c>
      <c r="BD213" s="233" t="s">
        <v>252</v>
      </c>
      <c r="BI213" s="124"/>
      <c r="BJ213" s="231"/>
    </row>
    <row r="214" spans="1:16384" x14ac:dyDescent="0.25">
      <c r="D214" s="245">
        <f>IFERROR(MATCH(Tabla28313637[[#This Row],[Cuentas Contables]],Costos_Indirectos_Cuentas[Cuenta Contable],0),0)</f>
        <v>1</v>
      </c>
      <c r="E214" s="32" t="str">
        <f>Configuración!CE5</f>
        <v>Personal</v>
      </c>
      <c r="F214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14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14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14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14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14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14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14" s="124"/>
      <c r="Z214" s="245">
        <f>IFERROR(MATCH(Tabla2831363748[[#This Row],[Cuentas Contables]],Costos_Indirectos_Cuentas[Cuenta Contable],0),0)</f>
        <v>1</v>
      </c>
      <c r="AA214" s="32" t="str">
        <f>Tabla28313637[[#This Row],[Cuentas Contables]]</f>
        <v>Personal</v>
      </c>
      <c r="AB214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14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14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14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14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14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14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14" s="124"/>
      <c r="AV214" s="245">
        <f>IFERROR(MATCH(Tabla283136374857[[#This Row],[Cuentas Contables]],Costos_Indirectos_Cuentas[Cuenta Contable],0),0)</f>
        <v>1</v>
      </c>
      <c r="AW214" s="32" t="str">
        <f>Tabla28313637[[#This Row],[Cuentas Contables]]</f>
        <v>Personal</v>
      </c>
      <c r="AX214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14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14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14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14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14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14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14" s="124"/>
    </row>
    <row r="215" spans="1:16384" x14ac:dyDescent="0.25">
      <c r="D215" s="245">
        <f>IFERROR(MATCH(Tabla28313637[[#This Row],[Cuentas Contables]],Costos_Indirectos_Cuentas[Cuenta Contable],0),0)</f>
        <v>2</v>
      </c>
      <c r="E215" s="32" t="str">
        <f>Configuración!CE6</f>
        <v>Cargas Sociales</v>
      </c>
      <c r="F215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15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15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15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15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15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15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15" s="124"/>
      <c r="Z215" s="245">
        <f>IFERROR(MATCH(Tabla2831363748[[#This Row],[Cuentas Contables]],Costos_Indirectos_Cuentas[Cuenta Contable],0),0)</f>
        <v>2</v>
      </c>
      <c r="AA215" s="32" t="str">
        <f>Tabla28313637[[#This Row],[Cuentas Contables]]</f>
        <v>Cargas Sociales</v>
      </c>
      <c r="AB215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15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15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15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15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15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15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15" s="124"/>
      <c r="AV215" s="245">
        <f>IFERROR(MATCH(Tabla283136374857[[#This Row],[Cuentas Contables]],Costos_Indirectos_Cuentas[Cuenta Contable],0),0)</f>
        <v>2</v>
      </c>
      <c r="AW215" s="32" t="str">
        <f>Tabla28313637[[#This Row],[Cuentas Contables]]</f>
        <v>Cargas Sociales</v>
      </c>
      <c r="AX215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15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15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15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15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15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15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15" s="124"/>
    </row>
    <row r="216" spans="1:16384" x14ac:dyDescent="0.25">
      <c r="D216" s="245">
        <f>IFERROR(MATCH(Tabla28313637[[#This Row],[Cuentas Contables]],Costos_Indirectos_Cuentas[Cuenta Contable],0),0)</f>
        <v>3</v>
      </c>
      <c r="E216" s="32" t="str">
        <f>Configuración!CE7</f>
        <v>Honorarios</v>
      </c>
      <c r="F216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16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16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16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16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16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16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16" s="124"/>
      <c r="Z216" s="245">
        <f>IFERROR(MATCH(Tabla2831363748[[#This Row],[Cuentas Contables]],Costos_Indirectos_Cuentas[Cuenta Contable],0),0)</f>
        <v>3</v>
      </c>
      <c r="AA216" s="32" t="str">
        <f>Tabla28313637[[#This Row],[Cuentas Contables]]</f>
        <v>Honorarios</v>
      </c>
      <c r="AB216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16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16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16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16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16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16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16" s="124"/>
      <c r="AV216" s="245">
        <f>IFERROR(MATCH(Tabla283136374857[[#This Row],[Cuentas Contables]],Costos_Indirectos_Cuentas[Cuenta Contable],0),0)</f>
        <v>3</v>
      </c>
      <c r="AW216" s="32" t="str">
        <f>Tabla28313637[[#This Row],[Cuentas Contables]]</f>
        <v>Honorarios</v>
      </c>
      <c r="AX216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16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16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16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16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16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16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16" s="124"/>
    </row>
    <row r="217" spans="1:16384" x14ac:dyDescent="0.25">
      <c r="D217" s="245">
        <f>IFERROR(MATCH(Tabla28313637[[#This Row],[Cuentas Contables]],Costos_Indirectos_Cuentas[Cuenta Contable],0),0)</f>
        <v>4</v>
      </c>
      <c r="E217" s="32" t="str">
        <f>Configuración!CE8</f>
        <v>Movilidad - Viáticos</v>
      </c>
      <c r="F217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17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17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17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17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17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17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17" s="124"/>
      <c r="Z217" s="245">
        <f>IFERROR(MATCH(Tabla2831363748[[#This Row],[Cuentas Contables]],Costos_Indirectos_Cuentas[Cuenta Contable],0),0)</f>
        <v>4</v>
      </c>
      <c r="AA217" s="32" t="str">
        <f>Tabla28313637[[#This Row],[Cuentas Contables]]</f>
        <v>Movilidad - Viáticos</v>
      </c>
      <c r="AB217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17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17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17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17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17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17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17" s="124"/>
      <c r="AV217" s="245">
        <f>IFERROR(MATCH(Tabla283136374857[[#This Row],[Cuentas Contables]],Costos_Indirectos_Cuentas[Cuenta Contable],0),0)</f>
        <v>4</v>
      </c>
      <c r="AW217" s="32" t="str">
        <f>Tabla28313637[[#This Row],[Cuentas Contables]]</f>
        <v>Movilidad - Viáticos</v>
      </c>
      <c r="AX217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17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17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17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17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17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17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17" s="124"/>
    </row>
    <row r="218" spans="1:16384" x14ac:dyDescent="0.25">
      <c r="D218" s="245">
        <f>IFERROR(MATCH(Tabla28313637[[#This Row],[Cuentas Contables]],Costos_Indirectos_Cuentas[Cuenta Contable],0),0)</f>
        <v>5</v>
      </c>
      <c r="E218" s="32" t="str">
        <f>Configuración!CE9</f>
        <v>Repuestos y Reparaciones</v>
      </c>
      <c r="F218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18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18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18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18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18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18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18" s="124"/>
      <c r="Z218" s="245">
        <f>IFERROR(MATCH(Tabla2831363748[[#This Row],[Cuentas Contables]],Costos_Indirectos_Cuentas[Cuenta Contable],0),0)</f>
        <v>5</v>
      </c>
      <c r="AA218" s="32" t="str">
        <f>Tabla28313637[[#This Row],[Cuentas Contables]]</f>
        <v>Repuestos y Reparaciones</v>
      </c>
      <c r="AB218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18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18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18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18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18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18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18" s="124"/>
      <c r="AV218" s="245">
        <f>IFERROR(MATCH(Tabla283136374857[[#This Row],[Cuentas Contables]],Costos_Indirectos_Cuentas[Cuenta Contable],0),0)</f>
        <v>5</v>
      </c>
      <c r="AW218" s="32" t="str">
        <f>Tabla28313637[[#This Row],[Cuentas Contables]]</f>
        <v>Repuestos y Reparaciones</v>
      </c>
      <c r="AX218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18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18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18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18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18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18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18" s="124"/>
    </row>
    <row r="219" spans="1:16384" x14ac:dyDescent="0.25">
      <c r="D219" s="245">
        <f>IFERROR(MATCH(Tabla28313637[[#This Row],[Cuentas Contables]],Costos_Indirectos_Cuentas[Cuenta Contable],0),0)</f>
        <v>8</v>
      </c>
      <c r="E219" s="32" t="str">
        <f>Configuración!CE12</f>
        <v>Gastos de Oficina</v>
      </c>
      <c r="F219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19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19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19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19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19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19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19" s="124"/>
      <c r="Z219" s="245">
        <f>IFERROR(MATCH(Tabla2831363748[[#This Row],[Cuentas Contables]],Costos_Indirectos_Cuentas[Cuenta Contable],0),0)</f>
        <v>8</v>
      </c>
      <c r="AA219" s="32" t="str">
        <f>Tabla28313637[[#This Row],[Cuentas Contables]]</f>
        <v>Gastos de Oficina</v>
      </c>
      <c r="AB219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19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19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19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19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19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19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19" s="124"/>
      <c r="AV219" s="245">
        <f>IFERROR(MATCH(Tabla283136374857[[#This Row],[Cuentas Contables]],Costos_Indirectos_Cuentas[Cuenta Contable],0),0)</f>
        <v>8</v>
      </c>
      <c r="AW219" s="32" t="str">
        <f>Tabla28313637[[#This Row],[Cuentas Contables]]</f>
        <v>Gastos de Oficina</v>
      </c>
      <c r="AX219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19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19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19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19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19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19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19" s="124"/>
    </row>
    <row r="220" spans="1:16384" x14ac:dyDescent="0.25">
      <c r="D220" s="245">
        <f>IFERROR(MATCH(Tabla28313637[[#This Row],[Cuentas Contables]],Costos_Indirectos_Cuentas[Cuenta Contable],0),0)</f>
        <v>6</v>
      </c>
      <c r="E220" s="32" t="str">
        <f>Configuración!CE10</f>
        <v>Conservación de Mejoras</v>
      </c>
      <c r="F220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20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20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20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20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20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20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20" s="124"/>
      <c r="Z220" s="245">
        <f>IFERROR(MATCH(Tabla2831363748[[#This Row],[Cuentas Contables]],Costos_Indirectos_Cuentas[Cuenta Contable],0),0)</f>
        <v>6</v>
      </c>
      <c r="AA220" s="32" t="str">
        <f>Tabla28313637[[#This Row],[Cuentas Contables]]</f>
        <v>Conservación de Mejoras</v>
      </c>
      <c r="AB220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20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20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20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20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20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20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20" s="124"/>
      <c r="AV220" s="245">
        <f>IFERROR(MATCH(Tabla283136374857[[#This Row],[Cuentas Contables]],Costos_Indirectos_Cuentas[Cuenta Contable],0),0)</f>
        <v>6</v>
      </c>
      <c r="AW220" s="32" t="str">
        <f>Tabla28313637[[#This Row],[Cuentas Contables]]</f>
        <v>Conservación de Mejoras</v>
      </c>
      <c r="AX220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20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20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20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20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20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20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20" s="124"/>
    </row>
    <row r="221" spans="1:16384" x14ac:dyDescent="0.25">
      <c r="D221" s="245">
        <f>IFERROR(MATCH(Tabla28313637[[#This Row],[Cuentas Contables]],Costos_Indirectos_Cuentas[Cuenta Contable],0),0)</f>
        <v>9</v>
      </c>
      <c r="E221" s="32" t="s">
        <v>162</v>
      </c>
      <c r="F221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21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21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21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21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21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21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21" s="124"/>
      <c r="Z221" s="245">
        <f>IFERROR(MATCH(Tabla2831363748[[#This Row],[Cuentas Contables]],Costos_Indirectos_Cuentas[Cuenta Contable],0),0)</f>
        <v>9</v>
      </c>
      <c r="AA221" s="32" t="str">
        <f>Tabla28313637[[#This Row],[Cuentas Contables]]</f>
        <v>Gastos Bancarios</v>
      </c>
      <c r="AB221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21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21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21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21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21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21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21" s="124"/>
      <c r="AV221" s="245">
        <f>IFERROR(MATCH(Tabla283136374857[[#This Row],[Cuentas Contables]],Costos_Indirectos_Cuentas[Cuenta Contable],0),0)</f>
        <v>9</v>
      </c>
      <c r="AW221" s="32" t="str">
        <f>Tabla28313637[[#This Row],[Cuentas Contables]]</f>
        <v>Gastos Bancarios</v>
      </c>
      <c r="AX221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21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21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21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21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21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21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21" s="124"/>
    </row>
    <row r="222" spans="1:16384" x14ac:dyDescent="0.25">
      <c r="D222" s="245">
        <f>IFERROR(MATCH(Tabla28313637[[#This Row],[Cuentas Contables]],Costos_Indirectos_Cuentas[Cuenta Contable],0),0)</f>
        <v>7</v>
      </c>
      <c r="E222" s="32" t="s">
        <v>56</v>
      </c>
      <c r="F222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22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22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22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22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22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22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22" s="124"/>
      <c r="Z222" s="245">
        <f>IFERROR(MATCH(Tabla2831363748[[#This Row],[Cuentas Contables]],Costos_Indirectos_Cuentas[Cuenta Contable],0),0)</f>
        <v>7</v>
      </c>
      <c r="AA222" s="32" t="str">
        <f>Tabla28313637[[#This Row],[Cuentas Contables]]</f>
        <v>Arrendamiento</v>
      </c>
      <c r="AB222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22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22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22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22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22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22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22" s="124"/>
      <c r="AV222" s="245">
        <f>IFERROR(MATCH(Tabla283136374857[[#This Row],[Cuentas Contables]],Costos_Indirectos_Cuentas[Cuenta Contable],0),0)</f>
        <v>7</v>
      </c>
      <c r="AW222" s="32" t="str">
        <f>Tabla28313637[[#This Row],[Cuentas Contables]]</f>
        <v>Arrendamiento</v>
      </c>
      <c r="AX222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22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22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22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22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22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22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22" s="124"/>
    </row>
    <row r="223" spans="1:16384" x14ac:dyDescent="0.25">
      <c r="D223" s="245">
        <f>IFERROR(MATCH(Tabla28313637[[#This Row],[Cuentas Contables]],Costos_Indirectos_Cuentas[Cuenta Contable],0),0)</f>
        <v>10</v>
      </c>
      <c r="E223" s="32" t="s">
        <v>113</v>
      </c>
      <c r="F223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23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23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23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23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23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23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23" s="124"/>
      <c r="Z223" s="245">
        <f>IFERROR(MATCH(Tabla2831363748[[#This Row],[Cuentas Contables]],Costos_Indirectos_Cuentas[Cuenta Contable],0),0)</f>
        <v>10</v>
      </c>
      <c r="AA223" s="32" t="str">
        <f>Tabla28313637[[#This Row],[Cuentas Contables]]</f>
        <v>Amortización</v>
      </c>
      <c r="AB223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23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23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23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23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23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23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23" s="124"/>
      <c r="AV223" s="245">
        <f>IFERROR(MATCH(Tabla283136374857[[#This Row],[Cuentas Contables]],Costos_Indirectos_Cuentas[Cuenta Contable],0),0)</f>
        <v>10</v>
      </c>
      <c r="AW223" s="32" t="str">
        <f>Tabla28313637[[#This Row],[Cuentas Contables]]</f>
        <v>Amortización</v>
      </c>
      <c r="AX223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23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23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23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23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23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23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23" s="124"/>
    </row>
    <row r="224" spans="1:16384" x14ac:dyDescent="0.25">
      <c r="D224" s="245">
        <f>IFERROR(MATCH(Tabla28313637[[#This Row],[Cuentas Contables]],Costos_Indirectos_Cuentas[Cuenta Contable],0),0)</f>
        <v>0</v>
      </c>
      <c r="E224" s="32"/>
      <c r="F224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24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24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24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24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24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24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24" s="124"/>
      <c r="Z224" s="245">
        <f>IFERROR(MATCH(Tabla2831363748[[#This Row],[Cuentas Contables]],Costos_Indirectos_Cuentas[Cuenta Contable],0),0)</f>
        <v>0</v>
      </c>
      <c r="AA224" s="32">
        <f>Tabla28313637[[#This Row],[Cuentas Contables]]</f>
        <v>0</v>
      </c>
      <c r="AB224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24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24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24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24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24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24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24" s="124"/>
      <c r="AV224" s="245">
        <f>IFERROR(MATCH(Tabla283136374857[[#This Row],[Cuentas Contables]],Costos_Indirectos_Cuentas[Cuenta Contable],0),0)</f>
        <v>0</v>
      </c>
      <c r="AW224" s="32">
        <f>Tabla28313637[[#This Row],[Cuentas Contables]]</f>
        <v>0</v>
      </c>
      <c r="AX224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24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24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24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24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24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24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24" s="124"/>
    </row>
    <row r="225" spans="1:16384" x14ac:dyDescent="0.25">
      <c r="B225" s="192"/>
      <c r="D225" s="245">
        <f>IFERROR(MATCH(Tabla28313637[[#This Row],[Cuentas Contables]],Costos_Indirectos_Cuentas[Cuenta Contable],0),0)</f>
        <v>14</v>
      </c>
      <c r="E225" s="32" t="s">
        <v>117</v>
      </c>
      <c r="F225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25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25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25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25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25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25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25" s="124"/>
      <c r="Z225" s="245">
        <f>IFERROR(MATCH(Tabla2831363748[[#This Row],[Cuentas Contables]],Costos_Indirectos_Cuentas[Cuenta Contable],0),0)</f>
        <v>14</v>
      </c>
      <c r="AA225" s="32" t="str">
        <f>Tabla28313637[[#This Row],[Cuentas Contables]]</f>
        <v>Tasas y Servicios Municipales</v>
      </c>
      <c r="AB225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25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25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25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25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25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25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25" s="124"/>
      <c r="AV225" s="245">
        <f>IFERROR(MATCH(Tabla283136374857[[#This Row],[Cuentas Contables]],Costos_Indirectos_Cuentas[Cuenta Contable],0),0)</f>
        <v>14</v>
      </c>
      <c r="AW225" s="32" t="str">
        <f>Tabla28313637[[#This Row],[Cuentas Contables]]</f>
        <v>Tasas y Servicios Municipales</v>
      </c>
      <c r="AX225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25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25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25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25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25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25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25" s="124"/>
    </row>
    <row r="226" spans="1:16384" x14ac:dyDescent="0.25">
      <c r="D226" s="245">
        <f>IFERROR(MATCH(Tabla28313637[[#This Row],[Cuentas Contables]],Costos_Indirectos_Cuentas[Cuenta Contable],0),0)</f>
        <v>13</v>
      </c>
      <c r="E226" s="32" t="s">
        <v>116</v>
      </c>
      <c r="F226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26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26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26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26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26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26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26" s="124"/>
      <c r="Z226" s="245">
        <f>IFERROR(MATCH(Tabla2831363748[[#This Row],[Cuentas Contables]],Costos_Indirectos_Cuentas[Cuenta Contable],0),0)</f>
        <v>13</v>
      </c>
      <c r="AA226" s="32" t="str">
        <f>Tabla28313637[[#This Row],[Cuentas Contables]]</f>
        <v>Impuestos Provinciales</v>
      </c>
      <c r="AB226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26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26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26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26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26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26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26" s="124"/>
      <c r="AV226" s="245">
        <f>IFERROR(MATCH(Tabla283136374857[[#This Row],[Cuentas Contables]],Costos_Indirectos_Cuentas[Cuenta Contable],0),0)</f>
        <v>13</v>
      </c>
      <c r="AW226" s="32" t="str">
        <f>Tabla28313637[[#This Row],[Cuentas Contables]]</f>
        <v>Impuestos Provinciales</v>
      </c>
      <c r="AX226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26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26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26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26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26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26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26" s="124"/>
    </row>
    <row r="227" spans="1:16384" x14ac:dyDescent="0.25">
      <c r="D227" s="245">
        <f>IFERROR(MATCH(Tabla28313637[[#This Row],[Cuentas Contables]],Costos_Indirectos_Cuentas[Cuenta Contable],0),0)</f>
        <v>15</v>
      </c>
      <c r="E227" s="32" t="str">
        <f>Configuración!CE19</f>
        <v>Impuesto Determinado IIGG</v>
      </c>
      <c r="F227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27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27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27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27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27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27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27" s="124"/>
      <c r="Z227" s="245">
        <f>IFERROR(MATCH(Tabla2831363748[[#This Row],[Cuentas Contables]],Costos_Indirectos_Cuentas[Cuenta Contable],0),0)</f>
        <v>15</v>
      </c>
      <c r="AA227" s="32" t="str">
        <f>Tabla28313637[[#This Row],[Cuentas Contables]]</f>
        <v>Impuesto Determinado IIGG</v>
      </c>
      <c r="AB227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27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27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27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27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27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27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27" s="124"/>
      <c r="AV227" s="245">
        <f>IFERROR(MATCH(Tabla283136374857[[#This Row],[Cuentas Contables]],Costos_Indirectos_Cuentas[Cuenta Contable],0),0)</f>
        <v>15</v>
      </c>
      <c r="AW227" s="32" t="str">
        <f>Tabla28313637[[#This Row],[Cuentas Contables]]</f>
        <v>Impuesto Determinado IIGG</v>
      </c>
      <c r="AX227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27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27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27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27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27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27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27" s="124"/>
    </row>
    <row r="228" spans="1:16384" x14ac:dyDescent="0.25">
      <c r="D228" s="245">
        <f>IFERROR(MATCH(Tabla28313637[[#This Row],[Cuentas Contables]],Costos_Indirectos_Cuentas[Cuenta Contable],0),0)</f>
        <v>16</v>
      </c>
      <c r="E228" s="32" t="str">
        <f>Configuración!CE20</f>
        <v>Anticipo IIGG</v>
      </c>
      <c r="F228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28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28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28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28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28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28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28" s="124"/>
      <c r="Z228" s="245">
        <f>IFERROR(MATCH(Tabla2831363748[[#This Row],[Cuentas Contables]],Costos_Indirectos_Cuentas[Cuenta Contable],0),0)</f>
        <v>16</v>
      </c>
      <c r="AA228" s="32" t="str">
        <f>Tabla28313637[[#This Row],[Cuentas Contables]]</f>
        <v>Anticipo IIGG</v>
      </c>
      <c r="AB228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28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28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28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28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28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28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28" s="124"/>
      <c r="AV228" s="245">
        <f>IFERROR(MATCH(Tabla283136374857[[#This Row],[Cuentas Contables]],Costos_Indirectos_Cuentas[Cuenta Contable],0),0)</f>
        <v>16</v>
      </c>
      <c r="AW228" s="32" t="str">
        <f>Tabla28313637[[#This Row],[Cuentas Contables]]</f>
        <v>Anticipo IIGG</v>
      </c>
      <c r="AX228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28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28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28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28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28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28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28" s="124"/>
    </row>
    <row r="229" spans="1:16384" x14ac:dyDescent="0.25">
      <c r="D229" s="245">
        <f>IFERROR(MATCH(Tabla28313637[[#This Row],[Cuentas Contables]],Costos_Indirectos_Cuentas[Cuenta Contable],0),0)</f>
        <v>17</v>
      </c>
      <c r="E229" s="32" t="str">
        <f>Configuración!CE21</f>
        <v>Pago IIGG</v>
      </c>
      <c r="F229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29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29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29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29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29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29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29" s="124"/>
      <c r="Z229" s="245">
        <f>IFERROR(MATCH(Tabla2831363748[[#This Row],[Cuentas Contables]],Costos_Indirectos_Cuentas[Cuenta Contable],0),0)</f>
        <v>17</v>
      </c>
      <c r="AA229" s="32" t="str">
        <f>Tabla28313637[[#This Row],[Cuentas Contables]]</f>
        <v>Pago IIGG</v>
      </c>
      <c r="AB229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29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29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29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29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29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29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29" s="124"/>
      <c r="AV229" s="245">
        <f>IFERROR(MATCH(Tabla283136374857[[#This Row],[Cuentas Contables]],Costos_Indirectos_Cuentas[Cuenta Contable],0),0)</f>
        <v>17</v>
      </c>
      <c r="AW229" s="32" t="str">
        <f>Tabla28313637[[#This Row],[Cuentas Contables]]</f>
        <v>Pago IIGG</v>
      </c>
      <c r="AX229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29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29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29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29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29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29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29" s="124"/>
    </row>
    <row r="230" spans="1:16384" x14ac:dyDescent="0.25">
      <c r="D230" s="245">
        <f>IFERROR(MATCH(Tabla28313637[[#This Row],[Cuentas Contables]],Costos_Indirectos_Cuentas[Cuenta Contable],0),0)</f>
        <v>24</v>
      </c>
      <c r="E230" s="32" t="str">
        <f>Configuración!CE28</f>
        <v>Aporte Accionistas</v>
      </c>
      <c r="F230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30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30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30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30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30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30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30" s="124"/>
      <c r="Z230" s="245">
        <f>IFERROR(MATCH(Tabla2831363748[[#This Row],[Cuentas Contables]],Costos_Indirectos_Cuentas[Cuenta Contable],0),0)</f>
        <v>24</v>
      </c>
      <c r="AA230" s="32" t="str">
        <f>Tabla28313637[[#This Row],[Cuentas Contables]]</f>
        <v>Aporte Accionistas</v>
      </c>
      <c r="AB230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30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30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30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30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30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30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30" s="124"/>
      <c r="AV230" s="245">
        <f>IFERROR(MATCH(Tabla283136374857[[#This Row],[Cuentas Contables]],Costos_Indirectos_Cuentas[Cuenta Contable],0),0)</f>
        <v>24</v>
      </c>
      <c r="AW230" s="32" t="str">
        <f>Tabla28313637[[#This Row],[Cuentas Contables]]</f>
        <v>Aporte Accionistas</v>
      </c>
      <c r="AX230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30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30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30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30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30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30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30" s="124"/>
    </row>
    <row r="231" spans="1:16384" x14ac:dyDescent="0.25">
      <c r="D231" s="245">
        <f>IFERROR(MATCH(Tabla28313637[[#This Row],[Cuentas Contables]],Costos_Indirectos_Cuentas[Cuenta Contable],0),0)</f>
        <v>0</v>
      </c>
      <c r="E231" s="32"/>
      <c r="F231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31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31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31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31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31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31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31" s="124"/>
      <c r="Z231" s="245">
        <f>IFERROR(MATCH(Tabla2831363748[[#This Row],[Cuentas Contables]],Costos_Indirectos_Cuentas[Cuenta Contable],0),0)</f>
        <v>0</v>
      </c>
      <c r="AA231" s="32">
        <f>Tabla28313637[[#This Row],[Cuentas Contables]]</f>
        <v>0</v>
      </c>
      <c r="AB231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31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31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31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31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31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31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31" s="124"/>
      <c r="AV231" s="245">
        <f>IFERROR(MATCH(Tabla283136374857[[#This Row],[Cuentas Contables]],Costos_Indirectos_Cuentas[Cuenta Contable],0),0)</f>
        <v>0</v>
      </c>
      <c r="AW231" s="32">
        <f>Tabla28313637[[#This Row],[Cuentas Contables]]</f>
        <v>0</v>
      </c>
      <c r="AX231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31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31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31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31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31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31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31" s="124"/>
    </row>
    <row r="232" spans="1:16384" x14ac:dyDescent="0.25">
      <c r="D232" s="245">
        <f>IFERROR(MATCH(Tabla28313637[[#This Row],[Cuentas Contables]],Costos_Indirectos_Cuentas[Cuenta Contable],0),0)</f>
        <v>20</v>
      </c>
      <c r="E232" s="32" t="str">
        <f>Configuración!CE24</f>
        <v>Compra Bienes de Uso</v>
      </c>
      <c r="F232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32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32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32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32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32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32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32" s="124"/>
      <c r="Z232" s="245">
        <f>IFERROR(MATCH(Tabla2831363748[[#This Row],[Cuentas Contables]],Costos_Indirectos_Cuentas[Cuenta Contable],0),0)</f>
        <v>20</v>
      </c>
      <c r="AA232" s="32" t="str">
        <f>Tabla28313637[[#This Row],[Cuentas Contables]]</f>
        <v>Compra Bienes de Uso</v>
      </c>
      <c r="AB232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32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32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32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32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32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32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32" s="124"/>
      <c r="AV232" s="245">
        <f>IFERROR(MATCH(Tabla283136374857[[#This Row],[Cuentas Contables]],Costos_Indirectos_Cuentas[Cuenta Contable],0),0)</f>
        <v>20</v>
      </c>
      <c r="AW232" s="32" t="str">
        <f>Tabla28313637[[#This Row],[Cuentas Contables]]</f>
        <v>Compra Bienes de Uso</v>
      </c>
      <c r="AX232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32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32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32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32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32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32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32" s="124"/>
    </row>
    <row r="233" spans="1:16384" x14ac:dyDescent="0.25">
      <c r="D233" s="245">
        <f>IFERROR(MATCH(Tabla28313637[[#This Row],[Cuentas Contables]],Costos_Indirectos_Cuentas[Cuenta Contable],0),0)</f>
        <v>21</v>
      </c>
      <c r="E233" s="32" t="str">
        <f>Configuración!CE25</f>
        <v>Venta Bienes de Uso</v>
      </c>
      <c r="F233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33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33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33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33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33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33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33" s="124"/>
      <c r="Z233" s="245">
        <f>IFERROR(MATCH(Tabla2831363748[[#This Row],[Cuentas Contables]],Costos_Indirectos_Cuentas[Cuenta Contable],0),0)</f>
        <v>21</v>
      </c>
      <c r="AA233" s="32" t="str">
        <f>Tabla28313637[[#This Row],[Cuentas Contables]]</f>
        <v>Venta Bienes de Uso</v>
      </c>
      <c r="AB233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33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33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33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33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33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33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33" s="124"/>
      <c r="AV233" s="245">
        <f>IFERROR(MATCH(Tabla283136374857[[#This Row],[Cuentas Contables]],Costos_Indirectos_Cuentas[Cuenta Contable],0),0)</f>
        <v>21</v>
      </c>
      <c r="AW233" s="32" t="str">
        <f>Tabla28313637[[#This Row],[Cuentas Contables]]</f>
        <v>Venta Bienes de Uso</v>
      </c>
      <c r="AX233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33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33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33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33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33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33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33" s="124"/>
    </row>
    <row r="234" spans="1:16384" x14ac:dyDescent="0.25">
      <c r="D234" s="245">
        <f>IFERROR(MATCH(Tabla28313637[[#This Row],[Cuentas Contables]],Costos_Indirectos_Cuentas[Cuenta Contable],0),0)</f>
        <v>0</v>
      </c>
      <c r="E234" s="32"/>
      <c r="F234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34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34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34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34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34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34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34" s="124"/>
      <c r="Z234" s="245">
        <f>IFERROR(MATCH(Tabla2831363748[[#This Row],[Cuentas Contables]],Costos_Indirectos_Cuentas[Cuenta Contable],0),0)</f>
        <v>0</v>
      </c>
      <c r="AA234" s="32">
        <f>Tabla28313637[[#This Row],[Cuentas Contables]]</f>
        <v>0</v>
      </c>
      <c r="AB234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34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34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34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34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34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34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34" s="124"/>
      <c r="AV234" s="245">
        <f>IFERROR(MATCH(Tabla283136374857[[#This Row],[Cuentas Contables]],Costos_Indirectos_Cuentas[Cuenta Contable],0),0)</f>
        <v>0</v>
      </c>
      <c r="AW234" s="32">
        <f>Tabla28313637[[#This Row],[Cuentas Contables]]</f>
        <v>0</v>
      </c>
      <c r="AX234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34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34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34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34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34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34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34" s="124"/>
    </row>
    <row r="235" spans="1:16384" x14ac:dyDescent="0.25">
      <c r="D235" s="245">
        <f>IFERROR(MATCH(Tabla28313637[[#This Row],[Cuentas Contables]],Costos_Indirectos_Cuentas[Cuenta Contable],0),0)</f>
        <v>24</v>
      </c>
      <c r="E235" s="32" t="s">
        <v>287</v>
      </c>
      <c r="F235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35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35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35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35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35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35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35" s="124"/>
      <c r="Z235" s="245">
        <f>IFERROR(MATCH(Tabla2831363748[[#This Row],[Cuentas Contables]],Costos_Indirectos_Cuentas[Cuenta Contable],0),0)</f>
        <v>24</v>
      </c>
      <c r="AA235" s="32" t="str">
        <f>Tabla28313637[[#This Row],[Cuentas Contables]]</f>
        <v>Aporte Accionistas</v>
      </c>
      <c r="AB235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35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35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35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35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35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35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35" s="124"/>
      <c r="AV235" s="245">
        <f>IFERROR(MATCH(Tabla283136374857[[#This Row],[Cuentas Contables]],Costos_Indirectos_Cuentas[Cuenta Contable],0),0)</f>
        <v>24</v>
      </c>
      <c r="AW235" s="32" t="str">
        <f>Tabla28313637[[#This Row],[Cuentas Contables]]</f>
        <v>Aporte Accionistas</v>
      </c>
      <c r="AX235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35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35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35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35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35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35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35" s="124"/>
    </row>
    <row r="236" spans="1:16384" x14ac:dyDescent="0.25">
      <c r="B236" s="241" t="s">
        <v>101</v>
      </c>
      <c r="D236" s="245">
        <f>IFERROR(MATCH(Tabla28313637[[#This Row],[Cuentas Contables]],Costos_Indirectos_Cuentas[Cuenta Contable],0),0)</f>
        <v>25</v>
      </c>
      <c r="E236" s="32" t="s">
        <v>283</v>
      </c>
      <c r="F236" s="10">
        <f>IFERROR(SUMPRODUCT((Tabla28313637[[#This Row],[Cuentas Contables]]=Indirectos[Cuenta Contable])*(Económico!$F$5=Indirectos[Campaña])*(Indirectos[Económico U$S Dólares])*(F$213=Indirectos[Unidad de Negocio])*($F$4=Indirectos[C. Costo Reporte])*(Indirectos[Econ.]="SI")),0)</f>
        <v>0</v>
      </c>
      <c r="G236" s="10">
        <f>IFERROR(SUMPRODUCT((Tabla28313637[[#This Row],[Cuentas Contables]]=Indirectos[Cuenta Contable])*(Económico!$F$5=Indirectos[Campaña])*(Indirectos[Económico U$S Dólares])*(G$213=Indirectos[Unidad de Negocio])*($F$4=Indirectos[C. Costo Reporte])*(Indirectos[Econ.]="SI")),0)</f>
        <v>0</v>
      </c>
      <c r="H236" s="10">
        <f>IFERROR(SUMPRODUCT((Tabla28313637[[#This Row],[Cuentas Contables]]=Indirectos[Cuenta Contable])*(Económico!$F$5=Indirectos[Campaña])*(Indirectos[Económico U$S Dólares])*(H$213=Indirectos[Unidad de Negocio])*($F$4=Indirectos[C. Costo Reporte])*(Indirectos[Econ.]="SI")),0)</f>
        <v>0</v>
      </c>
      <c r="I236" s="10">
        <f>IFERROR(SUMPRODUCT((Tabla28313637[[#This Row],[Cuentas Contables]]=Indirectos[Cuenta Contable])*(Económico!$F$5=Indirectos[Campaña])*(Indirectos[Económico U$S Dólares])*(I$213=Indirectos[Unidad de Negocio])*($F$4=Indirectos[C. Costo Reporte])*(Indirectos[Econ.]="SI")),0)</f>
        <v>0</v>
      </c>
      <c r="J236" s="10">
        <f>IFERROR(SUMPRODUCT((Tabla28313637[[#This Row],[Cuentas Contables]]=Indirectos[Cuenta Contable])*(Económico!$F$5=Indirectos[Campaña])*(Indirectos[Económico U$S Dólares])*(J$213=Indirectos[Unidad de Negocio])*($F$4=Indirectos[C. Costo Reporte])*(Indirectos[Econ.]="SI")),0)</f>
        <v>0</v>
      </c>
      <c r="K236" s="10">
        <f>IFERROR(SUMPRODUCT((Tabla28313637[[#This Row],[Cuentas Contables]]=Indirectos[Cuenta Contable])*(Económico!$F$5=Indirectos[Campaña])*(Indirectos[Económico U$S Dólares])*(K$213=Indirectos[Unidad de Negocio])*($F$4=Indirectos[C. Costo Reporte])*(Indirectos[Econ.]="SI")),0)</f>
        <v>0</v>
      </c>
      <c r="L236" s="10">
        <f>IFERROR(SUMPRODUCT((Tabla28313637[[#This Row],[Cuentas Contables]]=Indirectos[Cuenta Contable])*(Económico!$F$5=Indirectos[Campaña])*(Indirectos[Económico U$S Dólares])*(L$213=Indirectos[Unidad de Negocio])*($F$4=Indirectos[C. Costo Reporte])*(Indirectos[Econ.]="SI")),0)</f>
        <v>0</v>
      </c>
      <c r="Q236" s="124"/>
      <c r="X236" s="241" t="s">
        <v>101</v>
      </c>
      <c r="Z236" s="245">
        <f>IFERROR(MATCH(Tabla2831363748[[#This Row],[Cuentas Contables]],Costos_Indirectos_Cuentas[Cuenta Contable],0),0)</f>
        <v>25</v>
      </c>
      <c r="AA236" s="32" t="str">
        <f>Tabla28313637[[#This Row],[Cuentas Contables]]</f>
        <v>Dividendos</v>
      </c>
      <c r="AB236" s="10">
        <f>IFERROR(SUMPRODUCT((Tabla2831363748[[#This Row],[Cuentas Contables]]=Indirectos[Cuenta Contable])*(Económico!$F$5=Indirectos[Campaña])*(Indirectos[Económico $Corrientes])*(AB$213=Indirectos[Unidad de Negocio])*($F$4=Indirectos[C. Costo Reporte])*(Indirectos[Econ.]="SI")),0)</f>
        <v>0</v>
      </c>
      <c r="AC236" s="10">
        <f>IFERROR(SUMPRODUCT((Tabla2831363748[[#This Row],[Cuentas Contables]]=Indirectos[Cuenta Contable])*(Económico!$F$5=Indirectos[Campaña])*(Indirectos[Económico $Corrientes])*(AC$213=Indirectos[Unidad de Negocio])*($F$4=Indirectos[C. Costo Reporte])*(Indirectos[Econ.]="SI")),0)</f>
        <v>0</v>
      </c>
      <c r="AD236" s="10">
        <f>IFERROR(SUMPRODUCT((Tabla2831363748[[#This Row],[Cuentas Contables]]=Indirectos[Cuenta Contable])*(Económico!$F$5=Indirectos[Campaña])*(Indirectos[Económico $Corrientes])*(AD$213=Indirectos[Unidad de Negocio])*($F$4=Indirectos[C. Costo Reporte])*(Indirectos[Econ.]="SI")),0)</f>
        <v>0</v>
      </c>
      <c r="AE236" s="10">
        <f>IFERROR(SUMPRODUCT((Tabla2831363748[[#This Row],[Cuentas Contables]]=Indirectos[Cuenta Contable])*(Económico!$F$5=Indirectos[Campaña])*(Indirectos[Económico $Corrientes])*(AE$213=Indirectos[Unidad de Negocio])*($F$4=Indirectos[C. Costo Reporte])*(Indirectos[Econ.]="SI")),0)</f>
        <v>0</v>
      </c>
      <c r="AF236" s="10">
        <f>IFERROR(SUMPRODUCT((Tabla2831363748[[#This Row],[Cuentas Contables]]=Indirectos[Cuenta Contable])*(Económico!$F$5=Indirectos[Campaña])*(Indirectos[Económico $Corrientes])*(AF$213=Indirectos[Unidad de Negocio])*($F$4=Indirectos[C. Costo Reporte])*(Indirectos[Econ.]="SI")),0)</f>
        <v>0</v>
      </c>
      <c r="AG236" s="10">
        <f>IFERROR(SUMPRODUCT((Tabla2831363748[[#This Row],[Cuentas Contables]]=Indirectos[Cuenta Contable])*(Económico!$F$5=Indirectos[Campaña])*(Indirectos[Económico $Corrientes])*(AG$213=Indirectos[Unidad de Negocio])*($F$4=Indirectos[C. Costo Reporte])*(Indirectos[Econ.]="SI")),0)</f>
        <v>0</v>
      </c>
      <c r="AH236" s="10">
        <f>IFERROR(SUMPRODUCT((Tabla2831363748[[#This Row],[Cuentas Contables]]=Indirectos[Cuenta Contable])*(Económico!$F$5=Indirectos[Campaña])*(Indirectos[Económico $Corrientes])*(AH$213=Indirectos[Unidad de Negocio])*($F$4=Indirectos[C. Costo Reporte])*(Indirectos[Econ.]="SI")),0)</f>
        <v>0</v>
      </c>
      <c r="AM236" s="124"/>
      <c r="AT236" s="241" t="s">
        <v>101</v>
      </c>
      <c r="AV236" s="245">
        <f>IFERROR(MATCH(Tabla283136374857[[#This Row],[Cuentas Contables]],Costos_Indirectos_Cuentas[Cuenta Contable],0),0)</f>
        <v>25</v>
      </c>
      <c r="AW236" s="32" t="str">
        <f>Tabla28313637[[#This Row],[Cuentas Contables]]</f>
        <v>Dividendos</v>
      </c>
      <c r="AX236" s="10">
        <f>IFERROR(SUMPRODUCT((Tabla283136374857[[#This Row],[Cuentas Contables]]=Indirectos[Cuenta Contable])*(Económico!$F$5=Indirectos[Campaña])*(Indirectos[Económico $Constantes])*(AX$213=Indirectos[Unidad de Negocio])*($F$4=Indirectos[C. Costo Reporte])*(Indirectos[Econ.]="SI")),0)</f>
        <v>0</v>
      </c>
      <c r="AY236" s="10">
        <f>IFERROR(SUMPRODUCT((Tabla283136374857[[#This Row],[Cuentas Contables]]=Indirectos[Cuenta Contable])*(Económico!$F$5=Indirectos[Campaña])*(Indirectos[Económico $Constantes])*(AY$213=Indirectos[Unidad de Negocio])*($F$4=Indirectos[C. Costo Reporte])*(Indirectos[Econ.]="SI")),0)</f>
        <v>0</v>
      </c>
      <c r="AZ236" s="10">
        <f>IFERROR(SUMPRODUCT((Tabla283136374857[[#This Row],[Cuentas Contables]]=Indirectos[Cuenta Contable])*(Económico!$F$5=Indirectos[Campaña])*(Indirectos[Económico $Constantes])*(AZ$213=Indirectos[Unidad de Negocio])*($F$4=Indirectos[C. Costo Reporte])*(Indirectos[Econ.]="SI")),0)</f>
        <v>0</v>
      </c>
      <c r="BA236" s="10">
        <f>IFERROR(SUMPRODUCT((Tabla283136374857[[#This Row],[Cuentas Contables]]=Indirectos[Cuenta Contable])*(Económico!$F$5=Indirectos[Campaña])*(Indirectos[Económico $Constantes])*(BA$213=Indirectos[Unidad de Negocio])*($F$4=Indirectos[C. Costo Reporte])*(Indirectos[Econ.]="SI")),0)</f>
        <v>0</v>
      </c>
      <c r="BB236" s="10">
        <f>IFERROR(SUMPRODUCT((Tabla283136374857[[#This Row],[Cuentas Contables]]=Indirectos[Cuenta Contable])*(Económico!$F$5=Indirectos[Campaña])*(Indirectos[Económico $Constantes])*(BB$213=Indirectos[Unidad de Negocio])*($F$4=Indirectos[C. Costo Reporte])*(Indirectos[Econ.]="SI")),0)</f>
        <v>0</v>
      </c>
      <c r="BC236" s="10">
        <f>IFERROR(SUMPRODUCT((Tabla283136374857[[#This Row],[Cuentas Contables]]=Indirectos[Cuenta Contable])*(Económico!$F$5=Indirectos[Campaña])*(Indirectos[Económico $Constantes])*(BC$213=Indirectos[Unidad de Negocio])*($F$4=Indirectos[C. Costo Reporte])*(Indirectos[Econ.]="SI")),0)</f>
        <v>0</v>
      </c>
      <c r="BD236" s="10">
        <f>IFERROR(SUMPRODUCT((Tabla283136374857[[#This Row],[Cuentas Contables]]=Indirectos[Cuenta Contable])*(Económico!$F$5=Indirectos[Campaña])*(Indirectos[Económico $Constantes])*(BD$213=Indirectos[Unidad de Negocio])*($F$4=Indirectos[C. Costo Reporte])*(Indirectos[Econ.]="SI")),0)</f>
        <v>0</v>
      </c>
      <c r="BI236" s="124"/>
    </row>
    <row r="237" spans="1:16384" x14ac:dyDescent="0.25">
      <c r="E237" s="92" t="s">
        <v>249</v>
      </c>
      <c r="F237" s="250">
        <f>SUBTOTAL(109,Tabla28313637[Estructura])</f>
        <v>0</v>
      </c>
      <c r="G237" s="250">
        <f>SUBTOTAL(109,Tabla28313637[Administración])</f>
        <v>0</v>
      </c>
      <c r="H237" s="250">
        <f>SUBTOTAL(109,Tabla28313637[Impuestos])</f>
        <v>0</v>
      </c>
      <c r="I237" s="250">
        <f>SUBTOTAL(109,Tabla28313637[Dividendos])</f>
        <v>0</v>
      </c>
      <c r="J237" s="250">
        <f>SUBTOTAL(109,Tabla28313637[Inversiones])</f>
        <v>0</v>
      </c>
      <c r="K237" s="250">
        <f>SUBTOTAL(109,Tabla28313637[Columna3])</f>
        <v>0</v>
      </c>
      <c r="L237" s="250">
        <f>SUBTOTAL(109,Tabla28313637[Columna4])</f>
        <v>0</v>
      </c>
      <c r="Q237" s="124"/>
      <c r="AA237" s="412" t="s">
        <v>249</v>
      </c>
      <c r="AB237" s="250">
        <f>SUBTOTAL(109,Tabla2831363748[Estructura])</f>
        <v>0</v>
      </c>
      <c r="AC237" s="250">
        <f>SUBTOTAL(109,Tabla2831363748[Administración])</f>
        <v>0</v>
      </c>
      <c r="AD237" s="250">
        <f>SUBTOTAL(109,Tabla2831363748[Impuestos])</f>
        <v>0</v>
      </c>
      <c r="AE237" s="250">
        <f>SUBTOTAL(109,Tabla2831363748[Dividendos])</f>
        <v>0</v>
      </c>
      <c r="AF237" s="250">
        <f>SUBTOTAL(109,Tabla2831363748[Inversiones])</f>
        <v>0</v>
      </c>
      <c r="AG237" s="250">
        <f>SUBTOTAL(109,Tabla2831363748[Columna3])</f>
        <v>0</v>
      </c>
      <c r="AH237" s="250">
        <f>SUBTOTAL(109,Tabla2831363748[Columna4])</f>
        <v>0</v>
      </c>
      <c r="AM237" s="124"/>
      <c r="AW237" s="412" t="s">
        <v>249</v>
      </c>
      <c r="AX237" s="250">
        <f>SUBTOTAL(109,Tabla283136374857[Estructura])</f>
        <v>0</v>
      </c>
      <c r="AY237" s="250">
        <f>SUBTOTAL(109,Tabla283136374857[Administración])</f>
        <v>0</v>
      </c>
      <c r="AZ237" s="250">
        <f>SUBTOTAL(109,Tabla283136374857[Impuestos])</f>
        <v>0</v>
      </c>
      <c r="BA237" s="250">
        <f>SUBTOTAL(109,Tabla283136374857[Dividendos])</f>
        <v>0</v>
      </c>
      <c r="BB237" s="250">
        <f>SUBTOTAL(109,Tabla283136374857[Inversiones])</f>
        <v>0</v>
      </c>
      <c r="BC237" s="250">
        <f>SUBTOTAL(109,Tabla283136374857[Columna3])</f>
        <v>0</v>
      </c>
      <c r="BD237" s="250">
        <f>SUBTOTAL(109,Tabla283136374857[Columna4])</f>
        <v>0</v>
      </c>
      <c r="BI237" s="124"/>
    </row>
    <row r="238" spans="1:16384" x14ac:dyDescent="0.25">
      <c r="A238" s="243"/>
      <c r="B238" s="242"/>
      <c r="C238" s="243"/>
      <c r="D238" s="243"/>
      <c r="E238" s="243"/>
      <c r="F238" s="244"/>
      <c r="G238" s="244"/>
      <c r="H238" s="244"/>
      <c r="I238" s="244"/>
      <c r="J238" s="244"/>
      <c r="K238" s="244"/>
      <c r="L238" s="244"/>
      <c r="M238" s="244"/>
      <c r="N238" s="244"/>
      <c r="O238" s="244"/>
      <c r="P238" s="244"/>
      <c r="Q238" s="243"/>
      <c r="R238" s="243"/>
      <c r="S238" s="243"/>
      <c r="T238" s="243"/>
      <c r="U238" s="243"/>
      <c r="V238" s="447"/>
      <c r="W238" s="243"/>
      <c r="X238" s="242"/>
      <c r="Y238" s="243"/>
      <c r="Z238" s="243"/>
      <c r="AA238" s="460"/>
      <c r="AB238" s="244"/>
      <c r="AC238" s="244"/>
      <c r="AD238" s="244"/>
      <c r="AE238" s="244"/>
      <c r="AF238" s="244"/>
      <c r="AG238" s="244"/>
      <c r="AH238" s="244"/>
      <c r="AI238" s="244"/>
      <c r="AJ238" s="244"/>
      <c r="AK238" s="244"/>
      <c r="AL238" s="244"/>
      <c r="AM238" s="243"/>
      <c r="AN238" s="243"/>
      <c r="AO238" s="243"/>
      <c r="AP238" s="243"/>
      <c r="AQ238" s="243"/>
      <c r="AR238" s="447"/>
      <c r="AS238" s="243"/>
      <c r="AT238" s="242"/>
      <c r="AU238" s="243"/>
      <c r="AV238" s="243"/>
      <c r="AW238" s="460"/>
      <c r="AX238" s="244"/>
      <c r="AY238" s="244"/>
      <c r="AZ238" s="244"/>
      <c r="BA238" s="244"/>
      <c r="BB238" s="244"/>
      <c r="BC238" s="244"/>
      <c r="BD238" s="244"/>
      <c r="BE238" s="244"/>
      <c r="BF238" s="244"/>
      <c r="BG238" s="244"/>
      <c r="BH238" s="244"/>
      <c r="BI238" s="243"/>
      <c r="BJ238" s="243"/>
      <c r="BK238" s="243"/>
      <c r="BL238" s="243"/>
      <c r="BM238" s="243"/>
      <c r="BN238" s="243"/>
      <c r="BO238" s="243"/>
      <c r="BP238" s="243"/>
      <c r="BQ238" s="243"/>
      <c r="BR238" s="243"/>
      <c r="BS238" s="243"/>
      <c r="BT238" s="243"/>
      <c r="BU238" s="243"/>
      <c r="BV238" s="243"/>
      <c r="BW238" s="243"/>
      <c r="BX238" s="243"/>
      <c r="BY238" s="243"/>
      <c r="BZ238" s="243"/>
      <c r="CA238" s="243"/>
      <c r="CB238" s="243"/>
      <c r="CC238" s="243"/>
      <c r="CD238" s="243"/>
      <c r="CE238" s="243"/>
      <c r="CF238" s="243"/>
      <c r="CG238" s="243"/>
      <c r="CH238" s="243"/>
      <c r="CI238" s="243"/>
      <c r="CJ238" s="243"/>
      <c r="CK238" s="243"/>
      <c r="CL238" s="243"/>
      <c r="CM238" s="243"/>
      <c r="CN238" s="243"/>
      <c r="CO238" s="243"/>
      <c r="CP238" s="243"/>
      <c r="CQ238" s="243"/>
      <c r="CR238" s="243"/>
      <c r="CS238" s="243"/>
      <c r="CT238" s="243"/>
      <c r="CU238" s="243"/>
      <c r="CV238" s="243"/>
      <c r="CW238" s="243"/>
      <c r="CX238" s="243"/>
      <c r="CY238" s="243"/>
      <c r="CZ238" s="243"/>
      <c r="DA238" s="243"/>
      <c r="DB238" s="243"/>
      <c r="DC238" s="243"/>
      <c r="DD238" s="243"/>
      <c r="DE238" s="243"/>
      <c r="DF238" s="243"/>
      <c r="DG238" s="243"/>
      <c r="DH238" s="243"/>
      <c r="DI238" s="243"/>
      <c r="DJ238" s="243"/>
      <c r="DK238" s="243"/>
      <c r="DL238" s="243"/>
      <c r="DM238" s="243"/>
      <c r="DN238" s="243"/>
      <c r="DO238" s="243"/>
      <c r="DP238" s="243"/>
      <c r="DQ238" s="243"/>
      <c r="DR238" s="243"/>
      <c r="DS238" s="243"/>
      <c r="DT238" s="243"/>
      <c r="DU238" s="243"/>
      <c r="DV238" s="243"/>
      <c r="DW238" s="243"/>
      <c r="DX238" s="243"/>
      <c r="DY238" s="243"/>
      <c r="DZ238" s="243"/>
      <c r="EA238" s="243"/>
      <c r="EB238" s="243"/>
      <c r="EC238" s="243"/>
      <c r="ED238" s="243"/>
      <c r="EE238" s="243"/>
      <c r="EF238" s="243"/>
      <c r="EG238" s="243"/>
      <c r="EH238" s="243"/>
      <c r="EI238" s="243"/>
      <c r="EJ238" s="243"/>
      <c r="EK238" s="243"/>
      <c r="EL238" s="243"/>
      <c r="EM238" s="243"/>
      <c r="EN238" s="243"/>
      <c r="EO238" s="243"/>
      <c r="EP238" s="243"/>
      <c r="EQ238" s="243"/>
      <c r="ER238" s="243"/>
      <c r="ES238" s="243"/>
      <c r="ET238" s="243"/>
      <c r="EU238" s="243"/>
      <c r="EV238" s="243"/>
      <c r="EW238" s="243"/>
      <c r="EX238" s="243"/>
      <c r="EY238" s="243"/>
      <c r="EZ238" s="243"/>
      <c r="FA238" s="243"/>
      <c r="FB238" s="243"/>
      <c r="FC238" s="243"/>
      <c r="FD238" s="243"/>
      <c r="FE238" s="243"/>
      <c r="FF238" s="243"/>
      <c r="FG238" s="243"/>
      <c r="FH238" s="243"/>
      <c r="FI238" s="243"/>
      <c r="FJ238" s="243"/>
      <c r="FK238" s="243"/>
      <c r="FL238" s="243"/>
      <c r="FM238" s="243"/>
      <c r="FN238" s="243"/>
      <c r="FO238" s="243"/>
      <c r="FP238" s="243"/>
      <c r="FQ238" s="243"/>
      <c r="FR238" s="243"/>
      <c r="FS238" s="243"/>
      <c r="FT238" s="243"/>
      <c r="FU238" s="243"/>
      <c r="FV238" s="243"/>
      <c r="FW238" s="243"/>
      <c r="FX238" s="243"/>
      <c r="FY238" s="243"/>
      <c r="FZ238" s="243"/>
      <c r="GA238" s="243"/>
      <c r="GB238" s="243"/>
      <c r="GC238" s="243"/>
      <c r="GD238" s="243"/>
      <c r="GE238" s="243"/>
      <c r="GF238" s="243"/>
      <c r="GG238" s="243"/>
      <c r="GH238" s="243"/>
      <c r="GI238" s="243"/>
      <c r="GJ238" s="243"/>
      <c r="GK238" s="243"/>
      <c r="GL238" s="243"/>
      <c r="GM238" s="243"/>
      <c r="GN238" s="243"/>
      <c r="GO238" s="243"/>
      <c r="GP238" s="243"/>
      <c r="GQ238" s="243"/>
      <c r="GR238" s="243"/>
      <c r="GS238" s="243"/>
      <c r="GT238" s="243"/>
      <c r="GU238" s="243"/>
      <c r="GV238" s="243"/>
      <c r="GW238" s="243"/>
      <c r="GX238" s="243"/>
      <c r="GY238" s="243"/>
      <c r="GZ238" s="243"/>
      <c r="HA238" s="243"/>
      <c r="HB238" s="243"/>
      <c r="HC238" s="243"/>
      <c r="HD238" s="243"/>
      <c r="HE238" s="243"/>
      <c r="HF238" s="243"/>
      <c r="HG238" s="243"/>
      <c r="HH238" s="243"/>
      <c r="HI238" s="243"/>
      <c r="HJ238" s="243"/>
      <c r="HK238" s="243"/>
      <c r="HL238" s="243"/>
      <c r="HM238" s="243"/>
      <c r="HN238" s="243"/>
      <c r="HO238" s="243"/>
      <c r="HP238" s="243"/>
      <c r="HQ238" s="243"/>
      <c r="HR238" s="243"/>
      <c r="HS238" s="243"/>
      <c r="HT238" s="243"/>
      <c r="HU238" s="243"/>
      <c r="HV238" s="243"/>
      <c r="HW238" s="243"/>
      <c r="HX238" s="243"/>
      <c r="HY238" s="243"/>
      <c r="HZ238" s="243"/>
      <c r="IA238" s="243"/>
      <c r="IB238" s="243"/>
      <c r="IC238" s="243"/>
      <c r="ID238" s="243"/>
      <c r="IE238" s="243"/>
      <c r="IF238" s="243"/>
      <c r="IG238" s="243"/>
      <c r="IH238" s="243"/>
      <c r="II238" s="243"/>
      <c r="IJ238" s="243"/>
      <c r="IK238" s="243"/>
      <c r="IL238" s="243"/>
      <c r="IM238" s="243"/>
      <c r="IN238" s="243"/>
      <c r="IO238" s="243"/>
      <c r="IP238" s="243"/>
      <c r="IQ238" s="243"/>
      <c r="IR238" s="243"/>
      <c r="IS238" s="243"/>
      <c r="IT238" s="243"/>
      <c r="IU238" s="243"/>
      <c r="IV238" s="243"/>
      <c r="IW238" s="243"/>
      <c r="IX238" s="243"/>
      <c r="IY238" s="243"/>
      <c r="IZ238" s="243"/>
      <c r="JA238" s="243"/>
      <c r="JB238" s="243"/>
      <c r="JC238" s="243"/>
      <c r="JD238" s="243"/>
      <c r="JE238" s="243"/>
      <c r="JF238" s="243"/>
      <c r="JG238" s="243"/>
      <c r="JH238" s="243"/>
      <c r="JI238" s="243"/>
      <c r="JJ238" s="243"/>
      <c r="JK238" s="243"/>
      <c r="JL238" s="243"/>
      <c r="JM238" s="243"/>
      <c r="JN238" s="243"/>
      <c r="JO238" s="243"/>
      <c r="JP238" s="243"/>
      <c r="JQ238" s="243"/>
      <c r="JR238" s="243"/>
      <c r="JS238" s="243"/>
      <c r="JT238" s="243"/>
      <c r="JU238" s="243"/>
      <c r="JV238" s="243"/>
      <c r="JW238" s="243"/>
      <c r="JX238" s="243"/>
      <c r="JY238" s="243"/>
      <c r="JZ238" s="243"/>
      <c r="KA238" s="243"/>
      <c r="KB238" s="243"/>
      <c r="KC238" s="243"/>
      <c r="KD238" s="243"/>
      <c r="KE238" s="243"/>
      <c r="KF238" s="243"/>
      <c r="KG238" s="243"/>
      <c r="KH238" s="243"/>
      <c r="KI238" s="243"/>
      <c r="KJ238" s="243"/>
      <c r="KK238" s="243"/>
      <c r="KL238" s="243"/>
      <c r="KM238" s="243"/>
      <c r="KN238" s="243"/>
      <c r="KO238" s="243"/>
      <c r="KP238" s="243"/>
      <c r="KQ238" s="243"/>
      <c r="KR238" s="243"/>
      <c r="KS238" s="243"/>
      <c r="KT238" s="243"/>
      <c r="KU238" s="243"/>
      <c r="KV238" s="243"/>
      <c r="KW238" s="243"/>
      <c r="KX238" s="243"/>
      <c r="KY238" s="243"/>
      <c r="KZ238" s="243"/>
      <c r="LA238" s="243"/>
      <c r="LB238" s="243"/>
      <c r="LC238" s="243"/>
      <c r="LD238" s="243"/>
      <c r="LE238" s="243"/>
      <c r="LF238" s="243"/>
      <c r="LG238" s="243"/>
      <c r="LH238" s="243"/>
      <c r="LI238" s="243"/>
      <c r="LJ238" s="243"/>
      <c r="LK238" s="243"/>
      <c r="LL238" s="243"/>
      <c r="LM238" s="243"/>
      <c r="LN238" s="243"/>
      <c r="LO238" s="243"/>
      <c r="LP238" s="243"/>
      <c r="LQ238" s="243"/>
      <c r="LR238" s="243"/>
      <c r="LS238" s="243"/>
      <c r="LT238" s="243"/>
      <c r="LU238" s="243"/>
      <c r="LV238" s="243"/>
      <c r="LW238" s="243"/>
      <c r="LX238" s="243"/>
      <c r="LY238" s="243"/>
      <c r="LZ238" s="243"/>
      <c r="MA238" s="243"/>
      <c r="MB238" s="243"/>
      <c r="MC238" s="243"/>
      <c r="MD238" s="243"/>
      <c r="ME238" s="243"/>
      <c r="MF238" s="243"/>
      <c r="MG238" s="243"/>
      <c r="MH238" s="243"/>
      <c r="MI238" s="243"/>
      <c r="MJ238" s="243"/>
      <c r="MK238" s="243"/>
      <c r="ML238" s="243"/>
      <c r="MM238" s="243"/>
      <c r="MN238" s="243"/>
      <c r="MO238" s="243"/>
      <c r="MP238" s="243"/>
      <c r="MQ238" s="243"/>
      <c r="MR238" s="243"/>
      <c r="MS238" s="243"/>
      <c r="MT238" s="243"/>
      <c r="MU238" s="243"/>
      <c r="MV238" s="243"/>
      <c r="MW238" s="243"/>
      <c r="MX238" s="243"/>
      <c r="MY238" s="243"/>
      <c r="MZ238" s="243"/>
      <c r="NA238" s="243"/>
      <c r="NB238" s="243"/>
      <c r="NC238" s="243"/>
      <c r="ND238" s="243"/>
      <c r="NE238" s="243"/>
      <c r="NF238" s="243"/>
      <c r="NG238" s="243"/>
      <c r="NH238" s="243"/>
      <c r="NI238" s="243"/>
      <c r="NJ238" s="243"/>
      <c r="NK238" s="243"/>
      <c r="NL238" s="243"/>
      <c r="NM238" s="243"/>
      <c r="NN238" s="243"/>
      <c r="NO238" s="243"/>
      <c r="NP238" s="243"/>
      <c r="NQ238" s="243"/>
      <c r="NR238" s="243"/>
      <c r="NS238" s="243"/>
      <c r="NT238" s="243"/>
      <c r="NU238" s="243"/>
      <c r="NV238" s="243"/>
      <c r="NW238" s="243"/>
      <c r="NX238" s="243"/>
      <c r="NY238" s="243"/>
      <c r="NZ238" s="243"/>
      <c r="OA238" s="243"/>
      <c r="OB238" s="243"/>
      <c r="OC238" s="243"/>
      <c r="OD238" s="243"/>
      <c r="OE238" s="243"/>
      <c r="OF238" s="243"/>
      <c r="OG238" s="243"/>
      <c r="OH238" s="243"/>
      <c r="OI238" s="243"/>
      <c r="OJ238" s="243"/>
      <c r="OK238" s="243"/>
      <c r="OL238" s="243"/>
      <c r="OM238" s="243"/>
      <c r="ON238" s="243"/>
      <c r="OO238" s="243"/>
      <c r="OP238" s="243"/>
      <c r="OQ238" s="243"/>
      <c r="OR238" s="243"/>
      <c r="OS238" s="243"/>
      <c r="OT238" s="243"/>
      <c r="OU238" s="243"/>
      <c r="OV238" s="243"/>
      <c r="OW238" s="243"/>
      <c r="OX238" s="243"/>
      <c r="OY238" s="243"/>
      <c r="OZ238" s="243"/>
      <c r="PA238" s="243"/>
      <c r="PB238" s="243"/>
      <c r="PC238" s="243"/>
      <c r="PD238" s="243"/>
      <c r="PE238" s="243"/>
      <c r="PF238" s="243"/>
      <c r="PG238" s="243"/>
      <c r="PH238" s="243"/>
      <c r="PI238" s="243"/>
      <c r="PJ238" s="243"/>
      <c r="PK238" s="243"/>
      <c r="PL238" s="243"/>
      <c r="PM238" s="243"/>
      <c r="PN238" s="243"/>
      <c r="PO238" s="243"/>
      <c r="PP238" s="243"/>
      <c r="PQ238" s="243"/>
      <c r="PR238" s="243"/>
      <c r="PS238" s="243"/>
      <c r="PT238" s="243"/>
      <c r="PU238" s="243"/>
      <c r="PV238" s="243"/>
      <c r="PW238" s="243"/>
      <c r="PX238" s="243"/>
      <c r="PY238" s="243"/>
      <c r="PZ238" s="243"/>
      <c r="QA238" s="243"/>
      <c r="QB238" s="243"/>
      <c r="QC238" s="243"/>
      <c r="QD238" s="243"/>
      <c r="QE238" s="243"/>
      <c r="QF238" s="243"/>
      <c r="QG238" s="243"/>
      <c r="QH238" s="243"/>
      <c r="QI238" s="243"/>
      <c r="QJ238" s="243"/>
      <c r="QK238" s="243"/>
      <c r="QL238" s="243"/>
      <c r="QM238" s="243"/>
      <c r="QN238" s="243"/>
      <c r="QO238" s="243"/>
      <c r="QP238" s="243"/>
      <c r="QQ238" s="243"/>
      <c r="QR238" s="243"/>
      <c r="QS238" s="243"/>
      <c r="QT238" s="243"/>
      <c r="QU238" s="243"/>
      <c r="QV238" s="243"/>
      <c r="QW238" s="243"/>
      <c r="QX238" s="243"/>
      <c r="QY238" s="243"/>
      <c r="QZ238" s="243"/>
      <c r="RA238" s="243"/>
      <c r="RB238" s="243"/>
      <c r="RC238" s="243"/>
      <c r="RD238" s="243"/>
      <c r="RE238" s="243"/>
      <c r="RF238" s="243"/>
      <c r="RG238" s="243"/>
      <c r="RH238" s="243"/>
      <c r="RI238" s="243"/>
      <c r="RJ238" s="243"/>
      <c r="RK238" s="243"/>
      <c r="RL238" s="243"/>
      <c r="RM238" s="243"/>
      <c r="RN238" s="243"/>
      <c r="RO238" s="243"/>
      <c r="RP238" s="243"/>
      <c r="RQ238" s="243"/>
      <c r="RR238" s="243"/>
      <c r="RS238" s="243"/>
      <c r="RT238" s="243"/>
      <c r="RU238" s="243"/>
      <c r="RV238" s="243"/>
      <c r="RW238" s="243"/>
      <c r="RX238" s="243"/>
      <c r="RY238" s="243"/>
      <c r="RZ238" s="243"/>
      <c r="SA238" s="243"/>
      <c r="SB238" s="243"/>
      <c r="SC238" s="243"/>
      <c r="SD238" s="243"/>
      <c r="SE238" s="243"/>
      <c r="SF238" s="243"/>
      <c r="SG238" s="243"/>
      <c r="SH238" s="243"/>
      <c r="SI238" s="243"/>
      <c r="SJ238" s="243"/>
      <c r="SK238" s="243"/>
      <c r="SL238" s="243"/>
      <c r="SM238" s="243"/>
      <c r="SN238" s="243"/>
      <c r="SO238" s="243"/>
      <c r="SP238" s="243"/>
      <c r="SQ238" s="243"/>
      <c r="SR238" s="243"/>
      <c r="SS238" s="243"/>
      <c r="ST238" s="243"/>
      <c r="SU238" s="243"/>
      <c r="SV238" s="243"/>
      <c r="SW238" s="243"/>
      <c r="SX238" s="243"/>
      <c r="SY238" s="243"/>
      <c r="SZ238" s="243"/>
      <c r="TA238" s="243"/>
      <c r="TB238" s="243"/>
      <c r="TC238" s="243"/>
      <c r="TD238" s="243"/>
      <c r="TE238" s="243"/>
      <c r="TF238" s="243"/>
      <c r="TG238" s="243"/>
      <c r="TH238" s="243"/>
      <c r="TI238" s="243"/>
      <c r="TJ238" s="243"/>
      <c r="TK238" s="243"/>
      <c r="TL238" s="243"/>
      <c r="TM238" s="243"/>
      <c r="TN238" s="243"/>
      <c r="TO238" s="243"/>
      <c r="TP238" s="243"/>
      <c r="TQ238" s="243"/>
      <c r="TR238" s="243"/>
      <c r="TS238" s="243"/>
      <c r="TT238" s="243"/>
      <c r="TU238" s="243"/>
      <c r="TV238" s="243"/>
      <c r="TW238" s="243"/>
      <c r="TX238" s="243"/>
      <c r="TY238" s="243"/>
      <c r="TZ238" s="243"/>
      <c r="UA238" s="243"/>
      <c r="UB238" s="243"/>
      <c r="UC238" s="243"/>
      <c r="UD238" s="243"/>
      <c r="UE238" s="243"/>
      <c r="UF238" s="243"/>
      <c r="UG238" s="243"/>
      <c r="UH238" s="243"/>
      <c r="UI238" s="243"/>
      <c r="UJ238" s="243"/>
      <c r="UK238" s="243"/>
      <c r="UL238" s="243"/>
      <c r="UM238" s="243"/>
      <c r="UN238" s="243"/>
      <c r="UO238" s="243"/>
      <c r="UP238" s="243"/>
      <c r="UQ238" s="243"/>
      <c r="UR238" s="243"/>
      <c r="US238" s="243"/>
      <c r="UT238" s="243"/>
      <c r="UU238" s="243"/>
      <c r="UV238" s="243"/>
      <c r="UW238" s="243"/>
      <c r="UX238" s="243"/>
      <c r="UY238" s="243"/>
      <c r="UZ238" s="243"/>
      <c r="VA238" s="243"/>
      <c r="VB238" s="243"/>
      <c r="VC238" s="243"/>
      <c r="VD238" s="243"/>
      <c r="VE238" s="243"/>
      <c r="VF238" s="243"/>
      <c r="VG238" s="243"/>
      <c r="VH238" s="243"/>
      <c r="VI238" s="243"/>
      <c r="VJ238" s="243"/>
      <c r="VK238" s="243"/>
      <c r="VL238" s="243"/>
      <c r="VM238" s="243"/>
      <c r="VN238" s="243"/>
      <c r="VO238" s="243"/>
      <c r="VP238" s="243"/>
      <c r="VQ238" s="243"/>
      <c r="VR238" s="243"/>
      <c r="VS238" s="243"/>
      <c r="VT238" s="243"/>
      <c r="VU238" s="243"/>
      <c r="VV238" s="243"/>
      <c r="VW238" s="243"/>
      <c r="VX238" s="243"/>
      <c r="VY238" s="243"/>
      <c r="VZ238" s="243"/>
      <c r="WA238" s="243"/>
      <c r="WB238" s="243"/>
      <c r="WC238" s="243"/>
      <c r="WD238" s="243"/>
      <c r="WE238" s="243"/>
      <c r="WF238" s="243"/>
      <c r="WG238" s="243"/>
      <c r="WH238" s="243"/>
      <c r="WI238" s="243"/>
      <c r="WJ238" s="243"/>
      <c r="WK238" s="243"/>
      <c r="WL238" s="243"/>
      <c r="WM238" s="243"/>
      <c r="WN238" s="243"/>
      <c r="WO238" s="243"/>
      <c r="WP238" s="243"/>
      <c r="WQ238" s="243"/>
      <c r="WR238" s="243"/>
      <c r="WS238" s="243"/>
      <c r="WT238" s="243"/>
      <c r="WU238" s="243"/>
      <c r="WV238" s="243"/>
      <c r="WW238" s="243"/>
      <c r="WX238" s="243"/>
      <c r="WY238" s="243"/>
      <c r="WZ238" s="243"/>
      <c r="XA238" s="243"/>
      <c r="XB238" s="243"/>
      <c r="XC238" s="243"/>
      <c r="XD238" s="243"/>
      <c r="XE238" s="243"/>
      <c r="XF238" s="243"/>
      <c r="XG238" s="243"/>
      <c r="XH238" s="243"/>
      <c r="XI238" s="243"/>
      <c r="XJ238" s="243"/>
      <c r="XK238" s="243"/>
      <c r="XL238" s="243"/>
      <c r="XM238" s="243"/>
      <c r="XN238" s="243"/>
      <c r="XO238" s="243"/>
      <c r="XP238" s="243"/>
      <c r="XQ238" s="243"/>
      <c r="XR238" s="243"/>
      <c r="XS238" s="243"/>
      <c r="XT238" s="243"/>
      <c r="XU238" s="243"/>
      <c r="XV238" s="243"/>
      <c r="XW238" s="243"/>
      <c r="XX238" s="243"/>
      <c r="XY238" s="243"/>
      <c r="XZ238" s="243"/>
      <c r="YA238" s="243"/>
      <c r="YB238" s="243"/>
      <c r="YC238" s="243"/>
      <c r="YD238" s="243"/>
      <c r="YE238" s="243"/>
      <c r="YF238" s="243"/>
      <c r="YG238" s="243"/>
      <c r="YH238" s="243"/>
      <c r="YI238" s="243"/>
      <c r="YJ238" s="243"/>
      <c r="YK238" s="243"/>
      <c r="YL238" s="243"/>
      <c r="YM238" s="243"/>
      <c r="YN238" s="243"/>
      <c r="YO238" s="243"/>
      <c r="YP238" s="243"/>
      <c r="YQ238" s="243"/>
      <c r="YR238" s="243"/>
      <c r="YS238" s="243"/>
      <c r="YT238" s="243"/>
      <c r="YU238" s="243"/>
      <c r="YV238" s="243"/>
      <c r="YW238" s="243"/>
      <c r="YX238" s="243"/>
      <c r="YY238" s="243"/>
      <c r="YZ238" s="243"/>
      <c r="ZA238" s="243"/>
      <c r="ZB238" s="243"/>
      <c r="ZC238" s="243"/>
      <c r="ZD238" s="243"/>
      <c r="ZE238" s="243"/>
      <c r="ZF238" s="243"/>
      <c r="ZG238" s="243"/>
      <c r="ZH238" s="243"/>
      <c r="ZI238" s="243"/>
      <c r="ZJ238" s="243"/>
      <c r="ZK238" s="243"/>
      <c r="ZL238" s="243"/>
      <c r="ZM238" s="243"/>
      <c r="ZN238" s="243"/>
      <c r="ZO238" s="243"/>
      <c r="ZP238" s="243"/>
      <c r="ZQ238" s="243"/>
      <c r="ZR238" s="243"/>
      <c r="ZS238" s="243"/>
      <c r="ZT238" s="243"/>
      <c r="ZU238" s="243"/>
      <c r="ZV238" s="243"/>
      <c r="ZW238" s="243"/>
      <c r="ZX238" s="243"/>
      <c r="ZY238" s="243"/>
      <c r="ZZ238" s="243"/>
      <c r="AAA238" s="243"/>
      <c r="AAB238" s="243"/>
      <c r="AAC238" s="243"/>
      <c r="AAD238" s="243"/>
      <c r="AAE238" s="243"/>
      <c r="AAF238" s="243"/>
      <c r="AAG238" s="243"/>
      <c r="AAH238" s="243"/>
      <c r="AAI238" s="243"/>
      <c r="AAJ238" s="243"/>
      <c r="AAK238" s="243"/>
      <c r="AAL238" s="243"/>
      <c r="AAM238" s="243"/>
      <c r="AAN238" s="243"/>
      <c r="AAO238" s="243"/>
      <c r="AAP238" s="243"/>
      <c r="AAQ238" s="243"/>
      <c r="AAR238" s="243"/>
      <c r="AAS238" s="243"/>
      <c r="AAT238" s="243"/>
      <c r="AAU238" s="243"/>
      <c r="AAV238" s="243"/>
      <c r="AAW238" s="243"/>
      <c r="AAX238" s="243"/>
      <c r="AAY238" s="243"/>
      <c r="AAZ238" s="243"/>
      <c r="ABA238" s="243"/>
      <c r="ABB238" s="243"/>
      <c r="ABC238" s="243"/>
      <c r="ABD238" s="243"/>
      <c r="ABE238" s="243"/>
      <c r="ABF238" s="243"/>
      <c r="ABG238" s="243"/>
      <c r="ABH238" s="243"/>
      <c r="ABI238" s="243"/>
      <c r="ABJ238" s="243"/>
      <c r="ABK238" s="243"/>
      <c r="ABL238" s="243"/>
      <c r="ABM238" s="243"/>
      <c r="ABN238" s="243"/>
      <c r="ABO238" s="243"/>
      <c r="ABP238" s="243"/>
      <c r="ABQ238" s="243"/>
      <c r="ABR238" s="243"/>
      <c r="ABS238" s="243"/>
      <c r="ABT238" s="243"/>
      <c r="ABU238" s="243"/>
      <c r="ABV238" s="243"/>
      <c r="ABW238" s="243"/>
      <c r="ABX238" s="243"/>
      <c r="ABY238" s="243"/>
      <c r="ABZ238" s="243"/>
      <c r="ACA238" s="243"/>
      <c r="ACB238" s="243"/>
      <c r="ACC238" s="243"/>
      <c r="ACD238" s="243"/>
      <c r="ACE238" s="243"/>
      <c r="ACF238" s="243"/>
      <c r="ACG238" s="243"/>
      <c r="ACH238" s="243"/>
      <c r="ACI238" s="243"/>
      <c r="ACJ238" s="243"/>
      <c r="ACK238" s="243"/>
      <c r="ACL238" s="243"/>
      <c r="ACM238" s="243"/>
      <c r="ACN238" s="243"/>
      <c r="ACO238" s="243"/>
      <c r="ACP238" s="243"/>
      <c r="ACQ238" s="243"/>
      <c r="ACR238" s="243"/>
      <c r="ACS238" s="243"/>
      <c r="ACT238" s="243"/>
      <c r="ACU238" s="243"/>
      <c r="ACV238" s="243"/>
      <c r="ACW238" s="243"/>
      <c r="ACX238" s="243"/>
      <c r="ACY238" s="243"/>
      <c r="ACZ238" s="243"/>
      <c r="ADA238" s="243"/>
      <c r="ADB238" s="243"/>
      <c r="ADC238" s="243"/>
      <c r="ADD238" s="243"/>
      <c r="ADE238" s="243"/>
      <c r="ADF238" s="243"/>
      <c r="ADG238" s="243"/>
      <c r="ADH238" s="243"/>
      <c r="ADI238" s="243"/>
      <c r="ADJ238" s="243"/>
      <c r="ADK238" s="243"/>
      <c r="ADL238" s="243"/>
      <c r="ADM238" s="243"/>
      <c r="ADN238" s="243"/>
      <c r="ADO238" s="243"/>
      <c r="ADP238" s="243"/>
      <c r="ADQ238" s="243"/>
      <c r="ADR238" s="243"/>
      <c r="ADS238" s="243"/>
      <c r="ADT238" s="243"/>
      <c r="ADU238" s="243"/>
      <c r="ADV238" s="243"/>
      <c r="ADW238" s="243"/>
      <c r="ADX238" s="243"/>
      <c r="ADY238" s="243"/>
      <c r="ADZ238" s="243"/>
      <c r="AEA238" s="243"/>
      <c r="AEB238" s="243"/>
      <c r="AEC238" s="243"/>
      <c r="AED238" s="243"/>
      <c r="AEE238" s="243"/>
      <c r="AEF238" s="243"/>
      <c r="AEG238" s="243"/>
      <c r="AEH238" s="243"/>
      <c r="AEI238" s="243"/>
      <c r="AEJ238" s="243"/>
      <c r="AEK238" s="243"/>
      <c r="AEL238" s="243"/>
      <c r="AEM238" s="243"/>
      <c r="AEN238" s="243"/>
      <c r="AEO238" s="243"/>
      <c r="AEP238" s="243"/>
      <c r="AEQ238" s="243"/>
      <c r="AER238" s="243"/>
      <c r="AES238" s="243"/>
      <c r="AET238" s="243"/>
      <c r="AEU238" s="243"/>
      <c r="AEV238" s="243"/>
      <c r="AEW238" s="243"/>
      <c r="AEX238" s="243"/>
      <c r="AEY238" s="243"/>
      <c r="AEZ238" s="243"/>
      <c r="AFA238" s="243"/>
      <c r="AFB238" s="243"/>
      <c r="AFC238" s="243"/>
      <c r="AFD238" s="243"/>
      <c r="AFE238" s="243"/>
      <c r="AFF238" s="243"/>
      <c r="AFG238" s="243"/>
      <c r="AFH238" s="243"/>
      <c r="AFI238" s="243"/>
      <c r="AFJ238" s="243"/>
      <c r="AFK238" s="243"/>
      <c r="AFL238" s="243"/>
      <c r="AFM238" s="243"/>
      <c r="AFN238" s="243"/>
      <c r="AFO238" s="243"/>
      <c r="AFP238" s="243"/>
      <c r="AFQ238" s="243"/>
      <c r="AFR238" s="243"/>
      <c r="AFS238" s="243"/>
      <c r="AFT238" s="243"/>
      <c r="AFU238" s="243"/>
      <c r="AFV238" s="243"/>
      <c r="AFW238" s="243"/>
      <c r="AFX238" s="243"/>
      <c r="AFY238" s="243"/>
      <c r="AFZ238" s="243"/>
      <c r="AGA238" s="243"/>
      <c r="AGB238" s="243"/>
      <c r="AGC238" s="243"/>
      <c r="AGD238" s="243"/>
      <c r="AGE238" s="243"/>
      <c r="AGF238" s="243"/>
      <c r="AGG238" s="243"/>
      <c r="AGH238" s="243"/>
      <c r="AGI238" s="243"/>
      <c r="AGJ238" s="243"/>
      <c r="AGK238" s="243"/>
      <c r="AGL238" s="243"/>
      <c r="AGM238" s="243"/>
      <c r="AGN238" s="243"/>
      <c r="AGO238" s="243"/>
      <c r="AGP238" s="243"/>
      <c r="AGQ238" s="243"/>
      <c r="AGR238" s="243"/>
      <c r="AGS238" s="243"/>
      <c r="AGT238" s="243"/>
      <c r="AGU238" s="243"/>
      <c r="AGV238" s="243"/>
      <c r="AGW238" s="243"/>
      <c r="AGX238" s="243"/>
      <c r="AGY238" s="243"/>
      <c r="AGZ238" s="243"/>
      <c r="AHA238" s="243"/>
      <c r="AHB238" s="243"/>
      <c r="AHC238" s="243"/>
      <c r="AHD238" s="243"/>
      <c r="AHE238" s="243"/>
      <c r="AHF238" s="243"/>
      <c r="AHG238" s="243"/>
      <c r="AHH238" s="243"/>
      <c r="AHI238" s="243"/>
      <c r="AHJ238" s="243"/>
      <c r="AHK238" s="243"/>
      <c r="AHL238" s="243"/>
      <c r="AHM238" s="243"/>
      <c r="AHN238" s="243"/>
      <c r="AHO238" s="243"/>
      <c r="AHP238" s="243"/>
      <c r="AHQ238" s="243"/>
      <c r="AHR238" s="243"/>
      <c r="AHS238" s="243"/>
      <c r="AHT238" s="243"/>
      <c r="AHU238" s="243"/>
      <c r="AHV238" s="243"/>
      <c r="AHW238" s="243"/>
      <c r="AHX238" s="243"/>
      <c r="AHY238" s="243"/>
      <c r="AHZ238" s="243"/>
      <c r="AIA238" s="243"/>
      <c r="AIB238" s="243"/>
      <c r="AIC238" s="243"/>
      <c r="AID238" s="243"/>
      <c r="AIE238" s="243"/>
      <c r="AIF238" s="243"/>
      <c r="AIG238" s="243"/>
      <c r="AIH238" s="243"/>
      <c r="AII238" s="243"/>
      <c r="AIJ238" s="243"/>
      <c r="AIK238" s="243"/>
      <c r="AIL238" s="243"/>
      <c r="AIM238" s="243"/>
      <c r="AIN238" s="243"/>
      <c r="AIO238" s="243"/>
      <c r="AIP238" s="243"/>
      <c r="AIQ238" s="243"/>
      <c r="AIR238" s="243"/>
      <c r="AIS238" s="243"/>
      <c r="AIT238" s="243"/>
      <c r="AIU238" s="243"/>
      <c r="AIV238" s="243"/>
      <c r="AIW238" s="243"/>
      <c r="AIX238" s="243"/>
      <c r="AIY238" s="243"/>
      <c r="AIZ238" s="243"/>
      <c r="AJA238" s="243"/>
      <c r="AJB238" s="243"/>
      <c r="AJC238" s="243"/>
      <c r="AJD238" s="243"/>
      <c r="AJE238" s="243"/>
      <c r="AJF238" s="243"/>
      <c r="AJG238" s="243"/>
      <c r="AJH238" s="243"/>
      <c r="AJI238" s="243"/>
      <c r="AJJ238" s="243"/>
      <c r="AJK238" s="243"/>
      <c r="AJL238" s="243"/>
      <c r="AJM238" s="243"/>
      <c r="AJN238" s="243"/>
      <c r="AJO238" s="243"/>
      <c r="AJP238" s="243"/>
      <c r="AJQ238" s="243"/>
      <c r="AJR238" s="243"/>
      <c r="AJS238" s="243"/>
      <c r="AJT238" s="243"/>
      <c r="AJU238" s="243"/>
      <c r="AJV238" s="243"/>
      <c r="AJW238" s="243"/>
      <c r="AJX238" s="243"/>
      <c r="AJY238" s="243"/>
      <c r="AJZ238" s="243"/>
      <c r="AKA238" s="243"/>
      <c r="AKB238" s="243"/>
      <c r="AKC238" s="243"/>
      <c r="AKD238" s="243"/>
      <c r="AKE238" s="243"/>
      <c r="AKF238" s="243"/>
      <c r="AKG238" s="243"/>
      <c r="AKH238" s="243"/>
      <c r="AKI238" s="243"/>
      <c r="AKJ238" s="243"/>
      <c r="AKK238" s="243"/>
      <c r="AKL238" s="243"/>
      <c r="AKM238" s="243"/>
      <c r="AKN238" s="243"/>
      <c r="AKO238" s="243"/>
      <c r="AKP238" s="243"/>
      <c r="AKQ238" s="243"/>
      <c r="AKR238" s="243"/>
      <c r="AKS238" s="243"/>
      <c r="AKT238" s="243"/>
      <c r="AKU238" s="243"/>
      <c r="AKV238" s="243"/>
      <c r="AKW238" s="243"/>
      <c r="AKX238" s="243"/>
      <c r="AKY238" s="243"/>
      <c r="AKZ238" s="243"/>
      <c r="ALA238" s="243"/>
      <c r="ALB238" s="243"/>
      <c r="ALC238" s="243"/>
      <c r="ALD238" s="243"/>
      <c r="ALE238" s="243"/>
      <c r="ALF238" s="243"/>
      <c r="ALG238" s="243"/>
      <c r="ALH238" s="243"/>
      <c r="ALI238" s="243"/>
      <c r="ALJ238" s="243"/>
      <c r="ALK238" s="243"/>
      <c r="ALL238" s="243"/>
      <c r="ALM238" s="243"/>
      <c r="ALN238" s="243"/>
      <c r="ALO238" s="243"/>
      <c r="ALP238" s="243"/>
      <c r="ALQ238" s="243"/>
      <c r="ALR238" s="243"/>
      <c r="ALS238" s="243"/>
      <c r="ALT238" s="243"/>
      <c r="ALU238" s="243"/>
      <c r="ALV238" s="243"/>
      <c r="ALW238" s="243"/>
      <c r="ALX238" s="243"/>
      <c r="ALY238" s="243"/>
      <c r="ALZ238" s="243"/>
      <c r="AMA238" s="243"/>
      <c r="AMB238" s="243"/>
      <c r="AMC238" s="243"/>
      <c r="AMD238" s="243"/>
      <c r="AME238" s="243"/>
      <c r="AMF238" s="243"/>
      <c r="AMG238" s="243"/>
      <c r="AMH238" s="243"/>
      <c r="AMI238" s="243"/>
      <c r="AMJ238" s="243"/>
      <c r="AMK238" s="243"/>
      <c r="AML238" s="243"/>
      <c r="AMM238" s="243"/>
      <c r="AMN238" s="243"/>
      <c r="AMO238" s="243"/>
      <c r="AMP238" s="243"/>
      <c r="AMQ238" s="243"/>
      <c r="AMR238" s="243"/>
      <c r="AMS238" s="243"/>
      <c r="AMT238" s="243"/>
      <c r="AMU238" s="243"/>
      <c r="AMV238" s="243"/>
      <c r="AMW238" s="243"/>
      <c r="AMX238" s="243"/>
      <c r="AMY238" s="243"/>
      <c r="AMZ238" s="243"/>
      <c r="ANA238" s="243"/>
      <c r="ANB238" s="243"/>
      <c r="ANC238" s="243"/>
      <c r="AND238" s="243"/>
      <c r="ANE238" s="243"/>
      <c r="ANF238" s="243"/>
      <c r="ANG238" s="243"/>
      <c r="ANH238" s="243"/>
      <c r="ANI238" s="243"/>
      <c r="ANJ238" s="243"/>
      <c r="ANK238" s="243"/>
      <c r="ANL238" s="243"/>
      <c r="ANM238" s="243"/>
      <c r="ANN238" s="243"/>
      <c r="ANO238" s="243"/>
      <c r="ANP238" s="243"/>
      <c r="ANQ238" s="243"/>
      <c r="ANR238" s="243"/>
      <c r="ANS238" s="243"/>
      <c r="ANT238" s="243"/>
      <c r="ANU238" s="243"/>
      <c r="ANV238" s="243"/>
      <c r="ANW238" s="243"/>
      <c r="ANX238" s="243"/>
      <c r="ANY238" s="243"/>
      <c r="ANZ238" s="243"/>
      <c r="AOA238" s="243"/>
      <c r="AOB238" s="243"/>
      <c r="AOC238" s="243"/>
      <c r="AOD238" s="243"/>
      <c r="AOE238" s="243"/>
      <c r="AOF238" s="243"/>
      <c r="AOG238" s="243"/>
      <c r="AOH238" s="243"/>
      <c r="AOI238" s="243"/>
      <c r="AOJ238" s="243"/>
      <c r="AOK238" s="243"/>
      <c r="AOL238" s="243"/>
      <c r="AOM238" s="243"/>
      <c r="AON238" s="243"/>
      <c r="AOO238" s="243"/>
      <c r="AOP238" s="243"/>
      <c r="AOQ238" s="243"/>
      <c r="AOR238" s="243"/>
      <c r="AOS238" s="243"/>
      <c r="AOT238" s="243"/>
      <c r="AOU238" s="243"/>
      <c r="AOV238" s="243"/>
      <c r="AOW238" s="243"/>
      <c r="AOX238" s="243"/>
      <c r="AOY238" s="243"/>
      <c r="AOZ238" s="243"/>
      <c r="APA238" s="243"/>
      <c r="APB238" s="243"/>
      <c r="APC238" s="243"/>
      <c r="APD238" s="243"/>
      <c r="APE238" s="243"/>
      <c r="APF238" s="243"/>
      <c r="APG238" s="243"/>
      <c r="APH238" s="243"/>
      <c r="API238" s="243"/>
      <c r="APJ238" s="243"/>
      <c r="APK238" s="243"/>
      <c r="APL238" s="243"/>
      <c r="APM238" s="243"/>
      <c r="APN238" s="243"/>
      <c r="APO238" s="243"/>
      <c r="APP238" s="243"/>
      <c r="APQ238" s="243"/>
      <c r="APR238" s="243"/>
      <c r="APS238" s="243"/>
      <c r="APT238" s="243"/>
      <c r="APU238" s="243"/>
      <c r="APV238" s="243"/>
      <c r="APW238" s="243"/>
      <c r="APX238" s="243"/>
      <c r="APY238" s="243"/>
      <c r="APZ238" s="243"/>
      <c r="AQA238" s="243"/>
      <c r="AQB238" s="243"/>
      <c r="AQC238" s="243"/>
      <c r="AQD238" s="243"/>
      <c r="AQE238" s="243"/>
      <c r="AQF238" s="243"/>
      <c r="AQG238" s="243"/>
      <c r="AQH238" s="243"/>
      <c r="AQI238" s="243"/>
      <c r="AQJ238" s="243"/>
      <c r="AQK238" s="243"/>
      <c r="AQL238" s="243"/>
      <c r="AQM238" s="243"/>
      <c r="AQN238" s="243"/>
      <c r="AQO238" s="243"/>
      <c r="AQP238" s="243"/>
      <c r="AQQ238" s="243"/>
      <c r="AQR238" s="243"/>
      <c r="AQS238" s="243"/>
      <c r="AQT238" s="243"/>
      <c r="AQU238" s="243"/>
      <c r="AQV238" s="243"/>
      <c r="AQW238" s="243"/>
      <c r="AQX238" s="243"/>
      <c r="AQY238" s="243"/>
      <c r="AQZ238" s="243"/>
      <c r="ARA238" s="243"/>
      <c r="ARB238" s="243"/>
      <c r="ARC238" s="243"/>
      <c r="ARD238" s="243"/>
      <c r="ARE238" s="243"/>
      <c r="ARF238" s="243"/>
      <c r="ARG238" s="243"/>
      <c r="ARH238" s="243"/>
      <c r="ARI238" s="243"/>
      <c r="ARJ238" s="243"/>
      <c r="ARK238" s="243"/>
      <c r="ARL238" s="243"/>
      <c r="ARM238" s="243"/>
      <c r="ARN238" s="243"/>
      <c r="ARO238" s="243"/>
      <c r="ARP238" s="243"/>
      <c r="ARQ238" s="243"/>
      <c r="ARR238" s="243"/>
      <c r="ARS238" s="243"/>
      <c r="ART238" s="243"/>
      <c r="ARU238" s="243"/>
      <c r="ARV238" s="243"/>
      <c r="ARW238" s="243"/>
      <c r="ARX238" s="243"/>
      <c r="ARY238" s="243"/>
      <c r="ARZ238" s="243"/>
      <c r="ASA238" s="243"/>
      <c r="ASB238" s="243"/>
      <c r="ASC238" s="243"/>
      <c r="ASD238" s="243"/>
      <c r="ASE238" s="243"/>
      <c r="ASF238" s="243"/>
      <c r="ASG238" s="243"/>
      <c r="ASH238" s="243"/>
      <c r="ASI238" s="243"/>
      <c r="ASJ238" s="243"/>
      <c r="ASK238" s="243"/>
      <c r="ASL238" s="243"/>
      <c r="ASM238" s="243"/>
      <c r="ASN238" s="243"/>
      <c r="ASO238" s="243"/>
      <c r="ASP238" s="243"/>
      <c r="ASQ238" s="243"/>
      <c r="ASR238" s="243"/>
      <c r="ASS238" s="243"/>
      <c r="AST238" s="243"/>
      <c r="ASU238" s="243"/>
      <c r="ASV238" s="243"/>
      <c r="ASW238" s="243"/>
      <c r="ASX238" s="243"/>
      <c r="ASY238" s="243"/>
      <c r="ASZ238" s="243"/>
      <c r="ATA238" s="243"/>
      <c r="ATB238" s="243"/>
      <c r="ATC238" s="243"/>
      <c r="ATD238" s="243"/>
      <c r="ATE238" s="243"/>
      <c r="ATF238" s="243"/>
      <c r="ATG238" s="243"/>
      <c r="ATH238" s="243"/>
      <c r="ATI238" s="243"/>
      <c r="ATJ238" s="243"/>
      <c r="ATK238" s="243"/>
      <c r="ATL238" s="243"/>
      <c r="ATM238" s="243"/>
      <c r="ATN238" s="243"/>
      <c r="ATO238" s="243"/>
      <c r="ATP238" s="243"/>
      <c r="ATQ238" s="243"/>
      <c r="ATR238" s="243"/>
      <c r="ATS238" s="243"/>
      <c r="ATT238" s="243"/>
      <c r="ATU238" s="243"/>
      <c r="ATV238" s="243"/>
      <c r="ATW238" s="243"/>
      <c r="ATX238" s="243"/>
      <c r="ATY238" s="243"/>
      <c r="ATZ238" s="243"/>
      <c r="AUA238" s="243"/>
      <c r="AUB238" s="243"/>
      <c r="AUC238" s="243"/>
      <c r="AUD238" s="243"/>
      <c r="AUE238" s="243"/>
      <c r="AUF238" s="243"/>
      <c r="AUG238" s="243"/>
      <c r="AUH238" s="243"/>
      <c r="AUI238" s="243"/>
      <c r="AUJ238" s="243"/>
      <c r="AUK238" s="243"/>
      <c r="AUL238" s="243"/>
      <c r="AUM238" s="243"/>
      <c r="AUN238" s="243"/>
      <c r="AUO238" s="243"/>
      <c r="AUP238" s="243"/>
      <c r="AUQ238" s="243"/>
      <c r="AUR238" s="243"/>
      <c r="AUS238" s="243"/>
      <c r="AUT238" s="243"/>
      <c r="AUU238" s="243"/>
      <c r="AUV238" s="243"/>
      <c r="AUW238" s="243"/>
      <c r="AUX238" s="243"/>
      <c r="AUY238" s="243"/>
      <c r="AUZ238" s="243"/>
      <c r="AVA238" s="243"/>
      <c r="AVB238" s="243"/>
      <c r="AVC238" s="243"/>
      <c r="AVD238" s="243"/>
      <c r="AVE238" s="243"/>
      <c r="AVF238" s="243"/>
      <c r="AVG238" s="243"/>
      <c r="AVH238" s="243"/>
      <c r="AVI238" s="243"/>
      <c r="AVJ238" s="243"/>
      <c r="AVK238" s="243"/>
      <c r="AVL238" s="243"/>
      <c r="AVM238" s="243"/>
      <c r="AVN238" s="243"/>
      <c r="AVO238" s="243"/>
      <c r="AVP238" s="243"/>
      <c r="AVQ238" s="243"/>
      <c r="AVR238" s="243"/>
      <c r="AVS238" s="243"/>
      <c r="AVT238" s="243"/>
      <c r="AVU238" s="243"/>
      <c r="AVV238" s="243"/>
      <c r="AVW238" s="243"/>
      <c r="AVX238" s="243"/>
      <c r="AVY238" s="243"/>
      <c r="AVZ238" s="243"/>
      <c r="AWA238" s="243"/>
      <c r="AWB238" s="243"/>
      <c r="AWC238" s="243"/>
      <c r="AWD238" s="243"/>
      <c r="AWE238" s="243"/>
      <c r="AWF238" s="243"/>
      <c r="AWG238" s="243"/>
      <c r="AWH238" s="243"/>
      <c r="AWI238" s="243"/>
      <c r="AWJ238" s="243"/>
      <c r="AWK238" s="243"/>
      <c r="AWL238" s="243"/>
      <c r="AWM238" s="243"/>
      <c r="AWN238" s="243"/>
      <c r="AWO238" s="243"/>
      <c r="AWP238" s="243"/>
      <c r="AWQ238" s="243"/>
      <c r="AWR238" s="243"/>
      <c r="AWS238" s="243"/>
      <c r="AWT238" s="243"/>
      <c r="AWU238" s="243"/>
      <c r="AWV238" s="243"/>
      <c r="AWW238" s="243"/>
      <c r="AWX238" s="243"/>
      <c r="AWY238" s="243"/>
      <c r="AWZ238" s="243"/>
      <c r="AXA238" s="243"/>
      <c r="AXB238" s="243"/>
      <c r="AXC238" s="243"/>
      <c r="AXD238" s="243"/>
      <c r="AXE238" s="243"/>
      <c r="AXF238" s="243"/>
      <c r="AXG238" s="243"/>
      <c r="AXH238" s="243"/>
      <c r="AXI238" s="243"/>
      <c r="AXJ238" s="243"/>
      <c r="AXK238" s="243"/>
      <c r="AXL238" s="243"/>
      <c r="AXM238" s="243"/>
      <c r="AXN238" s="243"/>
      <c r="AXO238" s="243"/>
      <c r="AXP238" s="243"/>
      <c r="AXQ238" s="243"/>
      <c r="AXR238" s="243"/>
      <c r="AXS238" s="243"/>
      <c r="AXT238" s="243"/>
      <c r="AXU238" s="243"/>
      <c r="AXV238" s="243"/>
      <c r="AXW238" s="243"/>
      <c r="AXX238" s="243"/>
      <c r="AXY238" s="243"/>
      <c r="AXZ238" s="243"/>
      <c r="AYA238" s="243"/>
      <c r="AYB238" s="243"/>
      <c r="AYC238" s="243"/>
      <c r="AYD238" s="243"/>
      <c r="AYE238" s="243"/>
      <c r="AYF238" s="243"/>
      <c r="AYG238" s="243"/>
      <c r="AYH238" s="243"/>
      <c r="AYI238" s="243"/>
      <c r="AYJ238" s="243"/>
      <c r="AYK238" s="243"/>
      <c r="AYL238" s="243"/>
      <c r="AYM238" s="243"/>
      <c r="AYN238" s="243"/>
      <c r="AYO238" s="243"/>
      <c r="AYP238" s="243"/>
      <c r="AYQ238" s="243"/>
      <c r="AYR238" s="243"/>
      <c r="AYS238" s="243"/>
      <c r="AYT238" s="243"/>
      <c r="AYU238" s="243"/>
      <c r="AYV238" s="243"/>
      <c r="AYW238" s="243"/>
      <c r="AYX238" s="243"/>
      <c r="AYY238" s="243"/>
      <c r="AYZ238" s="243"/>
      <c r="AZA238" s="243"/>
      <c r="AZB238" s="243"/>
      <c r="AZC238" s="243"/>
      <c r="AZD238" s="243"/>
      <c r="AZE238" s="243"/>
      <c r="AZF238" s="243"/>
      <c r="AZG238" s="243"/>
      <c r="AZH238" s="243"/>
      <c r="AZI238" s="243"/>
      <c r="AZJ238" s="243"/>
      <c r="AZK238" s="243"/>
      <c r="AZL238" s="243"/>
      <c r="AZM238" s="243"/>
      <c r="AZN238" s="243"/>
      <c r="AZO238" s="243"/>
      <c r="AZP238" s="243"/>
      <c r="AZQ238" s="243"/>
      <c r="AZR238" s="243"/>
      <c r="AZS238" s="243"/>
      <c r="AZT238" s="243"/>
      <c r="AZU238" s="243"/>
      <c r="AZV238" s="243"/>
      <c r="AZW238" s="243"/>
      <c r="AZX238" s="243"/>
      <c r="AZY238" s="243"/>
      <c r="AZZ238" s="243"/>
      <c r="BAA238" s="243"/>
      <c r="BAB238" s="243"/>
      <c r="BAC238" s="243"/>
      <c r="BAD238" s="243"/>
      <c r="BAE238" s="243"/>
      <c r="BAF238" s="243"/>
      <c r="BAG238" s="243"/>
      <c r="BAH238" s="243"/>
      <c r="BAI238" s="243"/>
      <c r="BAJ238" s="243"/>
      <c r="BAK238" s="243"/>
      <c r="BAL238" s="243"/>
      <c r="BAM238" s="243"/>
      <c r="BAN238" s="243"/>
      <c r="BAO238" s="243"/>
      <c r="BAP238" s="243"/>
      <c r="BAQ238" s="243"/>
      <c r="BAR238" s="243"/>
      <c r="BAS238" s="243"/>
      <c r="BAT238" s="243"/>
      <c r="BAU238" s="243"/>
      <c r="BAV238" s="243"/>
      <c r="BAW238" s="243"/>
      <c r="BAX238" s="243"/>
      <c r="BAY238" s="243"/>
      <c r="BAZ238" s="243"/>
      <c r="BBA238" s="243"/>
      <c r="BBB238" s="243"/>
      <c r="BBC238" s="243"/>
      <c r="BBD238" s="243"/>
      <c r="BBE238" s="243"/>
      <c r="BBF238" s="243"/>
      <c r="BBG238" s="243"/>
      <c r="BBH238" s="243"/>
      <c r="BBI238" s="243"/>
      <c r="BBJ238" s="243"/>
      <c r="BBK238" s="243"/>
      <c r="BBL238" s="243"/>
      <c r="BBM238" s="243"/>
      <c r="BBN238" s="243"/>
      <c r="BBO238" s="243"/>
      <c r="BBP238" s="243"/>
      <c r="BBQ238" s="243"/>
      <c r="BBR238" s="243"/>
      <c r="BBS238" s="243"/>
      <c r="BBT238" s="243"/>
      <c r="BBU238" s="243"/>
      <c r="BBV238" s="243"/>
      <c r="BBW238" s="243"/>
      <c r="BBX238" s="243"/>
      <c r="BBY238" s="243"/>
      <c r="BBZ238" s="243"/>
      <c r="BCA238" s="243"/>
      <c r="BCB238" s="243"/>
      <c r="BCC238" s="243"/>
      <c r="BCD238" s="243"/>
      <c r="BCE238" s="243"/>
      <c r="BCF238" s="243"/>
      <c r="BCG238" s="243"/>
      <c r="BCH238" s="243"/>
      <c r="BCI238" s="243"/>
      <c r="BCJ238" s="243"/>
      <c r="BCK238" s="243"/>
      <c r="BCL238" s="243"/>
      <c r="BCM238" s="243"/>
      <c r="BCN238" s="243"/>
      <c r="BCO238" s="243"/>
      <c r="BCP238" s="243"/>
      <c r="BCQ238" s="243"/>
      <c r="BCR238" s="243"/>
      <c r="BCS238" s="243"/>
      <c r="BCT238" s="243"/>
      <c r="BCU238" s="243"/>
      <c r="BCV238" s="243"/>
      <c r="BCW238" s="243"/>
      <c r="BCX238" s="243"/>
      <c r="BCY238" s="243"/>
      <c r="BCZ238" s="243"/>
      <c r="BDA238" s="243"/>
      <c r="BDB238" s="243"/>
      <c r="BDC238" s="243"/>
      <c r="BDD238" s="243"/>
      <c r="BDE238" s="243"/>
      <c r="BDF238" s="243"/>
      <c r="BDG238" s="243"/>
      <c r="BDH238" s="243"/>
      <c r="BDI238" s="243"/>
      <c r="BDJ238" s="243"/>
      <c r="BDK238" s="243"/>
      <c r="BDL238" s="243"/>
      <c r="BDM238" s="243"/>
      <c r="BDN238" s="243"/>
      <c r="BDO238" s="243"/>
      <c r="BDP238" s="243"/>
      <c r="BDQ238" s="243"/>
      <c r="BDR238" s="243"/>
      <c r="BDS238" s="243"/>
      <c r="BDT238" s="243"/>
      <c r="BDU238" s="243"/>
      <c r="BDV238" s="243"/>
      <c r="BDW238" s="243"/>
      <c r="BDX238" s="243"/>
      <c r="BDY238" s="243"/>
      <c r="BDZ238" s="243"/>
      <c r="BEA238" s="243"/>
      <c r="BEB238" s="243"/>
      <c r="BEC238" s="243"/>
      <c r="BED238" s="243"/>
      <c r="BEE238" s="243"/>
      <c r="BEF238" s="243"/>
      <c r="BEG238" s="243"/>
      <c r="BEH238" s="243"/>
      <c r="BEI238" s="243"/>
      <c r="BEJ238" s="243"/>
      <c r="BEK238" s="243"/>
      <c r="BEL238" s="243"/>
      <c r="BEM238" s="243"/>
      <c r="BEN238" s="243"/>
      <c r="BEO238" s="243"/>
      <c r="BEP238" s="243"/>
      <c r="BEQ238" s="243"/>
      <c r="BER238" s="243"/>
      <c r="BES238" s="243"/>
      <c r="BET238" s="243"/>
      <c r="BEU238" s="243"/>
      <c r="BEV238" s="243"/>
      <c r="BEW238" s="243"/>
      <c r="BEX238" s="243"/>
      <c r="BEY238" s="243"/>
      <c r="BEZ238" s="243"/>
      <c r="BFA238" s="243"/>
      <c r="BFB238" s="243"/>
      <c r="BFC238" s="243"/>
      <c r="BFD238" s="243"/>
      <c r="BFE238" s="243"/>
      <c r="BFF238" s="243"/>
      <c r="BFG238" s="243"/>
      <c r="BFH238" s="243"/>
      <c r="BFI238" s="243"/>
      <c r="BFJ238" s="243"/>
      <c r="BFK238" s="243"/>
      <c r="BFL238" s="243"/>
      <c r="BFM238" s="243"/>
      <c r="BFN238" s="243"/>
      <c r="BFO238" s="243"/>
      <c r="BFP238" s="243"/>
      <c r="BFQ238" s="243"/>
      <c r="BFR238" s="243"/>
      <c r="BFS238" s="243"/>
      <c r="BFT238" s="243"/>
      <c r="BFU238" s="243"/>
      <c r="BFV238" s="243"/>
      <c r="BFW238" s="243"/>
      <c r="BFX238" s="243"/>
      <c r="BFY238" s="243"/>
      <c r="BFZ238" s="243"/>
      <c r="BGA238" s="243"/>
      <c r="BGB238" s="243"/>
      <c r="BGC238" s="243"/>
      <c r="BGD238" s="243"/>
      <c r="BGE238" s="243"/>
      <c r="BGF238" s="243"/>
      <c r="BGG238" s="243"/>
      <c r="BGH238" s="243"/>
      <c r="BGI238" s="243"/>
      <c r="BGJ238" s="243"/>
      <c r="BGK238" s="243"/>
      <c r="BGL238" s="243"/>
      <c r="BGM238" s="243"/>
      <c r="BGN238" s="243"/>
      <c r="BGO238" s="243"/>
      <c r="BGP238" s="243"/>
      <c r="BGQ238" s="243"/>
      <c r="BGR238" s="243"/>
      <c r="BGS238" s="243"/>
      <c r="BGT238" s="243"/>
      <c r="BGU238" s="243"/>
      <c r="BGV238" s="243"/>
      <c r="BGW238" s="243"/>
      <c r="BGX238" s="243"/>
      <c r="BGY238" s="243"/>
      <c r="BGZ238" s="243"/>
      <c r="BHA238" s="243"/>
      <c r="BHB238" s="243"/>
      <c r="BHC238" s="243"/>
      <c r="BHD238" s="243"/>
      <c r="BHE238" s="243"/>
      <c r="BHF238" s="243"/>
      <c r="BHG238" s="243"/>
      <c r="BHH238" s="243"/>
      <c r="BHI238" s="243"/>
      <c r="BHJ238" s="243"/>
      <c r="BHK238" s="243"/>
      <c r="BHL238" s="243"/>
      <c r="BHM238" s="243"/>
      <c r="BHN238" s="243"/>
      <c r="BHO238" s="243"/>
      <c r="BHP238" s="243"/>
      <c r="BHQ238" s="243"/>
      <c r="BHR238" s="243"/>
      <c r="BHS238" s="243"/>
      <c r="BHT238" s="243"/>
      <c r="BHU238" s="243"/>
      <c r="BHV238" s="243"/>
      <c r="BHW238" s="243"/>
      <c r="BHX238" s="243"/>
      <c r="BHY238" s="243"/>
      <c r="BHZ238" s="243"/>
      <c r="BIA238" s="243"/>
      <c r="BIB238" s="243"/>
      <c r="BIC238" s="243"/>
      <c r="BID238" s="243"/>
      <c r="BIE238" s="243"/>
      <c r="BIF238" s="243"/>
      <c r="BIG238" s="243"/>
      <c r="BIH238" s="243"/>
      <c r="BII238" s="243"/>
      <c r="BIJ238" s="243"/>
      <c r="BIK238" s="243"/>
      <c r="BIL238" s="243"/>
      <c r="BIM238" s="243"/>
      <c r="BIN238" s="243"/>
      <c r="BIO238" s="243"/>
      <c r="BIP238" s="243"/>
      <c r="BIQ238" s="243"/>
      <c r="BIR238" s="243"/>
      <c r="BIS238" s="243"/>
      <c r="BIT238" s="243"/>
      <c r="BIU238" s="243"/>
      <c r="BIV238" s="243"/>
      <c r="BIW238" s="243"/>
      <c r="BIX238" s="243"/>
      <c r="BIY238" s="243"/>
      <c r="BIZ238" s="243"/>
      <c r="BJA238" s="243"/>
      <c r="BJB238" s="243"/>
      <c r="BJC238" s="243"/>
      <c r="BJD238" s="243"/>
      <c r="BJE238" s="243"/>
      <c r="BJF238" s="243"/>
      <c r="BJG238" s="243"/>
      <c r="BJH238" s="243"/>
      <c r="BJI238" s="243"/>
      <c r="BJJ238" s="243"/>
      <c r="BJK238" s="243"/>
      <c r="BJL238" s="243"/>
      <c r="BJM238" s="243"/>
      <c r="BJN238" s="243"/>
      <c r="BJO238" s="243"/>
      <c r="BJP238" s="243"/>
      <c r="BJQ238" s="243"/>
      <c r="BJR238" s="243"/>
      <c r="BJS238" s="243"/>
      <c r="BJT238" s="243"/>
      <c r="BJU238" s="243"/>
      <c r="BJV238" s="243"/>
      <c r="BJW238" s="243"/>
      <c r="BJX238" s="243"/>
      <c r="BJY238" s="243"/>
      <c r="BJZ238" s="243"/>
      <c r="BKA238" s="243"/>
      <c r="BKB238" s="243"/>
      <c r="BKC238" s="243"/>
      <c r="BKD238" s="243"/>
      <c r="BKE238" s="243"/>
      <c r="BKF238" s="243"/>
      <c r="BKG238" s="243"/>
      <c r="BKH238" s="243"/>
      <c r="BKI238" s="243"/>
      <c r="BKJ238" s="243"/>
      <c r="BKK238" s="243"/>
      <c r="BKL238" s="243"/>
      <c r="BKM238" s="243"/>
      <c r="BKN238" s="243"/>
      <c r="BKO238" s="243"/>
      <c r="BKP238" s="243"/>
      <c r="BKQ238" s="243"/>
      <c r="BKR238" s="243"/>
      <c r="BKS238" s="243"/>
      <c r="BKT238" s="243"/>
      <c r="BKU238" s="243"/>
      <c r="BKV238" s="243"/>
      <c r="BKW238" s="243"/>
      <c r="BKX238" s="243"/>
      <c r="BKY238" s="243"/>
      <c r="BKZ238" s="243"/>
      <c r="BLA238" s="243"/>
      <c r="BLB238" s="243"/>
      <c r="BLC238" s="243"/>
      <c r="BLD238" s="243"/>
      <c r="BLE238" s="243"/>
      <c r="BLF238" s="243"/>
      <c r="BLG238" s="243"/>
      <c r="BLH238" s="243"/>
      <c r="BLI238" s="243"/>
      <c r="BLJ238" s="243"/>
      <c r="BLK238" s="243"/>
      <c r="BLL238" s="243"/>
      <c r="BLM238" s="243"/>
      <c r="BLN238" s="243"/>
      <c r="BLO238" s="243"/>
      <c r="BLP238" s="243"/>
      <c r="BLQ238" s="243"/>
      <c r="BLR238" s="243"/>
      <c r="BLS238" s="243"/>
      <c r="BLT238" s="243"/>
      <c r="BLU238" s="243"/>
      <c r="BLV238" s="243"/>
      <c r="BLW238" s="243"/>
      <c r="BLX238" s="243"/>
      <c r="BLY238" s="243"/>
      <c r="BLZ238" s="243"/>
      <c r="BMA238" s="243"/>
      <c r="BMB238" s="243"/>
      <c r="BMC238" s="243"/>
      <c r="BMD238" s="243"/>
      <c r="BME238" s="243"/>
      <c r="BMF238" s="243"/>
      <c r="BMG238" s="243"/>
      <c r="BMH238" s="243"/>
      <c r="BMI238" s="243"/>
      <c r="BMJ238" s="243"/>
      <c r="BMK238" s="243"/>
      <c r="BML238" s="243"/>
      <c r="BMM238" s="243"/>
      <c r="BMN238" s="243"/>
      <c r="BMO238" s="243"/>
      <c r="BMP238" s="243"/>
      <c r="BMQ238" s="243"/>
      <c r="BMR238" s="243"/>
      <c r="BMS238" s="243"/>
      <c r="BMT238" s="243"/>
      <c r="BMU238" s="243"/>
      <c r="BMV238" s="243"/>
      <c r="BMW238" s="243"/>
      <c r="BMX238" s="243"/>
      <c r="BMY238" s="243"/>
      <c r="BMZ238" s="243"/>
      <c r="BNA238" s="243"/>
      <c r="BNB238" s="243"/>
      <c r="BNC238" s="243"/>
      <c r="BND238" s="243"/>
      <c r="BNE238" s="243"/>
      <c r="BNF238" s="243"/>
      <c r="BNG238" s="243"/>
      <c r="BNH238" s="243"/>
      <c r="BNI238" s="243"/>
      <c r="BNJ238" s="243"/>
      <c r="BNK238" s="243"/>
      <c r="BNL238" s="243"/>
      <c r="BNM238" s="243"/>
      <c r="BNN238" s="243"/>
      <c r="BNO238" s="243"/>
      <c r="BNP238" s="243"/>
      <c r="BNQ238" s="243"/>
      <c r="BNR238" s="243"/>
      <c r="BNS238" s="243"/>
      <c r="BNT238" s="243"/>
      <c r="BNU238" s="243"/>
      <c r="BNV238" s="243"/>
      <c r="BNW238" s="243"/>
      <c r="BNX238" s="243"/>
      <c r="BNY238" s="243"/>
      <c r="BNZ238" s="243"/>
      <c r="BOA238" s="243"/>
      <c r="BOB238" s="243"/>
      <c r="BOC238" s="243"/>
      <c r="BOD238" s="243"/>
      <c r="BOE238" s="243"/>
      <c r="BOF238" s="243"/>
      <c r="BOG238" s="243"/>
      <c r="BOH238" s="243"/>
      <c r="BOI238" s="243"/>
      <c r="BOJ238" s="243"/>
      <c r="BOK238" s="243"/>
      <c r="BOL238" s="243"/>
      <c r="BOM238" s="243"/>
      <c r="BON238" s="243"/>
      <c r="BOO238" s="243"/>
      <c r="BOP238" s="243"/>
      <c r="BOQ238" s="243"/>
      <c r="BOR238" s="243"/>
      <c r="BOS238" s="243"/>
      <c r="BOT238" s="243"/>
      <c r="BOU238" s="243"/>
      <c r="BOV238" s="243"/>
      <c r="BOW238" s="243"/>
      <c r="BOX238" s="243"/>
      <c r="BOY238" s="243"/>
      <c r="BOZ238" s="243"/>
      <c r="BPA238" s="243"/>
      <c r="BPB238" s="243"/>
      <c r="BPC238" s="243"/>
      <c r="BPD238" s="243"/>
      <c r="BPE238" s="243"/>
      <c r="BPF238" s="243"/>
      <c r="BPG238" s="243"/>
      <c r="BPH238" s="243"/>
      <c r="BPI238" s="243"/>
      <c r="BPJ238" s="243"/>
      <c r="BPK238" s="243"/>
      <c r="BPL238" s="243"/>
      <c r="BPM238" s="243"/>
      <c r="BPN238" s="243"/>
      <c r="BPO238" s="243"/>
      <c r="BPP238" s="243"/>
      <c r="BPQ238" s="243"/>
      <c r="BPR238" s="243"/>
      <c r="BPS238" s="243"/>
      <c r="BPT238" s="243"/>
      <c r="BPU238" s="243"/>
      <c r="BPV238" s="243"/>
      <c r="BPW238" s="243"/>
      <c r="BPX238" s="243"/>
      <c r="BPY238" s="243"/>
      <c r="BPZ238" s="243"/>
      <c r="BQA238" s="243"/>
      <c r="BQB238" s="243"/>
      <c r="BQC238" s="243"/>
      <c r="BQD238" s="243"/>
      <c r="BQE238" s="243"/>
      <c r="BQF238" s="243"/>
      <c r="BQG238" s="243"/>
      <c r="BQH238" s="243"/>
      <c r="BQI238" s="243"/>
      <c r="BQJ238" s="243"/>
      <c r="BQK238" s="243"/>
      <c r="BQL238" s="243"/>
      <c r="BQM238" s="243"/>
      <c r="BQN238" s="243"/>
      <c r="BQO238" s="243"/>
      <c r="BQP238" s="243"/>
      <c r="BQQ238" s="243"/>
      <c r="BQR238" s="243"/>
      <c r="BQS238" s="243"/>
      <c r="BQT238" s="243"/>
      <c r="BQU238" s="243"/>
      <c r="BQV238" s="243"/>
      <c r="BQW238" s="243"/>
      <c r="BQX238" s="243"/>
      <c r="BQY238" s="243"/>
      <c r="BQZ238" s="243"/>
      <c r="BRA238" s="243"/>
      <c r="BRB238" s="243"/>
      <c r="BRC238" s="243"/>
      <c r="BRD238" s="243"/>
      <c r="BRE238" s="243"/>
      <c r="BRF238" s="243"/>
      <c r="BRG238" s="243"/>
      <c r="BRH238" s="243"/>
      <c r="BRI238" s="243"/>
      <c r="BRJ238" s="243"/>
      <c r="BRK238" s="243"/>
      <c r="BRL238" s="243"/>
      <c r="BRM238" s="243"/>
      <c r="BRN238" s="243"/>
      <c r="BRO238" s="243"/>
      <c r="BRP238" s="243"/>
      <c r="BRQ238" s="243"/>
      <c r="BRR238" s="243"/>
      <c r="BRS238" s="243"/>
      <c r="BRT238" s="243"/>
      <c r="BRU238" s="243"/>
      <c r="BRV238" s="243"/>
      <c r="BRW238" s="243"/>
      <c r="BRX238" s="243"/>
      <c r="BRY238" s="243"/>
      <c r="BRZ238" s="243"/>
      <c r="BSA238" s="243"/>
      <c r="BSB238" s="243"/>
      <c r="BSC238" s="243"/>
      <c r="BSD238" s="243"/>
      <c r="BSE238" s="243"/>
      <c r="BSF238" s="243"/>
      <c r="BSG238" s="243"/>
      <c r="BSH238" s="243"/>
      <c r="BSI238" s="243"/>
      <c r="BSJ238" s="243"/>
      <c r="BSK238" s="243"/>
      <c r="BSL238" s="243"/>
      <c r="BSM238" s="243"/>
      <c r="BSN238" s="243"/>
      <c r="BSO238" s="243"/>
      <c r="BSP238" s="243"/>
      <c r="BSQ238" s="243"/>
      <c r="BSR238" s="243"/>
      <c r="BSS238" s="243"/>
      <c r="BST238" s="243"/>
      <c r="BSU238" s="243"/>
      <c r="BSV238" s="243"/>
      <c r="BSW238" s="243"/>
      <c r="BSX238" s="243"/>
      <c r="BSY238" s="243"/>
      <c r="BSZ238" s="243"/>
      <c r="BTA238" s="243"/>
      <c r="BTB238" s="243"/>
      <c r="BTC238" s="243"/>
      <c r="BTD238" s="243"/>
      <c r="BTE238" s="243"/>
      <c r="BTF238" s="243"/>
      <c r="BTG238" s="243"/>
      <c r="BTH238" s="243"/>
      <c r="BTI238" s="243"/>
      <c r="BTJ238" s="243"/>
      <c r="BTK238" s="243"/>
      <c r="BTL238" s="243"/>
      <c r="BTM238" s="243"/>
      <c r="BTN238" s="243"/>
      <c r="BTO238" s="243"/>
      <c r="BTP238" s="243"/>
      <c r="BTQ238" s="243"/>
      <c r="BTR238" s="243"/>
      <c r="BTS238" s="243"/>
      <c r="BTT238" s="243"/>
      <c r="BTU238" s="243"/>
      <c r="BTV238" s="243"/>
      <c r="BTW238" s="243"/>
      <c r="BTX238" s="243"/>
      <c r="BTY238" s="243"/>
      <c r="BTZ238" s="243"/>
      <c r="BUA238" s="243"/>
      <c r="BUB238" s="243"/>
      <c r="BUC238" s="243"/>
      <c r="BUD238" s="243"/>
      <c r="BUE238" s="243"/>
      <c r="BUF238" s="243"/>
      <c r="BUG238" s="243"/>
      <c r="BUH238" s="243"/>
      <c r="BUI238" s="243"/>
      <c r="BUJ238" s="243"/>
      <c r="BUK238" s="243"/>
      <c r="BUL238" s="243"/>
      <c r="BUM238" s="243"/>
      <c r="BUN238" s="243"/>
      <c r="BUO238" s="243"/>
      <c r="BUP238" s="243"/>
      <c r="BUQ238" s="243"/>
      <c r="BUR238" s="243"/>
      <c r="BUS238" s="243"/>
      <c r="BUT238" s="243"/>
      <c r="BUU238" s="243"/>
      <c r="BUV238" s="243"/>
      <c r="BUW238" s="243"/>
      <c r="BUX238" s="243"/>
      <c r="BUY238" s="243"/>
      <c r="BUZ238" s="243"/>
      <c r="BVA238" s="243"/>
      <c r="BVB238" s="243"/>
      <c r="BVC238" s="243"/>
      <c r="BVD238" s="243"/>
      <c r="BVE238" s="243"/>
      <c r="BVF238" s="243"/>
      <c r="BVG238" s="243"/>
      <c r="BVH238" s="243"/>
      <c r="BVI238" s="243"/>
      <c r="BVJ238" s="243"/>
      <c r="BVK238" s="243"/>
      <c r="BVL238" s="243"/>
      <c r="BVM238" s="243"/>
      <c r="BVN238" s="243"/>
      <c r="BVO238" s="243"/>
      <c r="BVP238" s="243"/>
      <c r="BVQ238" s="243"/>
      <c r="BVR238" s="243"/>
      <c r="BVS238" s="243"/>
      <c r="BVT238" s="243"/>
      <c r="BVU238" s="243"/>
      <c r="BVV238" s="243"/>
      <c r="BVW238" s="243"/>
      <c r="BVX238" s="243"/>
      <c r="BVY238" s="243"/>
      <c r="BVZ238" s="243"/>
      <c r="BWA238" s="243"/>
      <c r="BWB238" s="243"/>
      <c r="BWC238" s="243"/>
      <c r="BWD238" s="243"/>
      <c r="BWE238" s="243"/>
      <c r="BWF238" s="243"/>
      <c r="BWG238" s="243"/>
      <c r="BWH238" s="243"/>
      <c r="BWI238" s="243"/>
      <c r="BWJ238" s="243"/>
      <c r="BWK238" s="243"/>
      <c r="BWL238" s="243"/>
      <c r="BWM238" s="243"/>
      <c r="BWN238" s="243"/>
      <c r="BWO238" s="243"/>
      <c r="BWP238" s="243"/>
      <c r="BWQ238" s="243"/>
      <c r="BWR238" s="243"/>
      <c r="BWS238" s="243"/>
      <c r="BWT238" s="243"/>
      <c r="BWU238" s="243"/>
      <c r="BWV238" s="243"/>
      <c r="BWW238" s="243"/>
      <c r="BWX238" s="243"/>
      <c r="BWY238" s="243"/>
      <c r="BWZ238" s="243"/>
      <c r="BXA238" s="243"/>
      <c r="BXB238" s="243"/>
      <c r="BXC238" s="243"/>
      <c r="BXD238" s="243"/>
      <c r="BXE238" s="243"/>
      <c r="BXF238" s="243"/>
      <c r="BXG238" s="243"/>
      <c r="BXH238" s="243"/>
      <c r="BXI238" s="243"/>
      <c r="BXJ238" s="243"/>
      <c r="BXK238" s="243"/>
      <c r="BXL238" s="243"/>
      <c r="BXM238" s="243"/>
      <c r="BXN238" s="243"/>
      <c r="BXO238" s="243"/>
      <c r="BXP238" s="243"/>
      <c r="BXQ238" s="243"/>
      <c r="BXR238" s="243"/>
      <c r="BXS238" s="243"/>
      <c r="BXT238" s="243"/>
      <c r="BXU238" s="243"/>
      <c r="BXV238" s="243"/>
      <c r="BXW238" s="243"/>
      <c r="BXX238" s="243"/>
      <c r="BXY238" s="243"/>
      <c r="BXZ238" s="243"/>
      <c r="BYA238" s="243"/>
      <c r="BYB238" s="243"/>
      <c r="BYC238" s="243"/>
      <c r="BYD238" s="243"/>
      <c r="BYE238" s="243"/>
      <c r="BYF238" s="243"/>
      <c r="BYG238" s="243"/>
      <c r="BYH238" s="243"/>
      <c r="BYI238" s="243"/>
      <c r="BYJ238" s="243"/>
      <c r="BYK238" s="243"/>
      <c r="BYL238" s="243"/>
      <c r="BYM238" s="243"/>
      <c r="BYN238" s="243"/>
      <c r="BYO238" s="243"/>
      <c r="BYP238" s="243"/>
      <c r="BYQ238" s="243"/>
      <c r="BYR238" s="243"/>
      <c r="BYS238" s="243"/>
      <c r="BYT238" s="243"/>
      <c r="BYU238" s="243"/>
      <c r="BYV238" s="243"/>
      <c r="BYW238" s="243"/>
      <c r="BYX238" s="243"/>
      <c r="BYY238" s="243"/>
      <c r="BYZ238" s="243"/>
      <c r="BZA238" s="243"/>
      <c r="BZB238" s="243"/>
      <c r="BZC238" s="243"/>
      <c r="BZD238" s="243"/>
      <c r="BZE238" s="243"/>
      <c r="BZF238" s="243"/>
      <c r="BZG238" s="243"/>
      <c r="BZH238" s="243"/>
      <c r="BZI238" s="243"/>
      <c r="BZJ238" s="243"/>
      <c r="BZK238" s="243"/>
      <c r="BZL238" s="243"/>
      <c r="BZM238" s="243"/>
      <c r="BZN238" s="243"/>
      <c r="BZO238" s="243"/>
      <c r="BZP238" s="243"/>
      <c r="BZQ238" s="243"/>
      <c r="BZR238" s="243"/>
      <c r="BZS238" s="243"/>
      <c r="BZT238" s="243"/>
      <c r="BZU238" s="243"/>
      <c r="BZV238" s="243"/>
      <c r="BZW238" s="243"/>
      <c r="BZX238" s="243"/>
      <c r="BZY238" s="243"/>
      <c r="BZZ238" s="243"/>
      <c r="CAA238" s="243"/>
      <c r="CAB238" s="243"/>
      <c r="CAC238" s="243"/>
      <c r="CAD238" s="243"/>
      <c r="CAE238" s="243"/>
      <c r="CAF238" s="243"/>
      <c r="CAG238" s="243"/>
      <c r="CAH238" s="243"/>
      <c r="CAI238" s="243"/>
      <c r="CAJ238" s="243"/>
      <c r="CAK238" s="243"/>
      <c r="CAL238" s="243"/>
      <c r="CAM238" s="243"/>
      <c r="CAN238" s="243"/>
      <c r="CAO238" s="243"/>
      <c r="CAP238" s="243"/>
      <c r="CAQ238" s="243"/>
      <c r="CAR238" s="243"/>
      <c r="CAS238" s="243"/>
      <c r="CAT238" s="243"/>
      <c r="CAU238" s="243"/>
      <c r="CAV238" s="243"/>
      <c r="CAW238" s="243"/>
      <c r="CAX238" s="243"/>
      <c r="CAY238" s="243"/>
      <c r="CAZ238" s="243"/>
      <c r="CBA238" s="243"/>
      <c r="CBB238" s="243"/>
      <c r="CBC238" s="243"/>
      <c r="CBD238" s="243"/>
      <c r="CBE238" s="243"/>
      <c r="CBF238" s="243"/>
      <c r="CBG238" s="243"/>
      <c r="CBH238" s="243"/>
      <c r="CBI238" s="243"/>
      <c r="CBJ238" s="243"/>
      <c r="CBK238" s="243"/>
      <c r="CBL238" s="243"/>
      <c r="CBM238" s="243"/>
      <c r="CBN238" s="243"/>
      <c r="CBO238" s="243"/>
      <c r="CBP238" s="243"/>
      <c r="CBQ238" s="243"/>
      <c r="CBR238" s="243"/>
      <c r="CBS238" s="243"/>
      <c r="CBT238" s="243"/>
      <c r="CBU238" s="243"/>
      <c r="CBV238" s="243"/>
      <c r="CBW238" s="243"/>
      <c r="CBX238" s="243"/>
      <c r="CBY238" s="243"/>
      <c r="CBZ238" s="243"/>
      <c r="CCA238" s="243"/>
      <c r="CCB238" s="243"/>
      <c r="CCC238" s="243"/>
      <c r="CCD238" s="243"/>
      <c r="CCE238" s="243"/>
      <c r="CCF238" s="243"/>
      <c r="CCG238" s="243"/>
      <c r="CCH238" s="243"/>
      <c r="CCI238" s="243"/>
      <c r="CCJ238" s="243"/>
      <c r="CCK238" s="243"/>
      <c r="CCL238" s="243"/>
      <c r="CCM238" s="243"/>
      <c r="CCN238" s="243"/>
      <c r="CCO238" s="243"/>
      <c r="CCP238" s="243"/>
      <c r="CCQ238" s="243"/>
      <c r="CCR238" s="243"/>
      <c r="CCS238" s="243"/>
      <c r="CCT238" s="243"/>
      <c r="CCU238" s="243"/>
      <c r="CCV238" s="243"/>
      <c r="CCW238" s="243"/>
      <c r="CCX238" s="243"/>
      <c r="CCY238" s="243"/>
      <c r="CCZ238" s="243"/>
      <c r="CDA238" s="243"/>
      <c r="CDB238" s="243"/>
      <c r="CDC238" s="243"/>
      <c r="CDD238" s="243"/>
      <c r="CDE238" s="243"/>
      <c r="CDF238" s="243"/>
      <c r="CDG238" s="243"/>
      <c r="CDH238" s="243"/>
      <c r="CDI238" s="243"/>
      <c r="CDJ238" s="243"/>
      <c r="CDK238" s="243"/>
      <c r="CDL238" s="243"/>
      <c r="CDM238" s="243"/>
      <c r="CDN238" s="243"/>
      <c r="CDO238" s="243"/>
      <c r="CDP238" s="243"/>
      <c r="CDQ238" s="243"/>
      <c r="CDR238" s="243"/>
      <c r="CDS238" s="243"/>
      <c r="CDT238" s="243"/>
      <c r="CDU238" s="243"/>
      <c r="CDV238" s="243"/>
      <c r="CDW238" s="243"/>
      <c r="CDX238" s="243"/>
      <c r="CDY238" s="243"/>
      <c r="CDZ238" s="243"/>
      <c r="CEA238" s="243"/>
      <c r="CEB238" s="243"/>
      <c r="CEC238" s="243"/>
      <c r="CED238" s="243"/>
      <c r="CEE238" s="243"/>
      <c r="CEF238" s="243"/>
      <c r="CEG238" s="243"/>
      <c r="CEH238" s="243"/>
      <c r="CEI238" s="243"/>
      <c r="CEJ238" s="243"/>
      <c r="CEK238" s="243"/>
      <c r="CEL238" s="243"/>
      <c r="CEM238" s="243"/>
      <c r="CEN238" s="243"/>
      <c r="CEO238" s="243"/>
      <c r="CEP238" s="243"/>
      <c r="CEQ238" s="243"/>
      <c r="CER238" s="243"/>
      <c r="CES238" s="243"/>
      <c r="CET238" s="243"/>
      <c r="CEU238" s="243"/>
      <c r="CEV238" s="243"/>
      <c r="CEW238" s="243"/>
      <c r="CEX238" s="243"/>
      <c r="CEY238" s="243"/>
      <c r="CEZ238" s="243"/>
      <c r="CFA238" s="243"/>
      <c r="CFB238" s="243"/>
      <c r="CFC238" s="243"/>
      <c r="CFD238" s="243"/>
      <c r="CFE238" s="243"/>
      <c r="CFF238" s="243"/>
      <c r="CFG238" s="243"/>
      <c r="CFH238" s="243"/>
      <c r="CFI238" s="243"/>
      <c r="CFJ238" s="243"/>
      <c r="CFK238" s="243"/>
      <c r="CFL238" s="243"/>
      <c r="CFM238" s="243"/>
      <c r="CFN238" s="243"/>
      <c r="CFO238" s="243"/>
      <c r="CFP238" s="243"/>
      <c r="CFQ238" s="243"/>
      <c r="CFR238" s="243"/>
      <c r="CFS238" s="243"/>
      <c r="CFT238" s="243"/>
      <c r="CFU238" s="243"/>
      <c r="CFV238" s="243"/>
      <c r="CFW238" s="243"/>
      <c r="CFX238" s="243"/>
      <c r="CFY238" s="243"/>
      <c r="CFZ238" s="243"/>
      <c r="CGA238" s="243"/>
      <c r="CGB238" s="243"/>
      <c r="CGC238" s="243"/>
      <c r="CGD238" s="243"/>
      <c r="CGE238" s="243"/>
      <c r="CGF238" s="243"/>
      <c r="CGG238" s="243"/>
      <c r="CGH238" s="243"/>
      <c r="CGI238" s="243"/>
      <c r="CGJ238" s="243"/>
      <c r="CGK238" s="243"/>
      <c r="CGL238" s="243"/>
      <c r="CGM238" s="243"/>
      <c r="CGN238" s="243"/>
      <c r="CGO238" s="243"/>
      <c r="CGP238" s="243"/>
      <c r="CGQ238" s="243"/>
      <c r="CGR238" s="243"/>
      <c r="CGS238" s="243"/>
      <c r="CGT238" s="243"/>
      <c r="CGU238" s="243"/>
      <c r="CGV238" s="243"/>
      <c r="CGW238" s="243"/>
      <c r="CGX238" s="243"/>
      <c r="CGY238" s="243"/>
      <c r="CGZ238" s="243"/>
      <c r="CHA238" s="243"/>
      <c r="CHB238" s="243"/>
      <c r="CHC238" s="243"/>
      <c r="CHD238" s="243"/>
      <c r="CHE238" s="243"/>
      <c r="CHF238" s="243"/>
      <c r="CHG238" s="243"/>
      <c r="CHH238" s="243"/>
      <c r="CHI238" s="243"/>
      <c r="CHJ238" s="243"/>
      <c r="CHK238" s="243"/>
      <c r="CHL238" s="243"/>
      <c r="CHM238" s="243"/>
      <c r="CHN238" s="243"/>
      <c r="CHO238" s="243"/>
      <c r="CHP238" s="243"/>
      <c r="CHQ238" s="243"/>
      <c r="CHR238" s="243"/>
      <c r="CHS238" s="243"/>
      <c r="CHT238" s="243"/>
      <c r="CHU238" s="243"/>
      <c r="CHV238" s="243"/>
      <c r="CHW238" s="243"/>
      <c r="CHX238" s="243"/>
      <c r="CHY238" s="243"/>
      <c r="CHZ238" s="243"/>
      <c r="CIA238" s="243"/>
      <c r="CIB238" s="243"/>
      <c r="CIC238" s="243"/>
      <c r="CID238" s="243"/>
      <c r="CIE238" s="243"/>
      <c r="CIF238" s="243"/>
      <c r="CIG238" s="243"/>
      <c r="CIH238" s="243"/>
      <c r="CII238" s="243"/>
      <c r="CIJ238" s="243"/>
      <c r="CIK238" s="243"/>
      <c r="CIL238" s="243"/>
      <c r="CIM238" s="243"/>
      <c r="CIN238" s="243"/>
      <c r="CIO238" s="243"/>
      <c r="CIP238" s="243"/>
      <c r="CIQ238" s="243"/>
      <c r="CIR238" s="243"/>
      <c r="CIS238" s="243"/>
      <c r="CIT238" s="243"/>
      <c r="CIU238" s="243"/>
      <c r="CIV238" s="243"/>
      <c r="CIW238" s="243"/>
      <c r="CIX238" s="243"/>
      <c r="CIY238" s="243"/>
      <c r="CIZ238" s="243"/>
      <c r="CJA238" s="243"/>
      <c r="CJB238" s="243"/>
      <c r="CJC238" s="243"/>
      <c r="CJD238" s="243"/>
      <c r="CJE238" s="243"/>
      <c r="CJF238" s="243"/>
      <c r="CJG238" s="243"/>
      <c r="CJH238" s="243"/>
      <c r="CJI238" s="243"/>
      <c r="CJJ238" s="243"/>
      <c r="CJK238" s="243"/>
      <c r="CJL238" s="243"/>
      <c r="CJM238" s="243"/>
      <c r="CJN238" s="243"/>
      <c r="CJO238" s="243"/>
      <c r="CJP238" s="243"/>
      <c r="CJQ238" s="243"/>
      <c r="CJR238" s="243"/>
      <c r="CJS238" s="243"/>
      <c r="CJT238" s="243"/>
      <c r="CJU238" s="243"/>
      <c r="CJV238" s="243"/>
      <c r="CJW238" s="243"/>
      <c r="CJX238" s="243"/>
      <c r="CJY238" s="243"/>
      <c r="CJZ238" s="243"/>
      <c r="CKA238" s="243"/>
      <c r="CKB238" s="243"/>
      <c r="CKC238" s="243"/>
      <c r="CKD238" s="243"/>
      <c r="CKE238" s="243"/>
      <c r="CKF238" s="243"/>
      <c r="CKG238" s="243"/>
      <c r="CKH238" s="243"/>
      <c r="CKI238" s="243"/>
      <c r="CKJ238" s="243"/>
      <c r="CKK238" s="243"/>
      <c r="CKL238" s="243"/>
      <c r="CKM238" s="243"/>
      <c r="CKN238" s="243"/>
      <c r="CKO238" s="243"/>
      <c r="CKP238" s="243"/>
      <c r="CKQ238" s="243"/>
      <c r="CKR238" s="243"/>
      <c r="CKS238" s="243"/>
      <c r="CKT238" s="243"/>
      <c r="CKU238" s="243"/>
      <c r="CKV238" s="243"/>
      <c r="CKW238" s="243"/>
      <c r="CKX238" s="243"/>
      <c r="CKY238" s="243"/>
      <c r="CKZ238" s="243"/>
      <c r="CLA238" s="243"/>
      <c r="CLB238" s="243"/>
      <c r="CLC238" s="243"/>
      <c r="CLD238" s="243"/>
      <c r="CLE238" s="243"/>
      <c r="CLF238" s="243"/>
      <c r="CLG238" s="243"/>
      <c r="CLH238" s="243"/>
      <c r="CLI238" s="243"/>
      <c r="CLJ238" s="243"/>
      <c r="CLK238" s="243"/>
      <c r="CLL238" s="243"/>
      <c r="CLM238" s="243"/>
      <c r="CLN238" s="243"/>
      <c r="CLO238" s="243"/>
      <c r="CLP238" s="243"/>
      <c r="CLQ238" s="243"/>
      <c r="CLR238" s="243"/>
      <c r="CLS238" s="243"/>
      <c r="CLT238" s="243"/>
      <c r="CLU238" s="243"/>
      <c r="CLV238" s="243"/>
      <c r="CLW238" s="243"/>
      <c r="CLX238" s="243"/>
      <c r="CLY238" s="243"/>
      <c r="CLZ238" s="243"/>
      <c r="CMA238" s="243"/>
      <c r="CMB238" s="243"/>
      <c r="CMC238" s="243"/>
      <c r="CMD238" s="243"/>
      <c r="CME238" s="243"/>
      <c r="CMF238" s="243"/>
      <c r="CMG238" s="243"/>
      <c r="CMH238" s="243"/>
      <c r="CMI238" s="243"/>
      <c r="CMJ238" s="243"/>
      <c r="CMK238" s="243"/>
      <c r="CML238" s="243"/>
      <c r="CMM238" s="243"/>
      <c r="CMN238" s="243"/>
      <c r="CMO238" s="243"/>
      <c r="CMP238" s="243"/>
      <c r="CMQ238" s="243"/>
      <c r="CMR238" s="243"/>
      <c r="CMS238" s="243"/>
      <c r="CMT238" s="243"/>
      <c r="CMU238" s="243"/>
      <c r="CMV238" s="243"/>
      <c r="CMW238" s="243"/>
      <c r="CMX238" s="243"/>
      <c r="CMY238" s="243"/>
      <c r="CMZ238" s="243"/>
      <c r="CNA238" s="243"/>
      <c r="CNB238" s="243"/>
      <c r="CNC238" s="243"/>
      <c r="CND238" s="243"/>
      <c r="CNE238" s="243"/>
      <c r="CNF238" s="243"/>
      <c r="CNG238" s="243"/>
      <c r="CNH238" s="243"/>
      <c r="CNI238" s="243"/>
      <c r="CNJ238" s="243"/>
      <c r="CNK238" s="243"/>
      <c r="CNL238" s="243"/>
      <c r="CNM238" s="243"/>
      <c r="CNN238" s="243"/>
      <c r="CNO238" s="243"/>
      <c r="CNP238" s="243"/>
      <c r="CNQ238" s="243"/>
      <c r="CNR238" s="243"/>
      <c r="CNS238" s="243"/>
      <c r="CNT238" s="243"/>
      <c r="CNU238" s="243"/>
      <c r="CNV238" s="243"/>
      <c r="CNW238" s="243"/>
      <c r="CNX238" s="243"/>
      <c r="CNY238" s="243"/>
      <c r="CNZ238" s="243"/>
      <c r="COA238" s="243"/>
      <c r="COB238" s="243"/>
      <c r="COC238" s="243"/>
      <c r="COD238" s="243"/>
      <c r="COE238" s="243"/>
      <c r="COF238" s="243"/>
      <c r="COG238" s="243"/>
      <c r="COH238" s="243"/>
      <c r="COI238" s="243"/>
      <c r="COJ238" s="243"/>
      <c r="COK238" s="243"/>
      <c r="COL238" s="243"/>
      <c r="COM238" s="243"/>
      <c r="CON238" s="243"/>
      <c r="COO238" s="243"/>
      <c r="COP238" s="243"/>
      <c r="COQ238" s="243"/>
      <c r="COR238" s="243"/>
      <c r="COS238" s="243"/>
      <c r="COT238" s="243"/>
      <c r="COU238" s="243"/>
      <c r="COV238" s="243"/>
      <c r="COW238" s="243"/>
      <c r="COX238" s="243"/>
      <c r="COY238" s="243"/>
      <c r="COZ238" s="243"/>
      <c r="CPA238" s="243"/>
      <c r="CPB238" s="243"/>
      <c r="CPC238" s="243"/>
      <c r="CPD238" s="243"/>
      <c r="CPE238" s="243"/>
      <c r="CPF238" s="243"/>
      <c r="CPG238" s="243"/>
      <c r="CPH238" s="243"/>
      <c r="CPI238" s="243"/>
      <c r="CPJ238" s="243"/>
      <c r="CPK238" s="243"/>
      <c r="CPL238" s="243"/>
      <c r="CPM238" s="243"/>
      <c r="CPN238" s="243"/>
      <c r="CPO238" s="243"/>
      <c r="CPP238" s="243"/>
      <c r="CPQ238" s="243"/>
      <c r="CPR238" s="243"/>
      <c r="CPS238" s="243"/>
      <c r="CPT238" s="243"/>
      <c r="CPU238" s="243"/>
      <c r="CPV238" s="243"/>
      <c r="CPW238" s="243"/>
      <c r="CPX238" s="243"/>
      <c r="CPY238" s="243"/>
      <c r="CPZ238" s="243"/>
      <c r="CQA238" s="243"/>
      <c r="CQB238" s="243"/>
      <c r="CQC238" s="243"/>
      <c r="CQD238" s="243"/>
      <c r="CQE238" s="243"/>
      <c r="CQF238" s="243"/>
      <c r="CQG238" s="243"/>
      <c r="CQH238" s="243"/>
      <c r="CQI238" s="243"/>
      <c r="CQJ238" s="243"/>
      <c r="CQK238" s="243"/>
      <c r="CQL238" s="243"/>
      <c r="CQM238" s="243"/>
      <c r="CQN238" s="243"/>
      <c r="CQO238" s="243"/>
      <c r="CQP238" s="243"/>
      <c r="CQQ238" s="243"/>
      <c r="CQR238" s="243"/>
      <c r="CQS238" s="243"/>
      <c r="CQT238" s="243"/>
      <c r="CQU238" s="243"/>
      <c r="CQV238" s="243"/>
      <c r="CQW238" s="243"/>
      <c r="CQX238" s="243"/>
      <c r="CQY238" s="243"/>
      <c r="CQZ238" s="243"/>
      <c r="CRA238" s="243"/>
      <c r="CRB238" s="243"/>
      <c r="CRC238" s="243"/>
      <c r="CRD238" s="243"/>
      <c r="CRE238" s="243"/>
      <c r="CRF238" s="243"/>
      <c r="CRG238" s="243"/>
      <c r="CRH238" s="243"/>
      <c r="CRI238" s="243"/>
      <c r="CRJ238" s="243"/>
      <c r="CRK238" s="243"/>
      <c r="CRL238" s="243"/>
      <c r="CRM238" s="243"/>
      <c r="CRN238" s="243"/>
      <c r="CRO238" s="243"/>
      <c r="CRP238" s="243"/>
      <c r="CRQ238" s="243"/>
      <c r="CRR238" s="243"/>
      <c r="CRS238" s="243"/>
      <c r="CRT238" s="243"/>
      <c r="CRU238" s="243"/>
      <c r="CRV238" s="243"/>
      <c r="CRW238" s="243"/>
      <c r="CRX238" s="243"/>
      <c r="CRY238" s="243"/>
      <c r="CRZ238" s="243"/>
      <c r="CSA238" s="243"/>
      <c r="CSB238" s="243"/>
      <c r="CSC238" s="243"/>
      <c r="CSD238" s="243"/>
      <c r="CSE238" s="243"/>
      <c r="CSF238" s="243"/>
      <c r="CSG238" s="243"/>
      <c r="CSH238" s="243"/>
      <c r="CSI238" s="243"/>
      <c r="CSJ238" s="243"/>
      <c r="CSK238" s="243"/>
      <c r="CSL238" s="243"/>
      <c r="CSM238" s="243"/>
      <c r="CSN238" s="243"/>
      <c r="CSO238" s="243"/>
      <c r="CSP238" s="243"/>
      <c r="CSQ238" s="243"/>
      <c r="CSR238" s="243"/>
      <c r="CSS238" s="243"/>
      <c r="CST238" s="243"/>
      <c r="CSU238" s="243"/>
      <c r="CSV238" s="243"/>
      <c r="CSW238" s="243"/>
      <c r="CSX238" s="243"/>
      <c r="CSY238" s="243"/>
      <c r="CSZ238" s="243"/>
      <c r="CTA238" s="243"/>
      <c r="CTB238" s="243"/>
      <c r="CTC238" s="243"/>
      <c r="CTD238" s="243"/>
      <c r="CTE238" s="243"/>
      <c r="CTF238" s="243"/>
      <c r="CTG238" s="243"/>
      <c r="CTH238" s="243"/>
      <c r="CTI238" s="243"/>
      <c r="CTJ238" s="243"/>
      <c r="CTK238" s="243"/>
      <c r="CTL238" s="243"/>
      <c r="CTM238" s="243"/>
      <c r="CTN238" s="243"/>
      <c r="CTO238" s="243"/>
      <c r="CTP238" s="243"/>
      <c r="CTQ238" s="243"/>
      <c r="CTR238" s="243"/>
      <c r="CTS238" s="243"/>
      <c r="CTT238" s="243"/>
      <c r="CTU238" s="243"/>
      <c r="CTV238" s="243"/>
      <c r="CTW238" s="243"/>
      <c r="CTX238" s="243"/>
      <c r="CTY238" s="243"/>
      <c r="CTZ238" s="243"/>
      <c r="CUA238" s="243"/>
      <c r="CUB238" s="243"/>
      <c r="CUC238" s="243"/>
      <c r="CUD238" s="243"/>
      <c r="CUE238" s="243"/>
      <c r="CUF238" s="243"/>
      <c r="CUG238" s="243"/>
      <c r="CUH238" s="243"/>
      <c r="CUI238" s="243"/>
      <c r="CUJ238" s="243"/>
      <c r="CUK238" s="243"/>
      <c r="CUL238" s="243"/>
      <c r="CUM238" s="243"/>
      <c r="CUN238" s="243"/>
      <c r="CUO238" s="243"/>
      <c r="CUP238" s="243"/>
      <c r="CUQ238" s="243"/>
      <c r="CUR238" s="243"/>
      <c r="CUS238" s="243"/>
      <c r="CUT238" s="243"/>
      <c r="CUU238" s="243"/>
      <c r="CUV238" s="243"/>
      <c r="CUW238" s="243"/>
      <c r="CUX238" s="243"/>
      <c r="CUY238" s="243"/>
      <c r="CUZ238" s="243"/>
      <c r="CVA238" s="243"/>
      <c r="CVB238" s="243"/>
      <c r="CVC238" s="243"/>
      <c r="CVD238" s="243"/>
      <c r="CVE238" s="243"/>
      <c r="CVF238" s="243"/>
      <c r="CVG238" s="243"/>
      <c r="CVH238" s="243"/>
      <c r="CVI238" s="243"/>
      <c r="CVJ238" s="243"/>
      <c r="CVK238" s="243"/>
      <c r="CVL238" s="243"/>
      <c r="CVM238" s="243"/>
      <c r="CVN238" s="243"/>
      <c r="CVO238" s="243"/>
      <c r="CVP238" s="243"/>
      <c r="CVQ238" s="243"/>
      <c r="CVR238" s="243"/>
      <c r="CVS238" s="243"/>
      <c r="CVT238" s="243"/>
      <c r="CVU238" s="243"/>
      <c r="CVV238" s="243"/>
      <c r="CVW238" s="243"/>
      <c r="CVX238" s="243"/>
      <c r="CVY238" s="243"/>
      <c r="CVZ238" s="243"/>
      <c r="CWA238" s="243"/>
      <c r="CWB238" s="243"/>
      <c r="CWC238" s="243"/>
      <c r="CWD238" s="243"/>
      <c r="CWE238" s="243"/>
      <c r="CWF238" s="243"/>
      <c r="CWG238" s="243"/>
      <c r="CWH238" s="243"/>
      <c r="CWI238" s="243"/>
      <c r="CWJ238" s="243"/>
      <c r="CWK238" s="243"/>
      <c r="CWL238" s="243"/>
      <c r="CWM238" s="243"/>
      <c r="CWN238" s="243"/>
      <c r="CWO238" s="243"/>
      <c r="CWP238" s="243"/>
      <c r="CWQ238" s="243"/>
      <c r="CWR238" s="243"/>
      <c r="CWS238" s="243"/>
      <c r="CWT238" s="243"/>
      <c r="CWU238" s="243"/>
      <c r="CWV238" s="243"/>
      <c r="CWW238" s="243"/>
      <c r="CWX238" s="243"/>
      <c r="CWY238" s="243"/>
      <c r="CWZ238" s="243"/>
      <c r="CXA238" s="243"/>
      <c r="CXB238" s="243"/>
      <c r="CXC238" s="243"/>
      <c r="CXD238" s="243"/>
      <c r="CXE238" s="243"/>
      <c r="CXF238" s="243"/>
      <c r="CXG238" s="243"/>
      <c r="CXH238" s="243"/>
      <c r="CXI238" s="243"/>
      <c r="CXJ238" s="243"/>
      <c r="CXK238" s="243"/>
      <c r="CXL238" s="243"/>
      <c r="CXM238" s="243"/>
      <c r="CXN238" s="243"/>
      <c r="CXO238" s="243"/>
      <c r="CXP238" s="243"/>
      <c r="CXQ238" s="243"/>
      <c r="CXR238" s="243"/>
      <c r="CXS238" s="243"/>
      <c r="CXT238" s="243"/>
      <c r="CXU238" s="243"/>
      <c r="CXV238" s="243"/>
      <c r="CXW238" s="243"/>
      <c r="CXX238" s="243"/>
      <c r="CXY238" s="243"/>
      <c r="CXZ238" s="243"/>
      <c r="CYA238" s="243"/>
      <c r="CYB238" s="243"/>
      <c r="CYC238" s="243"/>
      <c r="CYD238" s="243"/>
      <c r="CYE238" s="243"/>
      <c r="CYF238" s="243"/>
      <c r="CYG238" s="243"/>
      <c r="CYH238" s="243"/>
      <c r="CYI238" s="243"/>
      <c r="CYJ238" s="243"/>
      <c r="CYK238" s="243"/>
      <c r="CYL238" s="243"/>
      <c r="CYM238" s="243"/>
      <c r="CYN238" s="243"/>
      <c r="CYO238" s="243"/>
      <c r="CYP238" s="243"/>
      <c r="CYQ238" s="243"/>
      <c r="CYR238" s="243"/>
      <c r="CYS238" s="243"/>
      <c r="CYT238" s="243"/>
      <c r="CYU238" s="243"/>
      <c r="CYV238" s="243"/>
      <c r="CYW238" s="243"/>
      <c r="CYX238" s="243"/>
      <c r="CYY238" s="243"/>
      <c r="CYZ238" s="243"/>
      <c r="CZA238" s="243"/>
      <c r="CZB238" s="243"/>
      <c r="CZC238" s="243"/>
      <c r="CZD238" s="243"/>
      <c r="CZE238" s="243"/>
      <c r="CZF238" s="243"/>
      <c r="CZG238" s="243"/>
      <c r="CZH238" s="243"/>
      <c r="CZI238" s="243"/>
      <c r="CZJ238" s="243"/>
      <c r="CZK238" s="243"/>
      <c r="CZL238" s="243"/>
      <c r="CZM238" s="243"/>
      <c r="CZN238" s="243"/>
      <c r="CZO238" s="243"/>
      <c r="CZP238" s="243"/>
      <c r="CZQ238" s="243"/>
      <c r="CZR238" s="243"/>
      <c r="CZS238" s="243"/>
      <c r="CZT238" s="243"/>
      <c r="CZU238" s="243"/>
      <c r="CZV238" s="243"/>
      <c r="CZW238" s="243"/>
      <c r="CZX238" s="243"/>
      <c r="CZY238" s="243"/>
      <c r="CZZ238" s="243"/>
      <c r="DAA238" s="243"/>
      <c r="DAB238" s="243"/>
      <c r="DAC238" s="243"/>
      <c r="DAD238" s="243"/>
      <c r="DAE238" s="243"/>
      <c r="DAF238" s="243"/>
      <c r="DAG238" s="243"/>
      <c r="DAH238" s="243"/>
      <c r="DAI238" s="243"/>
      <c r="DAJ238" s="243"/>
      <c r="DAK238" s="243"/>
      <c r="DAL238" s="243"/>
      <c r="DAM238" s="243"/>
      <c r="DAN238" s="243"/>
      <c r="DAO238" s="243"/>
      <c r="DAP238" s="243"/>
      <c r="DAQ238" s="243"/>
      <c r="DAR238" s="243"/>
      <c r="DAS238" s="243"/>
      <c r="DAT238" s="243"/>
      <c r="DAU238" s="243"/>
      <c r="DAV238" s="243"/>
      <c r="DAW238" s="243"/>
      <c r="DAX238" s="243"/>
      <c r="DAY238" s="243"/>
      <c r="DAZ238" s="243"/>
      <c r="DBA238" s="243"/>
      <c r="DBB238" s="243"/>
      <c r="DBC238" s="243"/>
      <c r="DBD238" s="243"/>
      <c r="DBE238" s="243"/>
      <c r="DBF238" s="243"/>
      <c r="DBG238" s="243"/>
      <c r="DBH238" s="243"/>
      <c r="DBI238" s="243"/>
      <c r="DBJ238" s="243"/>
      <c r="DBK238" s="243"/>
      <c r="DBL238" s="243"/>
      <c r="DBM238" s="243"/>
      <c r="DBN238" s="243"/>
      <c r="DBO238" s="243"/>
      <c r="DBP238" s="243"/>
      <c r="DBQ238" s="243"/>
      <c r="DBR238" s="243"/>
      <c r="DBS238" s="243"/>
      <c r="DBT238" s="243"/>
      <c r="DBU238" s="243"/>
      <c r="DBV238" s="243"/>
      <c r="DBW238" s="243"/>
      <c r="DBX238" s="243"/>
      <c r="DBY238" s="243"/>
      <c r="DBZ238" s="243"/>
      <c r="DCA238" s="243"/>
      <c r="DCB238" s="243"/>
      <c r="DCC238" s="243"/>
      <c r="DCD238" s="243"/>
      <c r="DCE238" s="243"/>
      <c r="DCF238" s="243"/>
      <c r="DCG238" s="243"/>
      <c r="DCH238" s="243"/>
      <c r="DCI238" s="243"/>
      <c r="DCJ238" s="243"/>
      <c r="DCK238" s="243"/>
      <c r="DCL238" s="243"/>
      <c r="DCM238" s="243"/>
      <c r="DCN238" s="243"/>
      <c r="DCO238" s="243"/>
      <c r="DCP238" s="243"/>
      <c r="DCQ238" s="243"/>
      <c r="DCR238" s="243"/>
      <c r="DCS238" s="243"/>
      <c r="DCT238" s="243"/>
      <c r="DCU238" s="243"/>
      <c r="DCV238" s="243"/>
      <c r="DCW238" s="243"/>
      <c r="DCX238" s="243"/>
      <c r="DCY238" s="243"/>
      <c r="DCZ238" s="243"/>
      <c r="DDA238" s="243"/>
      <c r="DDB238" s="243"/>
      <c r="DDC238" s="243"/>
      <c r="DDD238" s="243"/>
      <c r="DDE238" s="243"/>
      <c r="DDF238" s="243"/>
      <c r="DDG238" s="243"/>
      <c r="DDH238" s="243"/>
      <c r="DDI238" s="243"/>
      <c r="DDJ238" s="243"/>
      <c r="DDK238" s="243"/>
      <c r="DDL238" s="243"/>
      <c r="DDM238" s="243"/>
      <c r="DDN238" s="243"/>
      <c r="DDO238" s="243"/>
      <c r="DDP238" s="243"/>
      <c r="DDQ238" s="243"/>
      <c r="DDR238" s="243"/>
      <c r="DDS238" s="243"/>
      <c r="DDT238" s="243"/>
      <c r="DDU238" s="243"/>
      <c r="DDV238" s="243"/>
      <c r="DDW238" s="243"/>
      <c r="DDX238" s="243"/>
      <c r="DDY238" s="243"/>
      <c r="DDZ238" s="243"/>
      <c r="DEA238" s="243"/>
      <c r="DEB238" s="243"/>
      <c r="DEC238" s="243"/>
      <c r="DED238" s="243"/>
      <c r="DEE238" s="243"/>
      <c r="DEF238" s="243"/>
      <c r="DEG238" s="243"/>
      <c r="DEH238" s="243"/>
      <c r="DEI238" s="243"/>
      <c r="DEJ238" s="243"/>
      <c r="DEK238" s="243"/>
      <c r="DEL238" s="243"/>
      <c r="DEM238" s="243"/>
      <c r="DEN238" s="243"/>
      <c r="DEO238" s="243"/>
      <c r="DEP238" s="243"/>
      <c r="DEQ238" s="243"/>
      <c r="DER238" s="243"/>
      <c r="DES238" s="243"/>
      <c r="DET238" s="243"/>
      <c r="DEU238" s="243"/>
      <c r="DEV238" s="243"/>
      <c r="DEW238" s="243"/>
      <c r="DEX238" s="243"/>
      <c r="DEY238" s="243"/>
      <c r="DEZ238" s="243"/>
      <c r="DFA238" s="243"/>
      <c r="DFB238" s="243"/>
      <c r="DFC238" s="243"/>
      <c r="DFD238" s="243"/>
      <c r="DFE238" s="243"/>
      <c r="DFF238" s="243"/>
      <c r="DFG238" s="243"/>
      <c r="DFH238" s="243"/>
      <c r="DFI238" s="243"/>
      <c r="DFJ238" s="243"/>
      <c r="DFK238" s="243"/>
      <c r="DFL238" s="243"/>
      <c r="DFM238" s="243"/>
      <c r="DFN238" s="243"/>
      <c r="DFO238" s="243"/>
      <c r="DFP238" s="243"/>
      <c r="DFQ238" s="243"/>
      <c r="DFR238" s="243"/>
      <c r="DFS238" s="243"/>
      <c r="DFT238" s="243"/>
      <c r="DFU238" s="243"/>
      <c r="DFV238" s="243"/>
      <c r="DFW238" s="243"/>
      <c r="DFX238" s="243"/>
      <c r="DFY238" s="243"/>
      <c r="DFZ238" s="243"/>
      <c r="DGA238" s="243"/>
      <c r="DGB238" s="243"/>
      <c r="DGC238" s="243"/>
      <c r="DGD238" s="243"/>
      <c r="DGE238" s="243"/>
      <c r="DGF238" s="243"/>
      <c r="DGG238" s="243"/>
      <c r="DGH238" s="243"/>
      <c r="DGI238" s="243"/>
      <c r="DGJ238" s="243"/>
      <c r="DGK238" s="243"/>
      <c r="DGL238" s="243"/>
      <c r="DGM238" s="243"/>
      <c r="DGN238" s="243"/>
      <c r="DGO238" s="243"/>
      <c r="DGP238" s="243"/>
      <c r="DGQ238" s="243"/>
      <c r="DGR238" s="243"/>
      <c r="DGS238" s="243"/>
      <c r="DGT238" s="243"/>
      <c r="DGU238" s="243"/>
      <c r="DGV238" s="243"/>
      <c r="DGW238" s="243"/>
      <c r="DGX238" s="243"/>
      <c r="DGY238" s="243"/>
      <c r="DGZ238" s="243"/>
      <c r="DHA238" s="243"/>
      <c r="DHB238" s="243"/>
      <c r="DHC238" s="243"/>
      <c r="DHD238" s="243"/>
      <c r="DHE238" s="243"/>
      <c r="DHF238" s="243"/>
      <c r="DHG238" s="243"/>
      <c r="DHH238" s="243"/>
      <c r="DHI238" s="243"/>
      <c r="DHJ238" s="243"/>
      <c r="DHK238" s="243"/>
      <c r="DHL238" s="243"/>
      <c r="DHM238" s="243"/>
      <c r="DHN238" s="243"/>
      <c r="DHO238" s="243"/>
      <c r="DHP238" s="243"/>
      <c r="DHQ238" s="243"/>
      <c r="DHR238" s="243"/>
      <c r="DHS238" s="243"/>
      <c r="DHT238" s="243"/>
      <c r="DHU238" s="243"/>
      <c r="DHV238" s="243"/>
      <c r="DHW238" s="243"/>
      <c r="DHX238" s="243"/>
      <c r="DHY238" s="243"/>
      <c r="DHZ238" s="243"/>
      <c r="DIA238" s="243"/>
      <c r="DIB238" s="243"/>
      <c r="DIC238" s="243"/>
      <c r="DID238" s="243"/>
      <c r="DIE238" s="243"/>
      <c r="DIF238" s="243"/>
      <c r="DIG238" s="243"/>
      <c r="DIH238" s="243"/>
      <c r="DII238" s="243"/>
      <c r="DIJ238" s="243"/>
      <c r="DIK238" s="243"/>
      <c r="DIL238" s="243"/>
      <c r="DIM238" s="243"/>
      <c r="DIN238" s="243"/>
      <c r="DIO238" s="243"/>
      <c r="DIP238" s="243"/>
      <c r="DIQ238" s="243"/>
      <c r="DIR238" s="243"/>
      <c r="DIS238" s="243"/>
      <c r="DIT238" s="243"/>
      <c r="DIU238" s="243"/>
      <c r="DIV238" s="243"/>
      <c r="DIW238" s="243"/>
      <c r="DIX238" s="243"/>
      <c r="DIY238" s="243"/>
      <c r="DIZ238" s="243"/>
      <c r="DJA238" s="243"/>
      <c r="DJB238" s="243"/>
      <c r="DJC238" s="243"/>
      <c r="DJD238" s="243"/>
      <c r="DJE238" s="243"/>
      <c r="DJF238" s="243"/>
      <c r="DJG238" s="243"/>
      <c r="DJH238" s="243"/>
      <c r="DJI238" s="243"/>
      <c r="DJJ238" s="243"/>
      <c r="DJK238" s="243"/>
      <c r="DJL238" s="243"/>
      <c r="DJM238" s="243"/>
      <c r="DJN238" s="243"/>
      <c r="DJO238" s="243"/>
      <c r="DJP238" s="243"/>
      <c r="DJQ238" s="243"/>
      <c r="DJR238" s="243"/>
      <c r="DJS238" s="243"/>
      <c r="DJT238" s="243"/>
      <c r="DJU238" s="243"/>
      <c r="DJV238" s="243"/>
      <c r="DJW238" s="243"/>
      <c r="DJX238" s="243"/>
      <c r="DJY238" s="243"/>
      <c r="DJZ238" s="243"/>
      <c r="DKA238" s="243"/>
      <c r="DKB238" s="243"/>
      <c r="DKC238" s="243"/>
      <c r="DKD238" s="243"/>
      <c r="DKE238" s="243"/>
      <c r="DKF238" s="243"/>
      <c r="DKG238" s="243"/>
      <c r="DKH238" s="243"/>
      <c r="DKI238" s="243"/>
      <c r="DKJ238" s="243"/>
      <c r="DKK238" s="243"/>
      <c r="DKL238" s="243"/>
      <c r="DKM238" s="243"/>
      <c r="DKN238" s="243"/>
      <c r="DKO238" s="243"/>
      <c r="DKP238" s="243"/>
      <c r="DKQ238" s="243"/>
      <c r="DKR238" s="243"/>
      <c r="DKS238" s="243"/>
      <c r="DKT238" s="243"/>
      <c r="DKU238" s="243"/>
      <c r="DKV238" s="243"/>
      <c r="DKW238" s="243"/>
      <c r="DKX238" s="243"/>
      <c r="DKY238" s="243"/>
      <c r="DKZ238" s="243"/>
      <c r="DLA238" s="243"/>
      <c r="DLB238" s="243"/>
      <c r="DLC238" s="243"/>
      <c r="DLD238" s="243"/>
      <c r="DLE238" s="243"/>
      <c r="DLF238" s="243"/>
      <c r="DLG238" s="243"/>
      <c r="DLH238" s="243"/>
      <c r="DLI238" s="243"/>
      <c r="DLJ238" s="243"/>
      <c r="DLK238" s="243"/>
      <c r="DLL238" s="243"/>
      <c r="DLM238" s="243"/>
      <c r="DLN238" s="243"/>
      <c r="DLO238" s="243"/>
      <c r="DLP238" s="243"/>
      <c r="DLQ238" s="243"/>
      <c r="DLR238" s="243"/>
      <c r="DLS238" s="243"/>
      <c r="DLT238" s="243"/>
      <c r="DLU238" s="243"/>
      <c r="DLV238" s="243"/>
      <c r="DLW238" s="243"/>
      <c r="DLX238" s="243"/>
      <c r="DLY238" s="243"/>
      <c r="DLZ238" s="243"/>
      <c r="DMA238" s="243"/>
      <c r="DMB238" s="243"/>
      <c r="DMC238" s="243"/>
      <c r="DMD238" s="243"/>
      <c r="DME238" s="243"/>
      <c r="DMF238" s="243"/>
      <c r="DMG238" s="243"/>
      <c r="DMH238" s="243"/>
      <c r="DMI238" s="243"/>
      <c r="DMJ238" s="243"/>
      <c r="DMK238" s="243"/>
      <c r="DML238" s="243"/>
      <c r="DMM238" s="243"/>
      <c r="DMN238" s="243"/>
      <c r="DMO238" s="243"/>
      <c r="DMP238" s="243"/>
      <c r="DMQ238" s="243"/>
      <c r="DMR238" s="243"/>
      <c r="DMS238" s="243"/>
      <c r="DMT238" s="243"/>
      <c r="DMU238" s="243"/>
      <c r="DMV238" s="243"/>
      <c r="DMW238" s="243"/>
      <c r="DMX238" s="243"/>
      <c r="DMY238" s="243"/>
      <c r="DMZ238" s="243"/>
      <c r="DNA238" s="243"/>
      <c r="DNB238" s="243"/>
      <c r="DNC238" s="243"/>
      <c r="DND238" s="243"/>
      <c r="DNE238" s="243"/>
      <c r="DNF238" s="243"/>
      <c r="DNG238" s="243"/>
      <c r="DNH238" s="243"/>
      <c r="DNI238" s="243"/>
      <c r="DNJ238" s="243"/>
      <c r="DNK238" s="243"/>
      <c r="DNL238" s="243"/>
      <c r="DNM238" s="243"/>
      <c r="DNN238" s="243"/>
      <c r="DNO238" s="243"/>
      <c r="DNP238" s="243"/>
      <c r="DNQ238" s="243"/>
      <c r="DNR238" s="243"/>
      <c r="DNS238" s="243"/>
      <c r="DNT238" s="243"/>
      <c r="DNU238" s="243"/>
      <c r="DNV238" s="243"/>
      <c r="DNW238" s="243"/>
      <c r="DNX238" s="243"/>
      <c r="DNY238" s="243"/>
      <c r="DNZ238" s="243"/>
      <c r="DOA238" s="243"/>
      <c r="DOB238" s="243"/>
      <c r="DOC238" s="243"/>
      <c r="DOD238" s="243"/>
      <c r="DOE238" s="243"/>
      <c r="DOF238" s="243"/>
      <c r="DOG238" s="243"/>
      <c r="DOH238" s="243"/>
      <c r="DOI238" s="243"/>
      <c r="DOJ238" s="243"/>
      <c r="DOK238" s="243"/>
      <c r="DOL238" s="243"/>
      <c r="DOM238" s="243"/>
      <c r="DON238" s="243"/>
      <c r="DOO238" s="243"/>
      <c r="DOP238" s="243"/>
      <c r="DOQ238" s="243"/>
      <c r="DOR238" s="243"/>
      <c r="DOS238" s="243"/>
      <c r="DOT238" s="243"/>
      <c r="DOU238" s="243"/>
      <c r="DOV238" s="243"/>
      <c r="DOW238" s="243"/>
      <c r="DOX238" s="243"/>
      <c r="DOY238" s="243"/>
      <c r="DOZ238" s="243"/>
      <c r="DPA238" s="243"/>
      <c r="DPB238" s="243"/>
      <c r="DPC238" s="243"/>
      <c r="DPD238" s="243"/>
      <c r="DPE238" s="243"/>
      <c r="DPF238" s="243"/>
      <c r="DPG238" s="243"/>
      <c r="DPH238" s="243"/>
      <c r="DPI238" s="243"/>
      <c r="DPJ238" s="243"/>
      <c r="DPK238" s="243"/>
      <c r="DPL238" s="243"/>
      <c r="DPM238" s="243"/>
      <c r="DPN238" s="243"/>
      <c r="DPO238" s="243"/>
      <c r="DPP238" s="243"/>
      <c r="DPQ238" s="243"/>
      <c r="DPR238" s="243"/>
      <c r="DPS238" s="243"/>
      <c r="DPT238" s="243"/>
      <c r="DPU238" s="243"/>
      <c r="DPV238" s="243"/>
      <c r="DPW238" s="243"/>
      <c r="DPX238" s="243"/>
      <c r="DPY238" s="243"/>
      <c r="DPZ238" s="243"/>
      <c r="DQA238" s="243"/>
      <c r="DQB238" s="243"/>
      <c r="DQC238" s="243"/>
      <c r="DQD238" s="243"/>
      <c r="DQE238" s="243"/>
      <c r="DQF238" s="243"/>
      <c r="DQG238" s="243"/>
      <c r="DQH238" s="243"/>
      <c r="DQI238" s="243"/>
      <c r="DQJ238" s="243"/>
      <c r="DQK238" s="243"/>
      <c r="DQL238" s="243"/>
      <c r="DQM238" s="243"/>
      <c r="DQN238" s="243"/>
      <c r="DQO238" s="243"/>
      <c r="DQP238" s="243"/>
      <c r="DQQ238" s="243"/>
      <c r="DQR238" s="243"/>
      <c r="DQS238" s="243"/>
      <c r="DQT238" s="243"/>
      <c r="DQU238" s="243"/>
      <c r="DQV238" s="243"/>
      <c r="DQW238" s="243"/>
      <c r="DQX238" s="243"/>
      <c r="DQY238" s="243"/>
      <c r="DQZ238" s="243"/>
      <c r="DRA238" s="243"/>
      <c r="DRB238" s="243"/>
      <c r="DRC238" s="243"/>
      <c r="DRD238" s="243"/>
      <c r="DRE238" s="243"/>
      <c r="DRF238" s="243"/>
      <c r="DRG238" s="243"/>
      <c r="DRH238" s="243"/>
      <c r="DRI238" s="243"/>
      <c r="DRJ238" s="243"/>
      <c r="DRK238" s="243"/>
      <c r="DRL238" s="243"/>
      <c r="DRM238" s="243"/>
      <c r="DRN238" s="243"/>
      <c r="DRO238" s="243"/>
      <c r="DRP238" s="243"/>
      <c r="DRQ238" s="243"/>
      <c r="DRR238" s="243"/>
      <c r="DRS238" s="243"/>
      <c r="DRT238" s="243"/>
      <c r="DRU238" s="243"/>
      <c r="DRV238" s="243"/>
      <c r="DRW238" s="243"/>
      <c r="DRX238" s="243"/>
      <c r="DRY238" s="243"/>
      <c r="DRZ238" s="243"/>
      <c r="DSA238" s="243"/>
      <c r="DSB238" s="243"/>
      <c r="DSC238" s="243"/>
      <c r="DSD238" s="243"/>
      <c r="DSE238" s="243"/>
      <c r="DSF238" s="243"/>
      <c r="DSG238" s="243"/>
      <c r="DSH238" s="243"/>
      <c r="DSI238" s="243"/>
      <c r="DSJ238" s="243"/>
      <c r="DSK238" s="243"/>
      <c r="DSL238" s="243"/>
      <c r="DSM238" s="243"/>
      <c r="DSN238" s="243"/>
      <c r="DSO238" s="243"/>
      <c r="DSP238" s="243"/>
      <c r="DSQ238" s="243"/>
      <c r="DSR238" s="243"/>
      <c r="DSS238" s="243"/>
      <c r="DST238" s="243"/>
      <c r="DSU238" s="243"/>
      <c r="DSV238" s="243"/>
      <c r="DSW238" s="243"/>
      <c r="DSX238" s="243"/>
      <c r="DSY238" s="243"/>
      <c r="DSZ238" s="243"/>
      <c r="DTA238" s="243"/>
      <c r="DTB238" s="243"/>
      <c r="DTC238" s="243"/>
      <c r="DTD238" s="243"/>
      <c r="DTE238" s="243"/>
      <c r="DTF238" s="243"/>
      <c r="DTG238" s="243"/>
      <c r="DTH238" s="243"/>
      <c r="DTI238" s="243"/>
      <c r="DTJ238" s="243"/>
      <c r="DTK238" s="243"/>
      <c r="DTL238" s="243"/>
      <c r="DTM238" s="243"/>
      <c r="DTN238" s="243"/>
      <c r="DTO238" s="243"/>
      <c r="DTP238" s="243"/>
      <c r="DTQ238" s="243"/>
      <c r="DTR238" s="243"/>
      <c r="DTS238" s="243"/>
      <c r="DTT238" s="243"/>
      <c r="DTU238" s="243"/>
      <c r="DTV238" s="243"/>
      <c r="DTW238" s="243"/>
      <c r="DTX238" s="243"/>
      <c r="DTY238" s="243"/>
      <c r="DTZ238" s="243"/>
      <c r="DUA238" s="243"/>
      <c r="DUB238" s="243"/>
      <c r="DUC238" s="243"/>
      <c r="DUD238" s="243"/>
      <c r="DUE238" s="243"/>
      <c r="DUF238" s="243"/>
      <c r="DUG238" s="243"/>
      <c r="DUH238" s="243"/>
      <c r="DUI238" s="243"/>
      <c r="DUJ238" s="243"/>
      <c r="DUK238" s="243"/>
      <c r="DUL238" s="243"/>
      <c r="DUM238" s="243"/>
      <c r="DUN238" s="243"/>
      <c r="DUO238" s="243"/>
      <c r="DUP238" s="243"/>
      <c r="DUQ238" s="243"/>
      <c r="DUR238" s="243"/>
      <c r="DUS238" s="243"/>
      <c r="DUT238" s="243"/>
      <c r="DUU238" s="243"/>
      <c r="DUV238" s="243"/>
      <c r="DUW238" s="243"/>
      <c r="DUX238" s="243"/>
      <c r="DUY238" s="243"/>
      <c r="DUZ238" s="243"/>
      <c r="DVA238" s="243"/>
      <c r="DVB238" s="243"/>
      <c r="DVC238" s="243"/>
      <c r="DVD238" s="243"/>
      <c r="DVE238" s="243"/>
      <c r="DVF238" s="243"/>
      <c r="DVG238" s="243"/>
      <c r="DVH238" s="243"/>
      <c r="DVI238" s="243"/>
      <c r="DVJ238" s="243"/>
      <c r="DVK238" s="243"/>
      <c r="DVL238" s="243"/>
      <c r="DVM238" s="243"/>
      <c r="DVN238" s="243"/>
      <c r="DVO238" s="243"/>
      <c r="DVP238" s="243"/>
      <c r="DVQ238" s="243"/>
      <c r="DVR238" s="243"/>
      <c r="DVS238" s="243"/>
      <c r="DVT238" s="243"/>
      <c r="DVU238" s="243"/>
      <c r="DVV238" s="243"/>
      <c r="DVW238" s="243"/>
      <c r="DVX238" s="243"/>
      <c r="DVY238" s="243"/>
      <c r="DVZ238" s="243"/>
      <c r="DWA238" s="243"/>
      <c r="DWB238" s="243"/>
      <c r="DWC238" s="243"/>
      <c r="DWD238" s="243"/>
      <c r="DWE238" s="243"/>
      <c r="DWF238" s="243"/>
      <c r="DWG238" s="243"/>
      <c r="DWH238" s="243"/>
      <c r="DWI238" s="243"/>
      <c r="DWJ238" s="243"/>
      <c r="DWK238" s="243"/>
      <c r="DWL238" s="243"/>
      <c r="DWM238" s="243"/>
      <c r="DWN238" s="243"/>
      <c r="DWO238" s="243"/>
      <c r="DWP238" s="243"/>
      <c r="DWQ238" s="243"/>
      <c r="DWR238" s="243"/>
      <c r="DWS238" s="243"/>
      <c r="DWT238" s="243"/>
      <c r="DWU238" s="243"/>
      <c r="DWV238" s="243"/>
      <c r="DWW238" s="243"/>
      <c r="DWX238" s="243"/>
      <c r="DWY238" s="243"/>
      <c r="DWZ238" s="243"/>
      <c r="DXA238" s="243"/>
      <c r="DXB238" s="243"/>
      <c r="DXC238" s="243"/>
      <c r="DXD238" s="243"/>
      <c r="DXE238" s="243"/>
      <c r="DXF238" s="243"/>
      <c r="DXG238" s="243"/>
      <c r="DXH238" s="243"/>
      <c r="DXI238" s="243"/>
      <c r="DXJ238" s="243"/>
      <c r="DXK238" s="243"/>
      <c r="DXL238" s="243"/>
      <c r="DXM238" s="243"/>
      <c r="DXN238" s="243"/>
      <c r="DXO238" s="243"/>
      <c r="DXP238" s="243"/>
      <c r="DXQ238" s="243"/>
      <c r="DXR238" s="243"/>
      <c r="DXS238" s="243"/>
      <c r="DXT238" s="243"/>
      <c r="DXU238" s="243"/>
      <c r="DXV238" s="243"/>
      <c r="DXW238" s="243"/>
      <c r="DXX238" s="243"/>
      <c r="DXY238" s="243"/>
      <c r="DXZ238" s="243"/>
      <c r="DYA238" s="243"/>
      <c r="DYB238" s="243"/>
      <c r="DYC238" s="243"/>
      <c r="DYD238" s="243"/>
      <c r="DYE238" s="243"/>
      <c r="DYF238" s="243"/>
      <c r="DYG238" s="243"/>
      <c r="DYH238" s="243"/>
      <c r="DYI238" s="243"/>
      <c r="DYJ238" s="243"/>
      <c r="DYK238" s="243"/>
      <c r="DYL238" s="243"/>
      <c r="DYM238" s="243"/>
      <c r="DYN238" s="243"/>
      <c r="DYO238" s="243"/>
      <c r="DYP238" s="243"/>
      <c r="DYQ238" s="243"/>
      <c r="DYR238" s="243"/>
      <c r="DYS238" s="243"/>
      <c r="DYT238" s="243"/>
      <c r="DYU238" s="243"/>
      <c r="DYV238" s="243"/>
      <c r="DYW238" s="243"/>
      <c r="DYX238" s="243"/>
      <c r="DYY238" s="243"/>
      <c r="DYZ238" s="243"/>
      <c r="DZA238" s="243"/>
      <c r="DZB238" s="243"/>
      <c r="DZC238" s="243"/>
      <c r="DZD238" s="243"/>
      <c r="DZE238" s="243"/>
      <c r="DZF238" s="243"/>
      <c r="DZG238" s="243"/>
      <c r="DZH238" s="243"/>
      <c r="DZI238" s="243"/>
      <c r="DZJ238" s="243"/>
      <c r="DZK238" s="243"/>
      <c r="DZL238" s="243"/>
      <c r="DZM238" s="243"/>
      <c r="DZN238" s="243"/>
      <c r="DZO238" s="243"/>
      <c r="DZP238" s="243"/>
      <c r="DZQ238" s="243"/>
      <c r="DZR238" s="243"/>
      <c r="DZS238" s="243"/>
      <c r="DZT238" s="243"/>
      <c r="DZU238" s="243"/>
      <c r="DZV238" s="243"/>
      <c r="DZW238" s="243"/>
      <c r="DZX238" s="243"/>
      <c r="DZY238" s="243"/>
      <c r="DZZ238" s="243"/>
      <c r="EAA238" s="243"/>
      <c r="EAB238" s="243"/>
      <c r="EAC238" s="243"/>
      <c r="EAD238" s="243"/>
      <c r="EAE238" s="243"/>
      <c r="EAF238" s="243"/>
      <c r="EAG238" s="243"/>
      <c r="EAH238" s="243"/>
      <c r="EAI238" s="243"/>
      <c r="EAJ238" s="243"/>
      <c r="EAK238" s="243"/>
      <c r="EAL238" s="243"/>
      <c r="EAM238" s="243"/>
      <c r="EAN238" s="243"/>
      <c r="EAO238" s="243"/>
      <c r="EAP238" s="243"/>
      <c r="EAQ238" s="243"/>
      <c r="EAR238" s="243"/>
      <c r="EAS238" s="243"/>
      <c r="EAT238" s="243"/>
      <c r="EAU238" s="243"/>
      <c r="EAV238" s="243"/>
      <c r="EAW238" s="243"/>
      <c r="EAX238" s="243"/>
      <c r="EAY238" s="243"/>
      <c r="EAZ238" s="243"/>
      <c r="EBA238" s="243"/>
      <c r="EBB238" s="243"/>
      <c r="EBC238" s="243"/>
      <c r="EBD238" s="243"/>
      <c r="EBE238" s="243"/>
      <c r="EBF238" s="243"/>
      <c r="EBG238" s="243"/>
      <c r="EBH238" s="243"/>
      <c r="EBI238" s="243"/>
      <c r="EBJ238" s="243"/>
      <c r="EBK238" s="243"/>
      <c r="EBL238" s="243"/>
      <c r="EBM238" s="243"/>
      <c r="EBN238" s="243"/>
      <c r="EBO238" s="243"/>
      <c r="EBP238" s="243"/>
      <c r="EBQ238" s="243"/>
      <c r="EBR238" s="243"/>
      <c r="EBS238" s="243"/>
      <c r="EBT238" s="243"/>
      <c r="EBU238" s="243"/>
      <c r="EBV238" s="243"/>
      <c r="EBW238" s="243"/>
      <c r="EBX238" s="243"/>
      <c r="EBY238" s="243"/>
      <c r="EBZ238" s="243"/>
      <c r="ECA238" s="243"/>
      <c r="ECB238" s="243"/>
      <c r="ECC238" s="243"/>
      <c r="ECD238" s="243"/>
      <c r="ECE238" s="243"/>
      <c r="ECF238" s="243"/>
      <c r="ECG238" s="243"/>
      <c r="ECH238" s="243"/>
      <c r="ECI238" s="243"/>
      <c r="ECJ238" s="243"/>
      <c r="ECK238" s="243"/>
      <c r="ECL238" s="243"/>
      <c r="ECM238" s="243"/>
      <c r="ECN238" s="243"/>
      <c r="ECO238" s="243"/>
      <c r="ECP238" s="243"/>
      <c r="ECQ238" s="243"/>
      <c r="ECR238" s="243"/>
      <c r="ECS238" s="243"/>
      <c r="ECT238" s="243"/>
      <c r="ECU238" s="243"/>
      <c r="ECV238" s="243"/>
      <c r="ECW238" s="243"/>
      <c r="ECX238" s="243"/>
      <c r="ECY238" s="243"/>
      <c r="ECZ238" s="243"/>
      <c r="EDA238" s="243"/>
      <c r="EDB238" s="243"/>
      <c r="EDC238" s="243"/>
      <c r="EDD238" s="243"/>
      <c r="EDE238" s="243"/>
      <c r="EDF238" s="243"/>
      <c r="EDG238" s="243"/>
      <c r="EDH238" s="243"/>
      <c r="EDI238" s="243"/>
      <c r="EDJ238" s="243"/>
      <c r="EDK238" s="243"/>
      <c r="EDL238" s="243"/>
      <c r="EDM238" s="243"/>
      <c r="EDN238" s="243"/>
      <c r="EDO238" s="243"/>
      <c r="EDP238" s="243"/>
      <c r="EDQ238" s="243"/>
      <c r="EDR238" s="243"/>
      <c r="EDS238" s="243"/>
      <c r="EDT238" s="243"/>
      <c r="EDU238" s="243"/>
      <c r="EDV238" s="243"/>
      <c r="EDW238" s="243"/>
      <c r="EDX238" s="243"/>
      <c r="EDY238" s="243"/>
      <c r="EDZ238" s="243"/>
      <c r="EEA238" s="243"/>
      <c r="EEB238" s="243"/>
      <c r="EEC238" s="243"/>
      <c r="EED238" s="243"/>
      <c r="EEE238" s="243"/>
      <c r="EEF238" s="243"/>
      <c r="EEG238" s="243"/>
      <c r="EEH238" s="243"/>
      <c r="EEI238" s="243"/>
      <c r="EEJ238" s="243"/>
      <c r="EEK238" s="243"/>
      <c r="EEL238" s="243"/>
      <c r="EEM238" s="243"/>
      <c r="EEN238" s="243"/>
      <c r="EEO238" s="243"/>
      <c r="EEP238" s="243"/>
      <c r="EEQ238" s="243"/>
      <c r="EER238" s="243"/>
      <c r="EES238" s="243"/>
      <c r="EET238" s="243"/>
      <c r="EEU238" s="243"/>
      <c r="EEV238" s="243"/>
      <c r="EEW238" s="243"/>
      <c r="EEX238" s="243"/>
      <c r="EEY238" s="243"/>
      <c r="EEZ238" s="243"/>
      <c r="EFA238" s="243"/>
      <c r="EFB238" s="243"/>
      <c r="EFC238" s="243"/>
      <c r="EFD238" s="243"/>
      <c r="EFE238" s="243"/>
      <c r="EFF238" s="243"/>
      <c r="EFG238" s="243"/>
      <c r="EFH238" s="243"/>
      <c r="EFI238" s="243"/>
      <c r="EFJ238" s="243"/>
      <c r="EFK238" s="243"/>
      <c r="EFL238" s="243"/>
      <c r="EFM238" s="243"/>
      <c r="EFN238" s="243"/>
      <c r="EFO238" s="243"/>
      <c r="EFP238" s="243"/>
      <c r="EFQ238" s="243"/>
      <c r="EFR238" s="243"/>
      <c r="EFS238" s="243"/>
      <c r="EFT238" s="243"/>
      <c r="EFU238" s="243"/>
      <c r="EFV238" s="243"/>
      <c r="EFW238" s="243"/>
      <c r="EFX238" s="243"/>
      <c r="EFY238" s="243"/>
      <c r="EFZ238" s="243"/>
      <c r="EGA238" s="243"/>
      <c r="EGB238" s="243"/>
      <c r="EGC238" s="243"/>
      <c r="EGD238" s="243"/>
      <c r="EGE238" s="243"/>
      <c r="EGF238" s="243"/>
      <c r="EGG238" s="243"/>
      <c r="EGH238" s="243"/>
      <c r="EGI238" s="243"/>
      <c r="EGJ238" s="243"/>
      <c r="EGK238" s="243"/>
      <c r="EGL238" s="243"/>
      <c r="EGM238" s="243"/>
      <c r="EGN238" s="243"/>
      <c r="EGO238" s="243"/>
      <c r="EGP238" s="243"/>
      <c r="EGQ238" s="243"/>
      <c r="EGR238" s="243"/>
      <c r="EGS238" s="243"/>
      <c r="EGT238" s="243"/>
      <c r="EGU238" s="243"/>
      <c r="EGV238" s="243"/>
      <c r="EGW238" s="243"/>
      <c r="EGX238" s="243"/>
      <c r="EGY238" s="243"/>
      <c r="EGZ238" s="243"/>
      <c r="EHA238" s="243"/>
      <c r="EHB238" s="243"/>
      <c r="EHC238" s="243"/>
      <c r="EHD238" s="243"/>
      <c r="EHE238" s="243"/>
      <c r="EHF238" s="243"/>
      <c r="EHG238" s="243"/>
      <c r="EHH238" s="243"/>
      <c r="EHI238" s="243"/>
      <c r="EHJ238" s="243"/>
      <c r="EHK238" s="243"/>
      <c r="EHL238" s="243"/>
      <c r="EHM238" s="243"/>
      <c r="EHN238" s="243"/>
      <c r="EHO238" s="243"/>
      <c r="EHP238" s="243"/>
      <c r="EHQ238" s="243"/>
      <c r="EHR238" s="243"/>
      <c r="EHS238" s="243"/>
      <c r="EHT238" s="243"/>
      <c r="EHU238" s="243"/>
      <c r="EHV238" s="243"/>
      <c r="EHW238" s="243"/>
      <c r="EHX238" s="243"/>
      <c r="EHY238" s="243"/>
      <c r="EHZ238" s="243"/>
      <c r="EIA238" s="243"/>
      <c r="EIB238" s="243"/>
      <c r="EIC238" s="243"/>
      <c r="EID238" s="243"/>
      <c r="EIE238" s="243"/>
      <c r="EIF238" s="243"/>
      <c r="EIG238" s="243"/>
      <c r="EIH238" s="243"/>
      <c r="EII238" s="243"/>
      <c r="EIJ238" s="243"/>
      <c r="EIK238" s="243"/>
      <c r="EIL238" s="243"/>
      <c r="EIM238" s="243"/>
      <c r="EIN238" s="243"/>
      <c r="EIO238" s="243"/>
      <c r="EIP238" s="243"/>
      <c r="EIQ238" s="243"/>
      <c r="EIR238" s="243"/>
      <c r="EIS238" s="243"/>
      <c r="EIT238" s="243"/>
      <c r="EIU238" s="243"/>
      <c r="EIV238" s="243"/>
      <c r="EIW238" s="243"/>
      <c r="EIX238" s="243"/>
      <c r="EIY238" s="243"/>
      <c r="EIZ238" s="243"/>
      <c r="EJA238" s="243"/>
      <c r="EJB238" s="243"/>
      <c r="EJC238" s="243"/>
      <c r="EJD238" s="243"/>
      <c r="EJE238" s="243"/>
      <c r="EJF238" s="243"/>
      <c r="EJG238" s="243"/>
      <c r="EJH238" s="243"/>
      <c r="EJI238" s="243"/>
      <c r="EJJ238" s="243"/>
      <c r="EJK238" s="243"/>
      <c r="EJL238" s="243"/>
      <c r="EJM238" s="243"/>
      <c r="EJN238" s="243"/>
      <c r="EJO238" s="243"/>
      <c r="EJP238" s="243"/>
      <c r="EJQ238" s="243"/>
      <c r="EJR238" s="243"/>
      <c r="EJS238" s="243"/>
      <c r="EJT238" s="243"/>
      <c r="EJU238" s="243"/>
      <c r="EJV238" s="243"/>
      <c r="EJW238" s="243"/>
      <c r="EJX238" s="243"/>
      <c r="EJY238" s="243"/>
      <c r="EJZ238" s="243"/>
      <c r="EKA238" s="243"/>
      <c r="EKB238" s="243"/>
      <c r="EKC238" s="243"/>
      <c r="EKD238" s="243"/>
      <c r="EKE238" s="243"/>
      <c r="EKF238" s="243"/>
      <c r="EKG238" s="243"/>
      <c r="EKH238" s="243"/>
      <c r="EKI238" s="243"/>
      <c r="EKJ238" s="243"/>
      <c r="EKK238" s="243"/>
      <c r="EKL238" s="243"/>
      <c r="EKM238" s="243"/>
      <c r="EKN238" s="243"/>
      <c r="EKO238" s="243"/>
      <c r="EKP238" s="243"/>
      <c r="EKQ238" s="243"/>
      <c r="EKR238" s="243"/>
      <c r="EKS238" s="243"/>
      <c r="EKT238" s="243"/>
      <c r="EKU238" s="243"/>
      <c r="EKV238" s="243"/>
      <c r="EKW238" s="243"/>
      <c r="EKX238" s="243"/>
      <c r="EKY238" s="243"/>
      <c r="EKZ238" s="243"/>
      <c r="ELA238" s="243"/>
      <c r="ELB238" s="243"/>
      <c r="ELC238" s="243"/>
      <c r="ELD238" s="243"/>
      <c r="ELE238" s="243"/>
      <c r="ELF238" s="243"/>
      <c r="ELG238" s="243"/>
      <c r="ELH238" s="243"/>
      <c r="ELI238" s="243"/>
      <c r="ELJ238" s="243"/>
      <c r="ELK238" s="243"/>
      <c r="ELL238" s="243"/>
      <c r="ELM238" s="243"/>
      <c r="ELN238" s="243"/>
      <c r="ELO238" s="243"/>
      <c r="ELP238" s="243"/>
      <c r="ELQ238" s="243"/>
      <c r="ELR238" s="243"/>
      <c r="ELS238" s="243"/>
      <c r="ELT238" s="243"/>
      <c r="ELU238" s="243"/>
      <c r="ELV238" s="243"/>
      <c r="ELW238" s="243"/>
      <c r="ELX238" s="243"/>
      <c r="ELY238" s="243"/>
      <c r="ELZ238" s="243"/>
      <c r="EMA238" s="243"/>
      <c r="EMB238" s="243"/>
      <c r="EMC238" s="243"/>
      <c r="EMD238" s="243"/>
      <c r="EME238" s="243"/>
      <c r="EMF238" s="243"/>
      <c r="EMG238" s="243"/>
      <c r="EMH238" s="243"/>
      <c r="EMI238" s="243"/>
      <c r="EMJ238" s="243"/>
      <c r="EMK238" s="243"/>
      <c r="EML238" s="243"/>
      <c r="EMM238" s="243"/>
      <c r="EMN238" s="243"/>
      <c r="EMO238" s="243"/>
      <c r="EMP238" s="243"/>
      <c r="EMQ238" s="243"/>
      <c r="EMR238" s="243"/>
      <c r="EMS238" s="243"/>
      <c r="EMT238" s="243"/>
      <c r="EMU238" s="243"/>
      <c r="EMV238" s="243"/>
      <c r="EMW238" s="243"/>
      <c r="EMX238" s="243"/>
      <c r="EMY238" s="243"/>
      <c r="EMZ238" s="243"/>
      <c r="ENA238" s="243"/>
      <c r="ENB238" s="243"/>
      <c r="ENC238" s="243"/>
      <c r="END238" s="243"/>
      <c r="ENE238" s="243"/>
      <c r="ENF238" s="243"/>
      <c r="ENG238" s="243"/>
      <c r="ENH238" s="243"/>
      <c r="ENI238" s="243"/>
      <c r="ENJ238" s="243"/>
      <c r="ENK238" s="243"/>
      <c r="ENL238" s="243"/>
      <c r="ENM238" s="243"/>
      <c r="ENN238" s="243"/>
      <c r="ENO238" s="243"/>
      <c r="ENP238" s="243"/>
      <c r="ENQ238" s="243"/>
      <c r="ENR238" s="243"/>
      <c r="ENS238" s="243"/>
      <c r="ENT238" s="243"/>
      <c r="ENU238" s="243"/>
      <c r="ENV238" s="243"/>
      <c r="ENW238" s="243"/>
      <c r="ENX238" s="243"/>
      <c r="ENY238" s="243"/>
      <c r="ENZ238" s="243"/>
      <c r="EOA238" s="243"/>
      <c r="EOB238" s="243"/>
      <c r="EOC238" s="243"/>
      <c r="EOD238" s="243"/>
      <c r="EOE238" s="243"/>
      <c r="EOF238" s="243"/>
      <c r="EOG238" s="243"/>
      <c r="EOH238" s="243"/>
      <c r="EOI238" s="243"/>
      <c r="EOJ238" s="243"/>
      <c r="EOK238" s="243"/>
      <c r="EOL238" s="243"/>
      <c r="EOM238" s="243"/>
      <c r="EON238" s="243"/>
      <c r="EOO238" s="243"/>
      <c r="EOP238" s="243"/>
      <c r="EOQ238" s="243"/>
      <c r="EOR238" s="243"/>
      <c r="EOS238" s="243"/>
      <c r="EOT238" s="243"/>
      <c r="EOU238" s="243"/>
      <c r="EOV238" s="243"/>
      <c r="EOW238" s="243"/>
      <c r="EOX238" s="243"/>
      <c r="EOY238" s="243"/>
      <c r="EOZ238" s="243"/>
      <c r="EPA238" s="243"/>
      <c r="EPB238" s="243"/>
      <c r="EPC238" s="243"/>
      <c r="EPD238" s="243"/>
      <c r="EPE238" s="243"/>
      <c r="EPF238" s="243"/>
      <c r="EPG238" s="243"/>
      <c r="EPH238" s="243"/>
      <c r="EPI238" s="243"/>
      <c r="EPJ238" s="243"/>
      <c r="EPK238" s="243"/>
      <c r="EPL238" s="243"/>
      <c r="EPM238" s="243"/>
      <c r="EPN238" s="243"/>
      <c r="EPO238" s="243"/>
      <c r="EPP238" s="243"/>
      <c r="EPQ238" s="243"/>
      <c r="EPR238" s="243"/>
      <c r="EPS238" s="243"/>
      <c r="EPT238" s="243"/>
      <c r="EPU238" s="243"/>
      <c r="EPV238" s="243"/>
      <c r="EPW238" s="243"/>
      <c r="EPX238" s="243"/>
      <c r="EPY238" s="243"/>
      <c r="EPZ238" s="243"/>
      <c r="EQA238" s="243"/>
      <c r="EQB238" s="243"/>
      <c r="EQC238" s="243"/>
      <c r="EQD238" s="243"/>
      <c r="EQE238" s="243"/>
      <c r="EQF238" s="243"/>
      <c r="EQG238" s="243"/>
      <c r="EQH238" s="243"/>
      <c r="EQI238" s="243"/>
      <c r="EQJ238" s="243"/>
      <c r="EQK238" s="243"/>
      <c r="EQL238" s="243"/>
      <c r="EQM238" s="243"/>
      <c r="EQN238" s="243"/>
      <c r="EQO238" s="243"/>
      <c r="EQP238" s="243"/>
      <c r="EQQ238" s="243"/>
      <c r="EQR238" s="243"/>
      <c r="EQS238" s="243"/>
      <c r="EQT238" s="243"/>
      <c r="EQU238" s="243"/>
      <c r="EQV238" s="243"/>
      <c r="EQW238" s="243"/>
      <c r="EQX238" s="243"/>
      <c r="EQY238" s="243"/>
      <c r="EQZ238" s="243"/>
      <c r="ERA238" s="243"/>
      <c r="ERB238" s="243"/>
      <c r="ERC238" s="243"/>
      <c r="ERD238" s="243"/>
      <c r="ERE238" s="243"/>
      <c r="ERF238" s="243"/>
      <c r="ERG238" s="243"/>
      <c r="ERH238" s="243"/>
      <c r="ERI238" s="243"/>
      <c r="ERJ238" s="243"/>
      <c r="ERK238" s="243"/>
      <c r="ERL238" s="243"/>
      <c r="ERM238" s="243"/>
      <c r="ERN238" s="243"/>
      <c r="ERO238" s="243"/>
      <c r="ERP238" s="243"/>
      <c r="ERQ238" s="243"/>
      <c r="ERR238" s="243"/>
      <c r="ERS238" s="243"/>
      <c r="ERT238" s="243"/>
      <c r="ERU238" s="243"/>
      <c r="ERV238" s="243"/>
      <c r="ERW238" s="243"/>
      <c r="ERX238" s="243"/>
      <c r="ERY238" s="243"/>
      <c r="ERZ238" s="243"/>
      <c r="ESA238" s="243"/>
      <c r="ESB238" s="243"/>
      <c r="ESC238" s="243"/>
      <c r="ESD238" s="243"/>
      <c r="ESE238" s="243"/>
      <c r="ESF238" s="243"/>
      <c r="ESG238" s="243"/>
      <c r="ESH238" s="243"/>
      <c r="ESI238" s="243"/>
      <c r="ESJ238" s="243"/>
      <c r="ESK238" s="243"/>
      <c r="ESL238" s="243"/>
      <c r="ESM238" s="243"/>
      <c r="ESN238" s="243"/>
      <c r="ESO238" s="243"/>
      <c r="ESP238" s="243"/>
      <c r="ESQ238" s="243"/>
      <c r="ESR238" s="243"/>
      <c r="ESS238" s="243"/>
      <c r="EST238" s="243"/>
      <c r="ESU238" s="243"/>
      <c r="ESV238" s="243"/>
      <c r="ESW238" s="243"/>
      <c r="ESX238" s="243"/>
      <c r="ESY238" s="243"/>
      <c r="ESZ238" s="243"/>
      <c r="ETA238" s="243"/>
      <c r="ETB238" s="243"/>
      <c r="ETC238" s="243"/>
      <c r="ETD238" s="243"/>
      <c r="ETE238" s="243"/>
      <c r="ETF238" s="243"/>
      <c r="ETG238" s="243"/>
      <c r="ETH238" s="243"/>
      <c r="ETI238" s="243"/>
      <c r="ETJ238" s="243"/>
      <c r="ETK238" s="243"/>
      <c r="ETL238" s="243"/>
      <c r="ETM238" s="243"/>
      <c r="ETN238" s="243"/>
      <c r="ETO238" s="243"/>
      <c r="ETP238" s="243"/>
      <c r="ETQ238" s="243"/>
      <c r="ETR238" s="243"/>
      <c r="ETS238" s="243"/>
      <c r="ETT238" s="243"/>
      <c r="ETU238" s="243"/>
      <c r="ETV238" s="243"/>
      <c r="ETW238" s="243"/>
      <c r="ETX238" s="243"/>
      <c r="ETY238" s="243"/>
      <c r="ETZ238" s="243"/>
      <c r="EUA238" s="243"/>
      <c r="EUB238" s="243"/>
      <c r="EUC238" s="243"/>
      <c r="EUD238" s="243"/>
      <c r="EUE238" s="243"/>
      <c r="EUF238" s="243"/>
      <c r="EUG238" s="243"/>
      <c r="EUH238" s="243"/>
      <c r="EUI238" s="243"/>
      <c r="EUJ238" s="243"/>
      <c r="EUK238" s="243"/>
      <c r="EUL238" s="243"/>
      <c r="EUM238" s="243"/>
      <c r="EUN238" s="243"/>
      <c r="EUO238" s="243"/>
      <c r="EUP238" s="243"/>
      <c r="EUQ238" s="243"/>
      <c r="EUR238" s="243"/>
      <c r="EUS238" s="243"/>
      <c r="EUT238" s="243"/>
      <c r="EUU238" s="243"/>
      <c r="EUV238" s="243"/>
      <c r="EUW238" s="243"/>
      <c r="EUX238" s="243"/>
      <c r="EUY238" s="243"/>
      <c r="EUZ238" s="243"/>
      <c r="EVA238" s="243"/>
      <c r="EVB238" s="243"/>
      <c r="EVC238" s="243"/>
      <c r="EVD238" s="243"/>
      <c r="EVE238" s="243"/>
      <c r="EVF238" s="243"/>
      <c r="EVG238" s="243"/>
      <c r="EVH238" s="243"/>
      <c r="EVI238" s="243"/>
      <c r="EVJ238" s="243"/>
      <c r="EVK238" s="243"/>
      <c r="EVL238" s="243"/>
      <c r="EVM238" s="243"/>
      <c r="EVN238" s="243"/>
      <c r="EVO238" s="243"/>
      <c r="EVP238" s="243"/>
      <c r="EVQ238" s="243"/>
      <c r="EVR238" s="243"/>
      <c r="EVS238" s="243"/>
      <c r="EVT238" s="243"/>
      <c r="EVU238" s="243"/>
      <c r="EVV238" s="243"/>
      <c r="EVW238" s="243"/>
      <c r="EVX238" s="243"/>
      <c r="EVY238" s="243"/>
      <c r="EVZ238" s="243"/>
      <c r="EWA238" s="243"/>
      <c r="EWB238" s="243"/>
      <c r="EWC238" s="243"/>
      <c r="EWD238" s="243"/>
      <c r="EWE238" s="243"/>
      <c r="EWF238" s="243"/>
      <c r="EWG238" s="243"/>
      <c r="EWH238" s="243"/>
      <c r="EWI238" s="243"/>
      <c r="EWJ238" s="243"/>
      <c r="EWK238" s="243"/>
      <c r="EWL238" s="243"/>
      <c r="EWM238" s="243"/>
      <c r="EWN238" s="243"/>
      <c r="EWO238" s="243"/>
      <c r="EWP238" s="243"/>
      <c r="EWQ238" s="243"/>
      <c r="EWR238" s="243"/>
      <c r="EWS238" s="243"/>
      <c r="EWT238" s="243"/>
      <c r="EWU238" s="243"/>
      <c r="EWV238" s="243"/>
      <c r="EWW238" s="243"/>
      <c r="EWX238" s="243"/>
      <c r="EWY238" s="243"/>
      <c r="EWZ238" s="243"/>
      <c r="EXA238" s="243"/>
      <c r="EXB238" s="243"/>
      <c r="EXC238" s="243"/>
      <c r="EXD238" s="243"/>
      <c r="EXE238" s="243"/>
      <c r="EXF238" s="243"/>
      <c r="EXG238" s="243"/>
      <c r="EXH238" s="243"/>
      <c r="EXI238" s="243"/>
      <c r="EXJ238" s="243"/>
      <c r="EXK238" s="243"/>
      <c r="EXL238" s="243"/>
      <c r="EXM238" s="243"/>
      <c r="EXN238" s="243"/>
      <c r="EXO238" s="243"/>
      <c r="EXP238" s="243"/>
      <c r="EXQ238" s="243"/>
      <c r="EXR238" s="243"/>
      <c r="EXS238" s="243"/>
      <c r="EXT238" s="243"/>
      <c r="EXU238" s="243"/>
      <c r="EXV238" s="243"/>
      <c r="EXW238" s="243"/>
      <c r="EXX238" s="243"/>
      <c r="EXY238" s="243"/>
      <c r="EXZ238" s="243"/>
      <c r="EYA238" s="243"/>
      <c r="EYB238" s="243"/>
      <c r="EYC238" s="243"/>
      <c r="EYD238" s="243"/>
      <c r="EYE238" s="243"/>
      <c r="EYF238" s="243"/>
      <c r="EYG238" s="243"/>
      <c r="EYH238" s="243"/>
      <c r="EYI238" s="243"/>
      <c r="EYJ238" s="243"/>
      <c r="EYK238" s="243"/>
      <c r="EYL238" s="243"/>
      <c r="EYM238" s="243"/>
      <c r="EYN238" s="243"/>
      <c r="EYO238" s="243"/>
      <c r="EYP238" s="243"/>
      <c r="EYQ238" s="243"/>
      <c r="EYR238" s="243"/>
      <c r="EYS238" s="243"/>
      <c r="EYT238" s="243"/>
      <c r="EYU238" s="243"/>
      <c r="EYV238" s="243"/>
      <c r="EYW238" s="243"/>
      <c r="EYX238" s="243"/>
      <c r="EYY238" s="243"/>
      <c r="EYZ238" s="243"/>
      <c r="EZA238" s="243"/>
      <c r="EZB238" s="243"/>
      <c r="EZC238" s="243"/>
      <c r="EZD238" s="243"/>
      <c r="EZE238" s="243"/>
      <c r="EZF238" s="243"/>
      <c r="EZG238" s="243"/>
      <c r="EZH238" s="243"/>
      <c r="EZI238" s="243"/>
      <c r="EZJ238" s="243"/>
      <c r="EZK238" s="243"/>
      <c r="EZL238" s="243"/>
      <c r="EZM238" s="243"/>
      <c r="EZN238" s="243"/>
      <c r="EZO238" s="243"/>
      <c r="EZP238" s="243"/>
      <c r="EZQ238" s="243"/>
      <c r="EZR238" s="243"/>
      <c r="EZS238" s="243"/>
      <c r="EZT238" s="243"/>
      <c r="EZU238" s="243"/>
      <c r="EZV238" s="243"/>
      <c r="EZW238" s="243"/>
      <c r="EZX238" s="243"/>
      <c r="EZY238" s="243"/>
      <c r="EZZ238" s="243"/>
      <c r="FAA238" s="243"/>
      <c r="FAB238" s="243"/>
      <c r="FAC238" s="243"/>
      <c r="FAD238" s="243"/>
      <c r="FAE238" s="243"/>
      <c r="FAF238" s="243"/>
      <c r="FAG238" s="243"/>
      <c r="FAH238" s="243"/>
      <c r="FAI238" s="243"/>
      <c r="FAJ238" s="243"/>
      <c r="FAK238" s="243"/>
      <c r="FAL238" s="243"/>
      <c r="FAM238" s="243"/>
      <c r="FAN238" s="243"/>
      <c r="FAO238" s="243"/>
      <c r="FAP238" s="243"/>
      <c r="FAQ238" s="243"/>
      <c r="FAR238" s="243"/>
      <c r="FAS238" s="243"/>
      <c r="FAT238" s="243"/>
      <c r="FAU238" s="243"/>
      <c r="FAV238" s="243"/>
      <c r="FAW238" s="243"/>
      <c r="FAX238" s="243"/>
      <c r="FAY238" s="243"/>
      <c r="FAZ238" s="243"/>
      <c r="FBA238" s="243"/>
      <c r="FBB238" s="243"/>
      <c r="FBC238" s="243"/>
      <c r="FBD238" s="243"/>
      <c r="FBE238" s="243"/>
      <c r="FBF238" s="243"/>
      <c r="FBG238" s="243"/>
      <c r="FBH238" s="243"/>
      <c r="FBI238" s="243"/>
      <c r="FBJ238" s="243"/>
      <c r="FBK238" s="243"/>
      <c r="FBL238" s="243"/>
      <c r="FBM238" s="243"/>
      <c r="FBN238" s="243"/>
      <c r="FBO238" s="243"/>
      <c r="FBP238" s="243"/>
      <c r="FBQ238" s="243"/>
      <c r="FBR238" s="243"/>
      <c r="FBS238" s="243"/>
      <c r="FBT238" s="243"/>
      <c r="FBU238" s="243"/>
      <c r="FBV238" s="243"/>
      <c r="FBW238" s="243"/>
      <c r="FBX238" s="243"/>
      <c r="FBY238" s="243"/>
      <c r="FBZ238" s="243"/>
      <c r="FCA238" s="243"/>
      <c r="FCB238" s="243"/>
      <c r="FCC238" s="243"/>
      <c r="FCD238" s="243"/>
      <c r="FCE238" s="243"/>
      <c r="FCF238" s="243"/>
      <c r="FCG238" s="243"/>
      <c r="FCH238" s="243"/>
      <c r="FCI238" s="243"/>
      <c r="FCJ238" s="243"/>
      <c r="FCK238" s="243"/>
      <c r="FCL238" s="243"/>
      <c r="FCM238" s="243"/>
      <c r="FCN238" s="243"/>
      <c r="FCO238" s="243"/>
      <c r="FCP238" s="243"/>
      <c r="FCQ238" s="243"/>
      <c r="FCR238" s="243"/>
      <c r="FCS238" s="243"/>
      <c r="FCT238" s="243"/>
      <c r="FCU238" s="243"/>
      <c r="FCV238" s="243"/>
      <c r="FCW238" s="243"/>
      <c r="FCX238" s="243"/>
      <c r="FCY238" s="243"/>
      <c r="FCZ238" s="243"/>
      <c r="FDA238" s="243"/>
      <c r="FDB238" s="243"/>
      <c r="FDC238" s="243"/>
      <c r="FDD238" s="243"/>
      <c r="FDE238" s="243"/>
      <c r="FDF238" s="243"/>
      <c r="FDG238" s="243"/>
      <c r="FDH238" s="243"/>
      <c r="FDI238" s="243"/>
      <c r="FDJ238" s="243"/>
      <c r="FDK238" s="243"/>
      <c r="FDL238" s="243"/>
      <c r="FDM238" s="243"/>
      <c r="FDN238" s="243"/>
      <c r="FDO238" s="243"/>
      <c r="FDP238" s="243"/>
      <c r="FDQ238" s="243"/>
      <c r="FDR238" s="243"/>
      <c r="FDS238" s="243"/>
      <c r="FDT238" s="243"/>
      <c r="FDU238" s="243"/>
      <c r="FDV238" s="243"/>
      <c r="FDW238" s="243"/>
      <c r="FDX238" s="243"/>
      <c r="FDY238" s="243"/>
      <c r="FDZ238" s="243"/>
      <c r="FEA238" s="243"/>
      <c r="FEB238" s="243"/>
      <c r="FEC238" s="243"/>
      <c r="FED238" s="243"/>
      <c r="FEE238" s="243"/>
      <c r="FEF238" s="243"/>
      <c r="FEG238" s="243"/>
      <c r="FEH238" s="243"/>
      <c r="FEI238" s="243"/>
      <c r="FEJ238" s="243"/>
      <c r="FEK238" s="243"/>
      <c r="FEL238" s="243"/>
      <c r="FEM238" s="243"/>
      <c r="FEN238" s="243"/>
      <c r="FEO238" s="243"/>
      <c r="FEP238" s="243"/>
      <c r="FEQ238" s="243"/>
      <c r="FER238" s="243"/>
      <c r="FES238" s="243"/>
      <c r="FET238" s="243"/>
      <c r="FEU238" s="243"/>
      <c r="FEV238" s="243"/>
      <c r="FEW238" s="243"/>
      <c r="FEX238" s="243"/>
      <c r="FEY238" s="243"/>
      <c r="FEZ238" s="243"/>
      <c r="FFA238" s="243"/>
      <c r="FFB238" s="243"/>
      <c r="FFC238" s="243"/>
      <c r="FFD238" s="243"/>
      <c r="FFE238" s="243"/>
      <c r="FFF238" s="243"/>
      <c r="FFG238" s="243"/>
      <c r="FFH238" s="243"/>
      <c r="FFI238" s="243"/>
      <c r="FFJ238" s="243"/>
      <c r="FFK238" s="243"/>
      <c r="FFL238" s="243"/>
      <c r="FFM238" s="243"/>
      <c r="FFN238" s="243"/>
      <c r="FFO238" s="243"/>
      <c r="FFP238" s="243"/>
      <c r="FFQ238" s="243"/>
      <c r="FFR238" s="243"/>
      <c r="FFS238" s="243"/>
      <c r="FFT238" s="243"/>
      <c r="FFU238" s="243"/>
      <c r="FFV238" s="243"/>
      <c r="FFW238" s="243"/>
      <c r="FFX238" s="243"/>
      <c r="FFY238" s="243"/>
      <c r="FFZ238" s="243"/>
      <c r="FGA238" s="243"/>
      <c r="FGB238" s="243"/>
      <c r="FGC238" s="243"/>
      <c r="FGD238" s="243"/>
      <c r="FGE238" s="243"/>
      <c r="FGF238" s="243"/>
      <c r="FGG238" s="243"/>
      <c r="FGH238" s="243"/>
      <c r="FGI238" s="243"/>
      <c r="FGJ238" s="243"/>
      <c r="FGK238" s="243"/>
      <c r="FGL238" s="243"/>
      <c r="FGM238" s="243"/>
      <c r="FGN238" s="243"/>
      <c r="FGO238" s="243"/>
      <c r="FGP238" s="243"/>
      <c r="FGQ238" s="243"/>
      <c r="FGR238" s="243"/>
      <c r="FGS238" s="243"/>
      <c r="FGT238" s="243"/>
      <c r="FGU238" s="243"/>
      <c r="FGV238" s="243"/>
      <c r="FGW238" s="243"/>
      <c r="FGX238" s="243"/>
      <c r="FGY238" s="243"/>
      <c r="FGZ238" s="243"/>
      <c r="FHA238" s="243"/>
      <c r="FHB238" s="243"/>
      <c r="FHC238" s="243"/>
      <c r="FHD238" s="243"/>
      <c r="FHE238" s="243"/>
      <c r="FHF238" s="243"/>
      <c r="FHG238" s="243"/>
      <c r="FHH238" s="243"/>
      <c r="FHI238" s="243"/>
      <c r="FHJ238" s="243"/>
      <c r="FHK238" s="243"/>
      <c r="FHL238" s="243"/>
      <c r="FHM238" s="243"/>
      <c r="FHN238" s="243"/>
      <c r="FHO238" s="243"/>
      <c r="FHP238" s="243"/>
      <c r="FHQ238" s="243"/>
      <c r="FHR238" s="243"/>
      <c r="FHS238" s="243"/>
      <c r="FHT238" s="243"/>
      <c r="FHU238" s="243"/>
      <c r="FHV238" s="243"/>
      <c r="FHW238" s="243"/>
      <c r="FHX238" s="243"/>
      <c r="FHY238" s="243"/>
      <c r="FHZ238" s="243"/>
      <c r="FIA238" s="243"/>
      <c r="FIB238" s="243"/>
      <c r="FIC238" s="243"/>
      <c r="FID238" s="243"/>
      <c r="FIE238" s="243"/>
      <c r="FIF238" s="243"/>
      <c r="FIG238" s="243"/>
      <c r="FIH238" s="243"/>
      <c r="FII238" s="243"/>
      <c r="FIJ238" s="243"/>
      <c r="FIK238" s="243"/>
      <c r="FIL238" s="243"/>
      <c r="FIM238" s="243"/>
      <c r="FIN238" s="243"/>
      <c r="FIO238" s="243"/>
      <c r="FIP238" s="243"/>
      <c r="FIQ238" s="243"/>
      <c r="FIR238" s="243"/>
      <c r="FIS238" s="243"/>
      <c r="FIT238" s="243"/>
      <c r="FIU238" s="243"/>
      <c r="FIV238" s="243"/>
      <c r="FIW238" s="243"/>
      <c r="FIX238" s="243"/>
      <c r="FIY238" s="243"/>
      <c r="FIZ238" s="243"/>
      <c r="FJA238" s="243"/>
      <c r="FJB238" s="243"/>
      <c r="FJC238" s="243"/>
      <c r="FJD238" s="243"/>
      <c r="FJE238" s="243"/>
      <c r="FJF238" s="243"/>
      <c r="FJG238" s="243"/>
      <c r="FJH238" s="243"/>
      <c r="FJI238" s="243"/>
      <c r="FJJ238" s="243"/>
      <c r="FJK238" s="243"/>
      <c r="FJL238" s="243"/>
      <c r="FJM238" s="243"/>
      <c r="FJN238" s="243"/>
      <c r="FJO238" s="243"/>
      <c r="FJP238" s="243"/>
      <c r="FJQ238" s="243"/>
      <c r="FJR238" s="243"/>
      <c r="FJS238" s="243"/>
      <c r="FJT238" s="243"/>
      <c r="FJU238" s="243"/>
      <c r="FJV238" s="243"/>
      <c r="FJW238" s="243"/>
      <c r="FJX238" s="243"/>
      <c r="FJY238" s="243"/>
      <c r="FJZ238" s="243"/>
      <c r="FKA238" s="243"/>
      <c r="FKB238" s="243"/>
      <c r="FKC238" s="243"/>
      <c r="FKD238" s="243"/>
      <c r="FKE238" s="243"/>
      <c r="FKF238" s="243"/>
      <c r="FKG238" s="243"/>
      <c r="FKH238" s="243"/>
      <c r="FKI238" s="243"/>
      <c r="FKJ238" s="243"/>
      <c r="FKK238" s="243"/>
      <c r="FKL238" s="243"/>
      <c r="FKM238" s="243"/>
      <c r="FKN238" s="243"/>
      <c r="FKO238" s="243"/>
      <c r="FKP238" s="243"/>
      <c r="FKQ238" s="243"/>
      <c r="FKR238" s="243"/>
      <c r="FKS238" s="243"/>
      <c r="FKT238" s="243"/>
      <c r="FKU238" s="243"/>
      <c r="FKV238" s="243"/>
      <c r="FKW238" s="243"/>
      <c r="FKX238" s="243"/>
      <c r="FKY238" s="243"/>
      <c r="FKZ238" s="243"/>
      <c r="FLA238" s="243"/>
      <c r="FLB238" s="243"/>
      <c r="FLC238" s="243"/>
      <c r="FLD238" s="243"/>
      <c r="FLE238" s="243"/>
      <c r="FLF238" s="243"/>
      <c r="FLG238" s="243"/>
      <c r="FLH238" s="243"/>
      <c r="FLI238" s="243"/>
      <c r="FLJ238" s="243"/>
      <c r="FLK238" s="243"/>
      <c r="FLL238" s="243"/>
      <c r="FLM238" s="243"/>
      <c r="FLN238" s="243"/>
      <c r="FLO238" s="243"/>
      <c r="FLP238" s="243"/>
      <c r="FLQ238" s="243"/>
      <c r="FLR238" s="243"/>
      <c r="FLS238" s="243"/>
      <c r="FLT238" s="243"/>
      <c r="FLU238" s="243"/>
      <c r="FLV238" s="243"/>
      <c r="FLW238" s="243"/>
      <c r="FLX238" s="243"/>
      <c r="FLY238" s="243"/>
      <c r="FLZ238" s="243"/>
      <c r="FMA238" s="243"/>
      <c r="FMB238" s="243"/>
      <c r="FMC238" s="243"/>
      <c r="FMD238" s="243"/>
      <c r="FME238" s="243"/>
      <c r="FMF238" s="243"/>
      <c r="FMG238" s="243"/>
      <c r="FMH238" s="243"/>
      <c r="FMI238" s="243"/>
      <c r="FMJ238" s="243"/>
      <c r="FMK238" s="243"/>
      <c r="FML238" s="243"/>
      <c r="FMM238" s="243"/>
      <c r="FMN238" s="243"/>
      <c r="FMO238" s="243"/>
      <c r="FMP238" s="243"/>
      <c r="FMQ238" s="243"/>
      <c r="FMR238" s="243"/>
      <c r="FMS238" s="243"/>
      <c r="FMT238" s="243"/>
      <c r="FMU238" s="243"/>
      <c r="FMV238" s="243"/>
      <c r="FMW238" s="243"/>
      <c r="FMX238" s="243"/>
      <c r="FMY238" s="243"/>
      <c r="FMZ238" s="243"/>
      <c r="FNA238" s="243"/>
      <c r="FNB238" s="243"/>
      <c r="FNC238" s="243"/>
      <c r="FND238" s="243"/>
      <c r="FNE238" s="243"/>
      <c r="FNF238" s="243"/>
      <c r="FNG238" s="243"/>
      <c r="FNH238" s="243"/>
      <c r="FNI238" s="243"/>
      <c r="FNJ238" s="243"/>
      <c r="FNK238" s="243"/>
      <c r="FNL238" s="243"/>
      <c r="FNM238" s="243"/>
      <c r="FNN238" s="243"/>
      <c r="FNO238" s="243"/>
      <c r="FNP238" s="243"/>
      <c r="FNQ238" s="243"/>
      <c r="FNR238" s="243"/>
      <c r="FNS238" s="243"/>
      <c r="FNT238" s="243"/>
      <c r="FNU238" s="243"/>
      <c r="FNV238" s="243"/>
      <c r="FNW238" s="243"/>
      <c r="FNX238" s="243"/>
      <c r="FNY238" s="243"/>
      <c r="FNZ238" s="243"/>
      <c r="FOA238" s="243"/>
      <c r="FOB238" s="243"/>
      <c r="FOC238" s="243"/>
      <c r="FOD238" s="243"/>
      <c r="FOE238" s="243"/>
      <c r="FOF238" s="243"/>
      <c r="FOG238" s="243"/>
      <c r="FOH238" s="243"/>
      <c r="FOI238" s="243"/>
      <c r="FOJ238" s="243"/>
      <c r="FOK238" s="243"/>
      <c r="FOL238" s="243"/>
      <c r="FOM238" s="243"/>
      <c r="FON238" s="243"/>
      <c r="FOO238" s="243"/>
      <c r="FOP238" s="243"/>
      <c r="FOQ238" s="243"/>
      <c r="FOR238" s="243"/>
      <c r="FOS238" s="243"/>
      <c r="FOT238" s="243"/>
      <c r="FOU238" s="243"/>
      <c r="FOV238" s="243"/>
      <c r="FOW238" s="243"/>
      <c r="FOX238" s="243"/>
      <c r="FOY238" s="243"/>
      <c r="FOZ238" s="243"/>
      <c r="FPA238" s="243"/>
      <c r="FPB238" s="243"/>
      <c r="FPC238" s="243"/>
      <c r="FPD238" s="243"/>
      <c r="FPE238" s="243"/>
      <c r="FPF238" s="243"/>
      <c r="FPG238" s="243"/>
      <c r="FPH238" s="243"/>
      <c r="FPI238" s="243"/>
      <c r="FPJ238" s="243"/>
      <c r="FPK238" s="243"/>
      <c r="FPL238" s="243"/>
      <c r="FPM238" s="243"/>
      <c r="FPN238" s="243"/>
      <c r="FPO238" s="243"/>
      <c r="FPP238" s="243"/>
      <c r="FPQ238" s="243"/>
      <c r="FPR238" s="243"/>
      <c r="FPS238" s="243"/>
      <c r="FPT238" s="243"/>
      <c r="FPU238" s="243"/>
      <c r="FPV238" s="243"/>
      <c r="FPW238" s="243"/>
      <c r="FPX238" s="243"/>
      <c r="FPY238" s="243"/>
      <c r="FPZ238" s="243"/>
      <c r="FQA238" s="243"/>
      <c r="FQB238" s="243"/>
      <c r="FQC238" s="243"/>
      <c r="FQD238" s="243"/>
      <c r="FQE238" s="243"/>
      <c r="FQF238" s="243"/>
      <c r="FQG238" s="243"/>
      <c r="FQH238" s="243"/>
      <c r="FQI238" s="243"/>
      <c r="FQJ238" s="243"/>
      <c r="FQK238" s="243"/>
      <c r="FQL238" s="243"/>
      <c r="FQM238" s="243"/>
      <c r="FQN238" s="243"/>
      <c r="FQO238" s="243"/>
      <c r="FQP238" s="243"/>
      <c r="FQQ238" s="243"/>
      <c r="FQR238" s="243"/>
      <c r="FQS238" s="243"/>
      <c r="FQT238" s="243"/>
      <c r="FQU238" s="243"/>
      <c r="FQV238" s="243"/>
      <c r="FQW238" s="243"/>
      <c r="FQX238" s="243"/>
      <c r="FQY238" s="243"/>
      <c r="FQZ238" s="243"/>
      <c r="FRA238" s="243"/>
      <c r="FRB238" s="243"/>
      <c r="FRC238" s="243"/>
      <c r="FRD238" s="243"/>
      <c r="FRE238" s="243"/>
      <c r="FRF238" s="243"/>
      <c r="FRG238" s="243"/>
      <c r="FRH238" s="243"/>
      <c r="FRI238" s="243"/>
      <c r="FRJ238" s="243"/>
      <c r="FRK238" s="243"/>
      <c r="FRL238" s="243"/>
      <c r="FRM238" s="243"/>
      <c r="FRN238" s="243"/>
      <c r="FRO238" s="243"/>
      <c r="FRP238" s="243"/>
      <c r="FRQ238" s="243"/>
      <c r="FRR238" s="243"/>
      <c r="FRS238" s="243"/>
      <c r="FRT238" s="243"/>
      <c r="FRU238" s="243"/>
      <c r="FRV238" s="243"/>
      <c r="FRW238" s="243"/>
      <c r="FRX238" s="243"/>
      <c r="FRY238" s="243"/>
      <c r="FRZ238" s="243"/>
      <c r="FSA238" s="243"/>
      <c r="FSB238" s="243"/>
      <c r="FSC238" s="243"/>
      <c r="FSD238" s="243"/>
      <c r="FSE238" s="243"/>
      <c r="FSF238" s="243"/>
      <c r="FSG238" s="243"/>
      <c r="FSH238" s="243"/>
      <c r="FSI238" s="243"/>
      <c r="FSJ238" s="243"/>
      <c r="FSK238" s="243"/>
      <c r="FSL238" s="243"/>
      <c r="FSM238" s="243"/>
      <c r="FSN238" s="243"/>
      <c r="FSO238" s="243"/>
      <c r="FSP238" s="243"/>
      <c r="FSQ238" s="243"/>
      <c r="FSR238" s="243"/>
      <c r="FSS238" s="243"/>
      <c r="FST238" s="243"/>
      <c r="FSU238" s="243"/>
      <c r="FSV238" s="243"/>
      <c r="FSW238" s="243"/>
      <c r="FSX238" s="243"/>
      <c r="FSY238" s="243"/>
      <c r="FSZ238" s="243"/>
      <c r="FTA238" s="243"/>
      <c r="FTB238" s="243"/>
      <c r="FTC238" s="243"/>
      <c r="FTD238" s="243"/>
      <c r="FTE238" s="243"/>
      <c r="FTF238" s="243"/>
      <c r="FTG238" s="243"/>
      <c r="FTH238" s="243"/>
      <c r="FTI238" s="243"/>
      <c r="FTJ238" s="243"/>
      <c r="FTK238" s="243"/>
      <c r="FTL238" s="243"/>
      <c r="FTM238" s="243"/>
      <c r="FTN238" s="243"/>
      <c r="FTO238" s="243"/>
      <c r="FTP238" s="243"/>
      <c r="FTQ238" s="243"/>
      <c r="FTR238" s="243"/>
      <c r="FTS238" s="243"/>
      <c r="FTT238" s="243"/>
      <c r="FTU238" s="243"/>
      <c r="FTV238" s="243"/>
      <c r="FTW238" s="243"/>
      <c r="FTX238" s="243"/>
      <c r="FTY238" s="243"/>
      <c r="FTZ238" s="243"/>
      <c r="FUA238" s="243"/>
      <c r="FUB238" s="243"/>
      <c r="FUC238" s="243"/>
      <c r="FUD238" s="243"/>
      <c r="FUE238" s="243"/>
      <c r="FUF238" s="243"/>
      <c r="FUG238" s="243"/>
      <c r="FUH238" s="243"/>
      <c r="FUI238" s="243"/>
      <c r="FUJ238" s="243"/>
      <c r="FUK238" s="243"/>
      <c r="FUL238" s="243"/>
      <c r="FUM238" s="243"/>
      <c r="FUN238" s="243"/>
      <c r="FUO238" s="243"/>
      <c r="FUP238" s="243"/>
      <c r="FUQ238" s="243"/>
      <c r="FUR238" s="243"/>
      <c r="FUS238" s="243"/>
      <c r="FUT238" s="243"/>
      <c r="FUU238" s="243"/>
      <c r="FUV238" s="243"/>
      <c r="FUW238" s="243"/>
      <c r="FUX238" s="243"/>
      <c r="FUY238" s="243"/>
      <c r="FUZ238" s="243"/>
      <c r="FVA238" s="243"/>
      <c r="FVB238" s="243"/>
      <c r="FVC238" s="243"/>
      <c r="FVD238" s="243"/>
      <c r="FVE238" s="243"/>
      <c r="FVF238" s="243"/>
      <c r="FVG238" s="243"/>
      <c r="FVH238" s="243"/>
      <c r="FVI238" s="243"/>
      <c r="FVJ238" s="243"/>
      <c r="FVK238" s="243"/>
      <c r="FVL238" s="243"/>
      <c r="FVM238" s="243"/>
      <c r="FVN238" s="243"/>
      <c r="FVO238" s="243"/>
      <c r="FVP238" s="243"/>
      <c r="FVQ238" s="243"/>
      <c r="FVR238" s="243"/>
      <c r="FVS238" s="243"/>
      <c r="FVT238" s="243"/>
      <c r="FVU238" s="243"/>
      <c r="FVV238" s="243"/>
      <c r="FVW238" s="243"/>
      <c r="FVX238" s="243"/>
      <c r="FVY238" s="243"/>
      <c r="FVZ238" s="243"/>
      <c r="FWA238" s="243"/>
      <c r="FWB238" s="243"/>
      <c r="FWC238" s="243"/>
      <c r="FWD238" s="243"/>
      <c r="FWE238" s="243"/>
      <c r="FWF238" s="243"/>
      <c r="FWG238" s="243"/>
      <c r="FWH238" s="243"/>
      <c r="FWI238" s="243"/>
      <c r="FWJ238" s="243"/>
      <c r="FWK238" s="243"/>
      <c r="FWL238" s="243"/>
      <c r="FWM238" s="243"/>
      <c r="FWN238" s="243"/>
      <c r="FWO238" s="243"/>
      <c r="FWP238" s="243"/>
      <c r="FWQ238" s="243"/>
      <c r="FWR238" s="243"/>
      <c r="FWS238" s="243"/>
      <c r="FWT238" s="243"/>
      <c r="FWU238" s="243"/>
      <c r="FWV238" s="243"/>
      <c r="FWW238" s="243"/>
      <c r="FWX238" s="243"/>
      <c r="FWY238" s="243"/>
      <c r="FWZ238" s="243"/>
      <c r="FXA238" s="243"/>
      <c r="FXB238" s="243"/>
      <c r="FXC238" s="243"/>
      <c r="FXD238" s="243"/>
      <c r="FXE238" s="243"/>
      <c r="FXF238" s="243"/>
      <c r="FXG238" s="243"/>
      <c r="FXH238" s="243"/>
      <c r="FXI238" s="243"/>
      <c r="FXJ238" s="243"/>
      <c r="FXK238" s="243"/>
      <c r="FXL238" s="243"/>
      <c r="FXM238" s="243"/>
      <c r="FXN238" s="243"/>
      <c r="FXO238" s="243"/>
      <c r="FXP238" s="243"/>
      <c r="FXQ238" s="243"/>
      <c r="FXR238" s="243"/>
      <c r="FXS238" s="243"/>
      <c r="FXT238" s="243"/>
      <c r="FXU238" s="243"/>
      <c r="FXV238" s="243"/>
      <c r="FXW238" s="243"/>
      <c r="FXX238" s="243"/>
      <c r="FXY238" s="243"/>
      <c r="FXZ238" s="243"/>
      <c r="FYA238" s="243"/>
      <c r="FYB238" s="243"/>
      <c r="FYC238" s="243"/>
      <c r="FYD238" s="243"/>
      <c r="FYE238" s="243"/>
      <c r="FYF238" s="243"/>
      <c r="FYG238" s="243"/>
      <c r="FYH238" s="243"/>
      <c r="FYI238" s="243"/>
      <c r="FYJ238" s="243"/>
      <c r="FYK238" s="243"/>
      <c r="FYL238" s="243"/>
      <c r="FYM238" s="243"/>
      <c r="FYN238" s="243"/>
      <c r="FYO238" s="243"/>
      <c r="FYP238" s="243"/>
      <c r="FYQ238" s="243"/>
      <c r="FYR238" s="243"/>
      <c r="FYS238" s="243"/>
      <c r="FYT238" s="243"/>
      <c r="FYU238" s="243"/>
      <c r="FYV238" s="243"/>
      <c r="FYW238" s="243"/>
      <c r="FYX238" s="243"/>
      <c r="FYY238" s="243"/>
      <c r="FYZ238" s="243"/>
      <c r="FZA238" s="243"/>
      <c r="FZB238" s="243"/>
      <c r="FZC238" s="243"/>
      <c r="FZD238" s="243"/>
      <c r="FZE238" s="243"/>
      <c r="FZF238" s="243"/>
      <c r="FZG238" s="243"/>
      <c r="FZH238" s="243"/>
      <c r="FZI238" s="243"/>
      <c r="FZJ238" s="243"/>
      <c r="FZK238" s="243"/>
      <c r="FZL238" s="243"/>
      <c r="FZM238" s="243"/>
      <c r="FZN238" s="243"/>
      <c r="FZO238" s="243"/>
      <c r="FZP238" s="243"/>
      <c r="FZQ238" s="243"/>
      <c r="FZR238" s="243"/>
      <c r="FZS238" s="243"/>
      <c r="FZT238" s="243"/>
      <c r="FZU238" s="243"/>
      <c r="FZV238" s="243"/>
      <c r="FZW238" s="243"/>
      <c r="FZX238" s="243"/>
      <c r="FZY238" s="243"/>
      <c r="FZZ238" s="243"/>
      <c r="GAA238" s="243"/>
      <c r="GAB238" s="243"/>
      <c r="GAC238" s="243"/>
      <c r="GAD238" s="243"/>
      <c r="GAE238" s="243"/>
      <c r="GAF238" s="243"/>
      <c r="GAG238" s="243"/>
      <c r="GAH238" s="243"/>
      <c r="GAI238" s="243"/>
      <c r="GAJ238" s="243"/>
      <c r="GAK238" s="243"/>
      <c r="GAL238" s="243"/>
      <c r="GAM238" s="243"/>
      <c r="GAN238" s="243"/>
      <c r="GAO238" s="243"/>
      <c r="GAP238" s="243"/>
      <c r="GAQ238" s="243"/>
      <c r="GAR238" s="243"/>
      <c r="GAS238" s="243"/>
      <c r="GAT238" s="243"/>
      <c r="GAU238" s="243"/>
      <c r="GAV238" s="243"/>
      <c r="GAW238" s="243"/>
      <c r="GAX238" s="243"/>
      <c r="GAY238" s="243"/>
      <c r="GAZ238" s="243"/>
      <c r="GBA238" s="243"/>
      <c r="GBB238" s="243"/>
      <c r="GBC238" s="243"/>
      <c r="GBD238" s="243"/>
      <c r="GBE238" s="243"/>
      <c r="GBF238" s="243"/>
      <c r="GBG238" s="243"/>
      <c r="GBH238" s="243"/>
      <c r="GBI238" s="243"/>
      <c r="GBJ238" s="243"/>
      <c r="GBK238" s="243"/>
      <c r="GBL238" s="243"/>
      <c r="GBM238" s="243"/>
      <c r="GBN238" s="243"/>
      <c r="GBO238" s="243"/>
      <c r="GBP238" s="243"/>
      <c r="GBQ238" s="243"/>
      <c r="GBR238" s="243"/>
      <c r="GBS238" s="243"/>
      <c r="GBT238" s="243"/>
      <c r="GBU238" s="243"/>
      <c r="GBV238" s="243"/>
      <c r="GBW238" s="243"/>
      <c r="GBX238" s="243"/>
      <c r="GBY238" s="243"/>
      <c r="GBZ238" s="243"/>
      <c r="GCA238" s="243"/>
      <c r="GCB238" s="243"/>
      <c r="GCC238" s="243"/>
      <c r="GCD238" s="243"/>
      <c r="GCE238" s="243"/>
      <c r="GCF238" s="243"/>
      <c r="GCG238" s="243"/>
      <c r="GCH238" s="243"/>
      <c r="GCI238" s="243"/>
      <c r="GCJ238" s="243"/>
      <c r="GCK238" s="243"/>
      <c r="GCL238" s="243"/>
      <c r="GCM238" s="243"/>
      <c r="GCN238" s="243"/>
      <c r="GCO238" s="243"/>
      <c r="GCP238" s="243"/>
      <c r="GCQ238" s="243"/>
      <c r="GCR238" s="243"/>
      <c r="GCS238" s="243"/>
      <c r="GCT238" s="243"/>
      <c r="GCU238" s="243"/>
      <c r="GCV238" s="243"/>
      <c r="GCW238" s="243"/>
      <c r="GCX238" s="243"/>
      <c r="GCY238" s="243"/>
      <c r="GCZ238" s="243"/>
      <c r="GDA238" s="243"/>
      <c r="GDB238" s="243"/>
      <c r="GDC238" s="243"/>
      <c r="GDD238" s="243"/>
      <c r="GDE238" s="243"/>
      <c r="GDF238" s="243"/>
      <c r="GDG238" s="243"/>
      <c r="GDH238" s="243"/>
      <c r="GDI238" s="243"/>
      <c r="GDJ238" s="243"/>
      <c r="GDK238" s="243"/>
      <c r="GDL238" s="243"/>
      <c r="GDM238" s="243"/>
      <c r="GDN238" s="243"/>
      <c r="GDO238" s="243"/>
      <c r="GDP238" s="243"/>
      <c r="GDQ238" s="243"/>
      <c r="GDR238" s="243"/>
      <c r="GDS238" s="243"/>
      <c r="GDT238" s="243"/>
      <c r="GDU238" s="243"/>
      <c r="GDV238" s="243"/>
      <c r="GDW238" s="243"/>
      <c r="GDX238" s="243"/>
      <c r="GDY238" s="243"/>
      <c r="GDZ238" s="243"/>
      <c r="GEA238" s="243"/>
      <c r="GEB238" s="243"/>
      <c r="GEC238" s="243"/>
      <c r="GED238" s="243"/>
      <c r="GEE238" s="243"/>
      <c r="GEF238" s="243"/>
      <c r="GEG238" s="243"/>
      <c r="GEH238" s="243"/>
      <c r="GEI238" s="243"/>
      <c r="GEJ238" s="243"/>
      <c r="GEK238" s="243"/>
      <c r="GEL238" s="243"/>
      <c r="GEM238" s="243"/>
      <c r="GEN238" s="243"/>
      <c r="GEO238" s="243"/>
      <c r="GEP238" s="243"/>
      <c r="GEQ238" s="243"/>
      <c r="GER238" s="243"/>
      <c r="GES238" s="243"/>
      <c r="GET238" s="243"/>
      <c r="GEU238" s="243"/>
      <c r="GEV238" s="243"/>
      <c r="GEW238" s="243"/>
      <c r="GEX238" s="243"/>
      <c r="GEY238" s="243"/>
      <c r="GEZ238" s="243"/>
      <c r="GFA238" s="243"/>
      <c r="GFB238" s="243"/>
      <c r="GFC238" s="243"/>
      <c r="GFD238" s="243"/>
      <c r="GFE238" s="243"/>
      <c r="GFF238" s="243"/>
      <c r="GFG238" s="243"/>
      <c r="GFH238" s="243"/>
      <c r="GFI238" s="243"/>
      <c r="GFJ238" s="243"/>
      <c r="GFK238" s="243"/>
      <c r="GFL238" s="243"/>
      <c r="GFM238" s="243"/>
      <c r="GFN238" s="243"/>
      <c r="GFO238" s="243"/>
      <c r="GFP238" s="243"/>
      <c r="GFQ238" s="243"/>
      <c r="GFR238" s="243"/>
      <c r="GFS238" s="243"/>
      <c r="GFT238" s="243"/>
      <c r="GFU238" s="243"/>
      <c r="GFV238" s="243"/>
      <c r="GFW238" s="243"/>
      <c r="GFX238" s="243"/>
      <c r="GFY238" s="243"/>
      <c r="GFZ238" s="243"/>
      <c r="GGA238" s="243"/>
      <c r="GGB238" s="243"/>
      <c r="GGC238" s="243"/>
      <c r="GGD238" s="243"/>
      <c r="GGE238" s="243"/>
      <c r="GGF238" s="243"/>
      <c r="GGG238" s="243"/>
      <c r="GGH238" s="243"/>
      <c r="GGI238" s="243"/>
      <c r="GGJ238" s="243"/>
      <c r="GGK238" s="243"/>
      <c r="GGL238" s="243"/>
      <c r="GGM238" s="243"/>
      <c r="GGN238" s="243"/>
      <c r="GGO238" s="243"/>
      <c r="GGP238" s="243"/>
      <c r="GGQ238" s="243"/>
      <c r="GGR238" s="243"/>
      <c r="GGS238" s="243"/>
      <c r="GGT238" s="243"/>
      <c r="GGU238" s="243"/>
      <c r="GGV238" s="243"/>
      <c r="GGW238" s="243"/>
      <c r="GGX238" s="243"/>
      <c r="GGY238" s="243"/>
      <c r="GGZ238" s="243"/>
      <c r="GHA238" s="243"/>
      <c r="GHB238" s="243"/>
      <c r="GHC238" s="243"/>
      <c r="GHD238" s="243"/>
      <c r="GHE238" s="243"/>
      <c r="GHF238" s="243"/>
      <c r="GHG238" s="243"/>
      <c r="GHH238" s="243"/>
      <c r="GHI238" s="243"/>
      <c r="GHJ238" s="243"/>
      <c r="GHK238" s="243"/>
      <c r="GHL238" s="243"/>
      <c r="GHM238" s="243"/>
      <c r="GHN238" s="243"/>
      <c r="GHO238" s="243"/>
      <c r="GHP238" s="243"/>
      <c r="GHQ238" s="243"/>
      <c r="GHR238" s="243"/>
      <c r="GHS238" s="243"/>
      <c r="GHT238" s="243"/>
      <c r="GHU238" s="243"/>
      <c r="GHV238" s="243"/>
      <c r="GHW238" s="243"/>
      <c r="GHX238" s="243"/>
      <c r="GHY238" s="243"/>
      <c r="GHZ238" s="243"/>
      <c r="GIA238" s="243"/>
      <c r="GIB238" s="243"/>
      <c r="GIC238" s="243"/>
      <c r="GID238" s="243"/>
      <c r="GIE238" s="243"/>
      <c r="GIF238" s="243"/>
      <c r="GIG238" s="243"/>
      <c r="GIH238" s="243"/>
      <c r="GII238" s="243"/>
      <c r="GIJ238" s="243"/>
      <c r="GIK238" s="243"/>
      <c r="GIL238" s="243"/>
      <c r="GIM238" s="243"/>
      <c r="GIN238" s="243"/>
      <c r="GIO238" s="243"/>
      <c r="GIP238" s="243"/>
      <c r="GIQ238" s="243"/>
      <c r="GIR238" s="243"/>
      <c r="GIS238" s="243"/>
      <c r="GIT238" s="243"/>
      <c r="GIU238" s="243"/>
      <c r="GIV238" s="243"/>
      <c r="GIW238" s="243"/>
      <c r="GIX238" s="243"/>
      <c r="GIY238" s="243"/>
      <c r="GIZ238" s="243"/>
      <c r="GJA238" s="243"/>
      <c r="GJB238" s="243"/>
      <c r="GJC238" s="243"/>
      <c r="GJD238" s="243"/>
      <c r="GJE238" s="243"/>
      <c r="GJF238" s="243"/>
      <c r="GJG238" s="243"/>
      <c r="GJH238" s="243"/>
      <c r="GJI238" s="243"/>
      <c r="GJJ238" s="243"/>
      <c r="GJK238" s="243"/>
      <c r="GJL238" s="243"/>
      <c r="GJM238" s="243"/>
      <c r="GJN238" s="243"/>
      <c r="GJO238" s="243"/>
      <c r="GJP238" s="243"/>
      <c r="GJQ238" s="243"/>
      <c r="GJR238" s="243"/>
      <c r="GJS238" s="243"/>
      <c r="GJT238" s="243"/>
      <c r="GJU238" s="243"/>
      <c r="GJV238" s="243"/>
      <c r="GJW238" s="243"/>
      <c r="GJX238" s="243"/>
      <c r="GJY238" s="243"/>
      <c r="GJZ238" s="243"/>
      <c r="GKA238" s="243"/>
      <c r="GKB238" s="243"/>
      <c r="GKC238" s="243"/>
      <c r="GKD238" s="243"/>
      <c r="GKE238" s="243"/>
      <c r="GKF238" s="243"/>
      <c r="GKG238" s="243"/>
      <c r="GKH238" s="243"/>
      <c r="GKI238" s="243"/>
      <c r="GKJ238" s="243"/>
      <c r="GKK238" s="243"/>
      <c r="GKL238" s="243"/>
      <c r="GKM238" s="243"/>
      <c r="GKN238" s="243"/>
      <c r="GKO238" s="243"/>
      <c r="GKP238" s="243"/>
      <c r="GKQ238" s="243"/>
      <c r="GKR238" s="243"/>
      <c r="GKS238" s="243"/>
      <c r="GKT238" s="243"/>
      <c r="GKU238" s="243"/>
      <c r="GKV238" s="243"/>
      <c r="GKW238" s="243"/>
      <c r="GKX238" s="243"/>
      <c r="GKY238" s="243"/>
      <c r="GKZ238" s="243"/>
      <c r="GLA238" s="243"/>
      <c r="GLB238" s="243"/>
      <c r="GLC238" s="243"/>
      <c r="GLD238" s="243"/>
      <c r="GLE238" s="243"/>
      <c r="GLF238" s="243"/>
      <c r="GLG238" s="243"/>
      <c r="GLH238" s="243"/>
      <c r="GLI238" s="243"/>
      <c r="GLJ238" s="243"/>
      <c r="GLK238" s="243"/>
      <c r="GLL238" s="243"/>
      <c r="GLM238" s="243"/>
      <c r="GLN238" s="243"/>
      <c r="GLO238" s="243"/>
      <c r="GLP238" s="243"/>
      <c r="GLQ238" s="243"/>
      <c r="GLR238" s="243"/>
      <c r="GLS238" s="243"/>
      <c r="GLT238" s="243"/>
      <c r="GLU238" s="243"/>
      <c r="GLV238" s="243"/>
      <c r="GLW238" s="243"/>
      <c r="GLX238" s="243"/>
      <c r="GLY238" s="243"/>
      <c r="GLZ238" s="243"/>
      <c r="GMA238" s="243"/>
      <c r="GMB238" s="243"/>
      <c r="GMC238" s="243"/>
      <c r="GMD238" s="243"/>
      <c r="GME238" s="243"/>
      <c r="GMF238" s="243"/>
      <c r="GMG238" s="243"/>
      <c r="GMH238" s="243"/>
      <c r="GMI238" s="243"/>
      <c r="GMJ238" s="243"/>
      <c r="GMK238" s="243"/>
      <c r="GML238" s="243"/>
      <c r="GMM238" s="243"/>
      <c r="GMN238" s="243"/>
      <c r="GMO238" s="243"/>
      <c r="GMP238" s="243"/>
      <c r="GMQ238" s="243"/>
      <c r="GMR238" s="243"/>
      <c r="GMS238" s="243"/>
      <c r="GMT238" s="243"/>
      <c r="GMU238" s="243"/>
      <c r="GMV238" s="243"/>
      <c r="GMW238" s="243"/>
      <c r="GMX238" s="243"/>
      <c r="GMY238" s="243"/>
      <c r="GMZ238" s="243"/>
      <c r="GNA238" s="243"/>
      <c r="GNB238" s="243"/>
      <c r="GNC238" s="243"/>
      <c r="GND238" s="243"/>
      <c r="GNE238" s="243"/>
      <c r="GNF238" s="243"/>
      <c r="GNG238" s="243"/>
      <c r="GNH238" s="243"/>
      <c r="GNI238" s="243"/>
      <c r="GNJ238" s="243"/>
      <c r="GNK238" s="243"/>
      <c r="GNL238" s="243"/>
      <c r="GNM238" s="243"/>
      <c r="GNN238" s="243"/>
      <c r="GNO238" s="243"/>
      <c r="GNP238" s="243"/>
      <c r="GNQ238" s="243"/>
      <c r="GNR238" s="243"/>
      <c r="GNS238" s="243"/>
      <c r="GNT238" s="243"/>
      <c r="GNU238" s="243"/>
      <c r="GNV238" s="243"/>
      <c r="GNW238" s="243"/>
      <c r="GNX238" s="243"/>
      <c r="GNY238" s="243"/>
      <c r="GNZ238" s="243"/>
      <c r="GOA238" s="243"/>
      <c r="GOB238" s="243"/>
      <c r="GOC238" s="243"/>
      <c r="GOD238" s="243"/>
      <c r="GOE238" s="243"/>
      <c r="GOF238" s="243"/>
      <c r="GOG238" s="243"/>
      <c r="GOH238" s="243"/>
      <c r="GOI238" s="243"/>
      <c r="GOJ238" s="243"/>
      <c r="GOK238" s="243"/>
      <c r="GOL238" s="243"/>
      <c r="GOM238" s="243"/>
      <c r="GON238" s="243"/>
      <c r="GOO238" s="243"/>
      <c r="GOP238" s="243"/>
      <c r="GOQ238" s="243"/>
      <c r="GOR238" s="243"/>
      <c r="GOS238" s="243"/>
      <c r="GOT238" s="243"/>
      <c r="GOU238" s="243"/>
      <c r="GOV238" s="243"/>
      <c r="GOW238" s="243"/>
      <c r="GOX238" s="243"/>
      <c r="GOY238" s="243"/>
      <c r="GOZ238" s="243"/>
      <c r="GPA238" s="243"/>
      <c r="GPB238" s="243"/>
      <c r="GPC238" s="243"/>
      <c r="GPD238" s="243"/>
      <c r="GPE238" s="243"/>
      <c r="GPF238" s="243"/>
      <c r="GPG238" s="243"/>
      <c r="GPH238" s="243"/>
      <c r="GPI238" s="243"/>
      <c r="GPJ238" s="243"/>
      <c r="GPK238" s="243"/>
      <c r="GPL238" s="243"/>
      <c r="GPM238" s="243"/>
      <c r="GPN238" s="243"/>
      <c r="GPO238" s="243"/>
      <c r="GPP238" s="243"/>
      <c r="GPQ238" s="243"/>
      <c r="GPR238" s="243"/>
      <c r="GPS238" s="243"/>
      <c r="GPT238" s="243"/>
      <c r="GPU238" s="243"/>
      <c r="GPV238" s="243"/>
      <c r="GPW238" s="243"/>
      <c r="GPX238" s="243"/>
      <c r="GPY238" s="243"/>
      <c r="GPZ238" s="243"/>
      <c r="GQA238" s="243"/>
      <c r="GQB238" s="243"/>
      <c r="GQC238" s="243"/>
      <c r="GQD238" s="243"/>
      <c r="GQE238" s="243"/>
      <c r="GQF238" s="243"/>
      <c r="GQG238" s="243"/>
      <c r="GQH238" s="243"/>
      <c r="GQI238" s="243"/>
      <c r="GQJ238" s="243"/>
      <c r="GQK238" s="243"/>
      <c r="GQL238" s="243"/>
      <c r="GQM238" s="243"/>
      <c r="GQN238" s="243"/>
      <c r="GQO238" s="243"/>
      <c r="GQP238" s="243"/>
      <c r="GQQ238" s="243"/>
      <c r="GQR238" s="243"/>
      <c r="GQS238" s="243"/>
      <c r="GQT238" s="243"/>
      <c r="GQU238" s="243"/>
      <c r="GQV238" s="243"/>
      <c r="GQW238" s="243"/>
      <c r="GQX238" s="243"/>
      <c r="GQY238" s="243"/>
      <c r="GQZ238" s="243"/>
      <c r="GRA238" s="243"/>
      <c r="GRB238" s="243"/>
      <c r="GRC238" s="243"/>
      <c r="GRD238" s="243"/>
      <c r="GRE238" s="243"/>
      <c r="GRF238" s="243"/>
      <c r="GRG238" s="243"/>
      <c r="GRH238" s="243"/>
      <c r="GRI238" s="243"/>
      <c r="GRJ238" s="243"/>
      <c r="GRK238" s="243"/>
      <c r="GRL238" s="243"/>
      <c r="GRM238" s="243"/>
      <c r="GRN238" s="243"/>
      <c r="GRO238" s="243"/>
      <c r="GRP238" s="243"/>
      <c r="GRQ238" s="243"/>
      <c r="GRR238" s="243"/>
      <c r="GRS238" s="243"/>
      <c r="GRT238" s="243"/>
      <c r="GRU238" s="243"/>
      <c r="GRV238" s="243"/>
      <c r="GRW238" s="243"/>
      <c r="GRX238" s="243"/>
      <c r="GRY238" s="243"/>
      <c r="GRZ238" s="243"/>
      <c r="GSA238" s="243"/>
      <c r="GSB238" s="243"/>
      <c r="GSC238" s="243"/>
      <c r="GSD238" s="243"/>
      <c r="GSE238" s="243"/>
      <c r="GSF238" s="243"/>
      <c r="GSG238" s="243"/>
      <c r="GSH238" s="243"/>
      <c r="GSI238" s="243"/>
      <c r="GSJ238" s="243"/>
      <c r="GSK238" s="243"/>
      <c r="GSL238" s="243"/>
      <c r="GSM238" s="243"/>
      <c r="GSN238" s="243"/>
      <c r="GSO238" s="243"/>
      <c r="GSP238" s="243"/>
      <c r="GSQ238" s="243"/>
      <c r="GSR238" s="243"/>
      <c r="GSS238" s="243"/>
      <c r="GST238" s="243"/>
      <c r="GSU238" s="243"/>
      <c r="GSV238" s="243"/>
      <c r="GSW238" s="243"/>
      <c r="GSX238" s="243"/>
      <c r="GSY238" s="243"/>
      <c r="GSZ238" s="243"/>
      <c r="GTA238" s="243"/>
      <c r="GTB238" s="243"/>
      <c r="GTC238" s="243"/>
      <c r="GTD238" s="243"/>
      <c r="GTE238" s="243"/>
      <c r="GTF238" s="243"/>
      <c r="GTG238" s="243"/>
      <c r="GTH238" s="243"/>
      <c r="GTI238" s="243"/>
      <c r="GTJ238" s="243"/>
      <c r="GTK238" s="243"/>
      <c r="GTL238" s="243"/>
      <c r="GTM238" s="243"/>
      <c r="GTN238" s="243"/>
      <c r="GTO238" s="243"/>
      <c r="GTP238" s="243"/>
      <c r="GTQ238" s="243"/>
      <c r="GTR238" s="243"/>
      <c r="GTS238" s="243"/>
      <c r="GTT238" s="243"/>
      <c r="GTU238" s="243"/>
      <c r="GTV238" s="243"/>
      <c r="GTW238" s="243"/>
      <c r="GTX238" s="243"/>
      <c r="GTY238" s="243"/>
      <c r="GTZ238" s="243"/>
      <c r="GUA238" s="243"/>
      <c r="GUB238" s="243"/>
      <c r="GUC238" s="243"/>
      <c r="GUD238" s="243"/>
      <c r="GUE238" s="243"/>
      <c r="GUF238" s="243"/>
      <c r="GUG238" s="243"/>
      <c r="GUH238" s="243"/>
      <c r="GUI238" s="243"/>
      <c r="GUJ238" s="243"/>
      <c r="GUK238" s="243"/>
      <c r="GUL238" s="243"/>
      <c r="GUM238" s="243"/>
      <c r="GUN238" s="243"/>
      <c r="GUO238" s="243"/>
      <c r="GUP238" s="243"/>
      <c r="GUQ238" s="243"/>
      <c r="GUR238" s="243"/>
      <c r="GUS238" s="243"/>
      <c r="GUT238" s="243"/>
      <c r="GUU238" s="243"/>
      <c r="GUV238" s="243"/>
      <c r="GUW238" s="243"/>
      <c r="GUX238" s="243"/>
      <c r="GUY238" s="243"/>
      <c r="GUZ238" s="243"/>
      <c r="GVA238" s="243"/>
      <c r="GVB238" s="243"/>
      <c r="GVC238" s="243"/>
      <c r="GVD238" s="243"/>
      <c r="GVE238" s="243"/>
      <c r="GVF238" s="243"/>
      <c r="GVG238" s="243"/>
      <c r="GVH238" s="243"/>
      <c r="GVI238" s="243"/>
      <c r="GVJ238" s="243"/>
      <c r="GVK238" s="243"/>
      <c r="GVL238" s="243"/>
      <c r="GVM238" s="243"/>
      <c r="GVN238" s="243"/>
      <c r="GVO238" s="243"/>
      <c r="GVP238" s="243"/>
      <c r="GVQ238" s="243"/>
      <c r="GVR238" s="243"/>
      <c r="GVS238" s="243"/>
      <c r="GVT238" s="243"/>
      <c r="GVU238" s="243"/>
      <c r="GVV238" s="243"/>
      <c r="GVW238" s="243"/>
      <c r="GVX238" s="243"/>
      <c r="GVY238" s="243"/>
      <c r="GVZ238" s="243"/>
      <c r="GWA238" s="243"/>
      <c r="GWB238" s="243"/>
      <c r="GWC238" s="243"/>
      <c r="GWD238" s="243"/>
      <c r="GWE238" s="243"/>
      <c r="GWF238" s="243"/>
      <c r="GWG238" s="243"/>
      <c r="GWH238" s="243"/>
      <c r="GWI238" s="243"/>
      <c r="GWJ238" s="243"/>
      <c r="GWK238" s="243"/>
      <c r="GWL238" s="243"/>
      <c r="GWM238" s="243"/>
      <c r="GWN238" s="243"/>
      <c r="GWO238" s="243"/>
      <c r="GWP238" s="243"/>
      <c r="GWQ238" s="243"/>
      <c r="GWR238" s="243"/>
      <c r="GWS238" s="243"/>
      <c r="GWT238" s="243"/>
      <c r="GWU238" s="243"/>
      <c r="GWV238" s="243"/>
      <c r="GWW238" s="243"/>
      <c r="GWX238" s="243"/>
      <c r="GWY238" s="243"/>
      <c r="GWZ238" s="243"/>
      <c r="GXA238" s="243"/>
      <c r="GXB238" s="243"/>
      <c r="GXC238" s="243"/>
      <c r="GXD238" s="243"/>
      <c r="GXE238" s="243"/>
      <c r="GXF238" s="243"/>
      <c r="GXG238" s="243"/>
      <c r="GXH238" s="243"/>
      <c r="GXI238" s="243"/>
      <c r="GXJ238" s="243"/>
      <c r="GXK238" s="243"/>
      <c r="GXL238" s="243"/>
      <c r="GXM238" s="243"/>
      <c r="GXN238" s="243"/>
      <c r="GXO238" s="243"/>
      <c r="GXP238" s="243"/>
      <c r="GXQ238" s="243"/>
      <c r="GXR238" s="243"/>
      <c r="GXS238" s="243"/>
      <c r="GXT238" s="243"/>
      <c r="GXU238" s="243"/>
      <c r="GXV238" s="243"/>
      <c r="GXW238" s="243"/>
      <c r="GXX238" s="243"/>
      <c r="GXY238" s="243"/>
      <c r="GXZ238" s="243"/>
      <c r="GYA238" s="243"/>
      <c r="GYB238" s="243"/>
      <c r="GYC238" s="243"/>
      <c r="GYD238" s="243"/>
      <c r="GYE238" s="243"/>
      <c r="GYF238" s="243"/>
      <c r="GYG238" s="243"/>
      <c r="GYH238" s="243"/>
      <c r="GYI238" s="243"/>
      <c r="GYJ238" s="243"/>
      <c r="GYK238" s="243"/>
      <c r="GYL238" s="243"/>
      <c r="GYM238" s="243"/>
      <c r="GYN238" s="243"/>
      <c r="GYO238" s="243"/>
      <c r="GYP238" s="243"/>
      <c r="GYQ238" s="243"/>
      <c r="GYR238" s="243"/>
      <c r="GYS238" s="243"/>
      <c r="GYT238" s="243"/>
      <c r="GYU238" s="243"/>
      <c r="GYV238" s="243"/>
      <c r="GYW238" s="243"/>
      <c r="GYX238" s="243"/>
      <c r="GYY238" s="243"/>
      <c r="GYZ238" s="243"/>
      <c r="GZA238" s="243"/>
      <c r="GZB238" s="243"/>
      <c r="GZC238" s="243"/>
      <c r="GZD238" s="243"/>
      <c r="GZE238" s="243"/>
      <c r="GZF238" s="243"/>
      <c r="GZG238" s="243"/>
      <c r="GZH238" s="243"/>
      <c r="GZI238" s="243"/>
      <c r="GZJ238" s="243"/>
      <c r="GZK238" s="243"/>
      <c r="GZL238" s="243"/>
      <c r="GZM238" s="243"/>
      <c r="GZN238" s="243"/>
      <c r="GZO238" s="243"/>
      <c r="GZP238" s="243"/>
      <c r="GZQ238" s="243"/>
      <c r="GZR238" s="243"/>
      <c r="GZS238" s="243"/>
      <c r="GZT238" s="243"/>
      <c r="GZU238" s="243"/>
      <c r="GZV238" s="243"/>
      <c r="GZW238" s="243"/>
      <c r="GZX238" s="243"/>
      <c r="GZY238" s="243"/>
      <c r="GZZ238" s="243"/>
      <c r="HAA238" s="243"/>
      <c r="HAB238" s="243"/>
      <c r="HAC238" s="243"/>
      <c r="HAD238" s="243"/>
      <c r="HAE238" s="243"/>
      <c r="HAF238" s="243"/>
      <c r="HAG238" s="243"/>
      <c r="HAH238" s="243"/>
      <c r="HAI238" s="243"/>
      <c r="HAJ238" s="243"/>
      <c r="HAK238" s="243"/>
      <c r="HAL238" s="243"/>
      <c r="HAM238" s="243"/>
      <c r="HAN238" s="243"/>
      <c r="HAO238" s="243"/>
      <c r="HAP238" s="243"/>
      <c r="HAQ238" s="243"/>
      <c r="HAR238" s="243"/>
      <c r="HAS238" s="243"/>
      <c r="HAT238" s="243"/>
      <c r="HAU238" s="243"/>
      <c r="HAV238" s="243"/>
      <c r="HAW238" s="243"/>
      <c r="HAX238" s="243"/>
      <c r="HAY238" s="243"/>
      <c r="HAZ238" s="243"/>
      <c r="HBA238" s="243"/>
      <c r="HBB238" s="243"/>
      <c r="HBC238" s="243"/>
      <c r="HBD238" s="243"/>
      <c r="HBE238" s="243"/>
      <c r="HBF238" s="243"/>
      <c r="HBG238" s="243"/>
      <c r="HBH238" s="243"/>
      <c r="HBI238" s="243"/>
      <c r="HBJ238" s="243"/>
      <c r="HBK238" s="243"/>
      <c r="HBL238" s="243"/>
      <c r="HBM238" s="243"/>
      <c r="HBN238" s="243"/>
      <c r="HBO238" s="243"/>
      <c r="HBP238" s="243"/>
      <c r="HBQ238" s="243"/>
      <c r="HBR238" s="243"/>
      <c r="HBS238" s="243"/>
      <c r="HBT238" s="243"/>
      <c r="HBU238" s="243"/>
      <c r="HBV238" s="243"/>
      <c r="HBW238" s="243"/>
      <c r="HBX238" s="243"/>
      <c r="HBY238" s="243"/>
      <c r="HBZ238" s="243"/>
      <c r="HCA238" s="243"/>
      <c r="HCB238" s="243"/>
      <c r="HCC238" s="243"/>
      <c r="HCD238" s="243"/>
      <c r="HCE238" s="243"/>
      <c r="HCF238" s="243"/>
      <c r="HCG238" s="243"/>
      <c r="HCH238" s="243"/>
      <c r="HCI238" s="243"/>
      <c r="HCJ238" s="243"/>
      <c r="HCK238" s="243"/>
      <c r="HCL238" s="243"/>
      <c r="HCM238" s="243"/>
      <c r="HCN238" s="243"/>
      <c r="HCO238" s="243"/>
      <c r="HCP238" s="243"/>
      <c r="HCQ238" s="243"/>
      <c r="HCR238" s="243"/>
      <c r="HCS238" s="243"/>
      <c r="HCT238" s="243"/>
      <c r="HCU238" s="243"/>
      <c r="HCV238" s="243"/>
      <c r="HCW238" s="243"/>
      <c r="HCX238" s="243"/>
      <c r="HCY238" s="243"/>
      <c r="HCZ238" s="243"/>
      <c r="HDA238" s="243"/>
      <c r="HDB238" s="243"/>
      <c r="HDC238" s="243"/>
      <c r="HDD238" s="243"/>
      <c r="HDE238" s="243"/>
      <c r="HDF238" s="243"/>
      <c r="HDG238" s="243"/>
      <c r="HDH238" s="243"/>
      <c r="HDI238" s="243"/>
      <c r="HDJ238" s="243"/>
      <c r="HDK238" s="243"/>
      <c r="HDL238" s="243"/>
      <c r="HDM238" s="243"/>
      <c r="HDN238" s="243"/>
      <c r="HDO238" s="243"/>
      <c r="HDP238" s="243"/>
      <c r="HDQ238" s="243"/>
      <c r="HDR238" s="243"/>
      <c r="HDS238" s="243"/>
      <c r="HDT238" s="243"/>
      <c r="HDU238" s="243"/>
      <c r="HDV238" s="243"/>
      <c r="HDW238" s="243"/>
      <c r="HDX238" s="243"/>
      <c r="HDY238" s="243"/>
      <c r="HDZ238" s="243"/>
      <c r="HEA238" s="243"/>
      <c r="HEB238" s="243"/>
      <c r="HEC238" s="243"/>
      <c r="HED238" s="243"/>
      <c r="HEE238" s="243"/>
      <c r="HEF238" s="243"/>
      <c r="HEG238" s="243"/>
      <c r="HEH238" s="243"/>
      <c r="HEI238" s="243"/>
      <c r="HEJ238" s="243"/>
      <c r="HEK238" s="243"/>
      <c r="HEL238" s="243"/>
      <c r="HEM238" s="243"/>
      <c r="HEN238" s="243"/>
      <c r="HEO238" s="243"/>
      <c r="HEP238" s="243"/>
      <c r="HEQ238" s="243"/>
      <c r="HER238" s="243"/>
      <c r="HES238" s="243"/>
      <c r="HET238" s="243"/>
      <c r="HEU238" s="243"/>
      <c r="HEV238" s="243"/>
      <c r="HEW238" s="243"/>
      <c r="HEX238" s="243"/>
      <c r="HEY238" s="243"/>
      <c r="HEZ238" s="243"/>
      <c r="HFA238" s="243"/>
      <c r="HFB238" s="243"/>
      <c r="HFC238" s="243"/>
      <c r="HFD238" s="243"/>
      <c r="HFE238" s="243"/>
      <c r="HFF238" s="243"/>
      <c r="HFG238" s="243"/>
      <c r="HFH238" s="243"/>
      <c r="HFI238" s="243"/>
      <c r="HFJ238" s="243"/>
      <c r="HFK238" s="243"/>
      <c r="HFL238" s="243"/>
      <c r="HFM238" s="243"/>
      <c r="HFN238" s="243"/>
      <c r="HFO238" s="243"/>
      <c r="HFP238" s="243"/>
      <c r="HFQ238" s="243"/>
      <c r="HFR238" s="243"/>
      <c r="HFS238" s="243"/>
      <c r="HFT238" s="243"/>
      <c r="HFU238" s="243"/>
      <c r="HFV238" s="243"/>
      <c r="HFW238" s="243"/>
      <c r="HFX238" s="243"/>
      <c r="HFY238" s="243"/>
      <c r="HFZ238" s="243"/>
      <c r="HGA238" s="243"/>
      <c r="HGB238" s="243"/>
      <c r="HGC238" s="243"/>
      <c r="HGD238" s="243"/>
      <c r="HGE238" s="243"/>
      <c r="HGF238" s="243"/>
      <c r="HGG238" s="243"/>
      <c r="HGH238" s="243"/>
      <c r="HGI238" s="243"/>
      <c r="HGJ238" s="243"/>
      <c r="HGK238" s="243"/>
      <c r="HGL238" s="243"/>
      <c r="HGM238" s="243"/>
      <c r="HGN238" s="243"/>
      <c r="HGO238" s="243"/>
      <c r="HGP238" s="243"/>
      <c r="HGQ238" s="243"/>
      <c r="HGR238" s="243"/>
      <c r="HGS238" s="243"/>
      <c r="HGT238" s="243"/>
      <c r="HGU238" s="243"/>
      <c r="HGV238" s="243"/>
      <c r="HGW238" s="243"/>
      <c r="HGX238" s="243"/>
      <c r="HGY238" s="243"/>
      <c r="HGZ238" s="243"/>
      <c r="HHA238" s="243"/>
      <c r="HHB238" s="243"/>
      <c r="HHC238" s="243"/>
      <c r="HHD238" s="243"/>
      <c r="HHE238" s="243"/>
      <c r="HHF238" s="243"/>
      <c r="HHG238" s="243"/>
      <c r="HHH238" s="243"/>
      <c r="HHI238" s="243"/>
      <c r="HHJ238" s="243"/>
      <c r="HHK238" s="243"/>
      <c r="HHL238" s="243"/>
      <c r="HHM238" s="243"/>
      <c r="HHN238" s="243"/>
      <c r="HHO238" s="243"/>
      <c r="HHP238" s="243"/>
      <c r="HHQ238" s="243"/>
      <c r="HHR238" s="243"/>
      <c r="HHS238" s="243"/>
      <c r="HHT238" s="243"/>
      <c r="HHU238" s="243"/>
      <c r="HHV238" s="243"/>
      <c r="HHW238" s="243"/>
      <c r="HHX238" s="243"/>
      <c r="HHY238" s="243"/>
      <c r="HHZ238" s="243"/>
      <c r="HIA238" s="243"/>
      <c r="HIB238" s="243"/>
      <c r="HIC238" s="243"/>
      <c r="HID238" s="243"/>
      <c r="HIE238" s="243"/>
      <c r="HIF238" s="243"/>
      <c r="HIG238" s="243"/>
      <c r="HIH238" s="243"/>
      <c r="HII238" s="243"/>
      <c r="HIJ238" s="243"/>
      <c r="HIK238" s="243"/>
      <c r="HIL238" s="243"/>
      <c r="HIM238" s="243"/>
      <c r="HIN238" s="243"/>
      <c r="HIO238" s="243"/>
      <c r="HIP238" s="243"/>
      <c r="HIQ238" s="243"/>
      <c r="HIR238" s="243"/>
      <c r="HIS238" s="243"/>
      <c r="HIT238" s="243"/>
      <c r="HIU238" s="243"/>
      <c r="HIV238" s="243"/>
      <c r="HIW238" s="243"/>
      <c r="HIX238" s="243"/>
      <c r="HIY238" s="243"/>
      <c r="HIZ238" s="243"/>
      <c r="HJA238" s="243"/>
      <c r="HJB238" s="243"/>
      <c r="HJC238" s="243"/>
      <c r="HJD238" s="243"/>
      <c r="HJE238" s="243"/>
      <c r="HJF238" s="243"/>
      <c r="HJG238" s="243"/>
      <c r="HJH238" s="243"/>
      <c r="HJI238" s="243"/>
      <c r="HJJ238" s="243"/>
      <c r="HJK238" s="243"/>
      <c r="HJL238" s="243"/>
      <c r="HJM238" s="243"/>
      <c r="HJN238" s="243"/>
      <c r="HJO238" s="243"/>
      <c r="HJP238" s="243"/>
      <c r="HJQ238" s="243"/>
      <c r="HJR238" s="243"/>
      <c r="HJS238" s="243"/>
      <c r="HJT238" s="243"/>
      <c r="HJU238" s="243"/>
      <c r="HJV238" s="243"/>
      <c r="HJW238" s="243"/>
      <c r="HJX238" s="243"/>
      <c r="HJY238" s="243"/>
      <c r="HJZ238" s="243"/>
      <c r="HKA238" s="243"/>
      <c r="HKB238" s="243"/>
      <c r="HKC238" s="243"/>
      <c r="HKD238" s="243"/>
      <c r="HKE238" s="243"/>
      <c r="HKF238" s="243"/>
      <c r="HKG238" s="243"/>
      <c r="HKH238" s="243"/>
      <c r="HKI238" s="243"/>
      <c r="HKJ238" s="243"/>
      <c r="HKK238" s="243"/>
      <c r="HKL238" s="243"/>
      <c r="HKM238" s="243"/>
      <c r="HKN238" s="243"/>
      <c r="HKO238" s="243"/>
      <c r="HKP238" s="243"/>
      <c r="HKQ238" s="243"/>
      <c r="HKR238" s="243"/>
      <c r="HKS238" s="243"/>
      <c r="HKT238" s="243"/>
      <c r="HKU238" s="243"/>
      <c r="HKV238" s="243"/>
      <c r="HKW238" s="243"/>
      <c r="HKX238" s="243"/>
      <c r="HKY238" s="243"/>
      <c r="HKZ238" s="243"/>
      <c r="HLA238" s="243"/>
      <c r="HLB238" s="243"/>
      <c r="HLC238" s="243"/>
      <c r="HLD238" s="243"/>
      <c r="HLE238" s="243"/>
      <c r="HLF238" s="243"/>
      <c r="HLG238" s="243"/>
      <c r="HLH238" s="243"/>
      <c r="HLI238" s="243"/>
      <c r="HLJ238" s="243"/>
      <c r="HLK238" s="243"/>
      <c r="HLL238" s="243"/>
      <c r="HLM238" s="243"/>
      <c r="HLN238" s="243"/>
      <c r="HLO238" s="243"/>
      <c r="HLP238" s="243"/>
      <c r="HLQ238" s="243"/>
      <c r="HLR238" s="243"/>
      <c r="HLS238" s="243"/>
      <c r="HLT238" s="243"/>
      <c r="HLU238" s="243"/>
      <c r="HLV238" s="243"/>
      <c r="HLW238" s="243"/>
      <c r="HLX238" s="243"/>
      <c r="HLY238" s="243"/>
      <c r="HLZ238" s="243"/>
      <c r="HMA238" s="243"/>
      <c r="HMB238" s="243"/>
      <c r="HMC238" s="243"/>
      <c r="HMD238" s="243"/>
      <c r="HME238" s="243"/>
      <c r="HMF238" s="243"/>
      <c r="HMG238" s="243"/>
      <c r="HMH238" s="243"/>
      <c r="HMI238" s="243"/>
      <c r="HMJ238" s="243"/>
      <c r="HMK238" s="243"/>
      <c r="HML238" s="243"/>
      <c r="HMM238" s="243"/>
      <c r="HMN238" s="243"/>
      <c r="HMO238" s="243"/>
      <c r="HMP238" s="243"/>
      <c r="HMQ238" s="243"/>
      <c r="HMR238" s="243"/>
      <c r="HMS238" s="243"/>
      <c r="HMT238" s="243"/>
      <c r="HMU238" s="243"/>
      <c r="HMV238" s="243"/>
      <c r="HMW238" s="243"/>
      <c r="HMX238" s="243"/>
      <c r="HMY238" s="243"/>
      <c r="HMZ238" s="243"/>
      <c r="HNA238" s="243"/>
      <c r="HNB238" s="243"/>
      <c r="HNC238" s="243"/>
      <c r="HND238" s="243"/>
      <c r="HNE238" s="243"/>
      <c r="HNF238" s="243"/>
      <c r="HNG238" s="243"/>
      <c r="HNH238" s="243"/>
      <c r="HNI238" s="243"/>
      <c r="HNJ238" s="243"/>
      <c r="HNK238" s="243"/>
      <c r="HNL238" s="243"/>
      <c r="HNM238" s="243"/>
      <c r="HNN238" s="243"/>
      <c r="HNO238" s="243"/>
      <c r="HNP238" s="243"/>
      <c r="HNQ238" s="243"/>
      <c r="HNR238" s="243"/>
      <c r="HNS238" s="243"/>
      <c r="HNT238" s="243"/>
      <c r="HNU238" s="243"/>
      <c r="HNV238" s="243"/>
      <c r="HNW238" s="243"/>
      <c r="HNX238" s="243"/>
      <c r="HNY238" s="243"/>
      <c r="HNZ238" s="243"/>
      <c r="HOA238" s="243"/>
      <c r="HOB238" s="243"/>
      <c r="HOC238" s="243"/>
      <c r="HOD238" s="243"/>
      <c r="HOE238" s="243"/>
      <c r="HOF238" s="243"/>
      <c r="HOG238" s="243"/>
      <c r="HOH238" s="243"/>
      <c r="HOI238" s="243"/>
      <c r="HOJ238" s="243"/>
      <c r="HOK238" s="243"/>
      <c r="HOL238" s="243"/>
      <c r="HOM238" s="243"/>
      <c r="HON238" s="243"/>
      <c r="HOO238" s="243"/>
      <c r="HOP238" s="243"/>
      <c r="HOQ238" s="243"/>
      <c r="HOR238" s="243"/>
      <c r="HOS238" s="243"/>
      <c r="HOT238" s="243"/>
      <c r="HOU238" s="243"/>
      <c r="HOV238" s="243"/>
      <c r="HOW238" s="243"/>
      <c r="HOX238" s="243"/>
      <c r="HOY238" s="243"/>
      <c r="HOZ238" s="243"/>
      <c r="HPA238" s="243"/>
      <c r="HPB238" s="243"/>
      <c r="HPC238" s="243"/>
      <c r="HPD238" s="243"/>
      <c r="HPE238" s="243"/>
      <c r="HPF238" s="243"/>
      <c r="HPG238" s="243"/>
      <c r="HPH238" s="243"/>
      <c r="HPI238" s="243"/>
      <c r="HPJ238" s="243"/>
      <c r="HPK238" s="243"/>
      <c r="HPL238" s="243"/>
      <c r="HPM238" s="243"/>
      <c r="HPN238" s="243"/>
      <c r="HPO238" s="243"/>
      <c r="HPP238" s="243"/>
      <c r="HPQ238" s="243"/>
      <c r="HPR238" s="243"/>
      <c r="HPS238" s="243"/>
      <c r="HPT238" s="243"/>
      <c r="HPU238" s="243"/>
      <c r="HPV238" s="243"/>
      <c r="HPW238" s="243"/>
      <c r="HPX238" s="243"/>
      <c r="HPY238" s="243"/>
      <c r="HPZ238" s="243"/>
      <c r="HQA238" s="243"/>
      <c r="HQB238" s="243"/>
      <c r="HQC238" s="243"/>
      <c r="HQD238" s="243"/>
      <c r="HQE238" s="243"/>
      <c r="HQF238" s="243"/>
      <c r="HQG238" s="243"/>
      <c r="HQH238" s="243"/>
      <c r="HQI238" s="243"/>
      <c r="HQJ238" s="243"/>
      <c r="HQK238" s="243"/>
      <c r="HQL238" s="243"/>
      <c r="HQM238" s="243"/>
      <c r="HQN238" s="243"/>
      <c r="HQO238" s="243"/>
      <c r="HQP238" s="243"/>
      <c r="HQQ238" s="243"/>
      <c r="HQR238" s="243"/>
      <c r="HQS238" s="243"/>
      <c r="HQT238" s="243"/>
      <c r="HQU238" s="243"/>
      <c r="HQV238" s="243"/>
      <c r="HQW238" s="243"/>
      <c r="HQX238" s="243"/>
      <c r="HQY238" s="243"/>
      <c r="HQZ238" s="243"/>
      <c r="HRA238" s="243"/>
      <c r="HRB238" s="243"/>
      <c r="HRC238" s="243"/>
      <c r="HRD238" s="243"/>
      <c r="HRE238" s="243"/>
      <c r="HRF238" s="243"/>
      <c r="HRG238" s="243"/>
      <c r="HRH238" s="243"/>
      <c r="HRI238" s="243"/>
      <c r="HRJ238" s="243"/>
      <c r="HRK238" s="243"/>
      <c r="HRL238" s="243"/>
      <c r="HRM238" s="243"/>
      <c r="HRN238" s="243"/>
      <c r="HRO238" s="243"/>
      <c r="HRP238" s="243"/>
      <c r="HRQ238" s="243"/>
      <c r="HRR238" s="243"/>
      <c r="HRS238" s="243"/>
      <c r="HRT238" s="243"/>
      <c r="HRU238" s="243"/>
      <c r="HRV238" s="243"/>
      <c r="HRW238" s="243"/>
      <c r="HRX238" s="243"/>
      <c r="HRY238" s="243"/>
      <c r="HRZ238" s="243"/>
      <c r="HSA238" s="243"/>
      <c r="HSB238" s="243"/>
      <c r="HSC238" s="243"/>
      <c r="HSD238" s="243"/>
      <c r="HSE238" s="243"/>
      <c r="HSF238" s="243"/>
      <c r="HSG238" s="243"/>
      <c r="HSH238" s="243"/>
      <c r="HSI238" s="243"/>
      <c r="HSJ238" s="243"/>
      <c r="HSK238" s="243"/>
      <c r="HSL238" s="243"/>
      <c r="HSM238" s="243"/>
      <c r="HSN238" s="243"/>
      <c r="HSO238" s="243"/>
      <c r="HSP238" s="243"/>
      <c r="HSQ238" s="243"/>
      <c r="HSR238" s="243"/>
      <c r="HSS238" s="243"/>
      <c r="HST238" s="243"/>
      <c r="HSU238" s="243"/>
      <c r="HSV238" s="243"/>
      <c r="HSW238" s="243"/>
      <c r="HSX238" s="243"/>
      <c r="HSY238" s="243"/>
      <c r="HSZ238" s="243"/>
      <c r="HTA238" s="243"/>
      <c r="HTB238" s="243"/>
      <c r="HTC238" s="243"/>
      <c r="HTD238" s="243"/>
      <c r="HTE238" s="243"/>
      <c r="HTF238" s="243"/>
      <c r="HTG238" s="243"/>
      <c r="HTH238" s="243"/>
      <c r="HTI238" s="243"/>
      <c r="HTJ238" s="243"/>
      <c r="HTK238" s="243"/>
      <c r="HTL238" s="243"/>
      <c r="HTM238" s="243"/>
      <c r="HTN238" s="243"/>
      <c r="HTO238" s="243"/>
      <c r="HTP238" s="243"/>
      <c r="HTQ238" s="243"/>
      <c r="HTR238" s="243"/>
      <c r="HTS238" s="243"/>
      <c r="HTT238" s="243"/>
      <c r="HTU238" s="243"/>
      <c r="HTV238" s="243"/>
      <c r="HTW238" s="243"/>
      <c r="HTX238" s="243"/>
      <c r="HTY238" s="243"/>
      <c r="HTZ238" s="243"/>
      <c r="HUA238" s="243"/>
      <c r="HUB238" s="243"/>
      <c r="HUC238" s="243"/>
      <c r="HUD238" s="243"/>
      <c r="HUE238" s="243"/>
      <c r="HUF238" s="243"/>
      <c r="HUG238" s="243"/>
      <c r="HUH238" s="243"/>
      <c r="HUI238" s="243"/>
      <c r="HUJ238" s="243"/>
      <c r="HUK238" s="243"/>
      <c r="HUL238" s="243"/>
      <c r="HUM238" s="243"/>
      <c r="HUN238" s="243"/>
      <c r="HUO238" s="243"/>
      <c r="HUP238" s="243"/>
      <c r="HUQ238" s="243"/>
      <c r="HUR238" s="243"/>
      <c r="HUS238" s="243"/>
      <c r="HUT238" s="243"/>
      <c r="HUU238" s="243"/>
      <c r="HUV238" s="243"/>
      <c r="HUW238" s="243"/>
      <c r="HUX238" s="243"/>
      <c r="HUY238" s="243"/>
      <c r="HUZ238" s="243"/>
      <c r="HVA238" s="243"/>
      <c r="HVB238" s="243"/>
      <c r="HVC238" s="243"/>
      <c r="HVD238" s="243"/>
      <c r="HVE238" s="243"/>
      <c r="HVF238" s="243"/>
      <c r="HVG238" s="243"/>
      <c r="HVH238" s="243"/>
      <c r="HVI238" s="243"/>
      <c r="HVJ238" s="243"/>
      <c r="HVK238" s="243"/>
      <c r="HVL238" s="243"/>
      <c r="HVM238" s="243"/>
      <c r="HVN238" s="243"/>
      <c r="HVO238" s="243"/>
      <c r="HVP238" s="243"/>
      <c r="HVQ238" s="243"/>
      <c r="HVR238" s="243"/>
      <c r="HVS238" s="243"/>
      <c r="HVT238" s="243"/>
      <c r="HVU238" s="243"/>
      <c r="HVV238" s="243"/>
      <c r="HVW238" s="243"/>
      <c r="HVX238" s="243"/>
      <c r="HVY238" s="243"/>
      <c r="HVZ238" s="243"/>
      <c r="HWA238" s="243"/>
      <c r="HWB238" s="243"/>
      <c r="HWC238" s="243"/>
      <c r="HWD238" s="243"/>
      <c r="HWE238" s="243"/>
      <c r="HWF238" s="243"/>
      <c r="HWG238" s="243"/>
      <c r="HWH238" s="243"/>
      <c r="HWI238" s="243"/>
      <c r="HWJ238" s="243"/>
      <c r="HWK238" s="243"/>
      <c r="HWL238" s="243"/>
      <c r="HWM238" s="243"/>
      <c r="HWN238" s="243"/>
      <c r="HWO238" s="243"/>
      <c r="HWP238" s="243"/>
      <c r="HWQ238" s="243"/>
      <c r="HWR238" s="243"/>
      <c r="HWS238" s="243"/>
      <c r="HWT238" s="243"/>
      <c r="HWU238" s="243"/>
      <c r="HWV238" s="243"/>
      <c r="HWW238" s="243"/>
      <c r="HWX238" s="243"/>
      <c r="HWY238" s="243"/>
      <c r="HWZ238" s="243"/>
      <c r="HXA238" s="243"/>
      <c r="HXB238" s="243"/>
      <c r="HXC238" s="243"/>
      <c r="HXD238" s="243"/>
      <c r="HXE238" s="243"/>
      <c r="HXF238" s="243"/>
      <c r="HXG238" s="243"/>
      <c r="HXH238" s="243"/>
      <c r="HXI238" s="243"/>
      <c r="HXJ238" s="243"/>
      <c r="HXK238" s="243"/>
      <c r="HXL238" s="243"/>
      <c r="HXM238" s="243"/>
      <c r="HXN238" s="243"/>
      <c r="HXO238" s="243"/>
      <c r="HXP238" s="243"/>
      <c r="HXQ238" s="243"/>
      <c r="HXR238" s="243"/>
      <c r="HXS238" s="243"/>
      <c r="HXT238" s="243"/>
      <c r="HXU238" s="243"/>
      <c r="HXV238" s="243"/>
      <c r="HXW238" s="243"/>
      <c r="HXX238" s="243"/>
      <c r="HXY238" s="243"/>
      <c r="HXZ238" s="243"/>
      <c r="HYA238" s="243"/>
      <c r="HYB238" s="243"/>
      <c r="HYC238" s="243"/>
      <c r="HYD238" s="243"/>
      <c r="HYE238" s="243"/>
      <c r="HYF238" s="243"/>
      <c r="HYG238" s="243"/>
      <c r="HYH238" s="243"/>
      <c r="HYI238" s="243"/>
      <c r="HYJ238" s="243"/>
      <c r="HYK238" s="243"/>
      <c r="HYL238" s="243"/>
      <c r="HYM238" s="243"/>
      <c r="HYN238" s="243"/>
      <c r="HYO238" s="243"/>
      <c r="HYP238" s="243"/>
      <c r="HYQ238" s="243"/>
      <c r="HYR238" s="243"/>
      <c r="HYS238" s="243"/>
      <c r="HYT238" s="243"/>
      <c r="HYU238" s="243"/>
      <c r="HYV238" s="243"/>
      <c r="HYW238" s="243"/>
      <c r="HYX238" s="243"/>
      <c r="HYY238" s="243"/>
      <c r="HYZ238" s="243"/>
      <c r="HZA238" s="243"/>
      <c r="HZB238" s="243"/>
      <c r="HZC238" s="243"/>
      <c r="HZD238" s="243"/>
      <c r="HZE238" s="243"/>
      <c r="HZF238" s="243"/>
      <c r="HZG238" s="243"/>
      <c r="HZH238" s="243"/>
      <c r="HZI238" s="243"/>
      <c r="HZJ238" s="243"/>
      <c r="HZK238" s="243"/>
      <c r="HZL238" s="243"/>
      <c r="HZM238" s="243"/>
      <c r="HZN238" s="243"/>
      <c r="HZO238" s="243"/>
      <c r="HZP238" s="243"/>
      <c r="HZQ238" s="243"/>
      <c r="HZR238" s="243"/>
      <c r="HZS238" s="243"/>
      <c r="HZT238" s="243"/>
      <c r="HZU238" s="243"/>
      <c r="HZV238" s="243"/>
      <c r="HZW238" s="243"/>
      <c r="HZX238" s="243"/>
      <c r="HZY238" s="243"/>
      <c r="HZZ238" s="243"/>
      <c r="IAA238" s="243"/>
      <c r="IAB238" s="243"/>
      <c r="IAC238" s="243"/>
      <c r="IAD238" s="243"/>
      <c r="IAE238" s="243"/>
      <c r="IAF238" s="243"/>
      <c r="IAG238" s="243"/>
      <c r="IAH238" s="243"/>
      <c r="IAI238" s="243"/>
      <c r="IAJ238" s="243"/>
      <c r="IAK238" s="243"/>
      <c r="IAL238" s="243"/>
      <c r="IAM238" s="243"/>
      <c r="IAN238" s="243"/>
      <c r="IAO238" s="243"/>
      <c r="IAP238" s="243"/>
      <c r="IAQ238" s="243"/>
      <c r="IAR238" s="243"/>
      <c r="IAS238" s="243"/>
      <c r="IAT238" s="243"/>
      <c r="IAU238" s="243"/>
      <c r="IAV238" s="243"/>
      <c r="IAW238" s="243"/>
      <c r="IAX238" s="243"/>
      <c r="IAY238" s="243"/>
      <c r="IAZ238" s="243"/>
      <c r="IBA238" s="243"/>
      <c r="IBB238" s="243"/>
      <c r="IBC238" s="243"/>
      <c r="IBD238" s="243"/>
      <c r="IBE238" s="243"/>
      <c r="IBF238" s="243"/>
      <c r="IBG238" s="243"/>
      <c r="IBH238" s="243"/>
      <c r="IBI238" s="243"/>
      <c r="IBJ238" s="243"/>
      <c r="IBK238" s="243"/>
      <c r="IBL238" s="243"/>
      <c r="IBM238" s="243"/>
      <c r="IBN238" s="243"/>
      <c r="IBO238" s="243"/>
      <c r="IBP238" s="243"/>
      <c r="IBQ238" s="243"/>
      <c r="IBR238" s="243"/>
      <c r="IBS238" s="243"/>
      <c r="IBT238" s="243"/>
      <c r="IBU238" s="243"/>
      <c r="IBV238" s="243"/>
      <c r="IBW238" s="243"/>
      <c r="IBX238" s="243"/>
      <c r="IBY238" s="243"/>
      <c r="IBZ238" s="243"/>
      <c r="ICA238" s="243"/>
      <c r="ICB238" s="243"/>
      <c r="ICC238" s="243"/>
      <c r="ICD238" s="243"/>
      <c r="ICE238" s="243"/>
      <c r="ICF238" s="243"/>
      <c r="ICG238" s="243"/>
      <c r="ICH238" s="243"/>
      <c r="ICI238" s="243"/>
      <c r="ICJ238" s="243"/>
      <c r="ICK238" s="243"/>
      <c r="ICL238" s="243"/>
      <c r="ICM238" s="243"/>
      <c r="ICN238" s="243"/>
      <c r="ICO238" s="243"/>
      <c r="ICP238" s="243"/>
      <c r="ICQ238" s="243"/>
      <c r="ICR238" s="243"/>
      <c r="ICS238" s="243"/>
      <c r="ICT238" s="243"/>
      <c r="ICU238" s="243"/>
      <c r="ICV238" s="243"/>
      <c r="ICW238" s="243"/>
      <c r="ICX238" s="243"/>
      <c r="ICY238" s="243"/>
      <c r="ICZ238" s="243"/>
      <c r="IDA238" s="243"/>
      <c r="IDB238" s="243"/>
      <c r="IDC238" s="243"/>
      <c r="IDD238" s="243"/>
      <c r="IDE238" s="243"/>
      <c r="IDF238" s="243"/>
      <c r="IDG238" s="243"/>
      <c r="IDH238" s="243"/>
      <c r="IDI238" s="243"/>
      <c r="IDJ238" s="243"/>
      <c r="IDK238" s="243"/>
      <c r="IDL238" s="243"/>
      <c r="IDM238" s="243"/>
      <c r="IDN238" s="243"/>
      <c r="IDO238" s="243"/>
      <c r="IDP238" s="243"/>
      <c r="IDQ238" s="243"/>
      <c r="IDR238" s="243"/>
      <c r="IDS238" s="243"/>
      <c r="IDT238" s="243"/>
      <c r="IDU238" s="243"/>
      <c r="IDV238" s="243"/>
      <c r="IDW238" s="243"/>
      <c r="IDX238" s="243"/>
      <c r="IDY238" s="243"/>
      <c r="IDZ238" s="243"/>
      <c r="IEA238" s="243"/>
      <c r="IEB238" s="243"/>
      <c r="IEC238" s="243"/>
      <c r="IED238" s="243"/>
      <c r="IEE238" s="243"/>
      <c r="IEF238" s="243"/>
      <c r="IEG238" s="243"/>
      <c r="IEH238" s="243"/>
      <c r="IEI238" s="243"/>
      <c r="IEJ238" s="243"/>
      <c r="IEK238" s="243"/>
      <c r="IEL238" s="243"/>
      <c r="IEM238" s="243"/>
      <c r="IEN238" s="243"/>
      <c r="IEO238" s="243"/>
      <c r="IEP238" s="243"/>
      <c r="IEQ238" s="243"/>
      <c r="IER238" s="243"/>
      <c r="IES238" s="243"/>
      <c r="IET238" s="243"/>
      <c r="IEU238" s="243"/>
      <c r="IEV238" s="243"/>
      <c r="IEW238" s="243"/>
      <c r="IEX238" s="243"/>
      <c r="IEY238" s="243"/>
      <c r="IEZ238" s="243"/>
      <c r="IFA238" s="243"/>
      <c r="IFB238" s="243"/>
      <c r="IFC238" s="243"/>
      <c r="IFD238" s="243"/>
      <c r="IFE238" s="243"/>
      <c r="IFF238" s="243"/>
      <c r="IFG238" s="243"/>
      <c r="IFH238" s="243"/>
      <c r="IFI238" s="243"/>
      <c r="IFJ238" s="243"/>
      <c r="IFK238" s="243"/>
      <c r="IFL238" s="243"/>
      <c r="IFM238" s="243"/>
      <c r="IFN238" s="243"/>
      <c r="IFO238" s="243"/>
      <c r="IFP238" s="243"/>
      <c r="IFQ238" s="243"/>
      <c r="IFR238" s="243"/>
      <c r="IFS238" s="243"/>
      <c r="IFT238" s="243"/>
      <c r="IFU238" s="243"/>
      <c r="IFV238" s="243"/>
      <c r="IFW238" s="243"/>
      <c r="IFX238" s="243"/>
      <c r="IFY238" s="243"/>
      <c r="IFZ238" s="243"/>
      <c r="IGA238" s="243"/>
      <c r="IGB238" s="243"/>
      <c r="IGC238" s="243"/>
      <c r="IGD238" s="243"/>
      <c r="IGE238" s="243"/>
      <c r="IGF238" s="243"/>
      <c r="IGG238" s="243"/>
      <c r="IGH238" s="243"/>
      <c r="IGI238" s="243"/>
      <c r="IGJ238" s="243"/>
      <c r="IGK238" s="243"/>
      <c r="IGL238" s="243"/>
      <c r="IGM238" s="243"/>
      <c r="IGN238" s="243"/>
      <c r="IGO238" s="243"/>
      <c r="IGP238" s="243"/>
      <c r="IGQ238" s="243"/>
      <c r="IGR238" s="243"/>
      <c r="IGS238" s="243"/>
      <c r="IGT238" s="243"/>
      <c r="IGU238" s="243"/>
      <c r="IGV238" s="243"/>
      <c r="IGW238" s="243"/>
      <c r="IGX238" s="243"/>
      <c r="IGY238" s="243"/>
      <c r="IGZ238" s="243"/>
      <c r="IHA238" s="243"/>
      <c r="IHB238" s="243"/>
      <c r="IHC238" s="243"/>
      <c r="IHD238" s="243"/>
      <c r="IHE238" s="243"/>
      <c r="IHF238" s="243"/>
      <c r="IHG238" s="243"/>
      <c r="IHH238" s="243"/>
      <c r="IHI238" s="243"/>
      <c r="IHJ238" s="243"/>
      <c r="IHK238" s="243"/>
      <c r="IHL238" s="243"/>
      <c r="IHM238" s="243"/>
      <c r="IHN238" s="243"/>
      <c r="IHO238" s="243"/>
      <c r="IHP238" s="243"/>
      <c r="IHQ238" s="243"/>
      <c r="IHR238" s="243"/>
      <c r="IHS238" s="243"/>
      <c r="IHT238" s="243"/>
      <c r="IHU238" s="243"/>
      <c r="IHV238" s="243"/>
      <c r="IHW238" s="243"/>
      <c r="IHX238" s="243"/>
      <c r="IHY238" s="243"/>
      <c r="IHZ238" s="243"/>
      <c r="IIA238" s="243"/>
      <c r="IIB238" s="243"/>
      <c r="IIC238" s="243"/>
      <c r="IID238" s="243"/>
      <c r="IIE238" s="243"/>
      <c r="IIF238" s="243"/>
      <c r="IIG238" s="243"/>
      <c r="IIH238" s="243"/>
      <c r="III238" s="243"/>
      <c r="IIJ238" s="243"/>
      <c r="IIK238" s="243"/>
      <c r="IIL238" s="243"/>
      <c r="IIM238" s="243"/>
      <c r="IIN238" s="243"/>
      <c r="IIO238" s="243"/>
      <c r="IIP238" s="243"/>
      <c r="IIQ238" s="243"/>
      <c r="IIR238" s="243"/>
      <c r="IIS238" s="243"/>
      <c r="IIT238" s="243"/>
      <c r="IIU238" s="243"/>
      <c r="IIV238" s="243"/>
      <c r="IIW238" s="243"/>
      <c r="IIX238" s="243"/>
      <c r="IIY238" s="243"/>
      <c r="IIZ238" s="243"/>
      <c r="IJA238" s="243"/>
      <c r="IJB238" s="243"/>
      <c r="IJC238" s="243"/>
      <c r="IJD238" s="243"/>
      <c r="IJE238" s="243"/>
      <c r="IJF238" s="243"/>
      <c r="IJG238" s="243"/>
      <c r="IJH238" s="243"/>
      <c r="IJI238" s="243"/>
      <c r="IJJ238" s="243"/>
      <c r="IJK238" s="243"/>
      <c r="IJL238" s="243"/>
      <c r="IJM238" s="243"/>
      <c r="IJN238" s="243"/>
      <c r="IJO238" s="243"/>
      <c r="IJP238" s="243"/>
      <c r="IJQ238" s="243"/>
      <c r="IJR238" s="243"/>
      <c r="IJS238" s="243"/>
      <c r="IJT238" s="243"/>
      <c r="IJU238" s="243"/>
      <c r="IJV238" s="243"/>
      <c r="IJW238" s="243"/>
      <c r="IJX238" s="243"/>
      <c r="IJY238" s="243"/>
      <c r="IJZ238" s="243"/>
      <c r="IKA238" s="243"/>
      <c r="IKB238" s="243"/>
      <c r="IKC238" s="243"/>
      <c r="IKD238" s="243"/>
      <c r="IKE238" s="243"/>
      <c r="IKF238" s="243"/>
      <c r="IKG238" s="243"/>
      <c r="IKH238" s="243"/>
      <c r="IKI238" s="243"/>
      <c r="IKJ238" s="243"/>
      <c r="IKK238" s="243"/>
      <c r="IKL238" s="243"/>
      <c r="IKM238" s="243"/>
      <c r="IKN238" s="243"/>
      <c r="IKO238" s="243"/>
      <c r="IKP238" s="243"/>
      <c r="IKQ238" s="243"/>
      <c r="IKR238" s="243"/>
      <c r="IKS238" s="243"/>
      <c r="IKT238" s="243"/>
      <c r="IKU238" s="243"/>
      <c r="IKV238" s="243"/>
      <c r="IKW238" s="243"/>
      <c r="IKX238" s="243"/>
      <c r="IKY238" s="243"/>
      <c r="IKZ238" s="243"/>
      <c r="ILA238" s="243"/>
      <c r="ILB238" s="243"/>
      <c r="ILC238" s="243"/>
      <c r="ILD238" s="243"/>
      <c r="ILE238" s="243"/>
      <c r="ILF238" s="243"/>
      <c r="ILG238" s="243"/>
      <c r="ILH238" s="243"/>
      <c r="ILI238" s="243"/>
      <c r="ILJ238" s="243"/>
      <c r="ILK238" s="243"/>
      <c r="ILL238" s="243"/>
      <c r="ILM238" s="243"/>
      <c r="ILN238" s="243"/>
      <c r="ILO238" s="243"/>
      <c r="ILP238" s="243"/>
      <c r="ILQ238" s="243"/>
      <c r="ILR238" s="243"/>
      <c r="ILS238" s="243"/>
      <c r="ILT238" s="243"/>
      <c r="ILU238" s="243"/>
      <c r="ILV238" s="243"/>
      <c r="ILW238" s="243"/>
      <c r="ILX238" s="243"/>
      <c r="ILY238" s="243"/>
      <c r="ILZ238" s="243"/>
      <c r="IMA238" s="243"/>
      <c r="IMB238" s="243"/>
      <c r="IMC238" s="243"/>
      <c r="IMD238" s="243"/>
      <c r="IME238" s="243"/>
      <c r="IMF238" s="243"/>
      <c r="IMG238" s="243"/>
      <c r="IMH238" s="243"/>
      <c r="IMI238" s="243"/>
      <c r="IMJ238" s="243"/>
      <c r="IMK238" s="243"/>
      <c r="IML238" s="243"/>
      <c r="IMM238" s="243"/>
      <c r="IMN238" s="243"/>
      <c r="IMO238" s="243"/>
      <c r="IMP238" s="243"/>
      <c r="IMQ238" s="243"/>
      <c r="IMR238" s="243"/>
      <c r="IMS238" s="243"/>
      <c r="IMT238" s="243"/>
      <c r="IMU238" s="243"/>
      <c r="IMV238" s="243"/>
      <c r="IMW238" s="243"/>
      <c r="IMX238" s="243"/>
      <c r="IMY238" s="243"/>
      <c r="IMZ238" s="243"/>
      <c r="INA238" s="243"/>
      <c r="INB238" s="243"/>
      <c r="INC238" s="243"/>
      <c r="IND238" s="243"/>
      <c r="INE238" s="243"/>
      <c r="INF238" s="243"/>
      <c r="ING238" s="243"/>
      <c r="INH238" s="243"/>
      <c r="INI238" s="243"/>
      <c r="INJ238" s="243"/>
      <c r="INK238" s="243"/>
      <c r="INL238" s="243"/>
      <c r="INM238" s="243"/>
      <c r="INN238" s="243"/>
      <c r="INO238" s="243"/>
      <c r="INP238" s="243"/>
      <c r="INQ238" s="243"/>
      <c r="INR238" s="243"/>
      <c r="INS238" s="243"/>
      <c r="INT238" s="243"/>
      <c r="INU238" s="243"/>
      <c r="INV238" s="243"/>
      <c r="INW238" s="243"/>
      <c r="INX238" s="243"/>
      <c r="INY238" s="243"/>
      <c r="INZ238" s="243"/>
      <c r="IOA238" s="243"/>
      <c r="IOB238" s="243"/>
      <c r="IOC238" s="243"/>
      <c r="IOD238" s="243"/>
      <c r="IOE238" s="243"/>
      <c r="IOF238" s="243"/>
      <c r="IOG238" s="243"/>
      <c r="IOH238" s="243"/>
      <c r="IOI238" s="243"/>
      <c r="IOJ238" s="243"/>
      <c r="IOK238" s="243"/>
      <c r="IOL238" s="243"/>
      <c r="IOM238" s="243"/>
      <c r="ION238" s="243"/>
      <c r="IOO238" s="243"/>
      <c r="IOP238" s="243"/>
      <c r="IOQ238" s="243"/>
      <c r="IOR238" s="243"/>
      <c r="IOS238" s="243"/>
      <c r="IOT238" s="243"/>
      <c r="IOU238" s="243"/>
      <c r="IOV238" s="243"/>
      <c r="IOW238" s="243"/>
      <c r="IOX238" s="243"/>
      <c r="IOY238" s="243"/>
      <c r="IOZ238" s="243"/>
      <c r="IPA238" s="243"/>
      <c r="IPB238" s="243"/>
      <c r="IPC238" s="243"/>
      <c r="IPD238" s="243"/>
      <c r="IPE238" s="243"/>
      <c r="IPF238" s="243"/>
      <c r="IPG238" s="243"/>
      <c r="IPH238" s="243"/>
      <c r="IPI238" s="243"/>
      <c r="IPJ238" s="243"/>
      <c r="IPK238" s="243"/>
      <c r="IPL238" s="243"/>
      <c r="IPM238" s="243"/>
      <c r="IPN238" s="243"/>
      <c r="IPO238" s="243"/>
      <c r="IPP238" s="243"/>
      <c r="IPQ238" s="243"/>
      <c r="IPR238" s="243"/>
      <c r="IPS238" s="243"/>
      <c r="IPT238" s="243"/>
      <c r="IPU238" s="243"/>
      <c r="IPV238" s="243"/>
      <c r="IPW238" s="243"/>
      <c r="IPX238" s="243"/>
      <c r="IPY238" s="243"/>
      <c r="IPZ238" s="243"/>
      <c r="IQA238" s="243"/>
      <c r="IQB238" s="243"/>
      <c r="IQC238" s="243"/>
      <c r="IQD238" s="243"/>
      <c r="IQE238" s="243"/>
      <c r="IQF238" s="243"/>
      <c r="IQG238" s="243"/>
      <c r="IQH238" s="243"/>
      <c r="IQI238" s="243"/>
      <c r="IQJ238" s="243"/>
      <c r="IQK238" s="243"/>
      <c r="IQL238" s="243"/>
      <c r="IQM238" s="243"/>
      <c r="IQN238" s="243"/>
      <c r="IQO238" s="243"/>
      <c r="IQP238" s="243"/>
      <c r="IQQ238" s="243"/>
      <c r="IQR238" s="243"/>
      <c r="IQS238" s="243"/>
      <c r="IQT238" s="243"/>
      <c r="IQU238" s="243"/>
      <c r="IQV238" s="243"/>
      <c r="IQW238" s="243"/>
      <c r="IQX238" s="243"/>
      <c r="IQY238" s="243"/>
      <c r="IQZ238" s="243"/>
      <c r="IRA238" s="243"/>
      <c r="IRB238" s="243"/>
      <c r="IRC238" s="243"/>
      <c r="IRD238" s="243"/>
      <c r="IRE238" s="243"/>
      <c r="IRF238" s="243"/>
      <c r="IRG238" s="243"/>
      <c r="IRH238" s="243"/>
      <c r="IRI238" s="243"/>
      <c r="IRJ238" s="243"/>
      <c r="IRK238" s="243"/>
      <c r="IRL238" s="243"/>
      <c r="IRM238" s="243"/>
      <c r="IRN238" s="243"/>
      <c r="IRO238" s="243"/>
      <c r="IRP238" s="243"/>
      <c r="IRQ238" s="243"/>
      <c r="IRR238" s="243"/>
      <c r="IRS238" s="243"/>
      <c r="IRT238" s="243"/>
      <c r="IRU238" s="243"/>
      <c r="IRV238" s="243"/>
      <c r="IRW238" s="243"/>
      <c r="IRX238" s="243"/>
      <c r="IRY238" s="243"/>
      <c r="IRZ238" s="243"/>
      <c r="ISA238" s="243"/>
      <c r="ISB238" s="243"/>
      <c r="ISC238" s="243"/>
      <c r="ISD238" s="243"/>
      <c r="ISE238" s="243"/>
      <c r="ISF238" s="243"/>
      <c r="ISG238" s="243"/>
      <c r="ISH238" s="243"/>
      <c r="ISI238" s="243"/>
      <c r="ISJ238" s="243"/>
      <c r="ISK238" s="243"/>
      <c r="ISL238" s="243"/>
      <c r="ISM238" s="243"/>
      <c r="ISN238" s="243"/>
      <c r="ISO238" s="243"/>
      <c r="ISP238" s="243"/>
      <c r="ISQ238" s="243"/>
      <c r="ISR238" s="243"/>
      <c r="ISS238" s="243"/>
      <c r="IST238" s="243"/>
      <c r="ISU238" s="243"/>
      <c r="ISV238" s="243"/>
      <c r="ISW238" s="243"/>
      <c r="ISX238" s="243"/>
      <c r="ISY238" s="243"/>
      <c r="ISZ238" s="243"/>
      <c r="ITA238" s="243"/>
      <c r="ITB238" s="243"/>
      <c r="ITC238" s="243"/>
      <c r="ITD238" s="243"/>
      <c r="ITE238" s="243"/>
      <c r="ITF238" s="243"/>
      <c r="ITG238" s="243"/>
      <c r="ITH238" s="243"/>
      <c r="ITI238" s="243"/>
      <c r="ITJ238" s="243"/>
      <c r="ITK238" s="243"/>
      <c r="ITL238" s="243"/>
      <c r="ITM238" s="243"/>
      <c r="ITN238" s="243"/>
      <c r="ITO238" s="243"/>
      <c r="ITP238" s="243"/>
      <c r="ITQ238" s="243"/>
      <c r="ITR238" s="243"/>
      <c r="ITS238" s="243"/>
      <c r="ITT238" s="243"/>
      <c r="ITU238" s="243"/>
      <c r="ITV238" s="243"/>
      <c r="ITW238" s="243"/>
      <c r="ITX238" s="243"/>
      <c r="ITY238" s="243"/>
      <c r="ITZ238" s="243"/>
      <c r="IUA238" s="243"/>
      <c r="IUB238" s="243"/>
      <c r="IUC238" s="243"/>
      <c r="IUD238" s="243"/>
      <c r="IUE238" s="243"/>
      <c r="IUF238" s="243"/>
      <c r="IUG238" s="243"/>
      <c r="IUH238" s="243"/>
      <c r="IUI238" s="243"/>
      <c r="IUJ238" s="243"/>
      <c r="IUK238" s="243"/>
      <c r="IUL238" s="243"/>
      <c r="IUM238" s="243"/>
      <c r="IUN238" s="243"/>
      <c r="IUO238" s="243"/>
      <c r="IUP238" s="243"/>
      <c r="IUQ238" s="243"/>
      <c r="IUR238" s="243"/>
      <c r="IUS238" s="243"/>
      <c r="IUT238" s="243"/>
      <c r="IUU238" s="243"/>
      <c r="IUV238" s="243"/>
      <c r="IUW238" s="243"/>
      <c r="IUX238" s="243"/>
      <c r="IUY238" s="243"/>
      <c r="IUZ238" s="243"/>
      <c r="IVA238" s="243"/>
      <c r="IVB238" s="243"/>
      <c r="IVC238" s="243"/>
      <c r="IVD238" s="243"/>
      <c r="IVE238" s="243"/>
      <c r="IVF238" s="243"/>
      <c r="IVG238" s="243"/>
      <c r="IVH238" s="243"/>
      <c r="IVI238" s="243"/>
      <c r="IVJ238" s="243"/>
      <c r="IVK238" s="243"/>
      <c r="IVL238" s="243"/>
      <c r="IVM238" s="243"/>
      <c r="IVN238" s="243"/>
      <c r="IVO238" s="243"/>
      <c r="IVP238" s="243"/>
      <c r="IVQ238" s="243"/>
      <c r="IVR238" s="243"/>
      <c r="IVS238" s="243"/>
      <c r="IVT238" s="243"/>
      <c r="IVU238" s="243"/>
      <c r="IVV238" s="243"/>
      <c r="IVW238" s="243"/>
      <c r="IVX238" s="243"/>
      <c r="IVY238" s="243"/>
      <c r="IVZ238" s="243"/>
      <c r="IWA238" s="243"/>
      <c r="IWB238" s="243"/>
      <c r="IWC238" s="243"/>
      <c r="IWD238" s="243"/>
      <c r="IWE238" s="243"/>
      <c r="IWF238" s="243"/>
      <c r="IWG238" s="243"/>
      <c r="IWH238" s="243"/>
      <c r="IWI238" s="243"/>
      <c r="IWJ238" s="243"/>
      <c r="IWK238" s="243"/>
      <c r="IWL238" s="243"/>
      <c r="IWM238" s="243"/>
      <c r="IWN238" s="243"/>
      <c r="IWO238" s="243"/>
      <c r="IWP238" s="243"/>
      <c r="IWQ238" s="243"/>
      <c r="IWR238" s="243"/>
      <c r="IWS238" s="243"/>
      <c r="IWT238" s="243"/>
      <c r="IWU238" s="243"/>
      <c r="IWV238" s="243"/>
      <c r="IWW238" s="243"/>
      <c r="IWX238" s="243"/>
      <c r="IWY238" s="243"/>
      <c r="IWZ238" s="243"/>
      <c r="IXA238" s="243"/>
      <c r="IXB238" s="243"/>
      <c r="IXC238" s="243"/>
      <c r="IXD238" s="243"/>
      <c r="IXE238" s="243"/>
      <c r="IXF238" s="243"/>
      <c r="IXG238" s="243"/>
      <c r="IXH238" s="243"/>
      <c r="IXI238" s="243"/>
      <c r="IXJ238" s="243"/>
      <c r="IXK238" s="243"/>
      <c r="IXL238" s="243"/>
      <c r="IXM238" s="243"/>
      <c r="IXN238" s="243"/>
      <c r="IXO238" s="243"/>
      <c r="IXP238" s="243"/>
      <c r="IXQ238" s="243"/>
      <c r="IXR238" s="243"/>
      <c r="IXS238" s="243"/>
      <c r="IXT238" s="243"/>
      <c r="IXU238" s="243"/>
      <c r="IXV238" s="243"/>
      <c r="IXW238" s="243"/>
      <c r="IXX238" s="243"/>
      <c r="IXY238" s="243"/>
      <c r="IXZ238" s="243"/>
      <c r="IYA238" s="243"/>
      <c r="IYB238" s="243"/>
      <c r="IYC238" s="243"/>
      <c r="IYD238" s="243"/>
      <c r="IYE238" s="243"/>
      <c r="IYF238" s="243"/>
      <c r="IYG238" s="243"/>
      <c r="IYH238" s="243"/>
      <c r="IYI238" s="243"/>
      <c r="IYJ238" s="243"/>
      <c r="IYK238" s="243"/>
      <c r="IYL238" s="243"/>
      <c r="IYM238" s="243"/>
      <c r="IYN238" s="243"/>
      <c r="IYO238" s="243"/>
      <c r="IYP238" s="243"/>
      <c r="IYQ238" s="243"/>
      <c r="IYR238" s="243"/>
      <c r="IYS238" s="243"/>
      <c r="IYT238" s="243"/>
      <c r="IYU238" s="243"/>
      <c r="IYV238" s="243"/>
      <c r="IYW238" s="243"/>
      <c r="IYX238" s="243"/>
      <c r="IYY238" s="243"/>
      <c r="IYZ238" s="243"/>
      <c r="IZA238" s="243"/>
      <c r="IZB238" s="243"/>
      <c r="IZC238" s="243"/>
      <c r="IZD238" s="243"/>
      <c r="IZE238" s="243"/>
      <c r="IZF238" s="243"/>
      <c r="IZG238" s="243"/>
      <c r="IZH238" s="243"/>
      <c r="IZI238" s="243"/>
      <c r="IZJ238" s="243"/>
      <c r="IZK238" s="243"/>
      <c r="IZL238" s="243"/>
      <c r="IZM238" s="243"/>
      <c r="IZN238" s="243"/>
      <c r="IZO238" s="243"/>
      <c r="IZP238" s="243"/>
      <c r="IZQ238" s="243"/>
      <c r="IZR238" s="243"/>
      <c r="IZS238" s="243"/>
      <c r="IZT238" s="243"/>
      <c r="IZU238" s="243"/>
      <c r="IZV238" s="243"/>
      <c r="IZW238" s="243"/>
      <c r="IZX238" s="243"/>
      <c r="IZY238" s="243"/>
      <c r="IZZ238" s="243"/>
      <c r="JAA238" s="243"/>
      <c r="JAB238" s="243"/>
      <c r="JAC238" s="243"/>
      <c r="JAD238" s="243"/>
      <c r="JAE238" s="243"/>
      <c r="JAF238" s="243"/>
      <c r="JAG238" s="243"/>
      <c r="JAH238" s="243"/>
      <c r="JAI238" s="243"/>
      <c r="JAJ238" s="243"/>
      <c r="JAK238" s="243"/>
      <c r="JAL238" s="243"/>
      <c r="JAM238" s="243"/>
      <c r="JAN238" s="243"/>
      <c r="JAO238" s="243"/>
      <c r="JAP238" s="243"/>
      <c r="JAQ238" s="243"/>
      <c r="JAR238" s="243"/>
      <c r="JAS238" s="243"/>
      <c r="JAT238" s="243"/>
      <c r="JAU238" s="243"/>
      <c r="JAV238" s="243"/>
      <c r="JAW238" s="243"/>
      <c r="JAX238" s="243"/>
      <c r="JAY238" s="243"/>
      <c r="JAZ238" s="243"/>
      <c r="JBA238" s="243"/>
      <c r="JBB238" s="243"/>
      <c r="JBC238" s="243"/>
      <c r="JBD238" s="243"/>
      <c r="JBE238" s="243"/>
      <c r="JBF238" s="243"/>
      <c r="JBG238" s="243"/>
      <c r="JBH238" s="243"/>
      <c r="JBI238" s="243"/>
      <c r="JBJ238" s="243"/>
      <c r="JBK238" s="243"/>
      <c r="JBL238" s="243"/>
      <c r="JBM238" s="243"/>
      <c r="JBN238" s="243"/>
      <c r="JBO238" s="243"/>
      <c r="JBP238" s="243"/>
      <c r="JBQ238" s="243"/>
      <c r="JBR238" s="243"/>
      <c r="JBS238" s="243"/>
      <c r="JBT238" s="243"/>
      <c r="JBU238" s="243"/>
      <c r="JBV238" s="243"/>
      <c r="JBW238" s="243"/>
      <c r="JBX238" s="243"/>
      <c r="JBY238" s="243"/>
      <c r="JBZ238" s="243"/>
      <c r="JCA238" s="243"/>
      <c r="JCB238" s="243"/>
      <c r="JCC238" s="243"/>
      <c r="JCD238" s="243"/>
      <c r="JCE238" s="243"/>
      <c r="JCF238" s="243"/>
      <c r="JCG238" s="243"/>
      <c r="JCH238" s="243"/>
      <c r="JCI238" s="243"/>
      <c r="JCJ238" s="243"/>
      <c r="JCK238" s="243"/>
      <c r="JCL238" s="243"/>
      <c r="JCM238" s="243"/>
      <c r="JCN238" s="243"/>
      <c r="JCO238" s="243"/>
      <c r="JCP238" s="243"/>
      <c r="JCQ238" s="243"/>
      <c r="JCR238" s="243"/>
      <c r="JCS238" s="243"/>
      <c r="JCT238" s="243"/>
      <c r="JCU238" s="243"/>
      <c r="JCV238" s="243"/>
      <c r="JCW238" s="243"/>
      <c r="JCX238" s="243"/>
      <c r="JCY238" s="243"/>
      <c r="JCZ238" s="243"/>
      <c r="JDA238" s="243"/>
      <c r="JDB238" s="243"/>
      <c r="JDC238" s="243"/>
      <c r="JDD238" s="243"/>
      <c r="JDE238" s="243"/>
      <c r="JDF238" s="243"/>
      <c r="JDG238" s="243"/>
      <c r="JDH238" s="243"/>
      <c r="JDI238" s="243"/>
      <c r="JDJ238" s="243"/>
      <c r="JDK238" s="243"/>
      <c r="JDL238" s="243"/>
      <c r="JDM238" s="243"/>
      <c r="JDN238" s="243"/>
      <c r="JDO238" s="243"/>
      <c r="JDP238" s="243"/>
      <c r="JDQ238" s="243"/>
      <c r="JDR238" s="243"/>
      <c r="JDS238" s="243"/>
      <c r="JDT238" s="243"/>
      <c r="JDU238" s="243"/>
      <c r="JDV238" s="243"/>
      <c r="JDW238" s="243"/>
      <c r="JDX238" s="243"/>
      <c r="JDY238" s="243"/>
      <c r="JDZ238" s="243"/>
      <c r="JEA238" s="243"/>
      <c r="JEB238" s="243"/>
      <c r="JEC238" s="243"/>
      <c r="JED238" s="243"/>
      <c r="JEE238" s="243"/>
      <c r="JEF238" s="243"/>
      <c r="JEG238" s="243"/>
      <c r="JEH238" s="243"/>
      <c r="JEI238" s="243"/>
      <c r="JEJ238" s="243"/>
      <c r="JEK238" s="243"/>
      <c r="JEL238" s="243"/>
      <c r="JEM238" s="243"/>
      <c r="JEN238" s="243"/>
      <c r="JEO238" s="243"/>
      <c r="JEP238" s="243"/>
      <c r="JEQ238" s="243"/>
      <c r="JER238" s="243"/>
      <c r="JES238" s="243"/>
      <c r="JET238" s="243"/>
      <c r="JEU238" s="243"/>
      <c r="JEV238" s="243"/>
      <c r="JEW238" s="243"/>
      <c r="JEX238" s="243"/>
      <c r="JEY238" s="243"/>
      <c r="JEZ238" s="243"/>
      <c r="JFA238" s="243"/>
      <c r="JFB238" s="243"/>
      <c r="JFC238" s="243"/>
      <c r="JFD238" s="243"/>
      <c r="JFE238" s="243"/>
      <c r="JFF238" s="243"/>
      <c r="JFG238" s="243"/>
      <c r="JFH238" s="243"/>
      <c r="JFI238" s="243"/>
      <c r="JFJ238" s="243"/>
      <c r="JFK238" s="243"/>
      <c r="JFL238" s="243"/>
      <c r="JFM238" s="243"/>
      <c r="JFN238" s="243"/>
      <c r="JFO238" s="243"/>
      <c r="JFP238" s="243"/>
      <c r="JFQ238" s="243"/>
      <c r="JFR238" s="243"/>
      <c r="JFS238" s="243"/>
      <c r="JFT238" s="243"/>
      <c r="JFU238" s="243"/>
      <c r="JFV238" s="243"/>
      <c r="JFW238" s="243"/>
      <c r="JFX238" s="243"/>
      <c r="JFY238" s="243"/>
      <c r="JFZ238" s="243"/>
      <c r="JGA238" s="243"/>
      <c r="JGB238" s="243"/>
      <c r="JGC238" s="243"/>
      <c r="JGD238" s="243"/>
      <c r="JGE238" s="243"/>
      <c r="JGF238" s="243"/>
      <c r="JGG238" s="243"/>
      <c r="JGH238" s="243"/>
      <c r="JGI238" s="243"/>
      <c r="JGJ238" s="243"/>
      <c r="JGK238" s="243"/>
      <c r="JGL238" s="243"/>
      <c r="JGM238" s="243"/>
      <c r="JGN238" s="243"/>
      <c r="JGO238" s="243"/>
      <c r="JGP238" s="243"/>
      <c r="JGQ238" s="243"/>
      <c r="JGR238" s="243"/>
      <c r="JGS238" s="243"/>
      <c r="JGT238" s="243"/>
      <c r="JGU238" s="243"/>
      <c r="JGV238" s="243"/>
      <c r="JGW238" s="243"/>
      <c r="JGX238" s="243"/>
      <c r="JGY238" s="243"/>
      <c r="JGZ238" s="243"/>
      <c r="JHA238" s="243"/>
      <c r="JHB238" s="243"/>
      <c r="JHC238" s="243"/>
      <c r="JHD238" s="243"/>
      <c r="JHE238" s="243"/>
      <c r="JHF238" s="243"/>
      <c r="JHG238" s="243"/>
      <c r="JHH238" s="243"/>
      <c r="JHI238" s="243"/>
      <c r="JHJ238" s="243"/>
      <c r="JHK238" s="243"/>
      <c r="JHL238" s="243"/>
      <c r="JHM238" s="243"/>
      <c r="JHN238" s="243"/>
      <c r="JHO238" s="243"/>
      <c r="JHP238" s="243"/>
      <c r="JHQ238" s="243"/>
      <c r="JHR238" s="243"/>
      <c r="JHS238" s="243"/>
      <c r="JHT238" s="243"/>
      <c r="JHU238" s="243"/>
      <c r="JHV238" s="243"/>
      <c r="JHW238" s="243"/>
      <c r="JHX238" s="243"/>
      <c r="JHY238" s="243"/>
      <c r="JHZ238" s="243"/>
      <c r="JIA238" s="243"/>
      <c r="JIB238" s="243"/>
      <c r="JIC238" s="243"/>
      <c r="JID238" s="243"/>
      <c r="JIE238" s="243"/>
      <c r="JIF238" s="243"/>
      <c r="JIG238" s="243"/>
      <c r="JIH238" s="243"/>
      <c r="JII238" s="243"/>
      <c r="JIJ238" s="243"/>
      <c r="JIK238" s="243"/>
      <c r="JIL238" s="243"/>
      <c r="JIM238" s="243"/>
      <c r="JIN238" s="243"/>
      <c r="JIO238" s="243"/>
      <c r="JIP238" s="243"/>
      <c r="JIQ238" s="243"/>
      <c r="JIR238" s="243"/>
      <c r="JIS238" s="243"/>
      <c r="JIT238" s="243"/>
      <c r="JIU238" s="243"/>
      <c r="JIV238" s="243"/>
      <c r="JIW238" s="243"/>
      <c r="JIX238" s="243"/>
      <c r="JIY238" s="243"/>
      <c r="JIZ238" s="243"/>
      <c r="JJA238" s="243"/>
      <c r="JJB238" s="243"/>
      <c r="JJC238" s="243"/>
      <c r="JJD238" s="243"/>
      <c r="JJE238" s="243"/>
      <c r="JJF238" s="243"/>
      <c r="JJG238" s="243"/>
      <c r="JJH238" s="243"/>
      <c r="JJI238" s="243"/>
      <c r="JJJ238" s="243"/>
      <c r="JJK238" s="243"/>
      <c r="JJL238" s="243"/>
      <c r="JJM238" s="243"/>
      <c r="JJN238" s="243"/>
      <c r="JJO238" s="243"/>
      <c r="JJP238" s="243"/>
      <c r="JJQ238" s="243"/>
      <c r="JJR238" s="243"/>
      <c r="JJS238" s="243"/>
      <c r="JJT238" s="243"/>
      <c r="JJU238" s="243"/>
      <c r="JJV238" s="243"/>
      <c r="JJW238" s="243"/>
      <c r="JJX238" s="243"/>
      <c r="JJY238" s="243"/>
      <c r="JJZ238" s="243"/>
      <c r="JKA238" s="243"/>
      <c r="JKB238" s="243"/>
      <c r="JKC238" s="243"/>
      <c r="JKD238" s="243"/>
      <c r="JKE238" s="243"/>
      <c r="JKF238" s="243"/>
      <c r="JKG238" s="243"/>
      <c r="JKH238" s="243"/>
      <c r="JKI238" s="243"/>
      <c r="JKJ238" s="243"/>
      <c r="JKK238" s="243"/>
      <c r="JKL238" s="243"/>
      <c r="JKM238" s="243"/>
      <c r="JKN238" s="243"/>
      <c r="JKO238" s="243"/>
      <c r="JKP238" s="243"/>
      <c r="JKQ238" s="243"/>
      <c r="JKR238" s="243"/>
      <c r="JKS238" s="243"/>
      <c r="JKT238" s="243"/>
      <c r="JKU238" s="243"/>
      <c r="JKV238" s="243"/>
      <c r="JKW238" s="243"/>
      <c r="JKX238" s="243"/>
      <c r="JKY238" s="243"/>
      <c r="JKZ238" s="243"/>
      <c r="JLA238" s="243"/>
      <c r="JLB238" s="243"/>
      <c r="JLC238" s="243"/>
      <c r="JLD238" s="243"/>
      <c r="JLE238" s="243"/>
      <c r="JLF238" s="243"/>
      <c r="JLG238" s="243"/>
      <c r="JLH238" s="243"/>
      <c r="JLI238" s="243"/>
      <c r="JLJ238" s="243"/>
      <c r="JLK238" s="243"/>
      <c r="JLL238" s="243"/>
      <c r="JLM238" s="243"/>
      <c r="JLN238" s="243"/>
      <c r="JLO238" s="243"/>
      <c r="JLP238" s="243"/>
      <c r="JLQ238" s="243"/>
      <c r="JLR238" s="243"/>
      <c r="JLS238" s="243"/>
      <c r="JLT238" s="243"/>
      <c r="JLU238" s="243"/>
      <c r="JLV238" s="243"/>
      <c r="JLW238" s="243"/>
      <c r="JLX238" s="243"/>
      <c r="JLY238" s="243"/>
      <c r="JLZ238" s="243"/>
      <c r="JMA238" s="243"/>
      <c r="JMB238" s="243"/>
      <c r="JMC238" s="243"/>
      <c r="JMD238" s="243"/>
      <c r="JME238" s="243"/>
      <c r="JMF238" s="243"/>
      <c r="JMG238" s="243"/>
      <c r="JMH238" s="243"/>
      <c r="JMI238" s="243"/>
      <c r="JMJ238" s="243"/>
      <c r="JMK238" s="243"/>
      <c r="JML238" s="243"/>
      <c r="JMM238" s="243"/>
      <c r="JMN238" s="243"/>
      <c r="JMO238" s="243"/>
      <c r="JMP238" s="243"/>
      <c r="JMQ238" s="243"/>
      <c r="JMR238" s="243"/>
      <c r="JMS238" s="243"/>
      <c r="JMT238" s="243"/>
      <c r="JMU238" s="243"/>
      <c r="JMV238" s="243"/>
      <c r="JMW238" s="243"/>
      <c r="JMX238" s="243"/>
      <c r="JMY238" s="243"/>
      <c r="JMZ238" s="243"/>
      <c r="JNA238" s="243"/>
      <c r="JNB238" s="243"/>
      <c r="JNC238" s="243"/>
      <c r="JND238" s="243"/>
      <c r="JNE238" s="243"/>
      <c r="JNF238" s="243"/>
      <c r="JNG238" s="243"/>
      <c r="JNH238" s="243"/>
      <c r="JNI238" s="243"/>
      <c r="JNJ238" s="243"/>
      <c r="JNK238" s="243"/>
      <c r="JNL238" s="243"/>
      <c r="JNM238" s="243"/>
      <c r="JNN238" s="243"/>
      <c r="JNO238" s="243"/>
      <c r="JNP238" s="243"/>
      <c r="JNQ238" s="243"/>
      <c r="JNR238" s="243"/>
      <c r="JNS238" s="243"/>
      <c r="JNT238" s="243"/>
      <c r="JNU238" s="243"/>
      <c r="JNV238" s="243"/>
      <c r="JNW238" s="243"/>
      <c r="JNX238" s="243"/>
      <c r="JNY238" s="243"/>
      <c r="JNZ238" s="243"/>
      <c r="JOA238" s="243"/>
      <c r="JOB238" s="243"/>
      <c r="JOC238" s="243"/>
      <c r="JOD238" s="243"/>
      <c r="JOE238" s="243"/>
      <c r="JOF238" s="243"/>
      <c r="JOG238" s="243"/>
      <c r="JOH238" s="243"/>
      <c r="JOI238" s="243"/>
      <c r="JOJ238" s="243"/>
      <c r="JOK238" s="243"/>
      <c r="JOL238" s="243"/>
      <c r="JOM238" s="243"/>
      <c r="JON238" s="243"/>
      <c r="JOO238" s="243"/>
      <c r="JOP238" s="243"/>
      <c r="JOQ238" s="243"/>
      <c r="JOR238" s="243"/>
      <c r="JOS238" s="243"/>
      <c r="JOT238" s="243"/>
      <c r="JOU238" s="243"/>
      <c r="JOV238" s="243"/>
      <c r="JOW238" s="243"/>
      <c r="JOX238" s="243"/>
      <c r="JOY238" s="243"/>
      <c r="JOZ238" s="243"/>
      <c r="JPA238" s="243"/>
      <c r="JPB238" s="243"/>
      <c r="JPC238" s="243"/>
      <c r="JPD238" s="243"/>
      <c r="JPE238" s="243"/>
      <c r="JPF238" s="243"/>
      <c r="JPG238" s="243"/>
      <c r="JPH238" s="243"/>
      <c r="JPI238" s="243"/>
      <c r="JPJ238" s="243"/>
      <c r="JPK238" s="243"/>
      <c r="JPL238" s="243"/>
      <c r="JPM238" s="243"/>
      <c r="JPN238" s="243"/>
      <c r="JPO238" s="243"/>
      <c r="JPP238" s="243"/>
      <c r="JPQ238" s="243"/>
      <c r="JPR238" s="243"/>
      <c r="JPS238" s="243"/>
      <c r="JPT238" s="243"/>
      <c r="JPU238" s="243"/>
      <c r="JPV238" s="243"/>
      <c r="JPW238" s="243"/>
      <c r="JPX238" s="243"/>
      <c r="JPY238" s="243"/>
      <c r="JPZ238" s="243"/>
      <c r="JQA238" s="243"/>
      <c r="JQB238" s="243"/>
      <c r="JQC238" s="243"/>
      <c r="JQD238" s="243"/>
      <c r="JQE238" s="243"/>
      <c r="JQF238" s="243"/>
      <c r="JQG238" s="243"/>
      <c r="JQH238" s="243"/>
      <c r="JQI238" s="243"/>
      <c r="JQJ238" s="243"/>
      <c r="JQK238" s="243"/>
      <c r="JQL238" s="243"/>
      <c r="JQM238" s="243"/>
      <c r="JQN238" s="243"/>
      <c r="JQO238" s="243"/>
      <c r="JQP238" s="243"/>
      <c r="JQQ238" s="243"/>
      <c r="JQR238" s="243"/>
      <c r="JQS238" s="243"/>
      <c r="JQT238" s="243"/>
      <c r="JQU238" s="243"/>
      <c r="JQV238" s="243"/>
      <c r="JQW238" s="243"/>
      <c r="JQX238" s="243"/>
      <c r="JQY238" s="243"/>
      <c r="JQZ238" s="243"/>
      <c r="JRA238" s="243"/>
      <c r="JRB238" s="243"/>
      <c r="JRC238" s="243"/>
      <c r="JRD238" s="243"/>
      <c r="JRE238" s="243"/>
      <c r="JRF238" s="243"/>
      <c r="JRG238" s="243"/>
      <c r="JRH238" s="243"/>
      <c r="JRI238" s="243"/>
      <c r="JRJ238" s="243"/>
      <c r="JRK238" s="243"/>
      <c r="JRL238" s="243"/>
      <c r="JRM238" s="243"/>
      <c r="JRN238" s="243"/>
      <c r="JRO238" s="243"/>
      <c r="JRP238" s="243"/>
      <c r="JRQ238" s="243"/>
      <c r="JRR238" s="243"/>
      <c r="JRS238" s="243"/>
      <c r="JRT238" s="243"/>
      <c r="JRU238" s="243"/>
      <c r="JRV238" s="243"/>
      <c r="JRW238" s="243"/>
      <c r="JRX238" s="243"/>
      <c r="JRY238" s="243"/>
      <c r="JRZ238" s="243"/>
      <c r="JSA238" s="243"/>
      <c r="JSB238" s="243"/>
      <c r="JSC238" s="243"/>
      <c r="JSD238" s="243"/>
      <c r="JSE238" s="243"/>
      <c r="JSF238" s="243"/>
      <c r="JSG238" s="243"/>
      <c r="JSH238" s="243"/>
      <c r="JSI238" s="243"/>
      <c r="JSJ238" s="243"/>
      <c r="JSK238" s="243"/>
      <c r="JSL238" s="243"/>
      <c r="JSM238" s="243"/>
      <c r="JSN238" s="243"/>
      <c r="JSO238" s="243"/>
      <c r="JSP238" s="243"/>
      <c r="JSQ238" s="243"/>
      <c r="JSR238" s="243"/>
      <c r="JSS238" s="243"/>
      <c r="JST238" s="243"/>
      <c r="JSU238" s="243"/>
      <c r="JSV238" s="243"/>
      <c r="JSW238" s="243"/>
      <c r="JSX238" s="243"/>
      <c r="JSY238" s="243"/>
      <c r="JSZ238" s="243"/>
      <c r="JTA238" s="243"/>
      <c r="JTB238" s="243"/>
      <c r="JTC238" s="243"/>
      <c r="JTD238" s="243"/>
      <c r="JTE238" s="243"/>
      <c r="JTF238" s="243"/>
      <c r="JTG238" s="243"/>
      <c r="JTH238" s="243"/>
      <c r="JTI238" s="243"/>
      <c r="JTJ238" s="243"/>
      <c r="JTK238" s="243"/>
      <c r="JTL238" s="243"/>
      <c r="JTM238" s="243"/>
      <c r="JTN238" s="243"/>
      <c r="JTO238" s="243"/>
      <c r="JTP238" s="243"/>
      <c r="JTQ238" s="243"/>
      <c r="JTR238" s="243"/>
      <c r="JTS238" s="243"/>
      <c r="JTT238" s="243"/>
      <c r="JTU238" s="243"/>
      <c r="JTV238" s="243"/>
      <c r="JTW238" s="243"/>
      <c r="JTX238" s="243"/>
      <c r="JTY238" s="243"/>
      <c r="JTZ238" s="243"/>
      <c r="JUA238" s="243"/>
      <c r="JUB238" s="243"/>
      <c r="JUC238" s="243"/>
      <c r="JUD238" s="243"/>
      <c r="JUE238" s="243"/>
      <c r="JUF238" s="243"/>
      <c r="JUG238" s="243"/>
      <c r="JUH238" s="243"/>
      <c r="JUI238" s="243"/>
      <c r="JUJ238" s="243"/>
      <c r="JUK238" s="243"/>
      <c r="JUL238" s="243"/>
      <c r="JUM238" s="243"/>
      <c r="JUN238" s="243"/>
      <c r="JUO238" s="243"/>
      <c r="JUP238" s="243"/>
      <c r="JUQ238" s="243"/>
      <c r="JUR238" s="243"/>
      <c r="JUS238" s="243"/>
      <c r="JUT238" s="243"/>
      <c r="JUU238" s="243"/>
      <c r="JUV238" s="243"/>
      <c r="JUW238" s="243"/>
      <c r="JUX238" s="243"/>
      <c r="JUY238" s="243"/>
      <c r="JUZ238" s="243"/>
      <c r="JVA238" s="243"/>
      <c r="JVB238" s="243"/>
      <c r="JVC238" s="243"/>
      <c r="JVD238" s="243"/>
      <c r="JVE238" s="243"/>
      <c r="JVF238" s="243"/>
      <c r="JVG238" s="243"/>
      <c r="JVH238" s="243"/>
      <c r="JVI238" s="243"/>
      <c r="JVJ238" s="243"/>
      <c r="JVK238" s="243"/>
      <c r="JVL238" s="243"/>
      <c r="JVM238" s="243"/>
      <c r="JVN238" s="243"/>
      <c r="JVO238" s="243"/>
      <c r="JVP238" s="243"/>
      <c r="JVQ238" s="243"/>
      <c r="JVR238" s="243"/>
      <c r="JVS238" s="243"/>
      <c r="JVT238" s="243"/>
      <c r="JVU238" s="243"/>
      <c r="JVV238" s="243"/>
      <c r="JVW238" s="243"/>
      <c r="JVX238" s="243"/>
      <c r="JVY238" s="243"/>
      <c r="JVZ238" s="243"/>
      <c r="JWA238" s="243"/>
      <c r="JWB238" s="243"/>
      <c r="JWC238" s="243"/>
      <c r="JWD238" s="243"/>
      <c r="JWE238" s="243"/>
      <c r="JWF238" s="243"/>
      <c r="JWG238" s="243"/>
      <c r="JWH238" s="243"/>
      <c r="JWI238" s="243"/>
      <c r="JWJ238" s="243"/>
      <c r="JWK238" s="243"/>
      <c r="JWL238" s="243"/>
      <c r="JWM238" s="243"/>
      <c r="JWN238" s="243"/>
      <c r="JWO238" s="243"/>
      <c r="JWP238" s="243"/>
      <c r="JWQ238" s="243"/>
      <c r="JWR238" s="243"/>
      <c r="JWS238" s="243"/>
      <c r="JWT238" s="243"/>
      <c r="JWU238" s="243"/>
      <c r="JWV238" s="243"/>
      <c r="JWW238" s="243"/>
      <c r="JWX238" s="243"/>
      <c r="JWY238" s="243"/>
      <c r="JWZ238" s="243"/>
      <c r="JXA238" s="243"/>
      <c r="JXB238" s="243"/>
      <c r="JXC238" s="243"/>
      <c r="JXD238" s="243"/>
      <c r="JXE238" s="243"/>
      <c r="JXF238" s="243"/>
      <c r="JXG238" s="243"/>
      <c r="JXH238" s="243"/>
      <c r="JXI238" s="243"/>
      <c r="JXJ238" s="243"/>
      <c r="JXK238" s="243"/>
      <c r="JXL238" s="243"/>
      <c r="JXM238" s="243"/>
      <c r="JXN238" s="243"/>
      <c r="JXO238" s="243"/>
      <c r="JXP238" s="243"/>
      <c r="JXQ238" s="243"/>
      <c r="JXR238" s="243"/>
      <c r="JXS238" s="243"/>
      <c r="JXT238" s="243"/>
      <c r="JXU238" s="243"/>
      <c r="JXV238" s="243"/>
      <c r="JXW238" s="243"/>
      <c r="JXX238" s="243"/>
      <c r="JXY238" s="243"/>
      <c r="JXZ238" s="243"/>
      <c r="JYA238" s="243"/>
      <c r="JYB238" s="243"/>
      <c r="JYC238" s="243"/>
      <c r="JYD238" s="243"/>
      <c r="JYE238" s="243"/>
      <c r="JYF238" s="243"/>
      <c r="JYG238" s="243"/>
      <c r="JYH238" s="243"/>
      <c r="JYI238" s="243"/>
      <c r="JYJ238" s="243"/>
      <c r="JYK238" s="243"/>
      <c r="JYL238" s="243"/>
      <c r="JYM238" s="243"/>
      <c r="JYN238" s="243"/>
      <c r="JYO238" s="243"/>
      <c r="JYP238" s="243"/>
      <c r="JYQ238" s="243"/>
      <c r="JYR238" s="243"/>
      <c r="JYS238" s="243"/>
      <c r="JYT238" s="243"/>
      <c r="JYU238" s="243"/>
      <c r="JYV238" s="243"/>
      <c r="JYW238" s="243"/>
      <c r="JYX238" s="243"/>
      <c r="JYY238" s="243"/>
      <c r="JYZ238" s="243"/>
      <c r="JZA238" s="243"/>
      <c r="JZB238" s="243"/>
      <c r="JZC238" s="243"/>
      <c r="JZD238" s="243"/>
      <c r="JZE238" s="243"/>
      <c r="JZF238" s="243"/>
      <c r="JZG238" s="243"/>
      <c r="JZH238" s="243"/>
      <c r="JZI238" s="243"/>
      <c r="JZJ238" s="243"/>
      <c r="JZK238" s="243"/>
      <c r="JZL238" s="243"/>
      <c r="JZM238" s="243"/>
      <c r="JZN238" s="243"/>
      <c r="JZO238" s="243"/>
      <c r="JZP238" s="243"/>
      <c r="JZQ238" s="243"/>
      <c r="JZR238" s="243"/>
      <c r="JZS238" s="243"/>
      <c r="JZT238" s="243"/>
      <c r="JZU238" s="243"/>
      <c r="JZV238" s="243"/>
      <c r="JZW238" s="243"/>
      <c r="JZX238" s="243"/>
      <c r="JZY238" s="243"/>
      <c r="JZZ238" s="243"/>
      <c r="KAA238" s="243"/>
      <c r="KAB238" s="243"/>
      <c r="KAC238" s="243"/>
      <c r="KAD238" s="243"/>
      <c r="KAE238" s="243"/>
      <c r="KAF238" s="243"/>
      <c r="KAG238" s="243"/>
      <c r="KAH238" s="243"/>
      <c r="KAI238" s="243"/>
      <c r="KAJ238" s="243"/>
      <c r="KAK238" s="243"/>
      <c r="KAL238" s="243"/>
      <c r="KAM238" s="243"/>
      <c r="KAN238" s="243"/>
      <c r="KAO238" s="243"/>
      <c r="KAP238" s="243"/>
      <c r="KAQ238" s="243"/>
      <c r="KAR238" s="243"/>
      <c r="KAS238" s="243"/>
      <c r="KAT238" s="243"/>
      <c r="KAU238" s="243"/>
      <c r="KAV238" s="243"/>
      <c r="KAW238" s="243"/>
      <c r="KAX238" s="243"/>
      <c r="KAY238" s="243"/>
      <c r="KAZ238" s="243"/>
      <c r="KBA238" s="243"/>
      <c r="KBB238" s="243"/>
      <c r="KBC238" s="243"/>
      <c r="KBD238" s="243"/>
      <c r="KBE238" s="243"/>
      <c r="KBF238" s="243"/>
      <c r="KBG238" s="243"/>
      <c r="KBH238" s="243"/>
      <c r="KBI238" s="243"/>
      <c r="KBJ238" s="243"/>
      <c r="KBK238" s="243"/>
      <c r="KBL238" s="243"/>
      <c r="KBM238" s="243"/>
      <c r="KBN238" s="243"/>
      <c r="KBO238" s="243"/>
      <c r="KBP238" s="243"/>
      <c r="KBQ238" s="243"/>
      <c r="KBR238" s="243"/>
      <c r="KBS238" s="243"/>
      <c r="KBT238" s="243"/>
      <c r="KBU238" s="243"/>
      <c r="KBV238" s="243"/>
      <c r="KBW238" s="243"/>
      <c r="KBX238" s="243"/>
      <c r="KBY238" s="243"/>
      <c r="KBZ238" s="243"/>
      <c r="KCA238" s="243"/>
      <c r="KCB238" s="243"/>
      <c r="KCC238" s="243"/>
      <c r="KCD238" s="243"/>
      <c r="KCE238" s="243"/>
      <c r="KCF238" s="243"/>
      <c r="KCG238" s="243"/>
      <c r="KCH238" s="243"/>
      <c r="KCI238" s="243"/>
      <c r="KCJ238" s="243"/>
      <c r="KCK238" s="243"/>
      <c r="KCL238" s="243"/>
      <c r="KCM238" s="243"/>
      <c r="KCN238" s="243"/>
      <c r="KCO238" s="243"/>
      <c r="KCP238" s="243"/>
      <c r="KCQ238" s="243"/>
      <c r="KCR238" s="243"/>
      <c r="KCS238" s="243"/>
      <c r="KCT238" s="243"/>
      <c r="KCU238" s="243"/>
      <c r="KCV238" s="243"/>
      <c r="KCW238" s="243"/>
      <c r="KCX238" s="243"/>
      <c r="KCY238" s="243"/>
      <c r="KCZ238" s="243"/>
      <c r="KDA238" s="243"/>
      <c r="KDB238" s="243"/>
      <c r="KDC238" s="243"/>
      <c r="KDD238" s="243"/>
      <c r="KDE238" s="243"/>
      <c r="KDF238" s="243"/>
      <c r="KDG238" s="243"/>
      <c r="KDH238" s="243"/>
      <c r="KDI238" s="243"/>
      <c r="KDJ238" s="243"/>
      <c r="KDK238" s="243"/>
      <c r="KDL238" s="243"/>
      <c r="KDM238" s="243"/>
      <c r="KDN238" s="243"/>
      <c r="KDO238" s="243"/>
      <c r="KDP238" s="243"/>
      <c r="KDQ238" s="243"/>
      <c r="KDR238" s="243"/>
      <c r="KDS238" s="243"/>
      <c r="KDT238" s="243"/>
      <c r="KDU238" s="243"/>
      <c r="KDV238" s="243"/>
      <c r="KDW238" s="243"/>
      <c r="KDX238" s="243"/>
      <c r="KDY238" s="243"/>
      <c r="KDZ238" s="243"/>
      <c r="KEA238" s="243"/>
      <c r="KEB238" s="243"/>
      <c r="KEC238" s="243"/>
      <c r="KED238" s="243"/>
      <c r="KEE238" s="243"/>
      <c r="KEF238" s="243"/>
      <c r="KEG238" s="243"/>
      <c r="KEH238" s="243"/>
      <c r="KEI238" s="243"/>
      <c r="KEJ238" s="243"/>
      <c r="KEK238" s="243"/>
      <c r="KEL238" s="243"/>
      <c r="KEM238" s="243"/>
      <c r="KEN238" s="243"/>
      <c r="KEO238" s="243"/>
      <c r="KEP238" s="243"/>
      <c r="KEQ238" s="243"/>
      <c r="KER238" s="243"/>
      <c r="KES238" s="243"/>
      <c r="KET238" s="243"/>
      <c r="KEU238" s="243"/>
      <c r="KEV238" s="243"/>
      <c r="KEW238" s="243"/>
      <c r="KEX238" s="243"/>
      <c r="KEY238" s="243"/>
      <c r="KEZ238" s="243"/>
      <c r="KFA238" s="243"/>
      <c r="KFB238" s="243"/>
      <c r="KFC238" s="243"/>
      <c r="KFD238" s="243"/>
      <c r="KFE238" s="243"/>
      <c r="KFF238" s="243"/>
      <c r="KFG238" s="243"/>
      <c r="KFH238" s="243"/>
      <c r="KFI238" s="243"/>
      <c r="KFJ238" s="243"/>
      <c r="KFK238" s="243"/>
      <c r="KFL238" s="243"/>
      <c r="KFM238" s="243"/>
      <c r="KFN238" s="243"/>
      <c r="KFO238" s="243"/>
      <c r="KFP238" s="243"/>
      <c r="KFQ238" s="243"/>
      <c r="KFR238" s="243"/>
      <c r="KFS238" s="243"/>
      <c r="KFT238" s="243"/>
      <c r="KFU238" s="243"/>
      <c r="KFV238" s="243"/>
      <c r="KFW238" s="243"/>
      <c r="KFX238" s="243"/>
      <c r="KFY238" s="243"/>
      <c r="KFZ238" s="243"/>
      <c r="KGA238" s="243"/>
      <c r="KGB238" s="243"/>
      <c r="KGC238" s="243"/>
      <c r="KGD238" s="243"/>
      <c r="KGE238" s="243"/>
      <c r="KGF238" s="243"/>
      <c r="KGG238" s="243"/>
      <c r="KGH238" s="243"/>
      <c r="KGI238" s="243"/>
      <c r="KGJ238" s="243"/>
      <c r="KGK238" s="243"/>
      <c r="KGL238" s="243"/>
      <c r="KGM238" s="243"/>
      <c r="KGN238" s="243"/>
      <c r="KGO238" s="243"/>
      <c r="KGP238" s="243"/>
      <c r="KGQ238" s="243"/>
      <c r="KGR238" s="243"/>
      <c r="KGS238" s="243"/>
      <c r="KGT238" s="243"/>
      <c r="KGU238" s="243"/>
      <c r="KGV238" s="243"/>
      <c r="KGW238" s="243"/>
      <c r="KGX238" s="243"/>
      <c r="KGY238" s="243"/>
      <c r="KGZ238" s="243"/>
      <c r="KHA238" s="243"/>
      <c r="KHB238" s="243"/>
      <c r="KHC238" s="243"/>
      <c r="KHD238" s="243"/>
      <c r="KHE238" s="243"/>
      <c r="KHF238" s="243"/>
      <c r="KHG238" s="243"/>
      <c r="KHH238" s="243"/>
      <c r="KHI238" s="243"/>
      <c r="KHJ238" s="243"/>
      <c r="KHK238" s="243"/>
      <c r="KHL238" s="243"/>
      <c r="KHM238" s="243"/>
      <c r="KHN238" s="243"/>
      <c r="KHO238" s="243"/>
      <c r="KHP238" s="243"/>
      <c r="KHQ238" s="243"/>
      <c r="KHR238" s="243"/>
      <c r="KHS238" s="243"/>
      <c r="KHT238" s="243"/>
      <c r="KHU238" s="243"/>
      <c r="KHV238" s="243"/>
      <c r="KHW238" s="243"/>
      <c r="KHX238" s="243"/>
      <c r="KHY238" s="243"/>
      <c r="KHZ238" s="243"/>
      <c r="KIA238" s="243"/>
      <c r="KIB238" s="243"/>
      <c r="KIC238" s="243"/>
      <c r="KID238" s="243"/>
      <c r="KIE238" s="243"/>
      <c r="KIF238" s="243"/>
      <c r="KIG238" s="243"/>
      <c r="KIH238" s="243"/>
      <c r="KII238" s="243"/>
      <c r="KIJ238" s="243"/>
      <c r="KIK238" s="243"/>
      <c r="KIL238" s="243"/>
      <c r="KIM238" s="243"/>
      <c r="KIN238" s="243"/>
      <c r="KIO238" s="243"/>
      <c r="KIP238" s="243"/>
      <c r="KIQ238" s="243"/>
      <c r="KIR238" s="243"/>
      <c r="KIS238" s="243"/>
      <c r="KIT238" s="243"/>
      <c r="KIU238" s="243"/>
      <c r="KIV238" s="243"/>
      <c r="KIW238" s="243"/>
      <c r="KIX238" s="243"/>
      <c r="KIY238" s="243"/>
      <c r="KIZ238" s="243"/>
      <c r="KJA238" s="243"/>
      <c r="KJB238" s="243"/>
      <c r="KJC238" s="243"/>
      <c r="KJD238" s="243"/>
      <c r="KJE238" s="243"/>
      <c r="KJF238" s="243"/>
      <c r="KJG238" s="243"/>
      <c r="KJH238" s="243"/>
      <c r="KJI238" s="243"/>
      <c r="KJJ238" s="243"/>
      <c r="KJK238" s="243"/>
      <c r="KJL238" s="243"/>
      <c r="KJM238" s="243"/>
      <c r="KJN238" s="243"/>
      <c r="KJO238" s="243"/>
      <c r="KJP238" s="243"/>
      <c r="KJQ238" s="243"/>
      <c r="KJR238" s="243"/>
      <c r="KJS238" s="243"/>
      <c r="KJT238" s="243"/>
      <c r="KJU238" s="243"/>
      <c r="KJV238" s="243"/>
      <c r="KJW238" s="243"/>
      <c r="KJX238" s="243"/>
      <c r="KJY238" s="243"/>
      <c r="KJZ238" s="243"/>
      <c r="KKA238" s="243"/>
      <c r="KKB238" s="243"/>
      <c r="KKC238" s="243"/>
      <c r="KKD238" s="243"/>
      <c r="KKE238" s="243"/>
      <c r="KKF238" s="243"/>
      <c r="KKG238" s="243"/>
      <c r="KKH238" s="243"/>
      <c r="KKI238" s="243"/>
      <c r="KKJ238" s="243"/>
      <c r="KKK238" s="243"/>
      <c r="KKL238" s="243"/>
      <c r="KKM238" s="243"/>
      <c r="KKN238" s="243"/>
      <c r="KKO238" s="243"/>
      <c r="KKP238" s="243"/>
      <c r="KKQ238" s="243"/>
      <c r="KKR238" s="243"/>
      <c r="KKS238" s="243"/>
      <c r="KKT238" s="243"/>
      <c r="KKU238" s="243"/>
      <c r="KKV238" s="243"/>
      <c r="KKW238" s="243"/>
      <c r="KKX238" s="243"/>
      <c r="KKY238" s="243"/>
      <c r="KKZ238" s="243"/>
      <c r="KLA238" s="243"/>
      <c r="KLB238" s="243"/>
      <c r="KLC238" s="243"/>
      <c r="KLD238" s="243"/>
      <c r="KLE238" s="243"/>
      <c r="KLF238" s="243"/>
      <c r="KLG238" s="243"/>
      <c r="KLH238" s="243"/>
      <c r="KLI238" s="243"/>
      <c r="KLJ238" s="243"/>
      <c r="KLK238" s="243"/>
      <c r="KLL238" s="243"/>
      <c r="KLM238" s="243"/>
      <c r="KLN238" s="243"/>
      <c r="KLO238" s="243"/>
      <c r="KLP238" s="243"/>
      <c r="KLQ238" s="243"/>
      <c r="KLR238" s="243"/>
      <c r="KLS238" s="243"/>
      <c r="KLT238" s="243"/>
      <c r="KLU238" s="243"/>
      <c r="KLV238" s="243"/>
      <c r="KLW238" s="243"/>
      <c r="KLX238" s="243"/>
      <c r="KLY238" s="243"/>
      <c r="KLZ238" s="243"/>
      <c r="KMA238" s="243"/>
      <c r="KMB238" s="243"/>
      <c r="KMC238" s="243"/>
      <c r="KMD238" s="243"/>
      <c r="KME238" s="243"/>
      <c r="KMF238" s="243"/>
      <c r="KMG238" s="243"/>
      <c r="KMH238" s="243"/>
      <c r="KMI238" s="243"/>
      <c r="KMJ238" s="243"/>
      <c r="KMK238" s="243"/>
      <c r="KML238" s="243"/>
      <c r="KMM238" s="243"/>
      <c r="KMN238" s="243"/>
      <c r="KMO238" s="243"/>
      <c r="KMP238" s="243"/>
      <c r="KMQ238" s="243"/>
      <c r="KMR238" s="243"/>
      <c r="KMS238" s="243"/>
      <c r="KMT238" s="243"/>
      <c r="KMU238" s="243"/>
      <c r="KMV238" s="243"/>
      <c r="KMW238" s="243"/>
      <c r="KMX238" s="243"/>
      <c r="KMY238" s="243"/>
      <c r="KMZ238" s="243"/>
      <c r="KNA238" s="243"/>
      <c r="KNB238" s="243"/>
      <c r="KNC238" s="243"/>
      <c r="KND238" s="243"/>
      <c r="KNE238" s="243"/>
      <c r="KNF238" s="243"/>
      <c r="KNG238" s="243"/>
      <c r="KNH238" s="243"/>
      <c r="KNI238" s="243"/>
      <c r="KNJ238" s="243"/>
      <c r="KNK238" s="243"/>
      <c r="KNL238" s="243"/>
      <c r="KNM238" s="243"/>
      <c r="KNN238" s="243"/>
      <c r="KNO238" s="243"/>
      <c r="KNP238" s="243"/>
      <c r="KNQ238" s="243"/>
      <c r="KNR238" s="243"/>
      <c r="KNS238" s="243"/>
      <c r="KNT238" s="243"/>
      <c r="KNU238" s="243"/>
      <c r="KNV238" s="243"/>
      <c r="KNW238" s="243"/>
      <c r="KNX238" s="243"/>
      <c r="KNY238" s="243"/>
      <c r="KNZ238" s="243"/>
      <c r="KOA238" s="243"/>
      <c r="KOB238" s="243"/>
      <c r="KOC238" s="243"/>
      <c r="KOD238" s="243"/>
      <c r="KOE238" s="243"/>
      <c r="KOF238" s="243"/>
      <c r="KOG238" s="243"/>
      <c r="KOH238" s="243"/>
      <c r="KOI238" s="243"/>
      <c r="KOJ238" s="243"/>
      <c r="KOK238" s="243"/>
      <c r="KOL238" s="243"/>
      <c r="KOM238" s="243"/>
      <c r="KON238" s="243"/>
      <c r="KOO238" s="243"/>
      <c r="KOP238" s="243"/>
      <c r="KOQ238" s="243"/>
      <c r="KOR238" s="243"/>
      <c r="KOS238" s="243"/>
      <c r="KOT238" s="243"/>
      <c r="KOU238" s="243"/>
      <c r="KOV238" s="243"/>
      <c r="KOW238" s="243"/>
      <c r="KOX238" s="243"/>
      <c r="KOY238" s="243"/>
      <c r="KOZ238" s="243"/>
      <c r="KPA238" s="243"/>
      <c r="KPB238" s="243"/>
      <c r="KPC238" s="243"/>
      <c r="KPD238" s="243"/>
      <c r="KPE238" s="243"/>
      <c r="KPF238" s="243"/>
      <c r="KPG238" s="243"/>
      <c r="KPH238" s="243"/>
      <c r="KPI238" s="243"/>
      <c r="KPJ238" s="243"/>
      <c r="KPK238" s="243"/>
      <c r="KPL238" s="243"/>
      <c r="KPM238" s="243"/>
      <c r="KPN238" s="243"/>
      <c r="KPO238" s="243"/>
      <c r="KPP238" s="243"/>
      <c r="KPQ238" s="243"/>
      <c r="KPR238" s="243"/>
      <c r="KPS238" s="243"/>
      <c r="KPT238" s="243"/>
      <c r="KPU238" s="243"/>
      <c r="KPV238" s="243"/>
      <c r="KPW238" s="243"/>
      <c r="KPX238" s="243"/>
      <c r="KPY238" s="243"/>
      <c r="KPZ238" s="243"/>
      <c r="KQA238" s="243"/>
      <c r="KQB238" s="243"/>
      <c r="KQC238" s="243"/>
      <c r="KQD238" s="243"/>
      <c r="KQE238" s="243"/>
      <c r="KQF238" s="243"/>
      <c r="KQG238" s="243"/>
      <c r="KQH238" s="243"/>
      <c r="KQI238" s="243"/>
      <c r="KQJ238" s="243"/>
      <c r="KQK238" s="243"/>
      <c r="KQL238" s="243"/>
      <c r="KQM238" s="243"/>
      <c r="KQN238" s="243"/>
      <c r="KQO238" s="243"/>
      <c r="KQP238" s="243"/>
      <c r="KQQ238" s="243"/>
      <c r="KQR238" s="243"/>
      <c r="KQS238" s="243"/>
      <c r="KQT238" s="243"/>
      <c r="KQU238" s="243"/>
      <c r="KQV238" s="243"/>
      <c r="KQW238" s="243"/>
      <c r="KQX238" s="243"/>
      <c r="KQY238" s="243"/>
      <c r="KQZ238" s="243"/>
      <c r="KRA238" s="243"/>
      <c r="KRB238" s="243"/>
      <c r="KRC238" s="243"/>
      <c r="KRD238" s="243"/>
      <c r="KRE238" s="243"/>
      <c r="KRF238" s="243"/>
      <c r="KRG238" s="243"/>
      <c r="KRH238" s="243"/>
      <c r="KRI238" s="243"/>
      <c r="KRJ238" s="243"/>
      <c r="KRK238" s="243"/>
      <c r="KRL238" s="243"/>
      <c r="KRM238" s="243"/>
      <c r="KRN238" s="243"/>
      <c r="KRO238" s="243"/>
      <c r="KRP238" s="243"/>
      <c r="KRQ238" s="243"/>
      <c r="KRR238" s="243"/>
      <c r="KRS238" s="243"/>
      <c r="KRT238" s="243"/>
      <c r="KRU238" s="243"/>
      <c r="KRV238" s="243"/>
      <c r="KRW238" s="243"/>
      <c r="KRX238" s="243"/>
      <c r="KRY238" s="243"/>
      <c r="KRZ238" s="243"/>
      <c r="KSA238" s="243"/>
      <c r="KSB238" s="243"/>
      <c r="KSC238" s="243"/>
      <c r="KSD238" s="243"/>
      <c r="KSE238" s="243"/>
      <c r="KSF238" s="243"/>
      <c r="KSG238" s="243"/>
      <c r="KSH238" s="243"/>
      <c r="KSI238" s="243"/>
      <c r="KSJ238" s="243"/>
      <c r="KSK238" s="243"/>
      <c r="KSL238" s="243"/>
      <c r="KSM238" s="243"/>
      <c r="KSN238" s="243"/>
      <c r="KSO238" s="243"/>
      <c r="KSP238" s="243"/>
      <c r="KSQ238" s="243"/>
      <c r="KSR238" s="243"/>
      <c r="KSS238" s="243"/>
      <c r="KST238" s="243"/>
      <c r="KSU238" s="243"/>
      <c r="KSV238" s="243"/>
      <c r="KSW238" s="243"/>
      <c r="KSX238" s="243"/>
      <c r="KSY238" s="243"/>
      <c r="KSZ238" s="243"/>
      <c r="KTA238" s="243"/>
      <c r="KTB238" s="243"/>
      <c r="KTC238" s="243"/>
      <c r="KTD238" s="243"/>
      <c r="KTE238" s="243"/>
      <c r="KTF238" s="243"/>
      <c r="KTG238" s="243"/>
      <c r="KTH238" s="243"/>
      <c r="KTI238" s="243"/>
      <c r="KTJ238" s="243"/>
      <c r="KTK238" s="243"/>
      <c r="KTL238" s="243"/>
      <c r="KTM238" s="243"/>
      <c r="KTN238" s="243"/>
      <c r="KTO238" s="243"/>
      <c r="KTP238" s="243"/>
      <c r="KTQ238" s="243"/>
      <c r="KTR238" s="243"/>
      <c r="KTS238" s="243"/>
      <c r="KTT238" s="243"/>
      <c r="KTU238" s="243"/>
      <c r="KTV238" s="243"/>
      <c r="KTW238" s="243"/>
      <c r="KTX238" s="243"/>
      <c r="KTY238" s="243"/>
      <c r="KTZ238" s="243"/>
      <c r="KUA238" s="243"/>
      <c r="KUB238" s="243"/>
      <c r="KUC238" s="243"/>
      <c r="KUD238" s="243"/>
      <c r="KUE238" s="243"/>
      <c r="KUF238" s="243"/>
      <c r="KUG238" s="243"/>
      <c r="KUH238" s="243"/>
      <c r="KUI238" s="243"/>
      <c r="KUJ238" s="243"/>
      <c r="KUK238" s="243"/>
      <c r="KUL238" s="243"/>
      <c r="KUM238" s="243"/>
      <c r="KUN238" s="243"/>
      <c r="KUO238" s="243"/>
      <c r="KUP238" s="243"/>
      <c r="KUQ238" s="243"/>
      <c r="KUR238" s="243"/>
      <c r="KUS238" s="243"/>
      <c r="KUT238" s="243"/>
      <c r="KUU238" s="243"/>
      <c r="KUV238" s="243"/>
      <c r="KUW238" s="243"/>
      <c r="KUX238" s="243"/>
      <c r="KUY238" s="243"/>
      <c r="KUZ238" s="243"/>
      <c r="KVA238" s="243"/>
      <c r="KVB238" s="243"/>
      <c r="KVC238" s="243"/>
      <c r="KVD238" s="243"/>
      <c r="KVE238" s="243"/>
      <c r="KVF238" s="243"/>
      <c r="KVG238" s="243"/>
      <c r="KVH238" s="243"/>
      <c r="KVI238" s="243"/>
      <c r="KVJ238" s="243"/>
      <c r="KVK238" s="243"/>
      <c r="KVL238" s="243"/>
      <c r="KVM238" s="243"/>
      <c r="KVN238" s="243"/>
      <c r="KVO238" s="243"/>
      <c r="KVP238" s="243"/>
      <c r="KVQ238" s="243"/>
      <c r="KVR238" s="243"/>
      <c r="KVS238" s="243"/>
      <c r="KVT238" s="243"/>
      <c r="KVU238" s="243"/>
      <c r="KVV238" s="243"/>
      <c r="KVW238" s="243"/>
      <c r="KVX238" s="243"/>
      <c r="KVY238" s="243"/>
      <c r="KVZ238" s="243"/>
      <c r="KWA238" s="243"/>
      <c r="KWB238" s="243"/>
      <c r="KWC238" s="243"/>
      <c r="KWD238" s="243"/>
      <c r="KWE238" s="243"/>
      <c r="KWF238" s="243"/>
      <c r="KWG238" s="243"/>
      <c r="KWH238" s="243"/>
      <c r="KWI238" s="243"/>
      <c r="KWJ238" s="243"/>
      <c r="KWK238" s="243"/>
      <c r="KWL238" s="243"/>
      <c r="KWM238" s="243"/>
      <c r="KWN238" s="243"/>
      <c r="KWO238" s="243"/>
      <c r="KWP238" s="243"/>
      <c r="KWQ238" s="243"/>
      <c r="KWR238" s="243"/>
      <c r="KWS238" s="243"/>
      <c r="KWT238" s="243"/>
      <c r="KWU238" s="243"/>
      <c r="KWV238" s="243"/>
      <c r="KWW238" s="243"/>
      <c r="KWX238" s="243"/>
      <c r="KWY238" s="243"/>
      <c r="KWZ238" s="243"/>
      <c r="KXA238" s="243"/>
      <c r="KXB238" s="243"/>
      <c r="KXC238" s="243"/>
      <c r="KXD238" s="243"/>
      <c r="KXE238" s="243"/>
      <c r="KXF238" s="243"/>
      <c r="KXG238" s="243"/>
      <c r="KXH238" s="243"/>
      <c r="KXI238" s="243"/>
      <c r="KXJ238" s="243"/>
      <c r="KXK238" s="243"/>
      <c r="KXL238" s="243"/>
      <c r="KXM238" s="243"/>
      <c r="KXN238" s="243"/>
      <c r="KXO238" s="243"/>
      <c r="KXP238" s="243"/>
      <c r="KXQ238" s="243"/>
      <c r="KXR238" s="243"/>
      <c r="KXS238" s="243"/>
      <c r="KXT238" s="243"/>
      <c r="KXU238" s="243"/>
      <c r="KXV238" s="243"/>
      <c r="KXW238" s="243"/>
      <c r="KXX238" s="243"/>
      <c r="KXY238" s="243"/>
      <c r="KXZ238" s="243"/>
      <c r="KYA238" s="243"/>
      <c r="KYB238" s="243"/>
      <c r="KYC238" s="243"/>
      <c r="KYD238" s="243"/>
      <c r="KYE238" s="243"/>
      <c r="KYF238" s="243"/>
      <c r="KYG238" s="243"/>
      <c r="KYH238" s="243"/>
      <c r="KYI238" s="243"/>
      <c r="KYJ238" s="243"/>
      <c r="KYK238" s="243"/>
      <c r="KYL238" s="243"/>
      <c r="KYM238" s="243"/>
      <c r="KYN238" s="243"/>
      <c r="KYO238" s="243"/>
      <c r="KYP238" s="243"/>
      <c r="KYQ238" s="243"/>
      <c r="KYR238" s="243"/>
      <c r="KYS238" s="243"/>
      <c r="KYT238" s="243"/>
      <c r="KYU238" s="243"/>
      <c r="KYV238" s="243"/>
      <c r="KYW238" s="243"/>
      <c r="KYX238" s="243"/>
      <c r="KYY238" s="243"/>
      <c r="KYZ238" s="243"/>
      <c r="KZA238" s="243"/>
      <c r="KZB238" s="243"/>
      <c r="KZC238" s="243"/>
      <c r="KZD238" s="243"/>
      <c r="KZE238" s="243"/>
      <c r="KZF238" s="243"/>
      <c r="KZG238" s="243"/>
      <c r="KZH238" s="243"/>
      <c r="KZI238" s="243"/>
      <c r="KZJ238" s="243"/>
      <c r="KZK238" s="243"/>
      <c r="KZL238" s="243"/>
      <c r="KZM238" s="243"/>
      <c r="KZN238" s="243"/>
      <c r="KZO238" s="243"/>
      <c r="KZP238" s="243"/>
      <c r="KZQ238" s="243"/>
      <c r="KZR238" s="243"/>
      <c r="KZS238" s="243"/>
      <c r="KZT238" s="243"/>
      <c r="KZU238" s="243"/>
      <c r="KZV238" s="243"/>
      <c r="KZW238" s="243"/>
      <c r="KZX238" s="243"/>
      <c r="KZY238" s="243"/>
      <c r="KZZ238" s="243"/>
      <c r="LAA238" s="243"/>
      <c r="LAB238" s="243"/>
      <c r="LAC238" s="243"/>
      <c r="LAD238" s="243"/>
      <c r="LAE238" s="243"/>
      <c r="LAF238" s="243"/>
      <c r="LAG238" s="243"/>
      <c r="LAH238" s="243"/>
      <c r="LAI238" s="243"/>
      <c r="LAJ238" s="243"/>
      <c r="LAK238" s="243"/>
      <c r="LAL238" s="243"/>
      <c r="LAM238" s="243"/>
      <c r="LAN238" s="243"/>
      <c r="LAO238" s="243"/>
      <c r="LAP238" s="243"/>
      <c r="LAQ238" s="243"/>
      <c r="LAR238" s="243"/>
      <c r="LAS238" s="243"/>
      <c r="LAT238" s="243"/>
      <c r="LAU238" s="243"/>
      <c r="LAV238" s="243"/>
      <c r="LAW238" s="243"/>
      <c r="LAX238" s="243"/>
      <c r="LAY238" s="243"/>
      <c r="LAZ238" s="243"/>
      <c r="LBA238" s="243"/>
      <c r="LBB238" s="243"/>
      <c r="LBC238" s="243"/>
      <c r="LBD238" s="243"/>
      <c r="LBE238" s="243"/>
      <c r="LBF238" s="243"/>
      <c r="LBG238" s="243"/>
      <c r="LBH238" s="243"/>
      <c r="LBI238" s="243"/>
      <c r="LBJ238" s="243"/>
      <c r="LBK238" s="243"/>
      <c r="LBL238" s="243"/>
      <c r="LBM238" s="243"/>
      <c r="LBN238" s="243"/>
      <c r="LBO238" s="243"/>
      <c r="LBP238" s="243"/>
      <c r="LBQ238" s="243"/>
      <c r="LBR238" s="243"/>
      <c r="LBS238" s="243"/>
      <c r="LBT238" s="243"/>
      <c r="LBU238" s="243"/>
      <c r="LBV238" s="243"/>
      <c r="LBW238" s="243"/>
      <c r="LBX238" s="243"/>
      <c r="LBY238" s="243"/>
      <c r="LBZ238" s="243"/>
      <c r="LCA238" s="243"/>
      <c r="LCB238" s="243"/>
      <c r="LCC238" s="243"/>
      <c r="LCD238" s="243"/>
      <c r="LCE238" s="243"/>
      <c r="LCF238" s="243"/>
      <c r="LCG238" s="243"/>
      <c r="LCH238" s="243"/>
      <c r="LCI238" s="243"/>
      <c r="LCJ238" s="243"/>
      <c r="LCK238" s="243"/>
      <c r="LCL238" s="243"/>
      <c r="LCM238" s="243"/>
      <c r="LCN238" s="243"/>
      <c r="LCO238" s="243"/>
      <c r="LCP238" s="243"/>
      <c r="LCQ238" s="243"/>
      <c r="LCR238" s="243"/>
      <c r="LCS238" s="243"/>
      <c r="LCT238" s="243"/>
      <c r="LCU238" s="243"/>
      <c r="LCV238" s="243"/>
      <c r="LCW238" s="243"/>
      <c r="LCX238" s="243"/>
      <c r="LCY238" s="243"/>
      <c r="LCZ238" s="243"/>
      <c r="LDA238" s="243"/>
      <c r="LDB238" s="243"/>
      <c r="LDC238" s="243"/>
      <c r="LDD238" s="243"/>
      <c r="LDE238" s="243"/>
      <c r="LDF238" s="243"/>
      <c r="LDG238" s="243"/>
      <c r="LDH238" s="243"/>
      <c r="LDI238" s="243"/>
      <c r="LDJ238" s="243"/>
      <c r="LDK238" s="243"/>
      <c r="LDL238" s="243"/>
      <c r="LDM238" s="243"/>
      <c r="LDN238" s="243"/>
      <c r="LDO238" s="243"/>
      <c r="LDP238" s="243"/>
      <c r="LDQ238" s="243"/>
      <c r="LDR238" s="243"/>
      <c r="LDS238" s="243"/>
      <c r="LDT238" s="243"/>
      <c r="LDU238" s="243"/>
      <c r="LDV238" s="243"/>
      <c r="LDW238" s="243"/>
      <c r="LDX238" s="243"/>
      <c r="LDY238" s="243"/>
      <c r="LDZ238" s="243"/>
      <c r="LEA238" s="243"/>
      <c r="LEB238" s="243"/>
      <c r="LEC238" s="243"/>
      <c r="LED238" s="243"/>
      <c r="LEE238" s="243"/>
      <c r="LEF238" s="243"/>
      <c r="LEG238" s="243"/>
      <c r="LEH238" s="243"/>
      <c r="LEI238" s="243"/>
      <c r="LEJ238" s="243"/>
      <c r="LEK238" s="243"/>
      <c r="LEL238" s="243"/>
      <c r="LEM238" s="243"/>
      <c r="LEN238" s="243"/>
      <c r="LEO238" s="243"/>
      <c r="LEP238" s="243"/>
      <c r="LEQ238" s="243"/>
      <c r="LER238" s="243"/>
      <c r="LES238" s="243"/>
      <c r="LET238" s="243"/>
      <c r="LEU238" s="243"/>
      <c r="LEV238" s="243"/>
      <c r="LEW238" s="243"/>
      <c r="LEX238" s="243"/>
      <c r="LEY238" s="243"/>
      <c r="LEZ238" s="243"/>
      <c r="LFA238" s="243"/>
      <c r="LFB238" s="243"/>
      <c r="LFC238" s="243"/>
      <c r="LFD238" s="243"/>
      <c r="LFE238" s="243"/>
      <c r="LFF238" s="243"/>
      <c r="LFG238" s="243"/>
      <c r="LFH238" s="243"/>
      <c r="LFI238" s="243"/>
      <c r="LFJ238" s="243"/>
      <c r="LFK238" s="243"/>
      <c r="LFL238" s="243"/>
      <c r="LFM238" s="243"/>
      <c r="LFN238" s="243"/>
      <c r="LFO238" s="243"/>
      <c r="LFP238" s="243"/>
      <c r="LFQ238" s="243"/>
      <c r="LFR238" s="243"/>
      <c r="LFS238" s="243"/>
      <c r="LFT238" s="243"/>
      <c r="LFU238" s="243"/>
      <c r="LFV238" s="243"/>
      <c r="LFW238" s="243"/>
      <c r="LFX238" s="243"/>
      <c r="LFY238" s="243"/>
      <c r="LFZ238" s="243"/>
      <c r="LGA238" s="243"/>
      <c r="LGB238" s="243"/>
      <c r="LGC238" s="243"/>
      <c r="LGD238" s="243"/>
      <c r="LGE238" s="243"/>
      <c r="LGF238" s="243"/>
      <c r="LGG238" s="243"/>
      <c r="LGH238" s="243"/>
      <c r="LGI238" s="243"/>
      <c r="LGJ238" s="243"/>
      <c r="LGK238" s="243"/>
      <c r="LGL238" s="243"/>
      <c r="LGM238" s="243"/>
      <c r="LGN238" s="243"/>
      <c r="LGO238" s="243"/>
      <c r="LGP238" s="243"/>
      <c r="LGQ238" s="243"/>
      <c r="LGR238" s="243"/>
      <c r="LGS238" s="243"/>
      <c r="LGT238" s="243"/>
      <c r="LGU238" s="243"/>
      <c r="LGV238" s="243"/>
      <c r="LGW238" s="243"/>
      <c r="LGX238" s="243"/>
      <c r="LGY238" s="243"/>
      <c r="LGZ238" s="243"/>
      <c r="LHA238" s="243"/>
      <c r="LHB238" s="243"/>
      <c r="LHC238" s="243"/>
      <c r="LHD238" s="243"/>
      <c r="LHE238" s="243"/>
      <c r="LHF238" s="243"/>
      <c r="LHG238" s="243"/>
      <c r="LHH238" s="243"/>
      <c r="LHI238" s="243"/>
      <c r="LHJ238" s="243"/>
      <c r="LHK238" s="243"/>
      <c r="LHL238" s="243"/>
      <c r="LHM238" s="243"/>
      <c r="LHN238" s="243"/>
      <c r="LHO238" s="243"/>
      <c r="LHP238" s="243"/>
      <c r="LHQ238" s="243"/>
      <c r="LHR238" s="243"/>
      <c r="LHS238" s="243"/>
      <c r="LHT238" s="243"/>
      <c r="LHU238" s="243"/>
      <c r="LHV238" s="243"/>
      <c r="LHW238" s="243"/>
      <c r="LHX238" s="243"/>
      <c r="LHY238" s="243"/>
      <c r="LHZ238" s="243"/>
      <c r="LIA238" s="243"/>
      <c r="LIB238" s="243"/>
      <c r="LIC238" s="243"/>
      <c r="LID238" s="243"/>
      <c r="LIE238" s="243"/>
      <c r="LIF238" s="243"/>
      <c r="LIG238" s="243"/>
      <c r="LIH238" s="243"/>
      <c r="LII238" s="243"/>
      <c r="LIJ238" s="243"/>
      <c r="LIK238" s="243"/>
      <c r="LIL238" s="243"/>
      <c r="LIM238" s="243"/>
      <c r="LIN238" s="243"/>
      <c r="LIO238" s="243"/>
      <c r="LIP238" s="243"/>
      <c r="LIQ238" s="243"/>
      <c r="LIR238" s="243"/>
      <c r="LIS238" s="243"/>
      <c r="LIT238" s="243"/>
      <c r="LIU238" s="243"/>
      <c r="LIV238" s="243"/>
      <c r="LIW238" s="243"/>
      <c r="LIX238" s="243"/>
      <c r="LIY238" s="243"/>
      <c r="LIZ238" s="243"/>
      <c r="LJA238" s="243"/>
      <c r="LJB238" s="243"/>
      <c r="LJC238" s="243"/>
      <c r="LJD238" s="243"/>
      <c r="LJE238" s="243"/>
      <c r="LJF238" s="243"/>
      <c r="LJG238" s="243"/>
      <c r="LJH238" s="243"/>
      <c r="LJI238" s="243"/>
      <c r="LJJ238" s="243"/>
      <c r="LJK238" s="243"/>
      <c r="LJL238" s="243"/>
      <c r="LJM238" s="243"/>
      <c r="LJN238" s="243"/>
      <c r="LJO238" s="243"/>
      <c r="LJP238" s="243"/>
      <c r="LJQ238" s="243"/>
      <c r="LJR238" s="243"/>
      <c r="LJS238" s="243"/>
      <c r="LJT238" s="243"/>
      <c r="LJU238" s="243"/>
      <c r="LJV238" s="243"/>
      <c r="LJW238" s="243"/>
      <c r="LJX238" s="243"/>
      <c r="LJY238" s="243"/>
      <c r="LJZ238" s="243"/>
      <c r="LKA238" s="243"/>
      <c r="LKB238" s="243"/>
      <c r="LKC238" s="243"/>
      <c r="LKD238" s="243"/>
      <c r="LKE238" s="243"/>
      <c r="LKF238" s="243"/>
      <c r="LKG238" s="243"/>
      <c r="LKH238" s="243"/>
      <c r="LKI238" s="243"/>
      <c r="LKJ238" s="243"/>
      <c r="LKK238" s="243"/>
      <c r="LKL238" s="243"/>
      <c r="LKM238" s="243"/>
      <c r="LKN238" s="243"/>
      <c r="LKO238" s="243"/>
      <c r="LKP238" s="243"/>
      <c r="LKQ238" s="243"/>
      <c r="LKR238" s="243"/>
      <c r="LKS238" s="243"/>
      <c r="LKT238" s="243"/>
      <c r="LKU238" s="243"/>
      <c r="LKV238" s="243"/>
      <c r="LKW238" s="243"/>
      <c r="LKX238" s="243"/>
      <c r="LKY238" s="243"/>
      <c r="LKZ238" s="243"/>
      <c r="LLA238" s="243"/>
      <c r="LLB238" s="243"/>
      <c r="LLC238" s="243"/>
      <c r="LLD238" s="243"/>
      <c r="LLE238" s="243"/>
      <c r="LLF238" s="243"/>
      <c r="LLG238" s="243"/>
      <c r="LLH238" s="243"/>
      <c r="LLI238" s="243"/>
      <c r="LLJ238" s="243"/>
      <c r="LLK238" s="243"/>
      <c r="LLL238" s="243"/>
      <c r="LLM238" s="243"/>
      <c r="LLN238" s="243"/>
      <c r="LLO238" s="243"/>
      <c r="LLP238" s="243"/>
      <c r="LLQ238" s="243"/>
      <c r="LLR238" s="243"/>
      <c r="LLS238" s="243"/>
      <c r="LLT238" s="243"/>
      <c r="LLU238" s="243"/>
      <c r="LLV238" s="243"/>
      <c r="LLW238" s="243"/>
      <c r="LLX238" s="243"/>
      <c r="LLY238" s="243"/>
      <c r="LLZ238" s="243"/>
      <c r="LMA238" s="243"/>
      <c r="LMB238" s="243"/>
      <c r="LMC238" s="243"/>
      <c r="LMD238" s="243"/>
      <c r="LME238" s="243"/>
      <c r="LMF238" s="243"/>
      <c r="LMG238" s="243"/>
      <c r="LMH238" s="243"/>
      <c r="LMI238" s="243"/>
      <c r="LMJ238" s="243"/>
      <c r="LMK238" s="243"/>
      <c r="LML238" s="243"/>
      <c r="LMM238" s="243"/>
      <c r="LMN238" s="243"/>
      <c r="LMO238" s="243"/>
      <c r="LMP238" s="243"/>
      <c r="LMQ238" s="243"/>
      <c r="LMR238" s="243"/>
      <c r="LMS238" s="243"/>
      <c r="LMT238" s="243"/>
      <c r="LMU238" s="243"/>
      <c r="LMV238" s="243"/>
      <c r="LMW238" s="243"/>
      <c r="LMX238" s="243"/>
      <c r="LMY238" s="243"/>
      <c r="LMZ238" s="243"/>
      <c r="LNA238" s="243"/>
      <c r="LNB238" s="243"/>
      <c r="LNC238" s="243"/>
      <c r="LND238" s="243"/>
      <c r="LNE238" s="243"/>
      <c r="LNF238" s="243"/>
      <c r="LNG238" s="243"/>
      <c r="LNH238" s="243"/>
      <c r="LNI238" s="243"/>
      <c r="LNJ238" s="243"/>
      <c r="LNK238" s="243"/>
      <c r="LNL238" s="243"/>
      <c r="LNM238" s="243"/>
      <c r="LNN238" s="243"/>
      <c r="LNO238" s="243"/>
      <c r="LNP238" s="243"/>
      <c r="LNQ238" s="243"/>
      <c r="LNR238" s="243"/>
      <c r="LNS238" s="243"/>
      <c r="LNT238" s="243"/>
      <c r="LNU238" s="243"/>
      <c r="LNV238" s="243"/>
      <c r="LNW238" s="243"/>
      <c r="LNX238" s="243"/>
      <c r="LNY238" s="243"/>
      <c r="LNZ238" s="243"/>
      <c r="LOA238" s="243"/>
      <c r="LOB238" s="243"/>
      <c r="LOC238" s="243"/>
      <c r="LOD238" s="243"/>
      <c r="LOE238" s="243"/>
      <c r="LOF238" s="243"/>
      <c r="LOG238" s="243"/>
      <c r="LOH238" s="243"/>
      <c r="LOI238" s="243"/>
      <c r="LOJ238" s="243"/>
      <c r="LOK238" s="243"/>
      <c r="LOL238" s="243"/>
      <c r="LOM238" s="243"/>
      <c r="LON238" s="243"/>
      <c r="LOO238" s="243"/>
      <c r="LOP238" s="243"/>
      <c r="LOQ238" s="243"/>
      <c r="LOR238" s="243"/>
      <c r="LOS238" s="243"/>
      <c r="LOT238" s="243"/>
      <c r="LOU238" s="243"/>
      <c r="LOV238" s="243"/>
      <c r="LOW238" s="243"/>
      <c r="LOX238" s="243"/>
      <c r="LOY238" s="243"/>
      <c r="LOZ238" s="243"/>
      <c r="LPA238" s="243"/>
      <c r="LPB238" s="243"/>
      <c r="LPC238" s="243"/>
      <c r="LPD238" s="243"/>
      <c r="LPE238" s="243"/>
      <c r="LPF238" s="243"/>
      <c r="LPG238" s="243"/>
      <c r="LPH238" s="243"/>
      <c r="LPI238" s="243"/>
      <c r="LPJ238" s="243"/>
      <c r="LPK238" s="243"/>
      <c r="LPL238" s="243"/>
      <c r="LPM238" s="243"/>
      <c r="LPN238" s="243"/>
      <c r="LPO238" s="243"/>
      <c r="LPP238" s="243"/>
      <c r="LPQ238" s="243"/>
      <c r="LPR238" s="243"/>
      <c r="LPS238" s="243"/>
      <c r="LPT238" s="243"/>
      <c r="LPU238" s="243"/>
      <c r="LPV238" s="243"/>
      <c r="LPW238" s="243"/>
      <c r="LPX238" s="243"/>
      <c r="LPY238" s="243"/>
      <c r="LPZ238" s="243"/>
      <c r="LQA238" s="243"/>
      <c r="LQB238" s="243"/>
      <c r="LQC238" s="243"/>
      <c r="LQD238" s="243"/>
      <c r="LQE238" s="243"/>
      <c r="LQF238" s="243"/>
      <c r="LQG238" s="243"/>
      <c r="LQH238" s="243"/>
      <c r="LQI238" s="243"/>
      <c r="LQJ238" s="243"/>
      <c r="LQK238" s="243"/>
      <c r="LQL238" s="243"/>
      <c r="LQM238" s="243"/>
      <c r="LQN238" s="243"/>
      <c r="LQO238" s="243"/>
      <c r="LQP238" s="243"/>
      <c r="LQQ238" s="243"/>
      <c r="LQR238" s="243"/>
      <c r="LQS238" s="243"/>
      <c r="LQT238" s="243"/>
      <c r="LQU238" s="243"/>
      <c r="LQV238" s="243"/>
      <c r="LQW238" s="243"/>
      <c r="LQX238" s="243"/>
      <c r="LQY238" s="243"/>
      <c r="LQZ238" s="243"/>
      <c r="LRA238" s="243"/>
      <c r="LRB238" s="243"/>
      <c r="LRC238" s="243"/>
      <c r="LRD238" s="243"/>
      <c r="LRE238" s="243"/>
      <c r="LRF238" s="243"/>
      <c r="LRG238" s="243"/>
      <c r="LRH238" s="243"/>
      <c r="LRI238" s="243"/>
      <c r="LRJ238" s="243"/>
      <c r="LRK238" s="243"/>
      <c r="LRL238" s="243"/>
      <c r="LRM238" s="243"/>
      <c r="LRN238" s="243"/>
      <c r="LRO238" s="243"/>
      <c r="LRP238" s="243"/>
      <c r="LRQ238" s="243"/>
      <c r="LRR238" s="243"/>
      <c r="LRS238" s="243"/>
      <c r="LRT238" s="243"/>
      <c r="LRU238" s="243"/>
      <c r="LRV238" s="243"/>
      <c r="LRW238" s="243"/>
      <c r="LRX238" s="243"/>
      <c r="LRY238" s="243"/>
      <c r="LRZ238" s="243"/>
      <c r="LSA238" s="243"/>
      <c r="LSB238" s="243"/>
      <c r="LSC238" s="243"/>
      <c r="LSD238" s="243"/>
      <c r="LSE238" s="243"/>
      <c r="LSF238" s="243"/>
      <c r="LSG238" s="243"/>
      <c r="LSH238" s="243"/>
      <c r="LSI238" s="243"/>
      <c r="LSJ238" s="243"/>
      <c r="LSK238" s="243"/>
      <c r="LSL238" s="243"/>
      <c r="LSM238" s="243"/>
      <c r="LSN238" s="243"/>
      <c r="LSO238" s="243"/>
      <c r="LSP238" s="243"/>
      <c r="LSQ238" s="243"/>
      <c r="LSR238" s="243"/>
      <c r="LSS238" s="243"/>
      <c r="LST238" s="243"/>
      <c r="LSU238" s="243"/>
      <c r="LSV238" s="243"/>
      <c r="LSW238" s="243"/>
      <c r="LSX238" s="243"/>
      <c r="LSY238" s="243"/>
      <c r="LSZ238" s="243"/>
      <c r="LTA238" s="243"/>
      <c r="LTB238" s="243"/>
      <c r="LTC238" s="243"/>
      <c r="LTD238" s="243"/>
      <c r="LTE238" s="243"/>
      <c r="LTF238" s="243"/>
      <c r="LTG238" s="243"/>
      <c r="LTH238" s="243"/>
      <c r="LTI238" s="243"/>
      <c r="LTJ238" s="243"/>
      <c r="LTK238" s="243"/>
      <c r="LTL238" s="243"/>
      <c r="LTM238" s="243"/>
      <c r="LTN238" s="243"/>
      <c r="LTO238" s="243"/>
      <c r="LTP238" s="243"/>
      <c r="LTQ238" s="243"/>
      <c r="LTR238" s="243"/>
      <c r="LTS238" s="243"/>
      <c r="LTT238" s="243"/>
      <c r="LTU238" s="243"/>
      <c r="LTV238" s="243"/>
      <c r="LTW238" s="243"/>
      <c r="LTX238" s="243"/>
      <c r="LTY238" s="243"/>
      <c r="LTZ238" s="243"/>
      <c r="LUA238" s="243"/>
      <c r="LUB238" s="243"/>
      <c r="LUC238" s="243"/>
      <c r="LUD238" s="243"/>
      <c r="LUE238" s="243"/>
      <c r="LUF238" s="243"/>
      <c r="LUG238" s="243"/>
      <c r="LUH238" s="243"/>
      <c r="LUI238" s="243"/>
      <c r="LUJ238" s="243"/>
      <c r="LUK238" s="243"/>
      <c r="LUL238" s="243"/>
      <c r="LUM238" s="243"/>
      <c r="LUN238" s="243"/>
      <c r="LUO238" s="243"/>
      <c r="LUP238" s="243"/>
      <c r="LUQ238" s="243"/>
      <c r="LUR238" s="243"/>
      <c r="LUS238" s="243"/>
      <c r="LUT238" s="243"/>
      <c r="LUU238" s="243"/>
      <c r="LUV238" s="243"/>
      <c r="LUW238" s="243"/>
      <c r="LUX238" s="243"/>
      <c r="LUY238" s="243"/>
      <c r="LUZ238" s="243"/>
      <c r="LVA238" s="243"/>
      <c r="LVB238" s="243"/>
      <c r="LVC238" s="243"/>
      <c r="LVD238" s="243"/>
      <c r="LVE238" s="243"/>
      <c r="LVF238" s="243"/>
      <c r="LVG238" s="243"/>
      <c r="LVH238" s="243"/>
      <c r="LVI238" s="243"/>
      <c r="LVJ238" s="243"/>
      <c r="LVK238" s="243"/>
      <c r="LVL238" s="243"/>
      <c r="LVM238" s="243"/>
      <c r="LVN238" s="243"/>
      <c r="LVO238" s="243"/>
      <c r="LVP238" s="243"/>
      <c r="LVQ238" s="243"/>
      <c r="LVR238" s="243"/>
      <c r="LVS238" s="243"/>
      <c r="LVT238" s="243"/>
      <c r="LVU238" s="243"/>
      <c r="LVV238" s="243"/>
      <c r="LVW238" s="243"/>
      <c r="LVX238" s="243"/>
      <c r="LVY238" s="243"/>
      <c r="LVZ238" s="243"/>
      <c r="LWA238" s="243"/>
      <c r="LWB238" s="243"/>
      <c r="LWC238" s="243"/>
      <c r="LWD238" s="243"/>
      <c r="LWE238" s="243"/>
      <c r="LWF238" s="243"/>
      <c r="LWG238" s="243"/>
      <c r="LWH238" s="243"/>
      <c r="LWI238" s="243"/>
      <c r="LWJ238" s="243"/>
      <c r="LWK238" s="243"/>
      <c r="LWL238" s="243"/>
      <c r="LWM238" s="243"/>
      <c r="LWN238" s="243"/>
      <c r="LWO238" s="243"/>
      <c r="LWP238" s="243"/>
      <c r="LWQ238" s="243"/>
      <c r="LWR238" s="243"/>
      <c r="LWS238" s="243"/>
      <c r="LWT238" s="243"/>
      <c r="LWU238" s="243"/>
      <c r="LWV238" s="243"/>
      <c r="LWW238" s="243"/>
      <c r="LWX238" s="243"/>
      <c r="LWY238" s="243"/>
      <c r="LWZ238" s="243"/>
      <c r="LXA238" s="243"/>
      <c r="LXB238" s="243"/>
      <c r="LXC238" s="243"/>
      <c r="LXD238" s="243"/>
      <c r="LXE238" s="243"/>
      <c r="LXF238" s="243"/>
      <c r="LXG238" s="243"/>
      <c r="LXH238" s="243"/>
      <c r="LXI238" s="243"/>
      <c r="LXJ238" s="243"/>
      <c r="LXK238" s="243"/>
      <c r="LXL238" s="243"/>
      <c r="LXM238" s="243"/>
      <c r="LXN238" s="243"/>
      <c r="LXO238" s="243"/>
      <c r="LXP238" s="243"/>
      <c r="LXQ238" s="243"/>
      <c r="LXR238" s="243"/>
      <c r="LXS238" s="243"/>
      <c r="LXT238" s="243"/>
      <c r="LXU238" s="243"/>
      <c r="LXV238" s="243"/>
      <c r="LXW238" s="243"/>
      <c r="LXX238" s="243"/>
      <c r="LXY238" s="243"/>
      <c r="LXZ238" s="243"/>
      <c r="LYA238" s="243"/>
      <c r="LYB238" s="243"/>
      <c r="LYC238" s="243"/>
      <c r="LYD238" s="243"/>
      <c r="LYE238" s="243"/>
      <c r="LYF238" s="243"/>
      <c r="LYG238" s="243"/>
      <c r="LYH238" s="243"/>
      <c r="LYI238" s="243"/>
      <c r="LYJ238" s="243"/>
      <c r="LYK238" s="243"/>
      <c r="LYL238" s="243"/>
      <c r="LYM238" s="243"/>
      <c r="LYN238" s="243"/>
      <c r="LYO238" s="243"/>
      <c r="LYP238" s="243"/>
      <c r="LYQ238" s="243"/>
      <c r="LYR238" s="243"/>
      <c r="LYS238" s="243"/>
      <c r="LYT238" s="243"/>
      <c r="LYU238" s="243"/>
      <c r="LYV238" s="243"/>
      <c r="LYW238" s="243"/>
      <c r="LYX238" s="243"/>
      <c r="LYY238" s="243"/>
      <c r="LYZ238" s="243"/>
      <c r="LZA238" s="243"/>
      <c r="LZB238" s="243"/>
      <c r="LZC238" s="243"/>
      <c r="LZD238" s="243"/>
      <c r="LZE238" s="243"/>
      <c r="LZF238" s="243"/>
      <c r="LZG238" s="243"/>
      <c r="LZH238" s="243"/>
      <c r="LZI238" s="243"/>
      <c r="LZJ238" s="243"/>
      <c r="LZK238" s="243"/>
      <c r="LZL238" s="243"/>
      <c r="LZM238" s="243"/>
      <c r="LZN238" s="243"/>
      <c r="LZO238" s="243"/>
      <c r="LZP238" s="243"/>
      <c r="LZQ238" s="243"/>
      <c r="LZR238" s="243"/>
      <c r="LZS238" s="243"/>
      <c r="LZT238" s="243"/>
      <c r="LZU238" s="243"/>
      <c r="LZV238" s="243"/>
      <c r="LZW238" s="243"/>
      <c r="LZX238" s="243"/>
      <c r="LZY238" s="243"/>
      <c r="LZZ238" s="243"/>
      <c r="MAA238" s="243"/>
      <c r="MAB238" s="243"/>
      <c r="MAC238" s="243"/>
      <c r="MAD238" s="243"/>
      <c r="MAE238" s="243"/>
      <c r="MAF238" s="243"/>
      <c r="MAG238" s="243"/>
      <c r="MAH238" s="243"/>
      <c r="MAI238" s="243"/>
      <c r="MAJ238" s="243"/>
      <c r="MAK238" s="243"/>
      <c r="MAL238" s="243"/>
      <c r="MAM238" s="243"/>
      <c r="MAN238" s="243"/>
      <c r="MAO238" s="243"/>
      <c r="MAP238" s="243"/>
      <c r="MAQ238" s="243"/>
      <c r="MAR238" s="243"/>
      <c r="MAS238" s="243"/>
      <c r="MAT238" s="243"/>
      <c r="MAU238" s="243"/>
      <c r="MAV238" s="243"/>
      <c r="MAW238" s="243"/>
      <c r="MAX238" s="243"/>
      <c r="MAY238" s="243"/>
      <c r="MAZ238" s="243"/>
      <c r="MBA238" s="243"/>
      <c r="MBB238" s="243"/>
      <c r="MBC238" s="243"/>
      <c r="MBD238" s="243"/>
      <c r="MBE238" s="243"/>
      <c r="MBF238" s="243"/>
      <c r="MBG238" s="243"/>
      <c r="MBH238" s="243"/>
      <c r="MBI238" s="243"/>
      <c r="MBJ238" s="243"/>
      <c r="MBK238" s="243"/>
      <c r="MBL238" s="243"/>
      <c r="MBM238" s="243"/>
      <c r="MBN238" s="243"/>
      <c r="MBO238" s="243"/>
      <c r="MBP238" s="243"/>
      <c r="MBQ238" s="243"/>
      <c r="MBR238" s="243"/>
      <c r="MBS238" s="243"/>
      <c r="MBT238" s="243"/>
      <c r="MBU238" s="243"/>
      <c r="MBV238" s="243"/>
      <c r="MBW238" s="243"/>
      <c r="MBX238" s="243"/>
      <c r="MBY238" s="243"/>
      <c r="MBZ238" s="243"/>
      <c r="MCA238" s="243"/>
      <c r="MCB238" s="243"/>
      <c r="MCC238" s="243"/>
      <c r="MCD238" s="243"/>
      <c r="MCE238" s="243"/>
      <c r="MCF238" s="243"/>
      <c r="MCG238" s="243"/>
      <c r="MCH238" s="243"/>
      <c r="MCI238" s="243"/>
      <c r="MCJ238" s="243"/>
      <c r="MCK238" s="243"/>
      <c r="MCL238" s="243"/>
      <c r="MCM238" s="243"/>
      <c r="MCN238" s="243"/>
      <c r="MCO238" s="243"/>
      <c r="MCP238" s="243"/>
      <c r="MCQ238" s="243"/>
      <c r="MCR238" s="243"/>
      <c r="MCS238" s="243"/>
      <c r="MCT238" s="243"/>
      <c r="MCU238" s="243"/>
      <c r="MCV238" s="243"/>
      <c r="MCW238" s="243"/>
      <c r="MCX238" s="243"/>
      <c r="MCY238" s="243"/>
      <c r="MCZ238" s="243"/>
      <c r="MDA238" s="243"/>
      <c r="MDB238" s="243"/>
      <c r="MDC238" s="243"/>
      <c r="MDD238" s="243"/>
      <c r="MDE238" s="243"/>
      <c r="MDF238" s="243"/>
      <c r="MDG238" s="243"/>
      <c r="MDH238" s="243"/>
      <c r="MDI238" s="243"/>
      <c r="MDJ238" s="243"/>
      <c r="MDK238" s="243"/>
      <c r="MDL238" s="243"/>
      <c r="MDM238" s="243"/>
      <c r="MDN238" s="243"/>
      <c r="MDO238" s="243"/>
      <c r="MDP238" s="243"/>
      <c r="MDQ238" s="243"/>
      <c r="MDR238" s="243"/>
      <c r="MDS238" s="243"/>
      <c r="MDT238" s="243"/>
      <c r="MDU238" s="243"/>
      <c r="MDV238" s="243"/>
      <c r="MDW238" s="243"/>
      <c r="MDX238" s="243"/>
      <c r="MDY238" s="243"/>
      <c r="MDZ238" s="243"/>
      <c r="MEA238" s="243"/>
      <c r="MEB238" s="243"/>
      <c r="MEC238" s="243"/>
      <c r="MED238" s="243"/>
      <c r="MEE238" s="243"/>
      <c r="MEF238" s="243"/>
      <c r="MEG238" s="243"/>
      <c r="MEH238" s="243"/>
      <c r="MEI238" s="243"/>
      <c r="MEJ238" s="243"/>
      <c r="MEK238" s="243"/>
      <c r="MEL238" s="243"/>
      <c r="MEM238" s="243"/>
      <c r="MEN238" s="243"/>
      <c r="MEO238" s="243"/>
      <c r="MEP238" s="243"/>
      <c r="MEQ238" s="243"/>
      <c r="MER238" s="243"/>
      <c r="MES238" s="243"/>
      <c r="MET238" s="243"/>
      <c r="MEU238" s="243"/>
      <c r="MEV238" s="243"/>
      <c r="MEW238" s="243"/>
      <c r="MEX238" s="243"/>
      <c r="MEY238" s="243"/>
      <c r="MEZ238" s="243"/>
      <c r="MFA238" s="243"/>
      <c r="MFB238" s="243"/>
      <c r="MFC238" s="243"/>
      <c r="MFD238" s="243"/>
      <c r="MFE238" s="243"/>
      <c r="MFF238" s="243"/>
      <c r="MFG238" s="243"/>
      <c r="MFH238" s="243"/>
      <c r="MFI238" s="243"/>
      <c r="MFJ238" s="243"/>
      <c r="MFK238" s="243"/>
      <c r="MFL238" s="243"/>
      <c r="MFM238" s="243"/>
      <c r="MFN238" s="243"/>
      <c r="MFO238" s="243"/>
      <c r="MFP238" s="243"/>
      <c r="MFQ238" s="243"/>
      <c r="MFR238" s="243"/>
      <c r="MFS238" s="243"/>
      <c r="MFT238" s="243"/>
      <c r="MFU238" s="243"/>
      <c r="MFV238" s="243"/>
      <c r="MFW238" s="243"/>
      <c r="MFX238" s="243"/>
      <c r="MFY238" s="243"/>
      <c r="MFZ238" s="243"/>
      <c r="MGA238" s="243"/>
      <c r="MGB238" s="243"/>
      <c r="MGC238" s="243"/>
      <c r="MGD238" s="243"/>
      <c r="MGE238" s="243"/>
      <c r="MGF238" s="243"/>
      <c r="MGG238" s="243"/>
      <c r="MGH238" s="243"/>
      <c r="MGI238" s="243"/>
      <c r="MGJ238" s="243"/>
      <c r="MGK238" s="243"/>
      <c r="MGL238" s="243"/>
      <c r="MGM238" s="243"/>
      <c r="MGN238" s="243"/>
      <c r="MGO238" s="243"/>
      <c r="MGP238" s="243"/>
      <c r="MGQ238" s="243"/>
      <c r="MGR238" s="243"/>
      <c r="MGS238" s="243"/>
      <c r="MGT238" s="243"/>
      <c r="MGU238" s="243"/>
      <c r="MGV238" s="243"/>
      <c r="MGW238" s="243"/>
      <c r="MGX238" s="243"/>
      <c r="MGY238" s="243"/>
      <c r="MGZ238" s="243"/>
      <c r="MHA238" s="243"/>
      <c r="MHB238" s="243"/>
      <c r="MHC238" s="243"/>
      <c r="MHD238" s="243"/>
      <c r="MHE238" s="243"/>
      <c r="MHF238" s="243"/>
      <c r="MHG238" s="243"/>
      <c r="MHH238" s="243"/>
      <c r="MHI238" s="243"/>
      <c r="MHJ238" s="243"/>
      <c r="MHK238" s="243"/>
      <c r="MHL238" s="243"/>
      <c r="MHM238" s="243"/>
      <c r="MHN238" s="243"/>
      <c r="MHO238" s="243"/>
      <c r="MHP238" s="243"/>
      <c r="MHQ238" s="243"/>
      <c r="MHR238" s="243"/>
      <c r="MHS238" s="243"/>
      <c r="MHT238" s="243"/>
      <c r="MHU238" s="243"/>
      <c r="MHV238" s="243"/>
      <c r="MHW238" s="243"/>
      <c r="MHX238" s="243"/>
      <c r="MHY238" s="243"/>
      <c r="MHZ238" s="243"/>
      <c r="MIA238" s="243"/>
      <c r="MIB238" s="243"/>
      <c r="MIC238" s="243"/>
      <c r="MID238" s="243"/>
      <c r="MIE238" s="243"/>
      <c r="MIF238" s="243"/>
      <c r="MIG238" s="243"/>
      <c r="MIH238" s="243"/>
      <c r="MII238" s="243"/>
      <c r="MIJ238" s="243"/>
      <c r="MIK238" s="243"/>
      <c r="MIL238" s="243"/>
      <c r="MIM238" s="243"/>
      <c r="MIN238" s="243"/>
      <c r="MIO238" s="243"/>
      <c r="MIP238" s="243"/>
      <c r="MIQ238" s="243"/>
      <c r="MIR238" s="243"/>
      <c r="MIS238" s="243"/>
      <c r="MIT238" s="243"/>
      <c r="MIU238" s="243"/>
      <c r="MIV238" s="243"/>
      <c r="MIW238" s="243"/>
      <c r="MIX238" s="243"/>
      <c r="MIY238" s="243"/>
      <c r="MIZ238" s="243"/>
      <c r="MJA238" s="243"/>
      <c r="MJB238" s="243"/>
      <c r="MJC238" s="243"/>
      <c r="MJD238" s="243"/>
      <c r="MJE238" s="243"/>
      <c r="MJF238" s="243"/>
      <c r="MJG238" s="243"/>
      <c r="MJH238" s="243"/>
      <c r="MJI238" s="243"/>
      <c r="MJJ238" s="243"/>
      <c r="MJK238" s="243"/>
      <c r="MJL238" s="243"/>
      <c r="MJM238" s="243"/>
      <c r="MJN238" s="243"/>
      <c r="MJO238" s="243"/>
      <c r="MJP238" s="243"/>
      <c r="MJQ238" s="243"/>
      <c r="MJR238" s="243"/>
      <c r="MJS238" s="243"/>
      <c r="MJT238" s="243"/>
      <c r="MJU238" s="243"/>
      <c r="MJV238" s="243"/>
      <c r="MJW238" s="243"/>
      <c r="MJX238" s="243"/>
      <c r="MJY238" s="243"/>
      <c r="MJZ238" s="243"/>
      <c r="MKA238" s="243"/>
      <c r="MKB238" s="243"/>
      <c r="MKC238" s="243"/>
      <c r="MKD238" s="243"/>
      <c r="MKE238" s="243"/>
      <c r="MKF238" s="243"/>
      <c r="MKG238" s="243"/>
      <c r="MKH238" s="243"/>
      <c r="MKI238" s="243"/>
      <c r="MKJ238" s="243"/>
      <c r="MKK238" s="243"/>
      <c r="MKL238" s="243"/>
      <c r="MKM238" s="243"/>
      <c r="MKN238" s="243"/>
      <c r="MKO238" s="243"/>
      <c r="MKP238" s="243"/>
      <c r="MKQ238" s="243"/>
      <c r="MKR238" s="243"/>
      <c r="MKS238" s="243"/>
      <c r="MKT238" s="243"/>
      <c r="MKU238" s="243"/>
      <c r="MKV238" s="243"/>
      <c r="MKW238" s="243"/>
      <c r="MKX238" s="243"/>
      <c r="MKY238" s="243"/>
      <c r="MKZ238" s="243"/>
      <c r="MLA238" s="243"/>
      <c r="MLB238" s="243"/>
      <c r="MLC238" s="243"/>
      <c r="MLD238" s="243"/>
      <c r="MLE238" s="243"/>
      <c r="MLF238" s="243"/>
      <c r="MLG238" s="243"/>
      <c r="MLH238" s="243"/>
      <c r="MLI238" s="243"/>
      <c r="MLJ238" s="243"/>
      <c r="MLK238" s="243"/>
      <c r="MLL238" s="243"/>
      <c r="MLM238" s="243"/>
      <c r="MLN238" s="243"/>
      <c r="MLO238" s="243"/>
      <c r="MLP238" s="243"/>
      <c r="MLQ238" s="243"/>
      <c r="MLR238" s="243"/>
      <c r="MLS238" s="243"/>
      <c r="MLT238" s="243"/>
      <c r="MLU238" s="243"/>
      <c r="MLV238" s="243"/>
      <c r="MLW238" s="243"/>
      <c r="MLX238" s="243"/>
      <c r="MLY238" s="243"/>
      <c r="MLZ238" s="243"/>
      <c r="MMA238" s="243"/>
      <c r="MMB238" s="243"/>
      <c r="MMC238" s="243"/>
      <c r="MMD238" s="243"/>
      <c r="MME238" s="243"/>
      <c r="MMF238" s="243"/>
      <c r="MMG238" s="243"/>
      <c r="MMH238" s="243"/>
      <c r="MMI238" s="243"/>
      <c r="MMJ238" s="243"/>
      <c r="MMK238" s="243"/>
      <c r="MML238" s="243"/>
      <c r="MMM238" s="243"/>
      <c r="MMN238" s="243"/>
      <c r="MMO238" s="243"/>
      <c r="MMP238" s="243"/>
      <c r="MMQ238" s="243"/>
      <c r="MMR238" s="243"/>
      <c r="MMS238" s="243"/>
      <c r="MMT238" s="243"/>
      <c r="MMU238" s="243"/>
      <c r="MMV238" s="243"/>
      <c r="MMW238" s="243"/>
      <c r="MMX238" s="243"/>
      <c r="MMY238" s="243"/>
      <c r="MMZ238" s="243"/>
      <c r="MNA238" s="243"/>
      <c r="MNB238" s="243"/>
      <c r="MNC238" s="243"/>
      <c r="MND238" s="243"/>
      <c r="MNE238" s="243"/>
      <c r="MNF238" s="243"/>
      <c r="MNG238" s="243"/>
      <c r="MNH238" s="243"/>
      <c r="MNI238" s="243"/>
      <c r="MNJ238" s="243"/>
      <c r="MNK238" s="243"/>
      <c r="MNL238" s="243"/>
      <c r="MNM238" s="243"/>
      <c r="MNN238" s="243"/>
      <c r="MNO238" s="243"/>
      <c r="MNP238" s="243"/>
      <c r="MNQ238" s="243"/>
      <c r="MNR238" s="243"/>
      <c r="MNS238" s="243"/>
      <c r="MNT238" s="243"/>
      <c r="MNU238" s="243"/>
      <c r="MNV238" s="243"/>
      <c r="MNW238" s="243"/>
      <c r="MNX238" s="243"/>
      <c r="MNY238" s="243"/>
      <c r="MNZ238" s="243"/>
      <c r="MOA238" s="243"/>
      <c r="MOB238" s="243"/>
      <c r="MOC238" s="243"/>
      <c r="MOD238" s="243"/>
      <c r="MOE238" s="243"/>
      <c r="MOF238" s="243"/>
      <c r="MOG238" s="243"/>
      <c r="MOH238" s="243"/>
      <c r="MOI238" s="243"/>
      <c r="MOJ238" s="243"/>
      <c r="MOK238" s="243"/>
      <c r="MOL238" s="243"/>
      <c r="MOM238" s="243"/>
      <c r="MON238" s="243"/>
      <c r="MOO238" s="243"/>
      <c r="MOP238" s="243"/>
      <c r="MOQ238" s="243"/>
      <c r="MOR238" s="243"/>
      <c r="MOS238" s="243"/>
      <c r="MOT238" s="243"/>
      <c r="MOU238" s="243"/>
      <c r="MOV238" s="243"/>
      <c r="MOW238" s="243"/>
      <c r="MOX238" s="243"/>
      <c r="MOY238" s="243"/>
      <c r="MOZ238" s="243"/>
      <c r="MPA238" s="243"/>
      <c r="MPB238" s="243"/>
      <c r="MPC238" s="243"/>
      <c r="MPD238" s="243"/>
      <c r="MPE238" s="243"/>
      <c r="MPF238" s="243"/>
      <c r="MPG238" s="243"/>
      <c r="MPH238" s="243"/>
      <c r="MPI238" s="243"/>
      <c r="MPJ238" s="243"/>
      <c r="MPK238" s="243"/>
      <c r="MPL238" s="243"/>
      <c r="MPM238" s="243"/>
      <c r="MPN238" s="243"/>
      <c r="MPO238" s="243"/>
      <c r="MPP238" s="243"/>
      <c r="MPQ238" s="243"/>
      <c r="MPR238" s="243"/>
      <c r="MPS238" s="243"/>
      <c r="MPT238" s="243"/>
      <c r="MPU238" s="243"/>
      <c r="MPV238" s="243"/>
      <c r="MPW238" s="243"/>
      <c r="MPX238" s="243"/>
      <c r="MPY238" s="243"/>
      <c r="MPZ238" s="243"/>
      <c r="MQA238" s="243"/>
      <c r="MQB238" s="243"/>
      <c r="MQC238" s="243"/>
      <c r="MQD238" s="243"/>
      <c r="MQE238" s="243"/>
      <c r="MQF238" s="243"/>
      <c r="MQG238" s="243"/>
      <c r="MQH238" s="243"/>
      <c r="MQI238" s="243"/>
      <c r="MQJ238" s="243"/>
      <c r="MQK238" s="243"/>
      <c r="MQL238" s="243"/>
      <c r="MQM238" s="243"/>
      <c r="MQN238" s="243"/>
      <c r="MQO238" s="243"/>
      <c r="MQP238" s="243"/>
      <c r="MQQ238" s="243"/>
      <c r="MQR238" s="243"/>
      <c r="MQS238" s="243"/>
      <c r="MQT238" s="243"/>
      <c r="MQU238" s="243"/>
      <c r="MQV238" s="243"/>
      <c r="MQW238" s="243"/>
      <c r="MQX238" s="243"/>
      <c r="MQY238" s="243"/>
      <c r="MQZ238" s="243"/>
      <c r="MRA238" s="243"/>
      <c r="MRB238" s="243"/>
      <c r="MRC238" s="243"/>
      <c r="MRD238" s="243"/>
      <c r="MRE238" s="243"/>
      <c r="MRF238" s="243"/>
      <c r="MRG238" s="243"/>
      <c r="MRH238" s="243"/>
      <c r="MRI238" s="243"/>
      <c r="MRJ238" s="243"/>
      <c r="MRK238" s="243"/>
      <c r="MRL238" s="243"/>
      <c r="MRM238" s="243"/>
      <c r="MRN238" s="243"/>
      <c r="MRO238" s="243"/>
      <c r="MRP238" s="243"/>
      <c r="MRQ238" s="243"/>
      <c r="MRR238" s="243"/>
      <c r="MRS238" s="243"/>
      <c r="MRT238" s="243"/>
      <c r="MRU238" s="243"/>
      <c r="MRV238" s="243"/>
      <c r="MRW238" s="243"/>
      <c r="MRX238" s="243"/>
      <c r="MRY238" s="243"/>
      <c r="MRZ238" s="243"/>
      <c r="MSA238" s="243"/>
      <c r="MSB238" s="243"/>
      <c r="MSC238" s="243"/>
      <c r="MSD238" s="243"/>
      <c r="MSE238" s="243"/>
      <c r="MSF238" s="243"/>
      <c r="MSG238" s="243"/>
      <c r="MSH238" s="243"/>
      <c r="MSI238" s="243"/>
      <c r="MSJ238" s="243"/>
      <c r="MSK238" s="243"/>
      <c r="MSL238" s="243"/>
      <c r="MSM238" s="243"/>
      <c r="MSN238" s="243"/>
      <c r="MSO238" s="243"/>
      <c r="MSP238" s="243"/>
      <c r="MSQ238" s="243"/>
      <c r="MSR238" s="243"/>
      <c r="MSS238" s="243"/>
      <c r="MST238" s="243"/>
      <c r="MSU238" s="243"/>
      <c r="MSV238" s="243"/>
      <c r="MSW238" s="243"/>
      <c r="MSX238" s="243"/>
      <c r="MSY238" s="243"/>
      <c r="MSZ238" s="243"/>
      <c r="MTA238" s="243"/>
      <c r="MTB238" s="243"/>
      <c r="MTC238" s="243"/>
      <c r="MTD238" s="243"/>
      <c r="MTE238" s="243"/>
      <c r="MTF238" s="243"/>
      <c r="MTG238" s="243"/>
      <c r="MTH238" s="243"/>
      <c r="MTI238" s="243"/>
      <c r="MTJ238" s="243"/>
      <c r="MTK238" s="243"/>
      <c r="MTL238" s="243"/>
      <c r="MTM238" s="243"/>
      <c r="MTN238" s="243"/>
      <c r="MTO238" s="243"/>
      <c r="MTP238" s="243"/>
      <c r="MTQ238" s="243"/>
      <c r="MTR238" s="243"/>
      <c r="MTS238" s="243"/>
      <c r="MTT238" s="243"/>
      <c r="MTU238" s="243"/>
      <c r="MTV238" s="243"/>
      <c r="MTW238" s="243"/>
      <c r="MTX238" s="243"/>
      <c r="MTY238" s="243"/>
      <c r="MTZ238" s="243"/>
      <c r="MUA238" s="243"/>
      <c r="MUB238" s="243"/>
      <c r="MUC238" s="243"/>
      <c r="MUD238" s="243"/>
      <c r="MUE238" s="243"/>
      <c r="MUF238" s="243"/>
      <c r="MUG238" s="243"/>
      <c r="MUH238" s="243"/>
      <c r="MUI238" s="243"/>
      <c r="MUJ238" s="243"/>
      <c r="MUK238" s="243"/>
      <c r="MUL238" s="243"/>
      <c r="MUM238" s="243"/>
      <c r="MUN238" s="243"/>
      <c r="MUO238" s="243"/>
      <c r="MUP238" s="243"/>
      <c r="MUQ238" s="243"/>
      <c r="MUR238" s="243"/>
      <c r="MUS238" s="243"/>
      <c r="MUT238" s="243"/>
      <c r="MUU238" s="243"/>
      <c r="MUV238" s="243"/>
      <c r="MUW238" s="243"/>
      <c r="MUX238" s="243"/>
      <c r="MUY238" s="243"/>
      <c r="MUZ238" s="243"/>
      <c r="MVA238" s="243"/>
      <c r="MVB238" s="243"/>
      <c r="MVC238" s="243"/>
      <c r="MVD238" s="243"/>
      <c r="MVE238" s="243"/>
      <c r="MVF238" s="243"/>
      <c r="MVG238" s="243"/>
      <c r="MVH238" s="243"/>
      <c r="MVI238" s="243"/>
      <c r="MVJ238" s="243"/>
      <c r="MVK238" s="243"/>
      <c r="MVL238" s="243"/>
      <c r="MVM238" s="243"/>
      <c r="MVN238" s="243"/>
      <c r="MVO238" s="243"/>
      <c r="MVP238" s="243"/>
      <c r="MVQ238" s="243"/>
      <c r="MVR238" s="243"/>
      <c r="MVS238" s="243"/>
      <c r="MVT238" s="243"/>
      <c r="MVU238" s="243"/>
      <c r="MVV238" s="243"/>
      <c r="MVW238" s="243"/>
      <c r="MVX238" s="243"/>
      <c r="MVY238" s="243"/>
      <c r="MVZ238" s="243"/>
      <c r="MWA238" s="243"/>
      <c r="MWB238" s="243"/>
      <c r="MWC238" s="243"/>
      <c r="MWD238" s="243"/>
      <c r="MWE238" s="243"/>
      <c r="MWF238" s="243"/>
      <c r="MWG238" s="243"/>
      <c r="MWH238" s="243"/>
      <c r="MWI238" s="243"/>
      <c r="MWJ238" s="243"/>
      <c r="MWK238" s="243"/>
      <c r="MWL238" s="243"/>
      <c r="MWM238" s="243"/>
      <c r="MWN238" s="243"/>
      <c r="MWO238" s="243"/>
      <c r="MWP238" s="243"/>
      <c r="MWQ238" s="243"/>
      <c r="MWR238" s="243"/>
      <c r="MWS238" s="243"/>
      <c r="MWT238" s="243"/>
      <c r="MWU238" s="243"/>
      <c r="MWV238" s="243"/>
      <c r="MWW238" s="243"/>
      <c r="MWX238" s="243"/>
      <c r="MWY238" s="243"/>
      <c r="MWZ238" s="243"/>
      <c r="MXA238" s="243"/>
      <c r="MXB238" s="243"/>
      <c r="MXC238" s="243"/>
      <c r="MXD238" s="243"/>
      <c r="MXE238" s="243"/>
      <c r="MXF238" s="243"/>
      <c r="MXG238" s="243"/>
      <c r="MXH238" s="243"/>
      <c r="MXI238" s="243"/>
      <c r="MXJ238" s="243"/>
      <c r="MXK238" s="243"/>
      <c r="MXL238" s="243"/>
      <c r="MXM238" s="243"/>
      <c r="MXN238" s="243"/>
      <c r="MXO238" s="243"/>
      <c r="MXP238" s="243"/>
      <c r="MXQ238" s="243"/>
      <c r="MXR238" s="243"/>
      <c r="MXS238" s="243"/>
      <c r="MXT238" s="243"/>
      <c r="MXU238" s="243"/>
      <c r="MXV238" s="243"/>
      <c r="MXW238" s="243"/>
      <c r="MXX238" s="243"/>
      <c r="MXY238" s="243"/>
      <c r="MXZ238" s="243"/>
      <c r="MYA238" s="243"/>
      <c r="MYB238" s="243"/>
      <c r="MYC238" s="243"/>
      <c r="MYD238" s="243"/>
      <c r="MYE238" s="243"/>
      <c r="MYF238" s="243"/>
      <c r="MYG238" s="243"/>
      <c r="MYH238" s="243"/>
      <c r="MYI238" s="243"/>
      <c r="MYJ238" s="243"/>
      <c r="MYK238" s="243"/>
      <c r="MYL238" s="243"/>
      <c r="MYM238" s="243"/>
      <c r="MYN238" s="243"/>
      <c r="MYO238" s="243"/>
      <c r="MYP238" s="243"/>
      <c r="MYQ238" s="243"/>
      <c r="MYR238" s="243"/>
      <c r="MYS238" s="243"/>
      <c r="MYT238" s="243"/>
      <c r="MYU238" s="243"/>
      <c r="MYV238" s="243"/>
      <c r="MYW238" s="243"/>
      <c r="MYX238" s="243"/>
      <c r="MYY238" s="243"/>
      <c r="MYZ238" s="243"/>
      <c r="MZA238" s="243"/>
      <c r="MZB238" s="243"/>
      <c r="MZC238" s="243"/>
      <c r="MZD238" s="243"/>
      <c r="MZE238" s="243"/>
      <c r="MZF238" s="243"/>
      <c r="MZG238" s="243"/>
      <c r="MZH238" s="243"/>
      <c r="MZI238" s="243"/>
      <c r="MZJ238" s="243"/>
      <c r="MZK238" s="243"/>
      <c r="MZL238" s="243"/>
      <c r="MZM238" s="243"/>
      <c r="MZN238" s="243"/>
      <c r="MZO238" s="243"/>
      <c r="MZP238" s="243"/>
      <c r="MZQ238" s="243"/>
      <c r="MZR238" s="243"/>
      <c r="MZS238" s="243"/>
      <c r="MZT238" s="243"/>
      <c r="MZU238" s="243"/>
      <c r="MZV238" s="243"/>
      <c r="MZW238" s="243"/>
      <c r="MZX238" s="243"/>
      <c r="MZY238" s="243"/>
      <c r="MZZ238" s="243"/>
      <c r="NAA238" s="243"/>
      <c r="NAB238" s="243"/>
      <c r="NAC238" s="243"/>
      <c r="NAD238" s="243"/>
      <c r="NAE238" s="243"/>
      <c r="NAF238" s="243"/>
      <c r="NAG238" s="243"/>
      <c r="NAH238" s="243"/>
      <c r="NAI238" s="243"/>
      <c r="NAJ238" s="243"/>
      <c r="NAK238" s="243"/>
      <c r="NAL238" s="243"/>
      <c r="NAM238" s="243"/>
      <c r="NAN238" s="243"/>
      <c r="NAO238" s="243"/>
      <c r="NAP238" s="243"/>
      <c r="NAQ238" s="243"/>
      <c r="NAR238" s="243"/>
      <c r="NAS238" s="243"/>
      <c r="NAT238" s="243"/>
      <c r="NAU238" s="243"/>
      <c r="NAV238" s="243"/>
      <c r="NAW238" s="243"/>
      <c r="NAX238" s="243"/>
      <c r="NAY238" s="243"/>
      <c r="NAZ238" s="243"/>
      <c r="NBA238" s="243"/>
      <c r="NBB238" s="243"/>
      <c r="NBC238" s="243"/>
      <c r="NBD238" s="243"/>
      <c r="NBE238" s="243"/>
      <c r="NBF238" s="243"/>
      <c r="NBG238" s="243"/>
      <c r="NBH238" s="243"/>
      <c r="NBI238" s="243"/>
      <c r="NBJ238" s="243"/>
      <c r="NBK238" s="243"/>
      <c r="NBL238" s="243"/>
      <c r="NBM238" s="243"/>
      <c r="NBN238" s="243"/>
      <c r="NBO238" s="243"/>
      <c r="NBP238" s="243"/>
      <c r="NBQ238" s="243"/>
      <c r="NBR238" s="243"/>
      <c r="NBS238" s="243"/>
      <c r="NBT238" s="243"/>
      <c r="NBU238" s="243"/>
      <c r="NBV238" s="243"/>
      <c r="NBW238" s="243"/>
      <c r="NBX238" s="243"/>
      <c r="NBY238" s="243"/>
      <c r="NBZ238" s="243"/>
      <c r="NCA238" s="243"/>
      <c r="NCB238" s="243"/>
      <c r="NCC238" s="243"/>
      <c r="NCD238" s="243"/>
      <c r="NCE238" s="243"/>
      <c r="NCF238" s="243"/>
      <c r="NCG238" s="243"/>
      <c r="NCH238" s="243"/>
      <c r="NCI238" s="243"/>
      <c r="NCJ238" s="243"/>
      <c r="NCK238" s="243"/>
      <c r="NCL238" s="243"/>
      <c r="NCM238" s="243"/>
      <c r="NCN238" s="243"/>
      <c r="NCO238" s="243"/>
      <c r="NCP238" s="243"/>
      <c r="NCQ238" s="243"/>
      <c r="NCR238" s="243"/>
      <c r="NCS238" s="243"/>
      <c r="NCT238" s="243"/>
      <c r="NCU238" s="243"/>
      <c r="NCV238" s="243"/>
      <c r="NCW238" s="243"/>
      <c r="NCX238" s="243"/>
      <c r="NCY238" s="243"/>
      <c r="NCZ238" s="243"/>
      <c r="NDA238" s="243"/>
      <c r="NDB238" s="243"/>
      <c r="NDC238" s="243"/>
      <c r="NDD238" s="243"/>
      <c r="NDE238" s="243"/>
      <c r="NDF238" s="243"/>
      <c r="NDG238" s="243"/>
      <c r="NDH238" s="243"/>
      <c r="NDI238" s="243"/>
      <c r="NDJ238" s="243"/>
      <c r="NDK238" s="243"/>
      <c r="NDL238" s="243"/>
      <c r="NDM238" s="243"/>
      <c r="NDN238" s="243"/>
      <c r="NDO238" s="243"/>
      <c r="NDP238" s="243"/>
      <c r="NDQ238" s="243"/>
      <c r="NDR238" s="243"/>
      <c r="NDS238" s="243"/>
      <c r="NDT238" s="243"/>
      <c r="NDU238" s="243"/>
      <c r="NDV238" s="243"/>
      <c r="NDW238" s="243"/>
      <c r="NDX238" s="243"/>
      <c r="NDY238" s="243"/>
      <c r="NDZ238" s="243"/>
      <c r="NEA238" s="243"/>
      <c r="NEB238" s="243"/>
      <c r="NEC238" s="243"/>
      <c r="NED238" s="243"/>
      <c r="NEE238" s="243"/>
      <c r="NEF238" s="243"/>
      <c r="NEG238" s="243"/>
      <c r="NEH238" s="243"/>
      <c r="NEI238" s="243"/>
      <c r="NEJ238" s="243"/>
      <c r="NEK238" s="243"/>
      <c r="NEL238" s="243"/>
      <c r="NEM238" s="243"/>
      <c r="NEN238" s="243"/>
      <c r="NEO238" s="243"/>
      <c r="NEP238" s="243"/>
      <c r="NEQ238" s="243"/>
      <c r="NER238" s="243"/>
      <c r="NES238" s="243"/>
      <c r="NET238" s="243"/>
      <c r="NEU238" s="243"/>
      <c r="NEV238" s="243"/>
      <c r="NEW238" s="243"/>
      <c r="NEX238" s="243"/>
      <c r="NEY238" s="243"/>
      <c r="NEZ238" s="243"/>
      <c r="NFA238" s="243"/>
      <c r="NFB238" s="243"/>
      <c r="NFC238" s="243"/>
      <c r="NFD238" s="243"/>
      <c r="NFE238" s="243"/>
      <c r="NFF238" s="243"/>
      <c r="NFG238" s="243"/>
      <c r="NFH238" s="243"/>
      <c r="NFI238" s="243"/>
      <c r="NFJ238" s="243"/>
      <c r="NFK238" s="243"/>
      <c r="NFL238" s="243"/>
      <c r="NFM238" s="243"/>
      <c r="NFN238" s="243"/>
      <c r="NFO238" s="243"/>
      <c r="NFP238" s="243"/>
      <c r="NFQ238" s="243"/>
      <c r="NFR238" s="243"/>
      <c r="NFS238" s="243"/>
      <c r="NFT238" s="243"/>
      <c r="NFU238" s="243"/>
      <c r="NFV238" s="243"/>
      <c r="NFW238" s="243"/>
      <c r="NFX238" s="243"/>
      <c r="NFY238" s="243"/>
      <c r="NFZ238" s="243"/>
      <c r="NGA238" s="243"/>
      <c r="NGB238" s="243"/>
      <c r="NGC238" s="243"/>
      <c r="NGD238" s="243"/>
      <c r="NGE238" s="243"/>
      <c r="NGF238" s="243"/>
      <c r="NGG238" s="243"/>
      <c r="NGH238" s="243"/>
      <c r="NGI238" s="243"/>
      <c r="NGJ238" s="243"/>
      <c r="NGK238" s="243"/>
      <c r="NGL238" s="243"/>
      <c r="NGM238" s="243"/>
      <c r="NGN238" s="243"/>
      <c r="NGO238" s="243"/>
      <c r="NGP238" s="243"/>
      <c r="NGQ238" s="243"/>
      <c r="NGR238" s="243"/>
      <c r="NGS238" s="243"/>
      <c r="NGT238" s="243"/>
      <c r="NGU238" s="243"/>
      <c r="NGV238" s="243"/>
      <c r="NGW238" s="243"/>
      <c r="NGX238" s="243"/>
      <c r="NGY238" s="243"/>
      <c r="NGZ238" s="243"/>
      <c r="NHA238" s="243"/>
      <c r="NHB238" s="243"/>
      <c r="NHC238" s="243"/>
      <c r="NHD238" s="243"/>
      <c r="NHE238" s="243"/>
      <c r="NHF238" s="243"/>
      <c r="NHG238" s="243"/>
      <c r="NHH238" s="243"/>
      <c r="NHI238" s="243"/>
      <c r="NHJ238" s="243"/>
      <c r="NHK238" s="243"/>
      <c r="NHL238" s="243"/>
      <c r="NHM238" s="243"/>
      <c r="NHN238" s="243"/>
      <c r="NHO238" s="243"/>
      <c r="NHP238" s="243"/>
      <c r="NHQ238" s="243"/>
      <c r="NHR238" s="243"/>
      <c r="NHS238" s="243"/>
      <c r="NHT238" s="243"/>
      <c r="NHU238" s="243"/>
      <c r="NHV238" s="243"/>
      <c r="NHW238" s="243"/>
      <c r="NHX238" s="243"/>
      <c r="NHY238" s="243"/>
      <c r="NHZ238" s="243"/>
      <c r="NIA238" s="243"/>
      <c r="NIB238" s="243"/>
      <c r="NIC238" s="243"/>
      <c r="NID238" s="243"/>
      <c r="NIE238" s="243"/>
      <c r="NIF238" s="243"/>
      <c r="NIG238" s="243"/>
      <c r="NIH238" s="243"/>
      <c r="NII238" s="243"/>
      <c r="NIJ238" s="243"/>
      <c r="NIK238" s="243"/>
      <c r="NIL238" s="243"/>
      <c r="NIM238" s="243"/>
      <c r="NIN238" s="243"/>
      <c r="NIO238" s="243"/>
      <c r="NIP238" s="243"/>
      <c r="NIQ238" s="243"/>
      <c r="NIR238" s="243"/>
      <c r="NIS238" s="243"/>
      <c r="NIT238" s="243"/>
      <c r="NIU238" s="243"/>
      <c r="NIV238" s="243"/>
      <c r="NIW238" s="243"/>
      <c r="NIX238" s="243"/>
      <c r="NIY238" s="243"/>
      <c r="NIZ238" s="243"/>
      <c r="NJA238" s="243"/>
      <c r="NJB238" s="243"/>
      <c r="NJC238" s="243"/>
      <c r="NJD238" s="243"/>
      <c r="NJE238" s="243"/>
      <c r="NJF238" s="243"/>
      <c r="NJG238" s="243"/>
      <c r="NJH238" s="243"/>
      <c r="NJI238" s="243"/>
      <c r="NJJ238" s="243"/>
      <c r="NJK238" s="243"/>
      <c r="NJL238" s="243"/>
      <c r="NJM238" s="243"/>
      <c r="NJN238" s="243"/>
      <c r="NJO238" s="243"/>
      <c r="NJP238" s="243"/>
      <c r="NJQ238" s="243"/>
      <c r="NJR238" s="243"/>
      <c r="NJS238" s="243"/>
      <c r="NJT238" s="243"/>
      <c r="NJU238" s="243"/>
      <c r="NJV238" s="243"/>
      <c r="NJW238" s="243"/>
      <c r="NJX238" s="243"/>
      <c r="NJY238" s="243"/>
      <c r="NJZ238" s="243"/>
      <c r="NKA238" s="243"/>
      <c r="NKB238" s="243"/>
      <c r="NKC238" s="243"/>
      <c r="NKD238" s="243"/>
      <c r="NKE238" s="243"/>
      <c r="NKF238" s="243"/>
      <c r="NKG238" s="243"/>
      <c r="NKH238" s="243"/>
      <c r="NKI238" s="243"/>
      <c r="NKJ238" s="243"/>
      <c r="NKK238" s="243"/>
      <c r="NKL238" s="243"/>
      <c r="NKM238" s="243"/>
      <c r="NKN238" s="243"/>
      <c r="NKO238" s="243"/>
      <c r="NKP238" s="243"/>
      <c r="NKQ238" s="243"/>
      <c r="NKR238" s="243"/>
      <c r="NKS238" s="243"/>
      <c r="NKT238" s="243"/>
      <c r="NKU238" s="243"/>
      <c r="NKV238" s="243"/>
      <c r="NKW238" s="243"/>
      <c r="NKX238" s="243"/>
      <c r="NKY238" s="243"/>
      <c r="NKZ238" s="243"/>
      <c r="NLA238" s="243"/>
      <c r="NLB238" s="243"/>
      <c r="NLC238" s="243"/>
      <c r="NLD238" s="243"/>
      <c r="NLE238" s="243"/>
      <c r="NLF238" s="243"/>
      <c r="NLG238" s="243"/>
      <c r="NLH238" s="243"/>
      <c r="NLI238" s="243"/>
      <c r="NLJ238" s="243"/>
      <c r="NLK238" s="243"/>
      <c r="NLL238" s="243"/>
      <c r="NLM238" s="243"/>
      <c r="NLN238" s="243"/>
      <c r="NLO238" s="243"/>
      <c r="NLP238" s="243"/>
      <c r="NLQ238" s="243"/>
      <c r="NLR238" s="243"/>
      <c r="NLS238" s="243"/>
      <c r="NLT238" s="243"/>
      <c r="NLU238" s="243"/>
      <c r="NLV238" s="243"/>
      <c r="NLW238" s="243"/>
      <c r="NLX238" s="243"/>
      <c r="NLY238" s="243"/>
      <c r="NLZ238" s="243"/>
      <c r="NMA238" s="243"/>
      <c r="NMB238" s="243"/>
      <c r="NMC238" s="243"/>
      <c r="NMD238" s="243"/>
      <c r="NME238" s="243"/>
      <c r="NMF238" s="243"/>
      <c r="NMG238" s="243"/>
      <c r="NMH238" s="243"/>
      <c r="NMI238" s="243"/>
      <c r="NMJ238" s="243"/>
      <c r="NMK238" s="243"/>
      <c r="NML238" s="243"/>
      <c r="NMM238" s="243"/>
      <c r="NMN238" s="243"/>
      <c r="NMO238" s="243"/>
      <c r="NMP238" s="243"/>
      <c r="NMQ238" s="243"/>
      <c r="NMR238" s="243"/>
      <c r="NMS238" s="243"/>
      <c r="NMT238" s="243"/>
      <c r="NMU238" s="243"/>
      <c r="NMV238" s="243"/>
      <c r="NMW238" s="243"/>
      <c r="NMX238" s="243"/>
      <c r="NMY238" s="243"/>
      <c r="NMZ238" s="243"/>
      <c r="NNA238" s="243"/>
      <c r="NNB238" s="243"/>
      <c r="NNC238" s="243"/>
      <c r="NND238" s="243"/>
      <c r="NNE238" s="243"/>
      <c r="NNF238" s="243"/>
      <c r="NNG238" s="243"/>
      <c r="NNH238" s="243"/>
      <c r="NNI238" s="243"/>
      <c r="NNJ238" s="243"/>
      <c r="NNK238" s="243"/>
      <c r="NNL238" s="243"/>
      <c r="NNM238" s="243"/>
      <c r="NNN238" s="243"/>
      <c r="NNO238" s="243"/>
      <c r="NNP238" s="243"/>
      <c r="NNQ238" s="243"/>
      <c r="NNR238" s="243"/>
      <c r="NNS238" s="243"/>
      <c r="NNT238" s="243"/>
      <c r="NNU238" s="243"/>
      <c r="NNV238" s="243"/>
      <c r="NNW238" s="243"/>
      <c r="NNX238" s="243"/>
      <c r="NNY238" s="243"/>
      <c r="NNZ238" s="243"/>
      <c r="NOA238" s="243"/>
      <c r="NOB238" s="243"/>
      <c r="NOC238" s="243"/>
      <c r="NOD238" s="243"/>
      <c r="NOE238" s="243"/>
      <c r="NOF238" s="243"/>
      <c r="NOG238" s="243"/>
      <c r="NOH238" s="243"/>
      <c r="NOI238" s="243"/>
      <c r="NOJ238" s="243"/>
      <c r="NOK238" s="243"/>
      <c r="NOL238" s="243"/>
      <c r="NOM238" s="243"/>
      <c r="NON238" s="243"/>
      <c r="NOO238" s="243"/>
      <c r="NOP238" s="243"/>
      <c r="NOQ238" s="243"/>
      <c r="NOR238" s="243"/>
      <c r="NOS238" s="243"/>
      <c r="NOT238" s="243"/>
      <c r="NOU238" s="243"/>
      <c r="NOV238" s="243"/>
      <c r="NOW238" s="243"/>
      <c r="NOX238" s="243"/>
      <c r="NOY238" s="243"/>
      <c r="NOZ238" s="243"/>
      <c r="NPA238" s="243"/>
      <c r="NPB238" s="243"/>
      <c r="NPC238" s="243"/>
      <c r="NPD238" s="243"/>
      <c r="NPE238" s="243"/>
      <c r="NPF238" s="243"/>
      <c r="NPG238" s="243"/>
      <c r="NPH238" s="243"/>
      <c r="NPI238" s="243"/>
      <c r="NPJ238" s="243"/>
      <c r="NPK238" s="243"/>
      <c r="NPL238" s="243"/>
      <c r="NPM238" s="243"/>
      <c r="NPN238" s="243"/>
      <c r="NPO238" s="243"/>
      <c r="NPP238" s="243"/>
      <c r="NPQ238" s="243"/>
      <c r="NPR238" s="243"/>
      <c r="NPS238" s="243"/>
      <c r="NPT238" s="243"/>
      <c r="NPU238" s="243"/>
      <c r="NPV238" s="243"/>
      <c r="NPW238" s="243"/>
      <c r="NPX238" s="243"/>
      <c r="NPY238" s="243"/>
      <c r="NPZ238" s="243"/>
      <c r="NQA238" s="243"/>
      <c r="NQB238" s="243"/>
      <c r="NQC238" s="243"/>
      <c r="NQD238" s="243"/>
      <c r="NQE238" s="243"/>
      <c r="NQF238" s="243"/>
      <c r="NQG238" s="243"/>
      <c r="NQH238" s="243"/>
      <c r="NQI238" s="243"/>
      <c r="NQJ238" s="243"/>
      <c r="NQK238" s="243"/>
      <c r="NQL238" s="243"/>
      <c r="NQM238" s="243"/>
      <c r="NQN238" s="243"/>
      <c r="NQO238" s="243"/>
      <c r="NQP238" s="243"/>
      <c r="NQQ238" s="243"/>
      <c r="NQR238" s="243"/>
      <c r="NQS238" s="243"/>
      <c r="NQT238" s="243"/>
      <c r="NQU238" s="243"/>
      <c r="NQV238" s="243"/>
      <c r="NQW238" s="243"/>
      <c r="NQX238" s="243"/>
      <c r="NQY238" s="243"/>
      <c r="NQZ238" s="243"/>
      <c r="NRA238" s="243"/>
      <c r="NRB238" s="243"/>
      <c r="NRC238" s="243"/>
      <c r="NRD238" s="243"/>
      <c r="NRE238" s="243"/>
      <c r="NRF238" s="243"/>
      <c r="NRG238" s="243"/>
      <c r="NRH238" s="243"/>
      <c r="NRI238" s="243"/>
      <c r="NRJ238" s="243"/>
      <c r="NRK238" s="243"/>
      <c r="NRL238" s="243"/>
      <c r="NRM238" s="243"/>
      <c r="NRN238" s="243"/>
      <c r="NRO238" s="243"/>
      <c r="NRP238" s="243"/>
      <c r="NRQ238" s="243"/>
      <c r="NRR238" s="243"/>
      <c r="NRS238" s="243"/>
      <c r="NRT238" s="243"/>
      <c r="NRU238" s="243"/>
      <c r="NRV238" s="243"/>
      <c r="NRW238" s="243"/>
      <c r="NRX238" s="243"/>
      <c r="NRY238" s="243"/>
      <c r="NRZ238" s="243"/>
      <c r="NSA238" s="243"/>
      <c r="NSB238" s="243"/>
      <c r="NSC238" s="243"/>
      <c r="NSD238" s="243"/>
      <c r="NSE238" s="243"/>
      <c r="NSF238" s="243"/>
      <c r="NSG238" s="243"/>
      <c r="NSH238" s="243"/>
      <c r="NSI238" s="243"/>
      <c r="NSJ238" s="243"/>
      <c r="NSK238" s="243"/>
      <c r="NSL238" s="243"/>
      <c r="NSM238" s="243"/>
      <c r="NSN238" s="243"/>
      <c r="NSO238" s="243"/>
      <c r="NSP238" s="243"/>
      <c r="NSQ238" s="243"/>
      <c r="NSR238" s="243"/>
      <c r="NSS238" s="243"/>
      <c r="NST238" s="243"/>
      <c r="NSU238" s="243"/>
      <c r="NSV238" s="243"/>
      <c r="NSW238" s="243"/>
      <c r="NSX238" s="243"/>
      <c r="NSY238" s="243"/>
      <c r="NSZ238" s="243"/>
      <c r="NTA238" s="243"/>
      <c r="NTB238" s="243"/>
      <c r="NTC238" s="243"/>
      <c r="NTD238" s="243"/>
      <c r="NTE238" s="243"/>
      <c r="NTF238" s="243"/>
      <c r="NTG238" s="243"/>
      <c r="NTH238" s="243"/>
      <c r="NTI238" s="243"/>
      <c r="NTJ238" s="243"/>
      <c r="NTK238" s="243"/>
      <c r="NTL238" s="243"/>
      <c r="NTM238" s="243"/>
      <c r="NTN238" s="243"/>
      <c r="NTO238" s="243"/>
      <c r="NTP238" s="243"/>
      <c r="NTQ238" s="243"/>
      <c r="NTR238" s="243"/>
      <c r="NTS238" s="243"/>
      <c r="NTT238" s="243"/>
      <c r="NTU238" s="243"/>
      <c r="NTV238" s="243"/>
      <c r="NTW238" s="243"/>
      <c r="NTX238" s="243"/>
      <c r="NTY238" s="243"/>
      <c r="NTZ238" s="243"/>
      <c r="NUA238" s="243"/>
      <c r="NUB238" s="243"/>
      <c r="NUC238" s="243"/>
      <c r="NUD238" s="243"/>
      <c r="NUE238" s="243"/>
      <c r="NUF238" s="243"/>
      <c r="NUG238" s="243"/>
      <c r="NUH238" s="243"/>
      <c r="NUI238" s="243"/>
      <c r="NUJ238" s="243"/>
      <c r="NUK238" s="243"/>
      <c r="NUL238" s="243"/>
      <c r="NUM238" s="243"/>
      <c r="NUN238" s="243"/>
      <c r="NUO238" s="243"/>
      <c r="NUP238" s="243"/>
      <c r="NUQ238" s="243"/>
      <c r="NUR238" s="243"/>
      <c r="NUS238" s="243"/>
      <c r="NUT238" s="243"/>
      <c r="NUU238" s="243"/>
      <c r="NUV238" s="243"/>
      <c r="NUW238" s="243"/>
      <c r="NUX238" s="243"/>
      <c r="NUY238" s="243"/>
      <c r="NUZ238" s="243"/>
      <c r="NVA238" s="243"/>
      <c r="NVB238" s="243"/>
      <c r="NVC238" s="243"/>
      <c r="NVD238" s="243"/>
      <c r="NVE238" s="243"/>
      <c r="NVF238" s="243"/>
      <c r="NVG238" s="243"/>
      <c r="NVH238" s="243"/>
      <c r="NVI238" s="243"/>
      <c r="NVJ238" s="243"/>
      <c r="NVK238" s="243"/>
      <c r="NVL238" s="243"/>
      <c r="NVM238" s="243"/>
      <c r="NVN238" s="243"/>
      <c r="NVO238" s="243"/>
      <c r="NVP238" s="243"/>
      <c r="NVQ238" s="243"/>
      <c r="NVR238" s="243"/>
      <c r="NVS238" s="243"/>
      <c r="NVT238" s="243"/>
      <c r="NVU238" s="243"/>
      <c r="NVV238" s="243"/>
      <c r="NVW238" s="243"/>
      <c r="NVX238" s="243"/>
      <c r="NVY238" s="243"/>
      <c r="NVZ238" s="243"/>
      <c r="NWA238" s="243"/>
      <c r="NWB238" s="243"/>
      <c r="NWC238" s="243"/>
      <c r="NWD238" s="243"/>
      <c r="NWE238" s="243"/>
      <c r="NWF238" s="243"/>
      <c r="NWG238" s="243"/>
      <c r="NWH238" s="243"/>
      <c r="NWI238" s="243"/>
      <c r="NWJ238" s="243"/>
      <c r="NWK238" s="243"/>
      <c r="NWL238" s="243"/>
      <c r="NWM238" s="243"/>
      <c r="NWN238" s="243"/>
      <c r="NWO238" s="243"/>
      <c r="NWP238" s="243"/>
      <c r="NWQ238" s="243"/>
      <c r="NWR238" s="243"/>
      <c r="NWS238" s="243"/>
      <c r="NWT238" s="243"/>
      <c r="NWU238" s="243"/>
      <c r="NWV238" s="243"/>
      <c r="NWW238" s="243"/>
      <c r="NWX238" s="243"/>
      <c r="NWY238" s="243"/>
      <c r="NWZ238" s="243"/>
      <c r="NXA238" s="243"/>
      <c r="NXB238" s="243"/>
      <c r="NXC238" s="243"/>
      <c r="NXD238" s="243"/>
      <c r="NXE238" s="243"/>
      <c r="NXF238" s="243"/>
      <c r="NXG238" s="243"/>
      <c r="NXH238" s="243"/>
      <c r="NXI238" s="243"/>
      <c r="NXJ238" s="243"/>
      <c r="NXK238" s="243"/>
      <c r="NXL238" s="243"/>
      <c r="NXM238" s="243"/>
      <c r="NXN238" s="243"/>
      <c r="NXO238" s="243"/>
      <c r="NXP238" s="243"/>
      <c r="NXQ238" s="243"/>
      <c r="NXR238" s="243"/>
      <c r="NXS238" s="243"/>
      <c r="NXT238" s="243"/>
      <c r="NXU238" s="243"/>
      <c r="NXV238" s="243"/>
      <c r="NXW238" s="243"/>
      <c r="NXX238" s="243"/>
      <c r="NXY238" s="243"/>
      <c r="NXZ238" s="243"/>
      <c r="NYA238" s="243"/>
      <c r="NYB238" s="243"/>
      <c r="NYC238" s="243"/>
      <c r="NYD238" s="243"/>
      <c r="NYE238" s="243"/>
      <c r="NYF238" s="243"/>
      <c r="NYG238" s="243"/>
      <c r="NYH238" s="243"/>
      <c r="NYI238" s="243"/>
      <c r="NYJ238" s="243"/>
      <c r="NYK238" s="243"/>
      <c r="NYL238" s="243"/>
      <c r="NYM238" s="243"/>
      <c r="NYN238" s="243"/>
      <c r="NYO238" s="243"/>
      <c r="NYP238" s="243"/>
      <c r="NYQ238" s="243"/>
      <c r="NYR238" s="243"/>
      <c r="NYS238" s="243"/>
      <c r="NYT238" s="243"/>
      <c r="NYU238" s="243"/>
      <c r="NYV238" s="243"/>
      <c r="NYW238" s="243"/>
      <c r="NYX238" s="243"/>
      <c r="NYY238" s="243"/>
      <c r="NYZ238" s="243"/>
      <c r="NZA238" s="243"/>
      <c r="NZB238" s="243"/>
      <c r="NZC238" s="243"/>
      <c r="NZD238" s="243"/>
      <c r="NZE238" s="243"/>
      <c r="NZF238" s="243"/>
      <c r="NZG238" s="243"/>
      <c r="NZH238" s="243"/>
      <c r="NZI238" s="243"/>
      <c r="NZJ238" s="243"/>
      <c r="NZK238" s="243"/>
      <c r="NZL238" s="243"/>
      <c r="NZM238" s="243"/>
      <c r="NZN238" s="243"/>
      <c r="NZO238" s="243"/>
      <c r="NZP238" s="243"/>
      <c r="NZQ238" s="243"/>
      <c r="NZR238" s="243"/>
      <c r="NZS238" s="243"/>
      <c r="NZT238" s="243"/>
      <c r="NZU238" s="243"/>
      <c r="NZV238" s="243"/>
      <c r="NZW238" s="243"/>
      <c r="NZX238" s="243"/>
      <c r="NZY238" s="243"/>
      <c r="NZZ238" s="243"/>
      <c r="OAA238" s="243"/>
      <c r="OAB238" s="243"/>
      <c r="OAC238" s="243"/>
      <c r="OAD238" s="243"/>
      <c r="OAE238" s="243"/>
      <c r="OAF238" s="243"/>
      <c r="OAG238" s="243"/>
      <c r="OAH238" s="243"/>
      <c r="OAI238" s="243"/>
      <c r="OAJ238" s="243"/>
      <c r="OAK238" s="243"/>
      <c r="OAL238" s="243"/>
      <c r="OAM238" s="243"/>
      <c r="OAN238" s="243"/>
      <c r="OAO238" s="243"/>
      <c r="OAP238" s="243"/>
      <c r="OAQ238" s="243"/>
      <c r="OAR238" s="243"/>
      <c r="OAS238" s="243"/>
      <c r="OAT238" s="243"/>
      <c r="OAU238" s="243"/>
      <c r="OAV238" s="243"/>
      <c r="OAW238" s="243"/>
      <c r="OAX238" s="243"/>
      <c r="OAY238" s="243"/>
      <c r="OAZ238" s="243"/>
      <c r="OBA238" s="243"/>
      <c r="OBB238" s="243"/>
      <c r="OBC238" s="243"/>
      <c r="OBD238" s="243"/>
      <c r="OBE238" s="243"/>
      <c r="OBF238" s="243"/>
      <c r="OBG238" s="243"/>
      <c r="OBH238" s="243"/>
      <c r="OBI238" s="243"/>
      <c r="OBJ238" s="243"/>
      <c r="OBK238" s="243"/>
      <c r="OBL238" s="243"/>
      <c r="OBM238" s="243"/>
      <c r="OBN238" s="243"/>
      <c r="OBO238" s="243"/>
      <c r="OBP238" s="243"/>
      <c r="OBQ238" s="243"/>
      <c r="OBR238" s="243"/>
      <c r="OBS238" s="243"/>
      <c r="OBT238" s="243"/>
      <c r="OBU238" s="243"/>
      <c r="OBV238" s="243"/>
      <c r="OBW238" s="243"/>
      <c r="OBX238" s="243"/>
      <c r="OBY238" s="243"/>
      <c r="OBZ238" s="243"/>
      <c r="OCA238" s="243"/>
      <c r="OCB238" s="243"/>
      <c r="OCC238" s="243"/>
      <c r="OCD238" s="243"/>
      <c r="OCE238" s="243"/>
      <c r="OCF238" s="243"/>
      <c r="OCG238" s="243"/>
      <c r="OCH238" s="243"/>
      <c r="OCI238" s="243"/>
      <c r="OCJ238" s="243"/>
      <c r="OCK238" s="243"/>
      <c r="OCL238" s="243"/>
      <c r="OCM238" s="243"/>
      <c r="OCN238" s="243"/>
      <c r="OCO238" s="243"/>
      <c r="OCP238" s="243"/>
      <c r="OCQ238" s="243"/>
      <c r="OCR238" s="243"/>
      <c r="OCS238" s="243"/>
      <c r="OCT238" s="243"/>
      <c r="OCU238" s="243"/>
      <c r="OCV238" s="243"/>
      <c r="OCW238" s="243"/>
      <c r="OCX238" s="243"/>
      <c r="OCY238" s="243"/>
      <c r="OCZ238" s="243"/>
      <c r="ODA238" s="243"/>
      <c r="ODB238" s="243"/>
      <c r="ODC238" s="243"/>
      <c r="ODD238" s="243"/>
      <c r="ODE238" s="243"/>
      <c r="ODF238" s="243"/>
      <c r="ODG238" s="243"/>
      <c r="ODH238" s="243"/>
      <c r="ODI238" s="243"/>
      <c r="ODJ238" s="243"/>
      <c r="ODK238" s="243"/>
      <c r="ODL238" s="243"/>
      <c r="ODM238" s="243"/>
      <c r="ODN238" s="243"/>
      <c r="ODO238" s="243"/>
      <c r="ODP238" s="243"/>
      <c r="ODQ238" s="243"/>
      <c r="ODR238" s="243"/>
      <c r="ODS238" s="243"/>
      <c r="ODT238" s="243"/>
      <c r="ODU238" s="243"/>
      <c r="ODV238" s="243"/>
      <c r="ODW238" s="243"/>
      <c r="ODX238" s="243"/>
      <c r="ODY238" s="243"/>
      <c r="ODZ238" s="243"/>
      <c r="OEA238" s="243"/>
      <c r="OEB238" s="243"/>
      <c r="OEC238" s="243"/>
      <c r="OED238" s="243"/>
      <c r="OEE238" s="243"/>
      <c r="OEF238" s="243"/>
      <c r="OEG238" s="243"/>
      <c r="OEH238" s="243"/>
      <c r="OEI238" s="243"/>
      <c r="OEJ238" s="243"/>
      <c r="OEK238" s="243"/>
      <c r="OEL238" s="243"/>
      <c r="OEM238" s="243"/>
      <c r="OEN238" s="243"/>
      <c r="OEO238" s="243"/>
      <c r="OEP238" s="243"/>
      <c r="OEQ238" s="243"/>
      <c r="OER238" s="243"/>
      <c r="OES238" s="243"/>
      <c r="OET238" s="243"/>
      <c r="OEU238" s="243"/>
      <c r="OEV238" s="243"/>
      <c r="OEW238" s="243"/>
      <c r="OEX238" s="243"/>
      <c r="OEY238" s="243"/>
      <c r="OEZ238" s="243"/>
      <c r="OFA238" s="243"/>
      <c r="OFB238" s="243"/>
      <c r="OFC238" s="243"/>
      <c r="OFD238" s="243"/>
      <c r="OFE238" s="243"/>
      <c r="OFF238" s="243"/>
      <c r="OFG238" s="243"/>
      <c r="OFH238" s="243"/>
      <c r="OFI238" s="243"/>
      <c r="OFJ238" s="243"/>
      <c r="OFK238" s="243"/>
      <c r="OFL238" s="243"/>
      <c r="OFM238" s="243"/>
      <c r="OFN238" s="243"/>
      <c r="OFO238" s="243"/>
      <c r="OFP238" s="243"/>
      <c r="OFQ238" s="243"/>
      <c r="OFR238" s="243"/>
      <c r="OFS238" s="243"/>
      <c r="OFT238" s="243"/>
      <c r="OFU238" s="243"/>
      <c r="OFV238" s="243"/>
      <c r="OFW238" s="243"/>
      <c r="OFX238" s="243"/>
      <c r="OFY238" s="243"/>
      <c r="OFZ238" s="243"/>
      <c r="OGA238" s="243"/>
      <c r="OGB238" s="243"/>
      <c r="OGC238" s="243"/>
      <c r="OGD238" s="243"/>
      <c r="OGE238" s="243"/>
      <c r="OGF238" s="243"/>
      <c r="OGG238" s="243"/>
      <c r="OGH238" s="243"/>
      <c r="OGI238" s="243"/>
      <c r="OGJ238" s="243"/>
      <c r="OGK238" s="243"/>
      <c r="OGL238" s="243"/>
      <c r="OGM238" s="243"/>
      <c r="OGN238" s="243"/>
      <c r="OGO238" s="243"/>
      <c r="OGP238" s="243"/>
      <c r="OGQ238" s="243"/>
      <c r="OGR238" s="243"/>
      <c r="OGS238" s="243"/>
      <c r="OGT238" s="243"/>
      <c r="OGU238" s="243"/>
      <c r="OGV238" s="243"/>
      <c r="OGW238" s="243"/>
      <c r="OGX238" s="243"/>
      <c r="OGY238" s="243"/>
      <c r="OGZ238" s="243"/>
      <c r="OHA238" s="243"/>
      <c r="OHB238" s="243"/>
      <c r="OHC238" s="243"/>
      <c r="OHD238" s="243"/>
      <c r="OHE238" s="243"/>
      <c r="OHF238" s="243"/>
      <c r="OHG238" s="243"/>
      <c r="OHH238" s="243"/>
      <c r="OHI238" s="243"/>
      <c r="OHJ238" s="243"/>
      <c r="OHK238" s="243"/>
      <c r="OHL238" s="243"/>
      <c r="OHM238" s="243"/>
      <c r="OHN238" s="243"/>
      <c r="OHO238" s="243"/>
      <c r="OHP238" s="243"/>
      <c r="OHQ238" s="243"/>
      <c r="OHR238" s="243"/>
      <c r="OHS238" s="243"/>
      <c r="OHT238" s="243"/>
      <c r="OHU238" s="243"/>
      <c r="OHV238" s="243"/>
      <c r="OHW238" s="243"/>
      <c r="OHX238" s="243"/>
      <c r="OHY238" s="243"/>
      <c r="OHZ238" s="243"/>
      <c r="OIA238" s="243"/>
      <c r="OIB238" s="243"/>
      <c r="OIC238" s="243"/>
      <c r="OID238" s="243"/>
      <c r="OIE238" s="243"/>
      <c r="OIF238" s="243"/>
      <c r="OIG238" s="243"/>
      <c r="OIH238" s="243"/>
      <c r="OII238" s="243"/>
      <c r="OIJ238" s="243"/>
      <c r="OIK238" s="243"/>
      <c r="OIL238" s="243"/>
      <c r="OIM238" s="243"/>
      <c r="OIN238" s="243"/>
      <c r="OIO238" s="243"/>
      <c r="OIP238" s="243"/>
      <c r="OIQ238" s="243"/>
      <c r="OIR238" s="243"/>
      <c r="OIS238" s="243"/>
      <c r="OIT238" s="243"/>
      <c r="OIU238" s="243"/>
      <c r="OIV238" s="243"/>
      <c r="OIW238" s="243"/>
      <c r="OIX238" s="243"/>
      <c r="OIY238" s="243"/>
      <c r="OIZ238" s="243"/>
      <c r="OJA238" s="243"/>
      <c r="OJB238" s="243"/>
      <c r="OJC238" s="243"/>
      <c r="OJD238" s="243"/>
      <c r="OJE238" s="243"/>
      <c r="OJF238" s="243"/>
      <c r="OJG238" s="243"/>
      <c r="OJH238" s="243"/>
      <c r="OJI238" s="243"/>
      <c r="OJJ238" s="243"/>
      <c r="OJK238" s="243"/>
      <c r="OJL238" s="243"/>
      <c r="OJM238" s="243"/>
      <c r="OJN238" s="243"/>
      <c r="OJO238" s="243"/>
      <c r="OJP238" s="243"/>
      <c r="OJQ238" s="243"/>
      <c r="OJR238" s="243"/>
      <c r="OJS238" s="243"/>
      <c r="OJT238" s="243"/>
      <c r="OJU238" s="243"/>
      <c r="OJV238" s="243"/>
      <c r="OJW238" s="243"/>
      <c r="OJX238" s="243"/>
      <c r="OJY238" s="243"/>
      <c r="OJZ238" s="243"/>
      <c r="OKA238" s="243"/>
      <c r="OKB238" s="243"/>
      <c r="OKC238" s="243"/>
      <c r="OKD238" s="243"/>
      <c r="OKE238" s="243"/>
      <c r="OKF238" s="243"/>
      <c r="OKG238" s="243"/>
      <c r="OKH238" s="243"/>
      <c r="OKI238" s="243"/>
      <c r="OKJ238" s="243"/>
      <c r="OKK238" s="243"/>
      <c r="OKL238" s="243"/>
      <c r="OKM238" s="243"/>
      <c r="OKN238" s="243"/>
      <c r="OKO238" s="243"/>
      <c r="OKP238" s="243"/>
      <c r="OKQ238" s="243"/>
      <c r="OKR238" s="243"/>
      <c r="OKS238" s="243"/>
      <c r="OKT238" s="243"/>
      <c r="OKU238" s="243"/>
      <c r="OKV238" s="243"/>
      <c r="OKW238" s="243"/>
      <c r="OKX238" s="243"/>
      <c r="OKY238" s="243"/>
      <c r="OKZ238" s="243"/>
      <c r="OLA238" s="243"/>
      <c r="OLB238" s="243"/>
      <c r="OLC238" s="243"/>
      <c r="OLD238" s="243"/>
      <c r="OLE238" s="243"/>
      <c r="OLF238" s="243"/>
      <c r="OLG238" s="243"/>
      <c r="OLH238" s="243"/>
      <c r="OLI238" s="243"/>
      <c r="OLJ238" s="243"/>
      <c r="OLK238" s="243"/>
      <c r="OLL238" s="243"/>
      <c r="OLM238" s="243"/>
      <c r="OLN238" s="243"/>
      <c r="OLO238" s="243"/>
      <c r="OLP238" s="243"/>
      <c r="OLQ238" s="243"/>
      <c r="OLR238" s="243"/>
      <c r="OLS238" s="243"/>
      <c r="OLT238" s="243"/>
      <c r="OLU238" s="243"/>
      <c r="OLV238" s="243"/>
      <c r="OLW238" s="243"/>
      <c r="OLX238" s="243"/>
      <c r="OLY238" s="243"/>
      <c r="OLZ238" s="243"/>
      <c r="OMA238" s="243"/>
      <c r="OMB238" s="243"/>
      <c r="OMC238" s="243"/>
      <c r="OMD238" s="243"/>
      <c r="OME238" s="243"/>
      <c r="OMF238" s="243"/>
      <c r="OMG238" s="243"/>
      <c r="OMH238" s="243"/>
      <c r="OMI238" s="243"/>
      <c r="OMJ238" s="243"/>
      <c r="OMK238" s="243"/>
      <c r="OML238" s="243"/>
      <c r="OMM238" s="243"/>
      <c r="OMN238" s="243"/>
      <c r="OMO238" s="243"/>
      <c r="OMP238" s="243"/>
      <c r="OMQ238" s="243"/>
      <c r="OMR238" s="243"/>
      <c r="OMS238" s="243"/>
      <c r="OMT238" s="243"/>
      <c r="OMU238" s="243"/>
      <c r="OMV238" s="243"/>
      <c r="OMW238" s="243"/>
      <c r="OMX238" s="243"/>
      <c r="OMY238" s="243"/>
      <c r="OMZ238" s="243"/>
      <c r="ONA238" s="243"/>
      <c r="ONB238" s="243"/>
      <c r="ONC238" s="243"/>
      <c r="OND238" s="243"/>
      <c r="ONE238" s="243"/>
      <c r="ONF238" s="243"/>
      <c r="ONG238" s="243"/>
      <c r="ONH238" s="243"/>
      <c r="ONI238" s="243"/>
      <c r="ONJ238" s="243"/>
      <c r="ONK238" s="243"/>
      <c r="ONL238" s="243"/>
      <c r="ONM238" s="243"/>
      <c r="ONN238" s="243"/>
      <c r="ONO238" s="243"/>
      <c r="ONP238" s="243"/>
      <c r="ONQ238" s="243"/>
      <c r="ONR238" s="243"/>
      <c r="ONS238" s="243"/>
      <c r="ONT238" s="243"/>
      <c r="ONU238" s="243"/>
      <c r="ONV238" s="243"/>
      <c r="ONW238" s="243"/>
      <c r="ONX238" s="243"/>
      <c r="ONY238" s="243"/>
      <c r="ONZ238" s="243"/>
      <c r="OOA238" s="243"/>
      <c r="OOB238" s="243"/>
      <c r="OOC238" s="243"/>
      <c r="OOD238" s="243"/>
      <c r="OOE238" s="243"/>
      <c r="OOF238" s="243"/>
      <c r="OOG238" s="243"/>
      <c r="OOH238" s="243"/>
      <c r="OOI238" s="243"/>
      <c r="OOJ238" s="243"/>
      <c r="OOK238" s="243"/>
      <c r="OOL238" s="243"/>
      <c r="OOM238" s="243"/>
      <c r="OON238" s="243"/>
      <c r="OOO238" s="243"/>
      <c r="OOP238" s="243"/>
      <c r="OOQ238" s="243"/>
      <c r="OOR238" s="243"/>
      <c r="OOS238" s="243"/>
      <c r="OOT238" s="243"/>
      <c r="OOU238" s="243"/>
      <c r="OOV238" s="243"/>
      <c r="OOW238" s="243"/>
      <c r="OOX238" s="243"/>
      <c r="OOY238" s="243"/>
      <c r="OOZ238" s="243"/>
      <c r="OPA238" s="243"/>
      <c r="OPB238" s="243"/>
      <c r="OPC238" s="243"/>
      <c r="OPD238" s="243"/>
      <c r="OPE238" s="243"/>
      <c r="OPF238" s="243"/>
      <c r="OPG238" s="243"/>
      <c r="OPH238" s="243"/>
      <c r="OPI238" s="243"/>
      <c r="OPJ238" s="243"/>
      <c r="OPK238" s="243"/>
      <c r="OPL238" s="243"/>
      <c r="OPM238" s="243"/>
      <c r="OPN238" s="243"/>
      <c r="OPO238" s="243"/>
      <c r="OPP238" s="243"/>
      <c r="OPQ238" s="243"/>
      <c r="OPR238" s="243"/>
      <c r="OPS238" s="243"/>
      <c r="OPT238" s="243"/>
      <c r="OPU238" s="243"/>
      <c r="OPV238" s="243"/>
      <c r="OPW238" s="243"/>
      <c r="OPX238" s="243"/>
      <c r="OPY238" s="243"/>
      <c r="OPZ238" s="243"/>
      <c r="OQA238" s="243"/>
      <c r="OQB238" s="243"/>
      <c r="OQC238" s="243"/>
      <c r="OQD238" s="243"/>
      <c r="OQE238" s="243"/>
      <c r="OQF238" s="243"/>
      <c r="OQG238" s="243"/>
      <c r="OQH238" s="243"/>
      <c r="OQI238" s="243"/>
      <c r="OQJ238" s="243"/>
      <c r="OQK238" s="243"/>
      <c r="OQL238" s="243"/>
      <c r="OQM238" s="243"/>
      <c r="OQN238" s="243"/>
      <c r="OQO238" s="243"/>
      <c r="OQP238" s="243"/>
      <c r="OQQ238" s="243"/>
      <c r="OQR238" s="243"/>
      <c r="OQS238" s="243"/>
      <c r="OQT238" s="243"/>
      <c r="OQU238" s="243"/>
      <c r="OQV238" s="243"/>
      <c r="OQW238" s="243"/>
      <c r="OQX238" s="243"/>
      <c r="OQY238" s="243"/>
      <c r="OQZ238" s="243"/>
      <c r="ORA238" s="243"/>
      <c r="ORB238" s="243"/>
      <c r="ORC238" s="243"/>
      <c r="ORD238" s="243"/>
      <c r="ORE238" s="243"/>
      <c r="ORF238" s="243"/>
      <c r="ORG238" s="243"/>
      <c r="ORH238" s="243"/>
      <c r="ORI238" s="243"/>
      <c r="ORJ238" s="243"/>
      <c r="ORK238" s="243"/>
      <c r="ORL238" s="243"/>
      <c r="ORM238" s="243"/>
      <c r="ORN238" s="243"/>
      <c r="ORO238" s="243"/>
      <c r="ORP238" s="243"/>
      <c r="ORQ238" s="243"/>
      <c r="ORR238" s="243"/>
      <c r="ORS238" s="243"/>
      <c r="ORT238" s="243"/>
      <c r="ORU238" s="243"/>
      <c r="ORV238" s="243"/>
      <c r="ORW238" s="243"/>
      <c r="ORX238" s="243"/>
      <c r="ORY238" s="243"/>
      <c r="ORZ238" s="243"/>
      <c r="OSA238" s="243"/>
      <c r="OSB238" s="243"/>
      <c r="OSC238" s="243"/>
      <c r="OSD238" s="243"/>
      <c r="OSE238" s="243"/>
      <c r="OSF238" s="243"/>
      <c r="OSG238" s="243"/>
      <c r="OSH238" s="243"/>
      <c r="OSI238" s="243"/>
      <c r="OSJ238" s="243"/>
      <c r="OSK238" s="243"/>
      <c r="OSL238" s="243"/>
      <c r="OSM238" s="243"/>
      <c r="OSN238" s="243"/>
      <c r="OSO238" s="243"/>
      <c r="OSP238" s="243"/>
      <c r="OSQ238" s="243"/>
      <c r="OSR238" s="243"/>
      <c r="OSS238" s="243"/>
      <c r="OST238" s="243"/>
      <c r="OSU238" s="243"/>
      <c r="OSV238" s="243"/>
      <c r="OSW238" s="243"/>
      <c r="OSX238" s="243"/>
      <c r="OSY238" s="243"/>
      <c r="OSZ238" s="243"/>
      <c r="OTA238" s="243"/>
      <c r="OTB238" s="243"/>
      <c r="OTC238" s="243"/>
      <c r="OTD238" s="243"/>
      <c r="OTE238" s="243"/>
      <c r="OTF238" s="243"/>
      <c r="OTG238" s="243"/>
      <c r="OTH238" s="243"/>
      <c r="OTI238" s="243"/>
      <c r="OTJ238" s="243"/>
      <c r="OTK238" s="243"/>
      <c r="OTL238" s="243"/>
      <c r="OTM238" s="243"/>
      <c r="OTN238" s="243"/>
      <c r="OTO238" s="243"/>
      <c r="OTP238" s="243"/>
      <c r="OTQ238" s="243"/>
      <c r="OTR238" s="243"/>
      <c r="OTS238" s="243"/>
      <c r="OTT238" s="243"/>
      <c r="OTU238" s="243"/>
      <c r="OTV238" s="243"/>
      <c r="OTW238" s="243"/>
      <c r="OTX238" s="243"/>
      <c r="OTY238" s="243"/>
      <c r="OTZ238" s="243"/>
      <c r="OUA238" s="243"/>
      <c r="OUB238" s="243"/>
      <c r="OUC238" s="243"/>
      <c r="OUD238" s="243"/>
      <c r="OUE238" s="243"/>
      <c r="OUF238" s="243"/>
      <c r="OUG238" s="243"/>
      <c r="OUH238" s="243"/>
      <c r="OUI238" s="243"/>
      <c r="OUJ238" s="243"/>
      <c r="OUK238" s="243"/>
      <c r="OUL238" s="243"/>
      <c r="OUM238" s="243"/>
      <c r="OUN238" s="243"/>
      <c r="OUO238" s="243"/>
      <c r="OUP238" s="243"/>
      <c r="OUQ238" s="243"/>
      <c r="OUR238" s="243"/>
      <c r="OUS238" s="243"/>
      <c r="OUT238" s="243"/>
      <c r="OUU238" s="243"/>
      <c r="OUV238" s="243"/>
      <c r="OUW238" s="243"/>
      <c r="OUX238" s="243"/>
      <c r="OUY238" s="243"/>
      <c r="OUZ238" s="243"/>
      <c r="OVA238" s="243"/>
      <c r="OVB238" s="243"/>
      <c r="OVC238" s="243"/>
      <c r="OVD238" s="243"/>
      <c r="OVE238" s="243"/>
      <c r="OVF238" s="243"/>
      <c r="OVG238" s="243"/>
      <c r="OVH238" s="243"/>
      <c r="OVI238" s="243"/>
      <c r="OVJ238" s="243"/>
      <c r="OVK238" s="243"/>
      <c r="OVL238" s="243"/>
      <c r="OVM238" s="243"/>
      <c r="OVN238" s="243"/>
      <c r="OVO238" s="243"/>
      <c r="OVP238" s="243"/>
      <c r="OVQ238" s="243"/>
      <c r="OVR238" s="243"/>
      <c r="OVS238" s="243"/>
      <c r="OVT238" s="243"/>
      <c r="OVU238" s="243"/>
      <c r="OVV238" s="243"/>
      <c r="OVW238" s="243"/>
      <c r="OVX238" s="243"/>
      <c r="OVY238" s="243"/>
      <c r="OVZ238" s="243"/>
      <c r="OWA238" s="243"/>
      <c r="OWB238" s="243"/>
      <c r="OWC238" s="243"/>
      <c r="OWD238" s="243"/>
      <c r="OWE238" s="243"/>
      <c r="OWF238" s="243"/>
      <c r="OWG238" s="243"/>
      <c r="OWH238" s="243"/>
      <c r="OWI238" s="243"/>
      <c r="OWJ238" s="243"/>
      <c r="OWK238" s="243"/>
      <c r="OWL238" s="243"/>
      <c r="OWM238" s="243"/>
      <c r="OWN238" s="243"/>
      <c r="OWO238" s="243"/>
      <c r="OWP238" s="243"/>
      <c r="OWQ238" s="243"/>
      <c r="OWR238" s="243"/>
      <c r="OWS238" s="243"/>
      <c r="OWT238" s="243"/>
      <c r="OWU238" s="243"/>
      <c r="OWV238" s="243"/>
      <c r="OWW238" s="243"/>
      <c r="OWX238" s="243"/>
      <c r="OWY238" s="243"/>
      <c r="OWZ238" s="243"/>
      <c r="OXA238" s="243"/>
      <c r="OXB238" s="243"/>
      <c r="OXC238" s="243"/>
      <c r="OXD238" s="243"/>
      <c r="OXE238" s="243"/>
      <c r="OXF238" s="243"/>
      <c r="OXG238" s="243"/>
      <c r="OXH238" s="243"/>
      <c r="OXI238" s="243"/>
      <c r="OXJ238" s="243"/>
      <c r="OXK238" s="243"/>
      <c r="OXL238" s="243"/>
      <c r="OXM238" s="243"/>
      <c r="OXN238" s="243"/>
      <c r="OXO238" s="243"/>
      <c r="OXP238" s="243"/>
      <c r="OXQ238" s="243"/>
      <c r="OXR238" s="243"/>
      <c r="OXS238" s="243"/>
      <c r="OXT238" s="243"/>
      <c r="OXU238" s="243"/>
      <c r="OXV238" s="243"/>
      <c r="OXW238" s="243"/>
      <c r="OXX238" s="243"/>
      <c r="OXY238" s="243"/>
      <c r="OXZ238" s="243"/>
      <c r="OYA238" s="243"/>
      <c r="OYB238" s="243"/>
      <c r="OYC238" s="243"/>
      <c r="OYD238" s="243"/>
      <c r="OYE238" s="243"/>
      <c r="OYF238" s="243"/>
      <c r="OYG238" s="243"/>
      <c r="OYH238" s="243"/>
      <c r="OYI238" s="243"/>
      <c r="OYJ238" s="243"/>
      <c r="OYK238" s="243"/>
      <c r="OYL238" s="243"/>
      <c r="OYM238" s="243"/>
      <c r="OYN238" s="243"/>
      <c r="OYO238" s="243"/>
      <c r="OYP238" s="243"/>
      <c r="OYQ238" s="243"/>
      <c r="OYR238" s="243"/>
      <c r="OYS238" s="243"/>
      <c r="OYT238" s="243"/>
      <c r="OYU238" s="243"/>
      <c r="OYV238" s="243"/>
      <c r="OYW238" s="243"/>
      <c r="OYX238" s="243"/>
      <c r="OYY238" s="243"/>
      <c r="OYZ238" s="243"/>
      <c r="OZA238" s="243"/>
      <c r="OZB238" s="243"/>
      <c r="OZC238" s="243"/>
      <c r="OZD238" s="243"/>
      <c r="OZE238" s="243"/>
      <c r="OZF238" s="243"/>
      <c r="OZG238" s="243"/>
      <c r="OZH238" s="243"/>
      <c r="OZI238" s="243"/>
      <c r="OZJ238" s="243"/>
      <c r="OZK238" s="243"/>
      <c r="OZL238" s="243"/>
      <c r="OZM238" s="243"/>
      <c r="OZN238" s="243"/>
      <c r="OZO238" s="243"/>
      <c r="OZP238" s="243"/>
      <c r="OZQ238" s="243"/>
      <c r="OZR238" s="243"/>
      <c r="OZS238" s="243"/>
      <c r="OZT238" s="243"/>
      <c r="OZU238" s="243"/>
      <c r="OZV238" s="243"/>
      <c r="OZW238" s="243"/>
      <c r="OZX238" s="243"/>
      <c r="OZY238" s="243"/>
      <c r="OZZ238" s="243"/>
      <c r="PAA238" s="243"/>
      <c r="PAB238" s="243"/>
      <c r="PAC238" s="243"/>
      <c r="PAD238" s="243"/>
      <c r="PAE238" s="243"/>
      <c r="PAF238" s="243"/>
      <c r="PAG238" s="243"/>
      <c r="PAH238" s="243"/>
      <c r="PAI238" s="243"/>
      <c r="PAJ238" s="243"/>
      <c r="PAK238" s="243"/>
      <c r="PAL238" s="243"/>
      <c r="PAM238" s="243"/>
      <c r="PAN238" s="243"/>
      <c r="PAO238" s="243"/>
      <c r="PAP238" s="243"/>
      <c r="PAQ238" s="243"/>
      <c r="PAR238" s="243"/>
      <c r="PAS238" s="243"/>
      <c r="PAT238" s="243"/>
      <c r="PAU238" s="243"/>
      <c r="PAV238" s="243"/>
      <c r="PAW238" s="243"/>
      <c r="PAX238" s="243"/>
      <c r="PAY238" s="243"/>
      <c r="PAZ238" s="243"/>
      <c r="PBA238" s="243"/>
      <c r="PBB238" s="243"/>
      <c r="PBC238" s="243"/>
      <c r="PBD238" s="243"/>
      <c r="PBE238" s="243"/>
      <c r="PBF238" s="243"/>
      <c r="PBG238" s="243"/>
      <c r="PBH238" s="243"/>
      <c r="PBI238" s="243"/>
      <c r="PBJ238" s="243"/>
      <c r="PBK238" s="243"/>
      <c r="PBL238" s="243"/>
      <c r="PBM238" s="243"/>
      <c r="PBN238" s="243"/>
      <c r="PBO238" s="243"/>
      <c r="PBP238" s="243"/>
      <c r="PBQ238" s="243"/>
      <c r="PBR238" s="243"/>
      <c r="PBS238" s="243"/>
      <c r="PBT238" s="243"/>
      <c r="PBU238" s="243"/>
      <c r="PBV238" s="243"/>
      <c r="PBW238" s="243"/>
      <c r="PBX238" s="243"/>
      <c r="PBY238" s="243"/>
      <c r="PBZ238" s="243"/>
      <c r="PCA238" s="243"/>
      <c r="PCB238" s="243"/>
      <c r="PCC238" s="243"/>
      <c r="PCD238" s="243"/>
      <c r="PCE238" s="243"/>
      <c r="PCF238" s="243"/>
      <c r="PCG238" s="243"/>
      <c r="PCH238" s="243"/>
      <c r="PCI238" s="243"/>
      <c r="PCJ238" s="243"/>
      <c r="PCK238" s="243"/>
      <c r="PCL238" s="243"/>
      <c r="PCM238" s="243"/>
      <c r="PCN238" s="243"/>
      <c r="PCO238" s="243"/>
      <c r="PCP238" s="243"/>
      <c r="PCQ238" s="243"/>
      <c r="PCR238" s="243"/>
      <c r="PCS238" s="243"/>
      <c r="PCT238" s="243"/>
      <c r="PCU238" s="243"/>
      <c r="PCV238" s="243"/>
      <c r="PCW238" s="243"/>
      <c r="PCX238" s="243"/>
      <c r="PCY238" s="243"/>
      <c r="PCZ238" s="243"/>
      <c r="PDA238" s="243"/>
      <c r="PDB238" s="243"/>
      <c r="PDC238" s="243"/>
      <c r="PDD238" s="243"/>
      <c r="PDE238" s="243"/>
      <c r="PDF238" s="243"/>
      <c r="PDG238" s="243"/>
      <c r="PDH238" s="243"/>
      <c r="PDI238" s="243"/>
      <c r="PDJ238" s="243"/>
      <c r="PDK238" s="243"/>
      <c r="PDL238" s="243"/>
      <c r="PDM238" s="243"/>
      <c r="PDN238" s="243"/>
      <c r="PDO238" s="243"/>
      <c r="PDP238" s="243"/>
      <c r="PDQ238" s="243"/>
      <c r="PDR238" s="243"/>
      <c r="PDS238" s="243"/>
      <c r="PDT238" s="243"/>
      <c r="PDU238" s="243"/>
      <c r="PDV238" s="243"/>
      <c r="PDW238" s="243"/>
      <c r="PDX238" s="243"/>
      <c r="PDY238" s="243"/>
      <c r="PDZ238" s="243"/>
      <c r="PEA238" s="243"/>
      <c r="PEB238" s="243"/>
      <c r="PEC238" s="243"/>
      <c r="PED238" s="243"/>
      <c r="PEE238" s="243"/>
      <c r="PEF238" s="243"/>
      <c r="PEG238" s="243"/>
      <c r="PEH238" s="243"/>
      <c r="PEI238" s="243"/>
      <c r="PEJ238" s="243"/>
      <c r="PEK238" s="243"/>
      <c r="PEL238" s="243"/>
      <c r="PEM238" s="243"/>
      <c r="PEN238" s="243"/>
      <c r="PEO238" s="243"/>
      <c r="PEP238" s="243"/>
      <c r="PEQ238" s="243"/>
      <c r="PER238" s="243"/>
      <c r="PES238" s="243"/>
      <c r="PET238" s="243"/>
      <c r="PEU238" s="243"/>
      <c r="PEV238" s="243"/>
      <c r="PEW238" s="243"/>
      <c r="PEX238" s="243"/>
      <c r="PEY238" s="243"/>
      <c r="PEZ238" s="243"/>
      <c r="PFA238" s="243"/>
      <c r="PFB238" s="243"/>
      <c r="PFC238" s="243"/>
      <c r="PFD238" s="243"/>
      <c r="PFE238" s="243"/>
      <c r="PFF238" s="243"/>
      <c r="PFG238" s="243"/>
      <c r="PFH238" s="243"/>
      <c r="PFI238" s="243"/>
      <c r="PFJ238" s="243"/>
      <c r="PFK238" s="243"/>
      <c r="PFL238" s="243"/>
      <c r="PFM238" s="243"/>
      <c r="PFN238" s="243"/>
      <c r="PFO238" s="243"/>
      <c r="PFP238" s="243"/>
      <c r="PFQ238" s="243"/>
      <c r="PFR238" s="243"/>
      <c r="PFS238" s="243"/>
      <c r="PFT238" s="243"/>
      <c r="PFU238" s="243"/>
      <c r="PFV238" s="243"/>
      <c r="PFW238" s="243"/>
      <c r="PFX238" s="243"/>
      <c r="PFY238" s="243"/>
      <c r="PFZ238" s="243"/>
      <c r="PGA238" s="243"/>
      <c r="PGB238" s="243"/>
      <c r="PGC238" s="243"/>
      <c r="PGD238" s="243"/>
      <c r="PGE238" s="243"/>
      <c r="PGF238" s="243"/>
      <c r="PGG238" s="243"/>
      <c r="PGH238" s="243"/>
      <c r="PGI238" s="243"/>
      <c r="PGJ238" s="243"/>
      <c r="PGK238" s="243"/>
      <c r="PGL238" s="243"/>
      <c r="PGM238" s="243"/>
      <c r="PGN238" s="243"/>
      <c r="PGO238" s="243"/>
      <c r="PGP238" s="243"/>
      <c r="PGQ238" s="243"/>
      <c r="PGR238" s="243"/>
      <c r="PGS238" s="243"/>
      <c r="PGT238" s="243"/>
      <c r="PGU238" s="243"/>
      <c r="PGV238" s="243"/>
      <c r="PGW238" s="243"/>
      <c r="PGX238" s="243"/>
      <c r="PGY238" s="243"/>
      <c r="PGZ238" s="243"/>
      <c r="PHA238" s="243"/>
      <c r="PHB238" s="243"/>
      <c r="PHC238" s="243"/>
      <c r="PHD238" s="243"/>
      <c r="PHE238" s="243"/>
      <c r="PHF238" s="243"/>
      <c r="PHG238" s="243"/>
      <c r="PHH238" s="243"/>
      <c r="PHI238" s="243"/>
      <c r="PHJ238" s="243"/>
      <c r="PHK238" s="243"/>
      <c r="PHL238" s="243"/>
      <c r="PHM238" s="243"/>
      <c r="PHN238" s="243"/>
      <c r="PHO238" s="243"/>
      <c r="PHP238" s="243"/>
      <c r="PHQ238" s="243"/>
      <c r="PHR238" s="243"/>
      <c r="PHS238" s="243"/>
      <c r="PHT238" s="243"/>
      <c r="PHU238" s="243"/>
      <c r="PHV238" s="243"/>
      <c r="PHW238" s="243"/>
      <c r="PHX238" s="243"/>
      <c r="PHY238" s="243"/>
      <c r="PHZ238" s="243"/>
      <c r="PIA238" s="243"/>
      <c r="PIB238" s="243"/>
      <c r="PIC238" s="243"/>
      <c r="PID238" s="243"/>
      <c r="PIE238" s="243"/>
      <c r="PIF238" s="243"/>
      <c r="PIG238" s="243"/>
      <c r="PIH238" s="243"/>
      <c r="PII238" s="243"/>
      <c r="PIJ238" s="243"/>
      <c r="PIK238" s="243"/>
      <c r="PIL238" s="243"/>
      <c r="PIM238" s="243"/>
      <c r="PIN238" s="243"/>
      <c r="PIO238" s="243"/>
      <c r="PIP238" s="243"/>
      <c r="PIQ238" s="243"/>
      <c r="PIR238" s="243"/>
      <c r="PIS238" s="243"/>
      <c r="PIT238" s="243"/>
      <c r="PIU238" s="243"/>
      <c r="PIV238" s="243"/>
      <c r="PIW238" s="243"/>
      <c r="PIX238" s="243"/>
      <c r="PIY238" s="243"/>
      <c r="PIZ238" s="243"/>
      <c r="PJA238" s="243"/>
      <c r="PJB238" s="243"/>
      <c r="PJC238" s="243"/>
      <c r="PJD238" s="243"/>
      <c r="PJE238" s="243"/>
      <c r="PJF238" s="243"/>
      <c r="PJG238" s="243"/>
      <c r="PJH238" s="243"/>
      <c r="PJI238" s="243"/>
      <c r="PJJ238" s="243"/>
      <c r="PJK238" s="243"/>
      <c r="PJL238" s="243"/>
      <c r="PJM238" s="243"/>
      <c r="PJN238" s="243"/>
      <c r="PJO238" s="243"/>
      <c r="PJP238" s="243"/>
      <c r="PJQ238" s="243"/>
      <c r="PJR238" s="243"/>
      <c r="PJS238" s="243"/>
      <c r="PJT238" s="243"/>
      <c r="PJU238" s="243"/>
      <c r="PJV238" s="243"/>
      <c r="PJW238" s="243"/>
      <c r="PJX238" s="243"/>
      <c r="PJY238" s="243"/>
      <c r="PJZ238" s="243"/>
      <c r="PKA238" s="243"/>
      <c r="PKB238" s="243"/>
      <c r="PKC238" s="243"/>
      <c r="PKD238" s="243"/>
      <c r="PKE238" s="243"/>
      <c r="PKF238" s="243"/>
      <c r="PKG238" s="243"/>
      <c r="PKH238" s="243"/>
      <c r="PKI238" s="243"/>
      <c r="PKJ238" s="243"/>
      <c r="PKK238" s="243"/>
      <c r="PKL238" s="243"/>
      <c r="PKM238" s="243"/>
      <c r="PKN238" s="243"/>
      <c r="PKO238" s="243"/>
      <c r="PKP238" s="243"/>
      <c r="PKQ238" s="243"/>
      <c r="PKR238" s="243"/>
      <c r="PKS238" s="243"/>
      <c r="PKT238" s="243"/>
      <c r="PKU238" s="243"/>
      <c r="PKV238" s="243"/>
      <c r="PKW238" s="243"/>
      <c r="PKX238" s="243"/>
      <c r="PKY238" s="243"/>
      <c r="PKZ238" s="243"/>
      <c r="PLA238" s="243"/>
      <c r="PLB238" s="243"/>
      <c r="PLC238" s="243"/>
      <c r="PLD238" s="243"/>
      <c r="PLE238" s="243"/>
      <c r="PLF238" s="243"/>
      <c r="PLG238" s="243"/>
      <c r="PLH238" s="243"/>
      <c r="PLI238" s="243"/>
      <c r="PLJ238" s="243"/>
      <c r="PLK238" s="243"/>
      <c r="PLL238" s="243"/>
      <c r="PLM238" s="243"/>
      <c r="PLN238" s="243"/>
      <c r="PLO238" s="243"/>
      <c r="PLP238" s="243"/>
      <c r="PLQ238" s="243"/>
      <c r="PLR238" s="243"/>
      <c r="PLS238" s="243"/>
      <c r="PLT238" s="243"/>
      <c r="PLU238" s="243"/>
      <c r="PLV238" s="243"/>
      <c r="PLW238" s="243"/>
      <c r="PLX238" s="243"/>
      <c r="PLY238" s="243"/>
      <c r="PLZ238" s="243"/>
      <c r="PMA238" s="243"/>
      <c r="PMB238" s="243"/>
      <c r="PMC238" s="243"/>
      <c r="PMD238" s="243"/>
      <c r="PME238" s="243"/>
      <c r="PMF238" s="243"/>
      <c r="PMG238" s="243"/>
      <c r="PMH238" s="243"/>
      <c r="PMI238" s="243"/>
      <c r="PMJ238" s="243"/>
      <c r="PMK238" s="243"/>
      <c r="PML238" s="243"/>
      <c r="PMM238" s="243"/>
      <c r="PMN238" s="243"/>
      <c r="PMO238" s="243"/>
      <c r="PMP238" s="243"/>
      <c r="PMQ238" s="243"/>
      <c r="PMR238" s="243"/>
      <c r="PMS238" s="243"/>
      <c r="PMT238" s="243"/>
      <c r="PMU238" s="243"/>
      <c r="PMV238" s="243"/>
      <c r="PMW238" s="243"/>
      <c r="PMX238" s="243"/>
      <c r="PMY238" s="243"/>
      <c r="PMZ238" s="243"/>
      <c r="PNA238" s="243"/>
      <c r="PNB238" s="243"/>
      <c r="PNC238" s="243"/>
      <c r="PND238" s="243"/>
      <c r="PNE238" s="243"/>
      <c r="PNF238" s="243"/>
      <c r="PNG238" s="243"/>
      <c r="PNH238" s="243"/>
      <c r="PNI238" s="243"/>
      <c r="PNJ238" s="243"/>
      <c r="PNK238" s="243"/>
      <c r="PNL238" s="243"/>
      <c r="PNM238" s="243"/>
      <c r="PNN238" s="243"/>
      <c r="PNO238" s="243"/>
      <c r="PNP238" s="243"/>
      <c r="PNQ238" s="243"/>
      <c r="PNR238" s="243"/>
      <c r="PNS238" s="243"/>
      <c r="PNT238" s="243"/>
      <c r="PNU238" s="243"/>
      <c r="PNV238" s="243"/>
      <c r="PNW238" s="243"/>
      <c r="PNX238" s="243"/>
      <c r="PNY238" s="243"/>
      <c r="PNZ238" s="243"/>
      <c r="POA238" s="243"/>
      <c r="POB238" s="243"/>
      <c r="POC238" s="243"/>
      <c r="POD238" s="243"/>
      <c r="POE238" s="243"/>
      <c r="POF238" s="243"/>
      <c r="POG238" s="243"/>
      <c r="POH238" s="243"/>
      <c r="POI238" s="243"/>
      <c r="POJ238" s="243"/>
      <c r="POK238" s="243"/>
      <c r="POL238" s="243"/>
      <c r="POM238" s="243"/>
      <c r="PON238" s="243"/>
      <c r="POO238" s="243"/>
      <c r="POP238" s="243"/>
      <c r="POQ238" s="243"/>
      <c r="POR238" s="243"/>
      <c r="POS238" s="243"/>
      <c r="POT238" s="243"/>
      <c r="POU238" s="243"/>
      <c r="POV238" s="243"/>
      <c r="POW238" s="243"/>
      <c r="POX238" s="243"/>
      <c r="POY238" s="243"/>
      <c r="POZ238" s="243"/>
      <c r="PPA238" s="243"/>
      <c r="PPB238" s="243"/>
      <c r="PPC238" s="243"/>
      <c r="PPD238" s="243"/>
      <c r="PPE238" s="243"/>
      <c r="PPF238" s="243"/>
      <c r="PPG238" s="243"/>
      <c r="PPH238" s="243"/>
      <c r="PPI238" s="243"/>
      <c r="PPJ238" s="243"/>
      <c r="PPK238" s="243"/>
      <c r="PPL238" s="243"/>
      <c r="PPM238" s="243"/>
      <c r="PPN238" s="243"/>
      <c r="PPO238" s="243"/>
      <c r="PPP238" s="243"/>
      <c r="PPQ238" s="243"/>
      <c r="PPR238" s="243"/>
      <c r="PPS238" s="243"/>
      <c r="PPT238" s="243"/>
      <c r="PPU238" s="243"/>
      <c r="PPV238" s="243"/>
      <c r="PPW238" s="243"/>
      <c r="PPX238" s="243"/>
      <c r="PPY238" s="243"/>
      <c r="PPZ238" s="243"/>
      <c r="PQA238" s="243"/>
      <c r="PQB238" s="243"/>
      <c r="PQC238" s="243"/>
      <c r="PQD238" s="243"/>
      <c r="PQE238" s="243"/>
      <c r="PQF238" s="243"/>
      <c r="PQG238" s="243"/>
      <c r="PQH238" s="243"/>
      <c r="PQI238" s="243"/>
      <c r="PQJ238" s="243"/>
      <c r="PQK238" s="243"/>
      <c r="PQL238" s="243"/>
      <c r="PQM238" s="243"/>
      <c r="PQN238" s="243"/>
      <c r="PQO238" s="243"/>
      <c r="PQP238" s="243"/>
      <c r="PQQ238" s="243"/>
      <c r="PQR238" s="243"/>
      <c r="PQS238" s="243"/>
      <c r="PQT238" s="243"/>
      <c r="PQU238" s="243"/>
      <c r="PQV238" s="243"/>
      <c r="PQW238" s="243"/>
      <c r="PQX238" s="243"/>
      <c r="PQY238" s="243"/>
      <c r="PQZ238" s="243"/>
      <c r="PRA238" s="243"/>
      <c r="PRB238" s="243"/>
      <c r="PRC238" s="243"/>
      <c r="PRD238" s="243"/>
      <c r="PRE238" s="243"/>
      <c r="PRF238" s="243"/>
      <c r="PRG238" s="243"/>
      <c r="PRH238" s="243"/>
      <c r="PRI238" s="243"/>
      <c r="PRJ238" s="243"/>
      <c r="PRK238" s="243"/>
      <c r="PRL238" s="243"/>
      <c r="PRM238" s="243"/>
      <c r="PRN238" s="243"/>
      <c r="PRO238" s="243"/>
      <c r="PRP238" s="243"/>
      <c r="PRQ238" s="243"/>
      <c r="PRR238" s="243"/>
      <c r="PRS238" s="243"/>
      <c r="PRT238" s="243"/>
      <c r="PRU238" s="243"/>
      <c r="PRV238" s="243"/>
      <c r="PRW238" s="243"/>
      <c r="PRX238" s="243"/>
      <c r="PRY238" s="243"/>
      <c r="PRZ238" s="243"/>
      <c r="PSA238" s="243"/>
      <c r="PSB238" s="243"/>
      <c r="PSC238" s="243"/>
      <c r="PSD238" s="243"/>
      <c r="PSE238" s="243"/>
      <c r="PSF238" s="243"/>
      <c r="PSG238" s="243"/>
      <c r="PSH238" s="243"/>
      <c r="PSI238" s="243"/>
      <c r="PSJ238" s="243"/>
      <c r="PSK238" s="243"/>
      <c r="PSL238" s="243"/>
      <c r="PSM238" s="243"/>
      <c r="PSN238" s="243"/>
      <c r="PSO238" s="243"/>
      <c r="PSP238" s="243"/>
      <c r="PSQ238" s="243"/>
      <c r="PSR238" s="243"/>
      <c r="PSS238" s="243"/>
      <c r="PST238" s="243"/>
      <c r="PSU238" s="243"/>
      <c r="PSV238" s="243"/>
      <c r="PSW238" s="243"/>
      <c r="PSX238" s="243"/>
      <c r="PSY238" s="243"/>
      <c r="PSZ238" s="243"/>
      <c r="PTA238" s="243"/>
      <c r="PTB238" s="243"/>
      <c r="PTC238" s="243"/>
      <c r="PTD238" s="243"/>
      <c r="PTE238" s="243"/>
      <c r="PTF238" s="243"/>
      <c r="PTG238" s="243"/>
      <c r="PTH238" s="243"/>
      <c r="PTI238" s="243"/>
      <c r="PTJ238" s="243"/>
      <c r="PTK238" s="243"/>
      <c r="PTL238" s="243"/>
      <c r="PTM238" s="243"/>
      <c r="PTN238" s="243"/>
      <c r="PTO238" s="243"/>
      <c r="PTP238" s="243"/>
      <c r="PTQ238" s="243"/>
      <c r="PTR238" s="243"/>
      <c r="PTS238" s="243"/>
      <c r="PTT238" s="243"/>
      <c r="PTU238" s="243"/>
      <c r="PTV238" s="243"/>
      <c r="PTW238" s="243"/>
      <c r="PTX238" s="243"/>
      <c r="PTY238" s="243"/>
      <c r="PTZ238" s="243"/>
      <c r="PUA238" s="243"/>
      <c r="PUB238" s="243"/>
      <c r="PUC238" s="243"/>
      <c r="PUD238" s="243"/>
      <c r="PUE238" s="243"/>
      <c r="PUF238" s="243"/>
      <c r="PUG238" s="243"/>
      <c r="PUH238" s="243"/>
      <c r="PUI238" s="243"/>
      <c r="PUJ238" s="243"/>
      <c r="PUK238" s="243"/>
      <c r="PUL238" s="243"/>
      <c r="PUM238" s="243"/>
      <c r="PUN238" s="243"/>
      <c r="PUO238" s="243"/>
      <c r="PUP238" s="243"/>
      <c r="PUQ238" s="243"/>
      <c r="PUR238" s="243"/>
      <c r="PUS238" s="243"/>
      <c r="PUT238" s="243"/>
      <c r="PUU238" s="243"/>
      <c r="PUV238" s="243"/>
      <c r="PUW238" s="243"/>
      <c r="PUX238" s="243"/>
      <c r="PUY238" s="243"/>
      <c r="PUZ238" s="243"/>
      <c r="PVA238" s="243"/>
      <c r="PVB238" s="243"/>
      <c r="PVC238" s="243"/>
      <c r="PVD238" s="243"/>
      <c r="PVE238" s="243"/>
      <c r="PVF238" s="243"/>
      <c r="PVG238" s="243"/>
      <c r="PVH238" s="243"/>
      <c r="PVI238" s="243"/>
      <c r="PVJ238" s="243"/>
      <c r="PVK238" s="243"/>
      <c r="PVL238" s="243"/>
      <c r="PVM238" s="243"/>
      <c r="PVN238" s="243"/>
      <c r="PVO238" s="243"/>
      <c r="PVP238" s="243"/>
      <c r="PVQ238" s="243"/>
      <c r="PVR238" s="243"/>
      <c r="PVS238" s="243"/>
      <c r="PVT238" s="243"/>
      <c r="PVU238" s="243"/>
      <c r="PVV238" s="243"/>
      <c r="PVW238" s="243"/>
      <c r="PVX238" s="243"/>
      <c r="PVY238" s="243"/>
      <c r="PVZ238" s="243"/>
      <c r="PWA238" s="243"/>
      <c r="PWB238" s="243"/>
      <c r="PWC238" s="243"/>
      <c r="PWD238" s="243"/>
      <c r="PWE238" s="243"/>
      <c r="PWF238" s="243"/>
      <c r="PWG238" s="243"/>
      <c r="PWH238" s="243"/>
      <c r="PWI238" s="243"/>
      <c r="PWJ238" s="243"/>
      <c r="PWK238" s="243"/>
      <c r="PWL238" s="243"/>
      <c r="PWM238" s="243"/>
      <c r="PWN238" s="243"/>
      <c r="PWO238" s="243"/>
      <c r="PWP238" s="243"/>
      <c r="PWQ238" s="243"/>
      <c r="PWR238" s="243"/>
      <c r="PWS238" s="243"/>
      <c r="PWT238" s="243"/>
      <c r="PWU238" s="243"/>
      <c r="PWV238" s="243"/>
      <c r="PWW238" s="243"/>
      <c r="PWX238" s="243"/>
      <c r="PWY238" s="243"/>
      <c r="PWZ238" s="243"/>
      <c r="PXA238" s="243"/>
      <c r="PXB238" s="243"/>
      <c r="PXC238" s="243"/>
      <c r="PXD238" s="243"/>
      <c r="PXE238" s="243"/>
      <c r="PXF238" s="243"/>
      <c r="PXG238" s="243"/>
      <c r="PXH238" s="243"/>
      <c r="PXI238" s="243"/>
      <c r="PXJ238" s="243"/>
      <c r="PXK238" s="243"/>
      <c r="PXL238" s="243"/>
      <c r="PXM238" s="243"/>
      <c r="PXN238" s="243"/>
      <c r="PXO238" s="243"/>
      <c r="PXP238" s="243"/>
      <c r="PXQ238" s="243"/>
      <c r="PXR238" s="243"/>
      <c r="PXS238" s="243"/>
      <c r="PXT238" s="243"/>
      <c r="PXU238" s="243"/>
      <c r="PXV238" s="243"/>
      <c r="PXW238" s="243"/>
      <c r="PXX238" s="243"/>
      <c r="PXY238" s="243"/>
      <c r="PXZ238" s="243"/>
      <c r="PYA238" s="243"/>
      <c r="PYB238" s="243"/>
      <c r="PYC238" s="243"/>
      <c r="PYD238" s="243"/>
      <c r="PYE238" s="243"/>
      <c r="PYF238" s="243"/>
      <c r="PYG238" s="243"/>
      <c r="PYH238" s="243"/>
      <c r="PYI238" s="243"/>
      <c r="PYJ238" s="243"/>
      <c r="PYK238" s="243"/>
      <c r="PYL238" s="243"/>
      <c r="PYM238" s="243"/>
      <c r="PYN238" s="243"/>
      <c r="PYO238" s="243"/>
      <c r="PYP238" s="243"/>
      <c r="PYQ238" s="243"/>
      <c r="PYR238" s="243"/>
      <c r="PYS238" s="243"/>
      <c r="PYT238" s="243"/>
      <c r="PYU238" s="243"/>
      <c r="PYV238" s="243"/>
      <c r="PYW238" s="243"/>
      <c r="PYX238" s="243"/>
      <c r="PYY238" s="243"/>
      <c r="PYZ238" s="243"/>
      <c r="PZA238" s="243"/>
      <c r="PZB238" s="243"/>
      <c r="PZC238" s="243"/>
      <c r="PZD238" s="243"/>
      <c r="PZE238" s="243"/>
      <c r="PZF238" s="243"/>
      <c r="PZG238" s="243"/>
      <c r="PZH238" s="243"/>
      <c r="PZI238" s="243"/>
      <c r="PZJ238" s="243"/>
      <c r="PZK238" s="243"/>
      <c r="PZL238" s="243"/>
      <c r="PZM238" s="243"/>
      <c r="PZN238" s="243"/>
      <c r="PZO238" s="243"/>
      <c r="PZP238" s="243"/>
      <c r="PZQ238" s="243"/>
      <c r="PZR238" s="243"/>
      <c r="PZS238" s="243"/>
      <c r="PZT238" s="243"/>
      <c r="PZU238" s="243"/>
      <c r="PZV238" s="243"/>
      <c r="PZW238" s="243"/>
      <c r="PZX238" s="243"/>
      <c r="PZY238" s="243"/>
      <c r="PZZ238" s="243"/>
      <c r="QAA238" s="243"/>
      <c r="QAB238" s="243"/>
      <c r="QAC238" s="243"/>
      <c r="QAD238" s="243"/>
      <c r="QAE238" s="243"/>
      <c r="QAF238" s="243"/>
      <c r="QAG238" s="243"/>
      <c r="QAH238" s="243"/>
      <c r="QAI238" s="243"/>
      <c r="QAJ238" s="243"/>
      <c r="QAK238" s="243"/>
      <c r="QAL238" s="243"/>
      <c r="QAM238" s="243"/>
      <c r="QAN238" s="243"/>
      <c r="QAO238" s="243"/>
      <c r="QAP238" s="243"/>
      <c r="QAQ238" s="243"/>
      <c r="QAR238" s="243"/>
      <c r="QAS238" s="243"/>
      <c r="QAT238" s="243"/>
      <c r="QAU238" s="243"/>
      <c r="QAV238" s="243"/>
      <c r="QAW238" s="243"/>
      <c r="QAX238" s="243"/>
      <c r="QAY238" s="243"/>
      <c r="QAZ238" s="243"/>
      <c r="QBA238" s="243"/>
      <c r="QBB238" s="243"/>
      <c r="QBC238" s="243"/>
      <c r="QBD238" s="243"/>
      <c r="QBE238" s="243"/>
      <c r="QBF238" s="243"/>
      <c r="QBG238" s="243"/>
      <c r="QBH238" s="243"/>
      <c r="QBI238" s="243"/>
      <c r="QBJ238" s="243"/>
      <c r="QBK238" s="243"/>
      <c r="QBL238" s="243"/>
      <c r="QBM238" s="243"/>
      <c r="QBN238" s="243"/>
      <c r="QBO238" s="243"/>
      <c r="QBP238" s="243"/>
      <c r="QBQ238" s="243"/>
      <c r="QBR238" s="243"/>
      <c r="QBS238" s="243"/>
      <c r="QBT238" s="243"/>
      <c r="QBU238" s="243"/>
      <c r="QBV238" s="243"/>
      <c r="QBW238" s="243"/>
      <c r="QBX238" s="243"/>
      <c r="QBY238" s="243"/>
      <c r="QBZ238" s="243"/>
      <c r="QCA238" s="243"/>
      <c r="QCB238" s="243"/>
      <c r="QCC238" s="243"/>
      <c r="QCD238" s="243"/>
      <c r="QCE238" s="243"/>
      <c r="QCF238" s="243"/>
      <c r="QCG238" s="243"/>
      <c r="QCH238" s="243"/>
      <c r="QCI238" s="243"/>
      <c r="QCJ238" s="243"/>
      <c r="QCK238" s="243"/>
      <c r="QCL238" s="243"/>
      <c r="QCM238" s="243"/>
      <c r="QCN238" s="243"/>
      <c r="QCO238" s="243"/>
      <c r="QCP238" s="243"/>
      <c r="QCQ238" s="243"/>
      <c r="QCR238" s="243"/>
      <c r="QCS238" s="243"/>
      <c r="QCT238" s="243"/>
      <c r="QCU238" s="243"/>
      <c r="QCV238" s="243"/>
      <c r="QCW238" s="243"/>
      <c r="QCX238" s="243"/>
      <c r="QCY238" s="243"/>
      <c r="QCZ238" s="243"/>
      <c r="QDA238" s="243"/>
      <c r="QDB238" s="243"/>
      <c r="QDC238" s="243"/>
      <c r="QDD238" s="243"/>
      <c r="QDE238" s="243"/>
      <c r="QDF238" s="243"/>
      <c r="QDG238" s="243"/>
      <c r="QDH238" s="243"/>
      <c r="QDI238" s="243"/>
      <c r="QDJ238" s="243"/>
      <c r="QDK238" s="243"/>
      <c r="QDL238" s="243"/>
      <c r="QDM238" s="243"/>
      <c r="QDN238" s="243"/>
      <c r="QDO238" s="243"/>
      <c r="QDP238" s="243"/>
      <c r="QDQ238" s="243"/>
      <c r="QDR238" s="243"/>
      <c r="QDS238" s="243"/>
      <c r="QDT238" s="243"/>
      <c r="QDU238" s="243"/>
      <c r="QDV238" s="243"/>
      <c r="QDW238" s="243"/>
      <c r="QDX238" s="243"/>
      <c r="QDY238" s="243"/>
      <c r="QDZ238" s="243"/>
      <c r="QEA238" s="243"/>
      <c r="QEB238" s="243"/>
      <c r="QEC238" s="243"/>
      <c r="QED238" s="243"/>
      <c r="QEE238" s="243"/>
      <c r="QEF238" s="243"/>
      <c r="QEG238" s="243"/>
      <c r="QEH238" s="243"/>
      <c r="QEI238" s="243"/>
      <c r="QEJ238" s="243"/>
      <c r="QEK238" s="243"/>
      <c r="QEL238" s="243"/>
      <c r="QEM238" s="243"/>
      <c r="QEN238" s="243"/>
      <c r="QEO238" s="243"/>
      <c r="QEP238" s="243"/>
      <c r="QEQ238" s="243"/>
      <c r="QER238" s="243"/>
      <c r="QES238" s="243"/>
      <c r="QET238" s="243"/>
      <c r="QEU238" s="243"/>
      <c r="QEV238" s="243"/>
      <c r="QEW238" s="243"/>
      <c r="QEX238" s="243"/>
      <c r="QEY238" s="243"/>
      <c r="QEZ238" s="243"/>
      <c r="QFA238" s="243"/>
      <c r="QFB238" s="243"/>
      <c r="QFC238" s="243"/>
      <c r="QFD238" s="243"/>
      <c r="QFE238" s="243"/>
      <c r="QFF238" s="243"/>
      <c r="QFG238" s="243"/>
      <c r="QFH238" s="243"/>
      <c r="QFI238" s="243"/>
      <c r="QFJ238" s="243"/>
      <c r="QFK238" s="243"/>
      <c r="QFL238" s="243"/>
      <c r="QFM238" s="243"/>
      <c r="QFN238" s="243"/>
      <c r="QFO238" s="243"/>
      <c r="QFP238" s="243"/>
      <c r="QFQ238" s="243"/>
      <c r="QFR238" s="243"/>
      <c r="QFS238" s="243"/>
      <c r="QFT238" s="243"/>
      <c r="QFU238" s="243"/>
      <c r="QFV238" s="243"/>
      <c r="QFW238" s="243"/>
      <c r="QFX238" s="243"/>
      <c r="QFY238" s="243"/>
      <c r="QFZ238" s="243"/>
      <c r="QGA238" s="243"/>
      <c r="QGB238" s="243"/>
      <c r="QGC238" s="243"/>
      <c r="QGD238" s="243"/>
      <c r="QGE238" s="243"/>
      <c r="QGF238" s="243"/>
      <c r="QGG238" s="243"/>
      <c r="QGH238" s="243"/>
      <c r="QGI238" s="243"/>
      <c r="QGJ238" s="243"/>
      <c r="QGK238" s="243"/>
      <c r="QGL238" s="243"/>
      <c r="QGM238" s="243"/>
      <c r="QGN238" s="243"/>
      <c r="QGO238" s="243"/>
      <c r="QGP238" s="243"/>
      <c r="QGQ238" s="243"/>
      <c r="QGR238" s="243"/>
      <c r="QGS238" s="243"/>
      <c r="QGT238" s="243"/>
      <c r="QGU238" s="243"/>
      <c r="QGV238" s="243"/>
      <c r="QGW238" s="243"/>
      <c r="QGX238" s="243"/>
      <c r="QGY238" s="243"/>
      <c r="QGZ238" s="243"/>
      <c r="QHA238" s="243"/>
      <c r="QHB238" s="243"/>
      <c r="QHC238" s="243"/>
      <c r="QHD238" s="243"/>
      <c r="QHE238" s="243"/>
      <c r="QHF238" s="243"/>
      <c r="QHG238" s="243"/>
      <c r="QHH238" s="243"/>
      <c r="QHI238" s="243"/>
      <c r="QHJ238" s="243"/>
      <c r="QHK238" s="243"/>
      <c r="QHL238" s="243"/>
      <c r="QHM238" s="243"/>
      <c r="QHN238" s="243"/>
      <c r="QHO238" s="243"/>
      <c r="QHP238" s="243"/>
      <c r="QHQ238" s="243"/>
      <c r="QHR238" s="243"/>
      <c r="QHS238" s="243"/>
      <c r="QHT238" s="243"/>
      <c r="QHU238" s="243"/>
      <c r="QHV238" s="243"/>
      <c r="QHW238" s="243"/>
      <c r="QHX238" s="243"/>
      <c r="QHY238" s="243"/>
      <c r="QHZ238" s="243"/>
      <c r="QIA238" s="243"/>
      <c r="QIB238" s="243"/>
      <c r="QIC238" s="243"/>
      <c r="QID238" s="243"/>
      <c r="QIE238" s="243"/>
      <c r="QIF238" s="243"/>
      <c r="QIG238" s="243"/>
      <c r="QIH238" s="243"/>
      <c r="QII238" s="243"/>
      <c r="QIJ238" s="243"/>
      <c r="QIK238" s="243"/>
      <c r="QIL238" s="243"/>
      <c r="QIM238" s="243"/>
      <c r="QIN238" s="243"/>
      <c r="QIO238" s="243"/>
      <c r="QIP238" s="243"/>
      <c r="QIQ238" s="243"/>
      <c r="QIR238" s="243"/>
      <c r="QIS238" s="243"/>
      <c r="QIT238" s="243"/>
      <c r="QIU238" s="243"/>
      <c r="QIV238" s="243"/>
      <c r="QIW238" s="243"/>
      <c r="QIX238" s="243"/>
      <c r="QIY238" s="243"/>
      <c r="QIZ238" s="243"/>
      <c r="QJA238" s="243"/>
      <c r="QJB238" s="243"/>
      <c r="QJC238" s="243"/>
      <c r="QJD238" s="243"/>
      <c r="QJE238" s="243"/>
      <c r="QJF238" s="243"/>
      <c r="QJG238" s="243"/>
      <c r="QJH238" s="243"/>
      <c r="QJI238" s="243"/>
      <c r="QJJ238" s="243"/>
      <c r="QJK238" s="243"/>
      <c r="QJL238" s="243"/>
      <c r="QJM238" s="243"/>
      <c r="QJN238" s="243"/>
      <c r="QJO238" s="243"/>
      <c r="QJP238" s="243"/>
      <c r="QJQ238" s="243"/>
      <c r="QJR238" s="243"/>
      <c r="QJS238" s="243"/>
      <c r="QJT238" s="243"/>
      <c r="QJU238" s="243"/>
      <c r="QJV238" s="243"/>
      <c r="QJW238" s="243"/>
      <c r="QJX238" s="243"/>
      <c r="QJY238" s="243"/>
      <c r="QJZ238" s="243"/>
      <c r="QKA238" s="243"/>
      <c r="QKB238" s="243"/>
      <c r="QKC238" s="243"/>
      <c r="QKD238" s="243"/>
      <c r="QKE238" s="243"/>
      <c r="QKF238" s="243"/>
      <c r="QKG238" s="243"/>
      <c r="QKH238" s="243"/>
      <c r="QKI238" s="243"/>
      <c r="QKJ238" s="243"/>
      <c r="QKK238" s="243"/>
      <c r="QKL238" s="243"/>
      <c r="QKM238" s="243"/>
      <c r="QKN238" s="243"/>
      <c r="QKO238" s="243"/>
      <c r="QKP238" s="243"/>
      <c r="QKQ238" s="243"/>
      <c r="QKR238" s="243"/>
      <c r="QKS238" s="243"/>
      <c r="QKT238" s="243"/>
      <c r="QKU238" s="243"/>
      <c r="QKV238" s="243"/>
      <c r="QKW238" s="243"/>
      <c r="QKX238" s="243"/>
      <c r="QKY238" s="243"/>
      <c r="QKZ238" s="243"/>
      <c r="QLA238" s="243"/>
      <c r="QLB238" s="243"/>
      <c r="QLC238" s="243"/>
      <c r="QLD238" s="243"/>
      <c r="QLE238" s="243"/>
      <c r="QLF238" s="243"/>
      <c r="QLG238" s="243"/>
      <c r="QLH238" s="243"/>
      <c r="QLI238" s="243"/>
      <c r="QLJ238" s="243"/>
      <c r="QLK238" s="243"/>
      <c r="QLL238" s="243"/>
      <c r="QLM238" s="243"/>
      <c r="QLN238" s="243"/>
      <c r="QLO238" s="243"/>
      <c r="QLP238" s="243"/>
      <c r="QLQ238" s="243"/>
      <c r="QLR238" s="243"/>
      <c r="QLS238" s="243"/>
      <c r="QLT238" s="243"/>
      <c r="QLU238" s="243"/>
      <c r="QLV238" s="243"/>
      <c r="QLW238" s="243"/>
      <c r="QLX238" s="243"/>
      <c r="QLY238" s="243"/>
      <c r="QLZ238" s="243"/>
      <c r="QMA238" s="243"/>
      <c r="QMB238" s="243"/>
      <c r="QMC238" s="243"/>
      <c r="QMD238" s="243"/>
      <c r="QME238" s="243"/>
      <c r="QMF238" s="243"/>
      <c r="QMG238" s="243"/>
      <c r="QMH238" s="243"/>
      <c r="QMI238" s="243"/>
      <c r="QMJ238" s="243"/>
      <c r="QMK238" s="243"/>
      <c r="QML238" s="243"/>
      <c r="QMM238" s="243"/>
      <c r="QMN238" s="243"/>
      <c r="QMO238" s="243"/>
      <c r="QMP238" s="243"/>
      <c r="QMQ238" s="243"/>
      <c r="QMR238" s="243"/>
      <c r="QMS238" s="243"/>
      <c r="QMT238" s="243"/>
      <c r="QMU238" s="243"/>
      <c r="QMV238" s="243"/>
      <c r="QMW238" s="243"/>
      <c r="QMX238" s="243"/>
      <c r="QMY238" s="243"/>
      <c r="QMZ238" s="243"/>
      <c r="QNA238" s="243"/>
      <c r="QNB238" s="243"/>
      <c r="QNC238" s="243"/>
      <c r="QND238" s="243"/>
      <c r="QNE238" s="243"/>
      <c r="QNF238" s="243"/>
      <c r="QNG238" s="243"/>
      <c r="QNH238" s="243"/>
      <c r="QNI238" s="243"/>
      <c r="QNJ238" s="243"/>
      <c r="QNK238" s="243"/>
      <c r="QNL238" s="243"/>
      <c r="QNM238" s="243"/>
      <c r="QNN238" s="243"/>
      <c r="QNO238" s="243"/>
      <c r="QNP238" s="243"/>
      <c r="QNQ238" s="243"/>
      <c r="QNR238" s="243"/>
      <c r="QNS238" s="243"/>
      <c r="QNT238" s="243"/>
      <c r="QNU238" s="243"/>
      <c r="QNV238" s="243"/>
      <c r="QNW238" s="243"/>
      <c r="QNX238" s="243"/>
      <c r="QNY238" s="243"/>
      <c r="QNZ238" s="243"/>
      <c r="QOA238" s="243"/>
      <c r="QOB238" s="243"/>
      <c r="QOC238" s="243"/>
      <c r="QOD238" s="243"/>
      <c r="QOE238" s="243"/>
      <c r="QOF238" s="243"/>
      <c r="QOG238" s="243"/>
      <c r="QOH238" s="243"/>
      <c r="QOI238" s="243"/>
      <c r="QOJ238" s="243"/>
      <c r="QOK238" s="243"/>
      <c r="QOL238" s="243"/>
      <c r="QOM238" s="243"/>
      <c r="QON238" s="243"/>
      <c r="QOO238" s="243"/>
      <c r="QOP238" s="243"/>
      <c r="QOQ238" s="243"/>
      <c r="QOR238" s="243"/>
      <c r="QOS238" s="243"/>
      <c r="QOT238" s="243"/>
      <c r="QOU238" s="243"/>
      <c r="QOV238" s="243"/>
      <c r="QOW238" s="243"/>
      <c r="QOX238" s="243"/>
      <c r="QOY238" s="243"/>
      <c r="QOZ238" s="243"/>
      <c r="QPA238" s="243"/>
      <c r="QPB238" s="243"/>
      <c r="QPC238" s="243"/>
      <c r="QPD238" s="243"/>
      <c r="QPE238" s="243"/>
      <c r="QPF238" s="243"/>
      <c r="QPG238" s="243"/>
      <c r="QPH238" s="243"/>
      <c r="QPI238" s="243"/>
      <c r="QPJ238" s="243"/>
      <c r="QPK238" s="243"/>
      <c r="QPL238" s="243"/>
      <c r="QPM238" s="243"/>
      <c r="QPN238" s="243"/>
      <c r="QPO238" s="243"/>
      <c r="QPP238" s="243"/>
      <c r="QPQ238" s="243"/>
      <c r="QPR238" s="243"/>
      <c r="QPS238" s="243"/>
      <c r="QPT238" s="243"/>
      <c r="QPU238" s="243"/>
      <c r="QPV238" s="243"/>
      <c r="QPW238" s="243"/>
      <c r="QPX238" s="243"/>
      <c r="QPY238" s="243"/>
      <c r="QPZ238" s="243"/>
      <c r="QQA238" s="243"/>
      <c r="QQB238" s="243"/>
      <c r="QQC238" s="243"/>
      <c r="QQD238" s="243"/>
      <c r="QQE238" s="243"/>
      <c r="QQF238" s="243"/>
      <c r="QQG238" s="243"/>
      <c r="QQH238" s="243"/>
      <c r="QQI238" s="243"/>
      <c r="QQJ238" s="243"/>
      <c r="QQK238" s="243"/>
      <c r="QQL238" s="243"/>
      <c r="QQM238" s="243"/>
      <c r="QQN238" s="243"/>
      <c r="QQO238" s="243"/>
      <c r="QQP238" s="243"/>
      <c r="QQQ238" s="243"/>
      <c r="QQR238" s="243"/>
      <c r="QQS238" s="243"/>
      <c r="QQT238" s="243"/>
      <c r="QQU238" s="243"/>
      <c r="QQV238" s="243"/>
      <c r="QQW238" s="243"/>
      <c r="QQX238" s="243"/>
      <c r="QQY238" s="243"/>
      <c r="QQZ238" s="243"/>
      <c r="QRA238" s="243"/>
      <c r="QRB238" s="243"/>
      <c r="QRC238" s="243"/>
      <c r="QRD238" s="243"/>
      <c r="QRE238" s="243"/>
      <c r="QRF238" s="243"/>
      <c r="QRG238" s="243"/>
      <c r="QRH238" s="243"/>
      <c r="QRI238" s="243"/>
      <c r="QRJ238" s="243"/>
      <c r="QRK238" s="243"/>
      <c r="QRL238" s="243"/>
      <c r="QRM238" s="243"/>
      <c r="QRN238" s="243"/>
      <c r="QRO238" s="243"/>
      <c r="QRP238" s="243"/>
      <c r="QRQ238" s="243"/>
      <c r="QRR238" s="243"/>
      <c r="QRS238" s="243"/>
      <c r="QRT238" s="243"/>
      <c r="QRU238" s="243"/>
      <c r="QRV238" s="243"/>
      <c r="QRW238" s="243"/>
      <c r="QRX238" s="243"/>
      <c r="QRY238" s="243"/>
      <c r="QRZ238" s="243"/>
      <c r="QSA238" s="243"/>
      <c r="QSB238" s="243"/>
      <c r="QSC238" s="243"/>
      <c r="QSD238" s="243"/>
      <c r="QSE238" s="243"/>
      <c r="QSF238" s="243"/>
      <c r="QSG238" s="243"/>
      <c r="QSH238" s="243"/>
      <c r="QSI238" s="243"/>
      <c r="QSJ238" s="243"/>
      <c r="QSK238" s="243"/>
      <c r="QSL238" s="243"/>
      <c r="QSM238" s="243"/>
      <c r="QSN238" s="243"/>
      <c r="QSO238" s="243"/>
      <c r="QSP238" s="243"/>
      <c r="QSQ238" s="243"/>
      <c r="QSR238" s="243"/>
      <c r="QSS238" s="243"/>
      <c r="QST238" s="243"/>
      <c r="QSU238" s="243"/>
      <c r="QSV238" s="243"/>
      <c r="QSW238" s="243"/>
      <c r="QSX238" s="243"/>
      <c r="QSY238" s="243"/>
      <c r="QSZ238" s="243"/>
      <c r="QTA238" s="243"/>
      <c r="QTB238" s="243"/>
      <c r="QTC238" s="243"/>
      <c r="QTD238" s="243"/>
      <c r="QTE238" s="243"/>
      <c r="QTF238" s="243"/>
      <c r="QTG238" s="243"/>
      <c r="QTH238" s="243"/>
      <c r="QTI238" s="243"/>
      <c r="QTJ238" s="243"/>
      <c r="QTK238" s="243"/>
      <c r="QTL238" s="243"/>
      <c r="QTM238" s="243"/>
      <c r="QTN238" s="243"/>
      <c r="QTO238" s="243"/>
      <c r="QTP238" s="243"/>
      <c r="QTQ238" s="243"/>
      <c r="QTR238" s="243"/>
      <c r="QTS238" s="243"/>
      <c r="QTT238" s="243"/>
      <c r="QTU238" s="243"/>
      <c r="QTV238" s="243"/>
      <c r="QTW238" s="243"/>
      <c r="QTX238" s="243"/>
      <c r="QTY238" s="243"/>
      <c r="QTZ238" s="243"/>
      <c r="QUA238" s="243"/>
      <c r="QUB238" s="243"/>
      <c r="QUC238" s="243"/>
      <c r="QUD238" s="243"/>
      <c r="QUE238" s="243"/>
      <c r="QUF238" s="243"/>
      <c r="QUG238" s="243"/>
      <c r="QUH238" s="243"/>
      <c r="QUI238" s="243"/>
      <c r="QUJ238" s="243"/>
      <c r="QUK238" s="243"/>
      <c r="QUL238" s="243"/>
      <c r="QUM238" s="243"/>
      <c r="QUN238" s="243"/>
      <c r="QUO238" s="243"/>
      <c r="QUP238" s="243"/>
      <c r="QUQ238" s="243"/>
      <c r="QUR238" s="243"/>
      <c r="QUS238" s="243"/>
      <c r="QUT238" s="243"/>
      <c r="QUU238" s="243"/>
      <c r="QUV238" s="243"/>
      <c r="QUW238" s="243"/>
      <c r="QUX238" s="243"/>
      <c r="QUY238" s="243"/>
      <c r="QUZ238" s="243"/>
      <c r="QVA238" s="243"/>
      <c r="QVB238" s="243"/>
      <c r="QVC238" s="243"/>
      <c r="QVD238" s="243"/>
      <c r="QVE238" s="243"/>
      <c r="QVF238" s="243"/>
      <c r="QVG238" s="243"/>
      <c r="QVH238" s="243"/>
      <c r="QVI238" s="243"/>
      <c r="QVJ238" s="243"/>
      <c r="QVK238" s="243"/>
      <c r="QVL238" s="243"/>
      <c r="QVM238" s="243"/>
      <c r="QVN238" s="243"/>
      <c r="QVO238" s="243"/>
      <c r="QVP238" s="243"/>
      <c r="QVQ238" s="243"/>
      <c r="QVR238" s="243"/>
      <c r="QVS238" s="243"/>
      <c r="QVT238" s="243"/>
      <c r="QVU238" s="243"/>
      <c r="QVV238" s="243"/>
      <c r="QVW238" s="243"/>
      <c r="QVX238" s="243"/>
      <c r="QVY238" s="243"/>
      <c r="QVZ238" s="243"/>
      <c r="QWA238" s="243"/>
      <c r="QWB238" s="243"/>
      <c r="QWC238" s="243"/>
      <c r="QWD238" s="243"/>
      <c r="QWE238" s="243"/>
      <c r="QWF238" s="243"/>
      <c r="QWG238" s="243"/>
      <c r="QWH238" s="243"/>
      <c r="QWI238" s="243"/>
      <c r="QWJ238" s="243"/>
      <c r="QWK238" s="243"/>
      <c r="QWL238" s="243"/>
      <c r="QWM238" s="243"/>
      <c r="QWN238" s="243"/>
      <c r="QWO238" s="243"/>
      <c r="QWP238" s="243"/>
      <c r="QWQ238" s="243"/>
      <c r="QWR238" s="243"/>
      <c r="QWS238" s="243"/>
      <c r="QWT238" s="243"/>
      <c r="QWU238" s="243"/>
      <c r="QWV238" s="243"/>
      <c r="QWW238" s="243"/>
      <c r="QWX238" s="243"/>
      <c r="QWY238" s="243"/>
      <c r="QWZ238" s="243"/>
      <c r="QXA238" s="243"/>
      <c r="QXB238" s="243"/>
      <c r="QXC238" s="243"/>
      <c r="QXD238" s="243"/>
      <c r="QXE238" s="243"/>
      <c r="QXF238" s="243"/>
      <c r="QXG238" s="243"/>
      <c r="QXH238" s="243"/>
      <c r="QXI238" s="243"/>
      <c r="QXJ238" s="243"/>
      <c r="QXK238" s="243"/>
      <c r="QXL238" s="243"/>
      <c r="QXM238" s="243"/>
      <c r="QXN238" s="243"/>
      <c r="QXO238" s="243"/>
      <c r="QXP238" s="243"/>
      <c r="QXQ238" s="243"/>
      <c r="QXR238" s="243"/>
      <c r="QXS238" s="243"/>
      <c r="QXT238" s="243"/>
      <c r="QXU238" s="243"/>
      <c r="QXV238" s="243"/>
      <c r="QXW238" s="243"/>
      <c r="QXX238" s="243"/>
      <c r="QXY238" s="243"/>
      <c r="QXZ238" s="243"/>
      <c r="QYA238" s="243"/>
      <c r="QYB238" s="243"/>
      <c r="QYC238" s="243"/>
      <c r="QYD238" s="243"/>
      <c r="QYE238" s="243"/>
      <c r="QYF238" s="243"/>
      <c r="QYG238" s="243"/>
      <c r="QYH238" s="243"/>
      <c r="QYI238" s="243"/>
      <c r="QYJ238" s="243"/>
      <c r="QYK238" s="243"/>
      <c r="QYL238" s="243"/>
      <c r="QYM238" s="243"/>
      <c r="QYN238" s="243"/>
      <c r="QYO238" s="243"/>
      <c r="QYP238" s="243"/>
      <c r="QYQ238" s="243"/>
      <c r="QYR238" s="243"/>
      <c r="QYS238" s="243"/>
      <c r="QYT238" s="243"/>
      <c r="QYU238" s="243"/>
      <c r="QYV238" s="243"/>
      <c r="QYW238" s="243"/>
      <c r="QYX238" s="243"/>
      <c r="QYY238" s="243"/>
      <c r="QYZ238" s="243"/>
      <c r="QZA238" s="243"/>
      <c r="QZB238" s="243"/>
      <c r="QZC238" s="243"/>
      <c r="QZD238" s="243"/>
      <c r="QZE238" s="243"/>
      <c r="QZF238" s="243"/>
      <c r="QZG238" s="243"/>
      <c r="QZH238" s="243"/>
      <c r="QZI238" s="243"/>
      <c r="QZJ238" s="243"/>
      <c r="QZK238" s="243"/>
      <c r="QZL238" s="243"/>
      <c r="QZM238" s="243"/>
      <c r="QZN238" s="243"/>
      <c r="QZO238" s="243"/>
      <c r="QZP238" s="243"/>
      <c r="QZQ238" s="243"/>
      <c r="QZR238" s="243"/>
      <c r="QZS238" s="243"/>
      <c r="QZT238" s="243"/>
      <c r="QZU238" s="243"/>
      <c r="QZV238" s="243"/>
      <c r="QZW238" s="243"/>
      <c r="QZX238" s="243"/>
      <c r="QZY238" s="243"/>
      <c r="QZZ238" s="243"/>
      <c r="RAA238" s="243"/>
      <c r="RAB238" s="243"/>
      <c r="RAC238" s="243"/>
      <c r="RAD238" s="243"/>
      <c r="RAE238" s="243"/>
      <c r="RAF238" s="243"/>
      <c r="RAG238" s="243"/>
      <c r="RAH238" s="243"/>
      <c r="RAI238" s="243"/>
      <c r="RAJ238" s="243"/>
      <c r="RAK238" s="243"/>
      <c r="RAL238" s="243"/>
      <c r="RAM238" s="243"/>
      <c r="RAN238" s="243"/>
      <c r="RAO238" s="243"/>
      <c r="RAP238" s="243"/>
      <c r="RAQ238" s="243"/>
      <c r="RAR238" s="243"/>
      <c r="RAS238" s="243"/>
      <c r="RAT238" s="243"/>
      <c r="RAU238" s="243"/>
      <c r="RAV238" s="243"/>
      <c r="RAW238" s="243"/>
      <c r="RAX238" s="243"/>
      <c r="RAY238" s="243"/>
      <c r="RAZ238" s="243"/>
      <c r="RBA238" s="243"/>
      <c r="RBB238" s="243"/>
      <c r="RBC238" s="243"/>
      <c r="RBD238" s="243"/>
      <c r="RBE238" s="243"/>
      <c r="RBF238" s="243"/>
      <c r="RBG238" s="243"/>
      <c r="RBH238" s="243"/>
      <c r="RBI238" s="243"/>
      <c r="RBJ238" s="243"/>
      <c r="RBK238" s="243"/>
      <c r="RBL238" s="243"/>
      <c r="RBM238" s="243"/>
      <c r="RBN238" s="243"/>
      <c r="RBO238" s="243"/>
      <c r="RBP238" s="243"/>
      <c r="RBQ238" s="243"/>
      <c r="RBR238" s="243"/>
      <c r="RBS238" s="243"/>
      <c r="RBT238" s="243"/>
      <c r="RBU238" s="243"/>
      <c r="RBV238" s="243"/>
      <c r="RBW238" s="243"/>
      <c r="RBX238" s="243"/>
      <c r="RBY238" s="243"/>
      <c r="RBZ238" s="243"/>
      <c r="RCA238" s="243"/>
      <c r="RCB238" s="243"/>
      <c r="RCC238" s="243"/>
      <c r="RCD238" s="243"/>
      <c r="RCE238" s="243"/>
      <c r="RCF238" s="243"/>
      <c r="RCG238" s="243"/>
      <c r="RCH238" s="243"/>
      <c r="RCI238" s="243"/>
      <c r="RCJ238" s="243"/>
      <c r="RCK238" s="243"/>
      <c r="RCL238" s="243"/>
      <c r="RCM238" s="243"/>
      <c r="RCN238" s="243"/>
      <c r="RCO238" s="243"/>
      <c r="RCP238" s="243"/>
      <c r="RCQ238" s="243"/>
      <c r="RCR238" s="243"/>
      <c r="RCS238" s="243"/>
      <c r="RCT238" s="243"/>
      <c r="RCU238" s="243"/>
      <c r="RCV238" s="243"/>
      <c r="RCW238" s="243"/>
      <c r="RCX238" s="243"/>
      <c r="RCY238" s="243"/>
      <c r="RCZ238" s="243"/>
      <c r="RDA238" s="243"/>
      <c r="RDB238" s="243"/>
      <c r="RDC238" s="243"/>
      <c r="RDD238" s="243"/>
      <c r="RDE238" s="243"/>
      <c r="RDF238" s="243"/>
      <c r="RDG238" s="243"/>
      <c r="RDH238" s="243"/>
      <c r="RDI238" s="243"/>
      <c r="RDJ238" s="243"/>
      <c r="RDK238" s="243"/>
      <c r="RDL238" s="243"/>
      <c r="RDM238" s="243"/>
      <c r="RDN238" s="243"/>
      <c r="RDO238" s="243"/>
      <c r="RDP238" s="243"/>
      <c r="RDQ238" s="243"/>
      <c r="RDR238" s="243"/>
      <c r="RDS238" s="243"/>
      <c r="RDT238" s="243"/>
      <c r="RDU238" s="243"/>
      <c r="RDV238" s="243"/>
      <c r="RDW238" s="243"/>
      <c r="RDX238" s="243"/>
      <c r="RDY238" s="243"/>
      <c r="RDZ238" s="243"/>
      <c r="REA238" s="243"/>
      <c r="REB238" s="243"/>
      <c r="REC238" s="243"/>
      <c r="RED238" s="243"/>
      <c r="REE238" s="243"/>
      <c r="REF238" s="243"/>
      <c r="REG238" s="243"/>
      <c r="REH238" s="243"/>
      <c r="REI238" s="243"/>
      <c r="REJ238" s="243"/>
      <c r="REK238" s="243"/>
      <c r="REL238" s="243"/>
      <c r="REM238" s="243"/>
      <c r="REN238" s="243"/>
      <c r="REO238" s="243"/>
      <c r="REP238" s="243"/>
      <c r="REQ238" s="243"/>
      <c r="RER238" s="243"/>
      <c r="RES238" s="243"/>
      <c r="RET238" s="243"/>
      <c r="REU238" s="243"/>
      <c r="REV238" s="243"/>
      <c r="REW238" s="243"/>
      <c r="REX238" s="243"/>
      <c r="REY238" s="243"/>
      <c r="REZ238" s="243"/>
      <c r="RFA238" s="243"/>
      <c r="RFB238" s="243"/>
      <c r="RFC238" s="243"/>
      <c r="RFD238" s="243"/>
      <c r="RFE238" s="243"/>
      <c r="RFF238" s="243"/>
      <c r="RFG238" s="243"/>
      <c r="RFH238" s="243"/>
      <c r="RFI238" s="243"/>
      <c r="RFJ238" s="243"/>
      <c r="RFK238" s="243"/>
      <c r="RFL238" s="243"/>
      <c r="RFM238" s="243"/>
      <c r="RFN238" s="243"/>
      <c r="RFO238" s="243"/>
      <c r="RFP238" s="243"/>
      <c r="RFQ238" s="243"/>
      <c r="RFR238" s="243"/>
      <c r="RFS238" s="243"/>
      <c r="RFT238" s="243"/>
      <c r="RFU238" s="243"/>
      <c r="RFV238" s="243"/>
      <c r="RFW238" s="243"/>
      <c r="RFX238" s="243"/>
      <c r="RFY238" s="243"/>
      <c r="RFZ238" s="243"/>
      <c r="RGA238" s="243"/>
      <c r="RGB238" s="243"/>
      <c r="RGC238" s="243"/>
      <c r="RGD238" s="243"/>
      <c r="RGE238" s="243"/>
      <c r="RGF238" s="243"/>
      <c r="RGG238" s="243"/>
      <c r="RGH238" s="243"/>
      <c r="RGI238" s="243"/>
      <c r="RGJ238" s="243"/>
      <c r="RGK238" s="243"/>
      <c r="RGL238" s="243"/>
      <c r="RGM238" s="243"/>
      <c r="RGN238" s="243"/>
      <c r="RGO238" s="243"/>
      <c r="RGP238" s="243"/>
      <c r="RGQ238" s="243"/>
      <c r="RGR238" s="243"/>
      <c r="RGS238" s="243"/>
      <c r="RGT238" s="243"/>
      <c r="RGU238" s="243"/>
      <c r="RGV238" s="243"/>
      <c r="RGW238" s="243"/>
      <c r="RGX238" s="243"/>
      <c r="RGY238" s="243"/>
      <c r="RGZ238" s="243"/>
      <c r="RHA238" s="243"/>
      <c r="RHB238" s="243"/>
      <c r="RHC238" s="243"/>
      <c r="RHD238" s="243"/>
      <c r="RHE238" s="243"/>
      <c r="RHF238" s="243"/>
      <c r="RHG238" s="243"/>
      <c r="RHH238" s="243"/>
      <c r="RHI238" s="243"/>
      <c r="RHJ238" s="243"/>
      <c r="RHK238" s="243"/>
      <c r="RHL238" s="243"/>
      <c r="RHM238" s="243"/>
      <c r="RHN238" s="243"/>
      <c r="RHO238" s="243"/>
      <c r="RHP238" s="243"/>
      <c r="RHQ238" s="243"/>
      <c r="RHR238" s="243"/>
      <c r="RHS238" s="243"/>
      <c r="RHT238" s="243"/>
      <c r="RHU238" s="243"/>
      <c r="RHV238" s="243"/>
      <c r="RHW238" s="243"/>
      <c r="RHX238" s="243"/>
      <c r="RHY238" s="243"/>
      <c r="RHZ238" s="243"/>
      <c r="RIA238" s="243"/>
      <c r="RIB238" s="243"/>
      <c r="RIC238" s="243"/>
      <c r="RID238" s="243"/>
      <c r="RIE238" s="243"/>
      <c r="RIF238" s="243"/>
      <c r="RIG238" s="243"/>
      <c r="RIH238" s="243"/>
      <c r="RII238" s="243"/>
      <c r="RIJ238" s="243"/>
      <c r="RIK238" s="243"/>
      <c r="RIL238" s="243"/>
      <c r="RIM238" s="243"/>
      <c r="RIN238" s="243"/>
      <c r="RIO238" s="243"/>
      <c r="RIP238" s="243"/>
      <c r="RIQ238" s="243"/>
      <c r="RIR238" s="243"/>
      <c r="RIS238" s="243"/>
      <c r="RIT238" s="243"/>
      <c r="RIU238" s="243"/>
      <c r="RIV238" s="243"/>
      <c r="RIW238" s="243"/>
      <c r="RIX238" s="243"/>
      <c r="RIY238" s="243"/>
      <c r="RIZ238" s="243"/>
      <c r="RJA238" s="243"/>
      <c r="RJB238" s="243"/>
      <c r="RJC238" s="243"/>
      <c r="RJD238" s="243"/>
      <c r="RJE238" s="243"/>
      <c r="RJF238" s="243"/>
      <c r="RJG238" s="243"/>
      <c r="RJH238" s="243"/>
      <c r="RJI238" s="243"/>
      <c r="RJJ238" s="243"/>
      <c r="RJK238" s="243"/>
      <c r="RJL238" s="243"/>
      <c r="RJM238" s="243"/>
      <c r="RJN238" s="243"/>
      <c r="RJO238" s="243"/>
      <c r="RJP238" s="243"/>
      <c r="RJQ238" s="243"/>
      <c r="RJR238" s="243"/>
      <c r="RJS238" s="243"/>
      <c r="RJT238" s="243"/>
      <c r="RJU238" s="243"/>
      <c r="RJV238" s="243"/>
      <c r="RJW238" s="243"/>
      <c r="RJX238" s="243"/>
      <c r="RJY238" s="243"/>
      <c r="RJZ238" s="243"/>
      <c r="RKA238" s="243"/>
      <c r="RKB238" s="243"/>
      <c r="RKC238" s="243"/>
      <c r="RKD238" s="243"/>
      <c r="RKE238" s="243"/>
      <c r="RKF238" s="243"/>
      <c r="RKG238" s="243"/>
      <c r="RKH238" s="243"/>
      <c r="RKI238" s="243"/>
      <c r="RKJ238" s="243"/>
      <c r="RKK238" s="243"/>
      <c r="RKL238" s="243"/>
      <c r="RKM238" s="243"/>
      <c r="RKN238" s="243"/>
      <c r="RKO238" s="243"/>
      <c r="RKP238" s="243"/>
      <c r="RKQ238" s="243"/>
      <c r="RKR238" s="243"/>
      <c r="RKS238" s="243"/>
      <c r="RKT238" s="243"/>
      <c r="RKU238" s="243"/>
      <c r="RKV238" s="243"/>
      <c r="RKW238" s="243"/>
      <c r="RKX238" s="243"/>
      <c r="RKY238" s="243"/>
      <c r="RKZ238" s="243"/>
      <c r="RLA238" s="243"/>
      <c r="RLB238" s="243"/>
      <c r="RLC238" s="243"/>
      <c r="RLD238" s="243"/>
      <c r="RLE238" s="243"/>
      <c r="RLF238" s="243"/>
      <c r="RLG238" s="243"/>
      <c r="RLH238" s="243"/>
      <c r="RLI238" s="243"/>
      <c r="RLJ238" s="243"/>
      <c r="RLK238" s="243"/>
      <c r="RLL238" s="243"/>
      <c r="RLM238" s="243"/>
      <c r="RLN238" s="243"/>
      <c r="RLO238" s="243"/>
      <c r="RLP238" s="243"/>
      <c r="RLQ238" s="243"/>
      <c r="RLR238" s="243"/>
      <c r="RLS238" s="243"/>
      <c r="RLT238" s="243"/>
      <c r="RLU238" s="243"/>
      <c r="RLV238" s="243"/>
      <c r="RLW238" s="243"/>
      <c r="RLX238" s="243"/>
      <c r="RLY238" s="243"/>
      <c r="RLZ238" s="243"/>
      <c r="RMA238" s="243"/>
      <c r="RMB238" s="243"/>
      <c r="RMC238" s="243"/>
      <c r="RMD238" s="243"/>
      <c r="RME238" s="243"/>
      <c r="RMF238" s="243"/>
      <c r="RMG238" s="243"/>
      <c r="RMH238" s="243"/>
      <c r="RMI238" s="243"/>
      <c r="RMJ238" s="243"/>
      <c r="RMK238" s="243"/>
      <c r="RML238" s="243"/>
      <c r="RMM238" s="243"/>
      <c r="RMN238" s="243"/>
      <c r="RMO238" s="243"/>
      <c r="RMP238" s="243"/>
      <c r="RMQ238" s="243"/>
      <c r="RMR238" s="243"/>
      <c r="RMS238" s="243"/>
      <c r="RMT238" s="243"/>
      <c r="RMU238" s="243"/>
      <c r="RMV238" s="243"/>
      <c r="RMW238" s="243"/>
      <c r="RMX238" s="243"/>
      <c r="RMY238" s="243"/>
      <c r="RMZ238" s="243"/>
      <c r="RNA238" s="243"/>
      <c r="RNB238" s="243"/>
      <c r="RNC238" s="243"/>
      <c r="RND238" s="243"/>
      <c r="RNE238" s="243"/>
      <c r="RNF238" s="243"/>
      <c r="RNG238" s="243"/>
      <c r="RNH238" s="243"/>
      <c r="RNI238" s="243"/>
      <c r="RNJ238" s="243"/>
      <c r="RNK238" s="243"/>
      <c r="RNL238" s="243"/>
      <c r="RNM238" s="243"/>
      <c r="RNN238" s="243"/>
      <c r="RNO238" s="243"/>
      <c r="RNP238" s="243"/>
      <c r="RNQ238" s="243"/>
      <c r="RNR238" s="243"/>
      <c r="RNS238" s="243"/>
      <c r="RNT238" s="243"/>
      <c r="RNU238" s="243"/>
      <c r="RNV238" s="243"/>
      <c r="RNW238" s="243"/>
      <c r="RNX238" s="243"/>
      <c r="RNY238" s="243"/>
      <c r="RNZ238" s="243"/>
      <c r="ROA238" s="243"/>
      <c r="ROB238" s="243"/>
      <c r="ROC238" s="243"/>
      <c r="ROD238" s="243"/>
      <c r="ROE238" s="243"/>
      <c r="ROF238" s="243"/>
      <c r="ROG238" s="243"/>
      <c r="ROH238" s="243"/>
      <c r="ROI238" s="243"/>
      <c r="ROJ238" s="243"/>
      <c r="ROK238" s="243"/>
      <c r="ROL238" s="243"/>
      <c r="ROM238" s="243"/>
      <c r="RON238" s="243"/>
      <c r="ROO238" s="243"/>
      <c r="ROP238" s="243"/>
      <c r="ROQ238" s="243"/>
      <c r="ROR238" s="243"/>
      <c r="ROS238" s="243"/>
      <c r="ROT238" s="243"/>
      <c r="ROU238" s="243"/>
      <c r="ROV238" s="243"/>
      <c r="ROW238" s="243"/>
      <c r="ROX238" s="243"/>
      <c r="ROY238" s="243"/>
      <c r="ROZ238" s="243"/>
      <c r="RPA238" s="243"/>
      <c r="RPB238" s="243"/>
      <c r="RPC238" s="243"/>
      <c r="RPD238" s="243"/>
      <c r="RPE238" s="243"/>
      <c r="RPF238" s="243"/>
      <c r="RPG238" s="243"/>
      <c r="RPH238" s="243"/>
      <c r="RPI238" s="243"/>
      <c r="RPJ238" s="243"/>
      <c r="RPK238" s="243"/>
      <c r="RPL238" s="243"/>
      <c r="RPM238" s="243"/>
      <c r="RPN238" s="243"/>
      <c r="RPO238" s="243"/>
      <c r="RPP238" s="243"/>
      <c r="RPQ238" s="243"/>
      <c r="RPR238" s="243"/>
      <c r="RPS238" s="243"/>
      <c r="RPT238" s="243"/>
      <c r="RPU238" s="243"/>
      <c r="RPV238" s="243"/>
      <c r="RPW238" s="243"/>
      <c r="RPX238" s="243"/>
      <c r="RPY238" s="243"/>
      <c r="RPZ238" s="243"/>
      <c r="RQA238" s="243"/>
      <c r="RQB238" s="243"/>
      <c r="RQC238" s="243"/>
      <c r="RQD238" s="243"/>
      <c r="RQE238" s="243"/>
      <c r="RQF238" s="243"/>
      <c r="RQG238" s="243"/>
      <c r="RQH238" s="243"/>
      <c r="RQI238" s="243"/>
      <c r="RQJ238" s="243"/>
      <c r="RQK238" s="243"/>
      <c r="RQL238" s="243"/>
      <c r="RQM238" s="243"/>
      <c r="RQN238" s="243"/>
      <c r="RQO238" s="243"/>
      <c r="RQP238" s="243"/>
      <c r="RQQ238" s="243"/>
      <c r="RQR238" s="243"/>
      <c r="RQS238" s="243"/>
      <c r="RQT238" s="243"/>
      <c r="RQU238" s="243"/>
      <c r="RQV238" s="243"/>
      <c r="RQW238" s="243"/>
      <c r="RQX238" s="243"/>
      <c r="RQY238" s="243"/>
      <c r="RQZ238" s="243"/>
      <c r="RRA238" s="243"/>
      <c r="RRB238" s="243"/>
      <c r="RRC238" s="243"/>
      <c r="RRD238" s="243"/>
      <c r="RRE238" s="243"/>
      <c r="RRF238" s="243"/>
      <c r="RRG238" s="243"/>
      <c r="RRH238" s="243"/>
      <c r="RRI238" s="243"/>
      <c r="RRJ238" s="243"/>
      <c r="RRK238" s="243"/>
      <c r="RRL238" s="243"/>
      <c r="RRM238" s="243"/>
      <c r="RRN238" s="243"/>
      <c r="RRO238" s="243"/>
      <c r="RRP238" s="243"/>
      <c r="RRQ238" s="243"/>
      <c r="RRR238" s="243"/>
      <c r="RRS238" s="243"/>
      <c r="RRT238" s="243"/>
      <c r="RRU238" s="243"/>
      <c r="RRV238" s="243"/>
      <c r="RRW238" s="243"/>
      <c r="RRX238" s="243"/>
      <c r="RRY238" s="243"/>
      <c r="RRZ238" s="243"/>
      <c r="RSA238" s="243"/>
      <c r="RSB238" s="243"/>
      <c r="RSC238" s="243"/>
      <c r="RSD238" s="243"/>
      <c r="RSE238" s="243"/>
      <c r="RSF238" s="243"/>
      <c r="RSG238" s="243"/>
      <c r="RSH238" s="243"/>
      <c r="RSI238" s="243"/>
      <c r="RSJ238" s="243"/>
      <c r="RSK238" s="243"/>
      <c r="RSL238" s="243"/>
      <c r="RSM238" s="243"/>
      <c r="RSN238" s="243"/>
      <c r="RSO238" s="243"/>
      <c r="RSP238" s="243"/>
      <c r="RSQ238" s="243"/>
      <c r="RSR238" s="243"/>
      <c r="RSS238" s="243"/>
      <c r="RST238" s="243"/>
      <c r="RSU238" s="243"/>
      <c r="RSV238" s="243"/>
      <c r="RSW238" s="243"/>
      <c r="RSX238" s="243"/>
      <c r="RSY238" s="243"/>
      <c r="RSZ238" s="243"/>
      <c r="RTA238" s="243"/>
      <c r="RTB238" s="243"/>
      <c r="RTC238" s="243"/>
      <c r="RTD238" s="243"/>
      <c r="RTE238" s="243"/>
      <c r="RTF238" s="243"/>
      <c r="RTG238" s="243"/>
      <c r="RTH238" s="243"/>
      <c r="RTI238" s="243"/>
      <c r="RTJ238" s="243"/>
      <c r="RTK238" s="243"/>
      <c r="RTL238" s="243"/>
      <c r="RTM238" s="243"/>
      <c r="RTN238" s="243"/>
      <c r="RTO238" s="243"/>
      <c r="RTP238" s="243"/>
      <c r="RTQ238" s="243"/>
      <c r="RTR238" s="243"/>
      <c r="RTS238" s="243"/>
      <c r="RTT238" s="243"/>
      <c r="RTU238" s="243"/>
      <c r="RTV238" s="243"/>
      <c r="RTW238" s="243"/>
      <c r="RTX238" s="243"/>
      <c r="RTY238" s="243"/>
      <c r="RTZ238" s="243"/>
      <c r="RUA238" s="243"/>
      <c r="RUB238" s="243"/>
      <c r="RUC238" s="243"/>
      <c r="RUD238" s="243"/>
      <c r="RUE238" s="243"/>
      <c r="RUF238" s="243"/>
      <c r="RUG238" s="243"/>
      <c r="RUH238" s="243"/>
      <c r="RUI238" s="243"/>
      <c r="RUJ238" s="243"/>
      <c r="RUK238" s="243"/>
      <c r="RUL238" s="243"/>
      <c r="RUM238" s="243"/>
      <c r="RUN238" s="243"/>
      <c r="RUO238" s="243"/>
      <c r="RUP238" s="243"/>
      <c r="RUQ238" s="243"/>
      <c r="RUR238" s="243"/>
      <c r="RUS238" s="243"/>
      <c r="RUT238" s="243"/>
      <c r="RUU238" s="243"/>
      <c r="RUV238" s="243"/>
      <c r="RUW238" s="243"/>
      <c r="RUX238" s="243"/>
      <c r="RUY238" s="243"/>
      <c r="RUZ238" s="243"/>
      <c r="RVA238" s="243"/>
      <c r="RVB238" s="243"/>
      <c r="RVC238" s="243"/>
      <c r="RVD238" s="243"/>
      <c r="RVE238" s="243"/>
      <c r="RVF238" s="243"/>
      <c r="RVG238" s="243"/>
      <c r="RVH238" s="243"/>
      <c r="RVI238" s="243"/>
      <c r="RVJ238" s="243"/>
      <c r="RVK238" s="243"/>
      <c r="RVL238" s="243"/>
      <c r="RVM238" s="243"/>
      <c r="RVN238" s="243"/>
      <c r="RVO238" s="243"/>
      <c r="RVP238" s="243"/>
      <c r="RVQ238" s="243"/>
      <c r="RVR238" s="243"/>
      <c r="RVS238" s="243"/>
      <c r="RVT238" s="243"/>
      <c r="RVU238" s="243"/>
      <c r="RVV238" s="243"/>
      <c r="RVW238" s="243"/>
      <c r="RVX238" s="243"/>
      <c r="RVY238" s="243"/>
      <c r="RVZ238" s="243"/>
      <c r="RWA238" s="243"/>
      <c r="RWB238" s="243"/>
      <c r="RWC238" s="243"/>
      <c r="RWD238" s="243"/>
      <c r="RWE238" s="243"/>
      <c r="RWF238" s="243"/>
      <c r="RWG238" s="243"/>
      <c r="RWH238" s="243"/>
      <c r="RWI238" s="243"/>
      <c r="RWJ238" s="243"/>
      <c r="RWK238" s="243"/>
      <c r="RWL238" s="243"/>
      <c r="RWM238" s="243"/>
      <c r="RWN238" s="243"/>
      <c r="RWO238" s="243"/>
      <c r="RWP238" s="243"/>
      <c r="RWQ238" s="243"/>
      <c r="RWR238" s="243"/>
      <c r="RWS238" s="243"/>
      <c r="RWT238" s="243"/>
      <c r="RWU238" s="243"/>
      <c r="RWV238" s="243"/>
      <c r="RWW238" s="243"/>
      <c r="RWX238" s="243"/>
      <c r="RWY238" s="243"/>
      <c r="RWZ238" s="243"/>
      <c r="RXA238" s="243"/>
      <c r="RXB238" s="243"/>
      <c r="RXC238" s="243"/>
      <c r="RXD238" s="243"/>
      <c r="RXE238" s="243"/>
      <c r="RXF238" s="243"/>
      <c r="RXG238" s="243"/>
      <c r="RXH238" s="243"/>
      <c r="RXI238" s="243"/>
      <c r="RXJ238" s="243"/>
      <c r="RXK238" s="243"/>
      <c r="RXL238" s="243"/>
      <c r="RXM238" s="243"/>
      <c r="RXN238" s="243"/>
      <c r="RXO238" s="243"/>
      <c r="RXP238" s="243"/>
      <c r="RXQ238" s="243"/>
      <c r="RXR238" s="243"/>
      <c r="RXS238" s="243"/>
      <c r="RXT238" s="243"/>
      <c r="RXU238" s="243"/>
      <c r="RXV238" s="243"/>
      <c r="RXW238" s="243"/>
      <c r="RXX238" s="243"/>
      <c r="RXY238" s="243"/>
      <c r="RXZ238" s="243"/>
      <c r="RYA238" s="243"/>
      <c r="RYB238" s="243"/>
      <c r="RYC238" s="243"/>
      <c r="RYD238" s="243"/>
      <c r="RYE238" s="243"/>
      <c r="RYF238" s="243"/>
      <c r="RYG238" s="243"/>
      <c r="RYH238" s="243"/>
      <c r="RYI238" s="243"/>
      <c r="RYJ238" s="243"/>
      <c r="RYK238" s="243"/>
      <c r="RYL238" s="243"/>
      <c r="RYM238" s="243"/>
      <c r="RYN238" s="243"/>
      <c r="RYO238" s="243"/>
      <c r="RYP238" s="243"/>
      <c r="RYQ238" s="243"/>
      <c r="RYR238" s="243"/>
      <c r="RYS238" s="243"/>
      <c r="RYT238" s="243"/>
      <c r="RYU238" s="243"/>
      <c r="RYV238" s="243"/>
      <c r="RYW238" s="243"/>
      <c r="RYX238" s="243"/>
      <c r="RYY238" s="243"/>
      <c r="RYZ238" s="243"/>
      <c r="RZA238" s="243"/>
      <c r="RZB238" s="243"/>
      <c r="RZC238" s="243"/>
      <c r="RZD238" s="243"/>
      <c r="RZE238" s="243"/>
      <c r="RZF238" s="243"/>
      <c r="RZG238" s="243"/>
      <c r="RZH238" s="243"/>
      <c r="RZI238" s="243"/>
      <c r="RZJ238" s="243"/>
      <c r="RZK238" s="243"/>
      <c r="RZL238" s="243"/>
      <c r="RZM238" s="243"/>
      <c r="RZN238" s="243"/>
      <c r="RZO238" s="243"/>
      <c r="RZP238" s="243"/>
      <c r="RZQ238" s="243"/>
      <c r="RZR238" s="243"/>
      <c r="RZS238" s="243"/>
      <c r="RZT238" s="243"/>
      <c r="RZU238" s="243"/>
      <c r="RZV238" s="243"/>
      <c r="RZW238" s="243"/>
      <c r="RZX238" s="243"/>
      <c r="RZY238" s="243"/>
      <c r="RZZ238" s="243"/>
      <c r="SAA238" s="243"/>
      <c r="SAB238" s="243"/>
      <c r="SAC238" s="243"/>
      <c r="SAD238" s="243"/>
      <c r="SAE238" s="243"/>
      <c r="SAF238" s="243"/>
      <c r="SAG238" s="243"/>
      <c r="SAH238" s="243"/>
      <c r="SAI238" s="243"/>
      <c r="SAJ238" s="243"/>
      <c r="SAK238" s="243"/>
      <c r="SAL238" s="243"/>
      <c r="SAM238" s="243"/>
      <c r="SAN238" s="243"/>
      <c r="SAO238" s="243"/>
      <c r="SAP238" s="243"/>
      <c r="SAQ238" s="243"/>
      <c r="SAR238" s="243"/>
      <c r="SAS238" s="243"/>
      <c r="SAT238" s="243"/>
      <c r="SAU238" s="243"/>
      <c r="SAV238" s="243"/>
      <c r="SAW238" s="243"/>
      <c r="SAX238" s="243"/>
      <c r="SAY238" s="243"/>
      <c r="SAZ238" s="243"/>
      <c r="SBA238" s="243"/>
      <c r="SBB238" s="243"/>
      <c r="SBC238" s="243"/>
      <c r="SBD238" s="243"/>
      <c r="SBE238" s="243"/>
      <c r="SBF238" s="243"/>
      <c r="SBG238" s="243"/>
      <c r="SBH238" s="243"/>
      <c r="SBI238" s="243"/>
      <c r="SBJ238" s="243"/>
      <c r="SBK238" s="243"/>
      <c r="SBL238" s="243"/>
      <c r="SBM238" s="243"/>
      <c r="SBN238" s="243"/>
      <c r="SBO238" s="243"/>
      <c r="SBP238" s="243"/>
      <c r="SBQ238" s="243"/>
      <c r="SBR238" s="243"/>
      <c r="SBS238" s="243"/>
      <c r="SBT238" s="243"/>
      <c r="SBU238" s="243"/>
      <c r="SBV238" s="243"/>
      <c r="SBW238" s="243"/>
      <c r="SBX238" s="243"/>
      <c r="SBY238" s="243"/>
      <c r="SBZ238" s="243"/>
      <c r="SCA238" s="243"/>
      <c r="SCB238" s="243"/>
      <c r="SCC238" s="243"/>
      <c r="SCD238" s="243"/>
      <c r="SCE238" s="243"/>
      <c r="SCF238" s="243"/>
      <c r="SCG238" s="243"/>
      <c r="SCH238" s="243"/>
      <c r="SCI238" s="243"/>
      <c r="SCJ238" s="243"/>
      <c r="SCK238" s="243"/>
      <c r="SCL238" s="243"/>
      <c r="SCM238" s="243"/>
      <c r="SCN238" s="243"/>
      <c r="SCO238" s="243"/>
      <c r="SCP238" s="243"/>
      <c r="SCQ238" s="243"/>
      <c r="SCR238" s="243"/>
      <c r="SCS238" s="243"/>
      <c r="SCT238" s="243"/>
      <c r="SCU238" s="243"/>
      <c r="SCV238" s="243"/>
      <c r="SCW238" s="243"/>
      <c r="SCX238" s="243"/>
      <c r="SCY238" s="243"/>
      <c r="SCZ238" s="243"/>
      <c r="SDA238" s="243"/>
      <c r="SDB238" s="243"/>
      <c r="SDC238" s="243"/>
      <c r="SDD238" s="243"/>
      <c r="SDE238" s="243"/>
      <c r="SDF238" s="243"/>
      <c r="SDG238" s="243"/>
      <c r="SDH238" s="243"/>
      <c r="SDI238" s="243"/>
      <c r="SDJ238" s="243"/>
      <c r="SDK238" s="243"/>
      <c r="SDL238" s="243"/>
      <c r="SDM238" s="243"/>
      <c r="SDN238" s="243"/>
      <c r="SDO238" s="243"/>
      <c r="SDP238" s="243"/>
      <c r="SDQ238" s="243"/>
      <c r="SDR238" s="243"/>
      <c r="SDS238" s="243"/>
      <c r="SDT238" s="243"/>
      <c r="SDU238" s="243"/>
      <c r="SDV238" s="243"/>
      <c r="SDW238" s="243"/>
      <c r="SDX238" s="243"/>
      <c r="SDY238" s="243"/>
      <c r="SDZ238" s="243"/>
      <c r="SEA238" s="243"/>
      <c r="SEB238" s="243"/>
      <c r="SEC238" s="243"/>
      <c r="SED238" s="243"/>
      <c r="SEE238" s="243"/>
      <c r="SEF238" s="243"/>
      <c r="SEG238" s="243"/>
      <c r="SEH238" s="243"/>
      <c r="SEI238" s="243"/>
      <c r="SEJ238" s="243"/>
      <c r="SEK238" s="243"/>
      <c r="SEL238" s="243"/>
      <c r="SEM238" s="243"/>
      <c r="SEN238" s="243"/>
      <c r="SEO238" s="243"/>
      <c r="SEP238" s="243"/>
      <c r="SEQ238" s="243"/>
      <c r="SER238" s="243"/>
      <c r="SES238" s="243"/>
      <c r="SET238" s="243"/>
      <c r="SEU238" s="243"/>
      <c r="SEV238" s="243"/>
      <c r="SEW238" s="243"/>
      <c r="SEX238" s="243"/>
      <c r="SEY238" s="243"/>
      <c r="SEZ238" s="243"/>
      <c r="SFA238" s="243"/>
      <c r="SFB238" s="243"/>
      <c r="SFC238" s="243"/>
      <c r="SFD238" s="243"/>
      <c r="SFE238" s="243"/>
      <c r="SFF238" s="243"/>
      <c r="SFG238" s="243"/>
      <c r="SFH238" s="243"/>
      <c r="SFI238" s="243"/>
      <c r="SFJ238" s="243"/>
      <c r="SFK238" s="243"/>
      <c r="SFL238" s="243"/>
      <c r="SFM238" s="243"/>
      <c r="SFN238" s="243"/>
      <c r="SFO238" s="243"/>
      <c r="SFP238" s="243"/>
      <c r="SFQ238" s="243"/>
      <c r="SFR238" s="243"/>
      <c r="SFS238" s="243"/>
      <c r="SFT238" s="243"/>
      <c r="SFU238" s="243"/>
      <c r="SFV238" s="243"/>
      <c r="SFW238" s="243"/>
      <c r="SFX238" s="243"/>
      <c r="SFY238" s="243"/>
      <c r="SFZ238" s="243"/>
      <c r="SGA238" s="243"/>
      <c r="SGB238" s="243"/>
      <c r="SGC238" s="243"/>
      <c r="SGD238" s="243"/>
      <c r="SGE238" s="243"/>
      <c r="SGF238" s="243"/>
      <c r="SGG238" s="243"/>
      <c r="SGH238" s="243"/>
      <c r="SGI238" s="243"/>
      <c r="SGJ238" s="243"/>
      <c r="SGK238" s="243"/>
      <c r="SGL238" s="243"/>
      <c r="SGM238" s="243"/>
      <c r="SGN238" s="243"/>
      <c r="SGO238" s="243"/>
      <c r="SGP238" s="243"/>
      <c r="SGQ238" s="243"/>
      <c r="SGR238" s="243"/>
      <c r="SGS238" s="243"/>
      <c r="SGT238" s="243"/>
      <c r="SGU238" s="243"/>
      <c r="SGV238" s="243"/>
      <c r="SGW238" s="243"/>
      <c r="SGX238" s="243"/>
      <c r="SGY238" s="243"/>
      <c r="SGZ238" s="243"/>
      <c r="SHA238" s="243"/>
      <c r="SHB238" s="243"/>
      <c r="SHC238" s="243"/>
      <c r="SHD238" s="243"/>
      <c r="SHE238" s="243"/>
      <c r="SHF238" s="243"/>
      <c r="SHG238" s="243"/>
      <c r="SHH238" s="243"/>
      <c r="SHI238" s="243"/>
      <c r="SHJ238" s="243"/>
      <c r="SHK238" s="243"/>
      <c r="SHL238" s="243"/>
      <c r="SHM238" s="243"/>
      <c r="SHN238" s="243"/>
      <c r="SHO238" s="243"/>
      <c r="SHP238" s="243"/>
      <c r="SHQ238" s="243"/>
      <c r="SHR238" s="243"/>
      <c r="SHS238" s="243"/>
      <c r="SHT238" s="243"/>
      <c r="SHU238" s="243"/>
      <c r="SHV238" s="243"/>
      <c r="SHW238" s="243"/>
      <c r="SHX238" s="243"/>
      <c r="SHY238" s="243"/>
      <c r="SHZ238" s="243"/>
      <c r="SIA238" s="243"/>
      <c r="SIB238" s="243"/>
      <c r="SIC238" s="243"/>
      <c r="SID238" s="243"/>
      <c r="SIE238" s="243"/>
      <c r="SIF238" s="243"/>
      <c r="SIG238" s="243"/>
      <c r="SIH238" s="243"/>
      <c r="SII238" s="243"/>
      <c r="SIJ238" s="243"/>
      <c r="SIK238" s="243"/>
      <c r="SIL238" s="243"/>
      <c r="SIM238" s="243"/>
      <c r="SIN238" s="243"/>
      <c r="SIO238" s="243"/>
      <c r="SIP238" s="243"/>
      <c r="SIQ238" s="243"/>
      <c r="SIR238" s="243"/>
      <c r="SIS238" s="243"/>
      <c r="SIT238" s="243"/>
      <c r="SIU238" s="243"/>
      <c r="SIV238" s="243"/>
      <c r="SIW238" s="243"/>
      <c r="SIX238" s="243"/>
      <c r="SIY238" s="243"/>
      <c r="SIZ238" s="243"/>
      <c r="SJA238" s="243"/>
      <c r="SJB238" s="243"/>
      <c r="SJC238" s="243"/>
      <c r="SJD238" s="243"/>
      <c r="SJE238" s="243"/>
      <c r="SJF238" s="243"/>
      <c r="SJG238" s="243"/>
      <c r="SJH238" s="243"/>
      <c r="SJI238" s="243"/>
      <c r="SJJ238" s="243"/>
      <c r="SJK238" s="243"/>
      <c r="SJL238" s="243"/>
      <c r="SJM238" s="243"/>
      <c r="SJN238" s="243"/>
      <c r="SJO238" s="243"/>
      <c r="SJP238" s="243"/>
      <c r="SJQ238" s="243"/>
      <c r="SJR238" s="243"/>
      <c r="SJS238" s="243"/>
      <c r="SJT238" s="243"/>
      <c r="SJU238" s="243"/>
      <c r="SJV238" s="243"/>
      <c r="SJW238" s="243"/>
      <c r="SJX238" s="243"/>
      <c r="SJY238" s="243"/>
      <c r="SJZ238" s="243"/>
      <c r="SKA238" s="243"/>
      <c r="SKB238" s="243"/>
      <c r="SKC238" s="243"/>
      <c r="SKD238" s="243"/>
      <c r="SKE238" s="243"/>
      <c r="SKF238" s="243"/>
      <c r="SKG238" s="243"/>
      <c r="SKH238" s="243"/>
      <c r="SKI238" s="243"/>
      <c r="SKJ238" s="243"/>
      <c r="SKK238" s="243"/>
      <c r="SKL238" s="243"/>
      <c r="SKM238" s="243"/>
      <c r="SKN238" s="243"/>
      <c r="SKO238" s="243"/>
      <c r="SKP238" s="243"/>
      <c r="SKQ238" s="243"/>
      <c r="SKR238" s="243"/>
      <c r="SKS238" s="243"/>
      <c r="SKT238" s="243"/>
      <c r="SKU238" s="243"/>
      <c r="SKV238" s="243"/>
      <c r="SKW238" s="243"/>
      <c r="SKX238" s="243"/>
      <c r="SKY238" s="243"/>
      <c r="SKZ238" s="243"/>
      <c r="SLA238" s="243"/>
      <c r="SLB238" s="243"/>
      <c r="SLC238" s="243"/>
      <c r="SLD238" s="243"/>
      <c r="SLE238" s="243"/>
      <c r="SLF238" s="243"/>
      <c r="SLG238" s="243"/>
      <c r="SLH238" s="243"/>
      <c r="SLI238" s="243"/>
      <c r="SLJ238" s="243"/>
      <c r="SLK238" s="243"/>
      <c r="SLL238" s="243"/>
      <c r="SLM238" s="243"/>
      <c r="SLN238" s="243"/>
      <c r="SLO238" s="243"/>
      <c r="SLP238" s="243"/>
      <c r="SLQ238" s="243"/>
      <c r="SLR238" s="243"/>
      <c r="SLS238" s="243"/>
      <c r="SLT238" s="243"/>
      <c r="SLU238" s="243"/>
      <c r="SLV238" s="243"/>
      <c r="SLW238" s="243"/>
      <c r="SLX238" s="243"/>
      <c r="SLY238" s="243"/>
      <c r="SLZ238" s="243"/>
      <c r="SMA238" s="243"/>
      <c r="SMB238" s="243"/>
      <c r="SMC238" s="243"/>
      <c r="SMD238" s="243"/>
      <c r="SME238" s="243"/>
      <c r="SMF238" s="243"/>
      <c r="SMG238" s="243"/>
      <c r="SMH238" s="243"/>
      <c r="SMI238" s="243"/>
      <c r="SMJ238" s="243"/>
      <c r="SMK238" s="243"/>
      <c r="SML238" s="243"/>
      <c r="SMM238" s="243"/>
      <c r="SMN238" s="243"/>
      <c r="SMO238" s="243"/>
      <c r="SMP238" s="243"/>
      <c r="SMQ238" s="243"/>
      <c r="SMR238" s="243"/>
      <c r="SMS238" s="243"/>
      <c r="SMT238" s="243"/>
      <c r="SMU238" s="243"/>
      <c r="SMV238" s="243"/>
      <c r="SMW238" s="243"/>
      <c r="SMX238" s="243"/>
      <c r="SMY238" s="243"/>
      <c r="SMZ238" s="243"/>
      <c r="SNA238" s="243"/>
      <c r="SNB238" s="243"/>
      <c r="SNC238" s="243"/>
      <c r="SND238" s="243"/>
      <c r="SNE238" s="243"/>
      <c r="SNF238" s="243"/>
      <c r="SNG238" s="243"/>
      <c r="SNH238" s="243"/>
      <c r="SNI238" s="243"/>
      <c r="SNJ238" s="243"/>
      <c r="SNK238" s="243"/>
      <c r="SNL238" s="243"/>
      <c r="SNM238" s="243"/>
      <c r="SNN238" s="243"/>
      <c r="SNO238" s="243"/>
      <c r="SNP238" s="243"/>
      <c r="SNQ238" s="243"/>
      <c r="SNR238" s="243"/>
      <c r="SNS238" s="243"/>
      <c r="SNT238" s="243"/>
      <c r="SNU238" s="243"/>
      <c r="SNV238" s="243"/>
      <c r="SNW238" s="243"/>
      <c r="SNX238" s="243"/>
      <c r="SNY238" s="243"/>
      <c r="SNZ238" s="243"/>
      <c r="SOA238" s="243"/>
      <c r="SOB238" s="243"/>
      <c r="SOC238" s="243"/>
      <c r="SOD238" s="243"/>
      <c r="SOE238" s="243"/>
      <c r="SOF238" s="243"/>
      <c r="SOG238" s="243"/>
      <c r="SOH238" s="243"/>
      <c r="SOI238" s="243"/>
      <c r="SOJ238" s="243"/>
      <c r="SOK238" s="243"/>
      <c r="SOL238" s="243"/>
      <c r="SOM238" s="243"/>
      <c r="SON238" s="243"/>
      <c r="SOO238" s="243"/>
      <c r="SOP238" s="243"/>
      <c r="SOQ238" s="243"/>
      <c r="SOR238" s="243"/>
      <c r="SOS238" s="243"/>
      <c r="SOT238" s="243"/>
      <c r="SOU238" s="243"/>
      <c r="SOV238" s="243"/>
      <c r="SOW238" s="243"/>
      <c r="SOX238" s="243"/>
      <c r="SOY238" s="243"/>
      <c r="SOZ238" s="243"/>
      <c r="SPA238" s="243"/>
      <c r="SPB238" s="243"/>
      <c r="SPC238" s="243"/>
      <c r="SPD238" s="243"/>
      <c r="SPE238" s="243"/>
      <c r="SPF238" s="243"/>
      <c r="SPG238" s="243"/>
      <c r="SPH238" s="243"/>
      <c r="SPI238" s="243"/>
      <c r="SPJ238" s="243"/>
      <c r="SPK238" s="243"/>
      <c r="SPL238" s="243"/>
      <c r="SPM238" s="243"/>
      <c r="SPN238" s="243"/>
      <c r="SPO238" s="243"/>
      <c r="SPP238" s="243"/>
      <c r="SPQ238" s="243"/>
      <c r="SPR238" s="243"/>
      <c r="SPS238" s="243"/>
      <c r="SPT238" s="243"/>
      <c r="SPU238" s="243"/>
      <c r="SPV238" s="243"/>
      <c r="SPW238" s="243"/>
      <c r="SPX238" s="243"/>
      <c r="SPY238" s="243"/>
      <c r="SPZ238" s="243"/>
      <c r="SQA238" s="243"/>
      <c r="SQB238" s="243"/>
      <c r="SQC238" s="243"/>
      <c r="SQD238" s="243"/>
      <c r="SQE238" s="243"/>
      <c r="SQF238" s="243"/>
      <c r="SQG238" s="243"/>
      <c r="SQH238" s="243"/>
      <c r="SQI238" s="243"/>
      <c r="SQJ238" s="243"/>
      <c r="SQK238" s="243"/>
      <c r="SQL238" s="243"/>
      <c r="SQM238" s="243"/>
      <c r="SQN238" s="243"/>
      <c r="SQO238" s="243"/>
      <c r="SQP238" s="243"/>
      <c r="SQQ238" s="243"/>
      <c r="SQR238" s="243"/>
      <c r="SQS238" s="243"/>
      <c r="SQT238" s="243"/>
      <c r="SQU238" s="243"/>
      <c r="SQV238" s="243"/>
      <c r="SQW238" s="243"/>
      <c r="SQX238" s="243"/>
      <c r="SQY238" s="243"/>
      <c r="SQZ238" s="243"/>
      <c r="SRA238" s="243"/>
      <c r="SRB238" s="243"/>
      <c r="SRC238" s="243"/>
      <c r="SRD238" s="243"/>
      <c r="SRE238" s="243"/>
      <c r="SRF238" s="243"/>
      <c r="SRG238" s="243"/>
      <c r="SRH238" s="243"/>
      <c r="SRI238" s="243"/>
      <c r="SRJ238" s="243"/>
      <c r="SRK238" s="243"/>
      <c r="SRL238" s="243"/>
      <c r="SRM238" s="243"/>
      <c r="SRN238" s="243"/>
      <c r="SRO238" s="243"/>
      <c r="SRP238" s="243"/>
      <c r="SRQ238" s="243"/>
      <c r="SRR238" s="243"/>
      <c r="SRS238" s="243"/>
      <c r="SRT238" s="243"/>
      <c r="SRU238" s="243"/>
      <c r="SRV238" s="243"/>
      <c r="SRW238" s="243"/>
      <c r="SRX238" s="243"/>
      <c r="SRY238" s="243"/>
      <c r="SRZ238" s="243"/>
      <c r="SSA238" s="243"/>
      <c r="SSB238" s="243"/>
      <c r="SSC238" s="243"/>
      <c r="SSD238" s="243"/>
      <c r="SSE238" s="243"/>
      <c r="SSF238" s="243"/>
      <c r="SSG238" s="243"/>
      <c r="SSH238" s="243"/>
      <c r="SSI238" s="243"/>
      <c r="SSJ238" s="243"/>
      <c r="SSK238" s="243"/>
      <c r="SSL238" s="243"/>
      <c r="SSM238" s="243"/>
      <c r="SSN238" s="243"/>
      <c r="SSO238" s="243"/>
      <c r="SSP238" s="243"/>
      <c r="SSQ238" s="243"/>
      <c r="SSR238" s="243"/>
      <c r="SSS238" s="243"/>
      <c r="SST238" s="243"/>
      <c r="SSU238" s="243"/>
      <c r="SSV238" s="243"/>
      <c r="SSW238" s="243"/>
      <c r="SSX238" s="243"/>
      <c r="SSY238" s="243"/>
      <c r="SSZ238" s="243"/>
      <c r="STA238" s="243"/>
      <c r="STB238" s="243"/>
      <c r="STC238" s="243"/>
      <c r="STD238" s="243"/>
      <c r="STE238" s="243"/>
      <c r="STF238" s="243"/>
      <c r="STG238" s="243"/>
      <c r="STH238" s="243"/>
      <c r="STI238" s="243"/>
      <c r="STJ238" s="243"/>
      <c r="STK238" s="243"/>
      <c r="STL238" s="243"/>
      <c r="STM238" s="243"/>
      <c r="STN238" s="243"/>
      <c r="STO238" s="243"/>
      <c r="STP238" s="243"/>
      <c r="STQ238" s="243"/>
      <c r="STR238" s="243"/>
      <c r="STS238" s="243"/>
      <c r="STT238" s="243"/>
      <c r="STU238" s="243"/>
      <c r="STV238" s="243"/>
      <c r="STW238" s="243"/>
      <c r="STX238" s="243"/>
      <c r="STY238" s="243"/>
      <c r="STZ238" s="243"/>
      <c r="SUA238" s="243"/>
      <c r="SUB238" s="243"/>
      <c r="SUC238" s="243"/>
      <c r="SUD238" s="243"/>
      <c r="SUE238" s="243"/>
      <c r="SUF238" s="243"/>
      <c r="SUG238" s="243"/>
      <c r="SUH238" s="243"/>
      <c r="SUI238" s="243"/>
      <c r="SUJ238" s="243"/>
      <c r="SUK238" s="243"/>
      <c r="SUL238" s="243"/>
      <c r="SUM238" s="243"/>
      <c r="SUN238" s="243"/>
      <c r="SUO238" s="243"/>
      <c r="SUP238" s="243"/>
      <c r="SUQ238" s="243"/>
      <c r="SUR238" s="243"/>
      <c r="SUS238" s="243"/>
      <c r="SUT238" s="243"/>
      <c r="SUU238" s="243"/>
      <c r="SUV238" s="243"/>
      <c r="SUW238" s="243"/>
      <c r="SUX238" s="243"/>
      <c r="SUY238" s="243"/>
      <c r="SUZ238" s="243"/>
      <c r="SVA238" s="243"/>
      <c r="SVB238" s="243"/>
      <c r="SVC238" s="243"/>
      <c r="SVD238" s="243"/>
      <c r="SVE238" s="243"/>
      <c r="SVF238" s="243"/>
      <c r="SVG238" s="243"/>
      <c r="SVH238" s="243"/>
      <c r="SVI238" s="243"/>
      <c r="SVJ238" s="243"/>
      <c r="SVK238" s="243"/>
      <c r="SVL238" s="243"/>
      <c r="SVM238" s="243"/>
      <c r="SVN238" s="243"/>
      <c r="SVO238" s="243"/>
      <c r="SVP238" s="243"/>
      <c r="SVQ238" s="243"/>
      <c r="SVR238" s="243"/>
      <c r="SVS238" s="243"/>
      <c r="SVT238" s="243"/>
      <c r="SVU238" s="243"/>
      <c r="SVV238" s="243"/>
      <c r="SVW238" s="243"/>
      <c r="SVX238" s="243"/>
      <c r="SVY238" s="243"/>
      <c r="SVZ238" s="243"/>
      <c r="SWA238" s="243"/>
      <c r="SWB238" s="243"/>
      <c r="SWC238" s="243"/>
      <c r="SWD238" s="243"/>
      <c r="SWE238" s="243"/>
      <c r="SWF238" s="243"/>
      <c r="SWG238" s="243"/>
      <c r="SWH238" s="243"/>
      <c r="SWI238" s="243"/>
      <c r="SWJ238" s="243"/>
      <c r="SWK238" s="243"/>
      <c r="SWL238" s="243"/>
      <c r="SWM238" s="243"/>
      <c r="SWN238" s="243"/>
      <c r="SWO238" s="243"/>
      <c r="SWP238" s="243"/>
      <c r="SWQ238" s="243"/>
      <c r="SWR238" s="243"/>
      <c r="SWS238" s="243"/>
      <c r="SWT238" s="243"/>
      <c r="SWU238" s="243"/>
      <c r="SWV238" s="243"/>
      <c r="SWW238" s="243"/>
      <c r="SWX238" s="243"/>
      <c r="SWY238" s="243"/>
      <c r="SWZ238" s="243"/>
      <c r="SXA238" s="243"/>
      <c r="SXB238" s="243"/>
      <c r="SXC238" s="243"/>
      <c r="SXD238" s="243"/>
      <c r="SXE238" s="243"/>
      <c r="SXF238" s="243"/>
      <c r="SXG238" s="243"/>
      <c r="SXH238" s="243"/>
      <c r="SXI238" s="243"/>
      <c r="SXJ238" s="243"/>
      <c r="SXK238" s="243"/>
      <c r="SXL238" s="243"/>
      <c r="SXM238" s="243"/>
      <c r="SXN238" s="243"/>
      <c r="SXO238" s="243"/>
      <c r="SXP238" s="243"/>
      <c r="SXQ238" s="243"/>
      <c r="SXR238" s="243"/>
      <c r="SXS238" s="243"/>
      <c r="SXT238" s="243"/>
      <c r="SXU238" s="243"/>
      <c r="SXV238" s="243"/>
      <c r="SXW238" s="243"/>
      <c r="SXX238" s="243"/>
      <c r="SXY238" s="243"/>
      <c r="SXZ238" s="243"/>
      <c r="SYA238" s="243"/>
      <c r="SYB238" s="243"/>
      <c r="SYC238" s="243"/>
      <c r="SYD238" s="243"/>
      <c r="SYE238" s="243"/>
      <c r="SYF238" s="243"/>
      <c r="SYG238" s="243"/>
      <c r="SYH238" s="243"/>
      <c r="SYI238" s="243"/>
      <c r="SYJ238" s="243"/>
      <c r="SYK238" s="243"/>
      <c r="SYL238" s="243"/>
      <c r="SYM238" s="243"/>
      <c r="SYN238" s="243"/>
      <c r="SYO238" s="243"/>
      <c r="SYP238" s="243"/>
      <c r="SYQ238" s="243"/>
      <c r="SYR238" s="243"/>
      <c r="SYS238" s="243"/>
      <c r="SYT238" s="243"/>
      <c r="SYU238" s="243"/>
      <c r="SYV238" s="243"/>
      <c r="SYW238" s="243"/>
      <c r="SYX238" s="243"/>
      <c r="SYY238" s="243"/>
      <c r="SYZ238" s="243"/>
      <c r="SZA238" s="243"/>
      <c r="SZB238" s="243"/>
      <c r="SZC238" s="243"/>
      <c r="SZD238" s="243"/>
      <c r="SZE238" s="243"/>
      <c r="SZF238" s="243"/>
      <c r="SZG238" s="243"/>
      <c r="SZH238" s="243"/>
      <c r="SZI238" s="243"/>
      <c r="SZJ238" s="243"/>
      <c r="SZK238" s="243"/>
      <c r="SZL238" s="243"/>
      <c r="SZM238" s="243"/>
      <c r="SZN238" s="243"/>
      <c r="SZO238" s="243"/>
      <c r="SZP238" s="243"/>
      <c r="SZQ238" s="243"/>
      <c r="SZR238" s="243"/>
      <c r="SZS238" s="243"/>
      <c r="SZT238" s="243"/>
      <c r="SZU238" s="243"/>
      <c r="SZV238" s="243"/>
      <c r="SZW238" s="243"/>
      <c r="SZX238" s="243"/>
      <c r="SZY238" s="243"/>
      <c r="SZZ238" s="243"/>
      <c r="TAA238" s="243"/>
      <c r="TAB238" s="243"/>
      <c r="TAC238" s="243"/>
      <c r="TAD238" s="243"/>
      <c r="TAE238" s="243"/>
      <c r="TAF238" s="243"/>
      <c r="TAG238" s="243"/>
      <c r="TAH238" s="243"/>
      <c r="TAI238" s="243"/>
      <c r="TAJ238" s="243"/>
      <c r="TAK238" s="243"/>
      <c r="TAL238" s="243"/>
      <c r="TAM238" s="243"/>
      <c r="TAN238" s="243"/>
      <c r="TAO238" s="243"/>
      <c r="TAP238" s="243"/>
      <c r="TAQ238" s="243"/>
      <c r="TAR238" s="243"/>
      <c r="TAS238" s="243"/>
      <c r="TAT238" s="243"/>
      <c r="TAU238" s="243"/>
      <c r="TAV238" s="243"/>
      <c r="TAW238" s="243"/>
      <c r="TAX238" s="243"/>
      <c r="TAY238" s="243"/>
      <c r="TAZ238" s="243"/>
      <c r="TBA238" s="243"/>
      <c r="TBB238" s="243"/>
      <c r="TBC238" s="243"/>
      <c r="TBD238" s="243"/>
      <c r="TBE238" s="243"/>
      <c r="TBF238" s="243"/>
      <c r="TBG238" s="243"/>
      <c r="TBH238" s="243"/>
      <c r="TBI238" s="243"/>
      <c r="TBJ238" s="243"/>
      <c r="TBK238" s="243"/>
      <c r="TBL238" s="243"/>
      <c r="TBM238" s="243"/>
      <c r="TBN238" s="243"/>
      <c r="TBO238" s="243"/>
      <c r="TBP238" s="243"/>
      <c r="TBQ238" s="243"/>
      <c r="TBR238" s="243"/>
      <c r="TBS238" s="243"/>
      <c r="TBT238" s="243"/>
      <c r="TBU238" s="243"/>
      <c r="TBV238" s="243"/>
      <c r="TBW238" s="243"/>
      <c r="TBX238" s="243"/>
      <c r="TBY238" s="243"/>
      <c r="TBZ238" s="243"/>
      <c r="TCA238" s="243"/>
      <c r="TCB238" s="243"/>
      <c r="TCC238" s="243"/>
      <c r="TCD238" s="243"/>
      <c r="TCE238" s="243"/>
      <c r="TCF238" s="243"/>
      <c r="TCG238" s="243"/>
      <c r="TCH238" s="243"/>
      <c r="TCI238" s="243"/>
      <c r="TCJ238" s="243"/>
      <c r="TCK238" s="243"/>
      <c r="TCL238" s="243"/>
      <c r="TCM238" s="243"/>
      <c r="TCN238" s="243"/>
      <c r="TCO238" s="243"/>
      <c r="TCP238" s="243"/>
      <c r="TCQ238" s="243"/>
      <c r="TCR238" s="243"/>
      <c r="TCS238" s="243"/>
      <c r="TCT238" s="243"/>
      <c r="TCU238" s="243"/>
      <c r="TCV238" s="243"/>
      <c r="TCW238" s="243"/>
      <c r="TCX238" s="243"/>
      <c r="TCY238" s="243"/>
      <c r="TCZ238" s="243"/>
      <c r="TDA238" s="243"/>
      <c r="TDB238" s="243"/>
      <c r="TDC238" s="243"/>
      <c r="TDD238" s="243"/>
      <c r="TDE238" s="243"/>
      <c r="TDF238" s="243"/>
      <c r="TDG238" s="243"/>
      <c r="TDH238" s="243"/>
      <c r="TDI238" s="243"/>
      <c r="TDJ238" s="243"/>
      <c r="TDK238" s="243"/>
      <c r="TDL238" s="243"/>
      <c r="TDM238" s="243"/>
      <c r="TDN238" s="243"/>
      <c r="TDO238" s="243"/>
      <c r="TDP238" s="243"/>
      <c r="TDQ238" s="243"/>
      <c r="TDR238" s="243"/>
      <c r="TDS238" s="243"/>
      <c r="TDT238" s="243"/>
      <c r="TDU238" s="243"/>
      <c r="TDV238" s="243"/>
      <c r="TDW238" s="243"/>
      <c r="TDX238" s="243"/>
      <c r="TDY238" s="243"/>
      <c r="TDZ238" s="243"/>
      <c r="TEA238" s="243"/>
      <c r="TEB238" s="243"/>
      <c r="TEC238" s="243"/>
      <c r="TED238" s="243"/>
      <c r="TEE238" s="243"/>
      <c r="TEF238" s="243"/>
      <c r="TEG238" s="243"/>
      <c r="TEH238" s="243"/>
      <c r="TEI238" s="243"/>
      <c r="TEJ238" s="243"/>
      <c r="TEK238" s="243"/>
      <c r="TEL238" s="243"/>
      <c r="TEM238" s="243"/>
      <c r="TEN238" s="243"/>
      <c r="TEO238" s="243"/>
      <c r="TEP238" s="243"/>
      <c r="TEQ238" s="243"/>
      <c r="TER238" s="243"/>
      <c r="TES238" s="243"/>
      <c r="TET238" s="243"/>
      <c r="TEU238" s="243"/>
      <c r="TEV238" s="243"/>
      <c r="TEW238" s="243"/>
      <c r="TEX238" s="243"/>
      <c r="TEY238" s="243"/>
      <c r="TEZ238" s="243"/>
      <c r="TFA238" s="243"/>
      <c r="TFB238" s="243"/>
      <c r="TFC238" s="243"/>
      <c r="TFD238" s="243"/>
      <c r="TFE238" s="243"/>
      <c r="TFF238" s="243"/>
      <c r="TFG238" s="243"/>
      <c r="TFH238" s="243"/>
      <c r="TFI238" s="243"/>
      <c r="TFJ238" s="243"/>
      <c r="TFK238" s="243"/>
      <c r="TFL238" s="243"/>
      <c r="TFM238" s="243"/>
      <c r="TFN238" s="243"/>
      <c r="TFO238" s="243"/>
      <c r="TFP238" s="243"/>
      <c r="TFQ238" s="243"/>
      <c r="TFR238" s="243"/>
      <c r="TFS238" s="243"/>
      <c r="TFT238" s="243"/>
      <c r="TFU238" s="243"/>
      <c r="TFV238" s="243"/>
      <c r="TFW238" s="243"/>
      <c r="TFX238" s="243"/>
      <c r="TFY238" s="243"/>
      <c r="TFZ238" s="243"/>
      <c r="TGA238" s="243"/>
      <c r="TGB238" s="243"/>
      <c r="TGC238" s="243"/>
      <c r="TGD238" s="243"/>
      <c r="TGE238" s="243"/>
      <c r="TGF238" s="243"/>
      <c r="TGG238" s="243"/>
      <c r="TGH238" s="243"/>
      <c r="TGI238" s="243"/>
      <c r="TGJ238" s="243"/>
      <c r="TGK238" s="243"/>
      <c r="TGL238" s="243"/>
      <c r="TGM238" s="243"/>
      <c r="TGN238" s="243"/>
      <c r="TGO238" s="243"/>
      <c r="TGP238" s="243"/>
      <c r="TGQ238" s="243"/>
      <c r="TGR238" s="243"/>
      <c r="TGS238" s="243"/>
      <c r="TGT238" s="243"/>
      <c r="TGU238" s="243"/>
      <c r="TGV238" s="243"/>
      <c r="TGW238" s="243"/>
      <c r="TGX238" s="243"/>
      <c r="TGY238" s="243"/>
      <c r="TGZ238" s="243"/>
      <c r="THA238" s="243"/>
      <c r="THB238" s="243"/>
      <c r="THC238" s="243"/>
      <c r="THD238" s="243"/>
      <c r="THE238" s="243"/>
      <c r="THF238" s="243"/>
      <c r="THG238" s="243"/>
      <c r="THH238" s="243"/>
      <c r="THI238" s="243"/>
      <c r="THJ238" s="243"/>
      <c r="THK238" s="243"/>
      <c r="THL238" s="243"/>
      <c r="THM238" s="243"/>
      <c r="THN238" s="243"/>
      <c r="THO238" s="243"/>
      <c r="THP238" s="243"/>
      <c r="THQ238" s="243"/>
      <c r="THR238" s="243"/>
      <c r="THS238" s="243"/>
      <c r="THT238" s="243"/>
      <c r="THU238" s="243"/>
      <c r="THV238" s="243"/>
      <c r="THW238" s="243"/>
      <c r="THX238" s="243"/>
      <c r="THY238" s="243"/>
      <c r="THZ238" s="243"/>
      <c r="TIA238" s="243"/>
      <c r="TIB238" s="243"/>
      <c r="TIC238" s="243"/>
      <c r="TID238" s="243"/>
      <c r="TIE238" s="243"/>
      <c r="TIF238" s="243"/>
      <c r="TIG238" s="243"/>
      <c r="TIH238" s="243"/>
      <c r="TII238" s="243"/>
      <c r="TIJ238" s="243"/>
      <c r="TIK238" s="243"/>
      <c r="TIL238" s="243"/>
      <c r="TIM238" s="243"/>
      <c r="TIN238" s="243"/>
      <c r="TIO238" s="243"/>
      <c r="TIP238" s="243"/>
      <c r="TIQ238" s="243"/>
      <c r="TIR238" s="243"/>
      <c r="TIS238" s="243"/>
      <c r="TIT238" s="243"/>
      <c r="TIU238" s="243"/>
      <c r="TIV238" s="243"/>
      <c r="TIW238" s="243"/>
      <c r="TIX238" s="243"/>
      <c r="TIY238" s="243"/>
      <c r="TIZ238" s="243"/>
      <c r="TJA238" s="243"/>
      <c r="TJB238" s="243"/>
      <c r="TJC238" s="243"/>
      <c r="TJD238" s="243"/>
      <c r="TJE238" s="243"/>
      <c r="TJF238" s="243"/>
      <c r="TJG238" s="243"/>
      <c r="TJH238" s="243"/>
      <c r="TJI238" s="243"/>
      <c r="TJJ238" s="243"/>
      <c r="TJK238" s="243"/>
      <c r="TJL238" s="243"/>
      <c r="TJM238" s="243"/>
      <c r="TJN238" s="243"/>
      <c r="TJO238" s="243"/>
      <c r="TJP238" s="243"/>
      <c r="TJQ238" s="243"/>
      <c r="TJR238" s="243"/>
      <c r="TJS238" s="243"/>
      <c r="TJT238" s="243"/>
      <c r="TJU238" s="243"/>
      <c r="TJV238" s="243"/>
      <c r="TJW238" s="243"/>
      <c r="TJX238" s="243"/>
      <c r="TJY238" s="243"/>
      <c r="TJZ238" s="243"/>
      <c r="TKA238" s="243"/>
      <c r="TKB238" s="243"/>
      <c r="TKC238" s="243"/>
      <c r="TKD238" s="243"/>
      <c r="TKE238" s="243"/>
      <c r="TKF238" s="243"/>
      <c r="TKG238" s="243"/>
      <c r="TKH238" s="243"/>
      <c r="TKI238" s="243"/>
      <c r="TKJ238" s="243"/>
      <c r="TKK238" s="243"/>
      <c r="TKL238" s="243"/>
      <c r="TKM238" s="243"/>
      <c r="TKN238" s="243"/>
      <c r="TKO238" s="243"/>
      <c r="TKP238" s="243"/>
      <c r="TKQ238" s="243"/>
      <c r="TKR238" s="243"/>
      <c r="TKS238" s="243"/>
      <c r="TKT238" s="243"/>
      <c r="TKU238" s="243"/>
      <c r="TKV238" s="243"/>
      <c r="TKW238" s="243"/>
      <c r="TKX238" s="243"/>
      <c r="TKY238" s="243"/>
      <c r="TKZ238" s="243"/>
      <c r="TLA238" s="243"/>
      <c r="TLB238" s="243"/>
      <c r="TLC238" s="243"/>
      <c r="TLD238" s="243"/>
      <c r="TLE238" s="243"/>
      <c r="TLF238" s="243"/>
      <c r="TLG238" s="243"/>
      <c r="TLH238" s="243"/>
      <c r="TLI238" s="243"/>
      <c r="TLJ238" s="243"/>
      <c r="TLK238" s="243"/>
      <c r="TLL238" s="243"/>
      <c r="TLM238" s="243"/>
      <c r="TLN238" s="243"/>
      <c r="TLO238" s="243"/>
      <c r="TLP238" s="243"/>
      <c r="TLQ238" s="243"/>
      <c r="TLR238" s="243"/>
      <c r="TLS238" s="243"/>
      <c r="TLT238" s="243"/>
      <c r="TLU238" s="243"/>
      <c r="TLV238" s="243"/>
      <c r="TLW238" s="243"/>
      <c r="TLX238" s="243"/>
      <c r="TLY238" s="243"/>
      <c r="TLZ238" s="243"/>
      <c r="TMA238" s="243"/>
      <c r="TMB238" s="243"/>
      <c r="TMC238" s="243"/>
      <c r="TMD238" s="243"/>
      <c r="TME238" s="243"/>
      <c r="TMF238" s="243"/>
      <c r="TMG238" s="243"/>
      <c r="TMH238" s="243"/>
      <c r="TMI238" s="243"/>
      <c r="TMJ238" s="243"/>
      <c r="TMK238" s="243"/>
      <c r="TML238" s="243"/>
      <c r="TMM238" s="243"/>
      <c r="TMN238" s="243"/>
      <c r="TMO238" s="243"/>
      <c r="TMP238" s="243"/>
      <c r="TMQ238" s="243"/>
      <c r="TMR238" s="243"/>
      <c r="TMS238" s="243"/>
      <c r="TMT238" s="243"/>
      <c r="TMU238" s="243"/>
      <c r="TMV238" s="243"/>
      <c r="TMW238" s="243"/>
      <c r="TMX238" s="243"/>
      <c r="TMY238" s="243"/>
      <c r="TMZ238" s="243"/>
      <c r="TNA238" s="243"/>
      <c r="TNB238" s="243"/>
      <c r="TNC238" s="243"/>
      <c r="TND238" s="243"/>
      <c r="TNE238" s="243"/>
      <c r="TNF238" s="243"/>
      <c r="TNG238" s="243"/>
      <c r="TNH238" s="243"/>
      <c r="TNI238" s="243"/>
      <c r="TNJ238" s="243"/>
      <c r="TNK238" s="243"/>
      <c r="TNL238" s="243"/>
      <c r="TNM238" s="243"/>
      <c r="TNN238" s="243"/>
      <c r="TNO238" s="243"/>
      <c r="TNP238" s="243"/>
      <c r="TNQ238" s="243"/>
      <c r="TNR238" s="243"/>
      <c r="TNS238" s="243"/>
      <c r="TNT238" s="243"/>
      <c r="TNU238" s="243"/>
      <c r="TNV238" s="243"/>
      <c r="TNW238" s="243"/>
      <c r="TNX238" s="243"/>
      <c r="TNY238" s="243"/>
      <c r="TNZ238" s="243"/>
      <c r="TOA238" s="243"/>
      <c r="TOB238" s="243"/>
      <c r="TOC238" s="243"/>
      <c r="TOD238" s="243"/>
      <c r="TOE238" s="243"/>
      <c r="TOF238" s="243"/>
      <c r="TOG238" s="243"/>
      <c r="TOH238" s="243"/>
      <c r="TOI238" s="243"/>
      <c r="TOJ238" s="243"/>
      <c r="TOK238" s="243"/>
      <c r="TOL238" s="243"/>
      <c r="TOM238" s="243"/>
      <c r="TON238" s="243"/>
      <c r="TOO238" s="243"/>
      <c r="TOP238" s="243"/>
      <c r="TOQ238" s="243"/>
      <c r="TOR238" s="243"/>
      <c r="TOS238" s="243"/>
      <c r="TOT238" s="243"/>
      <c r="TOU238" s="243"/>
      <c r="TOV238" s="243"/>
      <c r="TOW238" s="243"/>
      <c r="TOX238" s="243"/>
      <c r="TOY238" s="243"/>
      <c r="TOZ238" s="243"/>
      <c r="TPA238" s="243"/>
      <c r="TPB238" s="243"/>
      <c r="TPC238" s="243"/>
      <c r="TPD238" s="243"/>
      <c r="TPE238" s="243"/>
      <c r="TPF238" s="243"/>
      <c r="TPG238" s="243"/>
      <c r="TPH238" s="243"/>
      <c r="TPI238" s="243"/>
      <c r="TPJ238" s="243"/>
      <c r="TPK238" s="243"/>
      <c r="TPL238" s="243"/>
      <c r="TPM238" s="243"/>
      <c r="TPN238" s="243"/>
      <c r="TPO238" s="243"/>
      <c r="TPP238" s="243"/>
      <c r="TPQ238" s="243"/>
      <c r="TPR238" s="243"/>
      <c r="TPS238" s="243"/>
      <c r="TPT238" s="243"/>
      <c r="TPU238" s="243"/>
      <c r="TPV238" s="243"/>
      <c r="TPW238" s="243"/>
      <c r="TPX238" s="243"/>
      <c r="TPY238" s="243"/>
      <c r="TPZ238" s="243"/>
      <c r="TQA238" s="243"/>
      <c r="TQB238" s="243"/>
      <c r="TQC238" s="243"/>
      <c r="TQD238" s="243"/>
      <c r="TQE238" s="243"/>
      <c r="TQF238" s="243"/>
      <c r="TQG238" s="243"/>
      <c r="TQH238" s="243"/>
      <c r="TQI238" s="243"/>
      <c r="TQJ238" s="243"/>
      <c r="TQK238" s="243"/>
      <c r="TQL238" s="243"/>
      <c r="TQM238" s="243"/>
      <c r="TQN238" s="243"/>
      <c r="TQO238" s="243"/>
      <c r="TQP238" s="243"/>
      <c r="TQQ238" s="243"/>
      <c r="TQR238" s="243"/>
      <c r="TQS238" s="243"/>
      <c r="TQT238" s="243"/>
      <c r="TQU238" s="243"/>
      <c r="TQV238" s="243"/>
      <c r="TQW238" s="243"/>
      <c r="TQX238" s="243"/>
      <c r="TQY238" s="243"/>
      <c r="TQZ238" s="243"/>
      <c r="TRA238" s="243"/>
      <c r="TRB238" s="243"/>
      <c r="TRC238" s="243"/>
      <c r="TRD238" s="243"/>
      <c r="TRE238" s="243"/>
      <c r="TRF238" s="243"/>
      <c r="TRG238" s="243"/>
      <c r="TRH238" s="243"/>
      <c r="TRI238" s="243"/>
      <c r="TRJ238" s="243"/>
      <c r="TRK238" s="243"/>
      <c r="TRL238" s="243"/>
      <c r="TRM238" s="243"/>
      <c r="TRN238" s="243"/>
      <c r="TRO238" s="243"/>
      <c r="TRP238" s="243"/>
      <c r="TRQ238" s="243"/>
      <c r="TRR238" s="243"/>
      <c r="TRS238" s="243"/>
      <c r="TRT238" s="243"/>
      <c r="TRU238" s="243"/>
      <c r="TRV238" s="243"/>
      <c r="TRW238" s="243"/>
      <c r="TRX238" s="243"/>
      <c r="TRY238" s="243"/>
      <c r="TRZ238" s="243"/>
      <c r="TSA238" s="243"/>
      <c r="TSB238" s="243"/>
      <c r="TSC238" s="243"/>
      <c r="TSD238" s="243"/>
      <c r="TSE238" s="243"/>
      <c r="TSF238" s="243"/>
      <c r="TSG238" s="243"/>
      <c r="TSH238" s="243"/>
      <c r="TSI238" s="243"/>
      <c r="TSJ238" s="243"/>
      <c r="TSK238" s="243"/>
      <c r="TSL238" s="243"/>
      <c r="TSM238" s="243"/>
      <c r="TSN238" s="243"/>
      <c r="TSO238" s="243"/>
      <c r="TSP238" s="243"/>
      <c r="TSQ238" s="243"/>
      <c r="TSR238" s="243"/>
      <c r="TSS238" s="243"/>
      <c r="TST238" s="243"/>
      <c r="TSU238" s="243"/>
      <c r="TSV238" s="243"/>
      <c r="TSW238" s="243"/>
      <c r="TSX238" s="243"/>
      <c r="TSY238" s="243"/>
      <c r="TSZ238" s="243"/>
      <c r="TTA238" s="243"/>
      <c r="TTB238" s="243"/>
      <c r="TTC238" s="243"/>
      <c r="TTD238" s="243"/>
      <c r="TTE238" s="243"/>
      <c r="TTF238" s="243"/>
      <c r="TTG238" s="243"/>
      <c r="TTH238" s="243"/>
      <c r="TTI238" s="243"/>
      <c r="TTJ238" s="243"/>
      <c r="TTK238" s="243"/>
      <c r="TTL238" s="243"/>
      <c r="TTM238" s="243"/>
      <c r="TTN238" s="243"/>
      <c r="TTO238" s="243"/>
      <c r="TTP238" s="243"/>
      <c r="TTQ238" s="243"/>
      <c r="TTR238" s="243"/>
      <c r="TTS238" s="243"/>
      <c r="TTT238" s="243"/>
      <c r="TTU238" s="243"/>
      <c r="TTV238" s="243"/>
      <c r="TTW238" s="243"/>
      <c r="TTX238" s="243"/>
      <c r="TTY238" s="243"/>
      <c r="TTZ238" s="243"/>
      <c r="TUA238" s="243"/>
      <c r="TUB238" s="243"/>
      <c r="TUC238" s="243"/>
      <c r="TUD238" s="243"/>
      <c r="TUE238" s="243"/>
      <c r="TUF238" s="243"/>
      <c r="TUG238" s="243"/>
      <c r="TUH238" s="243"/>
      <c r="TUI238" s="243"/>
      <c r="TUJ238" s="243"/>
      <c r="TUK238" s="243"/>
      <c r="TUL238" s="243"/>
      <c r="TUM238" s="243"/>
      <c r="TUN238" s="243"/>
      <c r="TUO238" s="243"/>
      <c r="TUP238" s="243"/>
      <c r="TUQ238" s="243"/>
      <c r="TUR238" s="243"/>
      <c r="TUS238" s="243"/>
      <c r="TUT238" s="243"/>
      <c r="TUU238" s="243"/>
      <c r="TUV238" s="243"/>
      <c r="TUW238" s="243"/>
      <c r="TUX238" s="243"/>
      <c r="TUY238" s="243"/>
      <c r="TUZ238" s="243"/>
      <c r="TVA238" s="243"/>
      <c r="TVB238" s="243"/>
      <c r="TVC238" s="243"/>
      <c r="TVD238" s="243"/>
      <c r="TVE238" s="243"/>
      <c r="TVF238" s="243"/>
      <c r="TVG238" s="243"/>
      <c r="TVH238" s="243"/>
      <c r="TVI238" s="243"/>
      <c r="TVJ238" s="243"/>
      <c r="TVK238" s="243"/>
      <c r="TVL238" s="243"/>
      <c r="TVM238" s="243"/>
      <c r="TVN238" s="243"/>
      <c r="TVO238" s="243"/>
      <c r="TVP238" s="243"/>
      <c r="TVQ238" s="243"/>
      <c r="TVR238" s="243"/>
      <c r="TVS238" s="243"/>
      <c r="TVT238" s="243"/>
      <c r="TVU238" s="243"/>
      <c r="TVV238" s="243"/>
      <c r="TVW238" s="243"/>
      <c r="TVX238" s="243"/>
      <c r="TVY238" s="243"/>
      <c r="TVZ238" s="243"/>
      <c r="TWA238" s="243"/>
      <c r="TWB238" s="243"/>
      <c r="TWC238" s="243"/>
      <c r="TWD238" s="243"/>
      <c r="TWE238" s="243"/>
      <c r="TWF238" s="243"/>
      <c r="TWG238" s="243"/>
      <c r="TWH238" s="243"/>
      <c r="TWI238" s="243"/>
      <c r="TWJ238" s="243"/>
      <c r="TWK238" s="243"/>
      <c r="TWL238" s="243"/>
      <c r="TWM238" s="243"/>
      <c r="TWN238" s="243"/>
      <c r="TWO238" s="243"/>
      <c r="TWP238" s="243"/>
      <c r="TWQ238" s="243"/>
      <c r="TWR238" s="243"/>
      <c r="TWS238" s="243"/>
      <c r="TWT238" s="243"/>
      <c r="TWU238" s="243"/>
      <c r="TWV238" s="243"/>
      <c r="TWW238" s="243"/>
      <c r="TWX238" s="243"/>
      <c r="TWY238" s="243"/>
      <c r="TWZ238" s="243"/>
      <c r="TXA238" s="243"/>
      <c r="TXB238" s="243"/>
      <c r="TXC238" s="243"/>
      <c r="TXD238" s="243"/>
      <c r="TXE238" s="243"/>
      <c r="TXF238" s="243"/>
      <c r="TXG238" s="243"/>
      <c r="TXH238" s="243"/>
      <c r="TXI238" s="243"/>
      <c r="TXJ238" s="243"/>
      <c r="TXK238" s="243"/>
      <c r="TXL238" s="243"/>
      <c r="TXM238" s="243"/>
      <c r="TXN238" s="243"/>
      <c r="TXO238" s="243"/>
      <c r="TXP238" s="243"/>
      <c r="TXQ238" s="243"/>
      <c r="TXR238" s="243"/>
      <c r="TXS238" s="243"/>
      <c r="TXT238" s="243"/>
      <c r="TXU238" s="243"/>
      <c r="TXV238" s="243"/>
      <c r="TXW238" s="243"/>
      <c r="TXX238" s="243"/>
      <c r="TXY238" s="243"/>
      <c r="TXZ238" s="243"/>
      <c r="TYA238" s="243"/>
      <c r="TYB238" s="243"/>
      <c r="TYC238" s="243"/>
      <c r="TYD238" s="243"/>
      <c r="TYE238" s="243"/>
      <c r="TYF238" s="243"/>
      <c r="TYG238" s="243"/>
      <c r="TYH238" s="243"/>
      <c r="TYI238" s="243"/>
      <c r="TYJ238" s="243"/>
      <c r="TYK238" s="243"/>
      <c r="TYL238" s="243"/>
      <c r="TYM238" s="243"/>
      <c r="TYN238" s="243"/>
      <c r="TYO238" s="243"/>
      <c r="TYP238" s="243"/>
      <c r="TYQ238" s="243"/>
      <c r="TYR238" s="243"/>
      <c r="TYS238" s="243"/>
      <c r="TYT238" s="243"/>
      <c r="TYU238" s="243"/>
      <c r="TYV238" s="243"/>
      <c r="TYW238" s="243"/>
      <c r="TYX238" s="243"/>
      <c r="TYY238" s="243"/>
      <c r="TYZ238" s="243"/>
      <c r="TZA238" s="243"/>
      <c r="TZB238" s="243"/>
      <c r="TZC238" s="243"/>
      <c r="TZD238" s="243"/>
      <c r="TZE238" s="243"/>
      <c r="TZF238" s="243"/>
      <c r="TZG238" s="243"/>
      <c r="TZH238" s="243"/>
      <c r="TZI238" s="243"/>
      <c r="TZJ238" s="243"/>
      <c r="TZK238" s="243"/>
      <c r="TZL238" s="243"/>
      <c r="TZM238" s="243"/>
      <c r="TZN238" s="243"/>
      <c r="TZO238" s="243"/>
      <c r="TZP238" s="243"/>
      <c r="TZQ238" s="243"/>
      <c r="TZR238" s="243"/>
      <c r="TZS238" s="243"/>
      <c r="TZT238" s="243"/>
      <c r="TZU238" s="243"/>
      <c r="TZV238" s="243"/>
      <c r="TZW238" s="243"/>
      <c r="TZX238" s="243"/>
      <c r="TZY238" s="243"/>
      <c r="TZZ238" s="243"/>
      <c r="UAA238" s="243"/>
      <c r="UAB238" s="243"/>
      <c r="UAC238" s="243"/>
      <c r="UAD238" s="243"/>
      <c r="UAE238" s="243"/>
      <c r="UAF238" s="243"/>
      <c r="UAG238" s="243"/>
      <c r="UAH238" s="243"/>
      <c r="UAI238" s="243"/>
      <c r="UAJ238" s="243"/>
      <c r="UAK238" s="243"/>
      <c r="UAL238" s="243"/>
      <c r="UAM238" s="243"/>
      <c r="UAN238" s="243"/>
      <c r="UAO238" s="243"/>
      <c r="UAP238" s="243"/>
      <c r="UAQ238" s="243"/>
      <c r="UAR238" s="243"/>
      <c r="UAS238" s="243"/>
      <c r="UAT238" s="243"/>
      <c r="UAU238" s="243"/>
      <c r="UAV238" s="243"/>
      <c r="UAW238" s="243"/>
      <c r="UAX238" s="243"/>
      <c r="UAY238" s="243"/>
      <c r="UAZ238" s="243"/>
      <c r="UBA238" s="243"/>
      <c r="UBB238" s="243"/>
      <c r="UBC238" s="243"/>
      <c r="UBD238" s="243"/>
      <c r="UBE238" s="243"/>
      <c r="UBF238" s="243"/>
      <c r="UBG238" s="243"/>
      <c r="UBH238" s="243"/>
      <c r="UBI238" s="243"/>
      <c r="UBJ238" s="243"/>
      <c r="UBK238" s="243"/>
      <c r="UBL238" s="243"/>
      <c r="UBM238" s="243"/>
      <c r="UBN238" s="243"/>
      <c r="UBO238" s="243"/>
      <c r="UBP238" s="243"/>
      <c r="UBQ238" s="243"/>
      <c r="UBR238" s="243"/>
      <c r="UBS238" s="243"/>
      <c r="UBT238" s="243"/>
      <c r="UBU238" s="243"/>
      <c r="UBV238" s="243"/>
      <c r="UBW238" s="243"/>
      <c r="UBX238" s="243"/>
      <c r="UBY238" s="243"/>
      <c r="UBZ238" s="243"/>
      <c r="UCA238" s="243"/>
      <c r="UCB238" s="243"/>
      <c r="UCC238" s="243"/>
      <c r="UCD238" s="243"/>
      <c r="UCE238" s="243"/>
      <c r="UCF238" s="243"/>
      <c r="UCG238" s="243"/>
      <c r="UCH238" s="243"/>
      <c r="UCI238" s="243"/>
      <c r="UCJ238" s="243"/>
      <c r="UCK238" s="243"/>
      <c r="UCL238" s="243"/>
      <c r="UCM238" s="243"/>
      <c r="UCN238" s="243"/>
      <c r="UCO238" s="243"/>
      <c r="UCP238" s="243"/>
      <c r="UCQ238" s="243"/>
      <c r="UCR238" s="243"/>
      <c r="UCS238" s="243"/>
      <c r="UCT238" s="243"/>
      <c r="UCU238" s="243"/>
      <c r="UCV238" s="243"/>
      <c r="UCW238" s="243"/>
      <c r="UCX238" s="243"/>
      <c r="UCY238" s="243"/>
      <c r="UCZ238" s="243"/>
      <c r="UDA238" s="243"/>
      <c r="UDB238" s="243"/>
      <c r="UDC238" s="243"/>
      <c r="UDD238" s="243"/>
      <c r="UDE238" s="243"/>
      <c r="UDF238" s="243"/>
      <c r="UDG238" s="243"/>
      <c r="UDH238" s="243"/>
      <c r="UDI238" s="243"/>
      <c r="UDJ238" s="243"/>
      <c r="UDK238" s="243"/>
      <c r="UDL238" s="243"/>
      <c r="UDM238" s="243"/>
      <c r="UDN238" s="243"/>
      <c r="UDO238" s="243"/>
      <c r="UDP238" s="243"/>
      <c r="UDQ238" s="243"/>
      <c r="UDR238" s="243"/>
      <c r="UDS238" s="243"/>
      <c r="UDT238" s="243"/>
      <c r="UDU238" s="243"/>
      <c r="UDV238" s="243"/>
      <c r="UDW238" s="243"/>
      <c r="UDX238" s="243"/>
      <c r="UDY238" s="243"/>
      <c r="UDZ238" s="243"/>
      <c r="UEA238" s="243"/>
      <c r="UEB238" s="243"/>
      <c r="UEC238" s="243"/>
      <c r="UED238" s="243"/>
      <c r="UEE238" s="243"/>
      <c r="UEF238" s="243"/>
      <c r="UEG238" s="243"/>
      <c r="UEH238" s="243"/>
      <c r="UEI238" s="243"/>
      <c r="UEJ238" s="243"/>
      <c r="UEK238" s="243"/>
      <c r="UEL238" s="243"/>
      <c r="UEM238" s="243"/>
      <c r="UEN238" s="243"/>
      <c r="UEO238" s="243"/>
      <c r="UEP238" s="243"/>
      <c r="UEQ238" s="243"/>
      <c r="UER238" s="243"/>
      <c r="UES238" s="243"/>
      <c r="UET238" s="243"/>
      <c r="UEU238" s="243"/>
      <c r="UEV238" s="243"/>
      <c r="UEW238" s="243"/>
      <c r="UEX238" s="243"/>
      <c r="UEY238" s="243"/>
      <c r="UEZ238" s="243"/>
      <c r="UFA238" s="243"/>
      <c r="UFB238" s="243"/>
      <c r="UFC238" s="243"/>
      <c r="UFD238" s="243"/>
      <c r="UFE238" s="243"/>
      <c r="UFF238" s="243"/>
      <c r="UFG238" s="243"/>
      <c r="UFH238" s="243"/>
      <c r="UFI238" s="243"/>
      <c r="UFJ238" s="243"/>
      <c r="UFK238" s="243"/>
      <c r="UFL238" s="243"/>
      <c r="UFM238" s="243"/>
      <c r="UFN238" s="243"/>
      <c r="UFO238" s="243"/>
      <c r="UFP238" s="243"/>
      <c r="UFQ238" s="243"/>
      <c r="UFR238" s="243"/>
      <c r="UFS238" s="243"/>
      <c r="UFT238" s="243"/>
      <c r="UFU238" s="243"/>
      <c r="UFV238" s="243"/>
      <c r="UFW238" s="243"/>
      <c r="UFX238" s="243"/>
      <c r="UFY238" s="243"/>
      <c r="UFZ238" s="243"/>
      <c r="UGA238" s="243"/>
      <c r="UGB238" s="243"/>
      <c r="UGC238" s="243"/>
      <c r="UGD238" s="243"/>
      <c r="UGE238" s="243"/>
      <c r="UGF238" s="243"/>
      <c r="UGG238" s="243"/>
      <c r="UGH238" s="243"/>
      <c r="UGI238" s="243"/>
      <c r="UGJ238" s="243"/>
      <c r="UGK238" s="243"/>
      <c r="UGL238" s="243"/>
      <c r="UGM238" s="243"/>
      <c r="UGN238" s="243"/>
      <c r="UGO238" s="243"/>
      <c r="UGP238" s="243"/>
      <c r="UGQ238" s="243"/>
      <c r="UGR238" s="243"/>
      <c r="UGS238" s="243"/>
      <c r="UGT238" s="243"/>
      <c r="UGU238" s="243"/>
      <c r="UGV238" s="243"/>
      <c r="UGW238" s="243"/>
      <c r="UGX238" s="243"/>
      <c r="UGY238" s="243"/>
      <c r="UGZ238" s="243"/>
      <c r="UHA238" s="243"/>
      <c r="UHB238" s="243"/>
      <c r="UHC238" s="243"/>
      <c r="UHD238" s="243"/>
      <c r="UHE238" s="243"/>
      <c r="UHF238" s="243"/>
      <c r="UHG238" s="243"/>
      <c r="UHH238" s="243"/>
      <c r="UHI238" s="243"/>
      <c r="UHJ238" s="243"/>
      <c r="UHK238" s="243"/>
      <c r="UHL238" s="243"/>
      <c r="UHM238" s="243"/>
      <c r="UHN238" s="243"/>
      <c r="UHO238" s="243"/>
      <c r="UHP238" s="243"/>
      <c r="UHQ238" s="243"/>
      <c r="UHR238" s="243"/>
      <c r="UHS238" s="243"/>
      <c r="UHT238" s="243"/>
      <c r="UHU238" s="243"/>
      <c r="UHV238" s="243"/>
      <c r="UHW238" s="243"/>
      <c r="UHX238" s="243"/>
      <c r="UHY238" s="243"/>
      <c r="UHZ238" s="243"/>
      <c r="UIA238" s="243"/>
      <c r="UIB238" s="243"/>
      <c r="UIC238" s="243"/>
      <c r="UID238" s="243"/>
      <c r="UIE238" s="243"/>
      <c r="UIF238" s="243"/>
      <c r="UIG238" s="243"/>
      <c r="UIH238" s="243"/>
      <c r="UII238" s="243"/>
      <c r="UIJ238" s="243"/>
      <c r="UIK238" s="243"/>
      <c r="UIL238" s="243"/>
      <c r="UIM238" s="243"/>
      <c r="UIN238" s="243"/>
      <c r="UIO238" s="243"/>
      <c r="UIP238" s="243"/>
      <c r="UIQ238" s="243"/>
      <c r="UIR238" s="243"/>
      <c r="UIS238" s="243"/>
      <c r="UIT238" s="243"/>
      <c r="UIU238" s="243"/>
      <c r="UIV238" s="243"/>
      <c r="UIW238" s="243"/>
      <c r="UIX238" s="243"/>
      <c r="UIY238" s="243"/>
      <c r="UIZ238" s="243"/>
      <c r="UJA238" s="243"/>
      <c r="UJB238" s="243"/>
      <c r="UJC238" s="243"/>
      <c r="UJD238" s="243"/>
      <c r="UJE238" s="243"/>
      <c r="UJF238" s="243"/>
      <c r="UJG238" s="243"/>
      <c r="UJH238" s="243"/>
      <c r="UJI238" s="243"/>
      <c r="UJJ238" s="243"/>
      <c r="UJK238" s="243"/>
      <c r="UJL238" s="243"/>
      <c r="UJM238" s="243"/>
      <c r="UJN238" s="243"/>
      <c r="UJO238" s="243"/>
      <c r="UJP238" s="243"/>
      <c r="UJQ238" s="243"/>
      <c r="UJR238" s="243"/>
      <c r="UJS238" s="243"/>
      <c r="UJT238" s="243"/>
      <c r="UJU238" s="243"/>
      <c r="UJV238" s="243"/>
      <c r="UJW238" s="243"/>
      <c r="UJX238" s="243"/>
      <c r="UJY238" s="243"/>
      <c r="UJZ238" s="243"/>
      <c r="UKA238" s="243"/>
      <c r="UKB238" s="243"/>
      <c r="UKC238" s="243"/>
      <c r="UKD238" s="243"/>
      <c r="UKE238" s="243"/>
      <c r="UKF238" s="243"/>
      <c r="UKG238" s="243"/>
      <c r="UKH238" s="243"/>
      <c r="UKI238" s="243"/>
      <c r="UKJ238" s="243"/>
      <c r="UKK238" s="243"/>
      <c r="UKL238" s="243"/>
      <c r="UKM238" s="243"/>
      <c r="UKN238" s="243"/>
      <c r="UKO238" s="243"/>
      <c r="UKP238" s="243"/>
      <c r="UKQ238" s="243"/>
      <c r="UKR238" s="243"/>
      <c r="UKS238" s="243"/>
      <c r="UKT238" s="243"/>
      <c r="UKU238" s="243"/>
      <c r="UKV238" s="243"/>
      <c r="UKW238" s="243"/>
      <c r="UKX238" s="243"/>
      <c r="UKY238" s="243"/>
      <c r="UKZ238" s="243"/>
      <c r="ULA238" s="243"/>
      <c r="ULB238" s="243"/>
      <c r="ULC238" s="243"/>
      <c r="ULD238" s="243"/>
      <c r="ULE238" s="243"/>
      <c r="ULF238" s="243"/>
      <c r="ULG238" s="243"/>
      <c r="ULH238" s="243"/>
      <c r="ULI238" s="243"/>
      <c r="ULJ238" s="243"/>
      <c r="ULK238" s="243"/>
      <c r="ULL238" s="243"/>
      <c r="ULM238" s="243"/>
      <c r="ULN238" s="243"/>
      <c r="ULO238" s="243"/>
      <c r="ULP238" s="243"/>
      <c r="ULQ238" s="243"/>
      <c r="ULR238" s="243"/>
      <c r="ULS238" s="243"/>
      <c r="ULT238" s="243"/>
      <c r="ULU238" s="243"/>
      <c r="ULV238" s="243"/>
      <c r="ULW238" s="243"/>
      <c r="ULX238" s="243"/>
      <c r="ULY238" s="243"/>
      <c r="ULZ238" s="243"/>
      <c r="UMA238" s="243"/>
      <c r="UMB238" s="243"/>
      <c r="UMC238" s="243"/>
      <c r="UMD238" s="243"/>
      <c r="UME238" s="243"/>
      <c r="UMF238" s="243"/>
      <c r="UMG238" s="243"/>
      <c r="UMH238" s="243"/>
      <c r="UMI238" s="243"/>
      <c r="UMJ238" s="243"/>
      <c r="UMK238" s="243"/>
      <c r="UML238" s="243"/>
      <c r="UMM238" s="243"/>
      <c r="UMN238" s="243"/>
      <c r="UMO238" s="243"/>
      <c r="UMP238" s="243"/>
      <c r="UMQ238" s="243"/>
      <c r="UMR238" s="243"/>
      <c r="UMS238" s="243"/>
      <c r="UMT238" s="243"/>
      <c r="UMU238" s="243"/>
      <c r="UMV238" s="243"/>
      <c r="UMW238" s="243"/>
      <c r="UMX238" s="243"/>
      <c r="UMY238" s="243"/>
      <c r="UMZ238" s="243"/>
      <c r="UNA238" s="243"/>
      <c r="UNB238" s="243"/>
      <c r="UNC238" s="243"/>
      <c r="UND238" s="243"/>
      <c r="UNE238" s="243"/>
      <c r="UNF238" s="243"/>
      <c r="UNG238" s="243"/>
      <c r="UNH238" s="243"/>
      <c r="UNI238" s="243"/>
      <c r="UNJ238" s="243"/>
      <c r="UNK238" s="243"/>
      <c r="UNL238" s="243"/>
      <c r="UNM238" s="243"/>
      <c r="UNN238" s="243"/>
      <c r="UNO238" s="243"/>
      <c r="UNP238" s="243"/>
      <c r="UNQ238" s="243"/>
      <c r="UNR238" s="243"/>
      <c r="UNS238" s="243"/>
      <c r="UNT238" s="243"/>
      <c r="UNU238" s="243"/>
      <c r="UNV238" s="243"/>
      <c r="UNW238" s="243"/>
      <c r="UNX238" s="243"/>
      <c r="UNY238" s="243"/>
      <c r="UNZ238" s="243"/>
      <c r="UOA238" s="243"/>
      <c r="UOB238" s="243"/>
      <c r="UOC238" s="243"/>
      <c r="UOD238" s="243"/>
      <c r="UOE238" s="243"/>
      <c r="UOF238" s="243"/>
      <c r="UOG238" s="243"/>
      <c r="UOH238" s="243"/>
      <c r="UOI238" s="243"/>
      <c r="UOJ238" s="243"/>
      <c r="UOK238" s="243"/>
      <c r="UOL238" s="243"/>
      <c r="UOM238" s="243"/>
      <c r="UON238" s="243"/>
      <c r="UOO238" s="243"/>
      <c r="UOP238" s="243"/>
      <c r="UOQ238" s="243"/>
      <c r="UOR238" s="243"/>
      <c r="UOS238" s="243"/>
      <c r="UOT238" s="243"/>
      <c r="UOU238" s="243"/>
      <c r="UOV238" s="243"/>
      <c r="UOW238" s="243"/>
      <c r="UOX238" s="243"/>
      <c r="UOY238" s="243"/>
      <c r="UOZ238" s="243"/>
      <c r="UPA238" s="243"/>
      <c r="UPB238" s="243"/>
      <c r="UPC238" s="243"/>
      <c r="UPD238" s="243"/>
      <c r="UPE238" s="243"/>
      <c r="UPF238" s="243"/>
      <c r="UPG238" s="243"/>
      <c r="UPH238" s="243"/>
      <c r="UPI238" s="243"/>
      <c r="UPJ238" s="243"/>
      <c r="UPK238" s="243"/>
      <c r="UPL238" s="243"/>
      <c r="UPM238" s="243"/>
      <c r="UPN238" s="243"/>
      <c r="UPO238" s="243"/>
      <c r="UPP238" s="243"/>
      <c r="UPQ238" s="243"/>
      <c r="UPR238" s="243"/>
      <c r="UPS238" s="243"/>
      <c r="UPT238" s="243"/>
      <c r="UPU238" s="243"/>
      <c r="UPV238" s="243"/>
      <c r="UPW238" s="243"/>
      <c r="UPX238" s="243"/>
      <c r="UPY238" s="243"/>
      <c r="UPZ238" s="243"/>
      <c r="UQA238" s="243"/>
      <c r="UQB238" s="243"/>
      <c r="UQC238" s="243"/>
      <c r="UQD238" s="243"/>
      <c r="UQE238" s="243"/>
      <c r="UQF238" s="243"/>
      <c r="UQG238" s="243"/>
      <c r="UQH238" s="243"/>
      <c r="UQI238" s="243"/>
      <c r="UQJ238" s="243"/>
      <c r="UQK238" s="243"/>
      <c r="UQL238" s="243"/>
      <c r="UQM238" s="243"/>
      <c r="UQN238" s="243"/>
      <c r="UQO238" s="243"/>
      <c r="UQP238" s="243"/>
      <c r="UQQ238" s="243"/>
      <c r="UQR238" s="243"/>
      <c r="UQS238" s="243"/>
      <c r="UQT238" s="243"/>
      <c r="UQU238" s="243"/>
      <c r="UQV238" s="243"/>
      <c r="UQW238" s="243"/>
      <c r="UQX238" s="243"/>
      <c r="UQY238" s="243"/>
      <c r="UQZ238" s="243"/>
      <c r="URA238" s="243"/>
      <c r="URB238" s="243"/>
      <c r="URC238" s="243"/>
      <c r="URD238" s="243"/>
      <c r="URE238" s="243"/>
      <c r="URF238" s="243"/>
      <c r="URG238" s="243"/>
      <c r="URH238" s="243"/>
      <c r="URI238" s="243"/>
      <c r="URJ238" s="243"/>
      <c r="URK238" s="243"/>
      <c r="URL238" s="243"/>
      <c r="URM238" s="243"/>
      <c r="URN238" s="243"/>
      <c r="URO238" s="243"/>
      <c r="URP238" s="243"/>
      <c r="URQ238" s="243"/>
      <c r="URR238" s="243"/>
      <c r="URS238" s="243"/>
      <c r="URT238" s="243"/>
      <c r="URU238" s="243"/>
      <c r="URV238" s="243"/>
      <c r="URW238" s="243"/>
      <c r="URX238" s="243"/>
      <c r="URY238" s="243"/>
      <c r="URZ238" s="243"/>
      <c r="USA238" s="243"/>
      <c r="USB238" s="243"/>
      <c r="USC238" s="243"/>
      <c r="USD238" s="243"/>
      <c r="USE238" s="243"/>
      <c r="USF238" s="243"/>
      <c r="USG238" s="243"/>
      <c r="USH238" s="243"/>
      <c r="USI238" s="243"/>
      <c r="USJ238" s="243"/>
      <c r="USK238" s="243"/>
      <c r="USL238" s="243"/>
      <c r="USM238" s="243"/>
      <c r="USN238" s="243"/>
      <c r="USO238" s="243"/>
      <c r="USP238" s="243"/>
      <c r="USQ238" s="243"/>
      <c r="USR238" s="243"/>
      <c r="USS238" s="243"/>
      <c r="UST238" s="243"/>
      <c r="USU238" s="243"/>
      <c r="USV238" s="243"/>
      <c r="USW238" s="243"/>
      <c r="USX238" s="243"/>
      <c r="USY238" s="243"/>
      <c r="USZ238" s="243"/>
      <c r="UTA238" s="243"/>
      <c r="UTB238" s="243"/>
      <c r="UTC238" s="243"/>
      <c r="UTD238" s="243"/>
      <c r="UTE238" s="243"/>
      <c r="UTF238" s="243"/>
      <c r="UTG238" s="243"/>
      <c r="UTH238" s="243"/>
      <c r="UTI238" s="243"/>
      <c r="UTJ238" s="243"/>
      <c r="UTK238" s="243"/>
      <c r="UTL238" s="243"/>
      <c r="UTM238" s="243"/>
      <c r="UTN238" s="243"/>
      <c r="UTO238" s="243"/>
      <c r="UTP238" s="243"/>
      <c r="UTQ238" s="243"/>
      <c r="UTR238" s="243"/>
      <c r="UTS238" s="243"/>
      <c r="UTT238" s="243"/>
      <c r="UTU238" s="243"/>
      <c r="UTV238" s="243"/>
      <c r="UTW238" s="243"/>
      <c r="UTX238" s="243"/>
      <c r="UTY238" s="243"/>
      <c r="UTZ238" s="243"/>
      <c r="UUA238" s="243"/>
      <c r="UUB238" s="243"/>
      <c r="UUC238" s="243"/>
      <c r="UUD238" s="243"/>
      <c r="UUE238" s="243"/>
      <c r="UUF238" s="243"/>
      <c r="UUG238" s="243"/>
      <c r="UUH238" s="243"/>
      <c r="UUI238" s="243"/>
      <c r="UUJ238" s="243"/>
      <c r="UUK238" s="243"/>
      <c r="UUL238" s="243"/>
      <c r="UUM238" s="243"/>
      <c r="UUN238" s="243"/>
      <c r="UUO238" s="243"/>
      <c r="UUP238" s="243"/>
      <c r="UUQ238" s="243"/>
      <c r="UUR238" s="243"/>
      <c r="UUS238" s="243"/>
      <c r="UUT238" s="243"/>
      <c r="UUU238" s="243"/>
      <c r="UUV238" s="243"/>
      <c r="UUW238" s="243"/>
      <c r="UUX238" s="243"/>
      <c r="UUY238" s="243"/>
      <c r="UUZ238" s="243"/>
      <c r="UVA238" s="243"/>
      <c r="UVB238" s="243"/>
      <c r="UVC238" s="243"/>
      <c r="UVD238" s="243"/>
      <c r="UVE238" s="243"/>
      <c r="UVF238" s="243"/>
      <c r="UVG238" s="243"/>
      <c r="UVH238" s="243"/>
      <c r="UVI238" s="243"/>
      <c r="UVJ238" s="243"/>
      <c r="UVK238" s="243"/>
      <c r="UVL238" s="243"/>
      <c r="UVM238" s="243"/>
      <c r="UVN238" s="243"/>
      <c r="UVO238" s="243"/>
      <c r="UVP238" s="243"/>
      <c r="UVQ238" s="243"/>
      <c r="UVR238" s="243"/>
      <c r="UVS238" s="243"/>
      <c r="UVT238" s="243"/>
      <c r="UVU238" s="243"/>
      <c r="UVV238" s="243"/>
      <c r="UVW238" s="243"/>
      <c r="UVX238" s="243"/>
      <c r="UVY238" s="243"/>
      <c r="UVZ238" s="243"/>
      <c r="UWA238" s="243"/>
      <c r="UWB238" s="243"/>
      <c r="UWC238" s="243"/>
      <c r="UWD238" s="243"/>
      <c r="UWE238" s="243"/>
      <c r="UWF238" s="243"/>
      <c r="UWG238" s="243"/>
      <c r="UWH238" s="243"/>
      <c r="UWI238" s="243"/>
      <c r="UWJ238" s="243"/>
      <c r="UWK238" s="243"/>
      <c r="UWL238" s="243"/>
      <c r="UWM238" s="243"/>
      <c r="UWN238" s="243"/>
      <c r="UWO238" s="243"/>
      <c r="UWP238" s="243"/>
      <c r="UWQ238" s="243"/>
      <c r="UWR238" s="243"/>
      <c r="UWS238" s="243"/>
      <c r="UWT238" s="243"/>
      <c r="UWU238" s="243"/>
      <c r="UWV238" s="243"/>
      <c r="UWW238" s="243"/>
      <c r="UWX238" s="243"/>
      <c r="UWY238" s="243"/>
      <c r="UWZ238" s="243"/>
      <c r="UXA238" s="243"/>
      <c r="UXB238" s="243"/>
      <c r="UXC238" s="243"/>
      <c r="UXD238" s="243"/>
      <c r="UXE238" s="243"/>
      <c r="UXF238" s="243"/>
      <c r="UXG238" s="243"/>
      <c r="UXH238" s="243"/>
      <c r="UXI238" s="243"/>
      <c r="UXJ238" s="243"/>
      <c r="UXK238" s="243"/>
      <c r="UXL238" s="243"/>
      <c r="UXM238" s="243"/>
      <c r="UXN238" s="243"/>
      <c r="UXO238" s="243"/>
      <c r="UXP238" s="243"/>
      <c r="UXQ238" s="243"/>
      <c r="UXR238" s="243"/>
      <c r="UXS238" s="243"/>
      <c r="UXT238" s="243"/>
      <c r="UXU238" s="243"/>
      <c r="UXV238" s="243"/>
      <c r="UXW238" s="243"/>
      <c r="UXX238" s="243"/>
      <c r="UXY238" s="243"/>
      <c r="UXZ238" s="243"/>
      <c r="UYA238" s="243"/>
      <c r="UYB238" s="243"/>
      <c r="UYC238" s="243"/>
      <c r="UYD238" s="243"/>
      <c r="UYE238" s="243"/>
      <c r="UYF238" s="243"/>
      <c r="UYG238" s="243"/>
      <c r="UYH238" s="243"/>
      <c r="UYI238" s="243"/>
      <c r="UYJ238" s="243"/>
      <c r="UYK238" s="243"/>
      <c r="UYL238" s="243"/>
      <c r="UYM238" s="243"/>
      <c r="UYN238" s="243"/>
      <c r="UYO238" s="243"/>
      <c r="UYP238" s="243"/>
      <c r="UYQ238" s="243"/>
      <c r="UYR238" s="243"/>
      <c r="UYS238" s="243"/>
      <c r="UYT238" s="243"/>
      <c r="UYU238" s="243"/>
      <c r="UYV238" s="243"/>
      <c r="UYW238" s="243"/>
      <c r="UYX238" s="243"/>
      <c r="UYY238" s="243"/>
      <c r="UYZ238" s="243"/>
      <c r="UZA238" s="243"/>
      <c r="UZB238" s="243"/>
      <c r="UZC238" s="243"/>
      <c r="UZD238" s="243"/>
      <c r="UZE238" s="243"/>
      <c r="UZF238" s="243"/>
      <c r="UZG238" s="243"/>
      <c r="UZH238" s="243"/>
      <c r="UZI238" s="243"/>
      <c r="UZJ238" s="243"/>
      <c r="UZK238" s="243"/>
      <c r="UZL238" s="243"/>
      <c r="UZM238" s="243"/>
      <c r="UZN238" s="243"/>
      <c r="UZO238" s="243"/>
      <c r="UZP238" s="243"/>
      <c r="UZQ238" s="243"/>
      <c r="UZR238" s="243"/>
      <c r="UZS238" s="243"/>
      <c r="UZT238" s="243"/>
      <c r="UZU238" s="243"/>
      <c r="UZV238" s="243"/>
      <c r="UZW238" s="243"/>
      <c r="UZX238" s="243"/>
      <c r="UZY238" s="243"/>
      <c r="UZZ238" s="243"/>
      <c r="VAA238" s="243"/>
      <c r="VAB238" s="243"/>
      <c r="VAC238" s="243"/>
      <c r="VAD238" s="243"/>
      <c r="VAE238" s="243"/>
      <c r="VAF238" s="243"/>
      <c r="VAG238" s="243"/>
      <c r="VAH238" s="243"/>
      <c r="VAI238" s="243"/>
      <c r="VAJ238" s="243"/>
      <c r="VAK238" s="243"/>
      <c r="VAL238" s="243"/>
      <c r="VAM238" s="243"/>
      <c r="VAN238" s="243"/>
      <c r="VAO238" s="243"/>
      <c r="VAP238" s="243"/>
      <c r="VAQ238" s="243"/>
      <c r="VAR238" s="243"/>
      <c r="VAS238" s="243"/>
      <c r="VAT238" s="243"/>
      <c r="VAU238" s="243"/>
      <c r="VAV238" s="243"/>
      <c r="VAW238" s="243"/>
      <c r="VAX238" s="243"/>
      <c r="VAY238" s="243"/>
      <c r="VAZ238" s="243"/>
      <c r="VBA238" s="243"/>
      <c r="VBB238" s="243"/>
      <c r="VBC238" s="243"/>
      <c r="VBD238" s="243"/>
      <c r="VBE238" s="243"/>
      <c r="VBF238" s="243"/>
      <c r="VBG238" s="243"/>
      <c r="VBH238" s="243"/>
      <c r="VBI238" s="243"/>
      <c r="VBJ238" s="243"/>
      <c r="VBK238" s="243"/>
      <c r="VBL238" s="243"/>
      <c r="VBM238" s="243"/>
      <c r="VBN238" s="243"/>
      <c r="VBO238" s="243"/>
      <c r="VBP238" s="243"/>
      <c r="VBQ238" s="243"/>
      <c r="VBR238" s="243"/>
      <c r="VBS238" s="243"/>
      <c r="VBT238" s="243"/>
      <c r="VBU238" s="243"/>
      <c r="VBV238" s="243"/>
      <c r="VBW238" s="243"/>
      <c r="VBX238" s="243"/>
      <c r="VBY238" s="243"/>
      <c r="VBZ238" s="243"/>
      <c r="VCA238" s="243"/>
      <c r="VCB238" s="243"/>
      <c r="VCC238" s="243"/>
      <c r="VCD238" s="243"/>
      <c r="VCE238" s="243"/>
      <c r="VCF238" s="243"/>
      <c r="VCG238" s="243"/>
      <c r="VCH238" s="243"/>
      <c r="VCI238" s="243"/>
      <c r="VCJ238" s="243"/>
      <c r="VCK238" s="243"/>
      <c r="VCL238" s="243"/>
      <c r="VCM238" s="243"/>
      <c r="VCN238" s="243"/>
      <c r="VCO238" s="243"/>
      <c r="VCP238" s="243"/>
      <c r="VCQ238" s="243"/>
      <c r="VCR238" s="243"/>
      <c r="VCS238" s="243"/>
      <c r="VCT238" s="243"/>
      <c r="VCU238" s="243"/>
      <c r="VCV238" s="243"/>
      <c r="VCW238" s="243"/>
      <c r="VCX238" s="243"/>
      <c r="VCY238" s="243"/>
      <c r="VCZ238" s="243"/>
      <c r="VDA238" s="243"/>
      <c r="VDB238" s="243"/>
      <c r="VDC238" s="243"/>
      <c r="VDD238" s="243"/>
      <c r="VDE238" s="243"/>
      <c r="VDF238" s="243"/>
      <c r="VDG238" s="243"/>
      <c r="VDH238" s="243"/>
      <c r="VDI238" s="243"/>
      <c r="VDJ238" s="243"/>
      <c r="VDK238" s="243"/>
      <c r="VDL238" s="243"/>
      <c r="VDM238" s="243"/>
      <c r="VDN238" s="243"/>
      <c r="VDO238" s="243"/>
      <c r="VDP238" s="243"/>
      <c r="VDQ238" s="243"/>
      <c r="VDR238" s="243"/>
      <c r="VDS238" s="243"/>
      <c r="VDT238" s="243"/>
      <c r="VDU238" s="243"/>
      <c r="VDV238" s="243"/>
      <c r="VDW238" s="243"/>
      <c r="VDX238" s="243"/>
      <c r="VDY238" s="243"/>
      <c r="VDZ238" s="243"/>
      <c r="VEA238" s="243"/>
      <c r="VEB238" s="243"/>
      <c r="VEC238" s="243"/>
      <c r="VED238" s="243"/>
      <c r="VEE238" s="243"/>
      <c r="VEF238" s="243"/>
      <c r="VEG238" s="243"/>
      <c r="VEH238" s="243"/>
      <c r="VEI238" s="243"/>
      <c r="VEJ238" s="243"/>
      <c r="VEK238" s="243"/>
      <c r="VEL238" s="243"/>
      <c r="VEM238" s="243"/>
      <c r="VEN238" s="243"/>
      <c r="VEO238" s="243"/>
      <c r="VEP238" s="243"/>
      <c r="VEQ238" s="243"/>
      <c r="VER238" s="243"/>
      <c r="VES238" s="243"/>
      <c r="VET238" s="243"/>
      <c r="VEU238" s="243"/>
      <c r="VEV238" s="243"/>
      <c r="VEW238" s="243"/>
      <c r="VEX238" s="243"/>
      <c r="VEY238" s="243"/>
      <c r="VEZ238" s="243"/>
      <c r="VFA238" s="243"/>
      <c r="VFB238" s="243"/>
      <c r="VFC238" s="243"/>
      <c r="VFD238" s="243"/>
      <c r="VFE238" s="243"/>
      <c r="VFF238" s="243"/>
      <c r="VFG238" s="243"/>
      <c r="VFH238" s="243"/>
      <c r="VFI238" s="243"/>
      <c r="VFJ238" s="243"/>
      <c r="VFK238" s="243"/>
      <c r="VFL238" s="243"/>
      <c r="VFM238" s="243"/>
      <c r="VFN238" s="243"/>
      <c r="VFO238" s="243"/>
      <c r="VFP238" s="243"/>
      <c r="VFQ238" s="243"/>
      <c r="VFR238" s="243"/>
      <c r="VFS238" s="243"/>
      <c r="VFT238" s="243"/>
      <c r="VFU238" s="243"/>
      <c r="VFV238" s="243"/>
      <c r="VFW238" s="243"/>
      <c r="VFX238" s="243"/>
      <c r="VFY238" s="243"/>
      <c r="VFZ238" s="243"/>
      <c r="VGA238" s="243"/>
      <c r="VGB238" s="243"/>
      <c r="VGC238" s="243"/>
      <c r="VGD238" s="243"/>
      <c r="VGE238" s="243"/>
      <c r="VGF238" s="243"/>
      <c r="VGG238" s="243"/>
      <c r="VGH238" s="243"/>
      <c r="VGI238" s="243"/>
      <c r="VGJ238" s="243"/>
      <c r="VGK238" s="243"/>
      <c r="VGL238" s="243"/>
      <c r="VGM238" s="243"/>
      <c r="VGN238" s="243"/>
      <c r="VGO238" s="243"/>
      <c r="VGP238" s="243"/>
      <c r="VGQ238" s="243"/>
      <c r="VGR238" s="243"/>
      <c r="VGS238" s="243"/>
      <c r="VGT238" s="243"/>
      <c r="VGU238" s="243"/>
      <c r="VGV238" s="243"/>
      <c r="VGW238" s="243"/>
      <c r="VGX238" s="243"/>
      <c r="VGY238" s="243"/>
      <c r="VGZ238" s="243"/>
      <c r="VHA238" s="243"/>
      <c r="VHB238" s="243"/>
      <c r="VHC238" s="243"/>
      <c r="VHD238" s="243"/>
      <c r="VHE238" s="243"/>
      <c r="VHF238" s="243"/>
      <c r="VHG238" s="243"/>
      <c r="VHH238" s="243"/>
      <c r="VHI238" s="243"/>
      <c r="VHJ238" s="243"/>
      <c r="VHK238" s="243"/>
      <c r="VHL238" s="243"/>
      <c r="VHM238" s="243"/>
      <c r="VHN238" s="243"/>
      <c r="VHO238" s="243"/>
      <c r="VHP238" s="243"/>
      <c r="VHQ238" s="243"/>
      <c r="VHR238" s="243"/>
      <c r="VHS238" s="243"/>
      <c r="VHT238" s="243"/>
      <c r="VHU238" s="243"/>
      <c r="VHV238" s="243"/>
      <c r="VHW238" s="243"/>
      <c r="VHX238" s="243"/>
      <c r="VHY238" s="243"/>
      <c r="VHZ238" s="243"/>
      <c r="VIA238" s="243"/>
      <c r="VIB238" s="243"/>
      <c r="VIC238" s="243"/>
      <c r="VID238" s="243"/>
      <c r="VIE238" s="243"/>
      <c r="VIF238" s="243"/>
      <c r="VIG238" s="243"/>
      <c r="VIH238" s="243"/>
      <c r="VII238" s="243"/>
      <c r="VIJ238" s="243"/>
      <c r="VIK238" s="243"/>
      <c r="VIL238" s="243"/>
      <c r="VIM238" s="243"/>
      <c r="VIN238" s="243"/>
      <c r="VIO238" s="243"/>
      <c r="VIP238" s="243"/>
      <c r="VIQ238" s="243"/>
      <c r="VIR238" s="243"/>
      <c r="VIS238" s="243"/>
      <c r="VIT238" s="243"/>
      <c r="VIU238" s="243"/>
      <c r="VIV238" s="243"/>
      <c r="VIW238" s="243"/>
      <c r="VIX238" s="243"/>
      <c r="VIY238" s="243"/>
      <c r="VIZ238" s="243"/>
      <c r="VJA238" s="243"/>
      <c r="VJB238" s="243"/>
      <c r="VJC238" s="243"/>
      <c r="VJD238" s="243"/>
      <c r="VJE238" s="243"/>
      <c r="VJF238" s="243"/>
      <c r="VJG238" s="243"/>
      <c r="VJH238" s="243"/>
      <c r="VJI238" s="243"/>
      <c r="VJJ238" s="243"/>
      <c r="VJK238" s="243"/>
      <c r="VJL238" s="243"/>
      <c r="VJM238" s="243"/>
      <c r="VJN238" s="243"/>
      <c r="VJO238" s="243"/>
      <c r="VJP238" s="243"/>
      <c r="VJQ238" s="243"/>
      <c r="VJR238" s="243"/>
      <c r="VJS238" s="243"/>
      <c r="VJT238" s="243"/>
      <c r="VJU238" s="243"/>
      <c r="VJV238" s="243"/>
      <c r="VJW238" s="243"/>
      <c r="VJX238" s="243"/>
      <c r="VJY238" s="243"/>
      <c r="VJZ238" s="243"/>
      <c r="VKA238" s="243"/>
      <c r="VKB238" s="243"/>
      <c r="VKC238" s="243"/>
      <c r="VKD238" s="243"/>
      <c r="VKE238" s="243"/>
      <c r="VKF238" s="243"/>
      <c r="VKG238" s="243"/>
      <c r="VKH238" s="243"/>
      <c r="VKI238" s="243"/>
      <c r="VKJ238" s="243"/>
      <c r="VKK238" s="243"/>
      <c r="VKL238" s="243"/>
      <c r="VKM238" s="243"/>
      <c r="VKN238" s="243"/>
      <c r="VKO238" s="243"/>
      <c r="VKP238" s="243"/>
      <c r="VKQ238" s="243"/>
      <c r="VKR238" s="243"/>
      <c r="VKS238" s="243"/>
      <c r="VKT238" s="243"/>
      <c r="VKU238" s="243"/>
      <c r="VKV238" s="243"/>
      <c r="VKW238" s="243"/>
      <c r="VKX238" s="243"/>
      <c r="VKY238" s="243"/>
      <c r="VKZ238" s="243"/>
      <c r="VLA238" s="243"/>
      <c r="VLB238" s="243"/>
      <c r="VLC238" s="243"/>
      <c r="VLD238" s="243"/>
      <c r="VLE238" s="243"/>
      <c r="VLF238" s="243"/>
      <c r="VLG238" s="243"/>
      <c r="VLH238" s="243"/>
      <c r="VLI238" s="243"/>
      <c r="VLJ238" s="243"/>
      <c r="VLK238" s="243"/>
      <c r="VLL238" s="243"/>
      <c r="VLM238" s="243"/>
      <c r="VLN238" s="243"/>
      <c r="VLO238" s="243"/>
      <c r="VLP238" s="243"/>
      <c r="VLQ238" s="243"/>
      <c r="VLR238" s="243"/>
      <c r="VLS238" s="243"/>
      <c r="VLT238" s="243"/>
      <c r="VLU238" s="243"/>
      <c r="VLV238" s="243"/>
      <c r="VLW238" s="243"/>
      <c r="VLX238" s="243"/>
      <c r="VLY238" s="243"/>
      <c r="VLZ238" s="243"/>
      <c r="VMA238" s="243"/>
      <c r="VMB238" s="243"/>
      <c r="VMC238" s="243"/>
      <c r="VMD238" s="243"/>
      <c r="VME238" s="243"/>
      <c r="VMF238" s="243"/>
      <c r="VMG238" s="243"/>
      <c r="VMH238" s="243"/>
      <c r="VMI238" s="243"/>
      <c r="VMJ238" s="243"/>
      <c r="VMK238" s="243"/>
      <c r="VML238" s="243"/>
      <c r="VMM238" s="243"/>
      <c r="VMN238" s="243"/>
      <c r="VMO238" s="243"/>
      <c r="VMP238" s="243"/>
      <c r="VMQ238" s="243"/>
      <c r="VMR238" s="243"/>
      <c r="VMS238" s="243"/>
      <c r="VMT238" s="243"/>
      <c r="VMU238" s="243"/>
      <c r="VMV238" s="243"/>
      <c r="VMW238" s="243"/>
      <c r="VMX238" s="243"/>
      <c r="VMY238" s="243"/>
      <c r="VMZ238" s="243"/>
      <c r="VNA238" s="243"/>
      <c r="VNB238" s="243"/>
      <c r="VNC238" s="243"/>
      <c r="VND238" s="243"/>
      <c r="VNE238" s="243"/>
      <c r="VNF238" s="243"/>
      <c r="VNG238" s="243"/>
      <c r="VNH238" s="243"/>
      <c r="VNI238" s="243"/>
      <c r="VNJ238" s="243"/>
      <c r="VNK238" s="243"/>
      <c r="VNL238" s="243"/>
      <c r="VNM238" s="243"/>
      <c r="VNN238" s="243"/>
      <c r="VNO238" s="243"/>
      <c r="VNP238" s="243"/>
      <c r="VNQ238" s="243"/>
      <c r="VNR238" s="243"/>
      <c r="VNS238" s="243"/>
      <c r="VNT238" s="243"/>
      <c r="VNU238" s="243"/>
      <c r="VNV238" s="243"/>
      <c r="VNW238" s="243"/>
      <c r="VNX238" s="243"/>
      <c r="VNY238" s="243"/>
      <c r="VNZ238" s="243"/>
      <c r="VOA238" s="243"/>
      <c r="VOB238" s="243"/>
      <c r="VOC238" s="243"/>
      <c r="VOD238" s="243"/>
      <c r="VOE238" s="243"/>
      <c r="VOF238" s="243"/>
      <c r="VOG238" s="243"/>
      <c r="VOH238" s="243"/>
      <c r="VOI238" s="243"/>
      <c r="VOJ238" s="243"/>
      <c r="VOK238" s="243"/>
      <c r="VOL238" s="243"/>
      <c r="VOM238" s="243"/>
      <c r="VON238" s="243"/>
      <c r="VOO238" s="243"/>
      <c r="VOP238" s="243"/>
      <c r="VOQ238" s="243"/>
      <c r="VOR238" s="243"/>
      <c r="VOS238" s="243"/>
      <c r="VOT238" s="243"/>
      <c r="VOU238" s="243"/>
      <c r="VOV238" s="243"/>
      <c r="VOW238" s="243"/>
      <c r="VOX238" s="243"/>
      <c r="VOY238" s="243"/>
      <c r="VOZ238" s="243"/>
      <c r="VPA238" s="243"/>
      <c r="VPB238" s="243"/>
      <c r="VPC238" s="243"/>
      <c r="VPD238" s="243"/>
      <c r="VPE238" s="243"/>
      <c r="VPF238" s="243"/>
      <c r="VPG238" s="243"/>
      <c r="VPH238" s="243"/>
      <c r="VPI238" s="243"/>
      <c r="VPJ238" s="243"/>
      <c r="VPK238" s="243"/>
      <c r="VPL238" s="243"/>
      <c r="VPM238" s="243"/>
      <c r="VPN238" s="243"/>
      <c r="VPO238" s="243"/>
      <c r="VPP238" s="243"/>
      <c r="VPQ238" s="243"/>
      <c r="VPR238" s="243"/>
      <c r="VPS238" s="243"/>
      <c r="VPT238" s="243"/>
      <c r="VPU238" s="243"/>
      <c r="VPV238" s="243"/>
      <c r="VPW238" s="243"/>
      <c r="VPX238" s="243"/>
      <c r="VPY238" s="243"/>
      <c r="VPZ238" s="243"/>
      <c r="VQA238" s="243"/>
      <c r="VQB238" s="243"/>
      <c r="VQC238" s="243"/>
      <c r="VQD238" s="243"/>
      <c r="VQE238" s="243"/>
      <c r="VQF238" s="243"/>
      <c r="VQG238" s="243"/>
      <c r="VQH238" s="243"/>
      <c r="VQI238" s="243"/>
      <c r="VQJ238" s="243"/>
      <c r="VQK238" s="243"/>
      <c r="VQL238" s="243"/>
      <c r="VQM238" s="243"/>
      <c r="VQN238" s="243"/>
      <c r="VQO238" s="243"/>
      <c r="VQP238" s="243"/>
      <c r="VQQ238" s="243"/>
      <c r="VQR238" s="243"/>
      <c r="VQS238" s="243"/>
      <c r="VQT238" s="243"/>
      <c r="VQU238" s="243"/>
      <c r="VQV238" s="243"/>
      <c r="VQW238" s="243"/>
      <c r="VQX238" s="243"/>
      <c r="VQY238" s="243"/>
      <c r="VQZ238" s="243"/>
      <c r="VRA238" s="243"/>
      <c r="VRB238" s="243"/>
      <c r="VRC238" s="243"/>
      <c r="VRD238" s="243"/>
      <c r="VRE238" s="243"/>
      <c r="VRF238" s="243"/>
      <c r="VRG238" s="243"/>
      <c r="VRH238" s="243"/>
      <c r="VRI238" s="243"/>
      <c r="VRJ238" s="243"/>
      <c r="VRK238" s="243"/>
      <c r="VRL238" s="243"/>
      <c r="VRM238" s="243"/>
      <c r="VRN238" s="243"/>
      <c r="VRO238" s="243"/>
      <c r="VRP238" s="243"/>
      <c r="VRQ238" s="243"/>
      <c r="VRR238" s="243"/>
      <c r="VRS238" s="243"/>
      <c r="VRT238" s="243"/>
      <c r="VRU238" s="243"/>
      <c r="VRV238" s="243"/>
      <c r="VRW238" s="243"/>
      <c r="VRX238" s="243"/>
      <c r="VRY238" s="243"/>
      <c r="VRZ238" s="243"/>
      <c r="VSA238" s="243"/>
      <c r="VSB238" s="243"/>
      <c r="VSC238" s="243"/>
      <c r="VSD238" s="243"/>
      <c r="VSE238" s="243"/>
      <c r="VSF238" s="243"/>
      <c r="VSG238" s="243"/>
      <c r="VSH238" s="243"/>
      <c r="VSI238" s="243"/>
      <c r="VSJ238" s="243"/>
      <c r="VSK238" s="243"/>
      <c r="VSL238" s="243"/>
      <c r="VSM238" s="243"/>
      <c r="VSN238" s="243"/>
      <c r="VSO238" s="243"/>
      <c r="VSP238" s="243"/>
      <c r="VSQ238" s="243"/>
      <c r="VSR238" s="243"/>
      <c r="VSS238" s="243"/>
      <c r="VST238" s="243"/>
      <c r="VSU238" s="243"/>
      <c r="VSV238" s="243"/>
      <c r="VSW238" s="243"/>
      <c r="VSX238" s="243"/>
      <c r="VSY238" s="243"/>
      <c r="VSZ238" s="243"/>
      <c r="VTA238" s="243"/>
      <c r="VTB238" s="243"/>
      <c r="VTC238" s="243"/>
      <c r="VTD238" s="243"/>
      <c r="VTE238" s="243"/>
      <c r="VTF238" s="243"/>
      <c r="VTG238" s="243"/>
      <c r="VTH238" s="243"/>
      <c r="VTI238" s="243"/>
      <c r="VTJ238" s="243"/>
      <c r="VTK238" s="243"/>
      <c r="VTL238" s="243"/>
      <c r="VTM238" s="243"/>
      <c r="VTN238" s="243"/>
      <c r="VTO238" s="243"/>
      <c r="VTP238" s="243"/>
      <c r="VTQ238" s="243"/>
      <c r="VTR238" s="243"/>
      <c r="VTS238" s="243"/>
      <c r="VTT238" s="243"/>
      <c r="VTU238" s="243"/>
      <c r="VTV238" s="243"/>
      <c r="VTW238" s="243"/>
      <c r="VTX238" s="243"/>
      <c r="VTY238" s="243"/>
      <c r="VTZ238" s="243"/>
      <c r="VUA238" s="243"/>
      <c r="VUB238" s="243"/>
      <c r="VUC238" s="243"/>
      <c r="VUD238" s="243"/>
      <c r="VUE238" s="243"/>
      <c r="VUF238" s="243"/>
      <c r="VUG238" s="243"/>
      <c r="VUH238" s="243"/>
      <c r="VUI238" s="243"/>
      <c r="VUJ238" s="243"/>
      <c r="VUK238" s="243"/>
      <c r="VUL238" s="243"/>
      <c r="VUM238" s="243"/>
      <c r="VUN238" s="243"/>
      <c r="VUO238" s="243"/>
      <c r="VUP238" s="243"/>
      <c r="VUQ238" s="243"/>
      <c r="VUR238" s="243"/>
      <c r="VUS238" s="243"/>
      <c r="VUT238" s="243"/>
      <c r="VUU238" s="243"/>
      <c r="VUV238" s="243"/>
      <c r="VUW238" s="243"/>
      <c r="VUX238" s="243"/>
      <c r="VUY238" s="243"/>
      <c r="VUZ238" s="243"/>
      <c r="VVA238" s="243"/>
      <c r="VVB238" s="243"/>
      <c r="VVC238" s="243"/>
      <c r="VVD238" s="243"/>
      <c r="VVE238" s="243"/>
      <c r="VVF238" s="243"/>
      <c r="VVG238" s="243"/>
      <c r="VVH238" s="243"/>
      <c r="VVI238" s="243"/>
      <c r="VVJ238" s="243"/>
      <c r="VVK238" s="243"/>
      <c r="VVL238" s="243"/>
      <c r="VVM238" s="243"/>
      <c r="VVN238" s="243"/>
      <c r="VVO238" s="243"/>
      <c r="VVP238" s="243"/>
      <c r="VVQ238" s="243"/>
      <c r="VVR238" s="243"/>
      <c r="VVS238" s="243"/>
      <c r="VVT238" s="243"/>
      <c r="VVU238" s="243"/>
      <c r="VVV238" s="243"/>
      <c r="VVW238" s="243"/>
      <c r="VVX238" s="243"/>
      <c r="VVY238" s="243"/>
      <c r="VVZ238" s="243"/>
      <c r="VWA238" s="243"/>
      <c r="VWB238" s="243"/>
      <c r="VWC238" s="243"/>
      <c r="VWD238" s="243"/>
      <c r="VWE238" s="243"/>
      <c r="VWF238" s="243"/>
      <c r="VWG238" s="243"/>
      <c r="VWH238" s="243"/>
      <c r="VWI238" s="243"/>
      <c r="VWJ238" s="243"/>
      <c r="VWK238" s="243"/>
      <c r="VWL238" s="243"/>
      <c r="VWM238" s="243"/>
      <c r="VWN238" s="243"/>
      <c r="VWO238" s="243"/>
      <c r="VWP238" s="243"/>
      <c r="VWQ238" s="243"/>
      <c r="VWR238" s="243"/>
      <c r="VWS238" s="243"/>
      <c r="VWT238" s="243"/>
      <c r="VWU238" s="243"/>
      <c r="VWV238" s="243"/>
      <c r="VWW238" s="243"/>
      <c r="VWX238" s="243"/>
      <c r="VWY238" s="243"/>
      <c r="VWZ238" s="243"/>
      <c r="VXA238" s="243"/>
      <c r="VXB238" s="243"/>
      <c r="VXC238" s="243"/>
      <c r="VXD238" s="243"/>
      <c r="VXE238" s="243"/>
      <c r="VXF238" s="243"/>
      <c r="VXG238" s="243"/>
      <c r="VXH238" s="243"/>
      <c r="VXI238" s="243"/>
      <c r="VXJ238" s="243"/>
      <c r="VXK238" s="243"/>
      <c r="VXL238" s="243"/>
      <c r="VXM238" s="243"/>
      <c r="VXN238" s="243"/>
      <c r="VXO238" s="243"/>
      <c r="VXP238" s="243"/>
      <c r="VXQ238" s="243"/>
      <c r="VXR238" s="243"/>
      <c r="VXS238" s="243"/>
      <c r="VXT238" s="243"/>
      <c r="VXU238" s="243"/>
      <c r="VXV238" s="243"/>
      <c r="VXW238" s="243"/>
      <c r="VXX238" s="243"/>
      <c r="VXY238" s="243"/>
      <c r="VXZ238" s="243"/>
      <c r="VYA238" s="243"/>
      <c r="VYB238" s="243"/>
      <c r="VYC238" s="243"/>
      <c r="VYD238" s="243"/>
      <c r="VYE238" s="243"/>
      <c r="VYF238" s="243"/>
      <c r="VYG238" s="243"/>
      <c r="VYH238" s="243"/>
      <c r="VYI238" s="243"/>
      <c r="VYJ238" s="243"/>
      <c r="VYK238" s="243"/>
      <c r="VYL238" s="243"/>
      <c r="VYM238" s="243"/>
      <c r="VYN238" s="243"/>
      <c r="VYO238" s="243"/>
      <c r="VYP238" s="243"/>
      <c r="VYQ238" s="243"/>
      <c r="VYR238" s="243"/>
      <c r="VYS238" s="243"/>
      <c r="VYT238" s="243"/>
      <c r="VYU238" s="243"/>
      <c r="VYV238" s="243"/>
      <c r="VYW238" s="243"/>
      <c r="VYX238" s="243"/>
      <c r="VYY238" s="243"/>
      <c r="VYZ238" s="243"/>
      <c r="VZA238" s="243"/>
      <c r="VZB238" s="243"/>
      <c r="VZC238" s="243"/>
      <c r="VZD238" s="243"/>
      <c r="VZE238" s="243"/>
      <c r="VZF238" s="243"/>
      <c r="VZG238" s="243"/>
      <c r="VZH238" s="243"/>
      <c r="VZI238" s="243"/>
      <c r="VZJ238" s="243"/>
      <c r="VZK238" s="243"/>
      <c r="VZL238" s="243"/>
      <c r="VZM238" s="243"/>
      <c r="VZN238" s="243"/>
      <c r="VZO238" s="243"/>
      <c r="VZP238" s="243"/>
      <c r="VZQ238" s="243"/>
      <c r="VZR238" s="243"/>
      <c r="VZS238" s="243"/>
      <c r="VZT238" s="243"/>
      <c r="VZU238" s="243"/>
      <c r="VZV238" s="243"/>
      <c r="VZW238" s="243"/>
      <c r="VZX238" s="243"/>
      <c r="VZY238" s="243"/>
      <c r="VZZ238" s="243"/>
      <c r="WAA238" s="243"/>
      <c r="WAB238" s="243"/>
      <c r="WAC238" s="243"/>
      <c r="WAD238" s="243"/>
      <c r="WAE238" s="243"/>
      <c r="WAF238" s="243"/>
      <c r="WAG238" s="243"/>
      <c r="WAH238" s="243"/>
      <c r="WAI238" s="243"/>
      <c r="WAJ238" s="243"/>
      <c r="WAK238" s="243"/>
      <c r="WAL238" s="243"/>
      <c r="WAM238" s="243"/>
      <c r="WAN238" s="243"/>
      <c r="WAO238" s="243"/>
      <c r="WAP238" s="243"/>
      <c r="WAQ238" s="243"/>
      <c r="WAR238" s="243"/>
      <c r="WAS238" s="243"/>
      <c r="WAT238" s="243"/>
      <c r="WAU238" s="243"/>
      <c r="WAV238" s="243"/>
      <c r="WAW238" s="243"/>
      <c r="WAX238" s="243"/>
      <c r="WAY238" s="243"/>
      <c r="WAZ238" s="243"/>
      <c r="WBA238" s="243"/>
      <c r="WBB238" s="243"/>
      <c r="WBC238" s="243"/>
      <c r="WBD238" s="243"/>
      <c r="WBE238" s="243"/>
      <c r="WBF238" s="243"/>
      <c r="WBG238" s="243"/>
      <c r="WBH238" s="243"/>
      <c r="WBI238" s="243"/>
      <c r="WBJ238" s="243"/>
      <c r="WBK238" s="243"/>
      <c r="WBL238" s="243"/>
      <c r="WBM238" s="243"/>
      <c r="WBN238" s="243"/>
      <c r="WBO238" s="243"/>
      <c r="WBP238" s="243"/>
      <c r="WBQ238" s="243"/>
      <c r="WBR238" s="243"/>
      <c r="WBS238" s="243"/>
      <c r="WBT238" s="243"/>
      <c r="WBU238" s="243"/>
      <c r="WBV238" s="243"/>
      <c r="WBW238" s="243"/>
      <c r="WBX238" s="243"/>
      <c r="WBY238" s="243"/>
      <c r="WBZ238" s="243"/>
      <c r="WCA238" s="243"/>
      <c r="WCB238" s="243"/>
      <c r="WCC238" s="243"/>
      <c r="WCD238" s="243"/>
      <c r="WCE238" s="243"/>
      <c r="WCF238" s="243"/>
      <c r="WCG238" s="243"/>
      <c r="WCH238" s="243"/>
      <c r="WCI238" s="243"/>
      <c r="WCJ238" s="243"/>
      <c r="WCK238" s="243"/>
      <c r="WCL238" s="243"/>
      <c r="WCM238" s="243"/>
      <c r="WCN238" s="243"/>
      <c r="WCO238" s="243"/>
      <c r="WCP238" s="243"/>
      <c r="WCQ238" s="243"/>
      <c r="WCR238" s="243"/>
      <c r="WCS238" s="243"/>
      <c r="WCT238" s="243"/>
      <c r="WCU238" s="243"/>
      <c r="WCV238" s="243"/>
      <c r="WCW238" s="243"/>
      <c r="WCX238" s="243"/>
      <c r="WCY238" s="243"/>
      <c r="WCZ238" s="243"/>
      <c r="WDA238" s="243"/>
      <c r="WDB238" s="243"/>
      <c r="WDC238" s="243"/>
      <c r="WDD238" s="243"/>
      <c r="WDE238" s="243"/>
      <c r="WDF238" s="243"/>
      <c r="WDG238" s="243"/>
      <c r="WDH238" s="243"/>
      <c r="WDI238" s="243"/>
      <c r="WDJ238" s="243"/>
      <c r="WDK238" s="243"/>
      <c r="WDL238" s="243"/>
      <c r="WDM238" s="243"/>
      <c r="WDN238" s="243"/>
      <c r="WDO238" s="243"/>
      <c r="WDP238" s="243"/>
      <c r="WDQ238" s="243"/>
      <c r="WDR238" s="243"/>
      <c r="WDS238" s="243"/>
      <c r="WDT238" s="243"/>
      <c r="WDU238" s="243"/>
      <c r="WDV238" s="243"/>
      <c r="WDW238" s="243"/>
      <c r="WDX238" s="243"/>
      <c r="WDY238" s="243"/>
      <c r="WDZ238" s="243"/>
      <c r="WEA238" s="243"/>
      <c r="WEB238" s="243"/>
      <c r="WEC238" s="243"/>
      <c r="WED238" s="243"/>
      <c r="WEE238" s="243"/>
      <c r="WEF238" s="243"/>
      <c r="WEG238" s="243"/>
      <c r="WEH238" s="243"/>
      <c r="WEI238" s="243"/>
      <c r="WEJ238" s="243"/>
      <c r="WEK238" s="243"/>
      <c r="WEL238" s="243"/>
      <c r="WEM238" s="243"/>
      <c r="WEN238" s="243"/>
      <c r="WEO238" s="243"/>
      <c r="WEP238" s="243"/>
      <c r="WEQ238" s="243"/>
      <c r="WER238" s="243"/>
      <c r="WES238" s="243"/>
      <c r="WET238" s="243"/>
      <c r="WEU238" s="243"/>
      <c r="WEV238" s="243"/>
      <c r="WEW238" s="243"/>
      <c r="WEX238" s="243"/>
      <c r="WEY238" s="243"/>
      <c r="WEZ238" s="243"/>
      <c r="WFA238" s="243"/>
      <c r="WFB238" s="243"/>
      <c r="WFC238" s="243"/>
      <c r="WFD238" s="243"/>
      <c r="WFE238" s="243"/>
      <c r="WFF238" s="243"/>
      <c r="WFG238" s="243"/>
      <c r="WFH238" s="243"/>
      <c r="WFI238" s="243"/>
      <c r="WFJ238" s="243"/>
      <c r="WFK238" s="243"/>
      <c r="WFL238" s="243"/>
      <c r="WFM238" s="243"/>
      <c r="WFN238" s="243"/>
      <c r="WFO238" s="243"/>
      <c r="WFP238" s="243"/>
      <c r="WFQ238" s="243"/>
      <c r="WFR238" s="243"/>
      <c r="WFS238" s="243"/>
      <c r="WFT238" s="243"/>
      <c r="WFU238" s="243"/>
      <c r="WFV238" s="243"/>
      <c r="WFW238" s="243"/>
      <c r="WFX238" s="243"/>
      <c r="WFY238" s="243"/>
      <c r="WFZ238" s="243"/>
      <c r="WGA238" s="243"/>
      <c r="WGB238" s="243"/>
      <c r="WGC238" s="243"/>
      <c r="WGD238" s="243"/>
      <c r="WGE238" s="243"/>
      <c r="WGF238" s="243"/>
      <c r="WGG238" s="243"/>
      <c r="WGH238" s="243"/>
      <c r="WGI238" s="243"/>
      <c r="WGJ238" s="243"/>
      <c r="WGK238" s="243"/>
      <c r="WGL238" s="243"/>
      <c r="WGM238" s="243"/>
      <c r="WGN238" s="243"/>
      <c r="WGO238" s="243"/>
      <c r="WGP238" s="243"/>
      <c r="WGQ238" s="243"/>
      <c r="WGR238" s="243"/>
      <c r="WGS238" s="243"/>
      <c r="WGT238" s="243"/>
      <c r="WGU238" s="243"/>
      <c r="WGV238" s="243"/>
      <c r="WGW238" s="243"/>
      <c r="WGX238" s="243"/>
      <c r="WGY238" s="243"/>
      <c r="WGZ238" s="243"/>
      <c r="WHA238" s="243"/>
      <c r="WHB238" s="243"/>
      <c r="WHC238" s="243"/>
      <c r="WHD238" s="243"/>
      <c r="WHE238" s="243"/>
      <c r="WHF238" s="243"/>
      <c r="WHG238" s="243"/>
      <c r="WHH238" s="243"/>
      <c r="WHI238" s="243"/>
      <c r="WHJ238" s="243"/>
      <c r="WHK238" s="243"/>
      <c r="WHL238" s="243"/>
      <c r="WHM238" s="243"/>
      <c r="WHN238" s="243"/>
      <c r="WHO238" s="243"/>
      <c r="WHP238" s="243"/>
      <c r="WHQ238" s="243"/>
      <c r="WHR238" s="243"/>
      <c r="WHS238" s="243"/>
      <c r="WHT238" s="243"/>
      <c r="WHU238" s="243"/>
      <c r="WHV238" s="243"/>
      <c r="WHW238" s="243"/>
      <c r="WHX238" s="243"/>
      <c r="WHY238" s="243"/>
      <c r="WHZ238" s="243"/>
      <c r="WIA238" s="243"/>
      <c r="WIB238" s="243"/>
      <c r="WIC238" s="243"/>
      <c r="WID238" s="243"/>
      <c r="WIE238" s="243"/>
      <c r="WIF238" s="243"/>
      <c r="WIG238" s="243"/>
      <c r="WIH238" s="243"/>
      <c r="WII238" s="243"/>
      <c r="WIJ238" s="243"/>
      <c r="WIK238" s="243"/>
      <c r="WIL238" s="243"/>
      <c r="WIM238" s="243"/>
      <c r="WIN238" s="243"/>
      <c r="WIO238" s="243"/>
      <c r="WIP238" s="243"/>
      <c r="WIQ238" s="243"/>
      <c r="WIR238" s="243"/>
      <c r="WIS238" s="243"/>
      <c r="WIT238" s="243"/>
      <c r="WIU238" s="243"/>
      <c r="WIV238" s="243"/>
      <c r="WIW238" s="243"/>
      <c r="WIX238" s="243"/>
      <c r="WIY238" s="243"/>
      <c r="WIZ238" s="243"/>
      <c r="WJA238" s="243"/>
      <c r="WJB238" s="243"/>
      <c r="WJC238" s="243"/>
      <c r="WJD238" s="243"/>
      <c r="WJE238" s="243"/>
      <c r="WJF238" s="243"/>
      <c r="WJG238" s="243"/>
      <c r="WJH238" s="243"/>
      <c r="WJI238" s="243"/>
      <c r="WJJ238" s="243"/>
      <c r="WJK238" s="243"/>
      <c r="WJL238" s="243"/>
      <c r="WJM238" s="243"/>
      <c r="WJN238" s="243"/>
      <c r="WJO238" s="243"/>
      <c r="WJP238" s="243"/>
      <c r="WJQ238" s="243"/>
      <c r="WJR238" s="243"/>
      <c r="WJS238" s="243"/>
      <c r="WJT238" s="243"/>
      <c r="WJU238" s="243"/>
      <c r="WJV238" s="243"/>
      <c r="WJW238" s="243"/>
      <c r="WJX238" s="243"/>
      <c r="WJY238" s="243"/>
      <c r="WJZ238" s="243"/>
      <c r="WKA238" s="243"/>
      <c r="WKB238" s="243"/>
      <c r="WKC238" s="243"/>
      <c r="WKD238" s="243"/>
      <c r="WKE238" s="243"/>
      <c r="WKF238" s="243"/>
      <c r="WKG238" s="243"/>
      <c r="WKH238" s="243"/>
      <c r="WKI238" s="243"/>
      <c r="WKJ238" s="243"/>
      <c r="WKK238" s="243"/>
      <c r="WKL238" s="243"/>
      <c r="WKM238" s="243"/>
      <c r="WKN238" s="243"/>
      <c r="WKO238" s="243"/>
      <c r="WKP238" s="243"/>
      <c r="WKQ238" s="243"/>
      <c r="WKR238" s="243"/>
      <c r="WKS238" s="243"/>
      <c r="WKT238" s="243"/>
      <c r="WKU238" s="243"/>
      <c r="WKV238" s="243"/>
      <c r="WKW238" s="243"/>
      <c r="WKX238" s="243"/>
      <c r="WKY238" s="243"/>
      <c r="WKZ238" s="243"/>
      <c r="WLA238" s="243"/>
      <c r="WLB238" s="243"/>
      <c r="WLC238" s="243"/>
      <c r="WLD238" s="243"/>
      <c r="WLE238" s="243"/>
      <c r="WLF238" s="243"/>
      <c r="WLG238" s="243"/>
      <c r="WLH238" s="243"/>
      <c r="WLI238" s="243"/>
      <c r="WLJ238" s="243"/>
      <c r="WLK238" s="243"/>
      <c r="WLL238" s="243"/>
      <c r="WLM238" s="243"/>
      <c r="WLN238" s="243"/>
      <c r="WLO238" s="243"/>
      <c r="WLP238" s="243"/>
      <c r="WLQ238" s="243"/>
      <c r="WLR238" s="243"/>
      <c r="WLS238" s="243"/>
      <c r="WLT238" s="243"/>
      <c r="WLU238" s="243"/>
      <c r="WLV238" s="243"/>
      <c r="WLW238" s="243"/>
      <c r="WLX238" s="243"/>
      <c r="WLY238" s="243"/>
      <c r="WLZ238" s="243"/>
      <c r="WMA238" s="243"/>
      <c r="WMB238" s="243"/>
      <c r="WMC238" s="243"/>
      <c r="WMD238" s="243"/>
      <c r="WME238" s="243"/>
      <c r="WMF238" s="243"/>
      <c r="WMG238" s="243"/>
      <c r="WMH238" s="243"/>
      <c r="WMI238" s="243"/>
      <c r="WMJ238" s="243"/>
      <c r="WMK238" s="243"/>
      <c r="WML238" s="243"/>
      <c r="WMM238" s="243"/>
      <c r="WMN238" s="243"/>
      <c r="WMO238" s="243"/>
      <c r="WMP238" s="243"/>
      <c r="WMQ238" s="243"/>
      <c r="WMR238" s="243"/>
      <c r="WMS238" s="243"/>
      <c r="WMT238" s="243"/>
      <c r="WMU238" s="243"/>
      <c r="WMV238" s="243"/>
      <c r="WMW238" s="243"/>
      <c r="WMX238" s="243"/>
      <c r="WMY238" s="243"/>
      <c r="WMZ238" s="243"/>
      <c r="WNA238" s="243"/>
      <c r="WNB238" s="243"/>
      <c r="WNC238" s="243"/>
      <c r="WND238" s="243"/>
      <c r="WNE238" s="243"/>
      <c r="WNF238" s="243"/>
      <c r="WNG238" s="243"/>
      <c r="WNH238" s="243"/>
      <c r="WNI238" s="243"/>
      <c r="WNJ238" s="243"/>
      <c r="WNK238" s="243"/>
      <c r="WNL238" s="243"/>
      <c r="WNM238" s="243"/>
      <c r="WNN238" s="243"/>
      <c r="WNO238" s="243"/>
      <c r="WNP238" s="243"/>
      <c r="WNQ238" s="243"/>
      <c r="WNR238" s="243"/>
      <c r="WNS238" s="243"/>
      <c r="WNT238" s="243"/>
      <c r="WNU238" s="243"/>
      <c r="WNV238" s="243"/>
      <c r="WNW238" s="243"/>
      <c r="WNX238" s="243"/>
      <c r="WNY238" s="243"/>
      <c r="WNZ238" s="243"/>
      <c r="WOA238" s="243"/>
      <c r="WOB238" s="243"/>
      <c r="WOC238" s="243"/>
      <c r="WOD238" s="243"/>
      <c r="WOE238" s="243"/>
      <c r="WOF238" s="243"/>
      <c r="WOG238" s="243"/>
      <c r="WOH238" s="243"/>
      <c r="WOI238" s="243"/>
      <c r="WOJ238" s="243"/>
      <c r="WOK238" s="243"/>
      <c r="WOL238" s="243"/>
      <c r="WOM238" s="243"/>
      <c r="WON238" s="243"/>
      <c r="WOO238" s="243"/>
      <c r="WOP238" s="243"/>
      <c r="WOQ238" s="243"/>
      <c r="WOR238" s="243"/>
      <c r="WOS238" s="243"/>
      <c r="WOT238" s="243"/>
      <c r="WOU238" s="243"/>
      <c r="WOV238" s="243"/>
      <c r="WOW238" s="243"/>
      <c r="WOX238" s="243"/>
      <c r="WOY238" s="243"/>
      <c r="WOZ238" s="243"/>
      <c r="WPA238" s="243"/>
      <c r="WPB238" s="243"/>
      <c r="WPC238" s="243"/>
      <c r="WPD238" s="243"/>
      <c r="WPE238" s="243"/>
      <c r="WPF238" s="243"/>
      <c r="WPG238" s="243"/>
      <c r="WPH238" s="243"/>
      <c r="WPI238" s="243"/>
      <c r="WPJ238" s="243"/>
      <c r="WPK238" s="243"/>
      <c r="WPL238" s="243"/>
      <c r="WPM238" s="243"/>
      <c r="WPN238" s="243"/>
      <c r="WPO238" s="243"/>
      <c r="WPP238" s="243"/>
      <c r="WPQ238" s="243"/>
      <c r="WPR238" s="243"/>
      <c r="WPS238" s="243"/>
      <c r="WPT238" s="243"/>
      <c r="WPU238" s="243"/>
      <c r="WPV238" s="243"/>
      <c r="WPW238" s="243"/>
      <c r="WPX238" s="243"/>
      <c r="WPY238" s="243"/>
      <c r="WPZ238" s="243"/>
      <c r="WQA238" s="243"/>
      <c r="WQB238" s="243"/>
      <c r="WQC238" s="243"/>
      <c r="WQD238" s="243"/>
      <c r="WQE238" s="243"/>
      <c r="WQF238" s="243"/>
      <c r="WQG238" s="243"/>
      <c r="WQH238" s="243"/>
      <c r="WQI238" s="243"/>
      <c r="WQJ238" s="243"/>
      <c r="WQK238" s="243"/>
      <c r="WQL238" s="243"/>
      <c r="WQM238" s="243"/>
      <c r="WQN238" s="243"/>
      <c r="WQO238" s="243"/>
      <c r="WQP238" s="243"/>
      <c r="WQQ238" s="243"/>
      <c r="WQR238" s="243"/>
      <c r="WQS238" s="243"/>
      <c r="WQT238" s="243"/>
      <c r="WQU238" s="243"/>
      <c r="WQV238" s="243"/>
      <c r="WQW238" s="243"/>
      <c r="WQX238" s="243"/>
      <c r="WQY238" s="243"/>
      <c r="WQZ238" s="243"/>
      <c r="WRA238" s="243"/>
      <c r="WRB238" s="243"/>
      <c r="WRC238" s="243"/>
      <c r="WRD238" s="243"/>
      <c r="WRE238" s="243"/>
      <c r="WRF238" s="243"/>
      <c r="WRG238" s="243"/>
      <c r="WRH238" s="243"/>
      <c r="WRI238" s="243"/>
      <c r="WRJ238" s="243"/>
      <c r="WRK238" s="243"/>
      <c r="WRL238" s="243"/>
      <c r="WRM238" s="243"/>
      <c r="WRN238" s="243"/>
      <c r="WRO238" s="243"/>
      <c r="WRP238" s="243"/>
      <c r="WRQ238" s="243"/>
      <c r="WRR238" s="243"/>
      <c r="WRS238" s="243"/>
      <c r="WRT238" s="243"/>
      <c r="WRU238" s="243"/>
      <c r="WRV238" s="243"/>
      <c r="WRW238" s="243"/>
      <c r="WRX238" s="243"/>
      <c r="WRY238" s="243"/>
      <c r="WRZ238" s="243"/>
      <c r="WSA238" s="243"/>
      <c r="WSB238" s="243"/>
      <c r="WSC238" s="243"/>
      <c r="WSD238" s="243"/>
      <c r="WSE238" s="243"/>
      <c r="WSF238" s="243"/>
      <c r="WSG238" s="243"/>
      <c r="WSH238" s="243"/>
      <c r="WSI238" s="243"/>
      <c r="WSJ238" s="243"/>
      <c r="WSK238" s="243"/>
      <c r="WSL238" s="243"/>
      <c r="WSM238" s="243"/>
      <c r="WSN238" s="243"/>
      <c r="WSO238" s="243"/>
      <c r="WSP238" s="243"/>
      <c r="WSQ238" s="243"/>
      <c r="WSR238" s="243"/>
      <c r="WSS238" s="243"/>
      <c r="WST238" s="243"/>
      <c r="WSU238" s="243"/>
      <c r="WSV238" s="243"/>
      <c r="WSW238" s="243"/>
      <c r="WSX238" s="243"/>
      <c r="WSY238" s="243"/>
      <c r="WSZ238" s="243"/>
      <c r="WTA238" s="243"/>
      <c r="WTB238" s="243"/>
      <c r="WTC238" s="243"/>
      <c r="WTD238" s="243"/>
      <c r="WTE238" s="243"/>
      <c r="WTF238" s="243"/>
      <c r="WTG238" s="243"/>
      <c r="WTH238" s="243"/>
      <c r="WTI238" s="243"/>
      <c r="WTJ238" s="243"/>
      <c r="WTK238" s="243"/>
      <c r="WTL238" s="243"/>
      <c r="WTM238" s="243"/>
      <c r="WTN238" s="243"/>
      <c r="WTO238" s="243"/>
      <c r="WTP238" s="243"/>
      <c r="WTQ238" s="243"/>
      <c r="WTR238" s="243"/>
      <c r="WTS238" s="243"/>
      <c r="WTT238" s="243"/>
      <c r="WTU238" s="243"/>
      <c r="WTV238" s="243"/>
      <c r="WTW238" s="243"/>
      <c r="WTX238" s="243"/>
      <c r="WTY238" s="243"/>
      <c r="WTZ238" s="243"/>
      <c r="WUA238" s="243"/>
      <c r="WUB238" s="243"/>
      <c r="WUC238" s="243"/>
      <c r="WUD238" s="243"/>
      <c r="WUE238" s="243"/>
      <c r="WUF238" s="243"/>
      <c r="WUG238" s="243"/>
      <c r="WUH238" s="243"/>
      <c r="WUI238" s="243"/>
      <c r="WUJ238" s="243"/>
      <c r="WUK238" s="243"/>
      <c r="WUL238" s="243"/>
      <c r="WUM238" s="243"/>
      <c r="WUN238" s="243"/>
      <c r="WUO238" s="243"/>
      <c r="WUP238" s="243"/>
      <c r="WUQ238" s="243"/>
      <c r="WUR238" s="243"/>
      <c r="WUS238" s="243"/>
      <c r="WUT238" s="243"/>
      <c r="WUU238" s="243"/>
      <c r="WUV238" s="243"/>
      <c r="WUW238" s="243"/>
      <c r="WUX238" s="243"/>
      <c r="WUY238" s="243"/>
      <c r="WUZ238" s="243"/>
      <c r="WVA238" s="243"/>
      <c r="WVB238" s="243"/>
      <c r="WVC238" s="243"/>
      <c r="WVD238" s="243"/>
      <c r="WVE238" s="243"/>
      <c r="WVF238" s="243"/>
      <c r="WVG238" s="243"/>
      <c r="WVH238" s="243"/>
      <c r="WVI238" s="243"/>
      <c r="WVJ238" s="243"/>
      <c r="WVK238" s="243"/>
      <c r="WVL238" s="243"/>
      <c r="WVM238" s="243"/>
      <c r="WVN238" s="243"/>
      <c r="WVO238" s="243"/>
      <c r="WVP238" s="243"/>
      <c r="WVQ238" s="243"/>
      <c r="WVR238" s="243"/>
      <c r="WVS238" s="243"/>
      <c r="WVT238" s="243"/>
      <c r="WVU238" s="243"/>
      <c r="WVV238" s="243"/>
      <c r="WVW238" s="243"/>
      <c r="WVX238" s="243"/>
      <c r="WVY238" s="243"/>
      <c r="WVZ238" s="243"/>
      <c r="WWA238" s="243"/>
      <c r="WWB238" s="243"/>
      <c r="WWC238" s="243"/>
      <c r="WWD238" s="243"/>
      <c r="WWE238" s="243"/>
      <c r="WWF238" s="243"/>
      <c r="WWG238" s="243"/>
      <c r="WWH238" s="243"/>
      <c r="WWI238" s="243"/>
      <c r="WWJ238" s="243"/>
      <c r="WWK238" s="243"/>
      <c r="WWL238" s="243"/>
      <c r="WWM238" s="243"/>
      <c r="WWN238" s="243"/>
      <c r="WWO238" s="243"/>
      <c r="WWP238" s="243"/>
      <c r="WWQ238" s="243"/>
      <c r="WWR238" s="243"/>
      <c r="WWS238" s="243"/>
      <c r="WWT238" s="243"/>
      <c r="WWU238" s="243"/>
      <c r="WWV238" s="243"/>
      <c r="WWW238" s="243"/>
      <c r="WWX238" s="243"/>
      <c r="WWY238" s="243"/>
      <c r="WWZ238" s="243"/>
      <c r="WXA238" s="243"/>
      <c r="WXB238" s="243"/>
      <c r="WXC238" s="243"/>
      <c r="WXD238" s="243"/>
      <c r="WXE238" s="243"/>
      <c r="WXF238" s="243"/>
      <c r="WXG238" s="243"/>
      <c r="WXH238" s="243"/>
      <c r="WXI238" s="243"/>
      <c r="WXJ238" s="243"/>
      <c r="WXK238" s="243"/>
      <c r="WXL238" s="243"/>
      <c r="WXM238" s="243"/>
      <c r="WXN238" s="243"/>
      <c r="WXO238" s="243"/>
      <c r="WXP238" s="243"/>
      <c r="WXQ238" s="243"/>
      <c r="WXR238" s="243"/>
      <c r="WXS238" s="243"/>
      <c r="WXT238" s="243"/>
      <c r="WXU238" s="243"/>
      <c r="WXV238" s="243"/>
      <c r="WXW238" s="243"/>
      <c r="WXX238" s="243"/>
      <c r="WXY238" s="243"/>
      <c r="WXZ238" s="243"/>
      <c r="WYA238" s="243"/>
      <c r="WYB238" s="243"/>
      <c r="WYC238" s="243"/>
      <c r="WYD238" s="243"/>
      <c r="WYE238" s="243"/>
      <c r="WYF238" s="243"/>
      <c r="WYG238" s="243"/>
      <c r="WYH238" s="243"/>
      <c r="WYI238" s="243"/>
      <c r="WYJ238" s="243"/>
      <c r="WYK238" s="243"/>
      <c r="WYL238" s="243"/>
      <c r="WYM238" s="243"/>
      <c r="WYN238" s="243"/>
      <c r="WYO238" s="243"/>
      <c r="WYP238" s="243"/>
      <c r="WYQ238" s="243"/>
      <c r="WYR238" s="243"/>
      <c r="WYS238" s="243"/>
      <c r="WYT238" s="243"/>
      <c r="WYU238" s="243"/>
      <c r="WYV238" s="243"/>
      <c r="WYW238" s="243"/>
      <c r="WYX238" s="243"/>
      <c r="WYY238" s="243"/>
      <c r="WYZ238" s="243"/>
      <c r="WZA238" s="243"/>
      <c r="WZB238" s="243"/>
      <c r="WZC238" s="243"/>
      <c r="WZD238" s="243"/>
      <c r="WZE238" s="243"/>
      <c r="WZF238" s="243"/>
      <c r="WZG238" s="243"/>
      <c r="WZH238" s="243"/>
      <c r="WZI238" s="243"/>
      <c r="WZJ238" s="243"/>
      <c r="WZK238" s="243"/>
      <c r="WZL238" s="243"/>
      <c r="WZM238" s="243"/>
      <c r="WZN238" s="243"/>
      <c r="WZO238" s="243"/>
      <c r="WZP238" s="243"/>
      <c r="WZQ238" s="243"/>
      <c r="WZR238" s="243"/>
      <c r="WZS238" s="243"/>
      <c r="WZT238" s="243"/>
      <c r="WZU238" s="243"/>
      <c r="WZV238" s="243"/>
      <c r="WZW238" s="243"/>
      <c r="WZX238" s="243"/>
      <c r="WZY238" s="243"/>
      <c r="WZZ238" s="243"/>
      <c r="XAA238" s="243"/>
      <c r="XAB238" s="243"/>
      <c r="XAC238" s="243"/>
      <c r="XAD238" s="243"/>
      <c r="XAE238" s="243"/>
      <c r="XAF238" s="243"/>
      <c r="XAG238" s="243"/>
      <c r="XAH238" s="243"/>
      <c r="XAI238" s="243"/>
      <c r="XAJ238" s="243"/>
      <c r="XAK238" s="243"/>
      <c r="XAL238" s="243"/>
      <c r="XAM238" s="243"/>
      <c r="XAN238" s="243"/>
      <c r="XAO238" s="243"/>
      <c r="XAP238" s="243"/>
      <c r="XAQ238" s="243"/>
      <c r="XAR238" s="243"/>
      <c r="XAS238" s="243"/>
      <c r="XAT238" s="243"/>
      <c r="XAU238" s="243"/>
      <c r="XAV238" s="243"/>
      <c r="XAW238" s="243"/>
      <c r="XAX238" s="243"/>
      <c r="XAY238" s="243"/>
      <c r="XAZ238" s="243"/>
      <c r="XBA238" s="243"/>
      <c r="XBB238" s="243"/>
      <c r="XBC238" s="243"/>
      <c r="XBD238" s="243"/>
      <c r="XBE238" s="243"/>
      <c r="XBF238" s="243"/>
      <c r="XBG238" s="243"/>
      <c r="XBH238" s="243"/>
      <c r="XBI238" s="243"/>
      <c r="XBJ238" s="243"/>
      <c r="XBK238" s="243"/>
      <c r="XBL238" s="243"/>
      <c r="XBM238" s="243"/>
      <c r="XBN238" s="243"/>
      <c r="XBO238" s="243"/>
      <c r="XBP238" s="243"/>
      <c r="XBQ238" s="243"/>
      <c r="XBR238" s="243"/>
      <c r="XBS238" s="243"/>
      <c r="XBT238" s="243"/>
      <c r="XBU238" s="243"/>
      <c r="XBV238" s="243"/>
      <c r="XBW238" s="243"/>
      <c r="XBX238" s="243"/>
      <c r="XBY238" s="243"/>
      <c r="XBZ238" s="243"/>
      <c r="XCA238" s="243"/>
      <c r="XCB238" s="243"/>
      <c r="XCC238" s="243"/>
      <c r="XCD238" s="243"/>
      <c r="XCE238" s="243"/>
      <c r="XCF238" s="243"/>
      <c r="XCG238" s="243"/>
      <c r="XCH238" s="243"/>
      <c r="XCI238" s="243"/>
      <c r="XCJ238" s="243"/>
      <c r="XCK238" s="243"/>
      <c r="XCL238" s="243"/>
      <c r="XCM238" s="243"/>
      <c r="XCN238" s="243"/>
      <c r="XCO238" s="243"/>
      <c r="XCP238" s="243"/>
      <c r="XCQ238" s="243"/>
      <c r="XCR238" s="243"/>
      <c r="XCS238" s="243"/>
      <c r="XCT238" s="243"/>
      <c r="XCU238" s="243"/>
      <c r="XCV238" s="243"/>
      <c r="XCW238" s="243"/>
      <c r="XCX238" s="243"/>
      <c r="XCY238" s="243"/>
      <c r="XCZ238" s="243"/>
      <c r="XDA238" s="243"/>
      <c r="XDB238" s="243"/>
      <c r="XDC238" s="243"/>
      <c r="XDD238" s="243"/>
      <c r="XDE238" s="243"/>
      <c r="XDF238" s="243"/>
      <c r="XDG238" s="243"/>
      <c r="XDH238" s="243"/>
      <c r="XDI238" s="243"/>
      <c r="XDJ238" s="243"/>
      <c r="XDK238" s="243"/>
      <c r="XDL238" s="243"/>
      <c r="XDM238" s="243"/>
      <c r="XDN238" s="243"/>
      <c r="XDO238" s="243"/>
      <c r="XDP238" s="243"/>
      <c r="XDQ238" s="243"/>
      <c r="XDR238" s="243"/>
      <c r="XDS238" s="243"/>
      <c r="XDT238" s="243"/>
      <c r="XDU238" s="243"/>
      <c r="XDV238" s="243"/>
      <c r="XDW238" s="243"/>
      <c r="XDX238" s="243"/>
      <c r="XDY238" s="243"/>
      <c r="XDZ238" s="243"/>
      <c r="XEA238" s="243"/>
      <c r="XEB238" s="243"/>
      <c r="XEC238" s="243"/>
      <c r="XED238" s="243"/>
      <c r="XEE238" s="243"/>
      <c r="XEF238" s="243"/>
      <c r="XEG238" s="243"/>
      <c r="XEH238" s="243"/>
      <c r="XEI238" s="243"/>
      <c r="XEJ238" s="243"/>
      <c r="XEK238" s="243"/>
      <c r="XEL238" s="243"/>
      <c r="XEM238" s="243"/>
      <c r="XEN238" s="243"/>
      <c r="XEO238" s="243"/>
      <c r="XEP238" s="243"/>
      <c r="XEQ238" s="243"/>
      <c r="XER238" s="243"/>
      <c r="XES238" s="243"/>
      <c r="XET238" s="243"/>
      <c r="XEU238" s="243"/>
      <c r="XEV238" s="243"/>
      <c r="XEW238" s="243"/>
      <c r="XEX238" s="243"/>
      <c r="XEY238" s="243"/>
      <c r="XEZ238" s="243"/>
      <c r="XFA238" s="243"/>
      <c r="XFB238" s="243"/>
      <c r="XFC238" s="243"/>
      <c r="XFD238" s="243"/>
    </row>
    <row r="239" spans="1:16384" x14ac:dyDescent="0.25">
      <c r="B239" s="192"/>
    </row>
    <row r="240" spans="1:16384" x14ac:dyDescent="0.25">
      <c r="B240" s="192"/>
      <c r="E240" s="239" t="s">
        <v>86</v>
      </c>
      <c r="F240" s="283" t="s">
        <v>282</v>
      </c>
      <c r="AA240" s="452" t="s">
        <v>86</v>
      </c>
      <c r="AB240" s="283" t="s">
        <v>282</v>
      </c>
      <c r="AW240" s="452" t="s">
        <v>86</v>
      </c>
      <c r="AX240" s="283" t="s">
        <v>282</v>
      </c>
    </row>
    <row r="241" spans="1:16384" x14ac:dyDescent="0.25">
      <c r="B241" s="192"/>
      <c r="Q241" s="124"/>
      <c r="AM241" s="124"/>
      <c r="BI241" s="124"/>
    </row>
    <row r="242" spans="1:16384" x14ac:dyDescent="0.25">
      <c r="A242" s="231"/>
      <c r="B242" s="2"/>
      <c r="C242" s="231"/>
      <c r="D242" s="231"/>
      <c r="E242" s="232" t="s">
        <v>227</v>
      </c>
      <c r="F242" s="233" t="s">
        <v>282</v>
      </c>
      <c r="G242" s="233"/>
      <c r="H242" s="233"/>
      <c r="I242" s="233"/>
      <c r="J242" s="233"/>
      <c r="K242" s="233"/>
      <c r="L242" s="233"/>
      <c r="Q242" s="124"/>
      <c r="R242" s="231"/>
      <c r="X242" s="2"/>
      <c r="Y242" s="231"/>
      <c r="Z242" s="231"/>
      <c r="AA242" s="459" t="s">
        <v>227</v>
      </c>
      <c r="AB242" s="233" t="s">
        <v>282</v>
      </c>
      <c r="AC242" s="233"/>
      <c r="AD242" s="233"/>
      <c r="AE242" s="233"/>
      <c r="AF242" s="233"/>
      <c r="AG242" s="233"/>
      <c r="AH242" s="233"/>
      <c r="AM242" s="124"/>
      <c r="AN242" s="231"/>
      <c r="AT242" s="2"/>
      <c r="AU242" s="231"/>
      <c r="AV242" s="231"/>
      <c r="AW242" s="459" t="s">
        <v>227</v>
      </c>
      <c r="AX242" s="233" t="s">
        <v>282</v>
      </c>
      <c r="AY242" s="233"/>
      <c r="AZ242" s="233"/>
      <c r="BA242" s="233"/>
      <c r="BB242" s="233"/>
      <c r="BC242" s="233"/>
      <c r="BD242" s="233"/>
      <c r="BI242" s="124"/>
      <c r="BJ242" s="231"/>
    </row>
    <row r="243" spans="1:16384" x14ac:dyDescent="0.25">
      <c r="B243" s="192"/>
      <c r="D243" s="245">
        <f>IFERROR(MATCH(Tabla2831363740[[#This Row],[Cuentas Contables]],Cuentas_FIDI[Cuenta Contable],0),0)</f>
        <v>1</v>
      </c>
      <c r="E243" s="32" t="str">
        <f>Configuración!CJ5</f>
        <v>Bancos - Saldo Inicial</v>
      </c>
      <c r="F243" s="10">
        <f>IFERROR(SUMPRODUCT((Tabla2831363740[[#This Row],[Cuentas Contables]]=Finanzas[Cuenta Contable])*(Económico!$F$5=Finanzas[Campaña])*(Finanzas[Económico U$S Dólares])*("Si"=Finanzas[Econ.])),0)</f>
        <v>0</v>
      </c>
      <c r="G243" s="10"/>
      <c r="H243" s="10"/>
      <c r="I243" s="10"/>
      <c r="J243" s="10"/>
      <c r="K243" s="10"/>
      <c r="L243" s="10"/>
      <c r="Q243" s="124"/>
      <c r="Z243" s="245">
        <f>IFERROR(MATCH(Tabla283136374049[[#This Row],[Cuentas Contables]],Cuentas_FIDI[Cuenta Contable],0),0)</f>
        <v>1</v>
      </c>
      <c r="AA243" s="32" t="str">
        <f>Tabla2831363740[[#This Row],[Cuentas Contables]]</f>
        <v>Bancos - Saldo Inicial</v>
      </c>
      <c r="AB243" s="10">
        <f>IFERROR(SUMPRODUCT((Tabla283136374049[[#This Row],[Cuentas Contables]]=Finanzas[Cuenta Contable])*(Económico!$F$5=Finanzas[Campaña])*(Finanzas[Económico $Corrientes])*("Si"=Finanzas[Econ.])),0)</f>
        <v>0</v>
      </c>
      <c r="AC243" s="10"/>
      <c r="AD243" s="10"/>
      <c r="AE243" s="10"/>
      <c r="AF243" s="10"/>
      <c r="AG243" s="10"/>
      <c r="AH243" s="10"/>
      <c r="AM243" s="124"/>
      <c r="AV243" s="245">
        <f>IFERROR(MATCH(Tabla28313637404958[[#This Row],[Cuentas Contables]],Cuentas_FIDI[Cuenta Contable],0),0)</f>
        <v>1</v>
      </c>
      <c r="AW243" s="32" t="str">
        <f>Tabla2831363740[[#This Row],[Cuentas Contables]]</f>
        <v>Bancos - Saldo Inicial</v>
      </c>
      <c r="AX243" s="10">
        <f>IFERROR(SUMPRODUCT((Tabla28313637404958[[#This Row],[Cuentas Contables]]=Finanzas[Cuenta Contable])*(Económico!$F$5=Finanzas[Campaña])*(Finanzas[Económico $Constantes])*("Si"=Finanzas[Econ.])),0)</f>
        <v>0</v>
      </c>
      <c r="AY243" s="10"/>
      <c r="AZ243" s="10"/>
      <c r="BA243" s="10"/>
      <c r="BB243" s="10"/>
      <c r="BC243" s="10"/>
      <c r="BD243" s="10"/>
      <c r="BI243" s="124"/>
    </row>
    <row r="244" spans="1:16384" x14ac:dyDescent="0.25">
      <c r="B244" s="192"/>
      <c r="D244" s="245">
        <f>IFERROR(MATCH(Tabla2831363740[[#This Row],[Cuentas Contables]],Cuentas_FIDI[Cuenta Contable],0),0)</f>
        <v>7</v>
      </c>
      <c r="E244" s="32" t="str">
        <f>Configuración!CJ11</f>
        <v>Cheques Emitidos</v>
      </c>
      <c r="F244" s="10">
        <f>IFERROR(SUMPRODUCT((Tabla2831363740[[#This Row],[Cuentas Contables]]=Finanzas[Cuenta Contable])*(Económico!$F$5=Finanzas[Campaña])*(Finanzas[Económico U$S Dólares])*("Si"=Finanzas[Econ.])),0)</f>
        <v>0</v>
      </c>
      <c r="G244" s="10"/>
      <c r="H244" s="10"/>
      <c r="I244" s="10"/>
      <c r="J244" s="10"/>
      <c r="K244" s="10"/>
      <c r="L244" s="10"/>
      <c r="Q244" s="124"/>
      <c r="Z244" s="245">
        <f>IFERROR(MATCH(Tabla283136374049[[#This Row],[Cuentas Contables]],Cuentas_FIDI[Cuenta Contable],0),0)</f>
        <v>7</v>
      </c>
      <c r="AA244" s="32" t="str">
        <f>Tabla2831363740[[#This Row],[Cuentas Contables]]</f>
        <v>Cheques Emitidos</v>
      </c>
      <c r="AB244" s="10">
        <f>IFERROR(SUMPRODUCT((Tabla283136374049[[#This Row],[Cuentas Contables]]=Finanzas[Cuenta Contable])*(Económico!$F$5=Finanzas[Campaña])*(Finanzas[Económico $Corrientes])*("Si"=Finanzas[Econ.])),0)</f>
        <v>0</v>
      </c>
      <c r="AC244" s="10"/>
      <c r="AD244" s="10"/>
      <c r="AE244" s="10"/>
      <c r="AF244" s="10"/>
      <c r="AG244" s="10"/>
      <c r="AH244" s="10"/>
      <c r="AM244" s="124"/>
      <c r="AV244" s="245">
        <f>IFERROR(MATCH(Tabla28313637404958[[#This Row],[Cuentas Contables]],Cuentas_FIDI[Cuenta Contable],0),0)</f>
        <v>7</v>
      </c>
      <c r="AW244" s="32" t="str">
        <f>Tabla2831363740[[#This Row],[Cuentas Contables]]</f>
        <v>Cheques Emitidos</v>
      </c>
      <c r="AX244" s="10">
        <f>IFERROR(SUMPRODUCT((Tabla28313637404958[[#This Row],[Cuentas Contables]]=Finanzas[Cuenta Contable])*(Económico!$F$5=Finanzas[Campaña])*(Finanzas[Económico $Constantes])*("Si"=Finanzas[Econ.])),0)</f>
        <v>0</v>
      </c>
      <c r="AY244" s="10"/>
      <c r="AZ244" s="10"/>
      <c r="BA244" s="10"/>
      <c r="BB244" s="10"/>
      <c r="BC244" s="10"/>
      <c r="BD244" s="10"/>
      <c r="BI244" s="124"/>
    </row>
    <row r="245" spans="1:16384" x14ac:dyDescent="0.25">
      <c r="B245" s="192"/>
      <c r="D245" s="245">
        <f>IFERROR(MATCH(Tabla2831363740[[#This Row],[Cuentas Contables]],Cuentas_FIDI[Cuenta Contable],0),0)</f>
        <v>4</v>
      </c>
      <c r="E245" s="32" t="str">
        <f>Configuración!CJ8</f>
        <v>Ingreso Créditos</v>
      </c>
      <c r="F245" s="10">
        <f>IFERROR(SUMPRODUCT((Tabla2831363740[[#This Row],[Cuentas Contables]]=Finanzas[Cuenta Contable])*(Económico!$F$5=Finanzas[Campaña])*(Finanzas[Económico U$S Dólares])*("Si"=Finanzas[Econ.])),0)</f>
        <v>0</v>
      </c>
      <c r="G245" s="10"/>
      <c r="H245" s="10"/>
      <c r="I245" s="10"/>
      <c r="J245" s="10"/>
      <c r="K245" s="10"/>
      <c r="L245" s="10"/>
      <c r="Q245" s="124"/>
      <c r="Z245" s="245">
        <f>IFERROR(MATCH(Tabla283136374049[[#This Row],[Cuentas Contables]],Cuentas_FIDI[Cuenta Contable],0),0)</f>
        <v>4</v>
      </c>
      <c r="AA245" s="32" t="str">
        <f>Tabla2831363740[[#This Row],[Cuentas Contables]]</f>
        <v>Ingreso Créditos</v>
      </c>
      <c r="AB245" s="10">
        <f>IFERROR(SUMPRODUCT((Tabla283136374049[[#This Row],[Cuentas Contables]]=Finanzas[Cuenta Contable])*(Económico!$F$5=Finanzas[Campaña])*(Finanzas[Económico $Corrientes])*("Si"=Finanzas[Econ.])),0)</f>
        <v>0</v>
      </c>
      <c r="AC245" s="10"/>
      <c r="AD245" s="10"/>
      <c r="AE245" s="10"/>
      <c r="AF245" s="10"/>
      <c r="AG245" s="10"/>
      <c r="AH245" s="10"/>
      <c r="AM245" s="124"/>
      <c r="AV245" s="245">
        <f>IFERROR(MATCH(Tabla28313637404958[[#This Row],[Cuentas Contables]],Cuentas_FIDI[Cuenta Contable],0),0)</f>
        <v>4</v>
      </c>
      <c r="AW245" s="32" t="str">
        <f>Tabla2831363740[[#This Row],[Cuentas Contables]]</f>
        <v>Ingreso Créditos</v>
      </c>
      <c r="AX245" s="10">
        <f>IFERROR(SUMPRODUCT((Tabla28313637404958[[#This Row],[Cuentas Contables]]=Finanzas[Cuenta Contable])*(Económico!$F$5=Finanzas[Campaña])*(Finanzas[Económico $Constantes])*("Si"=Finanzas[Econ.])),0)</f>
        <v>0</v>
      </c>
      <c r="AY245" s="10"/>
      <c r="AZ245" s="10"/>
      <c r="BA245" s="10"/>
      <c r="BB245" s="10"/>
      <c r="BC245" s="10"/>
      <c r="BD245" s="10"/>
      <c r="BI245" s="124"/>
    </row>
    <row r="246" spans="1:16384" x14ac:dyDescent="0.25">
      <c r="B246" s="192"/>
      <c r="D246" s="245">
        <f>IFERROR(MATCH(Tabla2831363740[[#This Row],[Cuentas Contables]],Cuentas_FIDI[Cuenta Contable],0),0)</f>
        <v>9</v>
      </c>
      <c r="E246" s="32" t="str">
        <f>Configuración!CJ13</f>
        <v>Intereses Pagados - Créditos</v>
      </c>
      <c r="F246" s="10">
        <f>IFERROR(SUMPRODUCT((Tabla2831363740[[#This Row],[Cuentas Contables]]=Finanzas[Cuenta Contable])*(Económico!$F$5=Finanzas[Campaña])*(Finanzas[Económico U$S Dólares])*("Si"=Finanzas[Econ.])),0)</f>
        <v>0</v>
      </c>
      <c r="G246" s="10"/>
      <c r="H246" s="10"/>
      <c r="I246" s="10"/>
      <c r="J246" s="10"/>
      <c r="K246" s="10"/>
      <c r="L246" s="10"/>
      <c r="Q246" s="124"/>
      <c r="Z246" s="245">
        <f>IFERROR(MATCH(Tabla283136374049[[#This Row],[Cuentas Contables]],Cuentas_FIDI[Cuenta Contable],0),0)</f>
        <v>9</v>
      </c>
      <c r="AA246" s="32" t="str">
        <f>Tabla2831363740[[#This Row],[Cuentas Contables]]</f>
        <v>Intereses Pagados - Créditos</v>
      </c>
      <c r="AB246" s="10">
        <f>IFERROR(SUMPRODUCT((Tabla283136374049[[#This Row],[Cuentas Contables]]=Finanzas[Cuenta Contable])*(Económico!$F$5=Finanzas[Campaña])*(Finanzas[Económico $Corrientes])*("Si"=Finanzas[Econ.])),0)</f>
        <v>0</v>
      </c>
      <c r="AC246" s="10"/>
      <c r="AD246" s="10"/>
      <c r="AE246" s="10"/>
      <c r="AF246" s="10"/>
      <c r="AG246" s="10"/>
      <c r="AH246" s="10"/>
      <c r="AM246" s="124"/>
      <c r="AV246" s="245">
        <f>IFERROR(MATCH(Tabla28313637404958[[#This Row],[Cuentas Contables]],Cuentas_FIDI[Cuenta Contable],0),0)</f>
        <v>9</v>
      </c>
      <c r="AW246" s="32" t="str">
        <f>Tabla2831363740[[#This Row],[Cuentas Contables]]</f>
        <v>Intereses Pagados - Créditos</v>
      </c>
      <c r="AX246" s="10">
        <f>IFERROR(SUMPRODUCT((Tabla28313637404958[[#This Row],[Cuentas Contables]]=Finanzas[Cuenta Contable])*(Económico!$F$5=Finanzas[Campaña])*(Finanzas[Económico $Constantes])*("Si"=Finanzas[Econ.])),0)</f>
        <v>0</v>
      </c>
      <c r="AY246" s="10"/>
      <c r="AZ246" s="10"/>
      <c r="BA246" s="10"/>
      <c r="BB246" s="10"/>
      <c r="BC246" s="10"/>
      <c r="BD246" s="10"/>
      <c r="BI246" s="124"/>
    </row>
    <row r="247" spans="1:16384" x14ac:dyDescent="0.25">
      <c r="B247" s="192"/>
      <c r="D247" s="245">
        <f>IFERROR(MATCH(Tabla2831363740[[#This Row],[Cuentas Contables]],Cuentas_FIDI[Cuenta Contable],0),0)</f>
        <v>5</v>
      </c>
      <c r="E247" s="32" t="str">
        <f>Configuración!CJ9</f>
        <v>Ingreso Colocaciones Financieras</v>
      </c>
      <c r="F247" s="10">
        <f>IFERROR(SUMPRODUCT((Tabla2831363740[[#This Row],[Cuentas Contables]]=Finanzas[Cuenta Contable])*(Económico!$F$5=Finanzas[Campaña])*(Finanzas[Económico U$S Dólares])*("Si"=Finanzas[Econ.])),0)</f>
        <v>0</v>
      </c>
      <c r="G247" s="10"/>
      <c r="H247" s="10"/>
      <c r="I247" s="10"/>
      <c r="J247" s="10"/>
      <c r="K247" s="10"/>
      <c r="L247" s="10"/>
      <c r="Q247" s="124"/>
      <c r="Z247" s="245">
        <f>IFERROR(MATCH(Tabla283136374049[[#This Row],[Cuentas Contables]],Cuentas_FIDI[Cuenta Contable],0),0)</f>
        <v>5</v>
      </c>
      <c r="AA247" s="32" t="str">
        <f>Tabla2831363740[[#This Row],[Cuentas Contables]]</f>
        <v>Ingreso Colocaciones Financieras</v>
      </c>
      <c r="AB247" s="10">
        <f>IFERROR(SUMPRODUCT((Tabla283136374049[[#This Row],[Cuentas Contables]]=Finanzas[Cuenta Contable])*(Económico!$F$5=Finanzas[Campaña])*(Finanzas[Económico $Corrientes])*("Si"=Finanzas[Econ.])),0)</f>
        <v>0</v>
      </c>
      <c r="AC247" s="10"/>
      <c r="AD247" s="10"/>
      <c r="AE247" s="10"/>
      <c r="AF247" s="10"/>
      <c r="AG247" s="10"/>
      <c r="AH247" s="10"/>
      <c r="AM247" s="124"/>
      <c r="AV247" s="245">
        <f>IFERROR(MATCH(Tabla28313637404958[[#This Row],[Cuentas Contables]],Cuentas_FIDI[Cuenta Contable],0),0)</f>
        <v>5</v>
      </c>
      <c r="AW247" s="32" t="str">
        <f>Tabla2831363740[[#This Row],[Cuentas Contables]]</f>
        <v>Ingreso Colocaciones Financieras</v>
      </c>
      <c r="AX247" s="10">
        <f>IFERROR(SUMPRODUCT((Tabla28313637404958[[#This Row],[Cuentas Contables]]=Finanzas[Cuenta Contable])*(Económico!$F$5=Finanzas[Campaña])*(Finanzas[Económico $Constantes])*("Si"=Finanzas[Econ.])),0)</f>
        <v>0</v>
      </c>
      <c r="AY247" s="10"/>
      <c r="AZ247" s="10"/>
      <c r="BA247" s="10"/>
      <c r="BB247" s="10"/>
      <c r="BC247" s="10"/>
      <c r="BD247" s="10"/>
      <c r="BI247" s="124"/>
    </row>
    <row r="248" spans="1:16384" x14ac:dyDescent="0.25">
      <c r="B248" s="192"/>
      <c r="D248" s="245">
        <f>IFERROR(MATCH(Tabla2831363740[[#This Row],[Cuentas Contables]],Cuentas_FIDI[Cuenta Contable],0),0)</f>
        <v>10</v>
      </c>
      <c r="E248" s="32" t="str">
        <f>Configuración!CJ14</f>
        <v>Egreso Colocaciones Financieras</v>
      </c>
      <c r="F248" s="10">
        <f>IFERROR(SUMPRODUCT((Tabla2831363740[[#This Row],[Cuentas Contables]]=Finanzas[Cuenta Contable])*(Económico!$F$5=Finanzas[Campaña])*(Finanzas[Económico U$S Dólares])*("Si"=Finanzas[Econ.])),0)</f>
        <v>0</v>
      </c>
      <c r="G248" s="10"/>
      <c r="H248" s="10"/>
      <c r="I248" s="10"/>
      <c r="J248" s="10"/>
      <c r="K248" s="10"/>
      <c r="L248" s="10"/>
      <c r="Q248" s="124"/>
      <c r="Z248" s="245">
        <f>IFERROR(MATCH(Tabla283136374049[[#This Row],[Cuentas Contables]],Cuentas_FIDI[Cuenta Contable],0),0)</f>
        <v>10</v>
      </c>
      <c r="AA248" s="32" t="str">
        <f>Tabla2831363740[[#This Row],[Cuentas Contables]]</f>
        <v>Egreso Colocaciones Financieras</v>
      </c>
      <c r="AB248" s="10">
        <f>IFERROR(SUMPRODUCT((Tabla283136374049[[#This Row],[Cuentas Contables]]=Finanzas[Cuenta Contable])*(Económico!$F$5=Finanzas[Campaña])*(Finanzas[Económico $Corrientes])*("Si"=Finanzas[Econ.])),0)</f>
        <v>0</v>
      </c>
      <c r="AC248" s="10"/>
      <c r="AD248" s="10"/>
      <c r="AE248" s="10"/>
      <c r="AF248" s="10"/>
      <c r="AG248" s="10"/>
      <c r="AH248" s="10"/>
      <c r="AM248" s="124"/>
      <c r="AV248" s="245">
        <f>IFERROR(MATCH(Tabla28313637404958[[#This Row],[Cuentas Contables]],Cuentas_FIDI[Cuenta Contable],0),0)</f>
        <v>10</v>
      </c>
      <c r="AW248" s="32" t="str">
        <f>Tabla2831363740[[#This Row],[Cuentas Contables]]</f>
        <v>Egreso Colocaciones Financieras</v>
      </c>
      <c r="AX248" s="10">
        <f>IFERROR(SUMPRODUCT((Tabla28313637404958[[#This Row],[Cuentas Contables]]=Finanzas[Cuenta Contable])*(Económico!$F$5=Finanzas[Campaña])*(Finanzas[Económico $Constantes])*("Si"=Finanzas[Econ.])),0)</f>
        <v>0</v>
      </c>
      <c r="AY248" s="10"/>
      <c r="AZ248" s="10"/>
      <c r="BA248" s="10"/>
      <c r="BB248" s="10"/>
      <c r="BC248" s="10"/>
      <c r="BD248" s="10"/>
      <c r="BI248" s="124"/>
    </row>
    <row r="249" spans="1:16384" x14ac:dyDescent="0.25">
      <c r="B249" s="192"/>
      <c r="D249" s="245">
        <f>IFERROR(MATCH(Tabla2831363740[[#This Row],[Cuentas Contables]],Cuentas_FIDI[Cuenta Contable],0),0)</f>
        <v>6</v>
      </c>
      <c r="E249" s="32" t="str">
        <f>Configuración!CJ10</f>
        <v>Intereses Cobrados</v>
      </c>
      <c r="F249" s="10">
        <f>IFERROR(SUMPRODUCT((Tabla2831363740[[#This Row],[Cuentas Contables]]=Finanzas[Cuenta Contable])*(Económico!$F$5=Finanzas[Campaña])*(Finanzas[Económico U$S Dólares])*("Si"=Finanzas[Econ.])),0)</f>
        <v>0</v>
      </c>
      <c r="G249" s="10"/>
      <c r="H249" s="10"/>
      <c r="I249" s="10"/>
      <c r="J249" s="10"/>
      <c r="K249" s="10"/>
      <c r="L249" s="10"/>
      <c r="Q249" s="124"/>
      <c r="Z249" s="245">
        <f>IFERROR(MATCH(Tabla283136374049[[#This Row],[Cuentas Contables]],Cuentas_FIDI[Cuenta Contable],0),0)</f>
        <v>6</v>
      </c>
      <c r="AA249" s="32" t="str">
        <f>Tabla2831363740[[#This Row],[Cuentas Contables]]</f>
        <v>Intereses Cobrados</v>
      </c>
      <c r="AB249" s="10">
        <f>IFERROR(SUMPRODUCT((Tabla283136374049[[#This Row],[Cuentas Contables]]=Finanzas[Cuenta Contable])*(Económico!$F$5=Finanzas[Campaña])*(Finanzas[Económico $Corrientes])*("Si"=Finanzas[Econ.])),0)</f>
        <v>0</v>
      </c>
      <c r="AC249" s="10"/>
      <c r="AD249" s="10"/>
      <c r="AE249" s="10"/>
      <c r="AF249" s="10"/>
      <c r="AG249" s="10"/>
      <c r="AH249" s="10"/>
      <c r="AM249" s="124"/>
      <c r="AV249" s="245">
        <f>IFERROR(MATCH(Tabla28313637404958[[#This Row],[Cuentas Contables]],Cuentas_FIDI[Cuenta Contable],0),0)</f>
        <v>6</v>
      </c>
      <c r="AW249" s="32" t="str">
        <f>Tabla2831363740[[#This Row],[Cuentas Contables]]</f>
        <v>Intereses Cobrados</v>
      </c>
      <c r="AX249" s="10">
        <f>IFERROR(SUMPRODUCT((Tabla28313637404958[[#This Row],[Cuentas Contables]]=Finanzas[Cuenta Contable])*(Económico!$F$5=Finanzas[Campaña])*(Finanzas[Económico $Constantes])*("Si"=Finanzas[Econ.])),0)</f>
        <v>0</v>
      </c>
      <c r="AY249" s="10"/>
      <c r="AZ249" s="10"/>
      <c r="BA249" s="10"/>
      <c r="BB249" s="10"/>
      <c r="BC249" s="10"/>
      <c r="BD249" s="10"/>
      <c r="BI249" s="124"/>
    </row>
    <row r="250" spans="1:16384" x14ac:dyDescent="0.25">
      <c r="B250" s="192"/>
      <c r="D250" s="245">
        <f>IFERROR(MATCH(Tabla2831363740[[#This Row],[Cuentas Contables]],Cuentas_FIDI[Cuenta Contable],0),0)</f>
        <v>0</v>
      </c>
      <c r="E250" s="32">
        <f>Configuración!CJ27</f>
        <v>0</v>
      </c>
      <c r="F250" s="10">
        <f>IFERROR(SUMPRODUCT((Tabla2831363740[[#This Row],[Cuentas Contables]]=Finanzas[Cuenta Contable])*(Económico!$F$5=Finanzas[Campaña])*(Finanzas[Económico U$S Dólares])*("Si"=Finanzas[Econ.])),0)</f>
        <v>0</v>
      </c>
      <c r="G250" s="10"/>
      <c r="H250" s="10"/>
      <c r="I250" s="10"/>
      <c r="J250" s="10"/>
      <c r="K250" s="10"/>
      <c r="L250" s="10"/>
      <c r="Q250" s="124"/>
      <c r="Z250" s="245">
        <f>IFERROR(MATCH(Tabla283136374049[[#This Row],[Cuentas Contables]],Cuentas_FIDI[Cuenta Contable],0),0)</f>
        <v>0</v>
      </c>
      <c r="AA250" s="32">
        <f>Tabla2831363740[[#This Row],[Cuentas Contables]]</f>
        <v>0</v>
      </c>
      <c r="AB250" s="10">
        <f>IFERROR(SUMPRODUCT((Tabla283136374049[[#This Row],[Cuentas Contables]]=Finanzas[Cuenta Contable])*(Económico!$F$5=Finanzas[Campaña])*(Finanzas[Económico $Corrientes])*("Si"=Finanzas[Econ.])),0)</f>
        <v>0</v>
      </c>
      <c r="AC250" s="10"/>
      <c r="AD250" s="10"/>
      <c r="AE250" s="10"/>
      <c r="AF250" s="10"/>
      <c r="AG250" s="10"/>
      <c r="AH250" s="10"/>
      <c r="AM250" s="124"/>
      <c r="AV250" s="245">
        <f>IFERROR(MATCH(Tabla28313637404958[[#This Row],[Cuentas Contables]],Cuentas_FIDI[Cuenta Contable],0),0)</f>
        <v>0</v>
      </c>
      <c r="AW250" s="32">
        <f>Tabla2831363740[[#This Row],[Cuentas Contables]]</f>
        <v>0</v>
      </c>
      <c r="AX250" s="10">
        <f>IFERROR(SUMPRODUCT((Tabla28313637404958[[#This Row],[Cuentas Contables]]=Finanzas[Cuenta Contable])*(Económico!$F$5=Finanzas[Campaña])*(Finanzas[Económico $Constantes])*("Si"=Finanzas[Econ.])),0)</f>
        <v>0</v>
      </c>
      <c r="AY250" s="10"/>
      <c r="AZ250" s="10"/>
      <c r="BA250" s="10"/>
      <c r="BB250" s="10"/>
      <c r="BC250" s="10"/>
      <c r="BD250" s="10"/>
      <c r="BI250" s="124"/>
    </row>
    <row r="251" spans="1:16384" x14ac:dyDescent="0.25">
      <c r="B251" s="192"/>
      <c r="D251" s="245">
        <f>IFERROR(MATCH(Tabla2831363740[[#This Row],[Cuentas Contables]],Cuentas_FIDI[Cuenta Contable],0),0)</f>
        <v>0</v>
      </c>
      <c r="E251" s="32">
        <f>Configuración!CJ28</f>
        <v>0</v>
      </c>
      <c r="F251" s="10">
        <f>IFERROR(SUMPRODUCT((Tabla2831363740[[#This Row],[Cuentas Contables]]=Finanzas[Cuenta Contable])*(Económico!$F$5=Finanzas[Campaña])*(Finanzas[Económico U$S Dólares])*("Si"=Finanzas[Econ.])),0)</f>
        <v>0</v>
      </c>
      <c r="G251" s="10"/>
      <c r="H251" s="10"/>
      <c r="I251" s="10"/>
      <c r="J251" s="10"/>
      <c r="K251" s="10"/>
      <c r="L251" s="10"/>
      <c r="Q251" s="124"/>
      <c r="Z251" s="245">
        <f>IFERROR(MATCH(Tabla283136374049[[#This Row],[Cuentas Contables]],Cuentas_FIDI[Cuenta Contable],0),0)</f>
        <v>0</v>
      </c>
      <c r="AA251" s="32">
        <f>Tabla2831363740[[#This Row],[Cuentas Contables]]</f>
        <v>0</v>
      </c>
      <c r="AB251" s="10">
        <f>IFERROR(SUMPRODUCT((Tabla283136374049[[#This Row],[Cuentas Contables]]=Finanzas[Cuenta Contable])*(Económico!$F$5=Finanzas[Campaña])*(Finanzas[Económico $Corrientes])*("Si"=Finanzas[Econ.])),0)</f>
        <v>0</v>
      </c>
      <c r="AC251" s="10"/>
      <c r="AD251" s="10"/>
      <c r="AE251" s="10"/>
      <c r="AF251" s="10"/>
      <c r="AG251" s="10"/>
      <c r="AH251" s="10"/>
      <c r="AM251" s="124"/>
      <c r="AV251" s="245">
        <f>IFERROR(MATCH(Tabla28313637404958[[#This Row],[Cuentas Contables]],Cuentas_FIDI[Cuenta Contable],0),0)</f>
        <v>0</v>
      </c>
      <c r="AW251" s="32">
        <f>Tabla2831363740[[#This Row],[Cuentas Contables]]</f>
        <v>0</v>
      </c>
      <c r="AX251" s="10">
        <f>IFERROR(SUMPRODUCT((Tabla28313637404958[[#This Row],[Cuentas Contables]]=Finanzas[Cuenta Contable])*(Económico!$F$5=Finanzas[Campaña])*(Finanzas[Económico $Constantes])*("Si"=Finanzas[Econ.])),0)</f>
        <v>0</v>
      </c>
      <c r="AY251" s="10"/>
      <c r="AZ251" s="10"/>
      <c r="BA251" s="10"/>
      <c r="BB251" s="10"/>
      <c r="BC251" s="10"/>
      <c r="BD251" s="10"/>
      <c r="BI251" s="124"/>
    </row>
    <row r="252" spans="1:16384" x14ac:dyDescent="0.25">
      <c r="B252" s="241" t="s">
        <v>101</v>
      </c>
      <c r="D252" s="245">
        <f>IFERROR(MATCH(Tabla2831363740[[#This Row],[Cuentas Contables]],Cuentas_FIDI[Cuenta Contable],0),0)</f>
        <v>0</v>
      </c>
      <c r="E252" s="32">
        <f>Configuración!CJ29</f>
        <v>0</v>
      </c>
      <c r="F252" s="10">
        <f>IFERROR(SUMPRODUCT((Tabla2831363740[[#This Row],[Cuentas Contables]]=Finanzas[Cuenta Contable])*(Económico!$F$5=Finanzas[Campaña])*(Finanzas[Económico U$S Dólares])*("Si"=Finanzas[Econ.])),0)</f>
        <v>0</v>
      </c>
      <c r="G252" s="10"/>
      <c r="H252" s="10"/>
      <c r="I252" s="10"/>
      <c r="J252" s="10"/>
      <c r="K252" s="10"/>
      <c r="L252" s="10"/>
      <c r="Q252" s="124"/>
      <c r="X252" s="241" t="s">
        <v>101</v>
      </c>
      <c r="Z252" s="245">
        <f>IFERROR(MATCH(Tabla283136374049[[#This Row],[Cuentas Contables]],Cuentas_FIDI[Cuenta Contable],0),0)</f>
        <v>0</v>
      </c>
      <c r="AA252" s="32">
        <f>Tabla2831363740[[#This Row],[Cuentas Contables]]</f>
        <v>0</v>
      </c>
      <c r="AB252" s="10">
        <f>IFERROR(SUMPRODUCT((Tabla283136374049[[#This Row],[Cuentas Contables]]=Finanzas[Cuenta Contable])*(Económico!$F$5=Finanzas[Campaña])*(Finanzas[Económico $Corrientes])*("Si"=Finanzas[Econ.])),0)</f>
        <v>0</v>
      </c>
      <c r="AC252" s="10"/>
      <c r="AD252" s="10"/>
      <c r="AE252" s="10"/>
      <c r="AF252" s="10"/>
      <c r="AG252" s="10"/>
      <c r="AH252" s="10"/>
      <c r="AM252" s="124"/>
      <c r="AT252" s="241" t="s">
        <v>101</v>
      </c>
      <c r="AV252" s="245">
        <f>IFERROR(MATCH(Tabla28313637404958[[#This Row],[Cuentas Contables]],Cuentas_FIDI[Cuenta Contable],0),0)</f>
        <v>0</v>
      </c>
      <c r="AW252" s="32">
        <f>Tabla2831363740[[#This Row],[Cuentas Contables]]</f>
        <v>0</v>
      </c>
      <c r="AX252" s="10">
        <f>IFERROR(SUMPRODUCT((Tabla28313637404958[[#This Row],[Cuentas Contables]]=Finanzas[Cuenta Contable])*(Económico!$F$5=Finanzas[Campaña])*(Finanzas[Económico $Constantes])*("Si"=Finanzas[Econ.])),0)</f>
        <v>0</v>
      </c>
      <c r="AY252" s="10"/>
      <c r="AZ252" s="10"/>
      <c r="BA252" s="10"/>
      <c r="BB252" s="10"/>
      <c r="BC252" s="10"/>
      <c r="BD252" s="10"/>
      <c r="BI252" s="124"/>
    </row>
    <row r="253" spans="1:16384" x14ac:dyDescent="0.25">
      <c r="B253" s="192"/>
      <c r="E253" s="92" t="s">
        <v>249</v>
      </c>
      <c r="F253" s="250">
        <f>SUBTOTAL(109,Tabla2831363740[Finanzas])</f>
        <v>0</v>
      </c>
      <c r="G253" s="250"/>
      <c r="H253" s="250"/>
      <c r="I253" s="250"/>
      <c r="J253" s="250"/>
      <c r="K253" s="250"/>
      <c r="L253" s="250"/>
      <c r="Q253" s="124"/>
      <c r="AA253" s="412" t="s">
        <v>249</v>
      </c>
      <c r="AB253" s="250">
        <f>SUBTOTAL(109,Tabla283136374049[Finanzas])</f>
        <v>0</v>
      </c>
      <c r="AC253" s="250"/>
      <c r="AD253" s="250"/>
      <c r="AE253" s="250"/>
      <c r="AF253" s="250"/>
      <c r="AG253" s="250"/>
      <c r="AH253" s="250"/>
      <c r="AM253" s="124"/>
      <c r="AW253" s="412" t="s">
        <v>249</v>
      </c>
      <c r="AX253" s="250">
        <f>SUBTOTAL(109,Tabla28313637404958[Finanzas])</f>
        <v>0</v>
      </c>
      <c r="AY253" s="250"/>
      <c r="AZ253" s="250"/>
      <c r="BA253" s="250"/>
      <c r="BB253" s="250"/>
      <c r="BC253" s="250"/>
      <c r="BD253" s="250"/>
      <c r="BI253" s="124"/>
    </row>
    <row r="254" spans="1:16384" x14ac:dyDescent="0.25">
      <c r="A254" s="243"/>
      <c r="B254" s="242"/>
      <c r="C254" s="243"/>
      <c r="D254" s="243"/>
      <c r="E254" s="243"/>
      <c r="F254" s="244"/>
      <c r="G254" s="244"/>
      <c r="H254" s="244"/>
      <c r="I254" s="244"/>
      <c r="J254" s="244"/>
      <c r="K254" s="244"/>
      <c r="L254" s="244"/>
      <c r="M254" s="244"/>
      <c r="N254" s="244"/>
      <c r="O254" s="244"/>
      <c r="P254" s="244"/>
      <c r="Q254" s="243"/>
      <c r="R254" s="243"/>
      <c r="S254" s="243"/>
      <c r="T254" s="243"/>
      <c r="U254" s="243"/>
      <c r="V254" s="447"/>
      <c r="W254" s="243"/>
      <c r="X254" s="242"/>
      <c r="Y254" s="243"/>
      <c r="Z254" s="243"/>
      <c r="AA254" s="460"/>
      <c r="AB254" s="244"/>
      <c r="AC254" s="244"/>
      <c r="AD254" s="244"/>
      <c r="AE254" s="244"/>
      <c r="AF254" s="244"/>
      <c r="AG254" s="244"/>
      <c r="AH254" s="244"/>
      <c r="AI254" s="244"/>
      <c r="AJ254" s="244"/>
      <c r="AK254" s="244"/>
      <c r="AL254" s="244"/>
      <c r="AM254" s="243"/>
      <c r="AN254" s="243"/>
      <c r="AO254" s="243"/>
      <c r="AP254" s="243"/>
      <c r="AQ254" s="243"/>
      <c r="AR254" s="447"/>
      <c r="AS254" s="243"/>
      <c r="AT254" s="242"/>
      <c r="AU254" s="243"/>
      <c r="AV254" s="243"/>
      <c r="AW254" s="460"/>
      <c r="AX254" s="244"/>
      <c r="AY254" s="244"/>
      <c r="AZ254" s="244"/>
      <c r="BA254" s="244"/>
      <c r="BB254" s="244"/>
      <c r="BC254" s="244"/>
      <c r="BD254" s="244"/>
      <c r="BE254" s="244"/>
      <c r="BF254" s="244"/>
      <c r="BG254" s="244"/>
      <c r="BH254" s="244"/>
      <c r="BI254" s="243"/>
      <c r="BJ254" s="243"/>
      <c r="BK254" s="243"/>
      <c r="BL254" s="243"/>
      <c r="BM254" s="243"/>
      <c r="BN254" s="243"/>
      <c r="BO254" s="243"/>
      <c r="BP254" s="243"/>
      <c r="BQ254" s="243"/>
      <c r="BR254" s="243"/>
      <c r="BS254" s="243"/>
      <c r="BT254" s="243"/>
      <c r="BU254" s="243"/>
      <c r="BV254" s="243"/>
      <c r="BW254" s="243"/>
      <c r="BX254" s="243"/>
      <c r="BY254" s="243"/>
      <c r="BZ254" s="243"/>
      <c r="CA254" s="243"/>
      <c r="CB254" s="243"/>
      <c r="CC254" s="243"/>
      <c r="CD254" s="243"/>
      <c r="CE254" s="243"/>
      <c r="CF254" s="243"/>
      <c r="CG254" s="243"/>
      <c r="CH254" s="243"/>
      <c r="CI254" s="243"/>
      <c r="CJ254" s="243"/>
      <c r="CK254" s="243"/>
      <c r="CL254" s="243"/>
      <c r="CM254" s="243"/>
      <c r="CN254" s="243"/>
      <c r="CO254" s="243"/>
      <c r="CP254" s="243"/>
      <c r="CQ254" s="243"/>
      <c r="CR254" s="243"/>
      <c r="CS254" s="243"/>
      <c r="CT254" s="243"/>
      <c r="CU254" s="243"/>
      <c r="CV254" s="243"/>
      <c r="CW254" s="243"/>
      <c r="CX254" s="243"/>
      <c r="CY254" s="243"/>
      <c r="CZ254" s="243"/>
      <c r="DA254" s="243"/>
      <c r="DB254" s="243"/>
      <c r="DC254" s="243"/>
      <c r="DD254" s="243"/>
      <c r="DE254" s="243"/>
      <c r="DF254" s="243"/>
      <c r="DG254" s="243"/>
      <c r="DH254" s="243"/>
      <c r="DI254" s="243"/>
      <c r="DJ254" s="243"/>
      <c r="DK254" s="243"/>
      <c r="DL254" s="243"/>
      <c r="DM254" s="243"/>
      <c r="DN254" s="243"/>
      <c r="DO254" s="243"/>
      <c r="DP254" s="243"/>
      <c r="DQ254" s="243"/>
      <c r="DR254" s="243"/>
      <c r="DS254" s="243"/>
      <c r="DT254" s="243"/>
      <c r="DU254" s="243"/>
      <c r="DV254" s="243"/>
      <c r="DW254" s="243"/>
      <c r="DX254" s="243"/>
      <c r="DY254" s="243"/>
      <c r="DZ254" s="243"/>
      <c r="EA254" s="243"/>
      <c r="EB254" s="243"/>
      <c r="EC254" s="243"/>
      <c r="ED254" s="243"/>
      <c r="EE254" s="243"/>
      <c r="EF254" s="243"/>
      <c r="EG254" s="243"/>
      <c r="EH254" s="243"/>
      <c r="EI254" s="243"/>
      <c r="EJ254" s="243"/>
      <c r="EK254" s="243"/>
      <c r="EL254" s="243"/>
      <c r="EM254" s="243"/>
      <c r="EN254" s="243"/>
      <c r="EO254" s="243"/>
      <c r="EP254" s="243"/>
      <c r="EQ254" s="243"/>
      <c r="ER254" s="243"/>
      <c r="ES254" s="243"/>
      <c r="ET254" s="243"/>
      <c r="EU254" s="243"/>
      <c r="EV254" s="243"/>
      <c r="EW254" s="243"/>
      <c r="EX254" s="243"/>
      <c r="EY254" s="243"/>
      <c r="EZ254" s="243"/>
      <c r="FA254" s="243"/>
      <c r="FB254" s="243"/>
      <c r="FC254" s="243"/>
      <c r="FD254" s="243"/>
      <c r="FE254" s="243"/>
      <c r="FF254" s="243"/>
      <c r="FG254" s="243"/>
      <c r="FH254" s="243"/>
      <c r="FI254" s="243"/>
      <c r="FJ254" s="243"/>
      <c r="FK254" s="243"/>
      <c r="FL254" s="243"/>
      <c r="FM254" s="243"/>
      <c r="FN254" s="243"/>
      <c r="FO254" s="243"/>
      <c r="FP254" s="243"/>
      <c r="FQ254" s="243"/>
      <c r="FR254" s="243"/>
      <c r="FS254" s="243"/>
      <c r="FT254" s="243"/>
      <c r="FU254" s="243"/>
      <c r="FV254" s="243"/>
      <c r="FW254" s="243"/>
      <c r="FX254" s="243"/>
      <c r="FY254" s="243"/>
      <c r="FZ254" s="243"/>
      <c r="GA254" s="243"/>
      <c r="GB254" s="243"/>
      <c r="GC254" s="243"/>
      <c r="GD254" s="243"/>
      <c r="GE254" s="243"/>
      <c r="GF254" s="243"/>
      <c r="GG254" s="243"/>
      <c r="GH254" s="243"/>
      <c r="GI254" s="243"/>
      <c r="GJ254" s="243"/>
      <c r="GK254" s="243"/>
      <c r="GL254" s="243"/>
      <c r="GM254" s="243"/>
      <c r="GN254" s="243"/>
      <c r="GO254" s="243"/>
      <c r="GP254" s="243"/>
      <c r="GQ254" s="243"/>
      <c r="GR254" s="243"/>
      <c r="GS254" s="243"/>
      <c r="GT254" s="243"/>
      <c r="GU254" s="243"/>
      <c r="GV254" s="243"/>
      <c r="GW254" s="243"/>
      <c r="GX254" s="243"/>
      <c r="GY254" s="243"/>
      <c r="GZ254" s="243"/>
      <c r="HA254" s="243"/>
      <c r="HB254" s="243"/>
      <c r="HC254" s="243"/>
      <c r="HD254" s="243"/>
      <c r="HE254" s="243"/>
      <c r="HF254" s="243"/>
      <c r="HG254" s="243"/>
      <c r="HH254" s="243"/>
      <c r="HI254" s="243"/>
      <c r="HJ254" s="243"/>
      <c r="HK254" s="243"/>
      <c r="HL254" s="243"/>
      <c r="HM254" s="243"/>
      <c r="HN254" s="243"/>
      <c r="HO254" s="243"/>
      <c r="HP254" s="243"/>
      <c r="HQ254" s="243"/>
      <c r="HR254" s="243"/>
      <c r="HS254" s="243"/>
      <c r="HT254" s="243"/>
      <c r="HU254" s="243"/>
      <c r="HV254" s="243"/>
      <c r="HW254" s="243"/>
      <c r="HX254" s="243"/>
      <c r="HY254" s="243"/>
      <c r="HZ254" s="243"/>
      <c r="IA254" s="243"/>
      <c r="IB254" s="243"/>
      <c r="IC254" s="243"/>
      <c r="ID254" s="243"/>
      <c r="IE254" s="243"/>
      <c r="IF254" s="243"/>
      <c r="IG254" s="243"/>
      <c r="IH254" s="243"/>
      <c r="II254" s="243"/>
      <c r="IJ254" s="243"/>
      <c r="IK254" s="243"/>
      <c r="IL254" s="243"/>
      <c r="IM254" s="243"/>
      <c r="IN254" s="243"/>
      <c r="IO254" s="243"/>
      <c r="IP254" s="243"/>
      <c r="IQ254" s="243"/>
      <c r="IR254" s="243"/>
      <c r="IS254" s="243"/>
      <c r="IT254" s="243"/>
      <c r="IU254" s="243"/>
      <c r="IV254" s="243"/>
      <c r="IW254" s="243"/>
      <c r="IX254" s="243"/>
      <c r="IY254" s="243"/>
      <c r="IZ254" s="243"/>
      <c r="JA254" s="243"/>
      <c r="JB254" s="243"/>
      <c r="JC254" s="243"/>
      <c r="JD254" s="243"/>
      <c r="JE254" s="243"/>
      <c r="JF254" s="243"/>
      <c r="JG254" s="243"/>
      <c r="JH254" s="243"/>
      <c r="JI254" s="243"/>
      <c r="JJ254" s="243"/>
      <c r="JK254" s="243"/>
      <c r="JL254" s="243"/>
      <c r="JM254" s="243"/>
      <c r="JN254" s="243"/>
      <c r="JO254" s="243"/>
      <c r="JP254" s="243"/>
      <c r="JQ254" s="243"/>
      <c r="JR254" s="243"/>
      <c r="JS254" s="243"/>
      <c r="JT254" s="243"/>
      <c r="JU254" s="243"/>
      <c r="JV254" s="243"/>
      <c r="JW254" s="243"/>
      <c r="JX254" s="243"/>
      <c r="JY254" s="243"/>
      <c r="JZ254" s="243"/>
      <c r="KA254" s="243"/>
      <c r="KB254" s="243"/>
      <c r="KC254" s="243"/>
      <c r="KD254" s="243"/>
      <c r="KE254" s="243"/>
      <c r="KF254" s="243"/>
      <c r="KG254" s="243"/>
      <c r="KH254" s="243"/>
      <c r="KI254" s="243"/>
      <c r="KJ254" s="243"/>
      <c r="KK254" s="243"/>
      <c r="KL254" s="243"/>
      <c r="KM254" s="243"/>
      <c r="KN254" s="243"/>
      <c r="KO254" s="243"/>
      <c r="KP254" s="243"/>
      <c r="KQ254" s="243"/>
      <c r="KR254" s="243"/>
      <c r="KS254" s="243"/>
      <c r="KT254" s="243"/>
      <c r="KU254" s="243"/>
      <c r="KV254" s="243"/>
      <c r="KW254" s="243"/>
      <c r="KX254" s="243"/>
      <c r="KY254" s="243"/>
      <c r="KZ254" s="243"/>
      <c r="LA254" s="243"/>
      <c r="LB254" s="243"/>
      <c r="LC254" s="243"/>
      <c r="LD254" s="243"/>
      <c r="LE254" s="243"/>
      <c r="LF254" s="243"/>
      <c r="LG254" s="243"/>
      <c r="LH254" s="243"/>
      <c r="LI254" s="243"/>
      <c r="LJ254" s="243"/>
      <c r="LK254" s="243"/>
      <c r="LL254" s="243"/>
      <c r="LM254" s="243"/>
      <c r="LN254" s="243"/>
      <c r="LO254" s="243"/>
      <c r="LP254" s="243"/>
      <c r="LQ254" s="243"/>
      <c r="LR254" s="243"/>
      <c r="LS254" s="243"/>
      <c r="LT254" s="243"/>
      <c r="LU254" s="243"/>
      <c r="LV254" s="243"/>
      <c r="LW254" s="243"/>
      <c r="LX254" s="243"/>
      <c r="LY254" s="243"/>
      <c r="LZ254" s="243"/>
      <c r="MA254" s="243"/>
      <c r="MB254" s="243"/>
      <c r="MC254" s="243"/>
      <c r="MD254" s="243"/>
      <c r="ME254" s="243"/>
      <c r="MF254" s="243"/>
      <c r="MG254" s="243"/>
      <c r="MH254" s="243"/>
      <c r="MI254" s="243"/>
      <c r="MJ254" s="243"/>
      <c r="MK254" s="243"/>
      <c r="ML254" s="243"/>
      <c r="MM254" s="243"/>
      <c r="MN254" s="243"/>
      <c r="MO254" s="243"/>
      <c r="MP254" s="243"/>
      <c r="MQ254" s="243"/>
      <c r="MR254" s="243"/>
      <c r="MS254" s="243"/>
      <c r="MT254" s="243"/>
      <c r="MU254" s="243"/>
      <c r="MV254" s="243"/>
      <c r="MW254" s="243"/>
      <c r="MX254" s="243"/>
      <c r="MY254" s="243"/>
      <c r="MZ254" s="243"/>
      <c r="NA254" s="243"/>
      <c r="NB254" s="243"/>
      <c r="NC254" s="243"/>
      <c r="ND254" s="243"/>
      <c r="NE254" s="243"/>
      <c r="NF254" s="243"/>
      <c r="NG254" s="243"/>
      <c r="NH254" s="243"/>
      <c r="NI254" s="243"/>
      <c r="NJ254" s="243"/>
      <c r="NK254" s="243"/>
      <c r="NL254" s="243"/>
      <c r="NM254" s="243"/>
      <c r="NN254" s="243"/>
      <c r="NO254" s="243"/>
      <c r="NP254" s="243"/>
      <c r="NQ254" s="243"/>
      <c r="NR254" s="243"/>
      <c r="NS254" s="243"/>
      <c r="NT254" s="243"/>
      <c r="NU254" s="243"/>
      <c r="NV254" s="243"/>
      <c r="NW254" s="243"/>
      <c r="NX254" s="243"/>
      <c r="NY254" s="243"/>
      <c r="NZ254" s="243"/>
      <c r="OA254" s="243"/>
      <c r="OB254" s="243"/>
      <c r="OC254" s="243"/>
      <c r="OD254" s="243"/>
      <c r="OE254" s="243"/>
      <c r="OF254" s="243"/>
      <c r="OG254" s="243"/>
      <c r="OH254" s="243"/>
      <c r="OI254" s="243"/>
      <c r="OJ254" s="243"/>
      <c r="OK254" s="243"/>
      <c r="OL254" s="243"/>
      <c r="OM254" s="243"/>
      <c r="ON254" s="243"/>
      <c r="OO254" s="243"/>
      <c r="OP254" s="243"/>
      <c r="OQ254" s="243"/>
      <c r="OR254" s="243"/>
      <c r="OS254" s="243"/>
      <c r="OT254" s="243"/>
      <c r="OU254" s="243"/>
      <c r="OV254" s="243"/>
      <c r="OW254" s="243"/>
      <c r="OX254" s="243"/>
      <c r="OY254" s="243"/>
      <c r="OZ254" s="243"/>
      <c r="PA254" s="243"/>
      <c r="PB254" s="243"/>
      <c r="PC254" s="243"/>
      <c r="PD254" s="243"/>
      <c r="PE254" s="243"/>
      <c r="PF254" s="243"/>
      <c r="PG254" s="243"/>
      <c r="PH254" s="243"/>
      <c r="PI254" s="243"/>
      <c r="PJ254" s="243"/>
      <c r="PK254" s="243"/>
      <c r="PL254" s="243"/>
      <c r="PM254" s="243"/>
      <c r="PN254" s="243"/>
      <c r="PO254" s="243"/>
      <c r="PP254" s="243"/>
      <c r="PQ254" s="243"/>
      <c r="PR254" s="243"/>
      <c r="PS254" s="243"/>
      <c r="PT254" s="243"/>
      <c r="PU254" s="243"/>
      <c r="PV254" s="243"/>
      <c r="PW254" s="243"/>
      <c r="PX254" s="243"/>
      <c r="PY254" s="243"/>
      <c r="PZ254" s="243"/>
      <c r="QA254" s="243"/>
      <c r="QB254" s="243"/>
      <c r="QC254" s="243"/>
      <c r="QD254" s="243"/>
      <c r="QE254" s="243"/>
      <c r="QF254" s="243"/>
      <c r="QG254" s="243"/>
      <c r="QH254" s="243"/>
      <c r="QI254" s="243"/>
      <c r="QJ254" s="243"/>
      <c r="QK254" s="243"/>
      <c r="QL254" s="243"/>
      <c r="QM254" s="243"/>
      <c r="QN254" s="243"/>
      <c r="QO254" s="243"/>
      <c r="QP254" s="243"/>
      <c r="QQ254" s="243"/>
      <c r="QR254" s="243"/>
      <c r="QS254" s="243"/>
      <c r="QT254" s="243"/>
      <c r="QU254" s="243"/>
      <c r="QV254" s="243"/>
      <c r="QW254" s="243"/>
      <c r="QX254" s="243"/>
      <c r="QY254" s="243"/>
      <c r="QZ254" s="243"/>
      <c r="RA254" s="243"/>
      <c r="RB254" s="243"/>
      <c r="RC254" s="243"/>
      <c r="RD254" s="243"/>
      <c r="RE254" s="243"/>
      <c r="RF254" s="243"/>
      <c r="RG254" s="243"/>
      <c r="RH254" s="243"/>
      <c r="RI254" s="243"/>
      <c r="RJ254" s="243"/>
      <c r="RK254" s="243"/>
      <c r="RL254" s="243"/>
      <c r="RM254" s="243"/>
      <c r="RN254" s="243"/>
      <c r="RO254" s="243"/>
      <c r="RP254" s="243"/>
      <c r="RQ254" s="243"/>
      <c r="RR254" s="243"/>
      <c r="RS254" s="243"/>
      <c r="RT254" s="243"/>
      <c r="RU254" s="243"/>
      <c r="RV254" s="243"/>
      <c r="RW254" s="243"/>
      <c r="RX254" s="243"/>
      <c r="RY254" s="243"/>
      <c r="RZ254" s="243"/>
      <c r="SA254" s="243"/>
      <c r="SB254" s="243"/>
      <c r="SC254" s="243"/>
      <c r="SD254" s="243"/>
      <c r="SE254" s="243"/>
      <c r="SF254" s="243"/>
      <c r="SG254" s="243"/>
      <c r="SH254" s="243"/>
      <c r="SI254" s="243"/>
      <c r="SJ254" s="243"/>
      <c r="SK254" s="243"/>
      <c r="SL254" s="243"/>
      <c r="SM254" s="243"/>
      <c r="SN254" s="243"/>
      <c r="SO254" s="243"/>
      <c r="SP254" s="243"/>
      <c r="SQ254" s="243"/>
      <c r="SR254" s="243"/>
      <c r="SS254" s="243"/>
      <c r="ST254" s="243"/>
      <c r="SU254" s="243"/>
      <c r="SV254" s="243"/>
      <c r="SW254" s="243"/>
      <c r="SX254" s="243"/>
      <c r="SY254" s="243"/>
      <c r="SZ254" s="243"/>
      <c r="TA254" s="243"/>
      <c r="TB254" s="243"/>
      <c r="TC254" s="243"/>
      <c r="TD254" s="243"/>
      <c r="TE254" s="243"/>
      <c r="TF254" s="243"/>
      <c r="TG254" s="243"/>
      <c r="TH254" s="243"/>
      <c r="TI254" s="243"/>
      <c r="TJ254" s="243"/>
      <c r="TK254" s="243"/>
      <c r="TL254" s="243"/>
      <c r="TM254" s="243"/>
      <c r="TN254" s="243"/>
      <c r="TO254" s="243"/>
      <c r="TP254" s="243"/>
      <c r="TQ254" s="243"/>
      <c r="TR254" s="243"/>
      <c r="TS254" s="243"/>
      <c r="TT254" s="243"/>
      <c r="TU254" s="243"/>
      <c r="TV254" s="243"/>
      <c r="TW254" s="243"/>
      <c r="TX254" s="243"/>
      <c r="TY254" s="243"/>
      <c r="TZ254" s="243"/>
      <c r="UA254" s="243"/>
      <c r="UB254" s="243"/>
      <c r="UC254" s="243"/>
      <c r="UD254" s="243"/>
      <c r="UE254" s="243"/>
      <c r="UF254" s="243"/>
      <c r="UG254" s="243"/>
      <c r="UH254" s="243"/>
      <c r="UI254" s="243"/>
      <c r="UJ254" s="243"/>
      <c r="UK254" s="243"/>
      <c r="UL254" s="243"/>
      <c r="UM254" s="243"/>
      <c r="UN254" s="243"/>
      <c r="UO254" s="243"/>
      <c r="UP254" s="243"/>
      <c r="UQ254" s="243"/>
      <c r="UR254" s="243"/>
      <c r="US254" s="243"/>
      <c r="UT254" s="243"/>
      <c r="UU254" s="243"/>
      <c r="UV254" s="243"/>
      <c r="UW254" s="243"/>
      <c r="UX254" s="243"/>
      <c r="UY254" s="243"/>
      <c r="UZ254" s="243"/>
      <c r="VA254" s="243"/>
      <c r="VB254" s="243"/>
      <c r="VC254" s="243"/>
      <c r="VD254" s="243"/>
      <c r="VE254" s="243"/>
      <c r="VF254" s="243"/>
      <c r="VG254" s="243"/>
      <c r="VH254" s="243"/>
      <c r="VI254" s="243"/>
      <c r="VJ254" s="243"/>
      <c r="VK254" s="243"/>
      <c r="VL254" s="243"/>
      <c r="VM254" s="243"/>
      <c r="VN254" s="243"/>
      <c r="VO254" s="243"/>
      <c r="VP254" s="243"/>
      <c r="VQ254" s="243"/>
      <c r="VR254" s="243"/>
      <c r="VS254" s="243"/>
      <c r="VT254" s="243"/>
      <c r="VU254" s="243"/>
      <c r="VV254" s="243"/>
      <c r="VW254" s="243"/>
      <c r="VX254" s="243"/>
      <c r="VY254" s="243"/>
      <c r="VZ254" s="243"/>
      <c r="WA254" s="243"/>
      <c r="WB254" s="243"/>
      <c r="WC254" s="243"/>
      <c r="WD254" s="243"/>
      <c r="WE254" s="243"/>
      <c r="WF254" s="243"/>
      <c r="WG254" s="243"/>
      <c r="WH254" s="243"/>
      <c r="WI254" s="243"/>
      <c r="WJ254" s="243"/>
      <c r="WK254" s="243"/>
      <c r="WL254" s="243"/>
      <c r="WM254" s="243"/>
      <c r="WN254" s="243"/>
      <c r="WO254" s="243"/>
      <c r="WP254" s="243"/>
      <c r="WQ254" s="243"/>
      <c r="WR254" s="243"/>
      <c r="WS254" s="243"/>
      <c r="WT254" s="243"/>
      <c r="WU254" s="243"/>
      <c r="WV254" s="243"/>
      <c r="WW254" s="243"/>
      <c r="WX254" s="243"/>
      <c r="WY254" s="243"/>
      <c r="WZ254" s="243"/>
      <c r="XA254" s="243"/>
      <c r="XB254" s="243"/>
      <c r="XC254" s="243"/>
      <c r="XD254" s="243"/>
      <c r="XE254" s="243"/>
      <c r="XF254" s="243"/>
      <c r="XG254" s="243"/>
      <c r="XH254" s="243"/>
      <c r="XI254" s="243"/>
      <c r="XJ254" s="243"/>
      <c r="XK254" s="243"/>
      <c r="XL254" s="243"/>
      <c r="XM254" s="243"/>
      <c r="XN254" s="243"/>
      <c r="XO254" s="243"/>
      <c r="XP254" s="243"/>
      <c r="XQ254" s="243"/>
      <c r="XR254" s="243"/>
      <c r="XS254" s="243"/>
      <c r="XT254" s="243"/>
      <c r="XU254" s="243"/>
      <c r="XV254" s="243"/>
      <c r="XW254" s="243"/>
      <c r="XX254" s="243"/>
      <c r="XY254" s="243"/>
      <c r="XZ254" s="243"/>
      <c r="YA254" s="243"/>
      <c r="YB254" s="243"/>
      <c r="YC254" s="243"/>
      <c r="YD254" s="243"/>
      <c r="YE254" s="243"/>
      <c r="YF254" s="243"/>
      <c r="YG254" s="243"/>
      <c r="YH254" s="243"/>
      <c r="YI254" s="243"/>
      <c r="YJ254" s="243"/>
      <c r="YK254" s="243"/>
      <c r="YL254" s="243"/>
      <c r="YM254" s="243"/>
      <c r="YN254" s="243"/>
      <c r="YO254" s="243"/>
      <c r="YP254" s="243"/>
      <c r="YQ254" s="243"/>
      <c r="YR254" s="243"/>
      <c r="YS254" s="243"/>
      <c r="YT254" s="243"/>
      <c r="YU254" s="243"/>
      <c r="YV254" s="243"/>
      <c r="YW254" s="243"/>
      <c r="YX254" s="243"/>
      <c r="YY254" s="243"/>
      <c r="YZ254" s="243"/>
      <c r="ZA254" s="243"/>
      <c r="ZB254" s="243"/>
      <c r="ZC254" s="243"/>
      <c r="ZD254" s="243"/>
      <c r="ZE254" s="243"/>
      <c r="ZF254" s="243"/>
      <c r="ZG254" s="243"/>
      <c r="ZH254" s="243"/>
      <c r="ZI254" s="243"/>
      <c r="ZJ254" s="243"/>
      <c r="ZK254" s="243"/>
      <c r="ZL254" s="243"/>
      <c r="ZM254" s="243"/>
      <c r="ZN254" s="243"/>
      <c r="ZO254" s="243"/>
      <c r="ZP254" s="243"/>
      <c r="ZQ254" s="243"/>
      <c r="ZR254" s="243"/>
      <c r="ZS254" s="243"/>
      <c r="ZT254" s="243"/>
      <c r="ZU254" s="243"/>
      <c r="ZV254" s="243"/>
      <c r="ZW254" s="243"/>
      <c r="ZX254" s="243"/>
      <c r="ZY254" s="243"/>
      <c r="ZZ254" s="243"/>
      <c r="AAA254" s="243"/>
      <c r="AAB254" s="243"/>
      <c r="AAC254" s="243"/>
      <c r="AAD254" s="243"/>
      <c r="AAE254" s="243"/>
      <c r="AAF254" s="243"/>
      <c r="AAG254" s="243"/>
      <c r="AAH254" s="243"/>
      <c r="AAI254" s="243"/>
      <c r="AAJ254" s="243"/>
      <c r="AAK254" s="243"/>
      <c r="AAL254" s="243"/>
      <c r="AAM254" s="243"/>
      <c r="AAN254" s="243"/>
      <c r="AAO254" s="243"/>
      <c r="AAP254" s="243"/>
      <c r="AAQ254" s="243"/>
      <c r="AAR254" s="243"/>
      <c r="AAS254" s="243"/>
      <c r="AAT254" s="243"/>
      <c r="AAU254" s="243"/>
      <c r="AAV254" s="243"/>
      <c r="AAW254" s="243"/>
      <c r="AAX254" s="243"/>
      <c r="AAY254" s="243"/>
      <c r="AAZ254" s="243"/>
      <c r="ABA254" s="243"/>
      <c r="ABB254" s="243"/>
      <c r="ABC254" s="243"/>
      <c r="ABD254" s="243"/>
      <c r="ABE254" s="243"/>
      <c r="ABF254" s="243"/>
      <c r="ABG254" s="243"/>
      <c r="ABH254" s="243"/>
      <c r="ABI254" s="243"/>
      <c r="ABJ254" s="243"/>
      <c r="ABK254" s="243"/>
      <c r="ABL254" s="243"/>
      <c r="ABM254" s="243"/>
      <c r="ABN254" s="243"/>
      <c r="ABO254" s="243"/>
      <c r="ABP254" s="243"/>
      <c r="ABQ254" s="243"/>
      <c r="ABR254" s="243"/>
      <c r="ABS254" s="243"/>
      <c r="ABT254" s="243"/>
      <c r="ABU254" s="243"/>
      <c r="ABV254" s="243"/>
      <c r="ABW254" s="243"/>
      <c r="ABX254" s="243"/>
      <c r="ABY254" s="243"/>
      <c r="ABZ254" s="243"/>
      <c r="ACA254" s="243"/>
      <c r="ACB254" s="243"/>
      <c r="ACC254" s="243"/>
      <c r="ACD254" s="243"/>
      <c r="ACE254" s="243"/>
      <c r="ACF254" s="243"/>
      <c r="ACG254" s="243"/>
      <c r="ACH254" s="243"/>
      <c r="ACI254" s="243"/>
      <c r="ACJ254" s="243"/>
      <c r="ACK254" s="243"/>
      <c r="ACL254" s="243"/>
      <c r="ACM254" s="243"/>
      <c r="ACN254" s="243"/>
      <c r="ACO254" s="243"/>
      <c r="ACP254" s="243"/>
      <c r="ACQ254" s="243"/>
      <c r="ACR254" s="243"/>
      <c r="ACS254" s="243"/>
      <c r="ACT254" s="243"/>
      <c r="ACU254" s="243"/>
      <c r="ACV254" s="243"/>
      <c r="ACW254" s="243"/>
      <c r="ACX254" s="243"/>
      <c r="ACY254" s="243"/>
      <c r="ACZ254" s="243"/>
      <c r="ADA254" s="243"/>
      <c r="ADB254" s="243"/>
      <c r="ADC254" s="243"/>
      <c r="ADD254" s="243"/>
      <c r="ADE254" s="243"/>
      <c r="ADF254" s="243"/>
      <c r="ADG254" s="243"/>
      <c r="ADH254" s="243"/>
      <c r="ADI254" s="243"/>
      <c r="ADJ254" s="243"/>
      <c r="ADK254" s="243"/>
      <c r="ADL254" s="243"/>
      <c r="ADM254" s="243"/>
      <c r="ADN254" s="243"/>
      <c r="ADO254" s="243"/>
      <c r="ADP254" s="243"/>
      <c r="ADQ254" s="243"/>
      <c r="ADR254" s="243"/>
      <c r="ADS254" s="243"/>
      <c r="ADT254" s="243"/>
      <c r="ADU254" s="243"/>
      <c r="ADV254" s="243"/>
      <c r="ADW254" s="243"/>
      <c r="ADX254" s="243"/>
      <c r="ADY254" s="243"/>
      <c r="ADZ254" s="243"/>
      <c r="AEA254" s="243"/>
      <c r="AEB254" s="243"/>
      <c r="AEC254" s="243"/>
      <c r="AED254" s="243"/>
      <c r="AEE254" s="243"/>
      <c r="AEF254" s="243"/>
      <c r="AEG254" s="243"/>
      <c r="AEH254" s="243"/>
      <c r="AEI254" s="243"/>
      <c r="AEJ254" s="243"/>
      <c r="AEK254" s="243"/>
      <c r="AEL254" s="243"/>
      <c r="AEM254" s="243"/>
      <c r="AEN254" s="243"/>
      <c r="AEO254" s="243"/>
      <c r="AEP254" s="243"/>
      <c r="AEQ254" s="243"/>
      <c r="AER254" s="243"/>
      <c r="AES254" s="243"/>
      <c r="AET254" s="243"/>
      <c r="AEU254" s="243"/>
      <c r="AEV254" s="243"/>
      <c r="AEW254" s="243"/>
      <c r="AEX254" s="243"/>
      <c r="AEY254" s="243"/>
      <c r="AEZ254" s="243"/>
      <c r="AFA254" s="243"/>
      <c r="AFB254" s="243"/>
      <c r="AFC254" s="243"/>
      <c r="AFD254" s="243"/>
      <c r="AFE254" s="243"/>
      <c r="AFF254" s="243"/>
      <c r="AFG254" s="243"/>
      <c r="AFH254" s="243"/>
      <c r="AFI254" s="243"/>
      <c r="AFJ254" s="243"/>
      <c r="AFK254" s="243"/>
      <c r="AFL254" s="243"/>
      <c r="AFM254" s="243"/>
      <c r="AFN254" s="243"/>
      <c r="AFO254" s="243"/>
      <c r="AFP254" s="243"/>
      <c r="AFQ254" s="243"/>
      <c r="AFR254" s="243"/>
      <c r="AFS254" s="243"/>
      <c r="AFT254" s="243"/>
      <c r="AFU254" s="243"/>
      <c r="AFV254" s="243"/>
      <c r="AFW254" s="243"/>
      <c r="AFX254" s="243"/>
      <c r="AFY254" s="243"/>
      <c r="AFZ254" s="243"/>
      <c r="AGA254" s="243"/>
      <c r="AGB254" s="243"/>
      <c r="AGC254" s="243"/>
      <c r="AGD254" s="243"/>
      <c r="AGE254" s="243"/>
      <c r="AGF254" s="243"/>
      <c r="AGG254" s="243"/>
      <c r="AGH254" s="243"/>
      <c r="AGI254" s="243"/>
      <c r="AGJ254" s="243"/>
      <c r="AGK254" s="243"/>
      <c r="AGL254" s="243"/>
      <c r="AGM254" s="243"/>
      <c r="AGN254" s="243"/>
      <c r="AGO254" s="243"/>
      <c r="AGP254" s="243"/>
      <c r="AGQ254" s="243"/>
      <c r="AGR254" s="243"/>
      <c r="AGS254" s="243"/>
      <c r="AGT254" s="243"/>
      <c r="AGU254" s="243"/>
      <c r="AGV254" s="243"/>
      <c r="AGW254" s="243"/>
      <c r="AGX254" s="243"/>
      <c r="AGY254" s="243"/>
      <c r="AGZ254" s="243"/>
      <c r="AHA254" s="243"/>
      <c r="AHB254" s="243"/>
      <c r="AHC254" s="243"/>
      <c r="AHD254" s="243"/>
      <c r="AHE254" s="243"/>
      <c r="AHF254" s="243"/>
      <c r="AHG254" s="243"/>
      <c r="AHH254" s="243"/>
      <c r="AHI254" s="243"/>
      <c r="AHJ254" s="243"/>
      <c r="AHK254" s="243"/>
      <c r="AHL254" s="243"/>
      <c r="AHM254" s="243"/>
      <c r="AHN254" s="243"/>
      <c r="AHO254" s="243"/>
      <c r="AHP254" s="243"/>
      <c r="AHQ254" s="243"/>
      <c r="AHR254" s="243"/>
      <c r="AHS254" s="243"/>
      <c r="AHT254" s="243"/>
      <c r="AHU254" s="243"/>
      <c r="AHV254" s="243"/>
      <c r="AHW254" s="243"/>
      <c r="AHX254" s="243"/>
      <c r="AHY254" s="243"/>
      <c r="AHZ254" s="243"/>
      <c r="AIA254" s="243"/>
      <c r="AIB254" s="243"/>
      <c r="AIC254" s="243"/>
      <c r="AID254" s="243"/>
      <c r="AIE254" s="243"/>
      <c r="AIF254" s="243"/>
      <c r="AIG254" s="243"/>
      <c r="AIH254" s="243"/>
      <c r="AII254" s="243"/>
      <c r="AIJ254" s="243"/>
      <c r="AIK254" s="243"/>
      <c r="AIL254" s="243"/>
      <c r="AIM254" s="243"/>
      <c r="AIN254" s="243"/>
      <c r="AIO254" s="243"/>
      <c r="AIP254" s="243"/>
      <c r="AIQ254" s="243"/>
      <c r="AIR254" s="243"/>
      <c r="AIS254" s="243"/>
      <c r="AIT254" s="243"/>
      <c r="AIU254" s="243"/>
      <c r="AIV254" s="243"/>
      <c r="AIW254" s="243"/>
      <c r="AIX254" s="243"/>
      <c r="AIY254" s="243"/>
      <c r="AIZ254" s="243"/>
      <c r="AJA254" s="243"/>
      <c r="AJB254" s="243"/>
      <c r="AJC254" s="243"/>
      <c r="AJD254" s="243"/>
      <c r="AJE254" s="243"/>
      <c r="AJF254" s="243"/>
      <c r="AJG254" s="243"/>
      <c r="AJH254" s="243"/>
      <c r="AJI254" s="243"/>
      <c r="AJJ254" s="243"/>
      <c r="AJK254" s="243"/>
      <c r="AJL254" s="243"/>
      <c r="AJM254" s="243"/>
      <c r="AJN254" s="243"/>
      <c r="AJO254" s="243"/>
      <c r="AJP254" s="243"/>
      <c r="AJQ254" s="243"/>
      <c r="AJR254" s="243"/>
      <c r="AJS254" s="243"/>
      <c r="AJT254" s="243"/>
      <c r="AJU254" s="243"/>
      <c r="AJV254" s="243"/>
      <c r="AJW254" s="243"/>
      <c r="AJX254" s="243"/>
      <c r="AJY254" s="243"/>
      <c r="AJZ254" s="243"/>
      <c r="AKA254" s="243"/>
      <c r="AKB254" s="243"/>
      <c r="AKC254" s="243"/>
      <c r="AKD254" s="243"/>
      <c r="AKE254" s="243"/>
      <c r="AKF254" s="243"/>
      <c r="AKG254" s="243"/>
      <c r="AKH254" s="243"/>
      <c r="AKI254" s="243"/>
      <c r="AKJ254" s="243"/>
      <c r="AKK254" s="243"/>
      <c r="AKL254" s="243"/>
      <c r="AKM254" s="243"/>
      <c r="AKN254" s="243"/>
      <c r="AKO254" s="243"/>
      <c r="AKP254" s="243"/>
      <c r="AKQ254" s="243"/>
      <c r="AKR254" s="243"/>
      <c r="AKS254" s="243"/>
      <c r="AKT254" s="243"/>
      <c r="AKU254" s="243"/>
      <c r="AKV254" s="243"/>
      <c r="AKW254" s="243"/>
      <c r="AKX254" s="243"/>
      <c r="AKY254" s="243"/>
      <c r="AKZ254" s="243"/>
      <c r="ALA254" s="243"/>
      <c r="ALB254" s="243"/>
      <c r="ALC254" s="243"/>
      <c r="ALD254" s="243"/>
      <c r="ALE254" s="243"/>
      <c r="ALF254" s="243"/>
      <c r="ALG254" s="243"/>
      <c r="ALH254" s="243"/>
      <c r="ALI254" s="243"/>
      <c r="ALJ254" s="243"/>
      <c r="ALK254" s="243"/>
      <c r="ALL254" s="243"/>
      <c r="ALM254" s="243"/>
      <c r="ALN254" s="243"/>
      <c r="ALO254" s="243"/>
      <c r="ALP254" s="243"/>
      <c r="ALQ254" s="243"/>
      <c r="ALR254" s="243"/>
      <c r="ALS254" s="243"/>
      <c r="ALT254" s="243"/>
      <c r="ALU254" s="243"/>
      <c r="ALV254" s="243"/>
      <c r="ALW254" s="243"/>
      <c r="ALX254" s="243"/>
      <c r="ALY254" s="243"/>
      <c r="ALZ254" s="243"/>
      <c r="AMA254" s="243"/>
      <c r="AMB254" s="243"/>
      <c r="AMC254" s="243"/>
      <c r="AMD254" s="243"/>
      <c r="AME254" s="243"/>
      <c r="AMF254" s="243"/>
      <c r="AMG254" s="243"/>
      <c r="AMH254" s="243"/>
      <c r="AMI254" s="243"/>
      <c r="AMJ254" s="243"/>
      <c r="AMK254" s="243"/>
      <c r="AML254" s="243"/>
      <c r="AMM254" s="243"/>
      <c r="AMN254" s="243"/>
      <c r="AMO254" s="243"/>
      <c r="AMP254" s="243"/>
      <c r="AMQ254" s="243"/>
      <c r="AMR254" s="243"/>
      <c r="AMS254" s="243"/>
      <c r="AMT254" s="243"/>
      <c r="AMU254" s="243"/>
      <c r="AMV254" s="243"/>
      <c r="AMW254" s="243"/>
      <c r="AMX254" s="243"/>
      <c r="AMY254" s="243"/>
      <c r="AMZ254" s="243"/>
      <c r="ANA254" s="243"/>
      <c r="ANB254" s="243"/>
      <c r="ANC254" s="243"/>
      <c r="AND254" s="243"/>
      <c r="ANE254" s="243"/>
      <c r="ANF254" s="243"/>
      <c r="ANG254" s="243"/>
      <c r="ANH254" s="243"/>
      <c r="ANI254" s="243"/>
      <c r="ANJ254" s="243"/>
      <c r="ANK254" s="243"/>
      <c r="ANL254" s="243"/>
      <c r="ANM254" s="243"/>
      <c r="ANN254" s="243"/>
      <c r="ANO254" s="243"/>
      <c r="ANP254" s="243"/>
      <c r="ANQ254" s="243"/>
      <c r="ANR254" s="243"/>
      <c r="ANS254" s="243"/>
      <c r="ANT254" s="243"/>
      <c r="ANU254" s="243"/>
      <c r="ANV254" s="243"/>
      <c r="ANW254" s="243"/>
      <c r="ANX254" s="243"/>
      <c r="ANY254" s="243"/>
      <c r="ANZ254" s="243"/>
      <c r="AOA254" s="243"/>
      <c r="AOB254" s="243"/>
      <c r="AOC254" s="243"/>
      <c r="AOD254" s="243"/>
      <c r="AOE254" s="243"/>
      <c r="AOF254" s="243"/>
      <c r="AOG254" s="243"/>
      <c r="AOH254" s="243"/>
      <c r="AOI254" s="243"/>
      <c r="AOJ254" s="243"/>
      <c r="AOK254" s="243"/>
      <c r="AOL254" s="243"/>
      <c r="AOM254" s="243"/>
      <c r="AON254" s="243"/>
      <c r="AOO254" s="243"/>
      <c r="AOP254" s="243"/>
      <c r="AOQ254" s="243"/>
      <c r="AOR254" s="243"/>
      <c r="AOS254" s="243"/>
      <c r="AOT254" s="243"/>
      <c r="AOU254" s="243"/>
      <c r="AOV254" s="243"/>
      <c r="AOW254" s="243"/>
      <c r="AOX254" s="243"/>
      <c r="AOY254" s="243"/>
      <c r="AOZ254" s="243"/>
      <c r="APA254" s="243"/>
      <c r="APB254" s="243"/>
      <c r="APC254" s="243"/>
      <c r="APD254" s="243"/>
      <c r="APE254" s="243"/>
      <c r="APF254" s="243"/>
      <c r="APG254" s="243"/>
      <c r="APH254" s="243"/>
      <c r="API254" s="243"/>
      <c r="APJ254" s="243"/>
      <c r="APK254" s="243"/>
      <c r="APL254" s="243"/>
      <c r="APM254" s="243"/>
      <c r="APN254" s="243"/>
      <c r="APO254" s="243"/>
      <c r="APP254" s="243"/>
      <c r="APQ254" s="243"/>
      <c r="APR254" s="243"/>
      <c r="APS254" s="243"/>
      <c r="APT254" s="243"/>
      <c r="APU254" s="243"/>
      <c r="APV254" s="243"/>
      <c r="APW254" s="243"/>
      <c r="APX254" s="243"/>
      <c r="APY254" s="243"/>
      <c r="APZ254" s="243"/>
      <c r="AQA254" s="243"/>
      <c r="AQB254" s="243"/>
      <c r="AQC254" s="243"/>
      <c r="AQD254" s="243"/>
      <c r="AQE254" s="243"/>
      <c r="AQF254" s="243"/>
      <c r="AQG254" s="243"/>
      <c r="AQH254" s="243"/>
      <c r="AQI254" s="243"/>
      <c r="AQJ254" s="243"/>
      <c r="AQK254" s="243"/>
      <c r="AQL254" s="243"/>
      <c r="AQM254" s="243"/>
      <c r="AQN254" s="243"/>
      <c r="AQO254" s="243"/>
      <c r="AQP254" s="243"/>
      <c r="AQQ254" s="243"/>
      <c r="AQR254" s="243"/>
      <c r="AQS254" s="243"/>
      <c r="AQT254" s="243"/>
      <c r="AQU254" s="243"/>
      <c r="AQV254" s="243"/>
      <c r="AQW254" s="243"/>
      <c r="AQX254" s="243"/>
      <c r="AQY254" s="243"/>
      <c r="AQZ254" s="243"/>
      <c r="ARA254" s="243"/>
      <c r="ARB254" s="243"/>
      <c r="ARC254" s="243"/>
      <c r="ARD254" s="243"/>
      <c r="ARE254" s="243"/>
      <c r="ARF254" s="243"/>
      <c r="ARG254" s="243"/>
      <c r="ARH254" s="243"/>
      <c r="ARI254" s="243"/>
      <c r="ARJ254" s="243"/>
      <c r="ARK254" s="243"/>
      <c r="ARL254" s="243"/>
      <c r="ARM254" s="243"/>
      <c r="ARN254" s="243"/>
      <c r="ARO254" s="243"/>
      <c r="ARP254" s="243"/>
      <c r="ARQ254" s="243"/>
      <c r="ARR254" s="243"/>
      <c r="ARS254" s="243"/>
      <c r="ART254" s="243"/>
      <c r="ARU254" s="243"/>
      <c r="ARV254" s="243"/>
      <c r="ARW254" s="243"/>
      <c r="ARX254" s="243"/>
      <c r="ARY254" s="243"/>
      <c r="ARZ254" s="243"/>
      <c r="ASA254" s="243"/>
      <c r="ASB254" s="243"/>
      <c r="ASC254" s="243"/>
      <c r="ASD254" s="243"/>
      <c r="ASE254" s="243"/>
      <c r="ASF254" s="243"/>
      <c r="ASG254" s="243"/>
      <c r="ASH254" s="243"/>
      <c r="ASI254" s="243"/>
      <c r="ASJ254" s="243"/>
      <c r="ASK254" s="243"/>
      <c r="ASL254" s="243"/>
      <c r="ASM254" s="243"/>
      <c r="ASN254" s="243"/>
      <c r="ASO254" s="243"/>
      <c r="ASP254" s="243"/>
      <c r="ASQ254" s="243"/>
      <c r="ASR254" s="243"/>
      <c r="ASS254" s="243"/>
      <c r="AST254" s="243"/>
      <c r="ASU254" s="243"/>
      <c r="ASV254" s="243"/>
      <c r="ASW254" s="243"/>
      <c r="ASX254" s="243"/>
      <c r="ASY254" s="243"/>
      <c r="ASZ254" s="243"/>
      <c r="ATA254" s="243"/>
      <c r="ATB254" s="243"/>
      <c r="ATC254" s="243"/>
      <c r="ATD254" s="243"/>
      <c r="ATE254" s="243"/>
      <c r="ATF254" s="243"/>
      <c r="ATG254" s="243"/>
      <c r="ATH254" s="243"/>
      <c r="ATI254" s="243"/>
      <c r="ATJ254" s="243"/>
      <c r="ATK254" s="243"/>
      <c r="ATL254" s="243"/>
      <c r="ATM254" s="243"/>
      <c r="ATN254" s="243"/>
      <c r="ATO254" s="243"/>
      <c r="ATP254" s="243"/>
      <c r="ATQ254" s="243"/>
      <c r="ATR254" s="243"/>
      <c r="ATS254" s="243"/>
      <c r="ATT254" s="243"/>
      <c r="ATU254" s="243"/>
      <c r="ATV254" s="243"/>
      <c r="ATW254" s="243"/>
      <c r="ATX254" s="243"/>
      <c r="ATY254" s="243"/>
      <c r="ATZ254" s="243"/>
      <c r="AUA254" s="243"/>
      <c r="AUB254" s="243"/>
      <c r="AUC254" s="243"/>
      <c r="AUD254" s="243"/>
      <c r="AUE254" s="243"/>
      <c r="AUF254" s="243"/>
      <c r="AUG254" s="243"/>
      <c r="AUH254" s="243"/>
      <c r="AUI254" s="243"/>
      <c r="AUJ254" s="243"/>
      <c r="AUK254" s="243"/>
      <c r="AUL254" s="243"/>
      <c r="AUM254" s="243"/>
      <c r="AUN254" s="243"/>
      <c r="AUO254" s="243"/>
      <c r="AUP254" s="243"/>
      <c r="AUQ254" s="243"/>
      <c r="AUR254" s="243"/>
      <c r="AUS254" s="243"/>
      <c r="AUT254" s="243"/>
      <c r="AUU254" s="243"/>
      <c r="AUV254" s="243"/>
      <c r="AUW254" s="243"/>
      <c r="AUX254" s="243"/>
      <c r="AUY254" s="243"/>
      <c r="AUZ254" s="243"/>
      <c r="AVA254" s="243"/>
      <c r="AVB254" s="243"/>
      <c r="AVC254" s="243"/>
      <c r="AVD254" s="243"/>
      <c r="AVE254" s="243"/>
      <c r="AVF254" s="243"/>
      <c r="AVG254" s="243"/>
      <c r="AVH254" s="243"/>
      <c r="AVI254" s="243"/>
      <c r="AVJ254" s="243"/>
      <c r="AVK254" s="243"/>
      <c r="AVL254" s="243"/>
      <c r="AVM254" s="243"/>
      <c r="AVN254" s="243"/>
      <c r="AVO254" s="243"/>
      <c r="AVP254" s="243"/>
      <c r="AVQ254" s="243"/>
      <c r="AVR254" s="243"/>
      <c r="AVS254" s="243"/>
      <c r="AVT254" s="243"/>
      <c r="AVU254" s="243"/>
      <c r="AVV254" s="243"/>
      <c r="AVW254" s="243"/>
      <c r="AVX254" s="243"/>
      <c r="AVY254" s="243"/>
      <c r="AVZ254" s="243"/>
      <c r="AWA254" s="243"/>
      <c r="AWB254" s="243"/>
      <c r="AWC254" s="243"/>
      <c r="AWD254" s="243"/>
      <c r="AWE254" s="243"/>
      <c r="AWF254" s="243"/>
      <c r="AWG254" s="243"/>
      <c r="AWH254" s="243"/>
      <c r="AWI254" s="243"/>
      <c r="AWJ254" s="243"/>
      <c r="AWK254" s="243"/>
      <c r="AWL254" s="243"/>
      <c r="AWM254" s="243"/>
      <c r="AWN254" s="243"/>
      <c r="AWO254" s="243"/>
      <c r="AWP254" s="243"/>
      <c r="AWQ254" s="243"/>
      <c r="AWR254" s="243"/>
      <c r="AWS254" s="243"/>
      <c r="AWT254" s="243"/>
      <c r="AWU254" s="243"/>
      <c r="AWV254" s="243"/>
      <c r="AWW254" s="243"/>
      <c r="AWX254" s="243"/>
      <c r="AWY254" s="243"/>
      <c r="AWZ254" s="243"/>
      <c r="AXA254" s="243"/>
      <c r="AXB254" s="243"/>
      <c r="AXC254" s="243"/>
      <c r="AXD254" s="243"/>
      <c r="AXE254" s="243"/>
      <c r="AXF254" s="243"/>
      <c r="AXG254" s="243"/>
      <c r="AXH254" s="243"/>
      <c r="AXI254" s="243"/>
      <c r="AXJ254" s="243"/>
      <c r="AXK254" s="243"/>
      <c r="AXL254" s="243"/>
      <c r="AXM254" s="243"/>
      <c r="AXN254" s="243"/>
      <c r="AXO254" s="243"/>
      <c r="AXP254" s="243"/>
      <c r="AXQ254" s="243"/>
      <c r="AXR254" s="243"/>
      <c r="AXS254" s="243"/>
      <c r="AXT254" s="243"/>
      <c r="AXU254" s="243"/>
      <c r="AXV254" s="243"/>
      <c r="AXW254" s="243"/>
      <c r="AXX254" s="243"/>
      <c r="AXY254" s="243"/>
      <c r="AXZ254" s="243"/>
      <c r="AYA254" s="243"/>
      <c r="AYB254" s="243"/>
      <c r="AYC254" s="243"/>
      <c r="AYD254" s="243"/>
      <c r="AYE254" s="243"/>
      <c r="AYF254" s="243"/>
      <c r="AYG254" s="243"/>
      <c r="AYH254" s="243"/>
      <c r="AYI254" s="243"/>
      <c r="AYJ254" s="243"/>
      <c r="AYK254" s="243"/>
      <c r="AYL254" s="243"/>
      <c r="AYM254" s="243"/>
      <c r="AYN254" s="243"/>
      <c r="AYO254" s="243"/>
      <c r="AYP254" s="243"/>
      <c r="AYQ254" s="243"/>
      <c r="AYR254" s="243"/>
      <c r="AYS254" s="243"/>
      <c r="AYT254" s="243"/>
      <c r="AYU254" s="243"/>
      <c r="AYV254" s="243"/>
      <c r="AYW254" s="243"/>
      <c r="AYX254" s="243"/>
      <c r="AYY254" s="243"/>
      <c r="AYZ254" s="243"/>
      <c r="AZA254" s="243"/>
      <c r="AZB254" s="243"/>
      <c r="AZC254" s="243"/>
      <c r="AZD254" s="243"/>
      <c r="AZE254" s="243"/>
      <c r="AZF254" s="243"/>
      <c r="AZG254" s="243"/>
      <c r="AZH254" s="243"/>
      <c r="AZI254" s="243"/>
      <c r="AZJ254" s="243"/>
      <c r="AZK254" s="243"/>
      <c r="AZL254" s="243"/>
      <c r="AZM254" s="243"/>
      <c r="AZN254" s="243"/>
      <c r="AZO254" s="243"/>
      <c r="AZP254" s="243"/>
      <c r="AZQ254" s="243"/>
      <c r="AZR254" s="243"/>
      <c r="AZS254" s="243"/>
      <c r="AZT254" s="243"/>
      <c r="AZU254" s="243"/>
      <c r="AZV254" s="243"/>
      <c r="AZW254" s="243"/>
      <c r="AZX254" s="243"/>
      <c r="AZY254" s="243"/>
      <c r="AZZ254" s="243"/>
      <c r="BAA254" s="243"/>
      <c r="BAB254" s="243"/>
      <c r="BAC254" s="243"/>
      <c r="BAD254" s="243"/>
      <c r="BAE254" s="243"/>
      <c r="BAF254" s="243"/>
      <c r="BAG254" s="243"/>
      <c r="BAH254" s="243"/>
      <c r="BAI254" s="243"/>
      <c r="BAJ254" s="243"/>
      <c r="BAK254" s="243"/>
      <c r="BAL254" s="243"/>
      <c r="BAM254" s="243"/>
      <c r="BAN254" s="243"/>
      <c r="BAO254" s="243"/>
      <c r="BAP254" s="243"/>
      <c r="BAQ254" s="243"/>
      <c r="BAR254" s="243"/>
      <c r="BAS254" s="243"/>
      <c r="BAT254" s="243"/>
      <c r="BAU254" s="243"/>
      <c r="BAV254" s="243"/>
      <c r="BAW254" s="243"/>
      <c r="BAX254" s="243"/>
      <c r="BAY254" s="243"/>
      <c r="BAZ254" s="243"/>
      <c r="BBA254" s="243"/>
      <c r="BBB254" s="243"/>
      <c r="BBC254" s="243"/>
      <c r="BBD254" s="243"/>
      <c r="BBE254" s="243"/>
      <c r="BBF254" s="243"/>
      <c r="BBG254" s="243"/>
      <c r="BBH254" s="243"/>
      <c r="BBI254" s="243"/>
      <c r="BBJ254" s="243"/>
      <c r="BBK254" s="243"/>
      <c r="BBL254" s="243"/>
      <c r="BBM254" s="243"/>
      <c r="BBN254" s="243"/>
      <c r="BBO254" s="243"/>
      <c r="BBP254" s="243"/>
      <c r="BBQ254" s="243"/>
      <c r="BBR254" s="243"/>
      <c r="BBS254" s="243"/>
      <c r="BBT254" s="243"/>
      <c r="BBU254" s="243"/>
      <c r="BBV254" s="243"/>
      <c r="BBW254" s="243"/>
      <c r="BBX254" s="243"/>
      <c r="BBY254" s="243"/>
      <c r="BBZ254" s="243"/>
      <c r="BCA254" s="243"/>
      <c r="BCB254" s="243"/>
      <c r="BCC254" s="243"/>
      <c r="BCD254" s="243"/>
      <c r="BCE254" s="243"/>
      <c r="BCF254" s="243"/>
      <c r="BCG254" s="243"/>
      <c r="BCH254" s="243"/>
      <c r="BCI254" s="243"/>
      <c r="BCJ254" s="243"/>
      <c r="BCK254" s="243"/>
      <c r="BCL254" s="243"/>
      <c r="BCM254" s="243"/>
      <c r="BCN254" s="243"/>
      <c r="BCO254" s="243"/>
      <c r="BCP254" s="243"/>
      <c r="BCQ254" s="243"/>
      <c r="BCR254" s="243"/>
      <c r="BCS254" s="243"/>
      <c r="BCT254" s="243"/>
      <c r="BCU254" s="243"/>
      <c r="BCV254" s="243"/>
      <c r="BCW254" s="243"/>
      <c r="BCX254" s="243"/>
      <c r="BCY254" s="243"/>
      <c r="BCZ254" s="243"/>
      <c r="BDA254" s="243"/>
      <c r="BDB254" s="243"/>
      <c r="BDC254" s="243"/>
      <c r="BDD254" s="243"/>
      <c r="BDE254" s="243"/>
      <c r="BDF254" s="243"/>
      <c r="BDG254" s="243"/>
      <c r="BDH254" s="243"/>
      <c r="BDI254" s="243"/>
      <c r="BDJ254" s="243"/>
      <c r="BDK254" s="243"/>
      <c r="BDL254" s="243"/>
      <c r="BDM254" s="243"/>
      <c r="BDN254" s="243"/>
      <c r="BDO254" s="243"/>
      <c r="BDP254" s="243"/>
      <c r="BDQ254" s="243"/>
      <c r="BDR254" s="243"/>
      <c r="BDS254" s="243"/>
      <c r="BDT254" s="243"/>
      <c r="BDU254" s="243"/>
      <c r="BDV254" s="243"/>
      <c r="BDW254" s="243"/>
      <c r="BDX254" s="243"/>
      <c r="BDY254" s="243"/>
      <c r="BDZ254" s="243"/>
      <c r="BEA254" s="243"/>
      <c r="BEB254" s="243"/>
      <c r="BEC254" s="243"/>
      <c r="BED254" s="243"/>
      <c r="BEE254" s="243"/>
      <c r="BEF254" s="243"/>
      <c r="BEG254" s="243"/>
      <c r="BEH254" s="243"/>
      <c r="BEI254" s="243"/>
      <c r="BEJ254" s="243"/>
      <c r="BEK254" s="243"/>
      <c r="BEL254" s="243"/>
      <c r="BEM254" s="243"/>
      <c r="BEN254" s="243"/>
      <c r="BEO254" s="243"/>
      <c r="BEP254" s="243"/>
      <c r="BEQ254" s="243"/>
      <c r="BER254" s="243"/>
      <c r="BES254" s="243"/>
      <c r="BET254" s="243"/>
      <c r="BEU254" s="243"/>
      <c r="BEV254" s="243"/>
      <c r="BEW254" s="243"/>
      <c r="BEX254" s="243"/>
      <c r="BEY254" s="243"/>
      <c r="BEZ254" s="243"/>
      <c r="BFA254" s="243"/>
      <c r="BFB254" s="243"/>
      <c r="BFC254" s="243"/>
      <c r="BFD254" s="243"/>
      <c r="BFE254" s="243"/>
      <c r="BFF254" s="243"/>
      <c r="BFG254" s="243"/>
      <c r="BFH254" s="243"/>
      <c r="BFI254" s="243"/>
      <c r="BFJ254" s="243"/>
      <c r="BFK254" s="243"/>
      <c r="BFL254" s="243"/>
      <c r="BFM254" s="243"/>
      <c r="BFN254" s="243"/>
      <c r="BFO254" s="243"/>
      <c r="BFP254" s="243"/>
      <c r="BFQ254" s="243"/>
      <c r="BFR254" s="243"/>
      <c r="BFS254" s="243"/>
      <c r="BFT254" s="243"/>
      <c r="BFU254" s="243"/>
      <c r="BFV254" s="243"/>
      <c r="BFW254" s="243"/>
      <c r="BFX254" s="243"/>
      <c r="BFY254" s="243"/>
      <c r="BFZ254" s="243"/>
      <c r="BGA254" s="243"/>
      <c r="BGB254" s="243"/>
      <c r="BGC254" s="243"/>
      <c r="BGD254" s="243"/>
      <c r="BGE254" s="243"/>
      <c r="BGF254" s="243"/>
      <c r="BGG254" s="243"/>
      <c r="BGH254" s="243"/>
      <c r="BGI254" s="243"/>
      <c r="BGJ254" s="243"/>
      <c r="BGK254" s="243"/>
      <c r="BGL254" s="243"/>
      <c r="BGM254" s="243"/>
      <c r="BGN254" s="243"/>
      <c r="BGO254" s="243"/>
      <c r="BGP254" s="243"/>
      <c r="BGQ254" s="243"/>
      <c r="BGR254" s="243"/>
      <c r="BGS254" s="243"/>
      <c r="BGT254" s="243"/>
      <c r="BGU254" s="243"/>
      <c r="BGV254" s="243"/>
      <c r="BGW254" s="243"/>
      <c r="BGX254" s="243"/>
      <c r="BGY254" s="243"/>
      <c r="BGZ254" s="243"/>
      <c r="BHA254" s="243"/>
      <c r="BHB254" s="243"/>
      <c r="BHC254" s="243"/>
      <c r="BHD254" s="243"/>
      <c r="BHE254" s="243"/>
      <c r="BHF254" s="243"/>
      <c r="BHG254" s="243"/>
      <c r="BHH254" s="243"/>
      <c r="BHI254" s="243"/>
      <c r="BHJ254" s="243"/>
      <c r="BHK254" s="243"/>
      <c r="BHL254" s="243"/>
      <c r="BHM254" s="243"/>
      <c r="BHN254" s="243"/>
      <c r="BHO254" s="243"/>
      <c r="BHP254" s="243"/>
      <c r="BHQ254" s="243"/>
      <c r="BHR254" s="243"/>
      <c r="BHS254" s="243"/>
      <c r="BHT254" s="243"/>
      <c r="BHU254" s="243"/>
      <c r="BHV254" s="243"/>
      <c r="BHW254" s="243"/>
      <c r="BHX254" s="243"/>
      <c r="BHY254" s="243"/>
      <c r="BHZ254" s="243"/>
      <c r="BIA254" s="243"/>
      <c r="BIB254" s="243"/>
      <c r="BIC254" s="243"/>
      <c r="BID254" s="243"/>
      <c r="BIE254" s="243"/>
      <c r="BIF254" s="243"/>
      <c r="BIG254" s="243"/>
      <c r="BIH254" s="243"/>
      <c r="BII254" s="243"/>
      <c r="BIJ254" s="243"/>
      <c r="BIK254" s="243"/>
      <c r="BIL254" s="243"/>
      <c r="BIM254" s="243"/>
      <c r="BIN254" s="243"/>
      <c r="BIO254" s="243"/>
      <c r="BIP254" s="243"/>
      <c r="BIQ254" s="243"/>
      <c r="BIR254" s="243"/>
      <c r="BIS254" s="243"/>
      <c r="BIT254" s="243"/>
      <c r="BIU254" s="243"/>
      <c r="BIV254" s="243"/>
      <c r="BIW254" s="243"/>
      <c r="BIX254" s="243"/>
      <c r="BIY254" s="243"/>
      <c r="BIZ254" s="243"/>
      <c r="BJA254" s="243"/>
      <c r="BJB254" s="243"/>
      <c r="BJC254" s="243"/>
      <c r="BJD254" s="243"/>
      <c r="BJE254" s="243"/>
      <c r="BJF254" s="243"/>
      <c r="BJG254" s="243"/>
      <c r="BJH254" s="243"/>
      <c r="BJI254" s="243"/>
      <c r="BJJ254" s="243"/>
      <c r="BJK254" s="243"/>
      <c r="BJL254" s="243"/>
      <c r="BJM254" s="243"/>
      <c r="BJN254" s="243"/>
      <c r="BJO254" s="243"/>
      <c r="BJP254" s="243"/>
      <c r="BJQ254" s="243"/>
      <c r="BJR254" s="243"/>
      <c r="BJS254" s="243"/>
      <c r="BJT254" s="243"/>
      <c r="BJU254" s="243"/>
      <c r="BJV254" s="243"/>
      <c r="BJW254" s="243"/>
      <c r="BJX254" s="243"/>
      <c r="BJY254" s="243"/>
      <c r="BJZ254" s="243"/>
      <c r="BKA254" s="243"/>
      <c r="BKB254" s="243"/>
      <c r="BKC254" s="243"/>
      <c r="BKD254" s="243"/>
      <c r="BKE254" s="243"/>
      <c r="BKF254" s="243"/>
      <c r="BKG254" s="243"/>
      <c r="BKH254" s="243"/>
      <c r="BKI254" s="243"/>
      <c r="BKJ254" s="243"/>
      <c r="BKK254" s="243"/>
      <c r="BKL254" s="243"/>
      <c r="BKM254" s="243"/>
      <c r="BKN254" s="243"/>
      <c r="BKO254" s="243"/>
      <c r="BKP254" s="243"/>
      <c r="BKQ254" s="243"/>
      <c r="BKR254" s="243"/>
      <c r="BKS254" s="243"/>
      <c r="BKT254" s="243"/>
      <c r="BKU254" s="243"/>
      <c r="BKV254" s="243"/>
      <c r="BKW254" s="243"/>
      <c r="BKX254" s="243"/>
      <c r="BKY254" s="243"/>
      <c r="BKZ254" s="243"/>
      <c r="BLA254" s="243"/>
      <c r="BLB254" s="243"/>
      <c r="BLC254" s="243"/>
      <c r="BLD254" s="243"/>
      <c r="BLE254" s="243"/>
      <c r="BLF254" s="243"/>
      <c r="BLG254" s="243"/>
      <c r="BLH254" s="243"/>
      <c r="BLI254" s="243"/>
      <c r="BLJ254" s="243"/>
      <c r="BLK254" s="243"/>
      <c r="BLL254" s="243"/>
      <c r="BLM254" s="243"/>
      <c r="BLN254" s="243"/>
      <c r="BLO254" s="243"/>
      <c r="BLP254" s="243"/>
      <c r="BLQ254" s="243"/>
      <c r="BLR254" s="243"/>
      <c r="BLS254" s="243"/>
      <c r="BLT254" s="243"/>
      <c r="BLU254" s="243"/>
      <c r="BLV254" s="243"/>
      <c r="BLW254" s="243"/>
      <c r="BLX254" s="243"/>
      <c r="BLY254" s="243"/>
      <c r="BLZ254" s="243"/>
      <c r="BMA254" s="243"/>
      <c r="BMB254" s="243"/>
      <c r="BMC254" s="243"/>
      <c r="BMD254" s="243"/>
      <c r="BME254" s="243"/>
      <c r="BMF254" s="243"/>
      <c r="BMG254" s="243"/>
      <c r="BMH254" s="243"/>
      <c r="BMI254" s="243"/>
      <c r="BMJ254" s="243"/>
      <c r="BMK254" s="243"/>
      <c r="BML254" s="243"/>
      <c r="BMM254" s="243"/>
      <c r="BMN254" s="243"/>
      <c r="BMO254" s="243"/>
      <c r="BMP254" s="243"/>
      <c r="BMQ254" s="243"/>
      <c r="BMR254" s="243"/>
      <c r="BMS254" s="243"/>
      <c r="BMT254" s="243"/>
      <c r="BMU254" s="243"/>
      <c r="BMV254" s="243"/>
      <c r="BMW254" s="243"/>
      <c r="BMX254" s="243"/>
      <c r="BMY254" s="243"/>
      <c r="BMZ254" s="243"/>
      <c r="BNA254" s="243"/>
      <c r="BNB254" s="243"/>
      <c r="BNC254" s="243"/>
      <c r="BND254" s="243"/>
      <c r="BNE254" s="243"/>
      <c r="BNF254" s="243"/>
      <c r="BNG254" s="243"/>
      <c r="BNH254" s="243"/>
      <c r="BNI254" s="243"/>
      <c r="BNJ254" s="243"/>
      <c r="BNK254" s="243"/>
      <c r="BNL254" s="243"/>
      <c r="BNM254" s="243"/>
      <c r="BNN254" s="243"/>
      <c r="BNO254" s="243"/>
      <c r="BNP254" s="243"/>
      <c r="BNQ254" s="243"/>
      <c r="BNR254" s="243"/>
      <c r="BNS254" s="243"/>
      <c r="BNT254" s="243"/>
      <c r="BNU254" s="243"/>
      <c r="BNV254" s="243"/>
      <c r="BNW254" s="243"/>
      <c r="BNX254" s="243"/>
      <c r="BNY254" s="243"/>
      <c r="BNZ254" s="243"/>
      <c r="BOA254" s="243"/>
      <c r="BOB254" s="243"/>
      <c r="BOC254" s="243"/>
      <c r="BOD254" s="243"/>
      <c r="BOE254" s="243"/>
      <c r="BOF254" s="243"/>
      <c r="BOG254" s="243"/>
      <c r="BOH254" s="243"/>
      <c r="BOI254" s="243"/>
      <c r="BOJ254" s="243"/>
      <c r="BOK254" s="243"/>
      <c r="BOL254" s="243"/>
      <c r="BOM254" s="243"/>
      <c r="BON254" s="243"/>
      <c r="BOO254" s="243"/>
      <c r="BOP254" s="243"/>
      <c r="BOQ254" s="243"/>
      <c r="BOR254" s="243"/>
      <c r="BOS254" s="243"/>
      <c r="BOT254" s="243"/>
      <c r="BOU254" s="243"/>
      <c r="BOV254" s="243"/>
      <c r="BOW254" s="243"/>
      <c r="BOX254" s="243"/>
      <c r="BOY254" s="243"/>
      <c r="BOZ254" s="243"/>
      <c r="BPA254" s="243"/>
      <c r="BPB254" s="243"/>
      <c r="BPC254" s="243"/>
      <c r="BPD254" s="243"/>
      <c r="BPE254" s="243"/>
      <c r="BPF254" s="243"/>
      <c r="BPG254" s="243"/>
      <c r="BPH254" s="243"/>
      <c r="BPI254" s="243"/>
      <c r="BPJ254" s="243"/>
      <c r="BPK254" s="243"/>
      <c r="BPL254" s="243"/>
      <c r="BPM254" s="243"/>
      <c r="BPN254" s="243"/>
      <c r="BPO254" s="243"/>
      <c r="BPP254" s="243"/>
      <c r="BPQ254" s="243"/>
      <c r="BPR254" s="243"/>
      <c r="BPS254" s="243"/>
      <c r="BPT254" s="243"/>
      <c r="BPU254" s="243"/>
      <c r="BPV254" s="243"/>
      <c r="BPW254" s="243"/>
      <c r="BPX254" s="243"/>
      <c r="BPY254" s="243"/>
      <c r="BPZ254" s="243"/>
      <c r="BQA254" s="243"/>
      <c r="BQB254" s="243"/>
      <c r="BQC254" s="243"/>
      <c r="BQD254" s="243"/>
      <c r="BQE254" s="243"/>
      <c r="BQF254" s="243"/>
      <c r="BQG254" s="243"/>
      <c r="BQH254" s="243"/>
      <c r="BQI254" s="243"/>
      <c r="BQJ254" s="243"/>
      <c r="BQK254" s="243"/>
      <c r="BQL254" s="243"/>
      <c r="BQM254" s="243"/>
      <c r="BQN254" s="243"/>
      <c r="BQO254" s="243"/>
      <c r="BQP254" s="243"/>
      <c r="BQQ254" s="243"/>
      <c r="BQR254" s="243"/>
      <c r="BQS254" s="243"/>
      <c r="BQT254" s="243"/>
      <c r="BQU254" s="243"/>
      <c r="BQV254" s="243"/>
      <c r="BQW254" s="243"/>
      <c r="BQX254" s="243"/>
      <c r="BQY254" s="243"/>
      <c r="BQZ254" s="243"/>
      <c r="BRA254" s="243"/>
      <c r="BRB254" s="243"/>
      <c r="BRC254" s="243"/>
      <c r="BRD254" s="243"/>
      <c r="BRE254" s="243"/>
      <c r="BRF254" s="243"/>
      <c r="BRG254" s="243"/>
      <c r="BRH254" s="243"/>
      <c r="BRI254" s="243"/>
      <c r="BRJ254" s="243"/>
      <c r="BRK254" s="243"/>
      <c r="BRL254" s="243"/>
      <c r="BRM254" s="243"/>
      <c r="BRN254" s="243"/>
      <c r="BRO254" s="243"/>
      <c r="BRP254" s="243"/>
      <c r="BRQ254" s="243"/>
      <c r="BRR254" s="243"/>
      <c r="BRS254" s="243"/>
      <c r="BRT254" s="243"/>
      <c r="BRU254" s="243"/>
      <c r="BRV254" s="243"/>
      <c r="BRW254" s="243"/>
      <c r="BRX254" s="243"/>
      <c r="BRY254" s="243"/>
      <c r="BRZ254" s="243"/>
      <c r="BSA254" s="243"/>
      <c r="BSB254" s="243"/>
      <c r="BSC254" s="243"/>
      <c r="BSD254" s="243"/>
      <c r="BSE254" s="243"/>
      <c r="BSF254" s="243"/>
      <c r="BSG254" s="243"/>
      <c r="BSH254" s="243"/>
      <c r="BSI254" s="243"/>
      <c r="BSJ254" s="243"/>
      <c r="BSK254" s="243"/>
      <c r="BSL254" s="243"/>
      <c r="BSM254" s="243"/>
      <c r="BSN254" s="243"/>
      <c r="BSO254" s="243"/>
      <c r="BSP254" s="243"/>
      <c r="BSQ254" s="243"/>
      <c r="BSR254" s="243"/>
      <c r="BSS254" s="243"/>
      <c r="BST254" s="243"/>
      <c r="BSU254" s="243"/>
      <c r="BSV254" s="243"/>
      <c r="BSW254" s="243"/>
      <c r="BSX254" s="243"/>
      <c r="BSY254" s="243"/>
      <c r="BSZ254" s="243"/>
      <c r="BTA254" s="243"/>
      <c r="BTB254" s="243"/>
      <c r="BTC254" s="243"/>
      <c r="BTD254" s="243"/>
      <c r="BTE254" s="243"/>
      <c r="BTF254" s="243"/>
      <c r="BTG254" s="243"/>
      <c r="BTH254" s="243"/>
      <c r="BTI254" s="243"/>
      <c r="BTJ254" s="243"/>
      <c r="BTK254" s="243"/>
      <c r="BTL254" s="243"/>
      <c r="BTM254" s="243"/>
      <c r="BTN254" s="243"/>
      <c r="BTO254" s="243"/>
      <c r="BTP254" s="243"/>
      <c r="BTQ254" s="243"/>
      <c r="BTR254" s="243"/>
      <c r="BTS254" s="243"/>
      <c r="BTT254" s="243"/>
      <c r="BTU254" s="243"/>
      <c r="BTV254" s="243"/>
      <c r="BTW254" s="243"/>
      <c r="BTX254" s="243"/>
      <c r="BTY254" s="243"/>
      <c r="BTZ254" s="243"/>
      <c r="BUA254" s="243"/>
      <c r="BUB254" s="243"/>
      <c r="BUC254" s="243"/>
      <c r="BUD254" s="243"/>
      <c r="BUE254" s="243"/>
      <c r="BUF254" s="243"/>
      <c r="BUG254" s="243"/>
      <c r="BUH254" s="243"/>
      <c r="BUI254" s="243"/>
      <c r="BUJ254" s="243"/>
      <c r="BUK254" s="243"/>
      <c r="BUL254" s="243"/>
      <c r="BUM254" s="243"/>
      <c r="BUN254" s="243"/>
      <c r="BUO254" s="243"/>
      <c r="BUP254" s="243"/>
      <c r="BUQ254" s="243"/>
      <c r="BUR254" s="243"/>
      <c r="BUS254" s="243"/>
      <c r="BUT254" s="243"/>
      <c r="BUU254" s="243"/>
      <c r="BUV254" s="243"/>
      <c r="BUW254" s="243"/>
      <c r="BUX254" s="243"/>
      <c r="BUY254" s="243"/>
      <c r="BUZ254" s="243"/>
      <c r="BVA254" s="243"/>
      <c r="BVB254" s="243"/>
      <c r="BVC254" s="243"/>
      <c r="BVD254" s="243"/>
      <c r="BVE254" s="243"/>
      <c r="BVF254" s="243"/>
      <c r="BVG254" s="243"/>
      <c r="BVH254" s="243"/>
      <c r="BVI254" s="243"/>
      <c r="BVJ254" s="243"/>
      <c r="BVK254" s="243"/>
      <c r="BVL254" s="243"/>
      <c r="BVM254" s="243"/>
      <c r="BVN254" s="243"/>
      <c r="BVO254" s="243"/>
      <c r="BVP254" s="243"/>
      <c r="BVQ254" s="243"/>
      <c r="BVR254" s="243"/>
      <c r="BVS254" s="243"/>
      <c r="BVT254" s="243"/>
      <c r="BVU254" s="243"/>
      <c r="BVV254" s="243"/>
      <c r="BVW254" s="243"/>
      <c r="BVX254" s="243"/>
      <c r="BVY254" s="243"/>
      <c r="BVZ254" s="243"/>
      <c r="BWA254" s="243"/>
      <c r="BWB254" s="243"/>
      <c r="BWC254" s="243"/>
      <c r="BWD254" s="243"/>
      <c r="BWE254" s="243"/>
      <c r="BWF254" s="243"/>
      <c r="BWG254" s="243"/>
      <c r="BWH254" s="243"/>
      <c r="BWI254" s="243"/>
      <c r="BWJ254" s="243"/>
      <c r="BWK254" s="243"/>
      <c r="BWL254" s="243"/>
      <c r="BWM254" s="243"/>
      <c r="BWN254" s="243"/>
      <c r="BWO254" s="243"/>
      <c r="BWP254" s="243"/>
      <c r="BWQ254" s="243"/>
      <c r="BWR254" s="243"/>
      <c r="BWS254" s="243"/>
      <c r="BWT254" s="243"/>
      <c r="BWU254" s="243"/>
      <c r="BWV254" s="243"/>
      <c r="BWW254" s="243"/>
      <c r="BWX254" s="243"/>
      <c r="BWY254" s="243"/>
      <c r="BWZ254" s="243"/>
      <c r="BXA254" s="243"/>
      <c r="BXB254" s="243"/>
      <c r="BXC254" s="243"/>
      <c r="BXD254" s="243"/>
      <c r="BXE254" s="243"/>
      <c r="BXF254" s="243"/>
      <c r="BXG254" s="243"/>
      <c r="BXH254" s="243"/>
      <c r="BXI254" s="243"/>
      <c r="BXJ254" s="243"/>
      <c r="BXK254" s="243"/>
      <c r="BXL254" s="243"/>
      <c r="BXM254" s="243"/>
      <c r="BXN254" s="243"/>
      <c r="BXO254" s="243"/>
      <c r="BXP254" s="243"/>
      <c r="BXQ254" s="243"/>
      <c r="BXR254" s="243"/>
      <c r="BXS254" s="243"/>
      <c r="BXT254" s="243"/>
      <c r="BXU254" s="243"/>
      <c r="BXV254" s="243"/>
      <c r="BXW254" s="243"/>
      <c r="BXX254" s="243"/>
      <c r="BXY254" s="243"/>
      <c r="BXZ254" s="243"/>
      <c r="BYA254" s="243"/>
      <c r="BYB254" s="243"/>
      <c r="BYC254" s="243"/>
      <c r="BYD254" s="243"/>
      <c r="BYE254" s="243"/>
      <c r="BYF254" s="243"/>
      <c r="BYG254" s="243"/>
      <c r="BYH254" s="243"/>
      <c r="BYI254" s="243"/>
      <c r="BYJ254" s="243"/>
      <c r="BYK254" s="243"/>
      <c r="BYL254" s="243"/>
      <c r="BYM254" s="243"/>
      <c r="BYN254" s="243"/>
      <c r="BYO254" s="243"/>
      <c r="BYP254" s="243"/>
      <c r="BYQ254" s="243"/>
      <c r="BYR254" s="243"/>
      <c r="BYS254" s="243"/>
      <c r="BYT254" s="243"/>
      <c r="BYU254" s="243"/>
      <c r="BYV254" s="243"/>
      <c r="BYW254" s="243"/>
      <c r="BYX254" s="243"/>
      <c r="BYY254" s="243"/>
      <c r="BYZ254" s="243"/>
      <c r="BZA254" s="243"/>
      <c r="BZB254" s="243"/>
      <c r="BZC254" s="243"/>
      <c r="BZD254" s="243"/>
      <c r="BZE254" s="243"/>
      <c r="BZF254" s="243"/>
      <c r="BZG254" s="243"/>
      <c r="BZH254" s="243"/>
      <c r="BZI254" s="243"/>
      <c r="BZJ254" s="243"/>
      <c r="BZK254" s="243"/>
      <c r="BZL254" s="243"/>
      <c r="BZM254" s="243"/>
      <c r="BZN254" s="243"/>
      <c r="BZO254" s="243"/>
      <c r="BZP254" s="243"/>
      <c r="BZQ254" s="243"/>
      <c r="BZR254" s="243"/>
      <c r="BZS254" s="243"/>
      <c r="BZT254" s="243"/>
      <c r="BZU254" s="243"/>
      <c r="BZV254" s="243"/>
      <c r="BZW254" s="243"/>
      <c r="BZX254" s="243"/>
      <c r="BZY254" s="243"/>
      <c r="BZZ254" s="243"/>
      <c r="CAA254" s="243"/>
      <c r="CAB254" s="243"/>
      <c r="CAC254" s="243"/>
      <c r="CAD254" s="243"/>
      <c r="CAE254" s="243"/>
      <c r="CAF254" s="243"/>
      <c r="CAG254" s="243"/>
      <c r="CAH254" s="243"/>
      <c r="CAI254" s="243"/>
      <c r="CAJ254" s="243"/>
      <c r="CAK254" s="243"/>
      <c r="CAL254" s="243"/>
      <c r="CAM254" s="243"/>
      <c r="CAN254" s="243"/>
      <c r="CAO254" s="243"/>
      <c r="CAP254" s="243"/>
      <c r="CAQ254" s="243"/>
      <c r="CAR254" s="243"/>
      <c r="CAS254" s="243"/>
      <c r="CAT254" s="243"/>
      <c r="CAU254" s="243"/>
      <c r="CAV254" s="243"/>
      <c r="CAW254" s="243"/>
      <c r="CAX254" s="243"/>
      <c r="CAY254" s="243"/>
      <c r="CAZ254" s="243"/>
      <c r="CBA254" s="243"/>
      <c r="CBB254" s="243"/>
      <c r="CBC254" s="243"/>
      <c r="CBD254" s="243"/>
      <c r="CBE254" s="243"/>
      <c r="CBF254" s="243"/>
      <c r="CBG254" s="243"/>
      <c r="CBH254" s="243"/>
      <c r="CBI254" s="243"/>
      <c r="CBJ254" s="243"/>
      <c r="CBK254" s="243"/>
      <c r="CBL254" s="243"/>
      <c r="CBM254" s="243"/>
      <c r="CBN254" s="243"/>
      <c r="CBO254" s="243"/>
      <c r="CBP254" s="243"/>
      <c r="CBQ254" s="243"/>
      <c r="CBR254" s="243"/>
      <c r="CBS254" s="243"/>
      <c r="CBT254" s="243"/>
      <c r="CBU254" s="243"/>
      <c r="CBV254" s="243"/>
      <c r="CBW254" s="243"/>
      <c r="CBX254" s="243"/>
      <c r="CBY254" s="243"/>
      <c r="CBZ254" s="243"/>
      <c r="CCA254" s="243"/>
      <c r="CCB254" s="243"/>
      <c r="CCC254" s="243"/>
      <c r="CCD254" s="243"/>
      <c r="CCE254" s="243"/>
      <c r="CCF254" s="243"/>
      <c r="CCG254" s="243"/>
      <c r="CCH254" s="243"/>
      <c r="CCI254" s="243"/>
      <c r="CCJ254" s="243"/>
      <c r="CCK254" s="243"/>
      <c r="CCL254" s="243"/>
      <c r="CCM254" s="243"/>
      <c r="CCN254" s="243"/>
      <c r="CCO254" s="243"/>
      <c r="CCP254" s="243"/>
      <c r="CCQ254" s="243"/>
      <c r="CCR254" s="243"/>
      <c r="CCS254" s="243"/>
      <c r="CCT254" s="243"/>
      <c r="CCU254" s="243"/>
      <c r="CCV254" s="243"/>
      <c r="CCW254" s="243"/>
      <c r="CCX254" s="243"/>
      <c r="CCY254" s="243"/>
      <c r="CCZ254" s="243"/>
      <c r="CDA254" s="243"/>
      <c r="CDB254" s="243"/>
      <c r="CDC254" s="243"/>
      <c r="CDD254" s="243"/>
      <c r="CDE254" s="243"/>
      <c r="CDF254" s="243"/>
      <c r="CDG254" s="243"/>
      <c r="CDH254" s="243"/>
      <c r="CDI254" s="243"/>
      <c r="CDJ254" s="243"/>
      <c r="CDK254" s="243"/>
      <c r="CDL254" s="243"/>
      <c r="CDM254" s="243"/>
      <c r="CDN254" s="243"/>
      <c r="CDO254" s="243"/>
      <c r="CDP254" s="243"/>
      <c r="CDQ254" s="243"/>
      <c r="CDR254" s="243"/>
      <c r="CDS254" s="243"/>
      <c r="CDT254" s="243"/>
      <c r="CDU254" s="243"/>
      <c r="CDV254" s="243"/>
      <c r="CDW254" s="243"/>
      <c r="CDX254" s="243"/>
      <c r="CDY254" s="243"/>
      <c r="CDZ254" s="243"/>
      <c r="CEA254" s="243"/>
      <c r="CEB254" s="243"/>
      <c r="CEC254" s="243"/>
      <c r="CED254" s="243"/>
      <c r="CEE254" s="243"/>
      <c r="CEF254" s="243"/>
      <c r="CEG254" s="243"/>
      <c r="CEH254" s="243"/>
      <c r="CEI254" s="243"/>
      <c r="CEJ254" s="243"/>
      <c r="CEK254" s="243"/>
      <c r="CEL254" s="243"/>
      <c r="CEM254" s="243"/>
      <c r="CEN254" s="243"/>
      <c r="CEO254" s="243"/>
      <c r="CEP254" s="243"/>
      <c r="CEQ254" s="243"/>
      <c r="CER254" s="243"/>
      <c r="CES254" s="243"/>
      <c r="CET254" s="243"/>
      <c r="CEU254" s="243"/>
      <c r="CEV254" s="243"/>
      <c r="CEW254" s="243"/>
      <c r="CEX254" s="243"/>
      <c r="CEY254" s="243"/>
      <c r="CEZ254" s="243"/>
      <c r="CFA254" s="243"/>
      <c r="CFB254" s="243"/>
      <c r="CFC254" s="243"/>
      <c r="CFD254" s="243"/>
      <c r="CFE254" s="243"/>
      <c r="CFF254" s="243"/>
      <c r="CFG254" s="243"/>
      <c r="CFH254" s="243"/>
      <c r="CFI254" s="243"/>
      <c r="CFJ254" s="243"/>
      <c r="CFK254" s="243"/>
      <c r="CFL254" s="243"/>
      <c r="CFM254" s="243"/>
      <c r="CFN254" s="243"/>
      <c r="CFO254" s="243"/>
      <c r="CFP254" s="243"/>
      <c r="CFQ254" s="243"/>
      <c r="CFR254" s="243"/>
      <c r="CFS254" s="243"/>
      <c r="CFT254" s="243"/>
      <c r="CFU254" s="243"/>
      <c r="CFV254" s="243"/>
      <c r="CFW254" s="243"/>
      <c r="CFX254" s="243"/>
      <c r="CFY254" s="243"/>
      <c r="CFZ254" s="243"/>
      <c r="CGA254" s="243"/>
      <c r="CGB254" s="243"/>
      <c r="CGC254" s="243"/>
      <c r="CGD254" s="243"/>
      <c r="CGE254" s="243"/>
      <c r="CGF254" s="243"/>
      <c r="CGG254" s="243"/>
      <c r="CGH254" s="243"/>
      <c r="CGI254" s="243"/>
      <c r="CGJ254" s="243"/>
      <c r="CGK254" s="243"/>
      <c r="CGL254" s="243"/>
      <c r="CGM254" s="243"/>
      <c r="CGN254" s="243"/>
      <c r="CGO254" s="243"/>
      <c r="CGP254" s="243"/>
      <c r="CGQ254" s="243"/>
      <c r="CGR254" s="243"/>
      <c r="CGS254" s="243"/>
      <c r="CGT254" s="243"/>
      <c r="CGU254" s="243"/>
      <c r="CGV254" s="243"/>
      <c r="CGW254" s="243"/>
      <c r="CGX254" s="243"/>
      <c r="CGY254" s="243"/>
      <c r="CGZ254" s="243"/>
      <c r="CHA254" s="243"/>
      <c r="CHB254" s="243"/>
      <c r="CHC254" s="243"/>
      <c r="CHD254" s="243"/>
      <c r="CHE254" s="243"/>
      <c r="CHF254" s="243"/>
      <c r="CHG254" s="243"/>
      <c r="CHH254" s="243"/>
      <c r="CHI254" s="243"/>
      <c r="CHJ254" s="243"/>
      <c r="CHK254" s="243"/>
      <c r="CHL254" s="243"/>
      <c r="CHM254" s="243"/>
      <c r="CHN254" s="243"/>
      <c r="CHO254" s="243"/>
      <c r="CHP254" s="243"/>
      <c r="CHQ254" s="243"/>
      <c r="CHR254" s="243"/>
      <c r="CHS254" s="243"/>
      <c r="CHT254" s="243"/>
      <c r="CHU254" s="243"/>
      <c r="CHV254" s="243"/>
      <c r="CHW254" s="243"/>
      <c r="CHX254" s="243"/>
      <c r="CHY254" s="243"/>
      <c r="CHZ254" s="243"/>
      <c r="CIA254" s="243"/>
      <c r="CIB254" s="243"/>
      <c r="CIC254" s="243"/>
      <c r="CID254" s="243"/>
      <c r="CIE254" s="243"/>
      <c r="CIF254" s="243"/>
      <c r="CIG254" s="243"/>
      <c r="CIH254" s="243"/>
      <c r="CII254" s="243"/>
      <c r="CIJ254" s="243"/>
      <c r="CIK254" s="243"/>
      <c r="CIL254" s="243"/>
      <c r="CIM254" s="243"/>
      <c r="CIN254" s="243"/>
      <c r="CIO254" s="243"/>
      <c r="CIP254" s="243"/>
      <c r="CIQ254" s="243"/>
      <c r="CIR254" s="243"/>
      <c r="CIS254" s="243"/>
      <c r="CIT254" s="243"/>
      <c r="CIU254" s="243"/>
      <c r="CIV254" s="243"/>
      <c r="CIW254" s="243"/>
      <c r="CIX254" s="243"/>
      <c r="CIY254" s="243"/>
      <c r="CIZ254" s="243"/>
      <c r="CJA254" s="243"/>
      <c r="CJB254" s="243"/>
      <c r="CJC254" s="243"/>
      <c r="CJD254" s="243"/>
      <c r="CJE254" s="243"/>
      <c r="CJF254" s="243"/>
      <c r="CJG254" s="243"/>
      <c r="CJH254" s="243"/>
      <c r="CJI254" s="243"/>
      <c r="CJJ254" s="243"/>
      <c r="CJK254" s="243"/>
      <c r="CJL254" s="243"/>
      <c r="CJM254" s="243"/>
      <c r="CJN254" s="243"/>
      <c r="CJO254" s="243"/>
      <c r="CJP254" s="243"/>
      <c r="CJQ254" s="243"/>
      <c r="CJR254" s="243"/>
      <c r="CJS254" s="243"/>
      <c r="CJT254" s="243"/>
      <c r="CJU254" s="243"/>
      <c r="CJV254" s="243"/>
      <c r="CJW254" s="243"/>
      <c r="CJX254" s="243"/>
      <c r="CJY254" s="243"/>
      <c r="CJZ254" s="243"/>
      <c r="CKA254" s="243"/>
      <c r="CKB254" s="243"/>
      <c r="CKC254" s="243"/>
      <c r="CKD254" s="243"/>
      <c r="CKE254" s="243"/>
      <c r="CKF254" s="243"/>
      <c r="CKG254" s="243"/>
      <c r="CKH254" s="243"/>
      <c r="CKI254" s="243"/>
      <c r="CKJ254" s="243"/>
      <c r="CKK254" s="243"/>
      <c r="CKL254" s="243"/>
      <c r="CKM254" s="243"/>
      <c r="CKN254" s="243"/>
      <c r="CKO254" s="243"/>
      <c r="CKP254" s="243"/>
      <c r="CKQ254" s="243"/>
      <c r="CKR254" s="243"/>
      <c r="CKS254" s="243"/>
      <c r="CKT254" s="243"/>
      <c r="CKU254" s="243"/>
      <c r="CKV254" s="243"/>
      <c r="CKW254" s="243"/>
      <c r="CKX254" s="243"/>
      <c r="CKY254" s="243"/>
      <c r="CKZ254" s="243"/>
      <c r="CLA254" s="243"/>
      <c r="CLB254" s="243"/>
      <c r="CLC254" s="243"/>
      <c r="CLD254" s="243"/>
      <c r="CLE254" s="243"/>
      <c r="CLF254" s="243"/>
      <c r="CLG254" s="243"/>
      <c r="CLH254" s="243"/>
      <c r="CLI254" s="243"/>
      <c r="CLJ254" s="243"/>
      <c r="CLK254" s="243"/>
      <c r="CLL254" s="243"/>
      <c r="CLM254" s="243"/>
      <c r="CLN254" s="243"/>
      <c r="CLO254" s="243"/>
      <c r="CLP254" s="243"/>
      <c r="CLQ254" s="243"/>
      <c r="CLR254" s="243"/>
      <c r="CLS254" s="243"/>
      <c r="CLT254" s="243"/>
      <c r="CLU254" s="243"/>
      <c r="CLV254" s="243"/>
      <c r="CLW254" s="243"/>
      <c r="CLX254" s="243"/>
      <c r="CLY254" s="243"/>
      <c r="CLZ254" s="243"/>
      <c r="CMA254" s="243"/>
      <c r="CMB254" s="243"/>
      <c r="CMC254" s="243"/>
      <c r="CMD254" s="243"/>
      <c r="CME254" s="243"/>
      <c r="CMF254" s="243"/>
      <c r="CMG254" s="243"/>
      <c r="CMH254" s="243"/>
      <c r="CMI254" s="243"/>
      <c r="CMJ254" s="243"/>
      <c r="CMK254" s="243"/>
      <c r="CML254" s="243"/>
      <c r="CMM254" s="243"/>
      <c r="CMN254" s="243"/>
      <c r="CMO254" s="243"/>
      <c r="CMP254" s="243"/>
      <c r="CMQ254" s="243"/>
      <c r="CMR254" s="243"/>
      <c r="CMS254" s="243"/>
      <c r="CMT254" s="243"/>
      <c r="CMU254" s="243"/>
      <c r="CMV254" s="243"/>
      <c r="CMW254" s="243"/>
      <c r="CMX254" s="243"/>
      <c r="CMY254" s="243"/>
      <c r="CMZ254" s="243"/>
      <c r="CNA254" s="243"/>
      <c r="CNB254" s="243"/>
      <c r="CNC254" s="243"/>
      <c r="CND254" s="243"/>
      <c r="CNE254" s="243"/>
      <c r="CNF254" s="243"/>
      <c r="CNG254" s="243"/>
      <c r="CNH254" s="243"/>
      <c r="CNI254" s="243"/>
      <c r="CNJ254" s="243"/>
      <c r="CNK254" s="243"/>
      <c r="CNL254" s="243"/>
      <c r="CNM254" s="243"/>
      <c r="CNN254" s="243"/>
      <c r="CNO254" s="243"/>
      <c r="CNP254" s="243"/>
      <c r="CNQ254" s="243"/>
      <c r="CNR254" s="243"/>
      <c r="CNS254" s="243"/>
      <c r="CNT254" s="243"/>
      <c r="CNU254" s="243"/>
      <c r="CNV254" s="243"/>
      <c r="CNW254" s="243"/>
      <c r="CNX254" s="243"/>
      <c r="CNY254" s="243"/>
      <c r="CNZ254" s="243"/>
      <c r="COA254" s="243"/>
      <c r="COB254" s="243"/>
      <c r="COC254" s="243"/>
      <c r="COD254" s="243"/>
      <c r="COE254" s="243"/>
      <c r="COF254" s="243"/>
      <c r="COG254" s="243"/>
      <c r="COH254" s="243"/>
      <c r="COI254" s="243"/>
      <c r="COJ254" s="243"/>
      <c r="COK254" s="243"/>
      <c r="COL254" s="243"/>
      <c r="COM254" s="243"/>
      <c r="CON254" s="243"/>
      <c r="COO254" s="243"/>
      <c r="COP254" s="243"/>
      <c r="COQ254" s="243"/>
      <c r="COR254" s="243"/>
      <c r="COS254" s="243"/>
      <c r="COT254" s="243"/>
      <c r="COU254" s="243"/>
      <c r="COV254" s="243"/>
      <c r="COW254" s="243"/>
      <c r="COX254" s="243"/>
      <c r="COY254" s="243"/>
      <c r="COZ254" s="243"/>
      <c r="CPA254" s="243"/>
      <c r="CPB254" s="243"/>
      <c r="CPC254" s="243"/>
      <c r="CPD254" s="243"/>
      <c r="CPE254" s="243"/>
      <c r="CPF254" s="243"/>
      <c r="CPG254" s="243"/>
      <c r="CPH254" s="243"/>
      <c r="CPI254" s="243"/>
      <c r="CPJ254" s="243"/>
      <c r="CPK254" s="243"/>
      <c r="CPL254" s="243"/>
      <c r="CPM254" s="243"/>
      <c r="CPN254" s="243"/>
      <c r="CPO254" s="243"/>
      <c r="CPP254" s="243"/>
      <c r="CPQ254" s="243"/>
      <c r="CPR254" s="243"/>
      <c r="CPS254" s="243"/>
      <c r="CPT254" s="243"/>
      <c r="CPU254" s="243"/>
      <c r="CPV254" s="243"/>
      <c r="CPW254" s="243"/>
      <c r="CPX254" s="243"/>
      <c r="CPY254" s="243"/>
      <c r="CPZ254" s="243"/>
      <c r="CQA254" s="243"/>
      <c r="CQB254" s="243"/>
      <c r="CQC254" s="243"/>
      <c r="CQD254" s="243"/>
      <c r="CQE254" s="243"/>
      <c r="CQF254" s="243"/>
      <c r="CQG254" s="243"/>
      <c r="CQH254" s="243"/>
      <c r="CQI254" s="243"/>
      <c r="CQJ254" s="243"/>
      <c r="CQK254" s="243"/>
      <c r="CQL254" s="243"/>
      <c r="CQM254" s="243"/>
      <c r="CQN254" s="243"/>
      <c r="CQO254" s="243"/>
      <c r="CQP254" s="243"/>
      <c r="CQQ254" s="243"/>
      <c r="CQR254" s="243"/>
      <c r="CQS254" s="243"/>
      <c r="CQT254" s="243"/>
      <c r="CQU254" s="243"/>
      <c r="CQV254" s="243"/>
      <c r="CQW254" s="243"/>
      <c r="CQX254" s="243"/>
      <c r="CQY254" s="243"/>
      <c r="CQZ254" s="243"/>
      <c r="CRA254" s="243"/>
      <c r="CRB254" s="243"/>
      <c r="CRC254" s="243"/>
      <c r="CRD254" s="243"/>
      <c r="CRE254" s="243"/>
      <c r="CRF254" s="243"/>
      <c r="CRG254" s="243"/>
      <c r="CRH254" s="243"/>
      <c r="CRI254" s="243"/>
      <c r="CRJ254" s="243"/>
      <c r="CRK254" s="243"/>
      <c r="CRL254" s="243"/>
      <c r="CRM254" s="243"/>
      <c r="CRN254" s="243"/>
      <c r="CRO254" s="243"/>
      <c r="CRP254" s="243"/>
      <c r="CRQ254" s="243"/>
      <c r="CRR254" s="243"/>
      <c r="CRS254" s="243"/>
      <c r="CRT254" s="243"/>
      <c r="CRU254" s="243"/>
      <c r="CRV254" s="243"/>
      <c r="CRW254" s="243"/>
      <c r="CRX254" s="243"/>
      <c r="CRY254" s="243"/>
      <c r="CRZ254" s="243"/>
      <c r="CSA254" s="243"/>
      <c r="CSB254" s="243"/>
      <c r="CSC254" s="243"/>
      <c r="CSD254" s="243"/>
      <c r="CSE254" s="243"/>
      <c r="CSF254" s="243"/>
      <c r="CSG254" s="243"/>
      <c r="CSH254" s="243"/>
      <c r="CSI254" s="243"/>
      <c r="CSJ254" s="243"/>
      <c r="CSK254" s="243"/>
      <c r="CSL254" s="243"/>
      <c r="CSM254" s="243"/>
      <c r="CSN254" s="243"/>
      <c r="CSO254" s="243"/>
      <c r="CSP254" s="243"/>
      <c r="CSQ254" s="243"/>
      <c r="CSR254" s="243"/>
      <c r="CSS254" s="243"/>
      <c r="CST254" s="243"/>
      <c r="CSU254" s="243"/>
      <c r="CSV254" s="243"/>
      <c r="CSW254" s="243"/>
      <c r="CSX254" s="243"/>
      <c r="CSY254" s="243"/>
      <c r="CSZ254" s="243"/>
      <c r="CTA254" s="243"/>
      <c r="CTB254" s="243"/>
      <c r="CTC254" s="243"/>
      <c r="CTD254" s="243"/>
      <c r="CTE254" s="243"/>
      <c r="CTF254" s="243"/>
      <c r="CTG254" s="243"/>
      <c r="CTH254" s="243"/>
      <c r="CTI254" s="243"/>
      <c r="CTJ254" s="243"/>
      <c r="CTK254" s="243"/>
      <c r="CTL254" s="243"/>
      <c r="CTM254" s="243"/>
      <c r="CTN254" s="243"/>
      <c r="CTO254" s="243"/>
      <c r="CTP254" s="243"/>
      <c r="CTQ254" s="243"/>
      <c r="CTR254" s="243"/>
      <c r="CTS254" s="243"/>
      <c r="CTT254" s="243"/>
      <c r="CTU254" s="243"/>
      <c r="CTV254" s="243"/>
      <c r="CTW254" s="243"/>
      <c r="CTX254" s="243"/>
      <c r="CTY254" s="243"/>
      <c r="CTZ254" s="243"/>
      <c r="CUA254" s="243"/>
      <c r="CUB254" s="243"/>
      <c r="CUC254" s="243"/>
      <c r="CUD254" s="243"/>
      <c r="CUE254" s="243"/>
      <c r="CUF254" s="243"/>
      <c r="CUG254" s="243"/>
      <c r="CUH254" s="243"/>
      <c r="CUI254" s="243"/>
      <c r="CUJ254" s="243"/>
      <c r="CUK254" s="243"/>
      <c r="CUL254" s="243"/>
      <c r="CUM254" s="243"/>
      <c r="CUN254" s="243"/>
      <c r="CUO254" s="243"/>
      <c r="CUP254" s="243"/>
      <c r="CUQ254" s="243"/>
      <c r="CUR254" s="243"/>
      <c r="CUS254" s="243"/>
      <c r="CUT254" s="243"/>
      <c r="CUU254" s="243"/>
      <c r="CUV254" s="243"/>
      <c r="CUW254" s="243"/>
      <c r="CUX254" s="243"/>
      <c r="CUY254" s="243"/>
      <c r="CUZ254" s="243"/>
      <c r="CVA254" s="243"/>
      <c r="CVB254" s="243"/>
      <c r="CVC254" s="243"/>
      <c r="CVD254" s="243"/>
      <c r="CVE254" s="243"/>
      <c r="CVF254" s="243"/>
      <c r="CVG254" s="243"/>
      <c r="CVH254" s="243"/>
      <c r="CVI254" s="243"/>
      <c r="CVJ254" s="243"/>
      <c r="CVK254" s="243"/>
      <c r="CVL254" s="243"/>
      <c r="CVM254" s="243"/>
      <c r="CVN254" s="243"/>
      <c r="CVO254" s="243"/>
      <c r="CVP254" s="243"/>
      <c r="CVQ254" s="243"/>
      <c r="CVR254" s="243"/>
      <c r="CVS254" s="243"/>
      <c r="CVT254" s="243"/>
      <c r="CVU254" s="243"/>
      <c r="CVV254" s="243"/>
      <c r="CVW254" s="243"/>
      <c r="CVX254" s="243"/>
      <c r="CVY254" s="243"/>
      <c r="CVZ254" s="243"/>
      <c r="CWA254" s="243"/>
      <c r="CWB254" s="243"/>
      <c r="CWC254" s="243"/>
      <c r="CWD254" s="243"/>
      <c r="CWE254" s="243"/>
      <c r="CWF254" s="243"/>
      <c r="CWG254" s="243"/>
      <c r="CWH254" s="243"/>
      <c r="CWI254" s="243"/>
      <c r="CWJ254" s="243"/>
      <c r="CWK254" s="243"/>
      <c r="CWL254" s="243"/>
      <c r="CWM254" s="243"/>
      <c r="CWN254" s="243"/>
      <c r="CWO254" s="243"/>
      <c r="CWP254" s="243"/>
      <c r="CWQ254" s="243"/>
      <c r="CWR254" s="243"/>
      <c r="CWS254" s="243"/>
      <c r="CWT254" s="243"/>
      <c r="CWU254" s="243"/>
      <c r="CWV254" s="243"/>
      <c r="CWW254" s="243"/>
      <c r="CWX254" s="243"/>
      <c r="CWY254" s="243"/>
      <c r="CWZ254" s="243"/>
      <c r="CXA254" s="243"/>
      <c r="CXB254" s="243"/>
      <c r="CXC254" s="243"/>
      <c r="CXD254" s="243"/>
      <c r="CXE254" s="243"/>
      <c r="CXF254" s="243"/>
      <c r="CXG254" s="243"/>
      <c r="CXH254" s="243"/>
      <c r="CXI254" s="243"/>
      <c r="CXJ254" s="243"/>
      <c r="CXK254" s="243"/>
      <c r="CXL254" s="243"/>
      <c r="CXM254" s="243"/>
      <c r="CXN254" s="243"/>
      <c r="CXO254" s="243"/>
      <c r="CXP254" s="243"/>
      <c r="CXQ254" s="243"/>
      <c r="CXR254" s="243"/>
      <c r="CXS254" s="243"/>
      <c r="CXT254" s="243"/>
      <c r="CXU254" s="243"/>
      <c r="CXV254" s="243"/>
      <c r="CXW254" s="243"/>
      <c r="CXX254" s="243"/>
      <c r="CXY254" s="243"/>
      <c r="CXZ254" s="243"/>
      <c r="CYA254" s="243"/>
      <c r="CYB254" s="243"/>
      <c r="CYC254" s="243"/>
      <c r="CYD254" s="243"/>
      <c r="CYE254" s="243"/>
      <c r="CYF254" s="243"/>
      <c r="CYG254" s="243"/>
      <c r="CYH254" s="243"/>
      <c r="CYI254" s="243"/>
      <c r="CYJ254" s="243"/>
      <c r="CYK254" s="243"/>
      <c r="CYL254" s="243"/>
      <c r="CYM254" s="243"/>
      <c r="CYN254" s="243"/>
      <c r="CYO254" s="243"/>
      <c r="CYP254" s="243"/>
      <c r="CYQ254" s="243"/>
      <c r="CYR254" s="243"/>
      <c r="CYS254" s="243"/>
      <c r="CYT254" s="243"/>
      <c r="CYU254" s="243"/>
      <c r="CYV254" s="243"/>
      <c r="CYW254" s="243"/>
      <c r="CYX254" s="243"/>
      <c r="CYY254" s="243"/>
      <c r="CYZ254" s="243"/>
      <c r="CZA254" s="243"/>
      <c r="CZB254" s="243"/>
      <c r="CZC254" s="243"/>
      <c r="CZD254" s="243"/>
      <c r="CZE254" s="243"/>
      <c r="CZF254" s="243"/>
      <c r="CZG254" s="243"/>
      <c r="CZH254" s="243"/>
      <c r="CZI254" s="243"/>
      <c r="CZJ254" s="243"/>
      <c r="CZK254" s="243"/>
      <c r="CZL254" s="243"/>
      <c r="CZM254" s="243"/>
      <c r="CZN254" s="243"/>
      <c r="CZO254" s="243"/>
      <c r="CZP254" s="243"/>
      <c r="CZQ254" s="243"/>
      <c r="CZR254" s="243"/>
      <c r="CZS254" s="243"/>
      <c r="CZT254" s="243"/>
      <c r="CZU254" s="243"/>
      <c r="CZV254" s="243"/>
      <c r="CZW254" s="243"/>
      <c r="CZX254" s="243"/>
      <c r="CZY254" s="243"/>
      <c r="CZZ254" s="243"/>
      <c r="DAA254" s="243"/>
      <c r="DAB254" s="243"/>
      <c r="DAC254" s="243"/>
      <c r="DAD254" s="243"/>
      <c r="DAE254" s="243"/>
      <c r="DAF254" s="243"/>
      <c r="DAG254" s="243"/>
      <c r="DAH254" s="243"/>
      <c r="DAI254" s="243"/>
      <c r="DAJ254" s="243"/>
      <c r="DAK254" s="243"/>
      <c r="DAL254" s="243"/>
      <c r="DAM254" s="243"/>
      <c r="DAN254" s="243"/>
      <c r="DAO254" s="243"/>
      <c r="DAP254" s="243"/>
      <c r="DAQ254" s="243"/>
      <c r="DAR254" s="243"/>
      <c r="DAS254" s="243"/>
      <c r="DAT254" s="243"/>
      <c r="DAU254" s="243"/>
      <c r="DAV254" s="243"/>
      <c r="DAW254" s="243"/>
      <c r="DAX254" s="243"/>
      <c r="DAY254" s="243"/>
      <c r="DAZ254" s="243"/>
      <c r="DBA254" s="243"/>
      <c r="DBB254" s="243"/>
      <c r="DBC254" s="243"/>
      <c r="DBD254" s="243"/>
      <c r="DBE254" s="243"/>
      <c r="DBF254" s="243"/>
      <c r="DBG254" s="243"/>
      <c r="DBH254" s="243"/>
      <c r="DBI254" s="243"/>
      <c r="DBJ254" s="243"/>
      <c r="DBK254" s="243"/>
      <c r="DBL254" s="243"/>
      <c r="DBM254" s="243"/>
      <c r="DBN254" s="243"/>
      <c r="DBO254" s="243"/>
      <c r="DBP254" s="243"/>
      <c r="DBQ254" s="243"/>
      <c r="DBR254" s="243"/>
      <c r="DBS254" s="243"/>
      <c r="DBT254" s="243"/>
      <c r="DBU254" s="243"/>
      <c r="DBV254" s="243"/>
      <c r="DBW254" s="243"/>
      <c r="DBX254" s="243"/>
      <c r="DBY254" s="243"/>
      <c r="DBZ254" s="243"/>
      <c r="DCA254" s="243"/>
      <c r="DCB254" s="243"/>
      <c r="DCC254" s="243"/>
      <c r="DCD254" s="243"/>
      <c r="DCE254" s="243"/>
      <c r="DCF254" s="243"/>
      <c r="DCG254" s="243"/>
      <c r="DCH254" s="243"/>
      <c r="DCI254" s="243"/>
      <c r="DCJ254" s="243"/>
      <c r="DCK254" s="243"/>
      <c r="DCL254" s="243"/>
      <c r="DCM254" s="243"/>
      <c r="DCN254" s="243"/>
      <c r="DCO254" s="243"/>
      <c r="DCP254" s="243"/>
      <c r="DCQ254" s="243"/>
      <c r="DCR254" s="243"/>
      <c r="DCS254" s="243"/>
      <c r="DCT254" s="243"/>
      <c r="DCU254" s="243"/>
      <c r="DCV254" s="243"/>
      <c r="DCW254" s="243"/>
      <c r="DCX254" s="243"/>
      <c r="DCY254" s="243"/>
      <c r="DCZ254" s="243"/>
      <c r="DDA254" s="243"/>
      <c r="DDB254" s="243"/>
      <c r="DDC254" s="243"/>
      <c r="DDD254" s="243"/>
      <c r="DDE254" s="243"/>
      <c r="DDF254" s="243"/>
      <c r="DDG254" s="243"/>
      <c r="DDH254" s="243"/>
      <c r="DDI254" s="243"/>
      <c r="DDJ254" s="243"/>
      <c r="DDK254" s="243"/>
      <c r="DDL254" s="243"/>
      <c r="DDM254" s="243"/>
      <c r="DDN254" s="243"/>
      <c r="DDO254" s="243"/>
      <c r="DDP254" s="243"/>
      <c r="DDQ254" s="243"/>
      <c r="DDR254" s="243"/>
      <c r="DDS254" s="243"/>
      <c r="DDT254" s="243"/>
      <c r="DDU254" s="243"/>
      <c r="DDV254" s="243"/>
      <c r="DDW254" s="243"/>
      <c r="DDX254" s="243"/>
      <c r="DDY254" s="243"/>
      <c r="DDZ254" s="243"/>
      <c r="DEA254" s="243"/>
      <c r="DEB254" s="243"/>
      <c r="DEC254" s="243"/>
      <c r="DED254" s="243"/>
      <c r="DEE254" s="243"/>
      <c r="DEF254" s="243"/>
      <c r="DEG254" s="243"/>
      <c r="DEH254" s="243"/>
      <c r="DEI254" s="243"/>
      <c r="DEJ254" s="243"/>
      <c r="DEK254" s="243"/>
      <c r="DEL254" s="243"/>
      <c r="DEM254" s="243"/>
      <c r="DEN254" s="243"/>
      <c r="DEO254" s="243"/>
      <c r="DEP254" s="243"/>
      <c r="DEQ254" s="243"/>
      <c r="DER254" s="243"/>
      <c r="DES254" s="243"/>
      <c r="DET254" s="243"/>
      <c r="DEU254" s="243"/>
      <c r="DEV254" s="243"/>
      <c r="DEW254" s="243"/>
      <c r="DEX254" s="243"/>
      <c r="DEY254" s="243"/>
      <c r="DEZ254" s="243"/>
      <c r="DFA254" s="243"/>
      <c r="DFB254" s="243"/>
      <c r="DFC254" s="243"/>
      <c r="DFD254" s="243"/>
      <c r="DFE254" s="243"/>
      <c r="DFF254" s="243"/>
      <c r="DFG254" s="243"/>
      <c r="DFH254" s="243"/>
      <c r="DFI254" s="243"/>
      <c r="DFJ254" s="243"/>
      <c r="DFK254" s="243"/>
      <c r="DFL254" s="243"/>
      <c r="DFM254" s="243"/>
      <c r="DFN254" s="243"/>
      <c r="DFO254" s="243"/>
      <c r="DFP254" s="243"/>
      <c r="DFQ254" s="243"/>
      <c r="DFR254" s="243"/>
      <c r="DFS254" s="243"/>
      <c r="DFT254" s="243"/>
      <c r="DFU254" s="243"/>
      <c r="DFV254" s="243"/>
      <c r="DFW254" s="243"/>
      <c r="DFX254" s="243"/>
      <c r="DFY254" s="243"/>
      <c r="DFZ254" s="243"/>
      <c r="DGA254" s="243"/>
      <c r="DGB254" s="243"/>
      <c r="DGC254" s="243"/>
      <c r="DGD254" s="243"/>
      <c r="DGE254" s="243"/>
      <c r="DGF254" s="243"/>
      <c r="DGG254" s="243"/>
      <c r="DGH254" s="243"/>
      <c r="DGI254" s="243"/>
      <c r="DGJ254" s="243"/>
      <c r="DGK254" s="243"/>
      <c r="DGL254" s="243"/>
      <c r="DGM254" s="243"/>
      <c r="DGN254" s="243"/>
      <c r="DGO254" s="243"/>
      <c r="DGP254" s="243"/>
      <c r="DGQ254" s="243"/>
      <c r="DGR254" s="243"/>
      <c r="DGS254" s="243"/>
      <c r="DGT254" s="243"/>
      <c r="DGU254" s="243"/>
      <c r="DGV254" s="243"/>
      <c r="DGW254" s="243"/>
      <c r="DGX254" s="243"/>
      <c r="DGY254" s="243"/>
      <c r="DGZ254" s="243"/>
      <c r="DHA254" s="243"/>
      <c r="DHB254" s="243"/>
      <c r="DHC254" s="243"/>
      <c r="DHD254" s="243"/>
      <c r="DHE254" s="243"/>
      <c r="DHF254" s="243"/>
      <c r="DHG254" s="243"/>
      <c r="DHH254" s="243"/>
      <c r="DHI254" s="243"/>
      <c r="DHJ254" s="243"/>
      <c r="DHK254" s="243"/>
      <c r="DHL254" s="243"/>
      <c r="DHM254" s="243"/>
      <c r="DHN254" s="243"/>
      <c r="DHO254" s="243"/>
      <c r="DHP254" s="243"/>
      <c r="DHQ254" s="243"/>
      <c r="DHR254" s="243"/>
      <c r="DHS254" s="243"/>
      <c r="DHT254" s="243"/>
      <c r="DHU254" s="243"/>
      <c r="DHV254" s="243"/>
      <c r="DHW254" s="243"/>
      <c r="DHX254" s="243"/>
      <c r="DHY254" s="243"/>
      <c r="DHZ254" s="243"/>
      <c r="DIA254" s="243"/>
      <c r="DIB254" s="243"/>
      <c r="DIC254" s="243"/>
      <c r="DID254" s="243"/>
      <c r="DIE254" s="243"/>
      <c r="DIF254" s="243"/>
      <c r="DIG254" s="243"/>
      <c r="DIH254" s="243"/>
      <c r="DII254" s="243"/>
      <c r="DIJ254" s="243"/>
      <c r="DIK254" s="243"/>
      <c r="DIL254" s="243"/>
      <c r="DIM254" s="243"/>
      <c r="DIN254" s="243"/>
      <c r="DIO254" s="243"/>
      <c r="DIP254" s="243"/>
      <c r="DIQ254" s="243"/>
      <c r="DIR254" s="243"/>
      <c r="DIS254" s="243"/>
      <c r="DIT254" s="243"/>
      <c r="DIU254" s="243"/>
      <c r="DIV254" s="243"/>
      <c r="DIW254" s="243"/>
      <c r="DIX254" s="243"/>
      <c r="DIY254" s="243"/>
      <c r="DIZ254" s="243"/>
      <c r="DJA254" s="243"/>
      <c r="DJB254" s="243"/>
      <c r="DJC254" s="243"/>
      <c r="DJD254" s="243"/>
      <c r="DJE254" s="243"/>
      <c r="DJF254" s="243"/>
      <c r="DJG254" s="243"/>
      <c r="DJH254" s="243"/>
      <c r="DJI254" s="243"/>
      <c r="DJJ254" s="243"/>
      <c r="DJK254" s="243"/>
      <c r="DJL254" s="243"/>
      <c r="DJM254" s="243"/>
      <c r="DJN254" s="243"/>
      <c r="DJO254" s="243"/>
      <c r="DJP254" s="243"/>
      <c r="DJQ254" s="243"/>
      <c r="DJR254" s="243"/>
      <c r="DJS254" s="243"/>
      <c r="DJT254" s="243"/>
      <c r="DJU254" s="243"/>
      <c r="DJV254" s="243"/>
      <c r="DJW254" s="243"/>
      <c r="DJX254" s="243"/>
      <c r="DJY254" s="243"/>
      <c r="DJZ254" s="243"/>
      <c r="DKA254" s="243"/>
      <c r="DKB254" s="243"/>
      <c r="DKC254" s="243"/>
      <c r="DKD254" s="243"/>
      <c r="DKE254" s="243"/>
      <c r="DKF254" s="243"/>
      <c r="DKG254" s="243"/>
      <c r="DKH254" s="243"/>
      <c r="DKI254" s="243"/>
      <c r="DKJ254" s="243"/>
      <c r="DKK254" s="243"/>
      <c r="DKL254" s="243"/>
      <c r="DKM254" s="243"/>
      <c r="DKN254" s="243"/>
      <c r="DKO254" s="243"/>
      <c r="DKP254" s="243"/>
      <c r="DKQ254" s="243"/>
      <c r="DKR254" s="243"/>
      <c r="DKS254" s="243"/>
      <c r="DKT254" s="243"/>
      <c r="DKU254" s="243"/>
      <c r="DKV254" s="243"/>
      <c r="DKW254" s="243"/>
      <c r="DKX254" s="243"/>
      <c r="DKY254" s="243"/>
      <c r="DKZ254" s="243"/>
      <c r="DLA254" s="243"/>
      <c r="DLB254" s="243"/>
      <c r="DLC254" s="243"/>
      <c r="DLD254" s="243"/>
      <c r="DLE254" s="243"/>
      <c r="DLF254" s="243"/>
      <c r="DLG254" s="243"/>
      <c r="DLH254" s="243"/>
      <c r="DLI254" s="243"/>
      <c r="DLJ254" s="243"/>
      <c r="DLK254" s="243"/>
      <c r="DLL254" s="243"/>
      <c r="DLM254" s="243"/>
      <c r="DLN254" s="243"/>
      <c r="DLO254" s="243"/>
      <c r="DLP254" s="243"/>
      <c r="DLQ254" s="243"/>
      <c r="DLR254" s="243"/>
      <c r="DLS254" s="243"/>
      <c r="DLT254" s="243"/>
      <c r="DLU254" s="243"/>
      <c r="DLV254" s="243"/>
      <c r="DLW254" s="243"/>
      <c r="DLX254" s="243"/>
      <c r="DLY254" s="243"/>
      <c r="DLZ254" s="243"/>
      <c r="DMA254" s="243"/>
      <c r="DMB254" s="243"/>
      <c r="DMC254" s="243"/>
      <c r="DMD254" s="243"/>
      <c r="DME254" s="243"/>
      <c r="DMF254" s="243"/>
      <c r="DMG254" s="243"/>
      <c r="DMH254" s="243"/>
      <c r="DMI254" s="243"/>
      <c r="DMJ254" s="243"/>
      <c r="DMK254" s="243"/>
      <c r="DML254" s="243"/>
      <c r="DMM254" s="243"/>
      <c r="DMN254" s="243"/>
      <c r="DMO254" s="243"/>
      <c r="DMP254" s="243"/>
      <c r="DMQ254" s="243"/>
      <c r="DMR254" s="243"/>
      <c r="DMS254" s="243"/>
      <c r="DMT254" s="243"/>
      <c r="DMU254" s="243"/>
      <c r="DMV254" s="243"/>
      <c r="DMW254" s="243"/>
      <c r="DMX254" s="243"/>
      <c r="DMY254" s="243"/>
      <c r="DMZ254" s="243"/>
      <c r="DNA254" s="243"/>
      <c r="DNB254" s="243"/>
      <c r="DNC254" s="243"/>
      <c r="DND254" s="243"/>
      <c r="DNE254" s="243"/>
      <c r="DNF254" s="243"/>
      <c r="DNG254" s="243"/>
      <c r="DNH254" s="243"/>
      <c r="DNI254" s="243"/>
      <c r="DNJ254" s="243"/>
      <c r="DNK254" s="243"/>
      <c r="DNL254" s="243"/>
      <c r="DNM254" s="243"/>
      <c r="DNN254" s="243"/>
      <c r="DNO254" s="243"/>
      <c r="DNP254" s="243"/>
      <c r="DNQ254" s="243"/>
      <c r="DNR254" s="243"/>
      <c r="DNS254" s="243"/>
      <c r="DNT254" s="243"/>
      <c r="DNU254" s="243"/>
      <c r="DNV254" s="243"/>
      <c r="DNW254" s="243"/>
      <c r="DNX254" s="243"/>
      <c r="DNY254" s="243"/>
      <c r="DNZ254" s="243"/>
      <c r="DOA254" s="243"/>
      <c r="DOB254" s="243"/>
      <c r="DOC254" s="243"/>
      <c r="DOD254" s="243"/>
      <c r="DOE254" s="243"/>
      <c r="DOF254" s="243"/>
      <c r="DOG254" s="243"/>
      <c r="DOH254" s="243"/>
      <c r="DOI254" s="243"/>
      <c r="DOJ254" s="243"/>
      <c r="DOK254" s="243"/>
      <c r="DOL254" s="243"/>
      <c r="DOM254" s="243"/>
      <c r="DON254" s="243"/>
      <c r="DOO254" s="243"/>
      <c r="DOP254" s="243"/>
      <c r="DOQ254" s="243"/>
      <c r="DOR254" s="243"/>
      <c r="DOS254" s="243"/>
      <c r="DOT254" s="243"/>
      <c r="DOU254" s="243"/>
      <c r="DOV254" s="243"/>
      <c r="DOW254" s="243"/>
      <c r="DOX254" s="243"/>
      <c r="DOY254" s="243"/>
      <c r="DOZ254" s="243"/>
      <c r="DPA254" s="243"/>
      <c r="DPB254" s="243"/>
      <c r="DPC254" s="243"/>
      <c r="DPD254" s="243"/>
      <c r="DPE254" s="243"/>
      <c r="DPF254" s="243"/>
      <c r="DPG254" s="243"/>
      <c r="DPH254" s="243"/>
      <c r="DPI254" s="243"/>
      <c r="DPJ254" s="243"/>
      <c r="DPK254" s="243"/>
      <c r="DPL254" s="243"/>
      <c r="DPM254" s="243"/>
      <c r="DPN254" s="243"/>
      <c r="DPO254" s="243"/>
      <c r="DPP254" s="243"/>
      <c r="DPQ254" s="243"/>
      <c r="DPR254" s="243"/>
      <c r="DPS254" s="243"/>
      <c r="DPT254" s="243"/>
      <c r="DPU254" s="243"/>
      <c r="DPV254" s="243"/>
      <c r="DPW254" s="243"/>
      <c r="DPX254" s="243"/>
      <c r="DPY254" s="243"/>
      <c r="DPZ254" s="243"/>
      <c r="DQA254" s="243"/>
      <c r="DQB254" s="243"/>
      <c r="DQC254" s="243"/>
      <c r="DQD254" s="243"/>
      <c r="DQE254" s="243"/>
      <c r="DQF254" s="243"/>
      <c r="DQG254" s="243"/>
      <c r="DQH254" s="243"/>
      <c r="DQI254" s="243"/>
      <c r="DQJ254" s="243"/>
      <c r="DQK254" s="243"/>
      <c r="DQL254" s="243"/>
      <c r="DQM254" s="243"/>
      <c r="DQN254" s="243"/>
      <c r="DQO254" s="243"/>
      <c r="DQP254" s="243"/>
      <c r="DQQ254" s="243"/>
      <c r="DQR254" s="243"/>
      <c r="DQS254" s="243"/>
      <c r="DQT254" s="243"/>
      <c r="DQU254" s="243"/>
      <c r="DQV254" s="243"/>
      <c r="DQW254" s="243"/>
      <c r="DQX254" s="243"/>
      <c r="DQY254" s="243"/>
      <c r="DQZ254" s="243"/>
      <c r="DRA254" s="243"/>
      <c r="DRB254" s="243"/>
      <c r="DRC254" s="243"/>
      <c r="DRD254" s="243"/>
      <c r="DRE254" s="243"/>
      <c r="DRF254" s="243"/>
      <c r="DRG254" s="243"/>
      <c r="DRH254" s="243"/>
      <c r="DRI254" s="243"/>
      <c r="DRJ254" s="243"/>
      <c r="DRK254" s="243"/>
      <c r="DRL254" s="243"/>
      <c r="DRM254" s="243"/>
      <c r="DRN254" s="243"/>
      <c r="DRO254" s="243"/>
      <c r="DRP254" s="243"/>
      <c r="DRQ254" s="243"/>
      <c r="DRR254" s="243"/>
      <c r="DRS254" s="243"/>
      <c r="DRT254" s="243"/>
      <c r="DRU254" s="243"/>
      <c r="DRV254" s="243"/>
      <c r="DRW254" s="243"/>
      <c r="DRX254" s="243"/>
      <c r="DRY254" s="243"/>
      <c r="DRZ254" s="243"/>
      <c r="DSA254" s="243"/>
      <c r="DSB254" s="243"/>
      <c r="DSC254" s="243"/>
      <c r="DSD254" s="243"/>
      <c r="DSE254" s="243"/>
      <c r="DSF254" s="243"/>
      <c r="DSG254" s="243"/>
      <c r="DSH254" s="243"/>
      <c r="DSI254" s="243"/>
      <c r="DSJ254" s="243"/>
      <c r="DSK254" s="243"/>
      <c r="DSL254" s="243"/>
      <c r="DSM254" s="243"/>
      <c r="DSN254" s="243"/>
      <c r="DSO254" s="243"/>
      <c r="DSP254" s="243"/>
      <c r="DSQ254" s="243"/>
      <c r="DSR254" s="243"/>
      <c r="DSS254" s="243"/>
      <c r="DST254" s="243"/>
      <c r="DSU254" s="243"/>
      <c r="DSV254" s="243"/>
      <c r="DSW254" s="243"/>
      <c r="DSX254" s="243"/>
      <c r="DSY254" s="243"/>
      <c r="DSZ254" s="243"/>
      <c r="DTA254" s="243"/>
      <c r="DTB254" s="243"/>
      <c r="DTC254" s="243"/>
      <c r="DTD254" s="243"/>
      <c r="DTE254" s="243"/>
      <c r="DTF254" s="243"/>
      <c r="DTG254" s="243"/>
      <c r="DTH254" s="243"/>
      <c r="DTI254" s="243"/>
      <c r="DTJ254" s="243"/>
      <c r="DTK254" s="243"/>
      <c r="DTL254" s="243"/>
      <c r="DTM254" s="243"/>
      <c r="DTN254" s="243"/>
      <c r="DTO254" s="243"/>
      <c r="DTP254" s="243"/>
      <c r="DTQ254" s="243"/>
      <c r="DTR254" s="243"/>
      <c r="DTS254" s="243"/>
      <c r="DTT254" s="243"/>
      <c r="DTU254" s="243"/>
      <c r="DTV254" s="243"/>
      <c r="DTW254" s="243"/>
      <c r="DTX254" s="243"/>
      <c r="DTY254" s="243"/>
      <c r="DTZ254" s="243"/>
      <c r="DUA254" s="243"/>
      <c r="DUB254" s="243"/>
      <c r="DUC254" s="243"/>
      <c r="DUD254" s="243"/>
      <c r="DUE254" s="243"/>
      <c r="DUF254" s="243"/>
      <c r="DUG254" s="243"/>
      <c r="DUH254" s="243"/>
      <c r="DUI254" s="243"/>
      <c r="DUJ254" s="243"/>
      <c r="DUK254" s="243"/>
      <c r="DUL254" s="243"/>
      <c r="DUM254" s="243"/>
      <c r="DUN254" s="243"/>
      <c r="DUO254" s="243"/>
      <c r="DUP254" s="243"/>
      <c r="DUQ254" s="243"/>
      <c r="DUR254" s="243"/>
      <c r="DUS254" s="243"/>
      <c r="DUT254" s="243"/>
      <c r="DUU254" s="243"/>
      <c r="DUV254" s="243"/>
      <c r="DUW254" s="243"/>
      <c r="DUX254" s="243"/>
      <c r="DUY254" s="243"/>
      <c r="DUZ254" s="243"/>
      <c r="DVA254" s="243"/>
      <c r="DVB254" s="243"/>
      <c r="DVC254" s="243"/>
      <c r="DVD254" s="243"/>
      <c r="DVE254" s="243"/>
      <c r="DVF254" s="243"/>
      <c r="DVG254" s="243"/>
      <c r="DVH254" s="243"/>
      <c r="DVI254" s="243"/>
      <c r="DVJ254" s="243"/>
      <c r="DVK254" s="243"/>
      <c r="DVL254" s="243"/>
      <c r="DVM254" s="243"/>
      <c r="DVN254" s="243"/>
      <c r="DVO254" s="243"/>
      <c r="DVP254" s="243"/>
      <c r="DVQ254" s="243"/>
      <c r="DVR254" s="243"/>
      <c r="DVS254" s="243"/>
      <c r="DVT254" s="243"/>
      <c r="DVU254" s="243"/>
      <c r="DVV254" s="243"/>
      <c r="DVW254" s="243"/>
      <c r="DVX254" s="243"/>
      <c r="DVY254" s="243"/>
      <c r="DVZ254" s="243"/>
      <c r="DWA254" s="243"/>
      <c r="DWB254" s="243"/>
      <c r="DWC254" s="243"/>
      <c r="DWD254" s="243"/>
      <c r="DWE254" s="243"/>
      <c r="DWF254" s="243"/>
      <c r="DWG254" s="243"/>
      <c r="DWH254" s="243"/>
      <c r="DWI254" s="243"/>
      <c r="DWJ254" s="243"/>
      <c r="DWK254" s="243"/>
      <c r="DWL254" s="243"/>
      <c r="DWM254" s="243"/>
      <c r="DWN254" s="243"/>
      <c r="DWO254" s="243"/>
      <c r="DWP254" s="243"/>
      <c r="DWQ254" s="243"/>
      <c r="DWR254" s="243"/>
      <c r="DWS254" s="243"/>
      <c r="DWT254" s="243"/>
      <c r="DWU254" s="243"/>
      <c r="DWV254" s="243"/>
      <c r="DWW254" s="243"/>
      <c r="DWX254" s="243"/>
      <c r="DWY254" s="243"/>
      <c r="DWZ254" s="243"/>
      <c r="DXA254" s="243"/>
      <c r="DXB254" s="243"/>
      <c r="DXC254" s="243"/>
      <c r="DXD254" s="243"/>
      <c r="DXE254" s="243"/>
      <c r="DXF254" s="243"/>
      <c r="DXG254" s="243"/>
      <c r="DXH254" s="243"/>
      <c r="DXI254" s="243"/>
      <c r="DXJ254" s="243"/>
      <c r="DXK254" s="243"/>
      <c r="DXL254" s="243"/>
      <c r="DXM254" s="243"/>
      <c r="DXN254" s="243"/>
      <c r="DXO254" s="243"/>
      <c r="DXP254" s="243"/>
      <c r="DXQ254" s="243"/>
      <c r="DXR254" s="243"/>
      <c r="DXS254" s="243"/>
      <c r="DXT254" s="243"/>
      <c r="DXU254" s="243"/>
      <c r="DXV254" s="243"/>
      <c r="DXW254" s="243"/>
      <c r="DXX254" s="243"/>
      <c r="DXY254" s="243"/>
      <c r="DXZ254" s="243"/>
      <c r="DYA254" s="243"/>
      <c r="DYB254" s="243"/>
      <c r="DYC254" s="243"/>
      <c r="DYD254" s="243"/>
      <c r="DYE254" s="243"/>
      <c r="DYF254" s="243"/>
      <c r="DYG254" s="243"/>
      <c r="DYH254" s="243"/>
      <c r="DYI254" s="243"/>
      <c r="DYJ254" s="243"/>
      <c r="DYK254" s="243"/>
      <c r="DYL254" s="243"/>
      <c r="DYM254" s="243"/>
      <c r="DYN254" s="243"/>
      <c r="DYO254" s="243"/>
      <c r="DYP254" s="243"/>
      <c r="DYQ254" s="243"/>
      <c r="DYR254" s="243"/>
      <c r="DYS254" s="243"/>
      <c r="DYT254" s="243"/>
      <c r="DYU254" s="243"/>
      <c r="DYV254" s="243"/>
      <c r="DYW254" s="243"/>
      <c r="DYX254" s="243"/>
      <c r="DYY254" s="243"/>
      <c r="DYZ254" s="243"/>
      <c r="DZA254" s="243"/>
      <c r="DZB254" s="243"/>
      <c r="DZC254" s="243"/>
      <c r="DZD254" s="243"/>
      <c r="DZE254" s="243"/>
      <c r="DZF254" s="243"/>
      <c r="DZG254" s="243"/>
      <c r="DZH254" s="243"/>
      <c r="DZI254" s="243"/>
      <c r="DZJ254" s="243"/>
      <c r="DZK254" s="243"/>
      <c r="DZL254" s="243"/>
      <c r="DZM254" s="243"/>
      <c r="DZN254" s="243"/>
      <c r="DZO254" s="243"/>
      <c r="DZP254" s="243"/>
      <c r="DZQ254" s="243"/>
      <c r="DZR254" s="243"/>
      <c r="DZS254" s="243"/>
      <c r="DZT254" s="243"/>
      <c r="DZU254" s="243"/>
      <c r="DZV254" s="243"/>
      <c r="DZW254" s="243"/>
      <c r="DZX254" s="243"/>
      <c r="DZY254" s="243"/>
      <c r="DZZ254" s="243"/>
      <c r="EAA254" s="243"/>
      <c r="EAB254" s="243"/>
      <c r="EAC254" s="243"/>
      <c r="EAD254" s="243"/>
      <c r="EAE254" s="243"/>
      <c r="EAF254" s="243"/>
      <c r="EAG254" s="243"/>
      <c r="EAH254" s="243"/>
      <c r="EAI254" s="243"/>
      <c r="EAJ254" s="243"/>
      <c r="EAK254" s="243"/>
      <c r="EAL254" s="243"/>
      <c r="EAM254" s="243"/>
      <c r="EAN254" s="243"/>
      <c r="EAO254" s="243"/>
      <c r="EAP254" s="243"/>
      <c r="EAQ254" s="243"/>
      <c r="EAR254" s="243"/>
      <c r="EAS254" s="243"/>
      <c r="EAT254" s="243"/>
      <c r="EAU254" s="243"/>
      <c r="EAV254" s="243"/>
      <c r="EAW254" s="243"/>
      <c r="EAX254" s="243"/>
      <c r="EAY254" s="243"/>
      <c r="EAZ254" s="243"/>
      <c r="EBA254" s="243"/>
      <c r="EBB254" s="243"/>
      <c r="EBC254" s="243"/>
      <c r="EBD254" s="243"/>
      <c r="EBE254" s="243"/>
      <c r="EBF254" s="243"/>
      <c r="EBG254" s="243"/>
      <c r="EBH254" s="243"/>
      <c r="EBI254" s="243"/>
      <c r="EBJ254" s="243"/>
      <c r="EBK254" s="243"/>
      <c r="EBL254" s="243"/>
      <c r="EBM254" s="243"/>
      <c r="EBN254" s="243"/>
      <c r="EBO254" s="243"/>
      <c r="EBP254" s="243"/>
      <c r="EBQ254" s="243"/>
      <c r="EBR254" s="243"/>
      <c r="EBS254" s="243"/>
      <c r="EBT254" s="243"/>
      <c r="EBU254" s="243"/>
      <c r="EBV254" s="243"/>
      <c r="EBW254" s="243"/>
      <c r="EBX254" s="243"/>
      <c r="EBY254" s="243"/>
      <c r="EBZ254" s="243"/>
      <c r="ECA254" s="243"/>
      <c r="ECB254" s="243"/>
      <c r="ECC254" s="243"/>
      <c r="ECD254" s="243"/>
      <c r="ECE254" s="243"/>
      <c r="ECF254" s="243"/>
      <c r="ECG254" s="243"/>
      <c r="ECH254" s="243"/>
      <c r="ECI254" s="243"/>
      <c r="ECJ254" s="243"/>
      <c r="ECK254" s="243"/>
      <c r="ECL254" s="243"/>
      <c r="ECM254" s="243"/>
      <c r="ECN254" s="243"/>
      <c r="ECO254" s="243"/>
      <c r="ECP254" s="243"/>
      <c r="ECQ254" s="243"/>
      <c r="ECR254" s="243"/>
      <c r="ECS254" s="243"/>
      <c r="ECT254" s="243"/>
      <c r="ECU254" s="243"/>
      <c r="ECV254" s="243"/>
      <c r="ECW254" s="243"/>
      <c r="ECX254" s="243"/>
      <c r="ECY254" s="243"/>
      <c r="ECZ254" s="243"/>
      <c r="EDA254" s="243"/>
      <c r="EDB254" s="243"/>
      <c r="EDC254" s="243"/>
      <c r="EDD254" s="243"/>
      <c r="EDE254" s="243"/>
      <c r="EDF254" s="243"/>
      <c r="EDG254" s="243"/>
      <c r="EDH254" s="243"/>
      <c r="EDI254" s="243"/>
      <c r="EDJ254" s="243"/>
      <c r="EDK254" s="243"/>
      <c r="EDL254" s="243"/>
      <c r="EDM254" s="243"/>
      <c r="EDN254" s="243"/>
      <c r="EDO254" s="243"/>
      <c r="EDP254" s="243"/>
      <c r="EDQ254" s="243"/>
      <c r="EDR254" s="243"/>
      <c r="EDS254" s="243"/>
      <c r="EDT254" s="243"/>
      <c r="EDU254" s="243"/>
      <c r="EDV254" s="243"/>
      <c r="EDW254" s="243"/>
      <c r="EDX254" s="243"/>
      <c r="EDY254" s="243"/>
      <c r="EDZ254" s="243"/>
      <c r="EEA254" s="243"/>
      <c r="EEB254" s="243"/>
      <c r="EEC254" s="243"/>
      <c r="EED254" s="243"/>
      <c r="EEE254" s="243"/>
      <c r="EEF254" s="243"/>
      <c r="EEG254" s="243"/>
      <c r="EEH254" s="243"/>
      <c r="EEI254" s="243"/>
      <c r="EEJ254" s="243"/>
      <c r="EEK254" s="243"/>
      <c r="EEL254" s="243"/>
      <c r="EEM254" s="243"/>
      <c r="EEN254" s="243"/>
      <c r="EEO254" s="243"/>
      <c r="EEP254" s="243"/>
      <c r="EEQ254" s="243"/>
      <c r="EER254" s="243"/>
      <c r="EES254" s="243"/>
      <c r="EET254" s="243"/>
      <c r="EEU254" s="243"/>
      <c r="EEV254" s="243"/>
      <c r="EEW254" s="243"/>
      <c r="EEX254" s="243"/>
      <c r="EEY254" s="243"/>
      <c r="EEZ254" s="243"/>
      <c r="EFA254" s="243"/>
      <c r="EFB254" s="243"/>
      <c r="EFC254" s="243"/>
      <c r="EFD254" s="243"/>
      <c r="EFE254" s="243"/>
      <c r="EFF254" s="243"/>
      <c r="EFG254" s="243"/>
      <c r="EFH254" s="243"/>
      <c r="EFI254" s="243"/>
      <c r="EFJ254" s="243"/>
      <c r="EFK254" s="243"/>
      <c r="EFL254" s="243"/>
      <c r="EFM254" s="243"/>
      <c r="EFN254" s="243"/>
      <c r="EFO254" s="243"/>
      <c r="EFP254" s="243"/>
      <c r="EFQ254" s="243"/>
      <c r="EFR254" s="243"/>
      <c r="EFS254" s="243"/>
      <c r="EFT254" s="243"/>
      <c r="EFU254" s="243"/>
      <c r="EFV254" s="243"/>
      <c r="EFW254" s="243"/>
      <c r="EFX254" s="243"/>
      <c r="EFY254" s="243"/>
      <c r="EFZ254" s="243"/>
      <c r="EGA254" s="243"/>
      <c r="EGB254" s="243"/>
      <c r="EGC254" s="243"/>
      <c r="EGD254" s="243"/>
      <c r="EGE254" s="243"/>
      <c r="EGF254" s="243"/>
      <c r="EGG254" s="243"/>
      <c r="EGH254" s="243"/>
      <c r="EGI254" s="243"/>
      <c r="EGJ254" s="243"/>
      <c r="EGK254" s="243"/>
      <c r="EGL254" s="243"/>
      <c r="EGM254" s="243"/>
      <c r="EGN254" s="243"/>
      <c r="EGO254" s="243"/>
      <c r="EGP254" s="243"/>
      <c r="EGQ254" s="243"/>
      <c r="EGR254" s="243"/>
      <c r="EGS254" s="243"/>
      <c r="EGT254" s="243"/>
      <c r="EGU254" s="243"/>
      <c r="EGV254" s="243"/>
      <c r="EGW254" s="243"/>
      <c r="EGX254" s="243"/>
      <c r="EGY254" s="243"/>
      <c r="EGZ254" s="243"/>
      <c r="EHA254" s="243"/>
      <c r="EHB254" s="243"/>
      <c r="EHC254" s="243"/>
      <c r="EHD254" s="243"/>
      <c r="EHE254" s="243"/>
      <c r="EHF254" s="243"/>
      <c r="EHG254" s="243"/>
      <c r="EHH254" s="243"/>
      <c r="EHI254" s="243"/>
      <c r="EHJ254" s="243"/>
      <c r="EHK254" s="243"/>
      <c r="EHL254" s="243"/>
      <c r="EHM254" s="243"/>
      <c r="EHN254" s="243"/>
      <c r="EHO254" s="243"/>
      <c r="EHP254" s="243"/>
      <c r="EHQ254" s="243"/>
      <c r="EHR254" s="243"/>
      <c r="EHS254" s="243"/>
      <c r="EHT254" s="243"/>
      <c r="EHU254" s="243"/>
      <c r="EHV254" s="243"/>
      <c r="EHW254" s="243"/>
      <c r="EHX254" s="243"/>
      <c r="EHY254" s="243"/>
      <c r="EHZ254" s="243"/>
      <c r="EIA254" s="243"/>
      <c r="EIB254" s="243"/>
      <c r="EIC254" s="243"/>
      <c r="EID254" s="243"/>
      <c r="EIE254" s="243"/>
      <c r="EIF254" s="243"/>
      <c r="EIG254" s="243"/>
      <c r="EIH254" s="243"/>
      <c r="EII254" s="243"/>
      <c r="EIJ254" s="243"/>
      <c r="EIK254" s="243"/>
      <c r="EIL254" s="243"/>
      <c r="EIM254" s="243"/>
      <c r="EIN254" s="243"/>
      <c r="EIO254" s="243"/>
      <c r="EIP254" s="243"/>
      <c r="EIQ254" s="243"/>
      <c r="EIR254" s="243"/>
      <c r="EIS254" s="243"/>
      <c r="EIT254" s="243"/>
      <c r="EIU254" s="243"/>
      <c r="EIV254" s="243"/>
      <c r="EIW254" s="243"/>
      <c r="EIX254" s="243"/>
      <c r="EIY254" s="243"/>
      <c r="EIZ254" s="243"/>
      <c r="EJA254" s="243"/>
      <c r="EJB254" s="243"/>
      <c r="EJC254" s="243"/>
      <c r="EJD254" s="243"/>
      <c r="EJE254" s="243"/>
      <c r="EJF254" s="243"/>
      <c r="EJG254" s="243"/>
      <c r="EJH254" s="243"/>
      <c r="EJI254" s="243"/>
      <c r="EJJ254" s="243"/>
      <c r="EJK254" s="243"/>
      <c r="EJL254" s="243"/>
      <c r="EJM254" s="243"/>
      <c r="EJN254" s="243"/>
      <c r="EJO254" s="243"/>
      <c r="EJP254" s="243"/>
      <c r="EJQ254" s="243"/>
      <c r="EJR254" s="243"/>
      <c r="EJS254" s="243"/>
      <c r="EJT254" s="243"/>
      <c r="EJU254" s="243"/>
      <c r="EJV254" s="243"/>
      <c r="EJW254" s="243"/>
      <c r="EJX254" s="243"/>
      <c r="EJY254" s="243"/>
      <c r="EJZ254" s="243"/>
      <c r="EKA254" s="243"/>
      <c r="EKB254" s="243"/>
      <c r="EKC254" s="243"/>
      <c r="EKD254" s="243"/>
      <c r="EKE254" s="243"/>
      <c r="EKF254" s="243"/>
      <c r="EKG254" s="243"/>
      <c r="EKH254" s="243"/>
      <c r="EKI254" s="243"/>
      <c r="EKJ254" s="243"/>
      <c r="EKK254" s="243"/>
      <c r="EKL254" s="243"/>
      <c r="EKM254" s="243"/>
      <c r="EKN254" s="243"/>
      <c r="EKO254" s="243"/>
      <c r="EKP254" s="243"/>
      <c r="EKQ254" s="243"/>
      <c r="EKR254" s="243"/>
      <c r="EKS254" s="243"/>
      <c r="EKT254" s="243"/>
      <c r="EKU254" s="243"/>
      <c r="EKV254" s="243"/>
      <c r="EKW254" s="243"/>
      <c r="EKX254" s="243"/>
      <c r="EKY254" s="243"/>
      <c r="EKZ254" s="243"/>
      <c r="ELA254" s="243"/>
      <c r="ELB254" s="243"/>
      <c r="ELC254" s="243"/>
      <c r="ELD254" s="243"/>
      <c r="ELE254" s="243"/>
      <c r="ELF254" s="243"/>
      <c r="ELG254" s="243"/>
      <c r="ELH254" s="243"/>
      <c r="ELI254" s="243"/>
      <c r="ELJ254" s="243"/>
      <c r="ELK254" s="243"/>
      <c r="ELL254" s="243"/>
      <c r="ELM254" s="243"/>
      <c r="ELN254" s="243"/>
      <c r="ELO254" s="243"/>
      <c r="ELP254" s="243"/>
      <c r="ELQ254" s="243"/>
      <c r="ELR254" s="243"/>
      <c r="ELS254" s="243"/>
      <c r="ELT254" s="243"/>
      <c r="ELU254" s="243"/>
      <c r="ELV254" s="243"/>
      <c r="ELW254" s="243"/>
      <c r="ELX254" s="243"/>
      <c r="ELY254" s="243"/>
      <c r="ELZ254" s="243"/>
      <c r="EMA254" s="243"/>
      <c r="EMB254" s="243"/>
      <c r="EMC254" s="243"/>
      <c r="EMD254" s="243"/>
      <c r="EME254" s="243"/>
      <c r="EMF254" s="243"/>
      <c r="EMG254" s="243"/>
      <c r="EMH254" s="243"/>
      <c r="EMI254" s="243"/>
      <c r="EMJ254" s="243"/>
      <c r="EMK254" s="243"/>
      <c r="EML254" s="243"/>
      <c r="EMM254" s="243"/>
      <c r="EMN254" s="243"/>
      <c r="EMO254" s="243"/>
      <c r="EMP254" s="243"/>
      <c r="EMQ254" s="243"/>
      <c r="EMR254" s="243"/>
      <c r="EMS254" s="243"/>
      <c r="EMT254" s="243"/>
      <c r="EMU254" s="243"/>
      <c r="EMV254" s="243"/>
      <c r="EMW254" s="243"/>
      <c r="EMX254" s="243"/>
      <c r="EMY254" s="243"/>
      <c r="EMZ254" s="243"/>
      <c r="ENA254" s="243"/>
      <c r="ENB254" s="243"/>
      <c r="ENC254" s="243"/>
      <c r="END254" s="243"/>
      <c r="ENE254" s="243"/>
      <c r="ENF254" s="243"/>
      <c r="ENG254" s="243"/>
      <c r="ENH254" s="243"/>
      <c r="ENI254" s="243"/>
      <c r="ENJ254" s="243"/>
      <c r="ENK254" s="243"/>
      <c r="ENL254" s="243"/>
      <c r="ENM254" s="243"/>
      <c r="ENN254" s="243"/>
      <c r="ENO254" s="243"/>
      <c r="ENP254" s="243"/>
      <c r="ENQ254" s="243"/>
      <c r="ENR254" s="243"/>
      <c r="ENS254" s="243"/>
      <c r="ENT254" s="243"/>
      <c r="ENU254" s="243"/>
      <c r="ENV254" s="243"/>
      <c r="ENW254" s="243"/>
      <c r="ENX254" s="243"/>
      <c r="ENY254" s="243"/>
      <c r="ENZ254" s="243"/>
      <c r="EOA254" s="243"/>
      <c r="EOB254" s="243"/>
      <c r="EOC254" s="243"/>
      <c r="EOD254" s="243"/>
      <c r="EOE254" s="243"/>
      <c r="EOF254" s="243"/>
      <c r="EOG254" s="243"/>
      <c r="EOH254" s="243"/>
      <c r="EOI254" s="243"/>
      <c r="EOJ254" s="243"/>
      <c r="EOK254" s="243"/>
      <c r="EOL254" s="243"/>
      <c r="EOM254" s="243"/>
      <c r="EON254" s="243"/>
      <c r="EOO254" s="243"/>
      <c r="EOP254" s="243"/>
      <c r="EOQ254" s="243"/>
      <c r="EOR254" s="243"/>
      <c r="EOS254" s="243"/>
      <c r="EOT254" s="243"/>
      <c r="EOU254" s="243"/>
      <c r="EOV254" s="243"/>
      <c r="EOW254" s="243"/>
      <c r="EOX254" s="243"/>
      <c r="EOY254" s="243"/>
      <c r="EOZ254" s="243"/>
      <c r="EPA254" s="243"/>
      <c r="EPB254" s="243"/>
      <c r="EPC254" s="243"/>
      <c r="EPD254" s="243"/>
      <c r="EPE254" s="243"/>
      <c r="EPF254" s="243"/>
      <c r="EPG254" s="243"/>
      <c r="EPH254" s="243"/>
      <c r="EPI254" s="243"/>
      <c r="EPJ254" s="243"/>
      <c r="EPK254" s="243"/>
      <c r="EPL254" s="243"/>
      <c r="EPM254" s="243"/>
      <c r="EPN254" s="243"/>
      <c r="EPO254" s="243"/>
      <c r="EPP254" s="243"/>
      <c r="EPQ254" s="243"/>
      <c r="EPR254" s="243"/>
      <c r="EPS254" s="243"/>
      <c r="EPT254" s="243"/>
      <c r="EPU254" s="243"/>
      <c r="EPV254" s="243"/>
      <c r="EPW254" s="243"/>
      <c r="EPX254" s="243"/>
      <c r="EPY254" s="243"/>
      <c r="EPZ254" s="243"/>
      <c r="EQA254" s="243"/>
      <c r="EQB254" s="243"/>
      <c r="EQC254" s="243"/>
      <c r="EQD254" s="243"/>
      <c r="EQE254" s="243"/>
      <c r="EQF254" s="243"/>
      <c r="EQG254" s="243"/>
      <c r="EQH254" s="243"/>
      <c r="EQI254" s="243"/>
      <c r="EQJ254" s="243"/>
      <c r="EQK254" s="243"/>
      <c r="EQL254" s="243"/>
      <c r="EQM254" s="243"/>
      <c r="EQN254" s="243"/>
      <c r="EQO254" s="243"/>
      <c r="EQP254" s="243"/>
      <c r="EQQ254" s="243"/>
      <c r="EQR254" s="243"/>
      <c r="EQS254" s="243"/>
      <c r="EQT254" s="243"/>
      <c r="EQU254" s="243"/>
      <c r="EQV254" s="243"/>
      <c r="EQW254" s="243"/>
      <c r="EQX254" s="243"/>
      <c r="EQY254" s="243"/>
      <c r="EQZ254" s="243"/>
      <c r="ERA254" s="243"/>
      <c r="ERB254" s="243"/>
      <c r="ERC254" s="243"/>
      <c r="ERD254" s="243"/>
      <c r="ERE254" s="243"/>
      <c r="ERF254" s="243"/>
      <c r="ERG254" s="243"/>
      <c r="ERH254" s="243"/>
      <c r="ERI254" s="243"/>
      <c r="ERJ254" s="243"/>
      <c r="ERK254" s="243"/>
      <c r="ERL254" s="243"/>
      <c r="ERM254" s="243"/>
      <c r="ERN254" s="243"/>
      <c r="ERO254" s="243"/>
      <c r="ERP254" s="243"/>
      <c r="ERQ254" s="243"/>
      <c r="ERR254" s="243"/>
      <c r="ERS254" s="243"/>
      <c r="ERT254" s="243"/>
      <c r="ERU254" s="243"/>
      <c r="ERV254" s="243"/>
      <c r="ERW254" s="243"/>
      <c r="ERX254" s="243"/>
      <c r="ERY254" s="243"/>
      <c r="ERZ254" s="243"/>
      <c r="ESA254" s="243"/>
      <c r="ESB254" s="243"/>
      <c r="ESC254" s="243"/>
      <c r="ESD254" s="243"/>
      <c r="ESE254" s="243"/>
      <c r="ESF254" s="243"/>
      <c r="ESG254" s="243"/>
      <c r="ESH254" s="243"/>
      <c r="ESI254" s="243"/>
      <c r="ESJ254" s="243"/>
      <c r="ESK254" s="243"/>
      <c r="ESL254" s="243"/>
      <c r="ESM254" s="243"/>
      <c r="ESN254" s="243"/>
      <c r="ESO254" s="243"/>
      <c r="ESP254" s="243"/>
      <c r="ESQ254" s="243"/>
      <c r="ESR254" s="243"/>
      <c r="ESS254" s="243"/>
      <c r="EST254" s="243"/>
      <c r="ESU254" s="243"/>
      <c r="ESV254" s="243"/>
      <c r="ESW254" s="243"/>
      <c r="ESX254" s="243"/>
      <c r="ESY254" s="243"/>
      <c r="ESZ254" s="243"/>
      <c r="ETA254" s="243"/>
      <c r="ETB254" s="243"/>
      <c r="ETC254" s="243"/>
      <c r="ETD254" s="243"/>
      <c r="ETE254" s="243"/>
      <c r="ETF254" s="243"/>
      <c r="ETG254" s="243"/>
      <c r="ETH254" s="243"/>
      <c r="ETI254" s="243"/>
      <c r="ETJ254" s="243"/>
      <c r="ETK254" s="243"/>
      <c r="ETL254" s="243"/>
      <c r="ETM254" s="243"/>
      <c r="ETN254" s="243"/>
      <c r="ETO254" s="243"/>
      <c r="ETP254" s="243"/>
      <c r="ETQ254" s="243"/>
      <c r="ETR254" s="243"/>
      <c r="ETS254" s="243"/>
      <c r="ETT254" s="243"/>
      <c r="ETU254" s="243"/>
      <c r="ETV254" s="243"/>
      <c r="ETW254" s="243"/>
      <c r="ETX254" s="243"/>
      <c r="ETY254" s="243"/>
      <c r="ETZ254" s="243"/>
      <c r="EUA254" s="243"/>
      <c r="EUB254" s="243"/>
      <c r="EUC254" s="243"/>
      <c r="EUD254" s="243"/>
      <c r="EUE254" s="243"/>
      <c r="EUF254" s="243"/>
      <c r="EUG254" s="243"/>
      <c r="EUH254" s="243"/>
      <c r="EUI254" s="243"/>
      <c r="EUJ254" s="243"/>
      <c r="EUK254" s="243"/>
      <c r="EUL254" s="243"/>
      <c r="EUM254" s="243"/>
      <c r="EUN254" s="243"/>
      <c r="EUO254" s="243"/>
      <c r="EUP254" s="243"/>
      <c r="EUQ254" s="243"/>
      <c r="EUR254" s="243"/>
      <c r="EUS254" s="243"/>
      <c r="EUT254" s="243"/>
      <c r="EUU254" s="243"/>
      <c r="EUV254" s="243"/>
      <c r="EUW254" s="243"/>
      <c r="EUX254" s="243"/>
      <c r="EUY254" s="243"/>
      <c r="EUZ254" s="243"/>
      <c r="EVA254" s="243"/>
      <c r="EVB254" s="243"/>
      <c r="EVC254" s="243"/>
      <c r="EVD254" s="243"/>
      <c r="EVE254" s="243"/>
      <c r="EVF254" s="243"/>
      <c r="EVG254" s="243"/>
      <c r="EVH254" s="243"/>
      <c r="EVI254" s="243"/>
      <c r="EVJ254" s="243"/>
      <c r="EVK254" s="243"/>
      <c r="EVL254" s="243"/>
      <c r="EVM254" s="243"/>
      <c r="EVN254" s="243"/>
      <c r="EVO254" s="243"/>
      <c r="EVP254" s="243"/>
      <c r="EVQ254" s="243"/>
      <c r="EVR254" s="243"/>
      <c r="EVS254" s="243"/>
      <c r="EVT254" s="243"/>
      <c r="EVU254" s="243"/>
      <c r="EVV254" s="243"/>
      <c r="EVW254" s="243"/>
      <c r="EVX254" s="243"/>
      <c r="EVY254" s="243"/>
      <c r="EVZ254" s="243"/>
      <c r="EWA254" s="243"/>
      <c r="EWB254" s="243"/>
      <c r="EWC254" s="243"/>
      <c r="EWD254" s="243"/>
      <c r="EWE254" s="243"/>
      <c r="EWF254" s="243"/>
      <c r="EWG254" s="243"/>
      <c r="EWH254" s="243"/>
      <c r="EWI254" s="243"/>
      <c r="EWJ254" s="243"/>
      <c r="EWK254" s="243"/>
      <c r="EWL254" s="243"/>
      <c r="EWM254" s="243"/>
      <c r="EWN254" s="243"/>
      <c r="EWO254" s="243"/>
      <c r="EWP254" s="243"/>
      <c r="EWQ254" s="243"/>
      <c r="EWR254" s="243"/>
      <c r="EWS254" s="243"/>
      <c r="EWT254" s="243"/>
      <c r="EWU254" s="243"/>
      <c r="EWV254" s="243"/>
      <c r="EWW254" s="243"/>
      <c r="EWX254" s="243"/>
      <c r="EWY254" s="243"/>
      <c r="EWZ254" s="243"/>
      <c r="EXA254" s="243"/>
      <c r="EXB254" s="243"/>
      <c r="EXC254" s="243"/>
      <c r="EXD254" s="243"/>
      <c r="EXE254" s="243"/>
      <c r="EXF254" s="243"/>
      <c r="EXG254" s="243"/>
      <c r="EXH254" s="243"/>
      <c r="EXI254" s="243"/>
      <c r="EXJ254" s="243"/>
      <c r="EXK254" s="243"/>
      <c r="EXL254" s="243"/>
      <c r="EXM254" s="243"/>
      <c r="EXN254" s="243"/>
      <c r="EXO254" s="243"/>
      <c r="EXP254" s="243"/>
      <c r="EXQ254" s="243"/>
      <c r="EXR254" s="243"/>
      <c r="EXS254" s="243"/>
      <c r="EXT254" s="243"/>
      <c r="EXU254" s="243"/>
      <c r="EXV254" s="243"/>
      <c r="EXW254" s="243"/>
      <c r="EXX254" s="243"/>
      <c r="EXY254" s="243"/>
      <c r="EXZ254" s="243"/>
      <c r="EYA254" s="243"/>
      <c r="EYB254" s="243"/>
      <c r="EYC254" s="243"/>
      <c r="EYD254" s="243"/>
      <c r="EYE254" s="243"/>
      <c r="EYF254" s="243"/>
      <c r="EYG254" s="243"/>
      <c r="EYH254" s="243"/>
      <c r="EYI254" s="243"/>
      <c r="EYJ254" s="243"/>
      <c r="EYK254" s="243"/>
      <c r="EYL254" s="243"/>
      <c r="EYM254" s="243"/>
      <c r="EYN254" s="243"/>
      <c r="EYO254" s="243"/>
      <c r="EYP254" s="243"/>
      <c r="EYQ254" s="243"/>
      <c r="EYR254" s="243"/>
      <c r="EYS254" s="243"/>
      <c r="EYT254" s="243"/>
      <c r="EYU254" s="243"/>
      <c r="EYV254" s="243"/>
      <c r="EYW254" s="243"/>
      <c r="EYX254" s="243"/>
      <c r="EYY254" s="243"/>
      <c r="EYZ254" s="243"/>
      <c r="EZA254" s="243"/>
      <c r="EZB254" s="243"/>
      <c r="EZC254" s="243"/>
      <c r="EZD254" s="243"/>
      <c r="EZE254" s="243"/>
      <c r="EZF254" s="243"/>
      <c r="EZG254" s="243"/>
      <c r="EZH254" s="243"/>
      <c r="EZI254" s="243"/>
      <c r="EZJ254" s="243"/>
      <c r="EZK254" s="243"/>
      <c r="EZL254" s="243"/>
      <c r="EZM254" s="243"/>
      <c r="EZN254" s="243"/>
      <c r="EZO254" s="243"/>
      <c r="EZP254" s="243"/>
      <c r="EZQ254" s="243"/>
      <c r="EZR254" s="243"/>
      <c r="EZS254" s="243"/>
      <c r="EZT254" s="243"/>
      <c r="EZU254" s="243"/>
      <c r="EZV254" s="243"/>
      <c r="EZW254" s="243"/>
      <c r="EZX254" s="243"/>
      <c r="EZY254" s="243"/>
      <c r="EZZ254" s="243"/>
      <c r="FAA254" s="243"/>
      <c r="FAB254" s="243"/>
      <c r="FAC254" s="243"/>
      <c r="FAD254" s="243"/>
      <c r="FAE254" s="243"/>
      <c r="FAF254" s="243"/>
      <c r="FAG254" s="243"/>
      <c r="FAH254" s="243"/>
      <c r="FAI254" s="243"/>
      <c r="FAJ254" s="243"/>
      <c r="FAK254" s="243"/>
      <c r="FAL254" s="243"/>
      <c r="FAM254" s="243"/>
      <c r="FAN254" s="243"/>
      <c r="FAO254" s="243"/>
      <c r="FAP254" s="243"/>
      <c r="FAQ254" s="243"/>
      <c r="FAR254" s="243"/>
      <c r="FAS254" s="243"/>
      <c r="FAT254" s="243"/>
      <c r="FAU254" s="243"/>
      <c r="FAV254" s="243"/>
      <c r="FAW254" s="243"/>
      <c r="FAX254" s="243"/>
      <c r="FAY254" s="243"/>
      <c r="FAZ254" s="243"/>
      <c r="FBA254" s="243"/>
      <c r="FBB254" s="243"/>
      <c r="FBC254" s="243"/>
      <c r="FBD254" s="243"/>
      <c r="FBE254" s="243"/>
      <c r="FBF254" s="243"/>
      <c r="FBG254" s="243"/>
      <c r="FBH254" s="243"/>
      <c r="FBI254" s="243"/>
      <c r="FBJ254" s="243"/>
      <c r="FBK254" s="243"/>
      <c r="FBL254" s="243"/>
      <c r="FBM254" s="243"/>
      <c r="FBN254" s="243"/>
      <c r="FBO254" s="243"/>
      <c r="FBP254" s="243"/>
      <c r="FBQ254" s="243"/>
      <c r="FBR254" s="243"/>
      <c r="FBS254" s="243"/>
      <c r="FBT254" s="243"/>
      <c r="FBU254" s="243"/>
      <c r="FBV254" s="243"/>
      <c r="FBW254" s="243"/>
      <c r="FBX254" s="243"/>
      <c r="FBY254" s="243"/>
      <c r="FBZ254" s="243"/>
      <c r="FCA254" s="243"/>
      <c r="FCB254" s="243"/>
      <c r="FCC254" s="243"/>
      <c r="FCD254" s="243"/>
      <c r="FCE254" s="243"/>
      <c r="FCF254" s="243"/>
      <c r="FCG254" s="243"/>
      <c r="FCH254" s="243"/>
      <c r="FCI254" s="243"/>
      <c r="FCJ254" s="243"/>
      <c r="FCK254" s="243"/>
      <c r="FCL254" s="243"/>
      <c r="FCM254" s="243"/>
      <c r="FCN254" s="243"/>
      <c r="FCO254" s="243"/>
      <c r="FCP254" s="243"/>
      <c r="FCQ254" s="243"/>
      <c r="FCR254" s="243"/>
      <c r="FCS254" s="243"/>
      <c r="FCT254" s="243"/>
      <c r="FCU254" s="243"/>
      <c r="FCV254" s="243"/>
      <c r="FCW254" s="243"/>
      <c r="FCX254" s="243"/>
      <c r="FCY254" s="243"/>
      <c r="FCZ254" s="243"/>
      <c r="FDA254" s="243"/>
      <c r="FDB254" s="243"/>
      <c r="FDC254" s="243"/>
      <c r="FDD254" s="243"/>
      <c r="FDE254" s="243"/>
      <c r="FDF254" s="243"/>
      <c r="FDG254" s="243"/>
      <c r="FDH254" s="243"/>
      <c r="FDI254" s="243"/>
      <c r="FDJ254" s="243"/>
      <c r="FDK254" s="243"/>
      <c r="FDL254" s="243"/>
      <c r="FDM254" s="243"/>
      <c r="FDN254" s="243"/>
      <c r="FDO254" s="243"/>
      <c r="FDP254" s="243"/>
      <c r="FDQ254" s="243"/>
      <c r="FDR254" s="243"/>
      <c r="FDS254" s="243"/>
      <c r="FDT254" s="243"/>
      <c r="FDU254" s="243"/>
      <c r="FDV254" s="243"/>
      <c r="FDW254" s="243"/>
      <c r="FDX254" s="243"/>
      <c r="FDY254" s="243"/>
      <c r="FDZ254" s="243"/>
      <c r="FEA254" s="243"/>
      <c r="FEB254" s="243"/>
      <c r="FEC254" s="243"/>
      <c r="FED254" s="243"/>
      <c r="FEE254" s="243"/>
      <c r="FEF254" s="243"/>
      <c r="FEG254" s="243"/>
      <c r="FEH254" s="243"/>
      <c r="FEI254" s="243"/>
      <c r="FEJ254" s="243"/>
      <c r="FEK254" s="243"/>
      <c r="FEL254" s="243"/>
      <c r="FEM254" s="243"/>
      <c r="FEN254" s="243"/>
      <c r="FEO254" s="243"/>
      <c r="FEP254" s="243"/>
      <c r="FEQ254" s="243"/>
      <c r="FER254" s="243"/>
      <c r="FES254" s="243"/>
      <c r="FET254" s="243"/>
      <c r="FEU254" s="243"/>
      <c r="FEV254" s="243"/>
      <c r="FEW254" s="243"/>
      <c r="FEX254" s="243"/>
      <c r="FEY254" s="243"/>
      <c r="FEZ254" s="243"/>
      <c r="FFA254" s="243"/>
      <c r="FFB254" s="243"/>
      <c r="FFC254" s="243"/>
      <c r="FFD254" s="243"/>
      <c r="FFE254" s="243"/>
      <c r="FFF254" s="243"/>
      <c r="FFG254" s="243"/>
      <c r="FFH254" s="243"/>
      <c r="FFI254" s="243"/>
      <c r="FFJ254" s="243"/>
      <c r="FFK254" s="243"/>
      <c r="FFL254" s="243"/>
      <c r="FFM254" s="243"/>
      <c r="FFN254" s="243"/>
      <c r="FFO254" s="243"/>
      <c r="FFP254" s="243"/>
      <c r="FFQ254" s="243"/>
      <c r="FFR254" s="243"/>
      <c r="FFS254" s="243"/>
      <c r="FFT254" s="243"/>
      <c r="FFU254" s="243"/>
      <c r="FFV254" s="243"/>
      <c r="FFW254" s="243"/>
      <c r="FFX254" s="243"/>
      <c r="FFY254" s="243"/>
      <c r="FFZ254" s="243"/>
      <c r="FGA254" s="243"/>
      <c r="FGB254" s="243"/>
      <c r="FGC254" s="243"/>
      <c r="FGD254" s="243"/>
      <c r="FGE254" s="243"/>
      <c r="FGF254" s="243"/>
      <c r="FGG254" s="243"/>
      <c r="FGH254" s="243"/>
      <c r="FGI254" s="243"/>
      <c r="FGJ254" s="243"/>
      <c r="FGK254" s="243"/>
      <c r="FGL254" s="243"/>
      <c r="FGM254" s="243"/>
      <c r="FGN254" s="243"/>
      <c r="FGO254" s="243"/>
      <c r="FGP254" s="243"/>
      <c r="FGQ254" s="243"/>
      <c r="FGR254" s="243"/>
      <c r="FGS254" s="243"/>
      <c r="FGT254" s="243"/>
      <c r="FGU254" s="243"/>
      <c r="FGV254" s="243"/>
      <c r="FGW254" s="243"/>
      <c r="FGX254" s="243"/>
      <c r="FGY254" s="243"/>
      <c r="FGZ254" s="243"/>
      <c r="FHA254" s="243"/>
      <c r="FHB254" s="243"/>
      <c r="FHC254" s="243"/>
      <c r="FHD254" s="243"/>
      <c r="FHE254" s="243"/>
      <c r="FHF254" s="243"/>
      <c r="FHG254" s="243"/>
      <c r="FHH254" s="243"/>
      <c r="FHI254" s="243"/>
      <c r="FHJ254" s="243"/>
      <c r="FHK254" s="243"/>
      <c r="FHL254" s="243"/>
      <c r="FHM254" s="243"/>
      <c r="FHN254" s="243"/>
      <c r="FHO254" s="243"/>
      <c r="FHP254" s="243"/>
      <c r="FHQ254" s="243"/>
      <c r="FHR254" s="243"/>
      <c r="FHS254" s="243"/>
      <c r="FHT254" s="243"/>
      <c r="FHU254" s="243"/>
      <c r="FHV254" s="243"/>
      <c r="FHW254" s="243"/>
      <c r="FHX254" s="243"/>
      <c r="FHY254" s="243"/>
      <c r="FHZ254" s="243"/>
      <c r="FIA254" s="243"/>
      <c r="FIB254" s="243"/>
      <c r="FIC254" s="243"/>
      <c r="FID254" s="243"/>
      <c r="FIE254" s="243"/>
      <c r="FIF254" s="243"/>
      <c r="FIG254" s="243"/>
      <c r="FIH254" s="243"/>
      <c r="FII254" s="243"/>
      <c r="FIJ254" s="243"/>
      <c r="FIK254" s="243"/>
      <c r="FIL254" s="243"/>
      <c r="FIM254" s="243"/>
      <c r="FIN254" s="243"/>
      <c r="FIO254" s="243"/>
      <c r="FIP254" s="243"/>
      <c r="FIQ254" s="243"/>
      <c r="FIR254" s="243"/>
      <c r="FIS254" s="243"/>
      <c r="FIT254" s="243"/>
      <c r="FIU254" s="243"/>
      <c r="FIV254" s="243"/>
      <c r="FIW254" s="243"/>
      <c r="FIX254" s="243"/>
      <c r="FIY254" s="243"/>
      <c r="FIZ254" s="243"/>
      <c r="FJA254" s="243"/>
      <c r="FJB254" s="243"/>
      <c r="FJC254" s="243"/>
      <c r="FJD254" s="243"/>
      <c r="FJE254" s="243"/>
      <c r="FJF254" s="243"/>
      <c r="FJG254" s="243"/>
      <c r="FJH254" s="243"/>
      <c r="FJI254" s="243"/>
      <c r="FJJ254" s="243"/>
      <c r="FJK254" s="243"/>
      <c r="FJL254" s="243"/>
      <c r="FJM254" s="243"/>
      <c r="FJN254" s="243"/>
      <c r="FJO254" s="243"/>
      <c r="FJP254" s="243"/>
      <c r="FJQ254" s="243"/>
      <c r="FJR254" s="243"/>
      <c r="FJS254" s="243"/>
      <c r="FJT254" s="243"/>
      <c r="FJU254" s="243"/>
      <c r="FJV254" s="243"/>
      <c r="FJW254" s="243"/>
      <c r="FJX254" s="243"/>
      <c r="FJY254" s="243"/>
      <c r="FJZ254" s="243"/>
      <c r="FKA254" s="243"/>
      <c r="FKB254" s="243"/>
      <c r="FKC254" s="243"/>
      <c r="FKD254" s="243"/>
      <c r="FKE254" s="243"/>
      <c r="FKF254" s="243"/>
      <c r="FKG254" s="243"/>
      <c r="FKH254" s="243"/>
      <c r="FKI254" s="243"/>
      <c r="FKJ254" s="243"/>
      <c r="FKK254" s="243"/>
      <c r="FKL254" s="243"/>
      <c r="FKM254" s="243"/>
      <c r="FKN254" s="243"/>
      <c r="FKO254" s="243"/>
      <c r="FKP254" s="243"/>
      <c r="FKQ254" s="243"/>
      <c r="FKR254" s="243"/>
      <c r="FKS254" s="243"/>
      <c r="FKT254" s="243"/>
      <c r="FKU254" s="243"/>
      <c r="FKV254" s="243"/>
      <c r="FKW254" s="243"/>
      <c r="FKX254" s="243"/>
      <c r="FKY254" s="243"/>
      <c r="FKZ254" s="243"/>
      <c r="FLA254" s="243"/>
      <c r="FLB254" s="243"/>
      <c r="FLC254" s="243"/>
      <c r="FLD254" s="243"/>
      <c r="FLE254" s="243"/>
      <c r="FLF254" s="243"/>
      <c r="FLG254" s="243"/>
      <c r="FLH254" s="243"/>
      <c r="FLI254" s="243"/>
      <c r="FLJ254" s="243"/>
      <c r="FLK254" s="243"/>
      <c r="FLL254" s="243"/>
      <c r="FLM254" s="243"/>
      <c r="FLN254" s="243"/>
      <c r="FLO254" s="243"/>
      <c r="FLP254" s="243"/>
      <c r="FLQ254" s="243"/>
      <c r="FLR254" s="243"/>
      <c r="FLS254" s="243"/>
      <c r="FLT254" s="243"/>
      <c r="FLU254" s="243"/>
      <c r="FLV254" s="243"/>
      <c r="FLW254" s="243"/>
      <c r="FLX254" s="243"/>
      <c r="FLY254" s="243"/>
      <c r="FLZ254" s="243"/>
      <c r="FMA254" s="243"/>
      <c r="FMB254" s="243"/>
      <c r="FMC254" s="243"/>
      <c r="FMD254" s="243"/>
      <c r="FME254" s="243"/>
      <c r="FMF254" s="243"/>
      <c r="FMG254" s="243"/>
      <c r="FMH254" s="243"/>
      <c r="FMI254" s="243"/>
      <c r="FMJ254" s="243"/>
      <c r="FMK254" s="243"/>
      <c r="FML254" s="243"/>
      <c r="FMM254" s="243"/>
      <c r="FMN254" s="243"/>
      <c r="FMO254" s="243"/>
      <c r="FMP254" s="243"/>
      <c r="FMQ254" s="243"/>
      <c r="FMR254" s="243"/>
      <c r="FMS254" s="243"/>
      <c r="FMT254" s="243"/>
      <c r="FMU254" s="243"/>
      <c r="FMV254" s="243"/>
      <c r="FMW254" s="243"/>
      <c r="FMX254" s="243"/>
      <c r="FMY254" s="243"/>
      <c r="FMZ254" s="243"/>
      <c r="FNA254" s="243"/>
      <c r="FNB254" s="243"/>
      <c r="FNC254" s="243"/>
      <c r="FND254" s="243"/>
      <c r="FNE254" s="243"/>
      <c r="FNF254" s="243"/>
      <c r="FNG254" s="243"/>
      <c r="FNH254" s="243"/>
      <c r="FNI254" s="243"/>
      <c r="FNJ254" s="243"/>
      <c r="FNK254" s="243"/>
      <c r="FNL254" s="243"/>
      <c r="FNM254" s="243"/>
      <c r="FNN254" s="243"/>
      <c r="FNO254" s="243"/>
      <c r="FNP254" s="243"/>
      <c r="FNQ254" s="243"/>
      <c r="FNR254" s="243"/>
      <c r="FNS254" s="243"/>
      <c r="FNT254" s="243"/>
      <c r="FNU254" s="243"/>
      <c r="FNV254" s="243"/>
      <c r="FNW254" s="243"/>
      <c r="FNX254" s="243"/>
      <c r="FNY254" s="243"/>
      <c r="FNZ254" s="243"/>
      <c r="FOA254" s="243"/>
      <c r="FOB254" s="243"/>
      <c r="FOC254" s="243"/>
      <c r="FOD254" s="243"/>
      <c r="FOE254" s="243"/>
      <c r="FOF254" s="243"/>
      <c r="FOG254" s="243"/>
      <c r="FOH254" s="243"/>
      <c r="FOI254" s="243"/>
      <c r="FOJ254" s="243"/>
      <c r="FOK254" s="243"/>
      <c r="FOL254" s="243"/>
      <c r="FOM254" s="243"/>
      <c r="FON254" s="243"/>
      <c r="FOO254" s="243"/>
      <c r="FOP254" s="243"/>
      <c r="FOQ254" s="243"/>
      <c r="FOR254" s="243"/>
      <c r="FOS254" s="243"/>
      <c r="FOT254" s="243"/>
      <c r="FOU254" s="243"/>
      <c r="FOV254" s="243"/>
      <c r="FOW254" s="243"/>
      <c r="FOX254" s="243"/>
      <c r="FOY254" s="243"/>
      <c r="FOZ254" s="243"/>
      <c r="FPA254" s="243"/>
      <c r="FPB254" s="243"/>
      <c r="FPC254" s="243"/>
      <c r="FPD254" s="243"/>
      <c r="FPE254" s="243"/>
      <c r="FPF254" s="243"/>
      <c r="FPG254" s="243"/>
      <c r="FPH254" s="243"/>
      <c r="FPI254" s="243"/>
      <c r="FPJ254" s="243"/>
      <c r="FPK254" s="243"/>
      <c r="FPL254" s="243"/>
      <c r="FPM254" s="243"/>
      <c r="FPN254" s="243"/>
      <c r="FPO254" s="243"/>
      <c r="FPP254" s="243"/>
      <c r="FPQ254" s="243"/>
      <c r="FPR254" s="243"/>
      <c r="FPS254" s="243"/>
      <c r="FPT254" s="243"/>
      <c r="FPU254" s="243"/>
      <c r="FPV254" s="243"/>
      <c r="FPW254" s="243"/>
      <c r="FPX254" s="243"/>
      <c r="FPY254" s="243"/>
      <c r="FPZ254" s="243"/>
      <c r="FQA254" s="243"/>
      <c r="FQB254" s="243"/>
      <c r="FQC254" s="243"/>
      <c r="FQD254" s="243"/>
      <c r="FQE254" s="243"/>
      <c r="FQF254" s="243"/>
      <c r="FQG254" s="243"/>
      <c r="FQH254" s="243"/>
      <c r="FQI254" s="243"/>
      <c r="FQJ254" s="243"/>
      <c r="FQK254" s="243"/>
      <c r="FQL254" s="243"/>
      <c r="FQM254" s="243"/>
      <c r="FQN254" s="243"/>
      <c r="FQO254" s="243"/>
      <c r="FQP254" s="243"/>
      <c r="FQQ254" s="243"/>
      <c r="FQR254" s="243"/>
      <c r="FQS254" s="243"/>
      <c r="FQT254" s="243"/>
      <c r="FQU254" s="243"/>
      <c r="FQV254" s="243"/>
      <c r="FQW254" s="243"/>
      <c r="FQX254" s="243"/>
      <c r="FQY254" s="243"/>
      <c r="FQZ254" s="243"/>
      <c r="FRA254" s="243"/>
      <c r="FRB254" s="243"/>
      <c r="FRC254" s="243"/>
      <c r="FRD254" s="243"/>
      <c r="FRE254" s="243"/>
      <c r="FRF254" s="243"/>
      <c r="FRG254" s="243"/>
      <c r="FRH254" s="243"/>
      <c r="FRI254" s="243"/>
      <c r="FRJ254" s="243"/>
      <c r="FRK254" s="243"/>
      <c r="FRL254" s="243"/>
      <c r="FRM254" s="243"/>
      <c r="FRN254" s="243"/>
      <c r="FRO254" s="243"/>
      <c r="FRP254" s="243"/>
      <c r="FRQ254" s="243"/>
      <c r="FRR254" s="243"/>
      <c r="FRS254" s="243"/>
      <c r="FRT254" s="243"/>
      <c r="FRU254" s="243"/>
      <c r="FRV254" s="243"/>
      <c r="FRW254" s="243"/>
      <c r="FRX254" s="243"/>
      <c r="FRY254" s="243"/>
      <c r="FRZ254" s="243"/>
      <c r="FSA254" s="243"/>
      <c r="FSB254" s="243"/>
      <c r="FSC254" s="243"/>
      <c r="FSD254" s="243"/>
      <c r="FSE254" s="243"/>
      <c r="FSF254" s="243"/>
      <c r="FSG254" s="243"/>
      <c r="FSH254" s="243"/>
      <c r="FSI254" s="243"/>
      <c r="FSJ254" s="243"/>
      <c r="FSK254" s="243"/>
      <c r="FSL254" s="243"/>
      <c r="FSM254" s="243"/>
      <c r="FSN254" s="243"/>
      <c r="FSO254" s="243"/>
      <c r="FSP254" s="243"/>
      <c r="FSQ254" s="243"/>
      <c r="FSR254" s="243"/>
      <c r="FSS254" s="243"/>
      <c r="FST254" s="243"/>
      <c r="FSU254" s="243"/>
      <c r="FSV254" s="243"/>
      <c r="FSW254" s="243"/>
      <c r="FSX254" s="243"/>
      <c r="FSY254" s="243"/>
      <c r="FSZ254" s="243"/>
      <c r="FTA254" s="243"/>
      <c r="FTB254" s="243"/>
      <c r="FTC254" s="243"/>
      <c r="FTD254" s="243"/>
      <c r="FTE254" s="243"/>
      <c r="FTF254" s="243"/>
      <c r="FTG254" s="243"/>
      <c r="FTH254" s="243"/>
      <c r="FTI254" s="243"/>
      <c r="FTJ254" s="243"/>
      <c r="FTK254" s="243"/>
      <c r="FTL254" s="243"/>
      <c r="FTM254" s="243"/>
      <c r="FTN254" s="243"/>
      <c r="FTO254" s="243"/>
      <c r="FTP254" s="243"/>
      <c r="FTQ254" s="243"/>
      <c r="FTR254" s="243"/>
      <c r="FTS254" s="243"/>
      <c r="FTT254" s="243"/>
      <c r="FTU254" s="243"/>
      <c r="FTV254" s="243"/>
      <c r="FTW254" s="243"/>
      <c r="FTX254" s="243"/>
      <c r="FTY254" s="243"/>
      <c r="FTZ254" s="243"/>
      <c r="FUA254" s="243"/>
      <c r="FUB254" s="243"/>
      <c r="FUC254" s="243"/>
      <c r="FUD254" s="243"/>
      <c r="FUE254" s="243"/>
      <c r="FUF254" s="243"/>
      <c r="FUG254" s="243"/>
      <c r="FUH254" s="243"/>
      <c r="FUI254" s="243"/>
      <c r="FUJ254" s="243"/>
      <c r="FUK254" s="243"/>
      <c r="FUL254" s="243"/>
      <c r="FUM254" s="243"/>
      <c r="FUN254" s="243"/>
      <c r="FUO254" s="243"/>
      <c r="FUP254" s="243"/>
      <c r="FUQ254" s="243"/>
      <c r="FUR254" s="243"/>
      <c r="FUS254" s="243"/>
      <c r="FUT254" s="243"/>
      <c r="FUU254" s="243"/>
      <c r="FUV254" s="243"/>
      <c r="FUW254" s="243"/>
      <c r="FUX254" s="243"/>
      <c r="FUY254" s="243"/>
      <c r="FUZ254" s="243"/>
      <c r="FVA254" s="243"/>
      <c r="FVB254" s="243"/>
      <c r="FVC254" s="243"/>
      <c r="FVD254" s="243"/>
      <c r="FVE254" s="243"/>
      <c r="FVF254" s="243"/>
      <c r="FVG254" s="243"/>
      <c r="FVH254" s="243"/>
      <c r="FVI254" s="243"/>
      <c r="FVJ254" s="243"/>
      <c r="FVK254" s="243"/>
      <c r="FVL254" s="243"/>
      <c r="FVM254" s="243"/>
      <c r="FVN254" s="243"/>
      <c r="FVO254" s="243"/>
      <c r="FVP254" s="243"/>
      <c r="FVQ254" s="243"/>
      <c r="FVR254" s="243"/>
      <c r="FVS254" s="243"/>
      <c r="FVT254" s="243"/>
      <c r="FVU254" s="243"/>
      <c r="FVV254" s="243"/>
      <c r="FVW254" s="243"/>
      <c r="FVX254" s="243"/>
      <c r="FVY254" s="243"/>
      <c r="FVZ254" s="243"/>
      <c r="FWA254" s="243"/>
      <c r="FWB254" s="243"/>
      <c r="FWC254" s="243"/>
      <c r="FWD254" s="243"/>
      <c r="FWE254" s="243"/>
      <c r="FWF254" s="243"/>
      <c r="FWG254" s="243"/>
      <c r="FWH254" s="243"/>
      <c r="FWI254" s="243"/>
      <c r="FWJ254" s="243"/>
      <c r="FWK254" s="243"/>
      <c r="FWL254" s="243"/>
      <c r="FWM254" s="243"/>
      <c r="FWN254" s="243"/>
      <c r="FWO254" s="243"/>
      <c r="FWP254" s="243"/>
      <c r="FWQ254" s="243"/>
      <c r="FWR254" s="243"/>
      <c r="FWS254" s="243"/>
      <c r="FWT254" s="243"/>
      <c r="FWU254" s="243"/>
      <c r="FWV254" s="243"/>
      <c r="FWW254" s="243"/>
      <c r="FWX254" s="243"/>
      <c r="FWY254" s="243"/>
      <c r="FWZ254" s="243"/>
      <c r="FXA254" s="243"/>
      <c r="FXB254" s="243"/>
      <c r="FXC254" s="243"/>
      <c r="FXD254" s="243"/>
      <c r="FXE254" s="243"/>
      <c r="FXF254" s="243"/>
      <c r="FXG254" s="243"/>
      <c r="FXH254" s="243"/>
      <c r="FXI254" s="243"/>
      <c r="FXJ254" s="243"/>
      <c r="FXK254" s="243"/>
      <c r="FXL254" s="243"/>
      <c r="FXM254" s="243"/>
      <c r="FXN254" s="243"/>
      <c r="FXO254" s="243"/>
      <c r="FXP254" s="243"/>
      <c r="FXQ254" s="243"/>
      <c r="FXR254" s="243"/>
      <c r="FXS254" s="243"/>
      <c r="FXT254" s="243"/>
      <c r="FXU254" s="243"/>
      <c r="FXV254" s="243"/>
      <c r="FXW254" s="243"/>
      <c r="FXX254" s="243"/>
      <c r="FXY254" s="243"/>
      <c r="FXZ254" s="243"/>
      <c r="FYA254" s="243"/>
      <c r="FYB254" s="243"/>
      <c r="FYC254" s="243"/>
      <c r="FYD254" s="243"/>
      <c r="FYE254" s="243"/>
      <c r="FYF254" s="243"/>
      <c r="FYG254" s="243"/>
      <c r="FYH254" s="243"/>
      <c r="FYI254" s="243"/>
      <c r="FYJ254" s="243"/>
      <c r="FYK254" s="243"/>
      <c r="FYL254" s="243"/>
      <c r="FYM254" s="243"/>
      <c r="FYN254" s="243"/>
      <c r="FYO254" s="243"/>
      <c r="FYP254" s="243"/>
      <c r="FYQ254" s="243"/>
      <c r="FYR254" s="243"/>
      <c r="FYS254" s="243"/>
      <c r="FYT254" s="243"/>
      <c r="FYU254" s="243"/>
      <c r="FYV254" s="243"/>
      <c r="FYW254" s="243"/>
      <c r="FYX254" s="243"/>
      <c r="FYY254" s="243"/>
      <c r="FYZ254" s="243"/>
      <c r="FZA254" s="243"/>
      <c r="FZB254" s="243"/>
      <c r="FZC254" s="243"/>
      <c r="FZD254" s="243"/>
      <c r="FZE254" s="243"/>
      <c r="FZF254" s="243"/>
      <c r="FZG254" s="243"/>
      <c r="FZH254" s="243"/>
      <c r="FZI254" s="243"/>
      <c r="FZJ254" s="243"/>
      <c r="FZK254" s="243"/>
      <c r="FZL254" s="243"/>
      <c r="FZM254" s="243"/>
      <c r="FZN254" s="243"/>
      <c r="FZO254" s="243"/>
      <c r="FZP254" s="243"/>
      <c r="FZQ254" s="243"/>
      <c r="FZR254" s="243"/>
      <c r="FZS254" s="243"/>
      <c r="FZT254" s="243"/>
      <c r="FZU254" s="243"/>
      <c r="FZV254" s="243"/>
      <c r="FZW254" s="243"/>
      <c r="FZX254" s="243"/>
      <c r="FZY254" s="243"/>
      <c r="FZZ254" s="243"/>
      <c r="GAA254" s="243"/>
      <c r="GAB254" s="243"/>
      <c r="GAC254" s="243"/>
      <c r="GAD254" s="243"/>
      <c r="GAE254" s="243"/>
      <c r="GAF254" s="243"/>
      <c r="GAG254" s="243"/>
      <c r="GAH254" s="243"/>
      <c r="GAI254" s="243"/>
      <c r="GAJ254" s="243"/>
      <c r="GAK254" s="243"/>
      <c r="GAL254" s="243"/>
      <c r="GAM254" s="243"/>
      <c r="GAN254" s="243"/>
      <c r="GAO254" s="243"/>
      <c r="GAP254" s="243"/>
      <c r="GAQ254" s="243"/>
      <c r="GAR254" s="243"/>
      <c r="GAS254" s="243"/>
      <c r="GAT254" s="243"/>
      <c r="GAU254" s="243"/>
      <c r="GAV254" s="243"/>
      <c r="GAW254" s="243"/>
      <c r="GAX254" s="243"/>
      <c r="GAY254" s="243"/>
      <c r="GAZ254" s="243"/>
      <c r="GBA254" s="243"/>
      <c r="GBB254" s="243"/>
      <c r="GBC254" s="243"/>
      <c r="GBD254" s="243"/>
      <c r="GBE254" s="243"/>
      <c r="GBF254" s="243"/>
      <c r="GBG254" s="243"/>
      <c r="GBH254" s="243"/>
      <c r="GBI254" s="243"/>
      <c r="GBJ254" s="243"/>
      <c r="GBK254" s="243"/>
      <c r="GBL254" s="243"/>
      <c r="GBM254" s="243"/>
      <c r="GBN254" s="243"/>
      <c r="GBO254" s="243"/>
      <c r="GBP254" s="243"/>
      <c r="GBQ254" s="243"/>
      <c r="GBR254" s="243"/>
      <c r="GBS254" s="243"/>
      <c r="GBT254" s="243"/>
      <c r="GBU254" s="243"/>
      <c r="GBV254" s="243"/>
      <c r="GBW254" s="243"/>
      <c r="GBX254" s="243"/>
      <c r="GBY254" s="243"/>
      <c r="GBZ254" s="243"/>
      <c r="GCA254" s="243"/>
      <c r="GCB254" s="243"/>
      <c r="GCC254" s="243"/>
      <c r="GCD254" s="243"/>
      <c r="GCE254" s="243"/>
      <c r="GCF254" s="243"/>
      <c r="GCG254" s="243"/>
      <c r="GCH254" s="243"/>
      <c r="GCI254" s="243"/>
      <c r="GCJ254" s="243"/>
      <c r="GCK254" s="243"/>
      <c r="GCL254" s="243"/>
      <c r="GCM254" s="243"/>
      <c r="GCN254" s="243"/>
      <c r="GCO254" s="243"/>
      <c r="GCP254" s="243"/>
      <c r="GCQ254" s="243"/>
      <c r="GCR254" s="243"/>
      <c r="GCS254" s="243"/>
      <c r="GCT254" s="243"/>
      <c r="GCU254" s="243"/>
      <c r="GCV254" s="243"/>
      <c r="GCW254" s="243"/>
      <c r="GCX254" s="243"/>
      <c r="GCY254" s="243"/>
      <c r="GCZ254" s="243"/>
      <c r="GDA254" s="243"/>
      <c r="GDB254" s="243"/>
      <c r="GDC254" s="243"/>
      <c r="GDD254" s="243"/>
      <c r="GDE254" s="243"/>
      <c r="GDF254" s="243"/>
      <c r="GDG254" s="243"/>
      <c r="GDH254" s="243"/>
      <c r="GDI254" s="243"/>
      <c r="GDJ254" s="243"/>
      <c r="GDK254" s="243"/>
      <c r="GDL254" s="243"/>
      <c r="GDM254" s="243"/>
      <c r="GDN254" s="243"/>
      <c r="GDO254" s="243"/>
      <c r="GDP254" s="243"/>
      <c r="GDQ254" s="243"/>
      <c r="GDR254" s="243"/>
      <c r="GDS254" s="243"/>
      <c r="GDT254" s="243"/>
      <c r="GDU254" s="243"/>
      <c r="GDV254" s="243"/>
      <c r="GDW254" s="243"/>
      <c r="GDX254" s="243"/>
      <c r="GDY254" s="243"/>
      <c r="GDZ254" s="243"/>
      <c r="GEA254" s="243"/>
      <c r="GEB254" s="243"/>
      <c r="GEC254" s="243"/>
      <c r="GED254" s="243"/>
      <c r="GEE254" s="243"/>
      <c r="GEF254" s="243"/>
      <c r="GEG254" s="243"/>
      <c r="GEH254" s="243"/>
      <c r="GEI254" s="243"/>
      <c r="GEJ254" s="243"/>
      <c r="GEK254" s="243"/>
      <c r="GEL254" s="243"/>
      <c r="GEM254" s="243"/>
      <c r="GEN254" s="243"/>
      <c r="GEO254" s="243"/>
      <c r="GEP254" s="243"/>
      <c r="GEQ254" s="243"/>
      <c r="GER254" s="243"/>
      <c r="GES254" s="243"/>
      <c r="GET254" s="243"/>
      <c r="GEU254" s="243"/>
      <c r="GEV254" s="243"/>
      <c r="GEW254" s="243"/>
      <c r="GEX254" s="243"/>
      <c r="GEY254" s="243"/>
      <c r="GEZ254" s="243"/>
      <c r="GFA254" s="243"/>
      <c r="GFB254" s="243"/>
      <c r="GFC254" s="243"/>
      <c r="GFD254" s="243"/>
      <c r="GFE254" s="243"/>
      <c r="GFF254" s="243"/>
      <c r="GFG254" s="243"/>
      <c r="GFH254" s="243"/>
      <c r="GFI254" s="243"/>
      <c r="GFJ254" s="243"/>
      <c r="GFK254" s="243"/>
      <c r="GFL254" s="243"/>
      <c r="GFM254" s="243"/>
      <c r="GFN254" s="243"/>
      <c r="GFO254" s="243"/>
      <c r="GFP254" s="243"/>
      <c r="GFQ254" s="243"/>
      <c r="GFR254" s="243"/>
      <c r="GFS254" s="243"/>
      <c r="GFT254" s="243"/>
      <c r="GFU254" s="243"/>
      <c r="GFV254" s="243"/>
      <c r="GFW254" s="243"/>
      <c r="GFX254" s="243"/>
      <c r="GFY254" s="243"/>
      <c r="GFZ254" s="243"/>
      <c r="GGA254" s="243"/>
      <c r="GGB254" s="243"/>
      <c r="GGC254" s="243"/>
      <c r="GGD254" s="243"/>
      <c r="GGE254" s="243"/>
      <c r="GGF254" s="243"/>
      <c r="GGG254" s="243"/>
      <c r="GGH254" s="243"/>
      <c r="GGI254" s="243"/>
      <c r="GGJ254" s="243"/>
      <c r="GGK254" s="243"/>
      <c r="GGL254" s="243"/>
      <c r="GGM254" s="243"/>
      <c r="GGN254" s="243"/>
      <c r="GGO254" s="243"/>
      <c r="GGP254" s="243"/>
      <c r="GGQ254" s="243"/>
      <c r="GGR254" s="243"/>
      <c r="GGS254" s="243"/>
      <c r="GGT254" s="243"/>
      <c r="GGU254" s="243"/>
      <c r="GGV254" s="243"/>
      <c r="GGW254" s="243"/>
      <c r="GGX254" s="243"/>
      <c r="GGY254" s="243"/>
      <c r="GGZ254" s="243"/>
      <c r="GHA254" s="243"/>
      <c r="GHB254" s="243"/>
      <c r="GHC254" s="243"/>
      <c r="GHD254" s="243"/>
      <c r="GHE254" s="243"/>
      <c r="GHF254" s="243"/>
      <c r="GHG254" s="243"/>
      <c r="GHH254" s="243"/>
      <c r="GHI254" s="243"/>
      <c r="GHJ254" s="243"/>
      <c r="GHK254" s="243"/>
      <c r="GHL254" s="243"/>
      <c r="GHM254" s="243"/>
      <c r="GHN254" s="243"/>
      <c r="GHO254" s="243"/>
      <c r="GHP254" s="243"/>
      <c r="GHQ254" s="243"/>
      <c r="GHR254" s="243"/>
      <c r="GHS254" s="243"/>
      <c r="GHT254" s="243"/>
      <c r="GHU254" s="243"/>
      <c r="GHV254" s="243"/>
      <c r="GHW254" s="243"/>
      <c r="GHX254" s="243"/>
      <c r="GHY254" s="243"/>
      <c r="GHZ254" s="243"/>
      <c r="GIA254" s="243"/>
      <c r="GIB254" s="243"/>
      <c r="GIC254" s="243"/>
      <c r="GID254" s="243"/>
      <c r="GIE254" s="243"/>
      <c r="GIF254" s="243"/>
      <c r="GIG254" s="243"/>
      <c r="GIH254" s="243"/>
      <c r="GII254" s="243"/>
      <c r="GIJ254" s="243"/>
      <c r="GIK254" s="243"/>
      <c r="GIL254" s="243"/>
      <c r="GIM254" s="243"/>
      <c r="GIN254" s="243"/>
      <c r="GIO254" s="243"/>
      <c r="GIP254" s="243"/>
      <c r="GIQ254" s="243"/>
      <c r="GIR254" s="243"/>
      <c r="GIS254" s="243"/>
      <c r="GIT254" s="243"/>
      <c r="GIU254" s="243"/>
      <c r="GIV254" s="243"/>
      <c r="GIW254" s="243"/>
      <c r="GIX254" s="243"/>
      <c r="GIY254" s="243"/>
      <c r="GIZ254" s="243"/>
      <c r="GJA254" s="243"/>
      <c r="GJB254" s="243"/>
      <c r="GJC254" s="243"/>
      <c r="GJD254" s="243"/>
      <c r="GJE254" s="243"/>
      <c r="GJF254" s="243"/>
      <c r="GJG254" s="243"/>
      <c r="GJH254" s="243"/>
      <c r="GJI254" s="243"/>
      <c r="GJJ254" s="243"/>
      <c r="GJK254" s="243"/>
      <c r="GJL254" s="243"/>
      <c r="GJM254" s="243"/>
      <c r="GJN254" s="243"/>
      <c r="GJO254" s="243"/>
      <c r="GJP254" s="243"/>
      <c r="GJQ254" s="243"/>
      <c r="GJR254" s="243"/>
      <c r="GJS254" s="243"/>
      <c r="GJT254" s="243"/>
      <c r="GJU254" s="243"/>
      <c r="GJV254" s="243"/>
      <c r="GJW254" s="243"/>
      <c r="GJX254" s="243"/>
      <c r="GJY254" s="243"/>
      <c r="GJZ254" s="243"/>
      <c r="GKA254" s="243"/>
      <c r="GKB254" s="243"/>
      <c r="GKC254" s="243"/>
      <c r="GKD254" s="243"/>
      <c r="GKE254" s="243"/>
      <c r="GKF254" s="243"/>
      <c r="GKG254" s="243"/>
      <c r="GKH254" s="243"/>
      <c r="GKI254" s="243"/>
      <c r="GKJ254" s="243"/>
      <c r="GKK254" s="243"/>
      <c r="GKL254" s="243"/>
      <c r="GKM254" s="243"/>
      <c r="GKN254" s="243"/>
      <c r="GKO254" s="243"/>
      <c r="GKP254" s="243"/>
      <c r="GKQ254" s="243"/>
      <c r="GKR254" s="243"/>
      <c r="GKS254" s="243"/>
      <c r="GKT254" s="243"/>
      <c r="GKU254" s="243"/>
      <c r="GKV254" s="243"/>
      <c r="GKW254" s="243"/>
      <c r="GKX254" s="243"/>
      <c r="GKY254" s="243"/>
      <c r="GKZ254" s="243"/>
      <c r="GLA254" s="243"/>
      <c r="GLB254" s="243"/>
      <c r="GLC254" s="243"/>
      <c r="GLD254" s="243"/>
      <c r="GLE254" s="243"/>
      <c r="GLF254" s="243"/>
      <c r="GLG254" s="243"/>
      <c r="GLH254" s="243"/>
      <c r="GLI254" s="243"/>
      <c r="GLJ254" s="243"/>
      <c r="GLK254" s="243"/>
      <c r="GLL254" s="243"/>
      <c r="GLM254" s="243"/>
      <c r="GLN254" s="243"/>
      <c r="GLO254" s="243"/>
      <c r="GLP254" s="243"/>
      <c r="GLQ254" s="243"/>
      <c r="GLR254" s="243"/>
      <c r="GLS254" s="243"/>
      <c r="GLT254" s="243"/>
      <c r="GLU254" s="243"/>
      <c r="GLV254" s="243"/>
      <c r="GLW254" s="243"/>
      <c r="GLX254" s="243"/>
      <c r="GLY254" s="243"/>
      <c r="GLZ254" s="243"/>
      <c r="GMA254" s="243"/>
      <c r="GMB254" s="243"/>
      <c r="GMC254" s="243"/>
      <c r="GMD254" s="243"/>
      <c r="GME254" s="243"/>
      <c r="GMF254" s="243"/>
      <c r="GMG254" s="243"/>
      <c r="GMH254" s="243"/>
      <c r="GMI254" s="243"/>
      <c r="GMJ254" s="243"/>
      <c r="GMK254" s="243"/>
      <c r="GML254" s="243"/>
      <c r="GMM254" s="243"/>
      <c r="GMN254" s="243"/>
      <c r="GMO254" s="243"/>
      <c r="GMP254" s="243"/>
      <c r="GMQ254" s="243"/>
      <c r="GMR254" s="243"/>
      <c r="GMS254" s="243"/>
      <c r="GMT254" s="243"/>
      <c r="GMU254" s="243"/>
      <c r="GMV254" s="243"/>
      <c r="GMW254" s="243"/>
      <c r="GMX254" s="243"/>
      <c r="GMY254" s="243"/>
      <c r="GMZ254" s="243"/>
      <c r="GNA254" s="243"/>
      <c r="GNB254" s="243"/>
      <c r="GNC254" s="243"/>
      <c r="GND254" s="243"/>
      <c r="GNE254" s="243"/>
      <c r="GNF254" s="243"/>
      <c r="GNG254" s="243"/>
      <c r="GNH254" s="243"/>
      <c r="GNI254" s="243"/>
      <c r="GNJ254" s="243"/>
      <c r="GNK254" s="243"/>
      <c r="GNL254" s="243"/>
      <c r="GNM254" s="243"/>
      <c r="GNN254" s="243"/>
      <c r="GNO254" s="243"/>
      <c r="GNP254" s="243"/>
      <c r="GNQ254" s="243"/>
      <c r="GNR254" s="243"/>
      <c r="GNS254" s="243"/>
      <c r="GNT254" s="243"/>
      <c r="GNU254" s="243"/>
      <c r="GNV254" s="243"/>
      <c r="GNW254" s="243"/>
      <c r="GNX254" s="243"/>
      <c r="GNY254" s="243"/>
      <c r="GNZ254" s="243"/>
      <c r="GOA254" s="243"/>
      <c r="GOB254" s="243"/>
      <c r="GOC254" s="243"/>
      <c r="GOD254" s="243"/>
      <c r="GOE254" s="243"/>
      <c r="GOF254" s="243"/>
      <c r="GOG254" s="243"/>
      <c r="GOH254" s="243"/>
      <c r="GOI254" s="243"/>
      <c r="GOJ254" s="243"/>
      <c r="GOK254" s="243"/>
      <c r="GOL254" s="243"/>
      <c r="GOM254" s="243"/>
      <c r="GON254" s="243"/>
      <c r="GOO254" s="243"/>
      <c r="GOP254" s="243"/>
      <c r="GOQ254" s="243"/>
      <c r="GOR254" s="243"/>
      <c r="GOS254" s="243"/>
      <c r="GOT254" s="243"/>
      <c r="GOU254" s="243"/>
      <c r="GOV254" s="243"/>
      <c r="GOW254" s="243"/>
      <c r="GOX254" s="243"/>
      <c r="GOY254" s="243"/>
      <c r="GOZ254" s="243"/>
      <c r="GPA254" s="243"/>
      <c r="GPB254" s="243"/>
      <c r="GPC254" s="243"/>
      <c r="GPD254" s="243"/>
      <c r="GPE254" s="243"/>
      <c r="GPF254" s="243"/>
      <c r="GPG254" s="243"/>
      <c r="GPH254" s="243"/>
      <c r="GPI254" s="243"/>
      <c r="GPJ254" s="243"/>
      <c r="GPK254" s="243"/>
      <c r="GPL254" s="243"/>
      <c r="GPM254" s="243"/>
      <c r="GPN254" s="243"/>
      <c r="GPO254" s="243"/>
      <c r="GPP254" s="243"/>
      <c r="GPQ254" s="243"/>
      <c r="GPR254" s="243"/>
      <c r="GPS254" s="243"/>
      <c r="GPT254" s="243"/>
      <c r="GPU254" s="243"/>
      <c r="GPV254" s="243"/>
      <c r="GPW254" s="243"/>
      <c r="GPX254" s="243"/>
      <c r="GPY254" s="243"/>
      <c r="GPZ254" s="243"/>
      <c r="GQA254" s="243"/>
      <c r="GQB254" s="243"/>
      <c r="GQC254" s="243"/>
      <c r="GQD254" s="243"/>
      <c r="GQE254" s="243"/>
      <c r="GQF254" s="243"/>
      <c r="GQG254" s="243"/>
      <c r="GQH254" s="243"/>
      <c r="GQI254" s="243"/>
      <c r="GQJ254" s="243"/>
      <c r="GQK254" s="243"/>
      <c r="GQL254" s="243"/>
      <c r="GQM254" s="243"/>
      <c r="GQN254" s="243"/>
      <c r="GQO254" s="243"/>
      <c r="GQP254" s="243"/>
      <c r="GQQ254" s="243"/>
      <c r="GQR254" s="243"/>
      <c r="GQS254" s="243"/>
      <c r="GQT254" s="243"/>
      <c r="GQU254" s="243"/>
      <c r="GQV254" s="243"/>
      <c r="GQW254" s="243"/>
      <c r="GQX254" s="243"/>
      <c r="GQY254" s="243"/>
      <c r="GQZ254" s="243"/>
      <c r="GRA254" s="243"/>
      <c r="GRB254" s="243"/>
      <c r="GRC254" s="243"/>
      <c r="GRD254" s="243"/>
      <c r="GRE254" s="243"/>
      <c r="GRF254" s="243"/>
      <c r="GRG254" s="243"/>
      <c r="GRH254" s="243"/>
      <c r="GRI254" s="243"/>
      <c r="GRJ254" s="243"/>
      <c r="GRK254" s="243"/>
      <c r="GRL254" s="243"/>
      <c r="GRM254" s="243"/>
      <c r="GRN254" s="243"/>
      <c r="GRO254" s="243"/>
      <c r="GRP254" s="243"/>
      <c r="GRQ254" s="243"/>
      <c r="GRR254" s="243"/>
      <c r="GRS254" s="243"/>
      <c r="GRT254" s="243"/>
      <c r="GRU254" s="243"/>
      <c r="GRV254" s="243"/>
      <c r="GRW254" s="243"/>
      <c r="GRX254" s="243"/>
      <c r="GRY254" s="243"/>
      <c r="GRZ254" s="243"/>
      <c r="GSA254" s="243"/>
      <c r="GSB254" s="243"/>
      <c r="GSC254" s="243"/>
      <c r="GSD254" s="243"/>
      <c r="GSE254" s="243"/>
      <c r="GSF254" s="243"/>
      <c r="GSG254" s="243"/>
      <c r="GSH254" s="243"/>
      <c r="GSI254" s="243"/>
      <c r="GSJ254" s="243"/>
      <c r="GSK254" s="243"/>
      <c r="GSL254" s="243"/>
      <c r="GSM254" s="243"/>
      <c r="GSN254" s="243"/>
      <c r="GSO254" s="243"/>
      <c r="GSP254" s="243"/>
      <c r="GSQ254" s="243"/>
      <c r="GSR254" s="243"/>
      <c r="GSS254" s="243"/>
      <c r="GST254" s="243"/>
      <c r="GSU254" s="243"/>
      <c r="GSV254" s="243"/>
      <c r="GSW254" s="243"/>
      <c r="GSX254" s="243"/>
      <c r="GSY254" s="243"/>
      <c r="GSZ254" s="243"/>
      <c r="GTA254" s="243"/>
      <c r="GTB254" s="243"/>
      <c r="GTC254" s="243"/>
      <c r="GTD254" s="243"/>
      <c r="GTE254" s="243"/>
      <c r="GTF254" s="243"/>
      <c r="GTG254" s="243"/>
      <c r="GTH254" s="243"/>
      <c r="GTI254" s="243"/>
      <c r="GTJ254" s="243"/>
      <c r="GTK254" s="243"/>
      <c r="GTL254" s="243"/>
      <c r="GTM254" s="243"/>
      <c r="GTN254" s="243"/>
      <c r="GTO254" s="243"/>
      <c r="GTP254" s="243"/>
      <c r="GTQ254" s="243"/>
      <c r="GTR254" s="243"/>
      <c r="GTS254" s="243"/>
      <c r="GTT254" s="243"/>
      <c r="GTU254" s="243"/>
      <c r="GTV254" s="243"/>
      <c r="GTW254" s="243"/>
      <c r="GTX254" s="243"/>
      <c r="GTY254" s="243"/>
      <c r="GTZ254" s="243"/>
      <c r="GUA254" s="243"/>
      <c r="GUB254" s="243"/>
      <c r="GUC254" s="243"/>
      <c r="GUD254" s="243"/>
      <c r="GUE254" s="243"/>
      <c r="GUF254" s="243"/>
      <c r="GUG254" s="243"/>
      <c r="GUH254" s="243"/>
      <c r="GUI254" s="243"/>
      <c r="GUJ254" s="243"/>
      <c r="GUK254" s="243"/>
      <c r="GUL254" s="243"/>
      <c r="GUM254" s="243"/>
      <c r="GUN254" s="243"/>
      <c r="GUO254" s="243"/>
      <c r="GUP254" s="243"/>
      <c r="GUQ254" s="243"/>
      <c r="GUR254" s="243"/>
      <c r="GUS254" s="243"/>
      <c r="GUT254" s="243"/>
      <c r="GUU254" s="243"/>
      <c r="GUV254" s="243"/>
      <c r="GUW254" s="243"/>
      <c r="GUX254" s="243"/>
      <c r="GUY254" s="243"/>
      <c r="GUZ254" s="243"/>
      <c r="GVA254" s="243"/>
      <c r="GVB254" s="243"/>
      <c r="GVC254" s="243"/>
      <c r="GVD254" s="243"/>
      <c r="GVE254" s="243"/>
      <c r="GVF254" s="243"/>
      <c r="GVG254" s="243"/>
      <c r="GVH254" s="243"/>
      <c r="GVI254" s="243"/>
      <c r="GVJ254" s="243"/>
      <c r="GVK254" s="243"/>
      <c r="GVL254" s="243"/>
      <c r="GVM254" s="243"/>
      <c r="GVN254" s="243"/>
      <c r="GVO254" s="243"/>
      <c r="GVP254" s="243"/>
      <c r="GVQ254" s="243"/>
      <c r="GVR254" s="243"/>
      <c r="GVS254" s="243"/>
      <c r="GVT254" s="243"/>
      <c r="GVU254" s="243"/>
      <c r="GVV254" s="243"/>
      <c r="GVW254" s="243"/>
      <c r="GVX254" s="243"/>
      <c r="GVY254" s="243"/>
      <c r="GVZ254" s="243"/>
      <c r="GWA254" s="243"/>
      <c r="GWB254" s="243"/>
      <c r="GWC254" s="243"/>
      <c r="GWD254" s="243"/>
      <c r="GWE254" s="243"/>
      <c r="GWF254" s="243"/>
      <c r="GWG254" s="243"/>
      <c r="GWH254" s="243"/>
      <c r="GWI254" s="243"/>
      <c r="GWJ254" s="243"/>
      <c r="GWK254" s="243"/>
      <c r="GWL254" s="243"/>
      <c r="GWM254" s="243"/>
      <c r="GWN254" s="243"/>
      <c r="GWO254" s="243"/>
      <c r="GWP254" s="243"/>
      <c r="GWQ254" s="243"/>
      <c r="GWR254" s="243"/>
      <c r="GWS254" s="243"/>
      <c r="GWT254" s="243"/>
      <c r="GWU254" s="243"/>
      <c r="GWV254" s="243"/>
      <c r="GWW254" s="243"/>
      <c r="GWX254" s="243"/>
      <c r="GWY254" s="243"/>
      <c r="GWZ254" s="243"/>
      <c r="GXA254" s="243"/>
      <c r="GXB254" s="243"/>
      <c r="GXC254" s="243"/>
      <c r="GXD254" s="243"/>
      <c r="GXE254" s="243"/>
      <c r="GXF254" s="243"/>
      <c r="GXG254" s="243"/>
      <c r="GXH254" s="243"/>
      <c r="GXI254" s="243"/>
      <c r="GXJ254" s="243"/>
      <c r="GXK254" s="243"/>
      <c r="GXL254" s="243"/>
      <c r="GXM254" s="243"/>
      <c r="GXN254" s="243"/>
      <c r="GXO254" s="243"/>
      <c r="GXP254" s="243"/>
      <c r="GXQ254" s="243"/>
      <c r="GXR254" s="243"/>
      <c r="GXS254" s="243"/>
      <c r="GXT254" s="243"/>
      <c r="GXU254" s="243"/>
      <c r="GXV254" s="243"/>
      <c r="GXW254" s="243"/>
      <c r="GXX254" s="243"/>
      <c r="GXY254" s="243"/>
      <c r="GXZ254" s="243"/>
      <c r="GYA254" s="243"/>
      <c r="GYB254" s="243"/>
      <c r="GYC254" s="243"/>
      <c r="GYD254" s="243"/>
      <c r="GYE254" s="243"/>
      <c r="GYF254" s="243"/>
      <c r="GYG254" s="243"/>
      <c r="GYH254" s="243"/>
      <c r="GYI254" s="243"/>
      <c r="GYJ254" s="243"/>
      <c r="GYK254" s="243"/>
      <c r="GYL254" s="243"/>
      <c r="GYM254" s="243"/>
      <c r="GYN254" s="243"/>
      <c r="GYO254" s="243"/>
      <c r="GYP254" s="243"/>
      <c r="GYQ254" s="243"/>
      <c r="GYR254" s="243"/>
      <c r="GYS254" s="243"/>
      <c r="GYT254" s="243"/>
      <c r="GYU254" s="243"/>
      <c r="GYV254" s="243"/>
      <c r="GYW254" s="243"/>
      <c r="GYX254" s="243"/>
      <c r="GYY254" s="243"/>
      <c r="GYZ254" s="243"/>
      <c r="GZA254" s="243"/>
      <c r="GZB254" s="243"/>
      <c r="GZC254" s="243"/>
      <c r="GZD254" s="243"/>
      <c r="GZE254" s="243"/>
      <c r="GZF254" s="243"/>
      <c r="GZG254" s="243"/>
      <c r="GZH254" s="243"/>
      <c r="GZI254" s="243"/>
      <c r="GZJ254" s="243"/>
      <c r="GZK254" s="243"/>
      <c r="GZL254" s="243"/>
      <c r="GZM254" s="243"/>
      <c r="GZN254" s="243"/>
      <c r="GZO254" s="243"/>
      <c r="GZP254" s="243"/>
      <c r="GZQ254" s="243"/>
      <c r="GZR254" s="243"/>
      <c r="GZS254" s="243"/>
      <c r="GZT254" s="243"/>
      <c r="GZU254" s="243"/>
      <c r="GZV254" s="243"/>
      <c r="GZW254" s="243"/>
      <c r="GZX254" s="243"/>
      <c r="GZY254" s="243"/>
      <c r="GZZ254" s="243"/>
      <c r="HAA254" s="243"/>
      <c r="HAB254" s="243"/>
      <c r="HAC254" s="243"/>
      <c r="HAD254" s="243"/>
      <c r="HAE254" s="243"/>
      <c r="HAF254" s="243"/>
      <c r="HAG254" s="243"/>
      <c r="HAH254" s="243"/>
      <c r="HAI254" s="243"/>
      <c r="HAJ254" s="243"/>
      <c r="HAK254" s="243"/>
      <c r="HAL254" s="243"/>
      <c r="HAM254" s="243"/>
      <c r="HAN254" s="243"/>
      <c r="HAO254" s="243"/>
      <c r="HAP254" s="243"/>
      <c r="HAQ254" s="243"/>
      <c r="HAR254" s="243"/>
      <c r="HAS254" s="243"/>
      <c r="HAT254" s="243"/>
      <c r="HAU254" s="243"/>
      <c r="HAV254" s="243"/>
      <c r="HAW254" s="243"/>
      <c r="HAX254" s="243"/>
      <c r="HAY254" s="243"/>
      <c r="HAZ254" s="243"/>
      <c r="HBA254" s="243"/>
      <c r="HBB254" s="243"/>
      <c r="HBC254" s="243"/>
      <c r="HBD254" s="243"/>
      <c r="HBE254" s="243"/>
      <c r="HBF254" s="243"/>
      <c r="HBG254" s="243"/>
      <c r="HBH254" s="243"/>
      <c r="HBI254" s="243"/>
      <c r="HBJ254" s="243"/>
      <c r="HBK254" s="243"/>
      <c r="HBL254" s="243"/>
      <c r="HBM254" s="243"/>
      <c r="HBN254" s="243"/>
      <c r="HBO254" s="243"/>
      <c r="HBP254" s="243"/>
      <c r="HBQ254" s="243"/>
      <c r="HBR254" s="243"/>
      <c r="HBS254" s="243"/>
      <c r="HBT254" s="243"/>
      <c r="HBU254" s="243"/>
      <c r="HBV254" s="243"/>
      <c r="HBW254" s="243"/>
      <c r="HBX254" s="243"/>
      <c r="HBY254" s="243"/>
      <c r="HBZ254" s="243"/>
      <c r="HCA254" s="243"/>
      <c r="HCB254" s="243"/>
      <c r="HCC254" s="243"/>
      <c r="HCD254" s="243"/>
      <c r="HCE254" s="243"/>
      <c r="HCF254" s="243"/>
      <c r="HCG254" s="243"/>
      <c r="HCH254" s="243"/>
      <c r="HCI254" s="243"/>
      <c r="HCJ254" s="243"/>
      <c r="HCK254" s="243"/>
      <c r="HCL254" s="243"/>
      <c r="HCM254" s="243"/>
      <c r="HCN254" s="243"/>
      <c r="HCO254" s="243"/>
      <c r="HCP254" s="243"/>
      <c r="HCQ254" s="243"/>
      <c r="HCR254" s="243"/>
      <c r="HCS254" s="243"/>
      <c r="HCT254" s="243"/>
      <c r="HCU254" s="243"/>
      <c r="HCV254" s="243"/>
      <c r="HCW254" s="243"/>
      <c r="HCX254" s="243"/>
      <c r="HCY254" s="243"/>
      <c r="HCZ254" s="243"/>
      <c r="HDA254" s="243"/>
      <c r="HDB254" s="243"/>
      <c r="HDC254" s="243"/>
      <c r="HDD254" s="243"/>
      <c r="HDE254" s="243"/>
      <c r="HDF254" s="243"/>
      <c r="HDG254" s="243"/>
      <c r="HDH254" s="243"/>
      <c r="HDI254" s="243"/>
      <c r="HDJ254" s="243"/>
      <c r="HDK254" s="243"/>
      <c r="HDL254" s="243"/>
      <c r="HDM254" s="243"/>
      <c r="HDN254" s="243"/>
      <c r="HDO254" s="243"/>
      <c r="HDP254" s="243"/>
      <c r="HDQ254" s="243"/>
      <c r="HDR254" s="243"/>
      <c r="HDS254" s="243"/>
      <c r="HDT254" s="243"/>
      <c r="HDU254" s="243"/>
      <c r="HDV254" s="243"/>
      <c r="HDW254" s="243"/>
      <c r="HDX254" s="243"/>
      <c r="HDY254" s="243"/>
      <c r="HDZ254" s="243"/>
      <c r="HEA254" s="243"/>
      <c r="HEB254" s="243"/>
      <c r="HEC254" s="243"/>
      <c r="HED254" s="243"/>
      <c r="HEE254" s="243"/>
      <c r="HEF254" s="243"/>
      <c r="HEG254" s="243"/>
      <c r="HEH254" s="243"/>
      <c r="HEI254" s="243"/>
      <c r="HEJ254" s="243"/>
      <c r="HEK254" s="243"/>
      <c r="HEL254" s="243"/>
      <c r="HEM254" s="243"/>
      <c r="HEN254" s="243"/>
      <c r="HEO254" s="243"/>
      <c r="HEP254" s="243"/>
      <c r="HEQ254" s="243"/>
      <c r="HER254" s="243"/>
      <c r="HES254" s="243"/>
      <c r="HET254" s="243"/>
      <c r="HEU254" s="243"/>
      <c r="HEV254" s="243"/>
      <c r="HEW254" s="243"/>
      <c r="HEX254" s="243"/>
      <c r="HEY254" s="243"/>
      <c r="HEZ254" s="243"/>
      <c r="HFA254" s="243"/>
      <c r="HFB254" s="243"/>
      <c r="HFC254" s="243"/>
      <c r="HFD254" s="243"/>
      <c r="HFE254" s="243"/>
      <c r="HFF254" s="243"/>
      <c r="HFG254" s="243"/>
      <c r="HFH254" s="243"/>
      <c r="HFI254" s="243"/>
      <c r="HFJ254" s="243"/>
      <c r="HFK254" s="243"/>
      <c r="HFL254" s="243"/>
      <c r="HFM254" s="243"/>
      <c r="HFN254" s="243"/>
      <c r="HFO254" s="243"/>
      <c r="HFP254" s="243"/>
      <c r="HFQ254" s="243"/>
      <c r="HFR254" s="243"/>
      <c r="HFS254" s="243"/>
      <c r="HFT254" s="243"/>
      <c r="HFU254" s="243"/>
      <c r="HFV254" s="243"/>
      <c r="HFW254" s="243"/>
      <c r="HFX254" s="243"/>
      <c r="HFY254" s="243"/>
      <c r="HFZ254" s="243"/>
      <c r="HGA254" s="243"/>
      <c r="HGB254" s="243"/>
      <c r="HGC254" s="243"/>
      <c r="HGD254" s="243"/>
      <c r="HGE254" s="243"/>
      <c r="HGF254" s="243"/>
      <c r="HGG254" s="243"/>
      <c r="HGH254" s="243"/>
      <c r="HGI254" s="243"/>
      <c r="HGJ254" s="243"/>
      <c r="HGK254" s="243"/>
      <c r="HGL254" s="243"/>
      <c r="HGM254" s="243"/>
      <c r="HGN254" s="243"/>
      <c r="HGO254" s="243"/>
      <c r="HGP254" s="243"/>
      <c r="HGQ254" s="243"/>
      <c r="HGR254" s="243"/>
      <c r="HGS254" s="243"/>
      <c r="HGT254" s="243"/>
      <c r="HGU254" s="243"/>
      <c r="HGV254" s="243"/>
      <c r="HGW254" s="243"/>
      <c r="HGX254" s="243"/>
      <c r="HGY254" s="243"/>
      <c r="HGZ254" s="243"/>
      <c r="HHA254" s="243"/>
      <c r="HHB254" s="243"/>
      <c r="HHC254" s="243"/>
      <c r="HHD254" s="243"/>
      <c r="HHE254" s="243"/>
      <c r="HHF254" s="243"/>
      <c r="HHG254" s="243"/>
      <c r="HHH254" s="243"/>
      <c r="HHI254" s="243"/>
      <c r="HHJ254" s="243"/>
      <c r="HHK254" s="243"/>
      <c r="HHL254" s="243"/>
      <c r="HHM254" s="243"/>
      <c r="HHN254" s="243"/>
      <c r="HHO254" s="243"/>
      <c r="HHP254" s="243"/>
      <c r="HHQ254" s="243"/>
      <c r="HHR254" s="243"/>
      <c r="HHS254" s="243"/>
      <c r="HHT254" s="243"/>
      <c r="HHU254" s="243"/>
      <c r="HHV254" s="243"/>
      <c r="HHW254" s="243"/>
      <c r="HHX254" s="243"/>
      <c r="HHY254" s="243"/>
      <c r="HHZ254" s="243"/>
      <c r="HIA254" s="243"/>
      <c r="HIB254" s="243"/>
      <c r="HIC254" s="243"/>
      <c r="HID254" s="243"/>
      <c r="HIE254" s="243"/>
      <c r="HIF254" s="243"/>
      <c r="HIG254" s="243"/>
      <c r="HIH254" s="243"/>
      <c r="HII254" s="243"/>
      <c r="HIJ254" s="243"/>
      <c r="HIK254" s="243"/>
      <c r="HIL254" s="243"/>
      <c r="HIM254" s="243"/>
      <c r="HIN254" s="243"/>
      <c r="HIO254" s="243"/>
      <c r="HIP254" s="243"/>
      <c r="HIQ254" s="243"/>
      <c r="HIR254" s="243"/>
      <c r="HIS254" s="243"/>
      <c r="HIT254" s="243"/>
      <c r="HIU254" s="243"/>
      <c r="HIV254" s="243"/>
      <c r="HIW254" s="243"/>
      <c r="HIX254" s="243"/>
      <c r="HIY254" s="243"/>
      <c r="HIZ254" s="243"/>
      <c r="HJA254" s="243"/>
      <c r="HJB254" s="243"/>
      <c r="HJC254" s="243"/>
      <c r="HJD254" s="243"/>
      <c r="HJE254" s="243"/>
      <c r="HJF254" s="243"/>
      <c r="HJG254" s="243"/>
      <c r="HJH254" s="243"/>
      <c r="HJI254" s="243"/>
      <c r="HJJ254" s="243"/>
      <c r="HJK254" s="243"/>
      <c r="HJL254" s="243"/>
      <c r="HJM254" s="243"/>
      <c r="HJN254" s="243"/>
      <c r="HJO254" s="243"/>
      <c r="HJP254" s="243"/>
      <c r="HJQ254" s="243"/>
      <c r="HJR254" s="243"/>
      <c r="HJS254" s="243"/>
      <c r="HJT254" s="243"/>
      <c r="HJU254" s="243"/>
      <c r="HJV254" s="243"/>
      <c r="HJW254" s="243"/>
      <c r="HJX254" s="243"/>
      <c r="HJY254" s="243"/>
      <c r="HJZ254" s="243"/>
      <c r="HKA254" s="243"/>
      <c r="HKB254" s="243"/>
      <c r="HKC254" s="243"/>
      <c r="HKD254" s="243"/>
      <c r="HKE254" s="243"/>
      <c r="HKF254" s="243"/>
      <c r="HKG254" s="243"/>
      <c r="HKH254" s="243"/>
      <c r="HKI254" s="243"/>
      <c r="HKJ254" s="243"/>
      <c r="HKK254" s="243"/>
      <c r="HKL254" s="243"/>
      <c r="HKM254" s="243"/>
      <c r="HKN254" s="243"/>
      <c r="HKO254" s="243"/>
      <c r="HKP254" s="243"/>
      <c r="HKQ254" s="243"/>
      <c r="HKR254" s="243"/>
      <c r="HKS254" s="243"/>
      <c r="HKT254" s="243"/>
      <c r="HKU254" s="243"/>
      <c r="HKV254" s="243"/>
      <c r="HKW254" s="243"/>
      <c r="HKX254" s="243"/>
      <c r="HKY254" s="243"/>
      <c r="HKZ254" s="243"/>
      <c r="HLA254" s="243"/>
      <c r="HLB254" s="243"/>
      <c r="HLC254" s="243"/>
      <c r="HLD254" s="243"/>
      <c r="HLE254" s="243"/>
      <c r="HLF254" s="243"/>
      <c r="HLG254" s="243"/>
      <c r="HLH254" s="243"/>
      <c r="HLI254" s="243"/>
      <c r="HLJ254" s="243"/>
      <c r="HLK254" s="243"/>
      <c r="HLL254" s="243"/>
      <c r="HLM254" s="243"/>
      <c r="HLN254" s="243"/>
      <c r="HLO254" s="243"/>
      <c r="HLP254" s="243"/>
      <c r="HLQ254" s="243"/>
      <c r="HLR254" s="243"/>
      <c r="HLS254" s="243"/>
      <c r="HLT254" s="243"/>
      <c r="HLU254" s="243"/>
      <c r="HLV254" s="243"/>
      <c r="HLW254" s="243"/>
      <c r="HLX254" s="243"/>
      <c r="HLY254" s="243"/>
      <c r="HLZ254" s="243"/>
      <c r="HMA254" s="243"/>
      <c r="HMB254" s="243"/>
      <c r="HMC254" s="243"/>
      <c r="HMD254" s="243"/>
      <c r="HME254" s="243"/>
      <c r="HMF254" s="243"/>
      <c r="HMG254" s="243"/>
      <c r="HMH254" s="243"/>
      <c r="HMI254" s="243"/>
      <c r="HMJ254" s="243"/>
      <c r="HMK254" s="243"/>
      <c r="HML254" s="243"/>
      <c r="HMM254" s="243"/>
      <c r="HMN254" s="243"/>
      <c r="HMO254" s="243"/>
      <c r="HMP254" s="243"/>
      <c r="HMQ254" s="243"/>
      <c r="HMR254" s="243"/>
      <c r="HMS254" s="243"/>
      <c r="HMT254" s="243"/>
      <c r="HMU254" s="243"/>
      <c r="HMV254" s="243"/>
      <c r="HMW254" s="243"/>
      <c r="HMX254" s="243"/>
      <c r="HMY254" s="243"/>
      <c r="HMZ254" s="243"/>
      <c r="HNA254" s="243"/>
      <c r="HNB254" s="243"/>
      <c r="HNC254" s="243"/>
      <c r="HND254" s="243"/>
      <c r="HNE254" s="243"/>
      <c r="HNF254" s="243"/>
      <c r="HNG254" s="243"/>
      <c r="HNH254" s="243"/>
      <c r="HNI254" s="243"/>
      <c r="HNJ254" s="243"/>
      <c r="HNK254" s="243"/>
      <c r="HNL254" s="243"/>
      <c r="HNM254" s="243"/>
      <c r="HNN254" s="243"/>
      <c r="HNO254" s="243"/>
      <c r="HNP254" s="243"/>
      <c r="HNQ254" s="243"/>
      <c r="HNR254" s="243"/>
      <c r="HNS254" s="243"/>
      <c r="HNT254" s="243"/>
      <c r="HNU254" s="243"/>
      <c r="HNV254" s="243"/>
      <c r="HNW254" s="243"/>
      <c r="HNX254" s="243"/>
      <c r="HNY254" s="243"/>
      <c r="HNZ254" s="243"/>
      <c r="HOA254" s="243"/>
      <c r="HOB254" s="243"/>
      <c r="HOC254" s="243"/>
      <c r="HOD254" s="243"/>
      <c r="HOE254" s="243"/>
      <c r="HOF254" s="243"/>
      <c r="HOG254" s="243"/>
      <c r="HOH254" s="243"/>
      <c r="HOI254" s="243"/>
      <c r="HOJ254" s="243"/>
      <c r="HOK254" s="243"/>
      <c r="HOL254" s="243"/>
      <c r="HOM254" s="243"/>
      <c r="HON254" s="243"/>
      <c r="HOO254" s="243"/>
      <c r="HOP254" s="243"/>
      <c r="HOQ254" s="243"/>
      <c r="HOR254" s="243"/>
      <c r="HOS254" s="243"/>
      <c r="HOT254" s="243"/>
      <c r="HOU254" s="243"/>
      <c r="HOV254" s="243"/>
      <c r="HOW254" s="243"/>
      <c r="HOX254" s="243"/>
      <c r="HOY254" s="243"/>
      <c r="HOZ254" s="243"/>
      <c r="HPA254" s="243"/>
      <c r="HPB254" s="243"/>
      <c r="HPC254" s="243"/>
      <c r="HPD254" s="243"/>
      <c r="HPE254" s="243"/>
      <c r="HPF254" s="243"/>
      <c r="HPG254" s="243"/>
      <c r="HPH254" s="243"/>
      <c r="HPI254" s="243"/>
      <c r="HPJ254" s="243"/>
      <c r="HPK254" s="243"/>
      <c r="HPL254" s="243"/>
      <c r="HPM254" s="243"/>
      <c r="HPN254" s="243"/>
      <c r="HPO254" s="243"/>
      <c r="HPP254" s="243"/>
      <c r="HPQ254" s="243"/>
      <c r="HPR254" s="243"/>
      <c r="HPS254" s="243"/>
      <c r="HPT254" s="243"/>
      <c r="HPU254" s="243"/>
      <c r="HPV254" s="243"/>
      <c r="HPW254" s="243"/>
      <c r="HPX254" s="243"/>
      <c r="HPY254" s="243"/>
      <c r="HPZ254" s="243"/>
      <c r="HQA254" s="243"/>
      <c r="HQB254" s="243"/>
      <c r="HQC254" s="243"/>
      <c r="HQD254" s="243"/>
      <c r="HQE254" s="243"/>
      <c r="HQF254" s="243"/>
      <c r="HQG254" s="243"/>
      <c r="HQH254" s="243"/>
      <c r="HQI254" s="243"/>
      <c r="HQJ254" s="243"/>
      <c r="HQK254" s="243"/>
      <c r="HQL254" s="243"/>
      <c r="HQM254" s="243"/>
      <c r="HQN254" s="243"/>
      <c r="HQO254" s="243"/>
      <c r="HQP254" s="243"/>
      <c r="HQQ254" s="243"/>
      <c r="HQR254" s="243"/>
      <c r="HQS254" s="243"/>
      <c r="HQT254" s="243"/>
      <c r="HQU254" s="243"/>
      <c r="HQV254" s="243"/>
      <c r="HQW254" s="243"/>
      <c r="HQX254" s="243"/>
      <c r="HQY254" s="243"/>
      <c r="HQZ254" s="243"/>
      <c r="HRA254" s="243"/>
      <c r="HRB254" s="243"/>
      <c r="HRC254" s="243"/>
      <c r="HRD254" s="243"/>
      <c r="HRE254" s="243"/>
      <c r="HRF254" s="243"/>
      <c r="HRG254" s="243"/>
      <c r="HRH254" s="243"/>
      <c r="HRI254" s="243"/>
      <c r="HRJ254" s="243"/>
      <c r="HRK254" s="243"/>
      <c r="HRL254" s="243"/>
      <c r="HRM254" s="243"/>
      <c r="HRN254" s="243"/>
      <c r="HRO254" s="243"/>
      <c r="HRP254" s="243"/>
      <c r="HRQ254" s="243"/>
      <c r="HRR254" s="243"/>
      <c r="HRS254" s="243"/>
      <c r="HRT254" s="243"/>
      <c r="HRU254" s="243"/>
      <c r="HRV254" s="243"/>
      <c r="HRW254" s="243"/>
      <c r="HRX254" s="243"/>
      <c r="HRY254" s="243"/>
      <c r="HRZ254" s="243"/>
      <c r="HSA254" s="243"/>
      <c r="HSB254" s="243"/>
      <c r="HSC254" s="243"/>
      <c r="HSD254" s="243"/>
      <c r="HSE254" s="243"/>
      <c r="HSF254" s="243"/>
      <c r="HSG254" s="243"/>
      <c r="HSH254" s="243"/>
      <c r="HSI254" s="243"/>
      <c r="HSJ254" s="243"/>
      <c r="HSK254" s="243"/>
      <c r="HSL254" s="243"/>
      <c r="HSM254" s="243"/>
      <c r="HSN254" s="243"/>
      <c r="HSO254" s="243"/>
      <c r="HSP254" s="243"/>
      <c r="HSQ254" s="243"/>
      <c r="HSR254" s="243"/>
      <c r="HSS254" s="243"/>
      <c r="HST254" s="243"/>
      <c r="HSU254" s="243"/>
      <c r="HSV254" s="243"/>
      <c r="HSW254" s="243"/>
      <c r="HSX254" s="243"/>
      <c r="HSY254" s="243"/>
      <c r="HSZ254" s="243"/>
      <c r="HTA254" s="243"/>
      <c r="HTB254" s="243"/>
      <c r="HTC254" s="243"/>
      <c r="HTD254" s="243"/>
      <c r="HTE254" s="243"/>
      <c r="HTF254" s="243"/>
      <c r="HTG254" s="243"/>
      <c r="HTH254" s="243"/>
      <c r="HTI254" s="243"/>
      <c r="HTJ254" s="243"/>
      <c r="HTK254" s="243"/>
      <c r="HTL254" s="243"/>
      <c r="HTM254" s="243"/>
      <c r="HTN254" s="243"/>
      <c r="HTO254" s="243"/>
      <c r="HTP254" s="243"/>
      <c r="HTQ254" s="243"/>
      <c r="HTR254" s="243"/>
      <c r="HTS254" s="243"/>
      <c r="HTT254" s="243"/>
      <c r="HTU254" s="243"/>
      <c r="HTV254" s="243"/>
      <c r="HTW254" s="243"/>
      <c r="HTX254" s="243"/>
      <c r="HTY254" s="243"/>
      <c r="HTZ254" s="243"/>
      <c r="HUA254" s="243"/>
      <c r="HUB254" s="243"/>
      <c r="HUC254" s="243"/>
      <c r="HUD254" s="243"/>
      <c r="HUE254" s="243"/>
      <c r="HUF254" s="243"/>
      <c r="HUG254" s="243"/>
      <c r="HUH254" s="243"/>
      <c r="HUI254" s="243"/>
      <c r="HUJ254" s="243"/>
      <c r="HUK254" s="243"/>
      <c r="HUL254" s="243"/>
      <c r="HUM254" s="243"/>
      <c r="HUN254" s="243"/>
      <c r="HUO254" s="243"/>
      <c r="HUP254" s="243"/>
      <c r="HUQ254" s="243"/>
      <c r="HUR254" s="243"/>
      <c r="HUS254" s="243"/>
      <c r="HUT254" s="243"/>
      <c r="HUU254" s="243"/>
      <c r="HUV254" s="243"/>
      <c r="HUW254" s="243"/>
      <c r="HUX254" s="243"/>
      <c r="HUY254" s="243"/>
      <c r="HUZ254" s="243"/>
      <c r="HVA254" s="243"/>
      <c r="HVB254" s="243"/>
      <c r="HVC254" s="243"/>
      <c r="HVD254" s="243"/>
      <c r="HVE254" s="243"/>
      <c r="HVF254" s="243"/>
      <c r="HVG254" s="243"/>
      <c r="HVH254" s="243"/>
      <c r="HVI254" s="243"/>
      <c r="HVJ254" s="243"/>
      <c r="HVK254" s="243"/>
      <c r="HVL254" s="243"/>
      <c r="HVM254" s="243"/>
      <c r="HVN254" s="243"/>
      <c r="HVO254" s="243"/>
      <c r="HVP254" s="243"/>
      <c r="HVQ254" s="243"/>
      <c r="HVR254" s="243"/>
      <c r="HVS254" s="243"/>
      <c r="HVT254" s="243"/>
      <c r="HVU254" s="243"/>
      <c r="HVV254" s="243"/>
      <c r="HVW254" s="243"/>
      <c r="HVX254" s="243"/>
      <c r="HVY254" s="243"/>
      <c r="HVZ254" s="243"/>
      <c r="HWA254" s="243"/>
      <c r="HWB254" s="243"/>
      <c r="HWC254" s="243"/>
      <c r="HWD254" s="243"/>
      <c r="HWE254" s="243"/>
      <c r="HWF254" s="243"/>
      <c r="HWG254" s="243"/>
      <c r="HWH254" s="243"/>
      <c r="HWI254" s="243"/>
      <c r="HWJ254" s="243"/>
      <c r="HWK254" s="243"/>
      <c r="HWL254" s="243"/>
      <c r="HWM254" s="243"/>
      <c r="HWN254" s="243"/>
      <c r="HWO254" s="243"/>
      <c r="HWP254" s="243"/>
      <c r="HWQ254" s="243"/>
      <c r="HWR254" s="243"/>
      <c r="HWS254" s="243"/>
      <c r="HWT254" s="243"/>
      <c r="HWU254" s="243"/>
      <c r="HWV254" s="243"/>
      <c r="HWW254" s="243"/>
      <c r="HWX254" s="243"/>
      <c r="HWY254" s="243"/>
      <c r="HWZ254" s="243"/>
      <c r="HXA254" s="243"/>
      <c r="HXB254" s="243"/>
      <c r="HXC254" s="243"/>
      <c r="HXD254" s="243"/>
      <c r="HXE254" s="243"/>
      <c r="HXF254" s="243"/>
      <c r="HXG254" s="243"/>
      <c r="HXH254" s="243"/>
      <c r="HXI254" s="243"/>
      <c r="HXJ254" s="243"/>
      <c r="HXK254" s="243"/>
      <c r="HXL254" s="243"/>
      <c r="HXM254" s="243"/>
      <c r="HXN254" s="243"/>
      <c r="HXO254" s="243"/>
      <c r="HXP254" s="243"/>
      <c r="HXQ254" s="243"/>
      <c r="HXR254" s="243"/>
      <c r="HXS254" s="243"/>
      <c r="HXT254" s="243"/>
      <c r="HXU254" s="243"/>
      <c r="HXV254" s="243"/>
      <c r="HXW254" s="243"/>
      <c r="HXX254" s="243"/>
      <c r="HXY254" s="243"/>
      <c r="HXZ254" s="243"/>
      <c r="HYA254" s="243"/>
      <c r="HYB254" s="243"/>
      <c r="HYC254" s="243"/>
      <c r="HYD254" s="243"/>
      <c r="HYE254" s="243"/>
      <c r="HYF254" s="243"/>
      <c r="HYG254" s="243"/>
      <c r="HYH254" s="243"/>
      <c r="HYI254" s="243"/>
      <c r="HYJ254" s="243"/>
      <c r="HYK254" s="243"/>
      <c r="HYL254" s="243"/>
      <c r="HYM254" s="243"/>
      <c r="HYN254" s="243"/>
      <c r="HYO254" s="243"/>
      <c r="HYP254" s="243"/>
      <c r="HYQ254" s="243"/>
      <c r="HYR254" s="243"/>
      <c r="HYS254" s="243"/>
      <c r="HYT254" s="243"/>
      <c r="HYU254" s="243"/>
      <c r="HYV254" s="243"/>
      <c r="HYW254" s="243"/>
      <c r="HYX254" s="243"/>
      <c r="HYY254" s="243"/>
      <c r="HYZ254" s="243"/>
      <c r="HZA254" s="243"/>
      <c r="HZB254" s="243"/>
      <c r="HZC254" s="243"/>
      <c r="HZD254" s="243"/>
      <c r="HZE254" s="243"/>
      <c r="HZF254" s="243"/>
      <c r="HZG254" s="243"/>
      <c r="HZH254" s="243"/>
      <c r="HZI254" s="243"/>
      <c r="HZJ254" s="243"/>
      <c r="HZK254" s="243"/>
      <c r="HZL254" s="243"/>
      <c r="HZM254" s="243"/>
      <c r="HZN254" s="243"/>
      <c r="HZO254" s="243"/>
      <c r="HZP254" s="243"/>
      <c r="HZQ254" s="243"/>
      <c r="HZR254" s="243"/>
      <c r="HZS254" s="243"/>
      <c r="HZT254" s="243"/>
      <c r="HZU254" s="243"/>
      <c r="HZV254" s="243"/>
      <c r="HZW254" s="243"/>
      <c r="HZX254" s="243"/>
      <c r="HZY254" s="243"/>
      <c r="HZZ254" s="243"/>
      <c r="IAA254" s="243"/>
      <c r="IAB254" s="243"/>
      <c r="IAC254" s="243"/>
      <c r="IAD254" s="243"/>
      <c r="IAE254" s="243"/>
      <c r="IAF254" s="243"/>
      <c r="IAG254" s="243"/>
      <c r="IAH254" s="243"/>
      <c r="IAI254" s="243"/>
      <c r="IAJ254" s="243"/>
      <c r="IAK254" s="243"/>
      <c r="IAL254" s="243"/>
      <c r="IAM254" s="243"/>
      <c r="IAN254" s="243"/>
      <c r="IAO254" s="243"/>
      <c r="IAP254" s="243"/>
      <c r="IAQ254" s="243"/>
      <c r="IAR254" s="243"/>
      <c r="IAS254" s="243"/>
      <c r="IAT254" s="243"/>
      <c r="IAU254" s="243"/>
      <c r="IAV254" s="243"/>
      <c r="IAW254" s="243"/>
      <c r="IAX254" s="243"/>
      <c r="IAY254" s="243"/>
      <c r="IAZ254" s="243"/>
      <c r="IBA254" s="243"/>
      <c r="IBB254" s="243"/>
      <c r="IBC254" s="243"/>
      <c r="IBD254" s="243"/>
      <c r="IBE254" s="243"/>
      <c r="IBF254" s="243"/>
      <c r="IBG254" s="243"/>
      <c r="IBH254" s="243"/>
      <c r="IBI254" s="243"/>
      <c r="IBJ254" s="243"/>
      <c r="IBK254" s="243"/>
      <c r="IBL254" s="243"/>
      <c r="IBM254" s="243"/>
      <c r="IBN254" s="243"/>
      <c r="IBO254" s="243"/>
      <c r="IBP254" s="243"/>
      <c r="IBQ254" s="243"/>
      <c r="IBR254" s="243"/>
      <c r="IBS254" s="243"/>
      <c r="IBT254" s="243"/>
      <c r="IBU254" s="243"/>
      <c r="IBV254" s="243"/>
      <c r="IBW254" s="243"/>
      <c r="IBX254" s="243"/>
      <c r="IBY254" s="243"/>
      <c r="IBZ254" s="243"/>
      <c r="ICA254" s="243"/>
      <c r="ICB254" s="243"/>
      <c r="ICC254" s="243"/>
      <c r="ICD254" s="243"/>
      <c r="ICE254" s="243"/>
      <c r="ICF254" s="243"/>
      <c r="ICG254" s="243"/>
      <c r="ICH254" s="243"/>
      <c r="ICI254" s="243"/>
      <c r="ICJ254" s="243"/>
      <c r="ICK254" s="243"/>
      <c r="ICL254" s="243"/>
      <c r="ICM254" s="243"/>
      <c r="ICN254" s="243"/>
      <c r="ICO254" s="243"/>
      <c r="ICP254" s="243"/>
      <c r="ICQ254" s="243"/>
      <c r="ICR254" s="243"/>
      <c r="ICS254" s="243"/>
      <c r="ICT254" s="243"/>
      <c r="ICU254" s="243"/>
      <c r="ICV254" s="243"/>
      <c r="ICW254" s="243"/>
      <c r="ICX254" s="243"/>
      <c r="ICY254" s="243"/>
      <c r="ICZ254" s="243"/>
      <c r="IDA254" s="243"/>
      <c r="IDB254" s="243"/>
      <c r="IDC254" s="243"/>
      <c r="IDD254" s="243"/>
      <c r="IDE254" s="243"/>
      <c r="IDF254" s="243"/>
      <c r="IDG254" s="243"/>
      <c r="IDH254" s="243"/>
      <c r="IDI254" s="243"/>
      <c r="IDJ254" s="243"/>
      <c r="IDK254" s="243"/>
      <c r="IDL254" s="243"/>
      <c r="IDM254" s="243"/>
      <c r="IDN254" s="243"/>
      <c r="IDO254" s="243"/>
      <c r="IDP254" s="243"/>
      <c r="IDQ254" s="243"/>
      <c r="IDR254" s="243"/>
      <c r="IDS254" s="243"/>
      <c r="IDT254" s="243"/>
      <c r="IDU254" s="243"/>
      <c r="IDV254" s="243"/>
      <c r="IDW254" s="243"/>
      <c r="IDX254" s="243"/>
      <c r="IDY254" s="243"/>
      <c r="IDZ254" s="243"/>
      <c r="IEA254" s="243"/>
      <c r="IEB254" s="243"/>
      <c r="IEC254" s="243"/>
      <c r="IED254" s="243"/>
      <c r="IEE254" s="243"/>
      <c r="IEF254" s="243"/>
      <c r="IEG254" s="243"/>
      <c r="IEH254" s="243"/>
      <c r="IEI254" s="243"/>
      <c r="IEJ254" s="243"/>
      <c r="IEK254" s="243"/>
      <c r="IEL254" s="243"/>
      <c r="IEM254" s="243"/>
      <c r="IEN254" s="243"/>
      <c r="IEO254" s="243"/>
      <c r="IEP254" s="243"/>
      <c r="IEQ254" s="243"/>
      <c r="IER254" s="243"/>
      <c r="IES254" s="243"/>
      <c r="IET254" s="243"/>
      <c r="IEU254" s="243"/>
      <c r="IEV254" s="243"/>
      <c r="IEW254" s="243"/>
      <c r="IEX254" s="243"/>
      <c r="IEY254" s="243"/>
      <c r="IEZ254" s="243"/>
      <c r="IFA254" s="243"/>
      <c r="IFB254" s="243"/>
      <c r="IFC254" s="243"/>
      <c r="IFD254" s="243"/>
      <c r="IFE254" s="243"/>
      <c r="IFF254" s="243"/>
      <c r="IFG254" s="243"/>
      <c r="IFH254" s="243"/>
      <c r="IFI254" s="243"/>
      <c r="IFJ254" s="243"/>
      <c r="IFK254" s="243"/>
      <c r="IFL254" s="243"/>
      <c r="IFM254" s="243"/>
      <c r="IFN254" s="243"/>
      <c r="IFO254" s="243"/>
      <c r="IFP254" s="243"/>
      <c r="IFQ254" s="243"/>
      <c r="IFR254" s="243"/>
      <c r="IFS254" s="243"/>
      <c r="IFT254" s="243"/>
      <c r="IFU254" s="243"/>
      <c r="IFV254" s="243"/>
      <c r="IFW254" s="243"/>
      <c r="IFX254" s="243"/>
      <c r="IFY254" s="243"/>
      <c r="IFZ254" s="243"/>
      <c r="IGA254" s="243"/>
      <c r="IGB254" s="243"/>
      <c r="IGC254" s="243"/>
      <c r="IGD254" s="243"/>
      <c r="IGE254" s="243"/>
      <c r="IGF254" s="243"/>
      <c r="IGG254" s="243"/>
      <c r="IGH254" s="243"/>
      <c r="IGI254" s="243"/>
      <c r="IGJ254" s="243"/>
      <c r="IGK254" s="243"/>
      <c r="IGL254" s="243"/>
      <c r="IGM254" s="243"/>
      <c r="IGN254" s="243"/>
      <c r="IGO254" s="243"/>
      <c r="IGP254" s="243"/>
      <c r="IGQ254" s="243"/>
      <c r="IGR254" s="243"/>
      <c r="IGS254" s="243"/>
      <c r="IGT254" s="243"/>
      <c r="IGU254" s="243"/>
      <c r="IGV254" s="243"/>
      <c r="IGW254" s="243"/>
      <c r="IGX254" s="243"/>
      <c r="IGY254" s="243"/>
      <c r="IGZ254" s="243"/>
      <c r="IHA254" s="243"/>
      <c r="IHB254" s="243"/>
      <c r="IHC254" s="243"/>
      <c r="IHD254" s="243"/>
      <c r="IHE254" s="243"/>
      <c r="IHF254" s="243"/>
      <c r="IHG254" s="243"/>
      <c r="IHH254" s="243"/>
      <c r="IHI254" s="243"/>
      <c r="IHJ254" s="243"/>
      <c r="IHK254" s="243"/>
      <c r="IHL254" s="243"/>
      <c r="IHM254" s="243"/>
      <c r="IHN254" s="243"/>
      <c r="IHO254" s="243"/>
      <c r="IHP254" s="243"/>
      <c r="IHQ254" s="243"/>
      <c r="IHR254" s="243"/>
      <c r="IHS254" s="243"/>
      <c r="IHT254" s="243"/>
      <c r="IHU254" s="243"/>
      <c r="IHV254" s="243"/>
      <c r="IHW254" s="243"/>
      <c r="IHX254" s="243"/>
      <c r="IHY254" s="243"/>
      <c r="IHZ254" s="243"/>
      <c r="IIA254" s="243"/>
      <c r="IIB254" s="243"/>
      <c r="IIC254" s="243"/>
      <c r="IID254" s="243"/>
      <c r="IIE254" s="243"/>
      <c r="IIF254" s="243"/>
      <c r="IIG254" s="243"/>
      <c r="IIH254" s="243"/>
      <c r="III254" s="243"/>
      <c r="IIJ254" s="243"/>
      <c r="IIK254" s="243"/>
      <c r="IIL254" s="243"/>
      <c r="IIM254" s="243"/>
      <c r="IIN254" s="243"/>
      <c r="IIO254" s="243"/>
      <c r="IIP254" s="243"/>
      <c r="IIQ254" s="243"/>
      <c r="IIR254" s="243"/>
      <c r="IIS254" s="243"/>
      <c r="IIT254" s="243"/>
      <c r="IIU254" s="243"/>
      <c r="IIV254" s="243"/>
      <c r="IIW254" s="243"/>
      <c r="IIX254" s="243"/>
      <c r="IIY254" s="243"/>
      <c r="IIZ254" s="243"/>
      <c r="IJA254" s="243"/>
      <c r="IJB254" s="243"/>
      <c r="IJC254" s="243"/>
      <c r="IJD254" s="243"/>
      <c r="IJE254" s="243"/>
      <c r="IJF254" s="243"/>
      <c r="IJG254" s="243"/>
      <c r="IJH254" s="243"/>
      <c r="IJI254" s="243"/>
      <c r="IJJ254" s="243"/>
      <c r="IJK254" s="243"/>
      <c r="IJL254" s="243"/>
      <c r="IJM254" s="243"/>
      <c r="IJN254" s="243"/>
      <c r="IJO254" s="243"/>
      <c r="IJP254" s="243"/>
      <c r="IJQ254" s="243"/>
      <c r="IJR254" s="243"/>
      <c r="IJS254" s="243"/>
      <c r="IJT254" s="243"/>
      <c r="IJU254" s="243"/>
      <c r="IJV254" s="243"/>
      <c r="IJW254" s="243"/>
      <c r="IJX254" s="243"/>
      <c r="IJY254" s="243"/>
      <c r="IJZ254" s="243"/>
      <c r="IKA254" s="243"/>
      <c r="IKB254" s="243"/>
      <c r="IKC254" s="243"/>
      <c r="IKD254" s="243"/>
      <c r="IKE254" s="243"/>
      <c r="IKF254" s="243"/>
      <c r="IKG254" s="243"/>
      <c r="IKH254" s="243"/>
      <c r="IKI254" s="243"/>
      <c r="IKJ254" s="243"/>
      <c r="IKK254" s="243"/>
      <c r="IKL254" s="243"/>
      <c r="IKM254" s="243"/>
      <c r="IKN254" s="243"/>
      <c r="IKO254" s="243"/>
      <c r="IKP254" s="243"/>
      <c r="IKQ254" s="243"/>
      <c r="IKR254" s="243"/>
      <c r="IKS254" s="243"/>
      <c r="IKT254" s="243"/>
      <c r="IKU254" s="243"/>
      <c r="IKV254" s="243"/>
      <c r="IKW254" s="243"/>
      <c r="IKX254" s="243"/>
      <c r="IKY254" s="243"/>
      <c r="IKZ254" s="243"/>
      <c r="ILA254" s="243"/>
      <c r="ILB254" s="243"/>
      <c r="ILC254" s="243"/>
      <c r="ILD254" s="243"/>
      <c r="ILE254" s="243"/>
      <c r="ILF254" s="243"/>
      <c r="ILG254" s="243"/>
      <c r="ILH254" s="243"/>
      <c r="ILI254" s="243"/>
      <c r="ILJ254" s="243"/>
      <c r="ILK254" s="243"/>
      <c r="ILL254" s="243"/>
      <c r="ILM254" s="243"/>
      <c r="ILN254" s="243"/>
      <c r="ILO254" s="243"/>
      <c r="ILP254" s="243"/>
      <c r="ILQ254" s="243"/>
      <c r="ILR254" s="243"/>
      <c r="ILS254" s="243"/>
      <c r="ILT254" s="243"/>
      <c r="ILU254" s="243"/>
      <c r="ILV254" s="243"/>
      <c r="ILW254" s="243"/>
      <c r="ILX254" s="243"/>
      <c r="ILY254" s="243"/>
      <c r="ILZ254" s="243"/>
      <c r="IMA254" s="243"/>
      <c r="IMB254" s="243"/>
      <c r="IMC254" s="243"/>
      <c r="IMD254" s="243"/>
      <c r="IME254" s="243"/>
      <c r="IMF254" s="243"/>
      <c r="IMG254" s="243"/>
      <c r="IMH254" s="243"/>
      <c r="IMI254" s="243"/>
      <c r="IMJ254" s="243"/>
      <c r="IMK254" s="243"/>
      <c r="IML254" s="243"/>
      <c r="IMM254" s="243"/>
      <c r="IMN254" s="243"/>
      <c r="IMO254" s="243"/>
      <c r="IMP254" s="243"/>
      <c r="IMQ254" s="243"/>
      <c r="IMR254" s="243"/>
      <c r="IMS254" s="243"/>
      <c r="IMT254" s="243"/>
      <c r="IMU254" s="243"/>
      <c r="IMV254" s="243"/>
      <c r="IMW254" s="243"/>
      <c r="IMX254" s="243"/>
      <c r="IMY254" s="243"/>
      <c r="IMZ254" s="243"/>
      <c r="INA254" s="243"/>
      <c r="INB254" s="243"/>
      <c r="INC254" s="243"/>
      <c r="IND254" s="243"/>
      <c r="INE254" s="243"/>
      <c r="INF254" s="243"/>
      <c r="ING254" s="243"/>
      <c r="INH254" s="243"/>
      <c r="INI254" s="243"/>
      <c r="INJ254" s="243"/>
      <c r="INK254" s="243"/>
      <c r="INL254" s="243"/>
      <c r="INM254" s="243"/>
      <c r="INN254" s="243"/>
      <c r="INO254" s="243"/>
      <c r="INP254" s="243"/>
      <c r="INQ254" s="243"/>
      <c r="INR254" s="243"/>
      <c r="INS254" s="243"/>
      <c r="INT254" s="243"/>
      <c r="INU254" s="243"/>
      <c r="INV254" s="243"/>
      <c r="INW254" s="243"/>
      <c r="INX254" s="243"/>
      <c r="INY254" s="243"/>
      <c r="INZ254" s="243"/>
      <c r="IOA254" s="243"/>
      <c r="IOB254" s="243"/>
      <c r="IOC254" s="243"/>
      <c r="IOD254" s="243"/>
      <c r="IOE254" s="243"/>
      <c r="IOF254" s="243"/>
      <c r="IOG254" s="243"/>
      <c r="IOH254" s="243"/>
      <c r="IOI254" s="243"/>
      <c r="IOJ254" s="243"/>
      <c r="IOK254" s="243"/>
      <c r="IOL254" s="243"/>
      <c r="IOM254" s="243"/>
      <c r="ION254" s="243"/>
      <c r="IOO254" s="243"/>
      <c r="IOP254" s="243"/>
      <c r="IOQ254" s="243"/>
      <c r="IOR254" s="243"/>
      <c r="IOS254" s="243"/>
      <c r="IOT254" s="243"/>
      <c r="IOU254" s="243"/>
      <c r="IOV254" s="243"/>
      <c r="IOW254" s="243"/>
      <c r="IOX254" s="243"/>
      <c r="IOY254" s="243"/>
      <c r="IOZ254" s="243"/>
      <c r="IPA254" s="243"/>
      <c r="IPB254" s="243"/>
      <c r="IPC254" s="243"/>
      <c r="IPD254" s="243"/>
      <c r="IPE254" s="243"/>
      <c r="IPF254" s="243"/>
      <c r="IPG254" s="243"/>
      <c r="IPH254" s="243"/>
      <c r="IPI254" s="243"/>
      <c r="IPJ254" s="243"/>
      <c r="IPK254" s="243"/>
      <c r="IPL254" s="243"/>
      <c r="IPM254" s="243"/>
      <c r="IPN254" s="243"/>
      <c r="IPO254" s="243"/>
      <c r="IPP254" s="243"/>
      <c r="IPQ254" s="243"/>
      <c r="IPR254" s="243"/>
      <c r="IPS254" s="243"/>
      <c r="IPT254" s="243"/>
      <c r="IPU254" s="243"/>
      <c r="IPV254" s="243"/>
      <c r="IPW254" s="243"/>
      <c r="IPX254" s="243"/>
      <c r="IPY254" s="243"/>
      <c r="IPZ254" s="243"/>
      <c r="IQA254" s="243"/>
      <c r="IQB254" s="243"/>
      <c r="IQC254" s="243"/>
      <c r="IQD254" s="243"/>
      <c r="IQE254" s="243"/>
      <c r="IQF254" s="243"/>
      <c r="IQG254" s="243"/>
      <c r="IQH254" s="243"/>
      <c r="IQI254" s="243"/>
      <c r="IQJ254" s="243"/>
      <c r="IQK254" s="243"/>
      <c r="IQL254" s="243"/>
      <c r="IQM254" s="243"/>
      <c r="IQN254" s="243"/>
      <c r="IQO254" s="243"/>
      <c r="IQP254" s="243"/>
      <c r="IQQ254" s="243"/>
      <c r="IQR254" s="243"/>
      <c r="IQS254" s="243"/>
      <c r="IQT254" s="243"/>
      <c r="IQU254" s="243"/>
      <c r="IQV254" s="243"/>
      <c r="IQW254" s="243"/>
      <c r="IQX254" s="243"/>
      <c r="IQY254" s="243"/>
      <c r="IQZ254" s="243"/>
      <c r="IRA254" s="243"/>
      <c r="IRB254" s="243"/>
      <c r="IRC254" s="243"/>
      <c r="IRD254" s="243"/>
      <c r="IRE254" s="243"/>
      <c r="IRF254" s="243"/>
      <c r="IRG254" s="243"/>
      <c r="IRH254" s="243"/>
      <c r="IRI254" s="243"/>
      <c r="IRJ254" s="243"/>
      <c r="IRK254" s="243"/>
      <c r="IRL254" s="243"/>
      <c r="IRM254" s="243"/>
      <c r="IRN254" s="243"/>
      <c r="IRO254" s="243"/>
      <c r="IRP254" s="243"/>
      <c r="IRQ254" s="243"/>
      <c r="IRR254" s="243"/>
      <c r="IRS254" s="243"/>
      <c r="IRT254" s="243"/>
      <c r="IRU254" s="243"/>
      <c r="IRV254" s="243"/>
      <c r="IRW254" s="243"/>
      <c r="IRX254" s="243"/>
      <c r="IRY254" s="243"/>
      <c r="IRZ254" s="243"/>
      <c r="ISA254" s="243"/>
      <c r="ISB254" s="243"/>
      <c r="ISC254" s="243"/>
      <c r="ISD254" s="243"/>
      <c r="ISE254" s="243"/>
      <c r="ISF254" s="243"/>
      <c r="ISG254" s="243"/>
      <c r="ISH254" s="243"/>
      <c r="ISI254" s="243"/>
      <c r="ISJ254" s="243"/>
      <c r="ISK254" s="243"/>
      <c r="ISL254" s="243"/>
      <c r="ISM254" s="243"/>
      <c r="ISN254" s="243"/>
      <c r="ISO254" s="243"/>
      <c r="ISP254" s="243"/>
      <c r="ISQ254" s="243"/>
      <c r="ISR254" s="243"/>
      <c r="ISS254" s="243"/>
      <c r="IST254" s="243"/>
      <c r="ISU254" s="243"/>
      <c r="ISV254" s="243"/>
      <c r="ISW254" s="243"/>
      <c r="ISX254" s="243"/>
      <c r="ISY254" s="243"/>
      <c r="ISZ254" s="243"/>
      <c r="ITA254" s="243"/>
      <c r="ITB254" s="243"/>
      <c r="ITC254" s="243"/>
      <c r="ITD254" s="243"/>
      <c r="ITE254" s="243"/>
      <c r="ITF254" s="243"/>
      <c r="ITG254" s="243"/>
      <c r="ITH254" s="243"/>
      <c r="ITI254" s="243"/>
      <c r="ITJ254" s="243"/>
      <c r="ITK254" s="243"/>
      <c r="ITL254" s="243"/>
      <c r="ITM254" s="243"/>
      <c r="ITN254" s="243"/>
      <c r="ITO254" s="243"/>
      <c r="ITP254" s="243"/>
      <c r="ITQ254" s="243"/>
      <c r="ITR254" s="243"/>
      <c r="ITS254" s="243"/>
      <c r="ITT254" s="243"/>
      <c r="ITU254" s="243"/>
      <c r="ITV254" s="243"/>
      <c r="ITW254" s="243"/>
      <c r="ITX254" s="243"/>
      <c r="ITY254" s="243"/>
      <c r="ITZ254" s="243"/>
      <c r="IUA254" s="243"/>
      <c r="IUB254" s="243"/>
      <c r="IUC254" s="243"/>
      <c r="IUD254" s="243"/>
      <c r="IUE254" s="243"/>
      <c r="IUF254" s="243"/>
      <c r="IUG254" s="243"/>
      <c r="IUH254" s="243"/>
      <c r="IUI254" s="243"/>
      <c r="IUJ254" s="243"/>
      <c r="IUK254" s="243"/>
      <c r="IUL254" s="243"/>
      <c r="IUM254" s="243"/>
      <c r="IUN254" s="243"/>
      <c r="IUO254" s="243"/>
      <c r="IUP254" s="243"/>
      <c r="IUQ254" s="243"/>
      <c r="IUR254" s="243"/>
      <c r="IUS254" s="243"/>
      <c r="IUT254" s="243"/>
      <c r="IUU254" s="243"/>
      <c r="IUV254" s="243"/>
      <c r="IUW254" s="243"/>
      <c r="IUX254" s="243"/>
      <c r="IUY254" s="243"/>
      <c r="IUZ254" s="243"/>
      <c r="IVA254" s="243"/>
      <c r="IVB254" s="243"/>
      <c r="IVC254" s="243"/>
      <c r="IVD254" s="243"/>
      <c r="IVE254" s="243"/>
      <c r="IVF254" s="243"/>
      <c r="IVG254" s="243"/>
      <c r="IVH254" s="243"/>
      <c r="IVI254" s="243"/>
      <c r="IVJ254" s="243"/>
      <c r="IVK254" s="243"/>
      <c r="IVL254" s="243"/>
      <c r="IVM254" s="243"/>
      <c r="IVN254" s="243"/>
      <c r="IVO254" s="243"/>
      <c r="IVP254" s="243"/>
      <c r="IVQ254" s="243"/>
      <c r="IVR254" s="243"/>
      <c r="IVS254" s="243"/>
      <c r="IVT254" s="243"/>
      <c r="IVU254" s="243"/>
      <c r="IVV254" s="243"/>
      <c r="IVW254" s="243"/>
      <c r="IVX254" s="243"/>
      <c r="IVY254" s="243"/>
      <c r="IVZ254" s="243"/>
      <c r="IWA254" s="243"/>
      <c r="IWB254" s="243"/>
      <c r="IWC254" s="243"/>
      <c r="IWD254" s="243"/>
      <c r="IWE254" s="243"/>
      <c r="IWF254" s="243"/>
      <c r="IWG254" s="243"/>
      <c r="IWH254" s="243"/>
      <c r="IWI254" s="243"/>
      <c r="IWJ254" s="243"/>
      <c r="IWK254" s="243"/>
      <c r="IWL254" s="243"/>
      <c r="IWM254" s="243"/>
      <c r="IWN254" s="243"/>
      <c r="IWO254" s="243"/>
      <c r="IWP254" s="243"/>
      <c r="IWQ254" s="243"/>
      <c r="IWR254" s="243"/>
      <c r="IWS254" s="243"/>
      <c r="IWT254" s="243"/>
      <c r="IWU254" s="243"/>
      <c r="IWV254" s="243"/>
      <c r="IWW254" s="243"/>
      <c r="IWX254" s="243"/>
      <c r="IWY254" s="243"/>
      <c r="IWZ254" s="243"/>
      <c r="IXA254" s="243"/>
      <c r="IXB254" s="243"/>
      <c r="IXC254" s="243"/>
      <c r="IXD254" s="243"/>
      <c r="IXE254" s="243"/>
      <c r="IXF254" s="243"/>
      <c r="IXG254" s="243"/>
      <c r="IXH254" s="243"/>
      <c r="IXI254" s="243"/>
      <c r="IXJ254" s="243"/>
      <c r="IXK254" s="243"/>
      <c r="IXL254" s="243"/>
      <c r="IXM254" s="243"/>
      <c r="IXN254" s="243"/>
      <c r="IXO254" s="243"/>
      <c r="IXP254" s="243"/>
      <c r="IXQ254" s="243"/>
      <c r="IXR254" s="243"/>
      <c r="IXS254" s="243"/>
      <c r="IXT254" s="243"/>
      <c r="IXU254" s="243"/>
      <c r="IXV254" s="243"/>
      <c r="IXW254" s="243"/>
      <c r="IXX254" s="243"/>
      <c r="IXY254" s="243"/>
      <c r="IXZ254" s="243"/>
      <c r="IYA254" s="243"/>
      <c r="IYB254" s="243"/>
      <c r="IYC254" s="243"/>
      <c r="IYD254" s="243"/>
      <c r="IYE254" s="243"/>
      <c r="IYF254" s="243"/>
      <c r="IYG254" s="243"/>
      <c r="IYH254" s="243"/>
      <c r="IYI254" s="243"/>
      <c r="IYJ254" s="243"/>
      <c r="IYK254" s="243"/>
      <c r="IYL254" s="243"/>
      <c r="IYM254" s="243"/>
      <c r="IYN254" s="243"/>
      <c r="IYO254" s="243"/>
      <c r="IYP254" s="243"/>
      <c r="IYQ254" s="243"/>
      <c r="IYR254" s="243"/>
      <c r="IYS254" s="243"/>
      <c r="IYT254" s="243"/>
      <c r="IYU254" s="243"/>
      <c r="IYV254" s="243"/>
      <c r="IYW254" s="243"/>
      <c r="IYX254" s="243"/>
      <c r="IYY254" s="243"/>
      <c r="IYZ254" s="243"/>
      <c r="IZA254" s="243"/>
      <c r="IZB254" s="243"/>
      <c r="IZC254" s="243"/>
      <c r="IZD254" s="243"/>
      <c r="IZE254" s="243"/>
      <c r="IZF254" s="243"/>
      <c r="IZG254" s="243"/>
      <c r="IZH254" s="243"/>
      <c r="IZI254" s="243"/>
      <c r="IZJ254" s="243"/>
      <c r="IZK254" s="243"/>
      <c r="IZL254" s="243"/>
      <c r="IZM254" s="243"/>
      <c r="IZN254" s="243"/>
      <c r="IZO254" s="243"/>
      <c r="IZP254" s="243"/>
      <c r="IZQ254" s="243"/>
      <c r="IZR254" s="243"/>
      <c r="IZS254" s="243"/>
      <c r="IZT254" s="243"/>
      <c r="IZU254" s="243"/>
      <c r="IZV254" s="243"/>
      <c r="IZW254" s="243"/>
      <c r="IZX254" s="243"/>
      <c r="IZY254" s="243"/>
      <c r="IZZ254" s="243"/>
      <c r="JAA254" s="243"/>
      <c r="JAB254" s="243"/>
      <c r="JAC254" s="243"/>
      <c r="JAD254" s="243"/>
      <c r="JAE254" s="243"/>
      <c r="JAF254" s="243"/>
      <c r="JAG254" s="243"/>
      <c r="JAH254" s="243"/>
      <c r="JAI254" s="243"/>
      <c r="JAJ254" s="243"/>
      <c r="JAK254" s="243"/>
      <c r="JAL254" s="243"/>
      <c r="JAM254" s="243"/>
      <c r="JAN254" s="243"/>
      <c r="JAO254" s="243"/>
      <c r="JAP254" s="243"/>
      <c r="JAQ254" s="243"/>
      <c r="JAR254" s="243"/>
      <c r="JAS254" s="243"/>
      <c r="JAT254" s="243"/>
      <c r="JAU254" s="243"/>
      <c r="JAV254" s="243"/>
      <c r="JAW254" s="243"/>
      <c r="JAX254" s="243"/>
      <c r="JAY254" s="243"/>
      <c r="JAZ254" s="243"/>
      <c r="JBA254" s="243"/>
      <c r="JBB254" s="243"/>
      <c r="JBC254" s="243"/>
      <c r="JBD254" s="243"/>
      <c r="JBE254" s="243"/>
      <c r="JBF254" s="243"/>
      <c r="JBG254" s="243"/>
      <c r="JBH254" s="243"/>
      <c r="JBI254" s="243"/>
      <c r="JBJ254" s="243"/>
      <c r="JBK254" s="243"/>
      <c r="JBL254" s="243"/>
      <c r="JBM254" s="243"/>
      <c r="JBN254" s="243"/>
      <c r="JBO254" s="243"/>
      <c r="JBP254" s="243"/>
      <c r="JBQ254" s="243"/>
      <c r="JBR254" s="243"/>
      <c r="JBS254" s="243"/>
      <c r="JBT254" s="243"/>
      <c r="JBU254" s="243"/>
      <c r="JBV254" s="243"/>
      <c r="JBW254" s="243"/>
      <c r="JBX254" s="243"/>
      <c r="JBY254" s="243"/>
      <c r="JBZ254" s="243"/>
      <c r="JCA254" s="243"/>
      <c r="JCB254" s="243"/>
      <c r="JCC254" s="243"/>
      <c r="JCD254" s="243"/>
      <c r="JCE254" s="243"/>
      <c r="JCF254" s="243"/>
      <c r="JCG254" s="243"/>
      <c r="JCH254" s="243"/>
      <c r="JCI254" s="243"/>
      <c r="JCJ254" s="243"/>
      <c r="JCK254" s="243"/>
      <c r="JCL254" s="243"/>
      <c r="JCM254" s="243"/>
      <c r="JCN254" s="243"/>
      <c r="JCO254" s="243"/>
      <c r="JCP254" s="243"/>
      <c r="JCQ254" s="243"/>
      <c r="JCR254" s="243"/>
      <c r="JCS254" s="243"/>
      <c r="JCT254" s="243"/>
      <c r="JCU254" s="243"/>
      <c r="JCV254" s="243"/>
      <c r="JCW254" s="243"/>
      <c r="JCX254" s="243"/>
      <c r="JCY254" s="243"/>
      <c r="JCZ254" s="243"/>
      <c r="JDA254" s="243"/>
      <c r="JDB254" s="243"/>
      <c r="JDC254" s="243"/>
      <c r="JDD254" s="243"/>
      <c r="JDE254" s="243"/>
      <c r="JDF254" s="243"/>
      <c r="JDG254" s="243"/>
      <c r="JDH254" s="243"/>
      <c r="JDI254" s="243"/>
      <c r="JDJ254" s="243"/>
      <c r="JDK254" s="243"/>
      <c r="JDL254" s="243"/>
      <c r="JDM254" s="243"/>
      <c r="JDN254" s="243"/>
      <c r="JDO254" s="243"/>
      <c r="JDP254" s="243"/>
      <c r="JDQ254" s="243"/>
      <c r="JDR254" s="243"/>
      <c r="JDS254" s="243"/>
      <c r="JDT254" s="243"/>
      <c r="JDU254" s="243"/>
      <c r="JDV254" s="243"/>
      <c r="JDW254" s="243"/>
      <c r="JDX254" s="243"/>
      <c r="JDY254" s="243"/>
      <c r="JDZ254" s="243"/>
      <c r="JEA254" s="243"/>
      <c r="JEB254" s="243"/>
      <c r="JEC254" s="243"/>
      <c r="JED254" s="243"/>
      <c r="JEE254" s="243"/>
      <c r="JEF254" s="243"/>
      <c r="JEG254" s="243"/>
      <c r="JEH254" s="243"/>
      <c r="JEI254" s="243"/>
      <c r="JEJ254" s="243"/>
      <c r="JEK254" s="243"/>
      <c r="JEL254" s="243"/>
      <c r="JEM254" s="243"/>
      <c r="JEN254" s="243"/>
      <c r="JEO254" s="243"/>
      <c r="JEP254" s="243"/>
      <c r="JEQ254" s="243"/>
      <c r="JER254" s="243"/>
      <c r="JES254" s="243"/>
      <c r="JET254" s="243"/>
      <c r="JEU254" s="243"/>
      <c r="JEV254" s="243"/>
      <c r="JEW254" s="243"/>
      <c r="JEX254" s="243"/>
      <c r="JEY254" s="243"/>
      <c r="JEZ254" s="243"/>
      <c r="JFA254" s="243"/>
      <c r="JFB254" s="243"/>
      <c r="JFC254" s="243"/>
      <c r="JFD254" s="243"/>
      <c r="JFE254" s="243"/>
      <c r="JFF254" s="243"/>
      <c r="JFG254" s="243"/>
      <c r="JFH254" s="243"/>
      <c r="JFI254" s="243"/>
      <c r="JFJ254" s="243"/>
      <c r="JFK254" s="243"/>
      <c r="JFL254" s="243"/>
      <c r="JFM254" s="243"/>
      <c r="JFN254" s="243"/>
      <c r="JFO254" s="243"/>
      <c r="JFP254" s="243"/>
      <c r="JFQ254" s="243"/>
      <c r="JFR254" s="243"/>
      <c r="JFS254" s="243"/>
      <c r="JFT254" s="243"/>
      <c r="JFU254" s="243"/>
      <c r="JFV254" s="243"/>
      <c r="JFW254" s="243"/>
      <c r="JFX254" s="243"/>
      <c r="JFY254" s="243"/>
      <c r="JFZ254" s="243"/>
      <c r="JGA254" s="243"/>
      <c r="JGB254" s="243"/>
      <c r="JGC254" s="243"/>
      <c r="JGD254" s="243"/>
      <c r="JGE254" s="243"/>
      <c r="JGF254" s="243"/>
      <c r="JGG254" s="243"/>
      <c r="JGH254" s="243"/>
      <c r="JGI254" s="243"/>
      <c r="JGJ254" s="243"/>
      <c r="JGK254" s="243"/>
      <c r="JGL254" s="243"/>
      <c r="JGM254" s="243"/>
      <c r="JGN254" s="243"/>
      <c r="JGO254" s="243"/>
      <c r="JGP254" s="243"/>
      <c r="JGQ254" s="243"/>
      <c r="JGR254" s="243"/>
      <c r="JGS254" s="243"/>
      <c r="JGT254" s="243"/>
      <c r="JGU254" s="243"/>
      <c r="JGV254" s="243"/>
      <c r="JGW254" s="243"/>
      <c r="JGX254" s="243"/>
      <c r="JGY254" s="243"/>
      <c r="JGZ254" s="243"/>
      <c r="JHA254" s="243"/>
      <c r="JHB254" s="243"/>
      <c r="JHC254" s="243"/>
      <c r="JHD254" s="243"/>
      <c r="JHE254" s="243"/>
      <c r="JHF254" s="243"/>
      <c r="JHG254" s="243"/>
      <c r="JHH254" s="243"/>
      <c r="JHI254" s="243"/>
      <c r="JHJ254" s="243"/>
      <c r="JHK254" s="243"/>
      <c r="JHL254" s="243"/>
      <c r="JHM254" s="243"/>
      <c r="JHN254" s="243"/>
      <c r="JHO254" s="243"/>
      <c r="JHP254" s="243"/>
      <c r="JHQ254" s="243"/>
      <c r="JHR254" s="243"/>
      <c r="JHS254" s="243"/>
      <c r="JHT254" s="243"/>
      <c r="JHU254" s="243"/>
      <c r="JHV254" s="243"/>
      <c r="JHW254" s="243"/>
      <c r="JHX254" s="243"/>
      <c r="JHY254" s="243"/>
      <c r="JHZ254" s="243"/>
      <c r="JIA254" s="243"/>
      <c r="JIB254" s="243"/>
      <c r="JIC254" s="243"/>
      <c r="JID254" s="243"/>
      <c r="JIE254" s="243"/>
      <c r="JIF254" s="243"/>
      <c r="JIG254" s="243"/>
      <c r="JIH254" s="243"/>
      <c r="JII254" s="243"/>
      <c r="JIJ254" s="243"/>
      <c r="JIK254" s="243"/>
      <c r="JIL254" s="243"/>
      <c r="JIM254" s="243"/>
      <c r="JIN254" s="243"/>
      <c r="JIO254" s="243"/>
      <c r="JIP254" s="243"/>
      <c r="JIQ254" s="243"/>
      <c r="JIR254" s="243"/>
      <c r="JIS254" s="243"/>
      <c r="JIT254" s="243"/>
      <c r="JIU254" s="243"/>
      <c r="JIV254" s="243"/>
      <c r="JIW254" s="243"/>
      <c r="JIX254" s="243"/>
      <c r="JIY254" s="243"/>
      <c r="JIZ254" s="243"/>
      <c r="JJA254" s="243"/>
      <c r="JJB254" s="243"/>
      <c r="JJC254" s="243"/>
      <c r="JJD254" s="243"/>
      <c r="JJE254" s="243"/>
      <c r="JJF254" s="243"/>
      <c r="JJG254" s="243"/>
      <c r="JJH254" s="243"/>
      <c r="JJI254" s="243"/>
      <c r="JJJ254" s="243"/>
      <c r="JJK254" s="243"/>
      <c r="JJL254" s="243"/>
      <c r="JJM254" s="243"/>
      <c r="JJN254" s="243"/>
      <c r="JJO254" s="243"/>
      <c r="JJP254" s="243"/>
      <c r="JJQ254" s="243"/>
      <c r="JJR254" s="243"/>
      <c r="JJS254" s="243"/>
      <c r="JJT254" s="243"/>
      <c r="JJU254" s="243"/>
      <c r="JJV254" s="243"/>
      <c r="JJW254" s="243"/>
      <c r="JJX254" s="243"/>
      <c r="JJY254" s="243"/>
      <c r="JJZ254" s="243"/>
      <c r="JKA254" s="243"/>
      <c r="JKB254" s="243"/>
      <c r="JKC254" s="243"/>
      <c r="JKD254" s="243"/>
      <c r="JKE254" s="243"/>
      <c r="JKF254" s="243"/>
      <c r="JKG254" s="243"/>
      <c r="JKH254" s="243"/>
      <c r="JKI254" s="243"/>
      <c r="JKJ254" s="243"/>
      <c r="JKK254" s="243"/>
      <c r="JKL254" s="243"/>
      <c r="JKM254" s="243"/>
      <c r="JKN254" s="243"/>
      <c r="JKO254" s="243"/>
      <c r="JKP254" s="243"/>
      <c r="JKQ254" s="243"/>
      <c r="JKR254" s="243"/>
      <c r="JKS254" s="243"/>
      <c r="JKT254" s="243"/>
      <c r="JKU254" s="243"/>
      <c r="JKV254" s="243"/>
      <c r="JKW254" s="243"/>
      <c r="JKX254" s="243"/>
      <c r="JKY254" s="243"/>
      <c r="JKZ254" s="243"/>
      <c r="JLA254" s="243"/>
      <c r="JLB254" s="243"/>
      <c r="JLC254" s="243"/>
      <c r="JLD254" s="243"/>
      <c r="JLE254" s="243"/>
      <c r="JLF254" s="243"/>
      <c r="JLG254" s="243"/>
      <c r="JLH254" s="243"/>
      <c r="JLI254" s="243"/>
      <c r="JLJ254" s="243"/>
      <c r="JLK254" s="243"/>
      <c r="JLL254" s="243"/>
      <c r="JLM254" s="243"/>
      <c r="JLN254" s="243"/>
      <c r="JLO254" s="243"/>
      <c r="JLP254" s="243"/>
      <c r="JLQ254" s="243"/>
      <c r="JLR254" s="243"/>
      <c r="JLS254" s="243"/>
      <c r="JLT254" s="243"/>
      <c r="JLU254" s="243"/>
      <c r="JLV254" s="243"/>
      <c r="JLW254" s="243"/>
      <c r="JLX254" s="243"/>
      <c r="JLY254" s="243"/>
      <c r="JLZ254" s="243"/>
      <c r="JMA254" s="243"/>
      <c r="JMB254" s="243"/>
      <c r="JMC254" s="243"/>
      <c r="JMD254" s="243"/>
      <c r="JME254" s="243"/>
      <c r="JMF254" s="243"/>
      <c r="JMG254" s="243"/>
      <c r="JMH254" s="243"/>
      <c r="JMI254" s="243"/>
      <c r="JMJ254" s="243"/>
      <c r="JMK254" s="243"/>
      <c r="JML254" s="243"/>
      <c r="JMM254" s="243"/>
      <c r="JMN254" s="243"/>
      <c r="JMO254" s="243"/>
      <c r="JMP254" s="243"/>
      <c r="JMQ254" s="243"/>
      <c r="JMR254" s="243"/>
      <c r="JMS254" s="243"/>
      <c r="JMT254" s="243"/>
      <c r="JMU254" s="243"/>
      <c r="JMV254" s="243"/>
      <c r="JMW254" s="243"/>
      <c r="JMX254" s="243"/>
      <c r="JMY254" s="243"/>
      <c r="JMZ254" s="243"/>
      <c r="JNA254" s="243"/>
      <c r="JNB254" s="243"/>
      <c r="JNC254" s="243"/>
      <c r="JND254" s="243"/>
      <c r="JNE254" s="243"/>
      <c r="JNF254" s="243"/>
      <c r="JNG254" s="243"/>
      <c r="JNH254" s="243"/>
      <c r="JNI254" s="243"/>
      <c r="JNJ254" s="243"/>
      <c r="JNK254" s="243"/>
      <c r="JNL254" s="243"/>
      <c r="JNM254" s="243"/>
      <c r="JNN254" s="243"/>
      <c r="JNO254" s="243"/>
      <c r="JNP254" s="243"/>
      <c r="JNQ254" s="243"/>
      <c r="JNR254" s="243"/>
      <c r="JNS254" s="243"/>
      <c r="JNT254" s="243"/>
      <c r="JNU254" s="243"/>
      <c r="JNV254" s="243"/>
      <c r="JNW254" s="243"/>
      <c r="JNX254" s="243"/>
      <c r="JNY254" s="243"/>
      <c r="JNZ254" s="243"/>
      <c r="JOA254" s="243"/>
      <c r="JOB254" s="243"/>
      <c r="JOC254" s="243"/>
      <c r="JOD254" s="243"/>
      <c r="JOE254" s="243"/>
      <c r="JOF254" s="243"/>
      <c r="JOG254" s="243"/>
      <c r="JOH254" s="243"/>
      <c r="JOI254" s="243"/>
      <c r="JOJ254" s="243"/>
      <c r="JOK254" s="243"/>
      <c r="JOL254" s="243"/>
      <c r="JOM254" s="243"/>
      <c r="JON254" s="243"/>
      <c r="JOO254" s="243"/>
      <c r="JOP254" s="243"/>
      <c r="JOQ254" s="243"/>
      <c r="JOR254" s="243"/>
      <c r="JOS254" s="243"/>
      <c r="JOT254" s="243"/>
      <c r="JOU254" s="243"/>
      <c r="JOV254" s="243"/>
      <c r="JOW254" s="243"/>
      <c r="JOX254" s="243"/>
      <c r="JOY254" s="243"/>
      <c r="JOZ254" s="243"/>
      <c r="JPA254" s="243"/>
      <c r="JPB254" s="243"/>
      <c r="JPC254" s="243"/>
      <c r="JPD254" s="243"/>
      <c r="JPE254" s="243"/>
      <c r="JPF254" s="243"/>
      <c r="JPG254" s="243"/>
      <c r="JPH254" s="243"/>
      <c r="JPI254" s="243"/>
      <c r="JPJ254" s="243"/>
      <c r="JPK254" s="243"/>
      <c r="JPL254" s="243"/>
      <c r="JPM254" s="243"/>
      <c r="JPN254" s="243"/>
      <c r="JPO254" s="243"/>
      <c r="JPP254" s="243"/>
      <c r="JPQ254" s="243"/>
      <c r="JPR254" s="243"/>
      <c r="JPS254" s="243"/>
      <c r="JPT254" s="243"/>
      <c r="JPU254" s="243"/>
      <c r="JPV254" s="243"/>
      <c r="JPW254" s="243"/>
      <c r="JPX254" s="243"/>
      <c r="JPY254" s="243"/>
      <c r="JPZ254" s="243"/>
      <c r="JQA254" s="243"/>
      <c r="JQB254" s="243"/>
      <c r="JQC254" s="243"/>
      <c r="JQD254" s="243"/>
      <c r="JQE254" s="243"/>
      <c r="JQF254" s="243"/>
      <c r="JQG254" s="243"/>
      <c r="JQH254" s="243"/>
      <c r="JQI254" s="243"/>
      <c r="JQJ254" s="243"/>
      <c r="JQK254" s="243"/>
      <c r="JQL254" s="243"/>
      <c r="JQM254" s="243"/>
      <c r="JQN254" s="243"/>
      <c r="JQO254" s="243"/>
      <c r="JQP254" s="243"/>
      <c r="JQQ254" s="243"/>
      <c r="JQR254" s="243"/>
      <c r="JQS254" s="243"/>
      <c r="JQT254" s="243"/>
      <c r="JQU254" s="243"/>
      <c r="JQV254" s="243"/>
      <c r="JQW254" s="243"/>
      <c r="JQX254" s="243"/>
      <c r="JQY254" s="243"/>
      <c r="JQZ254" s="243"/>
      <c r="JRA254" s="243"/>
      <c r="JRB254" s="243"/>
      <c r="JRC254" s="243"/>
      <c r="JRD254" s="243"/>
      <c r="JRE254" s="243"/>
      <c r="JRF254" s="243"/>
      <c r="JRG254" s="243"/>
      <c r="JRH254" s="243"/>
      <c r="JRI254" s="243"/>
      <c r="JRJ254" s="243"/>
      <c r="JRK254" s="243"/>
      <c r="JRL254" s="243"/>
      <c r="JRM254" s="243"/>
      <c r="JRN254" s="243"/>
      <c r="JRO254" s="243"/>
      <c r="JRP254" s="243"/>
      <c r="JRQ254" s="243"/>
      <c r="JRR254" s="243"/>
      <c r="JRS254" s="243"/>
      <c r="JRT254" s="243"/>
      <c r="JRU254" s="243"/>
      <c r="JRV254" s="243"/>
      <c r="JRW254" s="243"/>
      <c r="JRX254" s="243"/>
      <c r="JRY254" s="243"/>
      <c r="JRZ254" s="243"/>
      <c r="JSA254" s="243"/>
      <c r="JSB254" s="243"/>
      <c r="JSC254" s="243"/>
      <c r="JSD254" s="243"/>
      <c r="JSE254" s="243"/>
      <c r="JSF254" s="243"/>
      <c r="JSG254" s="243"/>
      <c r="JSH254" s="243"/>
      <c r="JSI254" s="243"/>
      <c r="JSJ254" s="243"/>
      <c r="JSK254" s="243"/>
      <c r="JSL254" s="243"/>
      <c r="JSM254" s="243"/>
      <c r="JSN254" s="243"/>
      <c r="JSO254" s="243"/>
      <c r="JSP254" s="243"/>
      <c r="JSQ254" s="243"/>
      <c r="JSR254" s="243"/>
      <c r="JSS254" s="243"/>
      <c r="JST254" s="243"/>
      <c r="JSU254" s="243"/>
      <c r="JSV254" s="243"/>
      <c r="JSW254" s="243"/>
      <c r="JSX254" s="243"/>
      <c r="JSY254" s="243"/>
      <c r="JSZ254" s="243"/>
      <c r="JTA254" s="243"/>
      <c r="JTB254" s="243"/>
      <c r="JTC254" s="243"/>
      <c r="JTD254" s="243"/>
      <c r="JTE254" s="243"/>
      <c r="JTF254" s="243"/>
      <c r="JTG254" s="243"/>
      <c r="JTH254" s="243"/>
      <c r="JTI254" s="243"/>
      <c r="JTJ254" s="243"/>
      <c r="JTK254" s="243"/>
      <c r="JTL254" s="243"/>
      <c r="JTM254" s="243"/>
      <c r="JTN254" s="243"/>
      <c r="JTO254" s="243"/>
      <c r="JTP254" s="243"/>
      <c r="JTQ254" s="243"/>
      <c r="JTR254" s="243"/>
      <c r="JTS254" s="243"/>
      <c r="JTT254" s="243"/>
      <c r="JTU254" s="243"/>
      <c r="JTV254" s="243"/>
      <c r="JTW254" s="243"/>
      <c r="JTX254" s="243"/>
      <c r="JTY254" s="243"/>
      <c r="JTZ254" s="243"/>
      <c r="JUA254" s="243"/>
      <c r="JUB254" s="243"/>
      <c r="JUC254" s="243"/>
      <c r="JUD254" s="243"/>
      <c r="JUE254" s="243"/>
      <c r="JUF254" s="243"/>
      <c r="JUG254" s="243"/>
      <c r="JUH254" s="243"/>
      <c r="JUI254" s="243"/>
      <c r="JUJ254" s="243"/>
      <c r="JUK254" s="243"/>
      <c r="JUL254" s="243"/>
      <c r="JUM254" s="243"/>
      <c r="JUN254" s="243"/>
      <c r="JUO254" s="243"/>
      <c r="JUP254" s="243"/>
      <c r="JUQ254" s="243"/>
      <c r="JUR254" s="243"/>
      <c r="JUS254" s="243"/>
      <c r="JUT254" s="243"/>
      <c r="JUU254" s="243"/>
      <c r="JUV254" s="243"/>
      <c r="JUW254" s="243"/>
      <c r="JUX254" s="243"/>
      <c r="JUY254" s="243"/>
      <c r="JUZ254" s="243"/>
      <c r="JVA254" s="243"/>
      <c r="JVB254" s="243"/>
      <c r="JVC254" s="243"/>
      <c r="JVD254" s="243"/>
      <c r="JVE254" s="243"/>
      <c r="JVF254" s="243"/>
      <c r="JVG254" s="243"/>
      <c r="JVH254" s="243"/>
      <c r="JVI254" s="243"/>
      <c r="JVJ254" s="243"/>
      <c r="JVK254" s="243"/>
      <c r="JVL254" s="243"/>
      <c r="JVM254" s="243"/>
      <c r="JVN254" s="243"/>
      <c r="JVO254" s="243"/>
      <c r="JVP254" s="243"/>
      <c r="JVQ254" s="243"/>
      <c r="JVR254" s="243"/>
      <c r="JVS254" s="243"/>
      <c r="JVT254" s="243"/>
      <c r="JVU254" s="243"/>
      <c r="JVV254" s="243"/>
      <c r="JVW254" s="243"/>
      <c r="JVX254" s="243"/>
      <c r="JVY254" s="243"/>
      <c r="JVZ254" s="243"/>
      <c r="JWA254" s="243"/>
      <c r="JWB254" s="243"/>
      <c r="JWC254" s="243"/>
      <c r="JWD254" s="243"/>
      <c r="JWE254" s="243"/>
      <c r="JWF254" s="243"/>
      <c r="JWG254" s="243"/>
      <c r="JWH254" s="243"/>
      <c r="JWI254" s="243"/>
      <c r="JWJ254" s="243"/>
      <c r="JWK254" s="243"/>
      <c r="JWL254" s="243"/>
      <c r="JWM254" s="243"/>
      <c r="JWN254" s="243"/>
      <c r="JWO254" s="243"/>
      <c r="JWP254" s="243"/>
      <c r="JWQ254" s="243"/>
      <c r="JWR254" s="243"/>
      <c r="JWS254" s="243"/>
      <c r="JWT254" s="243"/>
      <c r="JWU254" s="243"/>
      <c r="JWV254" s="243"/>
      <c r="JWW254" s="243"/>
      <c r="JWX254" s="243"/>
      <c r="JWY254" s="243"/>
      <c r="JWZ254" s="243"/>
      <c r="JXA254" s="243"/>
      <c r="JXB254" s="243"/>
      <c r="JXC254" s="243"/>
      <c r="JXD254" s="243"/>
      <c r="JXE254" s="243"/>
      <c r="JXF254" s="243"/>
      <c r="JXG254" s="243"/>
      <c r="JXH254" s="243"/>
      <c r="JXI254" s="243"/>
      <c r="JXJ254" s="243"/>
      <c r="JXK254" s="243"/>
      <c r="JXL254" s="243"/>
      <c r="JXM254" s="243"/>
      <c r="JXN254" s="243"/>
      <c r="JXO254" s="243"/>
      <c r="JXP254" s="243"/>
      <c r="JXQ254" s="243"/>
      <c r="JXR254" s="243"/>
      <c r="JXS254" s="243"/>
      <c r="JXT254" s="243"/>
      <c r="JXU254" s="243"/>
      <c r="JXV254" s="243"/>
      <c r="JXW254" s="243"/>
      <c r="JXX254" s="243"/>
      <c r="JXY254" s="243"/>
      <c r="JXZ254" s="243"/>
      <c r="JYA254" s="243"/>
      <c r="JYB254" s="243"/>
      <c r="JYC254" s="243"/>
      <c r="JYD254" s="243"/>
      <c r="JYE254" s="243"/>
      <c r="JYF254" s="243"/>
      <c r="JYG254" s="243"/>
      <c r="JYH254" s="243"/>
      <c r="JYI254" s="243"/>
      <c r="JYJ254" s="243"/>
      <c r="JYK254" s="243"/>
      <c r="JYL254" s="243"/>
      <c r="JYM254" s="243"/>
      <c r="JYN254" s="243"/>
      <c r="JYO254" s="243"/>
      <c r="JYP254" s="243"/>
      <c r="JYQ254" s="243"/>
      <c r="JYR254" s="243"/>
      <c r="JYS254" s="243"/>
      <c r="JYT254" s="243"/>
      <c r="JYU254" s="243"/>
      <c r="JYV254" s="243"/>
      <c r="JYW254" s="243"/>
      <c r="JYX254" s="243"/>
      <c r="JYY254" s="243"/>
      <c r="JYZ254" s="243"/>
      <c r="JZA254" s="243"/>
      <c r="JZB254" s="243"/>
      <c r="JZC254" s="243"/>
      <c r="JZD254" s="243"/>
      <c r="JZE254" s="243"/>
      <c r="JZF254" s="243"/>
      <c r="JZG254" s="243"/>
      <c r="JZH254" s="243"/>
      <c r="JZI254" s="243"/>
      <c r="JZJ254" s="243"/>
      <c r="JZK254" s="243"/>
      <c r="JZL254" s="243"/>
      <c r="JZM254" s="243"/>
      <c r="JZN254" s="243"/>
      <c r="JZO254" s="243"/>
      <c r="JZP254" s="243"/>
      <c r="JZQ254" s="243"/>
      <c r="JZR254" s="243"/>
      <c r="JZS254" s="243"/>
      <c r="JZT254" s="243"/>
      <c r="JZU254" s="243"/>
      <c r="JZV254" s="243"/>
      <c r="JZW254" s="243"/>
      <c r="JZX254" s="243"/>
      <c r="JZY254" s="243"/>
      <c r="JZZ254" s="243"/>
      <c r="KAA254" s="243"/>
      <c r="KAB254" s="243"/>
      <c r="KAC254" s="243"/>
      <c r="KAD254" s="243"/>
      <c r="KAE254" s="243"/>
      <c r="KAF254" s="243"/>
      <c r="KAG254" s="243"/>
      <c r="KAH254" s="243"/>
      <c r="KAI254" s="243"/>
      <c r="KAJ254" s="243"/>
      <c r="KAK254" s="243"/>
      <c r="KAL254" s="243"/>
      <c r="KAM254" s="243"/>
      <c r="KAN254" s="243"/>
      <c r="KAO254" s="243"/>
      <c r="KAP254" s="243"/>
      <c r="KAQ254" s="243"/>
      <c r="KAR254" s="243"/>
      <c r="KAS254" s="243"/>
      <c r="KAT254" s="243"/>
      <c r="KAU254" s="243"/>
      <c r="KAV254" s="243"/>
      <c r="KAW254" s="243"/>
      <c r="KAX254" s="243"/>
      <c r="KAY254" s="243"/>
      <c r="KAZ254" s="243"/>
      <c r="KBA254" s="243"/>
      <c r="KBB254" s="243"/>
      <c r="KBC254" s="243"/>
      <c r="KBD254" s="243"/>
      <c r="KBE254" s="243"/>
      <c r="KBF254" s="243"/>
      <c r="KBG254" s="243"/>
      <c r="KBH254" s="243"/>
      <c r="KBI254" s="243"/>
      <c r="KBJ254" s="243"/>
      <c r="KBK254" s="243"/>
      <c r="KBL254" s="243"/>
      <c r="KBM254" s="243"/>
      <c r="KBN254" s="243"/>
      <c r="KBO254" s="243"/>
      <c r="KBP254" s="243"/>
      <c r="KBQ254" s="243"/>
      <c r="KBR254" s="243"/>
      <c r="KBS254" s="243"/>
      <c r="KBT254" s="243"/>
      <c r="KBU254" s="243"/>
      <c r="KBV254" s="243"/>
      <c r="KBW254" s="243"/>
      <c r="KBX254" s="243"/>
      <c r="KBY254" s="243"/>
      <c r="KBZ254" s="243"/>
      <c r="KCA254" s="243"/>
      <c r="KCB254" s="243"/>
      <c r="KCC254" s="243"/>
      <c r="KCD254" s="243"/>
      <c r="KCE254" s="243"/>
      <c r="KCF254" s="243"/>
      <c r="KCG254" s="243"/>
      <c r="KCH254" s="243"/>
      <c r="KCI254" s="243"/>
      <c r="KCJ254" s="243"/>
      <c r="KCK254" s="243"/>
      <c r="KCL254" s="243"/>
      <c r="KCM254" s="243"/>
      <c r="KCN254" s="243"/>
      <c r="KCO254" s="243"/>
      <c r="KCP254" s="243"/>
      <c r="KCQ254" s="243"/>
      <c r="KCR254" s="243"/>
      <c r="KCS254" s="243"/>
      <c r="KCT254" s="243"/>
      <c r="KCU254" s="243"/>
      <c r="KCV254" s="243"/>
      <c r="KCW254" s="243"/>
      <c r="KCX254" s="243"/>
      <c r="KCY254" s="243"/>
      <c r="KCZ254" s="243"/>
      <c r="KDA254" s="243"/>
      <c r="KDB254" s="243"/>
      <c r="KDC254" s="243"/>
      <c r="KDD254" s="243"/>
      <c r="KDE254" s="243"/>
      <c r="KDF254" s="243"/>
      <c r="KDG254" s="243"/>
      <c r="KDH254" s="243"/>
      <c r="KDI254" s="243"/>
      <c r="KDJ254" s="243"/>
      <c r="KDK254" s="243"/>
      <c r="KDL254" s="243"/>
      <c r="KDM254" s="243"/>
      <c r="KDN254" s="243"/>
      <c r="KDO254" s="243"/>
      <c r="KDP254" s="243"/>
      <c r="KDQ254" s="243"/>
      <c r="KDR254" s="243"/>
      <c r="KDS254" s="243"/>
      <c r="KDT254" s="243"/>
      <c r="KDU254" s="243"/>
      <c r="KDV254" s="243"/>
      <c r="KDW254" s="243"/>
      <c r="KDX254" s="243"/>
      <c r="KDY254" s="243"/>
      <c r="KDZ254" s="243"/>
      <c r="KEA254" s="243"/>
      <c r="KEB254" s="243"/>
      <c r="KEC254" s="243"/>
      <c r="KED254" s="243"/>
      <c r="KEE254" s="243"/>
      <c r="KEF254" s="243"/>
      <c r="KEG254" s="243"/>
      <c r="KEH254" s="243"/>
      <c r="KEI254" s="243"/>
      <c r="KEJ254" s="243"/>
      <c r="KEK254" s="243"/>
      <c r="KEL254" s="243"/>
      <c r="KEM254" s="243"/>
      <c r="KEN254" s="243"/>
      <c r="KEO254" s="243"/>
      <c r="KEP254" s="243"/>
      <c r="KEQ254" s="243"/>
      <c r="KER254" s="243"/>
      <c r="KES254" s="243"/>
      <c r="KET254" s="243"/>
      <c r="KEU254" s="243"/>
      <c r="KEV254" s="243"/>
      <c r="KEW254" s="243"/>
      <c r="KEX254" s="243"/>
      <c r="KEY254" s="243"/>
      <c r="KEZ254" s="243"/>
      <c r="KFA254" s="243"/>
      <c r="KFB254" s="243"/>
      <c r="KFC254" s="243"/>
      <c r="KFD254" s="243"/>
      <c r="KFE254" s="243"/>
      <c r="KFF254" s="243"/>
      <c r="KFG254" s="243"/>
      <c r="KFH254" s="243"/>
      <c r="KFI254" s="243"/>
      <c r="KFJ254" s="243"/>
      <c r="KFK254" s="243"/>
      <c r="KFL254" s="243"/>
      <c r="KFM254" s="243"/>
      <c r="KFN254" s="243"/>
      <c r="KFO254" s="243"/>
      <c r="KFP254" s="243"/>
      <c r="KFQ254" s="243"/>
      <c r="KFR254" s="243"/>
      <c r="KFS254" s="243"/>
      <c r="KFT254" s="243"/>
      <c r="KFU254" s="243"/>
      <c r="KFV254" s="243"/>
      <c r="KFW254" s="243"/>
      <c r="KFX254" s="243"/>
      <c r="KFY254" s="243"/>
      <c r="KFZ254" s="243"/>
      <c r="KGA254" s="243"/>
      <c r="KGB254" s="243"/>
      <c r="KGC254" s="243"/>
      <c r="KGD254" s="243"/>
      <c r="KGE254" s="243"/>
      <c r="KGF254" s="243"/>
      <c r="KGG254" s="243"/>
      <c r="KGH254" s="243"/>
      <c r="KGI254" s="243"/>
      <c r="KGJ254" s="243"/>
      <c r="KGK254" s="243"/>
      <c r="KGL254" s="243"/>
      <c r="KGM254" s="243"/>
      <c r="KGN254" s="243"/>
      <c r="KGO254" s="243"/>
      <c r="KGP254" s="243"/>
      <c r="KGQ254" s="243"/>
      <c r="KGR254" s="243"/>
      <c r="KGS254" s="243"/>
      <c r="KGT254" s="243"/>
      <c r="KGU254" s="243"/>
      <c r="KGV254" s="243"/>
      <c r="KGW254" s="243"/>
      <c r="KGX254" s="243"/>
      <c r="KGY254" s="243"/>
      <c r="KGZ254" s="243"/>
      <c r="KHA254" s="243"/>
      <c r="KHB254" s="243"/>
      <c r="KHC254" s="243"/>
      <c r="KHD254" s="243"/>
      <c r="KHE254" s="243"/>
      <c r="KHF254" s="243"/>
      <c r="KHG254" s="243"/>
      <c r="KHH254" s="243"/>
      <c r="KHI254" s="243"/>
      <c r="KHJ254" s="243"/>
      <c r="KHK254" s="243"/>
      <c r="KHL254" s="243"/>
      <c r="KHM254" s="243"/>
      <c r="KHN254" s="243"/>
      <c r="KHO254" s="243"/>
      <c r="KHP254" s="243"/>
      <c r="KHQ254" s="243"/>
      <c r="KHR254" s="243"/>
      <c r="KHS254" s="243"/>
      <c r="KHT254" s="243"/>
      <c r="KHU254" s="243"/>
      <c r="KHV254" s="243"/>
      <c r="KHW254" s="243"/>
      <c r="KHX254" s="243"/>
      <c r="KHY254" s="243"/>
      <c r="KHZ254" s="243"/>
      <c r="KIA254" s="243"/>
      <c r="KIB254" s="243"/>
      <c r="KIC254" s="243"/>
      <c r="KID254" s="243"/>
      <c r="KIE254" s="243"/>
      <c r="KIF254" s="243"/>
      <c r="KIG254" s="243"/>
      <c r="KIH254" s="243"/>
      <c r="KII254" s="243"/>
      <c r="KIJ254" s="243"/>
      <c r="KIK254" s="243"/>
      <c r="KIL254" s="243"/>
      <c r="KIM254" s="243"/>
      <c r="KIN254" s="243"/>
      <c r="KIO254" s="243"/>
      <c r="KIP254" s="243"/>
      <c r="KIQ254" s="243"/>
      <c r="KIR254" s="243"/>
      <c r="KIS254" s="243"/>
      <c r="KIT254" s="243"/>
      <c r="KIU254" s="243"/>
      <c r="KIV254" s="243"/>
      <c r="KIW254" s="243"/>
      <c r="KIX254" s="243"/>
      <c r="KIY254" s="243"/>
      <c r="KIZ254" s="243"/>
      <c r="KJA254" s="243"/>
      <c r="KJB254" s="243"/>
      <c r="KJC254" s="243"/>
      <c r="KJD254" s="243"/>
      <c r="KJE254" s="243"/>
      <c r="KJF254" s="243"/>
      <c r="KJG254" s="243"/>
      <c r="KJH254" s="243"/>
      <c r="KJI254" s="243"/>
      <c r="KJJ254" s="243"/>
      <c r="KJK254" s="243"/>
      <c r="KJL254" s="243"/>
      <c r="KJM254" s="243"/>
      <c r="KJN254" s="243"/>
      <c r="KJO254" s="243"/>
      <c r="KJP254" s="243"/>
      <c r="KJQ254" s="243"/>
      <c r="KJR254" s="243"/>
      <c r="KJS254" s="243"/>
      <c r="KJT254" s="243"/>
      <c r="KJU254" s="243"/>
      <c r="KJV254" s="243"/>
      <c r="KJW254" s="243"/>
      <c r="KJX254" s="243"/>
      <c r="KJY254" s="243"/>
      <c r="KJZ254" s="243"/>
      <c r="KKA254" s="243"/>
      <c r="KKB254" s="243"/>
      <c r="KKC254" s="243"/>
      <c r="KKD254" s="243"/>
      <c r="KKE254" s="243"/>
      <c r="KKF254" s="243"/>
      <c r="KKG254" s="243"/>
      <c r="KKH254" s="243"/>
      <c r="KKI254" s="243"/>
      <c r="KKJ254" s="243"/>
      <c r="KKK254" s="243"/>
      <c r="KKL254" s="243"/>
      <c r="KKM254" s="243"/>
      <c r="KKN254" s="243"/>
      <c r="KKO254" s="243"/>
      <c r="KKP254" s="243"/>
      <c r="KKQ254" s="243"/>
      <c r="KKR254" s="243"/>
      <c r="KKS254" s="243"/>
      <c r="KKT254" s="243"/>
      <c r="KKU254" s="243"/>
      <c r="KKV254" s="243"/>
      <c r="KKW254" s="243"/>
      <c r="KKX254" s="243"/>
      <c r="KKY254" s="243"/>
      <c r="KKZ254" s="243"/>
      <c r="KLA254" s="243"/>
      <c r="KLB254" s="243"/>
      <c r="KLC254" s="243"/>
      <c r="KLD254" s="243"/>
      <c r="KLE254" s="243"/>
      <c r="KLF254" s="243"/>
      <c r="KLG254" s="243"/>
      <c r="KLH254" s="243"/>
      <c r="KLI254" s="243"/>
      <c r="KLJ254" s="243"/>
      <c r="KLK254" s="243"/>
      <c r="KLL254" s="243"/>
      <c r="KLM254" s="243"/>
      <c r="KLN254" s="243"/>
      <c r="KLO254" s="243"/>
      <c r="KLP254" s="243"/>
      <c r="KLQ254" s="243"/>
      <c r="KLR254" s="243"/>
      <c r="KLS254" s="243"/>
      <c r="KLT254" s="243"/>
      <c r="KLU254" s="243"/>
      <c r="KLV254" s="243"/>
      <c r="KLW254" s="243"/>
      <c r="KLX254" s="243"/>
      <c r="KLY254" s="243"/>
      <c r="KLZ254" s="243"/>
      <c r="KMA254" s="243"/>
      <c r="KMB254" s="243"/>
      <c r="KMC254" s="243"/>
      <c r="KMD254" s="243"/>
      <c r="KME254" s="243"/>
      <c r="KMF254" s="243"/>
      <c r="KMG254" s="243"/>
      <c r="KMH254" s="243"/>
      <c r="KMI254" s="243"/>
      <c r="KMJ254" s="243"/>
      <c r="KMK254" s="243"/>
      <c r="KML254" s="243"/>
      <c r="KMM254" s="243"/>
      <c r="KMN254" s="243"/>
      <c r="KMO254" s="243"/>
      <c r="KMP254" s="243"/>
      <c r="KMQ254" s="243"/>
      <c r="KMR254" s="243"/>
      <c r="KMS254" s="243"/>
      <c r="KMT254" s="243"/>
      <c r="KMU254" s="243"/>
      <c r="KMV254" s="243"/>
      <c r="KMW254" s="243"/>
      <c r="KMX254" s="243"/>
      <c r="KMY254" s="243"/>
      <c r="KMZ254" s="243"/>
      <c r="KNA254" s="243"/>
      <c r="KNB254" s="243"/>
      <c r="KNC254" s="243"/>
      <c r="KND254" s="243"/>
      <c r="KNE254" s="243"/>
      <c r="KNF254" s="243"/>
      <c r="KNG254" s="243"/>
      <c r="KNH254" s="243"/>
      <c r="KNI254" s="243"/>
      <c r="KNJ254" s="243"/>
      <c r="KNK254" s="243"/>
      <c r="KNL254" s="243"/>
      <c r="KNM254" s="243"/>
      <c r="KNN254" s="243"/>
      <c r="KNO254" s="243"/>
      <c r="KNP254" s="243"/>
      <c r="KNQ254" s="243"/>
      <c r="KNR254" s="243"/>
      <c r="KNS254" s="243"/>
      <c r="KNT254" s="243"/>
      <c r="KNU254" s="243"/>
      <c r="KNV254" s="243"/>
      <c r="KNW254" s="243"/>
      <c r="KNX254" s="243"/>
      <c r="KNY254" s="243"/>
      <c r="KNZ254" s="243"/>
      <c r="KOA254" s="243"/>
      <c r="KOB254" s="243"/>
      <c r="KOC254" s="243"/>
      <c r="KOD254" s="243"/>
      <c r="KOE254" s="243"/>
      <c r="KOF254" s="243"/>
      <c r="KOG254" s="243"/>
      <c r="KOH254" s="243"/>
      <c r="KOI254" s="243"/>
      <c r="KOJ254" s="243"/>
      <c r="KOK254" s="243"/>
      <c r="KOL254" s="243"/>
      <c r="KOM254" s="243"/>
      <c r="KON254" s="243"/>
      <c r="KOO254" s="243"/>
      <c r="KOP254" s="243"/>
      <c r="KOQ254" s="243"/>
      <c r="KOR254" s="243"/>
      <c r="KOS254" s="243"/>
      <c r="KOT254" s="243"/>
      <c r="KOU254" s="243"/>
      <c r="KOV254" s="243"/>
      <c r="KOW254" s="243"/>
      <c r="KOX254" s="243"/>
      <c r="KOY254" s="243"/>
      <c r="KOZ254" s="243"/>
      <c r="KPA254" s="243"/>
      <c r="KPB254" s="243"/>
      <c r="KPC254" s="243"/>
      <c r="KPD254" s="243"/>
      <c r="KPE254" s="243"/>
      <c r="KPF254" s="243"/>
      <c r="KPG254" s="243"/>
      <c r="KPH254" s="243"/>
      <c r="KPI254" s="243"/>
      <c r="KPJ254" s="243"/>
      <c r="KPK254" s="243"/>
      <c r="KPL254" s="243"/>
      <c r="KPM254" s="243"/>
      <c r="KPN254" s="243"/>
      <c r="KPO254" s="243"/>
      <c r="KPP254" s="243"/>
      <c r="KPQ254" s="243"/>
      <c r="KPR254" s="243"/>
      <c r="KPS254" s="243"/>
      <c r="KPT254" s="243"/>
      <c r="KPU254" s="243"/>
      <c r="KPV254" s="243"/>
      <c r="KPW254" s="243"/>
      <c r="KPX254" s="243"/>
      <c r="KPY254" s="243"/>
      <c r="KPZ254" s="243"/>
      <c r="KQA254" s="243"/>
      <c r="KQB254" s="243"/>
      <c r="KQC254" s="243"/>
      <c r="KQD254" s="243"/>
      <c r="KQE254" s="243"/>
      <c r="KQF254" s="243"/>
      <c r="KQG254" s="243"/>
      <c r="KQH254" s="243"/>
      <c r="KQI254" s="243"/>
      <c r="KQJ254" s="243"/>
      <c r="KQK254" s="243"/>
      <c r="KQL254" s="243"/>
      <c r="KQM254" s="243"/>
      <c r="KQN254" s="243"/>
      <c r="KQO254" s="243"/>
      <c r="KQP254" s="243"/>
      <c r="KQQ254" s="243"/>
      <c r="KQR254" s="243"/>
      <c r="KQS254" s="243"/>
      <c r="KQT254" s="243"/>
      <c r="KQU254" s="243"/>
      <c r="KQV254" s="243"/>
      <c r="KQW254" s="243"/>
      <c r="KQX254" s="243"/>
      <c r="KQY254" s="243"/>
      <c r="KQZ254" s="243"/>
      <c r="KRA254" s="243"/>
      <c r="KRB254" s="243"/>
      <c r="KRC254" s="243"/>
      <c r="KRD254" s="243"/>
      <c r="KRE254" s="243"/>
      <c r="KRF254" s="243"/>
      <c r="KRG254" s="243"/>
      <c r="KRH254" s="243"/>
      <c r="KRI254" s="243"/>
      <c r="KRJ254" s="243"/>
      <c r="KRK254" s="243"/>
      <c r="KRL254" s="243"/>
      <c r="KRM254" s="243"/>
      <c r="KRN254" s="243"/>
      <c r="KRO254" s="243"/>
      <c r="KRP254" s="243"/>
      <c r="KRQ254" s="243"/>
      <c r="KRR254" s="243"/>
      <c r="KRS254" s="243"/>
      <c r="KRT254" s="243"/>
      <c r="KRU254" s="243"/>
      <c r="KRV254" s="243"/>
      <c r="KRW254" s="243"/>
      <c r="KRX254" s="243"/>
      <c r="KRY254" s="243"/>
      <c r="KRZ254" s="243"/>
      <c r="KSA254" s="243"/>
      <c r="KSB254" s="243"/>
      <c r="KSC254" s="243"/>
      <c r="KSD254" s="243"/>
      <c r="KSE254" s="243"/>
      <c r="KSF254" s="243"/>
      <c r="KSG254" s="243"/>
      <c r="KSH254" s="243"/>
      <c r="KSI254" s="243"/>
      <c r="KSJ254" s="243"/>
      <c r="KSK254" s="243"/>
      <c r="KSL254" s="243"/>
      <c r="KSM254" s="243"/>
      <c r="KSN254" s="243"/>
      <c r="KSO254" s="243"/>
      <c r="KSP254" s="243"/>
      <c r="KSQ254" s="243"/>
      <c r="KSR254" s="243"/>
      <c r="KSS254" s="243"/>
      <c r="KST254" s="243"/>
      <c r="KSU254" s="243"/>
      <c r="KSV254" s="243"/>
      <c r="KSW254" s="243"/>
      <c r="KSX254" s="243"/>
      <c r="KSY254" s="243"/>
      <c r="KSZ254" s="243"/>
      <c r="KTA254" s="243"/>
      <c r="KTB254" s="243"/>
      <c r="KTC254" s="243"/>
      <c r="KTD254" s="243"/>
      <c r="KTE254" s="243"/>
      <c r="KTF254" s="243"/>
      <c r="KTG254" s="243"/>
      <c r="KTH254" s="243"/>
      <c r="KTI254" s="243"/>
      <c r="KTJ254" s="243"/>
      <c r="KTK254" s="243"/>
      <c r="KTL254" s="243"/>
      <c r="KTM254" s="243"/>
      <c r="KTN254" s="243"/>
      <c r="KTO254" s="243"/>
      <c r="KTP254" s="243"/>
      <c r="KTQ254" s="243"/>
      <c r="KTR254" s="243"/>
      <c r="KTS254" s="243"/>
      <c r="KTT254" s="243"/>
      <c r="KTU254" s="243"/>
      <c r="KTV254" s="243"/>
      <c r="KTW254" s="243"/>
      <c r="KTX254" s="243"/>
      <c r="KTY254" s="243"/>
      <c r="KTZ254" s="243"/>
      <c r="KUA254" s="243"/>
      <c r="KUB254" s="243"/>
      <c r="KUC254" s="243"/>
      <c r="KUD254" s="243"/>
      <c r="KUE254" s="243"/>
      <c r="KUF254" s="243"/>
      <c r="KUG254" s="243"/>
      <c r="KUH254" s="243"/>
      <c r="KUI254" s="243"/>
      <c r="KUJ254" s="243"/>
      <c r="KUK254" s="243"/>
      <c r="KUL254" s="243"/>
      <c r="KUM254" s="243"/>
      <c r="KUN254" s="243"/>
      <c r="KUO254" s="243"/>
      <c r="KUP254" s="243"/>
      <c r="KUQ254" s="243"/>
      <c r="KUR254" s="243"/>
      <c r="KUS254" s="243"/>
      <c r="KUT254" s="243"/>
      <c r="KUU254" s="243"/>
      <c r="KUV254" s="243"/>
      <c r="KUW254" s="243"/>
      <c r="KUX254" s="243"/>
      <c r="KUY254" s="243"/>
      <c r="KUZ254" s="243"/>
      <c r="KVA254" s="243"/>
      <c r="KVB254" s="243"/>
      <c r="KVC254" s="243"/>
      <c r="KVD254" s="243"/>
      <c r="KVE254" s="243"/>
      <c r="KVF254" s="243"/>
      <c r="KVG254" s="243"/>
      <c r="KVH254" s="243"/>
      <c r="KVI254" s="243"/>
      <c r="KVJ254" s="243"/>
      <c r="KVK254" s="243"/>
      <c r="KVL254" s="243"/>
      <c r="KVM254" s="243"/>
      <c r="KVN254" s="243"/>
      <c r="KVO254" s="243"/>
      <c r="KVP254" s="243"/>
      <c r="KVQ254" s="243"/>
      <c r="KVR254" s="243"/>
      <c r="KVS254" s="243"/>
      <c r="KVT254" s="243"/>
      <c r="KVU254" s="243"/>
      <c r="KVV254" s="243"/>
      <c r="KVW254" s="243"/>
      <c r="KVX254" s="243"/>
      <c r="KVY254" s="243"/>
      <c r="KVZ254" s="243"/>
      <c r="KWA254" s="243"/>
      <c r="KWB254" s="243"/>
      <c r="KWC254" s="243"/>
      <c r="KWD254" s="243"/>
      <c r="KWE254" s="243"/>
      <c r="KWF254" s="243"/>
      <c r="KWG254" s="243"/>
      <c r="KWH254" s="243"/>
      <c r="KWI254" s="243"/>
      <c r="KWJ254" s="243"/>
      <c r="KWK254" s="243"/>
      <c r="KWL254" s="243"/>
      <c r="KWM254" s="243"/>
      <c r="KWN254" s="243"/>
      <c r="KWO254" s="243"/>
      <c r="KWP254" s="243"/>
      <c r="KWQ254" s="243"/>
      <c r="KWR254" s="243"/>
      <c r="KWS254" s="243"/>
      <c r="KWT254" s="243"/>
      <c r="KWU254" s="243"/>
      <c r="KWV254" s="243"/>
      <c r="KWW254" s="243"/>
      <c r="KWX254" s="243"/>
      <c r="KWY254" s="243"/>
      <c r="KWZ254" s="243"/>
      <c r="KXA254" s="243"/>
      <c r="KXB254" s="243"/>
      <c r="KXC254" s="243"/>
      <c r="KXD254" s="243"/>
      <c r="KXE254" s="243"/>
      <c r="KXF254" s="243"/>
      <c r="KXG254" s="243"/>
      <c r="KXH254" s="243"/>
      <c r="KXI254" s="243"/>
      <c r="KXJ254" s="243"/>
      <c r="KXK254" s="243"/>
      <c r="KXL254" s="243"/>
      <c r="KXM254" s="243"/>
      <c r="KXN254" s="243"/>
      <c r="KXO254" s="243"/>
      <c r="KXP254" s="243"/>
      <c r="KXQ254" s="243"/>
      <c r="KXR254" s="243"/>
      <c r="KXS254" s="243"/>
      <c r="KXT254" s="243"/>
      <c r="KXU254" s="243"/>
      <c r="KXV254" s="243"/>
      <c r="KXW254" s="243"/>
      <c r="KXX254" s="243"/>
      <c r="KXY254" s="243"/>
      <c r="KXZ254" s="243"/>
      <c r="KYA254" s="243"/>
      <c r="KYB254" s="243"/>
      <c r="KYC254" s="243"/>
      <c r="KYD254" s="243"/>
      <c r="KYE254" s="243"/>
      <c r="KYF254" s="243"/>
      <c r="KYG254" s="243"/>
      <c r="KYH254" s="243"/>
      <c r="KYI254" s="243"/>
      <c r="KYJ254" s="243"/>
      <c r="KYK254" s="243"/>
      <c r="KYL254" s="243"/>
      <c r="KYM254" s="243"/>
      <c r="KYN254" s="243"/>
      <c r="KYO254" s="243"/>
      <c r="KYP254" s="243"/>
      <c r="KYQ254" s="243"/>
      <c r="KYR254" s="243"/>
      <c r="KYS254" s="243"/>
      <c r="KYT254" s="243"/>
      <c r="KYU254" s="243"/>
      <c r="KYV254" s="243"/>
      <c r="KYW254" s="243"/>
      <c r="KYX254" s="243"/>
      <c r="KYY254" s="243"/>
      <c r="KYZ254" s="243"/>
      <c r="KZA254" s="243"/>
      <c r="KZB254" s="243"/>
      <c r="KZC254" s="243"/>
      <c r="KZD254" s="243"/>
      <c r="KZE254" s="243"/>
      <c r="KZF254" s="243"/>
      <c r="KZG254" s="243"/>
      <c r="KZH254" s="243"/>
      <c r="KZI254" s="243"/>
      <c r="KZJ254" s="243"/>
      <c r="KZK254" s="243"/>
      <c r="KZL254" s="243"/>
      <c r="KZM254" s="243"/>
      <c r="KZN254" s="243"/>
      <c r="KZO254" s="243"/>
      <c r="KZP254" s="243"/>
      <c r="KZQ254" s="243"/>
      <c r="KZR254" s="243"/>
      <c r="KZS254" s="243"/>
      <c r="KZT254" s="243"/>
      <c r="KZU254" s="243"/>
      <c r="KZV254" s="243"/>
      <c r="KZW254" s="243"/>
      <c r="KZX254" s="243"/>
      <c r="KZY254" s="243"/>
      <c r="KZZ254" s="243"/>
      <c r="LAA254" s="243"/>
      <c r="LAB254" s="243"/>
      <c r="LAC254" s="243"/>
      <c r="LAD254" s="243"/>
      <c r="LAE254" s="243"/>
      <c r="LAF254" s="243"/>
      <c r="LAG254" s="243"/>
      <c r="LAH254" s="243"/>
      <c r="LAI254" s="243"/>
      <c r="LAJ254" s="243"/>
      <c r="LAK254" s="243"/>
      <c r="LAL254" s="243"/>
      <c r="LAM254" s="243"/>
      <c r="LAN254" s="243"/>
      <c r="LAO254" s="243"/>
      <c r="LAP254" s="243"/>
      <c r="LAQ254" s="243"/>
      <c r="LAR254" s="243"/>
      <c r="LAS254" s="243"/>
      <c r="LAT254" s="243"/>
      <c r="LAU254" s="243"/>
      <c r="LAV254" s="243"/>
      <c r="LAW254" s="243"/>
      <c r="LAX254" s="243"/>
      <c r="LAY254" s="243"/>
      <c r="LAZ254" s="243"/>
      <c r="LBA254" s="243"/>
      <c r="LBB254" s="243"/>
      <c r="LBC254" s="243"/>
      <c r="LBD254" s="243"/>
      <c r="LBE254" s="243"/>
      <c r="LBF254" s="243"/>
      <c r="LBG254" s="243"/>
      <c r="LBH254" s="243"/>
      <c r="LBI254" s="243"/>
      <c r="LBJ254" s="243"/>
      <c r="LBK254" s="243"/>
      <c r="LBL254" s="243"/>
      <c r="LBM254" s="243"/>
      <c r="LBN254" s="243"/>
      <c r="LBO254" s="243"/>
      <c r="LBP254" s="243"/>
      <c r="LBQ254" s="243"/>
      <c r="LBR254" s="243"/>
      <c r="LBS254" s="243"/>
      <c r="LBT254" s="243"/>
      <c r="LBU254" s="243"/>
      <c r="LBV254" s="243"/>
      <c r="LBW254" s="243"/>
      <c r="LBX254" s="243"/>
      <c r="LBY254" s="243"/>
      <c r="LBZ254" s="243"/>
      <c r="LCA254" s="243"/>
      <c r="LCB254" s="243"/>
      <c r="LCC254" s="243"/>
      <c r="LCD254" s="243"/>
      <c r="LCE254" s="243"/>
      <c r="LCF254" s="243"/>
      <c r="LCG254" s="243"/>
      <c r="LCH254" s="243"/>
      <c r="LCI254" s="243"/>
      <c r="LCJ254" s="243"/>
      <c r="LCK254" s="243"/>
      <c r="LCL254" s="243"/>
      <c r="LCM254" s="243"/>
      <c r="LCN254" s="243"/>
      <c r="LCO254" s="243"/>
      <c r="LCP254" s="243"/>
      <c r="LCQ254" s="243"/>
      <c r="LCR254" s="243"/>
      <c r="LCS254" s="243"/>
      <c r="LCT254" s="243"/>
      <c r="LCU254" s="243"/>
      <c r="LCV254" s="243"/>
      <c r="LCW254" s="243"/>
      <c r="LCX254" s="243"/>
      <c r="LCY254" s="243"/>
      <c r="LCZ254" s="243"/>
      <c r="LDA254" s="243"/>
      <c r="LDB254" s="243"/>
      <c r="LDC254" s="243"/>
      <c r="LDD254" s="243"/>
      <c r="LDE254" s="243"/>
      <c r="LDF254" s="243"/>
      <c r="LDG254" s="243"/>
      <c r="LDH254" s="243"/>
      <c r="LDI254" s="243"/>
      <c r="LDJ254" s="243"/>
      <c r="LDK254" s="243"/>
      <c r="LDL254" s="243"/>
      <c r="LDM254" s="243"/>
      <c r="LDN254" s="243"/>
      <c r="LDO254" s="243"/>
      <c r="LDP254" s="243"/>
      <c r="LDQ254" s="243"/>
      <c r="LDR254" s="243"/>
      <c r="LDS254" s="243"/>
      <c r="LDT254" s="243"/>
      <c r="LDU254" s="243"/>
      <c r="LDV254" s="243"/>
      <c r="LDW254" s="243"/>
      <c r="LDX254" s="243"/>
      <c r="LDY254" s="243"/>
      <c r="LDZ254" s="243"/>
      <c r="LEA254" s="243"/>
      <c r="LEB254" s="243"/>
      <c r="LEC254" s="243"/>
      <c r="LED254" s="243"/>
      <c r="LEE254" s="243"/>
      <c r="LEF254" s="243"/>
      <c r="LEG254" s="243"/>
      <c r="LEH254" s="243"/>
      <c r="LEI254" s="243"/>
      <c r="LEJ254" s="243"/>
      <c r="LEK254" s="243"/>
      <c r="LEL254" s="243"/>
      <c r="LEM254" s="243"/>
      <c r="LEN254" s="243"/>
      <c r="LEO254" s="243"/>
      <c r="LEP254" s="243"/>
      <c r="LEQ254" s="243"/>
      <c r="LER254" s="243"/>
      <c r="LES254" s="243"/>
      <c r="LET254" s="243"/>
      <c r="LEU254" s="243"/>
      <c r="LEV254" s="243"/>
      <c r="LEW254" s="243"/>
      <c r="LEX254" s="243"/>
      <c r="LEY254" s="243"/>
      <c r="LEZ254" s="243"/>
      <c r="LFA254" s="243"/>
      <c r="LFB254" s="243"/>
      <c r="LFC254" s="243"/>
      <c r="LFD254" s="243"/>
      <c r="LFE254" s="243"/>
      <c r="LFF254" s="243"/>
      <c r="LFG254" s="243"/>
      <c r="LFH254" s="243"/>
      <c r="LFI254" s="243"/>
      <c r="LFJ254" s="243"/>
      <c r="LFK254" s="243"/>
      <c r="LFL254" s="243"/>
      <c r="LFM254" s="243"/>
      <c r="LFN254" s="243"/>
      <c r="LFO254" s="243"/>
      <c r="LFP254" s="243"/>
      <c r="LFQ254" s="243"/>
      <c r="LFR254" s="243"/>
      <c r="LFS254" s="243"/>
      <c r="LFT254" s="243"/>
      <c r="LFU254" s="243"/>
      <c r="LFV254" s="243"/>
      <c r="LFW254" s="243"/>
      <c r="LFX254" s="243"/>
      <c r="LFY254" s="243"/>
      <c r="LFZ254" s="243"/>
      <c r="LGA254" s="243"/>
      <c r="LGB254" s="243"/>
      <c r="LGC254" s="243"/>
      <c r="LGD254" s="243"/>
      <c r="LGE254" s="243"/>
      <c r="LGF254" s="243"/>
      <c r="LGG254" s="243"/>
      <c r="LGH254" s="243"/>
      <c r="LGI254" s="243"/>
      <c r="LGJ254" s="243"/>
      <c r="LGK254" s="243"/>
      <c r="LGL254" s="243"/>
      <c r="LGM254" s="243"/>
      <c r="LGN254" s="243"/>
      <c r="LGO254" s="243"/>
      <c r="LGP254" s="243"/>
      <c r="LGQ254" s="243"/>
      <c r="LGR254" s="243"/>
      <c r="LGS254" s="243"/>
      <c r="LGT254" s="243"/>
      <c r="LGU254" s="243"/>
      <c r="LGV254" s="243"/>
      <c r="LGW254" s="243"/>
      <c r="LGX254" s="243"/>
      <c r="LGY254" s="243"/>
      <c r="LGZ254" s="243"/>
      <c r="LHA254" s="243"/>
      <c r="LHB254" s="243"/>
      <c r="LHC254" s="243"/>
      <c r="LHD254" s="243"/>
      <c r="LHE254" s="243"/>
      <c r="LHF254" s="243"/>
      <c r="LHG254" s="243"/>
      <c r="LHH254" s="243"/>
      <c r="LHI254" s="243"/>
      <c r="LHJ254" s="243"/>
      <c r="LHK254" s="243"/>
      <c r="LHL254" s="243"/>
      <c r="LHM254" s="243"/>
      <c r="LHN254" s="243"/>
      <c r="LHO254" s="243"/>
      <c r="LHP254" s="243"/>
      <c r="LHQ254" s="243"/>
      <c r="LHR254" s="243"/>
      <c r="LHS254" s="243"/>
      <c r="LHT254" s="243"/>
      <c r="LHU254" s="243"/>
      <c r="LHV254" s="243"/>
      <c r="LHW254" s="243"/>
      <c r="LHX254" s="243"/>
      <c r="LHY254" s="243"/>
      <c r="LHZ254" s="243"/>
      <c r="LIA254" s="243"/>
      <c r="LIB254" s="243"/>
      <c r="LIC254" s="243"/>
      <c r="LID254" s="243"/>
      <c r="LIE254" s="243"/>
      <c r="LIF254" s="243"/>
      <c r="LIG254" s="243"/>
      <c r="LIH254" s="243"/>
      <c r="LII254" s="243"/>
      <c r="LIJ254" s="243"/>
      <c r="LIK254" s="243"/>
      <c r="LIL254" s="243"/>
      <c r="LIM254" s="243"/>
      <c r="LIN254" s="243"/>
      <c r="LIO254" s="243"/>
      <c r="LIP254" s="243"/>
      <c r="LIQ254" s="243"/>
      <c r="LIR254" s="243"/>
      <c r="LIS254" s="243"/>
      <c r="LIT254" s="243"/>
      <c r="LIU254" s="243"/>
      <c r="LIV254" s="243"/>
      <c r="LIW254" s="243"/>
      <c r="LIX254" s="243"/>
      <c r="LIY254" s="243"/>
      <c r="LIZ254" s="243"/>
      <c r="LJA254" s="243"/>
      <c r="LJB254" s="243"/>
      <c r="LJC254" s="243"/>
      <c r="LJD254" s="243"/>
      <c r="LJE254" s="243"/>
      <c r="LJF254" s="243"/>
      <c r="LJG254" s="243"/>
      <c r="LJH254" s="243"/>
      <c r="LJI254" s="243"/>
      <c r="LJJ254" s="243"/>
      <c r="LJK254" s="243"/>
      <c r="LJL254" s="243"/>
      <c r="LJM254" s="243"/>
      <c r="LJN254" s="243"/>
      <c r="LJO254" s="243"/>
      <c r="LJP254" s="243"/>
      <c r="LJQ254" s="243"/>
      <c r="LJR254" s="243"/>
      <c r="LJS254" s="243"/>
      <c r="LJT254" s="243"/>
      <c r="LJU254" s="243"/>
      <c r="LJV254" s="243"/>
      <c r="LJW254" s="243"/>
      <c r="LJX254" s="243"/>
      <c r="LJY254" s="243"/>
      <c r="LJZ254" s="243"/>
      <c r="LKA254" s="243"/>
      <c r="LKB254" s="243"/>
      <c r="LKC254" s="243"/>
      <c r="LKD254" s="243"/>
      <c r="LKE254" s="243"/>
      <c r="LKF254" s="243"/>
      <c r="LKG254" s="243"/>
      <c r="LKH254" s="243"/>
      <c r="LKI254" s="243"/>
      <c r="LKJ254" s="243"/>
      <c r="LKK254" s="243"/>
      <c r="LKL254" s="243"/>
      <c r="LKM254" s="243"/>
      <c r="LKN254" s="243"/>
      <c r="LKO254" s="243"/>
      <c r="LKP254" s="243"/>
      <c r="LKQ254" s="243"/>
      <c r="LKR254" s="243"/>
      <c r="LKS254" s="243"/>
      <c r="LKT254" s="243"/>
      <c r="LKU254" s="243"/>
      <c r="LKV254" s="243"/>
      <c r="LKW254" s="243"/>
      <c r="LKX254" s="243"/>
      <c r="LKY254" s="243"/>
      <c r="LKZ254" s="243"/>
      <c r="LLA254" s="243"/>
      <c r="LLB254" s="243"/>
      <c r="LLC254" s="243"/>
      <c r="LLD254" s="243"/>
      <c r="LLE254" s="243"/>
      <c r="LLF254" s="243"/>
      <c r="LLG254" s="243"/>
      <c r="LLH254" s="243"/>
      <c r="LLI254" s="243"/>
      <c r="LLJ254" s="243"/>
      <c r="LLK254" s="243"/>
      <c r="LLL254" s="243"/>
      <c r="LLM254" s="243"/>
      <c r="LLN254" s="243"/>
      <c r="LLO254" s="243"/>
      <c r="LLP254" s="243"/>
      <c r="LLQ254" s="243"/>
      <c r="LLR254" s="243"/>
      <c r="LLS254" s="243"/>
      <c r="LLT254" s="243"/>
      <c r="LLU254" s="243"/>
      <c r="LLV254" s="243"/>
      <c r="LLW254" s="243"/>
      <c r="LLX254" s="243"/>
      <c r="LLY254" s="243"/>
      <c r="LLZ254" s="243"/>
      <c r="LMA254" s="243"/>
      <c r="LMB254" s="243"/>
      <c r="LMC254" s="243"/>
      <c r="LMD254" s="243"/>
      <c r="LME254" s="243"/>
      <c r="LMF254" s="243"/>
      <c r="LMG254" s="243"/>
      <c r="LMH254" s="243"/>
      <c r="LMI254" s="243"/>
      <c r="LMJ254" s="243"/>
      <c r="LMK254" s="243"/>
      <c r="LML254" s="243"/>
      <c r="LMM254" s="243"/>
      <c r="LMN254" s="243"/>
      <c r="LMO254" s="243"/>
      <c r="LMP254" s="243"/>
      <c r="LMQ254" s="243"/>
      <c r="LMR254" s="243"/>
      <c r="LMS254" s="243"/>
      <c r="LMT254" s="243"/>
      <c r="LMU254" s="243"/>
      <c r="LMV254" s="243"/>
      <c r="LMW254" s="243"/>
      <c r="LMX254" s="243"/>
      <c r="LMY254" s="243"/>
      <c r="LMZ254" s="243"/>
      <c r="LNA254" s="243"/>
      <c r="LNB254" s="243"/>
      <c r="LNC254" s="243"/>
      <c r="LND254" s="243"/>
      <c r="LNE254" s="243"/>
      <c r="LNF254" s="243"/>
      <c r="LNG254" s="243"/>
      <c r="LNH254" s="243"/>
      <c r="LNI254" s="243"/>
      <c r="LNJ254" s="243"/>
      <c r="LNK254" s="243"/>
      <c r="LNL254" s="243"/>
      <c r="LNM254" s="243"/>
      <c r="LNN254" s="243"/>
      <c r="LNO254" s="243"/>
      <c r="LNP254" s="243"/>
      <c r="LNQ254" s="243"/>
      <c r="LNR254" s="243"/>
      <c r="LNS254" s="243"/>
      <c r="LNT254" s="243"/>
      <c r="LNU254" s="243"/>
      <c r="LNV254" s="243"/>
      <c r="LNW254" s="243"/>
      <c r="LNX254" s="243"/>
      <c r="LNY254" s="243"/>
      <c r="LNZ254" s="243"/>
      <c r="LOA254" s="243"/>
      <c r="LOB254" s="243"/>
      <c r="LOC254" s="243"/>
      <c r="LOD254" s="243"/>
      <c r="LOE254" s="243"/>
      <c r="LOF254" s="243"/>
      <c r="LOG254" s="243"/>
      <c r="LOH254" s="243"/>
      <c r="LOI254" s="243"/>
      <c r="LOJ254" s="243"/>
      <c r="LOK254" s="243"/>
      <c r="LOL254" s="243"/>
      <c r="LOM254" s="243"/>
      <c r="LON254" s="243"/>
      <c r="LOO254" s="243"/>
      <c r="LOP254" s="243"/>
      <c r="LOQ254" s="243"/>
      <c r="LOR254" s="243"/>
      <c r="LOS254" s="243"/>
      <c r="LOT254" s="243"/>
      <c r="LOU254" s="243"/>
      <c r="LOV254" s="243"/>
      <c r="LOW254" s="243"/>
      <c r="LOX254" s="243"/>
      <c r="LOY254" s="243"/>
      <c r="LOZ254" s="243"/>
      <c r="LPA254" s="243"/>
      <c r="LPB254" s="243"/>
      <c r="LPC254" s="243"/>
      <c r="LPD254" s="243"/>
      <c r="LPE254" s="243"/>
      <c r="LPF254" s="243"/>
      <c r="LPG254" s="243"/>
      <c r="LPH254" s="243"/>
      <c r="LPI254" s="243"/>
      <c r="LPJ254" s="243"/>
      <c r="LPK254" s="243"/>
      <c r="LPL254" s="243"/>
      <c r="LPM254" s="243"/>
      <c r="LPN254" s="243"/>
      <c r="LPO254" s="243"/>
      <c r="LPP254" s="243"/>
      <c r="LPQ254" s="243"/>
      <c r="LPR254" s="243"/>
      <c r="LPS254" s="243"/>
      <c r="LPT254" s="243"/>
      <c r="LPU254" s="243"/>
      <c r="LPV254" s="243"/>
      <c r="LPW254" s="243"/>
      <c r="LPX254" s="243"/>
      <c r="LPY254" s="243"/>
      <c r="LPZ254" s="243"/>
      <c r="LQA254" s="243"/>
      <c r="LQB254" s="243"/>
      <c r="LQC254" s="243"/>
      <c r="LQD254" s="243"/>
      <c r="LQE254" s="243"/>
      <c r="LQF254" s="243"/>
      <c r="LQG254" s="243"/>
      <c r="LQH254" s="243"/>
      <c r="LQI254" s="243"/>
      <c r="LQJ254" s="243"/>
      <c r="LQK254" s="243"/>
      <c r="LQL254" s="243"/>
      <c r="LQM254" s="243"/>
      <c r="LQN254" s="243"/>
      <c r="LQO254" s="243"/>
      <c r="LQP254" s="243"/>
      <c r="LQQ254" s="243"/>
      <c r="LQR254" s="243"/>
      <c r="LQS254" s="243"/>
      <c r="LQT254" s="243"/>
      <c r="LQU254" s="243"/>
      <c r="LQV254" s="243"/>
      <c r="LQW254" s="243"/>
      <c r="LQX254" s="243"/>
      <c r="LQY254" s="243"/>
      <c r="LQZ254" s="243"/>
      <c r="LRA254" s="243"/>
      <c r="LRB254" s="243"/>
      <c r="LRC254" s="243"/>
      <c r="LRD254" s="243"/>
      <c r="LRE254" s="243"/>
      <c r="LRF254" s="243"/>
      <c r="LRG254" s="243"/>
      <c r="LRH254" s="243"/>
      <c r="LRI254" s="243"/>
      <c r="LRJ254" s="243"/>
      <c r="LRK254" s="243"/>
      <c r="LRL254" s="243"/>
      <c r="LRM254" s="243"/>
      <c r="LRN254" s="243"/>
      <c r="LRO254" s="243"/>
      <c r="LRP254" s="243"/>
      <c r="LRQ254" s="243"/>
      <c r="LRR254" s="243"/>
      <c r="LRS254" s="243"/>
      <c r="LRT254" s="243"/>
      <c r="LRU254" s="243"/>
      <c r="LRV254" s="243"/>
      <c r="LRW254" s="243"/>
      <c r="LRX254" s="243"/>
      <c r="LRY254" s="243"/>
      <c r="LRZ254" s="243"/>
      <c r="LSA254" s="243"/>
      <c r="LSB254" s="243"/>
      <c r="LSC254" s="243"/>
      <c r="LSD254" s="243"/>
      <c r="LSE254" s="243"/>
      <c r="LSF254" s="243"/>
      <c r="LSG254" s="243"/>
      <c r="LSH254" s="243"/>
      <c r="LSI254" s="243"/>
      <c r="LSJ254" s="243"/>
      <c r="LSK254" s="243"/>
      <c r="LSL254" s="243"/>
      <c r="LSM254" s="243"/>
      <c r="LSN254" s="243"/>
      <c r="LSO254" s="243"/>
      <c r="LSP254" s="243"/>
      <c r="LSQ254" s="243"/>
      <c r="LSR254" s="243"/>
      <c r="LSS254" s="243"/>
      <c r="LST254" s="243"/>
      <c r="LSU254" s="243"/>
      <c r="LSV254" s="243"/>
      <c r="LSW254" s="243"/>
      <c r="LSX254" s="243"/>
      <c r="LSY254" s="243"/>
      <c r="LSZ254" s="243"/>
      <c r="LTA254" s="243"/>
      <c r="LTB254" s="243"/>
      <c r="LTC254" s="243"/>
      <c r="LTD254" s="243"/>
      <c r="LTE254" s="243"/>
      <c r="LTF254" s="243"/>
      <c r="LTG254" s="243"/>
      <c r="LTH254" s="243"/>
      <c r="LTI254" s="243"/>
      <c r="LTJ254" s="243"/>
      <c r="LTK254" s="243"/>
      <c r="LTL254" s="243"/>
      <c r="LTM254" s="243"/>
      <c r="LTN254" s="243"/>
      <c r="LTO254" s="243"/>
      <c r="LTP254" s="243"/>
      <c r="LTQ254" s="243"/>
      <c r="LTR254" s="243"/>
      <c r="LTS254" s="243"/>
      <c r="LTT254" s="243"/>
      <c r="LTU254" s="243"/>
      <c r="LTV254" s="243"/>
      <c r="LTW254" s="243"/>
      <c r="LTX254" s="243"/>
      <c r="LTY254" s="243"/>
      <c r="LTZ254" s="243"/>
      <c r="LUA254" s="243"/>
      <c r="LUB254" s="243"/>
      <c r="LUC254" s="243"/>
      <c r="LUD254" s="243"/>
      <c r="LUE254" s="243"/>
      <c r="LUF254" s="243"/>
      <c r="LUG254" s="243"/>
      <c r="LUH254" s="243"/>
      <c r="LUI254" s="243"/>
      <c r="LUJ254" s="243"/>
      <c r="LUK254" s="243"/>
      <c r="LUL254" s="243"/>
      <c r="LUM254" s="243"/>
      <c r="LUN254" s="243"/>
      <c r="LUO254" s="243"/>
      <c r="LUP254" s="243"/>
      <c r="LUQ254" s="243"/>
      <c r="LUR254" s="243"/>
      <c r="LUS254" s="243"/>
      <c r="LUT254" s="243"/>
      <c r="LUU254" s="243"/>
      <c r="LUV254" s="243"/>
      <c r="LUW254" s="243"/>
      <c r="LUX254" s="243"/>
      <c r="LUY254" s="243"/>
      <c r="LUZ254" s="243"/>
      <c r="LVA254" s="243"/>
      <c r="LVB254" s="243"/>
      <c r="LVC254" s="243"/>
      <c r="LVD254" s="243"/>
      <c r="LVE254" s="243"/>
      <c r="LVF254" s="243"/>
      <c r="LVG254" s="243"/>
      <c r="LVH254" s="243"/>
      <c r="LVI254" s="243"/>
      <c r="LVJ254" s="243"/>
      <c r="LVK254" s="243"/>
      <c r="LVL254" s="243"/>
      <c r="LVM254" s="243"/>
      <c r="LVN254" s="243"/>
      <c r="LVO254" s="243"/>
      <c r="LVP254" s="243"/>
      <c r="LVQ254" s="243"/>
      <c r="LVR254" s="243"/>
      <c r="LVS254" s="243"/>
      <c r="LVT254" s="243"/>
      <c r="LVU254" s="243"/>
      <c r="LVV254" s="243"/>
      <c r="LVW254" s="243"/>
      <c r="LVX254" s="243"/>
      <c r="LVY254" s="243"/>
      <c r="LVZ254" s="243"/>
      <c r="LWA254" s="243"/>
      <c r="LWB254" s="243"/>
      <c r="LWC254" s="243"/>
      <c r="LWD254" s="243"/>
      <c r="LWE254" s="243"/>
      <c r="LWF254" s="243"/>
      <c r="LWG254" s="243"/>
      <c r="LWH254" s="243"/>
      <c r="LWI254" s="243"/>
      <c r="LWJ254" s="243"/>
      <c r="LWK254" s="243"/>
      <c r="LWL254" s="243"/>
      <c r="LWM254" s="243"/>
      <c r="LWN254" s="243"/>
      <c r="LWO254" s="243"/>
      <c r="LWP254" s="243"/>
      <c r="LWQ254" s="243"/>
      <c r="LWR254" s="243"/>
      <c r="LWS254" s="243"/>
      <c r="LWT254" s="243"/>
      <c r="LWU254" s="243"/>
      <c r="LWV254" s="243"/>
      <c r="LWW254" s="243"/>
      <c r="LWX254" s="243"/>
      <c r="LWY254" s="243"/>
      <c r="LWZ254" s="243"/>
      <c r="LXA254" s="243"/>
      <c r="LXB254" s="243"/>
      <c r="LXC254" s="243"/>
      <c r="LXD254" s="243"/>
      <c r="LXE254" s="243"/>
      <c r="LXF254" s="243"/>
      <c r="LXG254" s="243"/>
      <c r="LXH254" s="243"/>
      <c r="LXI254" s="243"/>
      <c r="LXJ254" s="243"/>
      <c r="LXK254" s="243"/>
      <c r="LXL254" s="243"/>
      <c r="LXM254" s="243"/>
      <c r="LXN254" s="243"/>
      <c r="LXO254" s="243"/>
      <c r="LXP254" s="243"/>
      <c r="LXQ254" s="243"/>
      <c r="LXR254" s="243"/>
      <c r="LXS254" s="243"/>
      <c r="LXT254" s="243"/>
      <c r="LXU254" s="243"/>
      <c r="LXV254" s="243"/>
      <c r="LXW254" s="243"/>
      <c r="LXX254" s="243"/>
      <c r="LXY254" s="243"/>
      <c r="LXZ254" s="243"/>
      <c r="LYA254" s="243"/>
      <c r="LYB254" s="243"/>
      <c r="LYC254" s="243"/>
      <c r="LYD254" s="243"/>
      <c r="LYE254" s="243"/>
      <c r="LYF254" s="243"/>
      <c r="LYG254" s="243"/>
      <c r="LYH254" s="243"/>
      <c r="LYI254" s="243"/>
      <c r="LYJ254" s="243"/>
      <c r="LYK254" s="243"/>
      <c r="LYL254" s="243"/>
      <c r="LYM254" s="243"/>
      <c r="LYN254" s="243"/>
      <c r="LYO254" s="243"/>
      <c r="LYP254" s="243"/>
      <c r="LYQ254" s="243"/>
      <c r="LYR254" s="243"/>
      <c r="LYS254" s="243"/>
      <c r="LYT254" s="243"/>
      <c r="LYU254" s="243"/>
      <c r="LYV254" s="243"/>
      <c r="LYW254" s="243"/>
      <c r="LYX254" s="243"/>
      <c r="LYY254" s="243"/>
      <c r="LYZ254" s="243"/>
      <c r="LZA254" s="243"/>
      <c r="LZB254" s="243"/>
      <c r="LZC254" s="243"/>
      <c r="LZD254" s="243"/>
      <c r="LZE254" s="243"/>
      <c r="LZF254" s="243"/>
      <c r="LZG254" s="243"/>
      <c r="LZH254" s="243"/>
      <c r="LZI254" s="243"/>
      <c r="LZJ254" s="243"/>
      <c r="LZK254" s="243"/>
      <c r="LZL254" s="243"/>
      <c r="LZM254" s="243"/>
      <c r="LZN254" s="243"/>
      <c r="LZO254" s="243"/>
      <c r="LZP254" s="243"/>
      <c r="LZQ254" s="243"/>
      <c r="LZR254" s="243"/>
      <c r="LZS254" s="243"/>
      <c r="LZT254" s="243"/>
      <c r="LZU254" s="243"/>
      <c r="LZV254" s="243"/>
      <c r="LZW254" s="243"/>
      <c r="LZX254" s="243"/>
      <c r="LZY254" s="243"/>
      <c r="LZZ254" s="243"/>
      <c r="MAA254" s="243"/>
      <c r="MAB254" s="243"/>
      <c r="MAC254" s="243"/>
      <c r="MAD254" s="243"/>
      <c r="MAE254" s="243"/>
      <c r="MAF254" s="243"/>
      <c r="MAG254" s="243"/>
      <c r="MAH254" s="243"/>
      <c r="MAI254" s="243"/>
      <c r="MAJ254" s="243"/>
      <c r="MAK254" s="243"/>
      <c r="MAL254" s="243"/>
      <c r="MAM254" s="243"/>
      <c r="MAN254" s="243"/>
      <c r="MAO254" s="243"/>
      <c r="MAP254" s="243"/>
      <c r="MAQ254" s="243"/>
      <c r="MAR254" s="243"/>
      <c r="MAS254" s="243"/>
      <c r="MAT254" s="243"/>
      <c r="MAU254" s="243"/>
      <c r="MAV254" s="243"/>
      <c r="MAW254" s="243"/>
      <c r="MAX254" s="243"/>
      <c r="MAY254" s="243"/>
      <c r="MAZ254" s="243"/>
      <c r="MBA254" s="243"/>
      <c r="MBB254" s="243"/>
      <c r="MBC254" s="243"/>
      <c r="MBD254" s="243"/>
      <c r="MBE254" s="243"/>
      <c r="MBF254" s="243"/>
      <c r="MBG254" s="243"/>
      <c r="MBH254" s="243"/>
      <c r="MBI254" s="243"/>
      <c r="MBJ254" s="243"/>
      <c r="MBK254" s="243"/>
      <c r="MBL254" s="243"/>
      <c r="MBM254" s="243"/>
      <c r="MBN254" s="243"/>
      <c r="MBO254" s="243"/>
      <c r="MBP254" s="243"/>
      <c r="MBQ254" s="243"/>
      <c r="MBR254" s="243"/>
      <c r="MBS254" s="243"/>
      <c r="MBT254" s="243"/>
      <c r="MBU254" s="243"/>
      <c r="MBV254" s="243"/>
      <c r="MBW254" s="243"/>
      <c r="MBX254" s="243"/>
      <c r="MBY254" s="243"/>
      <c r="MBZ254" s="243"/>
      <c r="MCA254" s="243"/>
      <c r="MCB254" s="243"/>
      <c r="MCC254" s="243"/>
      <c r="MCD254" s="243"/>
      <c r="MCE254" s="243"/>
      <c r="MCF254" s="243"/>
      <c r="MCG254" s="243"/>
      <c r="MCH254" s="243"/>
      <c r="MCI254" s="243"/>
      <c r="MCJ254" s="243"/>
      <c r="MCK254" s="243"/>
      <c r="MCL254" s="243"/>
      <c r="MCM254" s="243"/>
      <c r="MCN254" s="243"/>
      <c r="MCO254" s="243"/>
      <c r="MCP254" s="243"/>
      <c r="MCQ254" s="243"/>
      <c r="MCR254" s="243"/>
      <c r="MCS254" s="243"/>
      <c r="MCT254" s="243"/>
      <c r="MCU254" s="243"/>
      <c r="MCV254" s="243"/>
      <c r="MCW254" s="243"/>
      <c r="MCX254" s="243"/>
      <c r="MCY254" s="243"/>
      <c r="MCZ254" s="243"/>
      <c r="MDA254" s="243"/>
      <c r="MDB254" s="243"/>
      <c r="MDC254" s="243"/>
      <c r="MDD254" s="243"/>
      <c r="MDE254" s="243"/>
      <c r="MDF254" s="243"/>
      <c r="MDG254" s="243"/>
      <c r="MDH254" s="243"/>
      <c r="MDI254" s="243"/>
      <c r="MDJ254" s="243"/>
      <c r="MDK254" s="243"/>
      <c r="MDL254" s="243"/>
      <c r="MDM254" s="243"/>
      <c r="MDN254" s="243"/>
      <c r="MDO254" s="243"/>
      <c r="MDP254" s="243"/>
      <c r="MDQ254" s="243"/>
      <c r="MDR254" s="243"/>
      <c r="MDS254" s="243"/>
      <c r="MDT254" s="243"/>
      <c r="MDU254" s="243"/>
      <c r="MDV254" s="243"/>
      <c r="MDW254" s="243"/>
      <c r="MDX254" s="243"/>
      <c r="MDY254" s="243"/>
      <c r="MDZ254" s="243"/>
      <c r="MEA254" s="243"/>
      <c r="MEB254" s="243"/>
      <c r="MEC254" s="243"/>
      <c r="MED254" s="243"/>
      <c r="MEE254" s="243"/>
      <c r="MEF254" s="243"/>
      <c r="MEG254" s="243"/>
      <c r="MEH254" s="243"/>
      <c r="MEI254" s="243"/>
      <c r="MEJ254" s="243"/>
      <c r="MEK254" s="243"/>
      <c r="MEL254" s="243"/>
      <c r="MEM254" s="243"/>
      <c r="MEN254" s="243"/>
      <c r="MEO254" s="243"/>
      <c r="MEP254" s="243"/>
      <c r="MEQ254" s="243"/>
      <c r="MER254" s="243"/>
      <c r="MES254" s="243"/>
      <c r="MET254" s="243"/>
      <c r="MEU254" s="243"/>
      <c r="MEV254" s="243"/>
      <c r="MEW254" s="243"/>
      <c r="MEX254" s="243"/>
      <c r="MEY254" s="243"/>
      <c r="MEZ254" s="243"/>
      <c r="MFA254" s="243"/>
      <c r="MFB254" s="243"/>
      <c r="MFC254" s="243"/>
      <c r="MFD254" s="243"/>
      <c r="MFE254" s="243"/>
      <c r="MFF254" s="243"/>
      <c r="MFG254" s="243"/>
      <c r="MFH254" s="243"/>
      <c r="MFI254" s="243"/>
      <c r="MFJ254" s="243"/>
      <c r="MFK254" s="243"/>
      <c r="MFL254" s="243"/>
      <c r="MFM254" s="243"/>
      <c r="MFN254" s="243"/>
      <c r="MFO254" s="243"/>
      <c r="MFP254" s="243"/>
      <c r="MFQ254" s="243"/>
      <c r="MFR254" s="243"/>
      <c r="MFS254" s="243"/>
      <c r="MFT254" s="243"/>
      <c r="MFU254" s="243"/>
      <c r="MFV254" s="243"/>
      <c r="MFW254" s="243"/>
      <c r="MFX254" s="243"/>
      <c r="MFY254" s="243"/>
      <c r="MFZ254" s="243"/>
      <c r="MGA254" s="243"/>
      <c r="MGB254" s="243"/>
      <c r="MGC254" s="243"/>
      <c r="MGD254" s="243"/>
      <c r="MGE254" s="243"/>
      <c r="MGF254" s="243"/>
      <c r="MGG254" s="243"/>
      <c r="MGH254" s="243"/>
      <c r="MGI254" s="243"/>
      <c r="MGJ254" s="243"/>
      <c r="MGK254" s="243"/>
      <c r="MGL254" s="243"/>
      <c r="MGM254" s="243"/>
      <c r="MGN254" s="243"/>
      <c r="MGO254" s="243"/>
      <c r="MGP254" s="243"/>
      <c r="MGQ254" s="243"/>
      <c r="MGR254" s="243"/>
      <c r="MGS254" s="243"/>
      <c r="MGT254" s="243"/>
      <c r="MGU254" s="243"/>
      <c r="MGV254" s="243"/>
      <c r="MGW254" s="243"/>
      <c r="MGX254" s="243"/>
      <c r="MGY254" s="243"/>
      <c r="MGZ254" s="243"/>
      <c r="MHA254" s="243"/>
      <c r="MHB254" s="243"/>
      <c r="MHC254" s="243"/>
      <c r="MHD254" s="243"/>
      <c r="MHE254" s="243"/>
      <c r="MHF254" s="243"/>
      <c r="MHG254" s="243"/>
      <c r="MHH254" s="243"/>
      <c r="MHI254" s="243"/>
      <c r="MHJ254" s="243"/>
      <c r="MHK254" s="243"/>
      <c r="MHL254" s="243"/>
      <c r="MHM254" s="243"/>
      <c r="MHN254" s="243"/>
      <c r="MHO254" s="243"/>
      <c r="MHP254" s="243"/>
      <c r="MHQ254" s="243"/>
      <c r="MHR254" s="243"/>
      <c r="MHS254" s="243"/>
      <c r="MHT254" s="243"/>
      <c r="MHU254" s="243"/>
      <c r="MHV254" s="243"/>
      <c r="MHW254" s="243"/>
      <c r="MHX254" s="243"/>
      <c r="MHY254" s="243"/>
      <c r="MHZ254" s="243"/>
      <c r="MIA254" s="243"/>
      <c r="MIB254" s="243"/>
      <c r="MIC254" s="243"/>
      <c r="MID254" s="243"/>
      <c r="MIE254" s="243"/>
      <c r="MIF254" s="243"/>
      <c r="MIG254" s="243"/>
      <c r="MIH254" s="243"/>
      <c r="MII254" s="243"/>
      <c r="MIJ254" s="243"/>
      <c r="MIK254" s="243"/>
      <c r="MIL254" s="243"/>
      <c r="MIM254" s="243"/>
      <c r="MIN254" s="243"/>
      <c r="MIO254" s="243"/>
      <c r="MIP254" s="243"/>
      <c r="MIQ254" s="243"/>
      <c r="MIR254" s="243"/>
      <c r="MIS254" s="243"/>
      <c r="MIT254" s="243"/>
      <c r="MIU254" s="243"/>
      <c r="MIV254" s="243"/>
      <c r="MIW254" s="243"/>
      <c r="MIX254" s="243"/>
      <c r="MIY254" s="243"/>
      <c r="MIZ254" s="243"/>
      <c r="MJA254" s="243"/>
      <c r="MJB254" s="243"/>
      <c r="MJC254" s="243"/>
      <c r="MJD254" s="243"/>
      <c r="MJE254" s="243"/>
      <c r="MJF254" s="243"/>
      <c r="MJG254" s="243"/>
      <c r="MJH254" s="243"/>
      <c r="MJI254" s="243"/>
      <c r="MJJ254" s="243"/>
      <c r="MJK254" s="243"/>
      <c r="MJL254" s="243"/>
      <c r="MJM254" s="243"/>
      <c r="MJN254" s="243"/>
      <c r="MJO254" s="243"/>
      <c r="MJP254" s="243"/>
      <c r="MJQ254" s="243"/>
      <c r="MJR254" s="243"/>
      <c r="MJS254" s="243"/>
      <c r="MJT254" s="243"/>
      <c r="MJU254" s="243"/>
      <c r="MJV254" s="243"/>
      <c r="MJW254" s="243"/>
      <c r="MJX254" s="243"/>
      <c r="MJY254" s="243"/>
      <c r="MJZ254" s="243"/>
      <c r="MKA254" s="243"/>
      <c r="MKB254" s="243"/>
      <c r="MKC254" s="243"/>
      <c r="MKD254" s="243"/>
      <c r="MKE254" s="243"/>
      <c r="MKF254" s="243"/>
      <c r="MKG254" s="243"/>
      <c r="MKH254" s="243"/>
      <c r="MKI254" s="243"/>
      <c r="MKJ254" s="243"/>
      <c r="MKK254" s="243"/>
      <c r="MKL254" s="243"/>
      <c r="MKM254" s="243"/>
      <c r="MKN254" s="243"/>
      <c r="MKO254" s="243"/>
      <c r="MKP254" s="243"/>
      <c r="MKQ254" s="243"/>
      <c r="MKR254" s="243"/>
      <c r="MKS254" s="243"/>
      <c r="MKT254" s="243"/>
      <c r="MKU254" s="243"/>
      <c r="MKV254" s="243"/>
      <c r="MKW254" s="243"/>
      <c r="MKX254" s="243"/>
      <c r="MKY254" s="243"/>
      <c r="MKZ254" s="243"/>
      <c r="MLA254" s="243"/>
      <c r="MLB254" s="243"/>
      <c r="MLC254" s="243"/>
      <c r="MLD254" s="243"/>
      <c r="MLE254" s="243"/>
      <c r="MLF254" s="243"/>
      <c r="MLG254" s="243"/>
      <c r="MLH254" s="243"/>
      <c r="MLI254" s="243"/>
      <c r="MLJ254" s="243"/>
      <c r="MLK254" s="243"/>
      <c r="MLL254" s="243"/>
      <c r="MLM254" s="243"/>
      <c r="MLN254" s="243"/>
      <c r="MLO254" s="243"/>
      <c r="MLP254" s="243"/>
      <c r="MLQ254" s="243"/>
      <c r="MLR254" s="243"/>
      <c r="MLS254" s="243"/>
      <c r="MLT254" s="243"/>
      <c r="MLU254" s="243"/>
      <c r="MLV254" s="243"/>
      <c r="MLW254" s="243"/>
      <c r="MLX254" s="243"/>
      <c r="MLY254" s="243"/>
      <c r="MLZ254" s="243"/>
      <c r="MMA254" s="243"/>
      <c r="MMB254" s="243"/>
      <c r="MMC254" s="243"/>
      <c r="MMD254" s="243"/>
      <c r="MME254" s="243"/>
      <c r="MMF254" s="243"/>
      <c r="MMG254" s="243"/>
      <c r="MMH254" s="243"/>
      <c r="MMI254" s="243"/>
      <c r="MMJ254" s="243"/>
      <c r="MMK254" s="243"/>
      <c r="MML254" s="243"/>
      <c r="MMM254" s="243"/>
      <c r="MMN254" s="243"/>
      <c r="MMO254" s="243"/>
      <c r="MMP254" s="243"/>
      <c r="MMQ254" s="243"/>
      <c r="MMR254" s="243"/>
      <c r="MMS254" s="243"/>
      <c r="MMT254" s="243"/>
      <c r="MMU254" s="243"/>
      <c r="MMV254" s="243"/>
      <c r="MMW254" s="243"/>
      <c r="MMX254" s="243"/>
      <c r="MMY254" s="243"/>
      <c r="MMZ254" s="243"/>
      <c r="MNA254" s="243"/>
      <c r="MNB254" s="243"/>
      <c r="MNC254" s="243"/>
      <c r="MND254" s="243"/>
      <c r="MNE254" s="243"/>
      <c r="MNF254" s="243"/>
      <c r="MNG254" s="243"/>
      <c r="MNH254" s="243"/>
      <c r="MNI254" s="243"/>
      <c r="MNJ254" s="243"/>
      <c r="MNK254" s="243"/>
      <c r="MNL254" s="243"/>
      <c r="MNM254" s="243"/>
      <c r="MNN254" s="243"/>
      <c r="MNO254" s="243"/>
      <c r="MNP254" s="243"/>
      <c r="MNQ254" s="243"/>
      <c r="MNR254" s="243"/>
      <c r="MNS254" s="243"/>
      <c r="MNT254" s="243"/>
      <c r="MNU254" s="243"/>
      <c r="MNV254" s="243"/>
      <c r="MNW254" s="243"/>
      <c r="MNX254" s="243"/>
      <c r="MNY254" s="243"/>
      <c r="MNZ254" s="243"/>
      <c r="MOA254" s="243"/>
      <c r="MOB254" s="243"/>
      <c r="MOC254" s="243"/>
      <c r="MOD254" s="243"/>
      <c r="MOE254" s="243"/>
      <c r="MOF254" s="243"/>
      <c r="MOG254" s="243"/>
      <c r="MOH254" s="243"/>
      <c r="MOI254" s="243"/>
      <c r="MOJ254" s="243"/>
      <c r="MOK254" s="243"/>
      <c r="MOL254" s="243"/>
      <c r="MOM254" s="243"/>
      <c r="MON254" s="243"/>
      <c r="MOO254" s="243"/>
      <c r="MOP254" s="243"/>
      <c r="MOQ254" s="243"/>
      <c r="MOR254" s="243"/>
      <c r="MOS254" s="243"/>
      <c r="MOT254" s="243"/>
      <c r="MOU254" s="243"/>
      <c r="MOV254" s="243"/>
      <c r="MOW254" s="243"/>
      <c r="MOX254" s="243"/>
      <c r="MOY254" s="243"/>
      <c r="MOZ254" s="243"/>
      <c r="MPA254" s="243"/>
      <c r="MPB254" s="243"/>
      <c r="MPC254" s="243"/>
      <c r="MPD254" s="243"/>
      <c r="MPE254" s="243"/>
      <c r="MPF254" s="243"/>
      <c r="MPG254" s="243"/>
      <c r="MPH254" s="243"/>
      <c r="MPI254" s="243"/>
      <c r="MPJ254" s="243"/>
      <c r="MPK254" s="243"/>
      <c r="MPL254" s="243"/>
      <c r="MPM254" s="243"/>
      <c r="MPN254" s="243"/>
      <c r="MPO254" s="243"/>
      <c r="MPP254" s="243"/>
      <c r="MPQ254" s="243"/>
      <c r="MPR254" s="243"/>
      <c r="MPS254" s="243"/>
      <c r="MPT254" s="243"/>
      <c r="MPU254" s="243"/>
      <c r="MPV254" s="243"/>
      <c r="MPW254" s="243"/>
      <c r="MPX254" s="243"/>
      <c r="MPY254" s="243"/>
      <c r="MPZ254" s="243"/>
      <c r="MQA254" s="243"/>
      <c r="MQB254" s="243"/>
      <c r="MQC254" s="243"/>
      <c r="MQD254" s="243"/>
      <c r="MQE254" s="243"/>
      <c r="MQF254" s="243"/>
      <c r="MQG254" s="243"/>
      <c r="MQH254" s="243"/>
      <c r="MQI254" s="243"/>
      <c r="MQJ254" s="243"/>
      <c r="MQK254" s="243"/>
      <c r="MQL254" s="243"/>
      <c r="MQM254" s="243"/>
      <c r="MQN254" s="243"/>
      <c r="MQO254" s="243"/>
      <c r="MQP254" s="243"/>
      <c r="MQQ254" s="243"/>
      <c r="MQR254" s="243"/>
      <c r="MQS254" s="243"/>
      <c r="MQT254" s="243"/>
      <c r="MQU254" s="243"/>
      <c r="MQV254" s="243"/>
      <c r="MQW254" s="243"/>
      <c r="MQX254" s="243"/>
      <c r="MQY254" s="243"/>
      <c r="MQZ254" s="243"/>
      <c r="MRA254" s="243"/>
      <c r="MRB254" s="243"/>
      <c r="MRC254" s="243"/>
      <c r="MRD254" s="243"/>
      <c r="MRE254" s="243"/>
      <c r="MRF254" s="243"/>
      <c r="MRG254" s="243"/>
      <c r="MRH254" s="243"/>
      <c r="MRI254" s="243"/>
      <c r="MRJ254" s="243"/>
      <c r="MRK254" s="243"/>
      <c r="MRL254" s="243"/>
      <c r="MRM254" s="243"/>
      <c r="MRN254" s="243"/>
      <c r="MRO254" s="243"/>
      <c r="MRP254" s="243"/>
      <c r="MRQ254" s="243"/>
      <c r="MRR254" s="243"/>
      <c r="MRS254" s="243"/>
      <c r="MRT254" s="243"/>
      <c r="MRU254" s="243"/>
      <c r="MRV254" s="243"/>
      <c r="MRW254" s="243"/>
      <c r="MRX254" s="243"/>
      <c r="MRY254" s="243"/>
      <c r="MRZ254" s="243"/>
      <c r="MSA254" s="243"/>
      <c r="MSB254" s="243"/>
      <c r="MSC254" s="243"/>
      <c r="MSD254" s="243"/>
      <c r="MSE254" s="243"/>
      <c r="MSF254" s="243"/>
      <c r="MSG254" s="243"/>
      <c r="MSH254" s="243"/>
      <c r="MSI254" s="243"/>
      <c r="MSJ254" s="243"/>
      <c r="MSK254" s="243"/>
      <c r="MSL254" s="243"/>
      <c r="MSM254" s="243"/>
      <c r="MSN254" s="243"/>
      <c r="MSO254" s="243"/>
      <c r="MSP254" s="243"/>
      <c r="MSQ254" s="243"/>
      <c r="MSR254" s="243"/>
      <c r="MSS254" s="243"/>
      <c r="MST254" s="243"/>
      <c r="MSU254" s="243"/>
      <c r="MSV254" s="243"/>
      <c r="MSW254" s="243"/>
      <c r="MSX254" s="243"/>
      <c r="MSY254" s="243"/>
      <c r="MSZ254" s="243"/>
      <c r="MTA254" s="243"/>
      <c r="MTB254" s="243"/>
      <c r="MTC254" s="243"/>
      <c r="MTD254" s="243"/>
      <c r="MTE254" s="243"/>
      <c r="MTF254" s="243"/>
      <c r="MTG254" s="243"/>
      <c r="MTH254" s="243"/>
      <c r="MTI254" s="243"/>
      <c r="MTJ254" s="243"/>
      <c r="MTK254" s="243"/>
      <c r="MTL254" s="243"/>
      <c r="MTM254" s="243"/>
      <c r="MTN254" s="243"/>
      <c r="MTO254" s="243"/>
      <c r="MTP254" s="243"/>
      <c r="MTQ254" s="243"/>
      <c r="MTR254" s="243"/>
      <c r="MTS254" s="243"/>
      <c r="MTT254" s="243"/>
      <c r="MTU254" s="243"/>
      <c r="MTV254" s="243"/>
      <c r="MTW254" s="243"/>
      <c r="MTX254" s="243"/>
      <c r="MTY254" s="243"/>
      <c r="MTZ254" s="243"/>
      <c r="MUA254" s="243"/>
      <c r="MUB254" s="243"/>
      <c r="MUC254" s="243"/>
      <c r="MUD254" s="243"/>
      <c r="MUE254" s="243"/>
      <c r="MUF254" s="243"/>
      <c r="MUG254" s="243"/>
      <c r="MUH254" s="243"/>
      <c r="MUI254" s="243"/>
      <c r="MUJ254" s="243"/>
      <c r="MUK254" s="243"/>
      <c r="MUL254" s="243"/>
      <c r="MUM254" s="243"/>
      <c r="MUN254" s="243"/>
      <c r="MUO254" s="243"/>
      <c r="MUP254" s="243"/>
      <c r="MUQ254" s="243"/>
      <c r="MUR254" s="243"/>
      <c r="MUS254" s="243"/>
      <c r="MUT254" s="243"/>
      <c r="MUU254" s="243"/>
      <c r="MUV254" s="243"/>
      <c r="MUW254" s="243"/>
      <c r="MUX254" s="243"/>
      <c r="MUY254" s="243"/>
      <c r="MUZ254" s="243"/>
      <c r="MVA254" s="243"/>
      <c r="MVB254" s="243"/>
      <c r="MVC254" s="243"/>
      <c r="MVD254" s="243"/>
      <c r="MVE254" s="243"/>
      <c r="MVF254" s="243"/>
      <c r="MVG254" s="243"/>
      <c r="MVH254" s="243"/>
      <c r="MVI254" s="243"/>
      <c r="MVJ254" s="243"/>
      <c r="MVK254" s="243"/>
      <c r="MVL254" s="243"/>
      <c r="MVM254" s="243"/>
      <c r="MVN254" s="243"/>
      <c r="MVO254" s="243"/>
      <c r="MVP254" s="243"/>
      <c r="MVQ254" s="243"/>
      <c r="MVR254" s="243"/>
      <c r="MVS254" s="243"/>
      <c r="MVT254" s="243"/>
      <c r="MVU254" s="243"/>
      <c r="MVV254" s="243"/>
      <c r="MVW254" s="243"/>
      <c r="MVX254" s="243"/>
      <c r="MVY254" s="243"/>
      <c r="MVZ254" s="243"/>
      <c r="MWA254" s="243"/>
      <c r="MWB254" s="243"/>
      <c r="MWC254" s="243"/>
      <c r="MWD254" s="243"/>
      <c r="MWE254" s="243"/>
      <c r="MWF254" s="243"/>
      <c r="MWG254" s="243"/>
      <c r="MWH254" s="243"/>
      <c r="MWI254" s="243"/>
      <c r="MWJ254" s="243"/>
      <c r="MWK254" s="243"/>
      <c r="MWL254" s="243"/>
      <c r="MWM254" s="243"/>
      <c r="MWN254" s="243"/>
      <c r="MWO254" s="243"/>
      <c r="MWP254" s="243"/>
      <c r="MWQ254" s="243"/>
      <c r="MWR254" s="243"/>
      <c r="MWS254" s="243"/>
      <c r="MWT254" s="243"/>
      <c r="MWU254" s="243"/>
      <c r="MWV254" s="243"/>
      <c r="MWW254" s="243"/>
      <c r="MWX254" s="243"/>
      <c r="MWY254" s="243"/>
      <c r="MWZ254" s="243"/>
      <c r="MXA254" s="243"/>
      <c r="MXB254" s="243"/>
      <c r="MXC254" s="243"/>
      <c r="MXD254" s="243"/>
      <c r="MXE254" s="243"/>
      <c r="MXF254" s="243"/>
      <c r="MXG254" s="243"/>
      <c r="MXH254" s="243"/>
      <c r="MXI254" s="243"/>
      <c r="MXJ254" s="243"/>
      <c r="MXK254" s="243"/>
      <c r="MXL254" s="243"/>
      <c r="MXM254" s="243"/>
      <c r="MXN254" s="243"/>
      <c r="MXO254" s="243"/>
      <c r="MXP254" s="243"/>
      <c r="MXQ254" s="243"/>
      <c r="MXR254" s="243"/>
      <c r="MXS254" s="243"/>
      <c r="MXT254" s="243"/>
      <c r="MXU254" s="243"/>
      <c r="MXV254" s="243"/>
      <c r="MXW254" s="243"/>
      <c r="MXX254" s="243"/>
      <c r="MXY254" s="243"/>
      <c r="MXZ254" s="243"/>
      <c r="MYA254" s="243"/>
      <c r="MYB254" s="243"/>
      <c r="MYC254" s="243"/>
      <c r="MYD254" s="243"/>
      <c r="MYE254" s="243"/>
      <c r="MYF254" s="243"/>
      <c r="MYG254" s="243"/>
      <c r="MYH254" s="243"/>
      <c r="MYI254" s="243"/>
      <c r="MYJ254" s="243"/>
      <c r="MYK254" s="243"/>
      <c r="MYL254" s="243"/>
      <c r="MYM254" s="243"/>
      <c r="MYN254" s="243"/>
      <c r="MYO254" s="243"/>
      <c r="MYP254" s="243"/>
      <c r="MYQ254" s="243"/>
      <c r="MYR254" s="243"/>
      <c r="MYS254" s="243"/>
      <c r="MYT254" s="243"/>
      <c r="MYU254" s="243"/>
      <c r="MYV254" s="243"/>
      <c r="MYW254" s="243"/>
      <c r="MYX254" s="243"/>
      <c r="MYY254" s="243"/>
      <c r="MYZ254" s="243"/>
      <c r="MZA254" s="243"/>
      <c r="MZB254" s="243"/>
      <c r="MZC254" s="243"/>
      <c r="MZD254" s="243"/>
      <c r="MZE254" s="243"/>
      <c r="MZF254" s="243"/>
      <c r="MZG254" s="243"/>
      <c r="MZH254" s="243"/>
      <c r="MZI254" s="243"/>
      <c r="MZJ254" s="243"/>
      <c r="MZK254" s="243"/>
      <c r="MZL254" s="243"/>
      <c r="MZM254" s="243"/>
      <c r="MZN254" s="243"/>
      <c r="MZO254" s="243"/>
      <c r="MZP254" s="243"/>
      <c r="MZQ254" s="243"/>
      <c r="MZR254" s="243"/>
      <c r="MZS254" s="243"/>
      <c r="MZT254" s="243"/>
      <c r="MZU254" s="243"/>
      <c r="MZV254" s="243"/>
      <c r="MZW254" s="243"/>
      <c r="MZX254" s="243"/>
      <c r="MZY254" s="243"/>
      <c r="MZZ254" s="243"/>
      <c r="NAA254" s="243"/>
      <c r="NAB254" s="243"/>
      <c r="NAC254" s="243"/>
      <c r="NAD254" s="243"/>
      <c r="NAE254" s="243"/>
      <c r="NAF254" s="243"/>
      <c r="NAG254" s="243"/>
      <c r="NAH254" s="243"/>
      <c r="NAI254" s="243"/>
      <c r="NAJ254" s="243"/>
      <c r="NAK254" s="243"/>
      <c r="NAL254" s="243"/>
      <c r="NAM254" s="243"/>
      <c r="NAN254" s="243"/>
      <c r="NAO254" s="243"/>
      <c r="NAP254" s="243"/>
      <c r="NAQ254" s="243"/>
      <c r="NAR254" s="243"/>
      <c r="NAS254" s="243"/>
      <c r="NAT254" s="243"/>
      <c r="NAU254" s="243"/>
      <c r="NAV254" s="243"/>
      <c r="NAW254" s="243"/>
      <c r="NAX254" s="243"/>
      <c r="NAY254" s="243"/>
      <c r="NAZ254" s="243"/>
      <c r="NBA254" s="243"/>
      <c r="NBB254" s="243"/>
      <c r="NBC254" s="243"/>
      <c r="NBD254" s="243"/>
      <c r="NBE254" s="243"/>
      <c r="NBF254" s="243"/>
      <c r="NBG254" s="243"/>
      <c r="NBH254" s="243"/>
      <c r="NBI254" s="243"/>
      <c r="NBJ254" s="243"/>
      <c r="NBK254" s="243"/>
      <c r="NBL254" s="243"/>
      <c r="NBM254" s="243"/>
      <c r="NBN254" s="243"/>
      <c r="NBO254" s="243"/>
      <c r="NBP254" s="243"/>
      <c r="NBQ254" s="243"/>
      <c r="NBR254" s="243"/>
      <c r="NBS254" s="243"/>
      <c r="NBT254" s="243"/>
      <c r="NBU254" s="243"/>
      <c r="NBV254" s="243"/>
      <c r="NBW254" s="243"/>
      <c r="NBX254" s="243"/>
      <c r="NBY254" s="243"/>
      <c r="NBZ254" s="243"/>
      <c r="NCA254" s="243"/>
      <c r="NCB254" s="243"/>
      <c r="NCC254" s="243"/>
      <c r="NCD254" s="243"/>
      <c r="NCE254" s="243"/>
      <c r="NCF254" s="243"/>
      <c r="NCG254" s="243"/>
      <c r="NCH254" s="243"/>
      <c r="NCI254" s="243"/>
      <c r="NCJ254" s="243"/>
      <c r="NCK254" s="243"/>
      <c r="NCL254" s="243"/>
      <c r="NCM254" s="243"/>
      <c r="NCN254" s="243"/>
      <c r="NCO254" s="243"/>
      <c r="NCP254" s="243"/>
      <c r="NCQ254" s="243"/>
      <c r="NCR254" s="243"/>
      <c r="NCS254" s="243"/>
      <c r="NCT254" s="243"/>
      <c r="NCU254" s="243"/>
      <c r="NCV254" s="243"/>
      <c r="NCW254" s="243"/>
      <c r="NCX254" s="243"/>
      <c r="NCY254" s="243"/>
      <c r="NCZ254" s="243"/>
      <c r="NDA254" s="243"/>
      <c r="NDB254" s="243"/>
      <c r="NDC254" s="243"/>
      <c r="NDD254" s="243"/>
      <c r="NDE254" s="243"/>
      <c r="NDF254" s="243"/>
      <c r="NDG254" s="243"/>
      <c r="NDH254" s="243"/>
      <c r="NDI254" s="243"/>
      <c r="NDJ254" s="243"/>
      <c r="NDK254" s="243"/>
      <c r="NDL254" s="243"/>
      <c r="NDM254" s="243"/>
      <c r="NDN254" s="243"/>
      <c r="NDO254" s="243"/>
      <c r="NDP254" s="243"/>
      <c r="NDQ254" s="243"/>
      <c r="NDR254" s="243"/>
      <c r="NDS254" s="243"/>
      <c r="NDT254" s="243"/>
      <c r="NDU254" s="243"/>
      <c r="NDV254" s="243"/>
      <c r="NDW254" s="243"/>
      <c r="NDX254" s="243"/>
      <c r="NDY254" s="243"/>
      <c r="NDZ254" s="243"/>
      <c r="NEA254" s="243"/>
      <c r="NEB254" s="243"/>
      <c r="NEC254" s="243"/>
      <c r="NED254" s="243"/>
      <c r="NEE254" s="243"/>
      <c r="NEF254" s="243"/>
      <c r="NEG254" s="243"/>
      <c r="NEH254" s="243"/>
      <c r="NEI254" s="243"/>
      <c r="NEJ254" s="243"/>
      <c r="NEK254" s="243"/>
      <c r="NEL254" s="243"/>
      <c r="NEM254" s="243"/>
      <c r="NEN254" s="243"/>
      <c r="NEO254" s="243"/>
      <c r="NEP254" s="243"/>
      <c r="NEQ254" s="243"/>
      <c r="NER254" s="243"/>
      <c r="NES254" s="243"/>
      <c r="NET254" s="243"/>
      <c r="NEU254" s="243"/>
      <c r="NEV254" s="243"/>
      <c r="NEW254" s="243"/>
      <c r="NEX254" s="243"/>
      <c r="NEY254" s="243"/>
      <c r="NEZ254" s="243"/>
      <c r="NFA254" s="243"/>
      <c r="NFB254" s="243"/>
      <c r="NFC254" s="243"/>
      <c r="NFD254" s="243"/>
      <c r="NFE254" s="243"/>
      <c r="NFF254" s="243"/>
      <c r="NFG254" s="243"/>
      <c r="NFH254" s="243"/>
      <c r="NFI254" s="243"/>
      <c r="NFJ254" s="243"/>
      <c r="NFK254" s="243"/>
      <c r="NFL254" s="243"/>
      <c r="NFM254" s="243"/>
      <c r="NFN254" s="243"/>
      <c r="NFO254" s="243"/>
      <c r="NFP254" s="243"/>
      <c r="NFQ254" s="243"/>
      <c r="NFR254" s="243"/>
      <c r="NFS254" s="243"/>
      <c r="NFT254" s="243"/>
      <c r="NFU254" s="243"/>
      <c r="NFV254" s="243"/>
      <c r="NFW254" s="243"/>
      <c r="NFX254" s="243"/>
      <c r="NFY254" s="243"/>
      <c r="NFZ254" s="243"/>
      <c r="NGA254" s="243"/>
      <c r="NGB254" s="243"/>
      <c r="NGC254" s="243"/>
      <c r="NGD254" s="243"/>
      <c r="NGE254" s="243"/>
      <c r="NGF254" s="243"/>
      <c r="NGG254" s="243"/>
      <c r="NGH254" s="243"/>
      <c r="NGI254" s="243"/>
      <c r="NGJ254" s="243"/>
      <c r="NGK254" s="243"/>
      <c r="NGL254" s="243"/>
      <c r="NGM254" s="243"/>
      <c r="NGN254" s="243"/>
      <c r="NGO254" s="243"/>
      <c r="NGP254" s="243"/>
      <c r="NGQ254" s="243"/>
      <c r="NGR254" s="243"/>
      <c r="NGS254" s="243"/>
      <c r="NGT254" s="243"/>
      <c r="NGU254" s="243"/>
      <c r="NGV254" s="243"/>
      <c r="NGW254" s="243"/>
      <c r="NGX254" s="243"/>
      <c r="NGY254" s="243"/>
      <c r="NGZ254" s="243"/>
      <c r="NHA254" s="243"/>
      <c r="NHB254" s="243"/>
      <c r="NHC254" s="243"/>
      <c r="NHD254" s="243"/>
      <c r="NHE254" s="243"/>
      <c r="NHF254" s="243"/>
      <c r="NHG254" s="243"/>
      <c r="NHH254" s="243"/>
      <c r="NHI254" s="243"/>
      <c r="NHJ254" s="243"/>
      <c r="NHK254" s="243"/>
      <c r="NHL254" s="243"/>
      <c r="NHM254" s="243"/>
      <c r="NHN254" s="243"/>
      <c r="NHO254" s="243"/>
      <c r="NHP254" s="243"/>
      <c r="NHQ254" s="243"/>
      <c r="NHR254" s="243"/>
      <c r="NHS254" s="243"/>
      <c r="NHT254" s="243"/>
      <c r="NHU254" s="243"/>
      <c r="NHV254" s="243"/>
      <c r="NHW254" s="243"/>
      <c r="NHX254" s="243"/>
      <c r="NHY254" s="243"/>
      <c r="NHZ254" s="243"/>
      <c r="NIA254" s="243"/>
      <c r="NIB254" s="243"/>
      <c r="NIC254" s="243"/>
      <c r="NID254" s="243"/>
      <c r="NIE254" s="243"/>
      <c r="NIF254" s="243"/>
      <c r="NIG254" s="243"/>
      <c r="NIH254" s="243"/>
      <c r="NII254" s="243"/>
      <c r="NIJ254" s="243"/>
      <c r="NIK254" s="243"/>
      <c r="NIL254" s="243"/>
      <c r="NIM254" s="243"/>
      <c r="NIN254" s="243"/>
      <c r="NIO254" s="243"/>
      <c r="NIP254" s="243"/>
      <c r="NIQ254" s="243"/>
      <c r="NIR254" s="243"/>
      <c r="NIS254" s="243"/>
      <c r="NIT254" s="243"/>
      <c r="NIU254" s="243"/>
      <c r="NIV254" s="243"/>
      <c r="NIW254" s="243"/>
      <c r="NIX254" s="243"/>
      <c r="NIY254" s="243"/>
      <c r="NIZ254" s="243"/>
      <c r="NJA254" s="243"/>
      <c r="NJB254" s="243"/>
      <c r="NJC254" s="243"/>
      <c r="NJD254" s="243"/>
      <c r="NJE254" s="243"/>
      <c r="NJF254" s="243"/>
      <c r="NJG254" s="243"/>
      <c r="NJH254" s="243"/>
      <c r="NJI254" s="243"/>
      <c r="NJJ254" s="243"/>
      <c r="NJK254" s="243"/>
      <c r="NJL254" s="243"/>
      <c r="NJM254" s="243"/>
      <c r="NJN254" s="243"/>
      <c r="NJO254" s="243"/>
      <c r="NJP254" s="243"/>
      <c r="NJQ254" s="243"/>
      <c r="NJR254" s="243"/>
      <c r="NJS254" s="243"/>
      <c r="NJT254" s="243"/>
      <c r="NJU254" s="243"/>
      <c r="NJV254" s="243"/>
      <c r="NJW254" s="243"/>
      <c r="NJX254" s="243"/>
      <c r="NJY254" s="243"/>
      <c r="NJZ254" s="243"/>
      <c r="NKA254" s="243"/>
      <c r="NKB254" s="243"/>
      <c r="NKC254" s="243"/>
      <c r="NKD254" s="243"/>
      <c r="NKE254" s="243"/>
      <c r="NKF254" s="243"/>
      <c r="NKG254" s="243"/>
      <c r="NKH254" s="243"/>
      <c r="NKI254" s="243"/>
      <c r="NKJ254" s="243"/>
      <c r="NKK254" s="243"/>
      <c r="NKL254" s="243"/>
      <c r="NKM254" s="243"/>
      <c r="NKN254" s="243"/>
      <c r="NKO254" s="243"/>
      <c r="NKP254" s="243"/>
      <c r="NKQ254" s="243"/>
      <c r="NKR254" s="243"/>
      <c r="NKS254" s="243"/>
      <c r="NKT254" s="243"/>
      <c r="NKU254" s="243"/>
      <c r="NKV254" s="243"/>
      <c r="NKW254" s="243"/>
      <c r="NKX254" s="243"/>
      <c r="NKY254" s="243"/>
      <c r="NKZ254" s="243"/>
      <c r="NLA254" s="243"/>
      <c r="NLB254" s="243"/>
      <c r="NLC254" s="243"/>
      <c r="NLD254" s="243"/>
      <c r="NLE254" s="243"/>
      <c r="NLF254" s="243"/>
      <c r="NLG254" s="243"/>
      <c r="NLH254" s="243"/>
      <c r="NLI254" s="243"/>
      <c r="NLJ254" s="243"/>
      <c r="NLK254" s="243"/>
      <c r="NLL254" s="243"/>
      <c r="NLM254" s="243"/>
      <c r="NLN254" s="243"/>
      <c r="NLO254" s="243"/>
      <c r="NLP254" s="243"/>
      <c r="NLQ254" s="243"/>
      <c r="NLR254" s="243"/>
      <c r="NLS254" s="243"/>
      <c r="NLT254" s="243"/>
      <c r="NLU254" s="243"/>
      <c r="NLV254" s="243"/>
      <c r="NLW254" s="243"/>
      <c r="NLX254" s="243"/>
      <c r="NLY254" s="243"/>
      <c r="NLZ254" s="243"/>
      <c r="NMA254" s="243"/>
      <c r="NMB254" s="243"/>
      <c r="NMC254" s="243"/>
      <c r="NMD254" s="243"/>
      <c r="NME254" s="243"/>
      <c r="NMF254" s="243"/>
      <c r="NMG254" s="243"/>
      <c r="NMH254" s="243"/>
      <c r="NMI254" s="243"/>
      <c r="NMJ254" s="243"/>
      <c r="NMK254" s="243"/>
      <c r="NML254" s="243"/>
      <c r="NMM254" s="243"/>
      <c r="NMN254" s="243"/>
      <c r="NMO254" s="243"/>
      <c r="NMP254" s="243"/>
      <c r="NMQ254" s="243"/>
      <c r="NMR254" s="243"/>
      <c r="NMS254" s="243"/>
      <c r="NMT254" s="243"/>
      <c r="NMU254" s="243"/>
      <c r="NMV254" s="243"/>
      <c r="NMW254" s="243"/>
      <c r="NMX254" s="243"/>
      <c r="NMY254" s="243"/>
      <c r="NMZ254" s="243"/>
      <c r="NNA254" s="243"/>
      <c r="NNB254" s="243"/>
      <c r="NNC254" s="243"/>
      <c r="NND254" s="243"/>
      <c r="NNE254" s="243"/>
      <c r="NNF254" s="243"/>
      <c r="NNG254" s="243"/>
      <c r="NNH254" s="243"/>
      <c r="NNI254" s="243"/>
      <c r="NNJ254" s="243"/>
      <c r="NNK254" s="243"/>
      <c r="NNL254" s="243"/>
      <c r="NNM254" s="243"/>
      <c r="NNN254" s="243"/>
      <c r="NNO254" s="243"/>
      <c r="NNP254" s="243"/>
      <c r="NNQ254" s="243"/>
      <c r="NNR254" s="243"/>
      <c r="NNS254" s="243"/>
      <c r="NNT254" s="243"/>
      <c r="NNU254" s="243"/>
      <c r="NNV254" s="243"/>
      <c r="NNW254" s="243"/>
      <c r="NNX254" s="243"/>
      <c r="NNY254" s="243"/>
      <c r="NNZ254" s="243"/>
      <c r="NOA254" s="243"/>
      <c r="NOB254" s="243"/>
      <c r="NOC254" s="243"/>
      <c r="NOD254" s="243"/>
      <c r="NOE254" s="243"/>
      <c r="NOF254" s="243"/>
      <c r="NOG254" s="243"/>
      <c r="NOH254" s="243"/>
      <c r="NOI254" s="243"/>
      <c r="NOJ254" s="243"/>
      <c r="NOK254" s="243"/>
      <c r="NOL254" s="243"/>
      <c r="NOM254" s="243"/>
      <c r="NON254" s="243"/>
      <c r="NOO254" s="243"/>
      <c r="NOP254" s="243"/>
      <c r="NOQ254" s="243"/>
      <c r="NOR254" s="243"/>
      <c r="NOS254" s="243"/>
      <c r="NOT254" s="243"/>
      <c r="NOU254" s="243"/>
      <c r="NOV254" s="243"/>
      <c r="NOW254" s="243"/>
      <c r="NOX254" s="243"/>
      <c r="NOY254" s="243"/>
      <c r="NOZ254" s="243"/>
      <c r="NPA254" s="243"/>
      <c r="NPB254" s="243"/>
      <c r="NPC254" s="243"/>
      <c r="NPD254" s="243"/>
      <c r="NPE254" s="243"/>
      <c r="NPF254" s="243"/>
      <c r="NPG254" s="243"/>
      <c r="NPH254" s="243"/>
      <c r="NPI254" s="243"/>
      <c r="NPJ254" s="243"/>
      <c r="NPK254" s="243"/>
      <c r="NPL254" s="243"/>
      <c r="NPM254" s="243"/>
      <c r="NPN254" s="243"/>
      <c r="NPO254" s="243"/>
      <c r="NPP254" s="243"/>
      <c r="NPQ254" s="243"/>
      <c r="NPR254" s="243"/>
      <c r="NPS254" s="243"/>
      <c r="NPT254" s="243"/>
      <c r="NPU254" s="243"/>
      <c r="NPV254" s="243"/>
      <c r="NPW254" s="243"/>
      <c r="NPX254" s="243"/>
      <c r="NPY254" s="243"/>
      <c r="NPZ254" s="243"/>
      <c r="NQA254" s="243"/>
      <c r="NQB254" s="243"/>
      <c r="NQC254" s="243"/>
      <c r="NQD254" s="243"/>
      <c r="NQE254" s="243"/>
      <c r="NQF254" s="243"/>
      <c r="NQG254" s="243"/>
      <c r="NQH254" s="243"/>
      <c r="NQI254" s="243"/>
      <c r="NQJ254" s="243"/>
      <c r="NQK254" s="243"/>
      <c r="NQL254" s="243"/>
      <c r="NQM254" s="243"/>
      <c r="NQN254" s="243"/>
      <c r="NQO254" s="243"/>
      <c r="NQP254" s="243"/>
      <c r="NQQ254" s="243"/>
      <c r="NQR254" s="243"/>
      <c r="NQS254" s="243"/>
      <c r="NQT254" s="243"/>
      <c r="NQU254" s="243"/>
      <c r="NQV254" s="243"/>
      <c r="NQW254" s="243"/>
      <c r="NQX254" s="243"/>
      <c r="NQY254" s="243"/>
      <c r="NQZ254" s="243"/>
      <c r="NRA254" s="243"/>
      <c r="NRB254" s="243"/>
      <c r="NRC254" s="243"/>
      <c r="NRD254" s="243"/>
      <c r="NRE254" s="243"/>
      <c r="NRF254" s="243"/>
      <c r="NRG254" s="243"/>
      <c r="NRH254" s="243"/>
      <c r="NRI254" s="243"/>
      <c r="NRJ254" s="243"/>
      <c r="NRK254" s="243"/>
      <c r="NRL254" s="243"/>
      <c r="NRM254" s="243"/>
      <c r="NRN254" s="243"/>
      <c r="NRO254" s="243"/>
      <c r="NRP254" s="243"/>
      <c r="NRQ254" s="243"/>
      <c r="NRR254" s="243"/>
      <c r="NRS254" s="243"/>
      <c r="NRT254" s="243"/>
      <c r="NRU254" s="243"/>
      <c r="NRV254" s="243"/>
      <c r="NRW254" s="243"/>
      <c r="NRX254" s="243"/>
      <c r="NRY254" s="243"/>
      <c r="NRZ254" s="243"/>
      <c r="NSA254" s="243"/>
      <c r="NSB254" s="243"/>
      <c r="NSC254" s="243"/>
      <c r="NSD254" s="243"/>
      <c r="NSE254" s="243"/>
      <c r="NSF254" s="243"/>
      <c r="NSG254" s="243"/>
      <c r="NSH254" s="243"/>
      <c r="NSI254" s="243"/>
      <c r="NSJ254" s="243"/>
      <c r="NSK254" s="243"/>
      <c r="NSL254" s="243"/>
      <c r="NSM254" s="243"/>
      <c r="NSN254" s="243"/>
      <c r="NSO254" s="243"/>
      <c r="NSP254" s="243"/>
      <c r="NSQ254" s="243"/>
      <c r="NSR254" s="243"/>
      <c r="NSS254" s="243"/>
      <c r="NST254" s="243"/>
      <c r="NSU254" s="243"/>
      <c r="NSV254" s="243"/>
      <c r="NSW254" s="243"/>
      <c r="NSX254" s="243"/>
      <c r="NSY254" s="243"/>
      <c r="NSZ254" s="243"/>
      <c r="NTA254" s="243"/>
      <c r="NTB254" s="243"/>
      <c r="NTC254" s="243"/>
      <c r="NTD254" s="243"/>
      <c r="NTE254" s="243"/>
      <c r="NTF254" s="243"/>
      <c r="NTG254" s="243"/>
      <c r="NTH254" s="243"/>
      <c r="NTI254" s="243"/>
      <c r="NTJ254" s="243"/>
      <c r="NTK254" s="243"/>
      <c r="NTL254" s="243"/>
      <c r="NTM254" s="243"/>
      <c r="NTN254" s="243"/>
      <c r="NTO254" s="243"/>
      <c r="NTP254" s="243"/>
      <c r="NTQ254" s="243"/>
      <c r="NTR254" s="243"/>
      <c r="NTS254" s="243"/>
      <c r="NTT254" s="243"/>
      <c r="NTU254" s="243"/>
      <c r="NTV254" s="243"/>
      <c r="NTW254" s="243"/>
      <c r="NTX254" s="243"/>
      <c r="NTY254" s="243"/>
      <c r="NTZ254" s="243"/>
      <c r="NUA254" s="243"/>
      <c r="NUB254" s="243"/>
      <c r="NUC254" s="243"/>
      <c r="NUD254" s="243"/>
      <c r="NUE254" s="243"/>
      <c r="NUF254" s="243"/>
      <c r="NUG254" s="243"/>
      <c r="NUH254" s="243"/>
      <c r="NUI254" s="243"/>
      <c r="NUJ254" s="243"/>
      <c r="NUK254" s="243"/>
      <c r="NUL254" s="243"/>
      <c r="NUM254" s="243"/>
      <c r="NUN254" s="243"/>
      <c r="NUO254" s="243"/>
      <c r="NUP254" s="243"/>
      <c r="NUQ254" s="243"/>
      <c r="NUR254" s="243"/>
      <c r="NUS254" s="243"/>
      <c r="NUT254" s="243"/>
      <c r="NUU254" s="243"/>
      <c r="NUV254" s="243"/>
      <c r="NUW254" s="243"/>
      <c r="NUX254" s="243"/>
      <c r="NUY254" s="243"/>
      <c r="NUZ254" s="243"/>
      <c r="NVA254" s="243"/>
      <c r="NVB254" s="243"/>
      <c r="NVC254" s="243"/>
      <c r="NVD254" s="243"/>
      <c r="NVE254" s="243"/>
      <c r="NVF254" s="243"/>
      <c r="NVG254" s="243"/>
      <c r="NVH254" s="243"/>
      <c r="NVI254" s="243"/>
      <c r="NVJ254" s="243"/>
      <c r="NVK254" s="243"/>
      <c r="NVL254" s="243"/>
      <c r="NVM254" s="243"/>
      <c r="NVN254" s="243"/>
      <c r="NVO254" s="243"/>
      <c r="NVP254" s="243"/>
      <c r="NVQ254" s="243"/>
      <c r="NVR254" s="243"/>
      <c r="NVS254" s="243"/>
      <c r="NVT254" s="243"/>
      <c r="NVU254" s="243"/>
      <c r="NVV254" s="243"/>
      <c r="NVW254" s="243"/>
      <c r="NVX254" s="243"/>
      <c r="NVY254" s="243"/>
      <c r="NVZ254" s="243"/>
      <c r="NWA254" s="243"/>
      <c r="NWB254" s="243"/>
      <c r="NWC254" s="243"/>
      <c r="NWD254" s="243"/>
      <c r="NWE254" s="243"/>
      <c r="NWF254" s="243"/>
      <c r="NWG254" s="243"/>
      <c r="NWH254" s="243"/>
      <c r="NWI254" s="243"/>
      <c r="NWJ254" s="243"/>
      <c r="NWK254" s="243"/>
      <c r="NWL254" s="243"/>
      <c r="NWM254" s="243"/>
      <c r="NWN254" s="243"/>
      <c r="NWO254" s="243"/>
      <c r="NWP254" s="243"/>
      <c r="NWQ254" s="243"/>
      <c r="NWR254" s="243"/>
      <c r="NWS254" s="243"/>
      <c r="NWT254" s="243"/>
      <c r="NWU254" s="243"/>
      <c r="NWV254" s="243"/>
      <c r="NWW254" s="243"/>
      <c r="NWX254" s="243"/>
      <c r="NWY254" s="243"/>
      <c r="NWZ254" s="243"/>
      <c r="NXA254" s="243"/>
      <c r="NXB254" s="243"/>
      <c r="NXC254" s="243"/>
      <c r="NXD254" s="243"/>
      <c r="NXE254" s="243"/>
      <c r="NXF254" s="243"/>
      <c r="NXG254" s="243"/>
      <c r="NXH254" s="243"/>
      <c r="NXI254" s="243"/>
      <c r="NXJ254" s="243"/>
      <c r="NXK254" s="243"/>
      <c r="NXL254" s="243"/>
      <c r="NXM254" s="243"/>
      <c r="NXN254" s="243"/>
      <c r="NXO254" s="243"/>
      <c r="NXP254" s="243"/>
      <c r="NXQ254" s="243"/>
      <c r="NXR254" s="243"/>
      <c r="NXS254" s="243"/>
      <c r="NXT254" s="243"/>
      <c r="NXU254" s="243"/>
      <c r="NXV254" s="243"/>
      <c r="NXW254" s="243"/>
      <c r="NXX254" s="243"/>
      <c r="NXY254" s="243"/>
      <c r="NXZ254" s="243"/>
      <c r="NYA254" s="243"/>
      <c r="NYB254" s="243"/>
      <c r="NYC254" s="243"/>
      <c r="NYD254" s="243"/>
      <c r="NYE254" s="243"/>
      <c r="NYF254" s="243"/>
      <c r="NYG254" s="243"/>
      <c r="NYH254" s="243"/>
      <c r="NYI254" s="243"/>
      <c r="NYJ254" s="243"/>
      <c r="NYK254" s="243"/>
      <c r="NYL254" s="243"/>
      <c r="NYM254" s="243"/>
      <c r="NYN254" s="243"/>
      <c r="NYO254" s="243"/>
      <c r="NYP254" s="243"/>
      <c r="NYQ254" s="243"/>
      <c r="NYR254" s="243"/>
      <c r="NYS254" s="243"/>
      <c r="NYT254" s="243"/>
      <c r="NYU254" s="243"/>
      <c r="NYV254" s="243"/>
      <c r="NYW254" s="243"/>
      <c r="NYX254" s="243"/>
      <c r="NYY254" s="243"/>
      <c r="NYZ254" s="243"/>
      <c r="NZA254" s="243"/>
      <c r="NZB254" s="243"/>
      <c r="NZC254" s="243"/>
      <c r="NZD254" s="243"/>
      <c r="NZE254" s="243"/>
      <c r="NZF254" s="243"/>
      <c r="NZG254" s="243"/>
      <c r="NZH254" s="243"/>
      <c r="NZI254" s="243"/>
      <c r="NZJ254" s="243"/>
      <c r="NZK254" s="243"/>
      <c r="NZL254" s="243"/>
      <c r="NZM254" s="243"/>
      <c r="NZN254" s="243"/>
      <c r="NZO254" s="243"/>
      <c r="NZP254" s="243"/>
      <c r="NZQ254" s="243"/>
      <c r="NZR254" s="243"/>
      <c r="NZS254" s="243"/>
      <c r="NZT254" s="243"/>
      <c r="NZU254" s="243"/>
      <c r="NZV254" s="243"/>
      <c r="NZW254" s="243"/>
      <c r="NZX254" s="243"/>
      <c r="NZY254" s="243"/>
      <c r="NZZ254" s="243"/>
      <c r="OAA254" s="243"/>
      <c r="OAB254" s="243"/>
      <c r="OAC254" s="243"/>
      <c r="OAD254" s="243"/>
      <c r="OAE254" s="243"/>
      <c r="OAF254" s="243"/>
      <c r="OAG254" s="243"/>
      <c r="OAH254" s="243"/>
      <c r="OAI254" s="243"/>
      <c r="OAJ254" s="243"/>
      <c r="OAK254" s="243"/>
      <c r="OAL254" s="243"/>
      <c r="OAM254" s="243"/>
      <c r="OAN254" s="243"/>
      <c r="OAO254" s="243"/>
      <c r="OAP254" s="243"/>
      <c r="OAQ254" s="243"/>
      <c r="OAR254" s="243"/>
      <c r="OAS254" s="243"/>
      <c r="OAT254" s="243"/>
      <c r="OAU254" s="243"/>
      <c r="OAV254" s="243"/>
      <c r="OAW254" s="243"/>
      <c r="OAX254" s="243"/>
      <c r="OAY254" s="243"/>
      <c r="OAZ254" s="243"/>
      <c r="OBA254" s="243"/>
      <c r="OBB254" s="243"/>
      <c r="OBC254" s="243"/>
      <c r="OBD254" s="243"/>
      <c r="OBE254" s="243"/>
      <c r="OBF254" s="243"/>
      <c r="OBG254" s="243"/>
      <c r="OBH254" s="243"/>
      <c r="OBI254" s="243"/>
      <c r="OBJ254" s="243"/>
      <c r="OBK254" s="243"/>
      <c r="OBL254" s="243"/>
      <c r="OBM254" s="243"/>
      <c r="OBN254" s="243"/>
      <c r="OBO254" s="243"/>
      <c r="OBP254" s="243"/>
      <c r="OBQ254" s="243"/>
      <c r="OBR254" s="243"/>
      <c r="OBS254" s="243"/>
      <c r="OBT254" s="243"/>
      <c r="OBU254" s="243"/>
      <c r="OBV254" s="243"/>
      <c r="OBW254" s="243"/>
      <c r="OBX254" s="243"/>
      <c r="OBY254" s="243"/>
      <c r="OBZ254" s="243"/>
      <c r="OCA254" s="243"/>
      <c r="OCB254" s="243"/>
      <c r="OCC254" s="243"/>
      <c r="OCD254" s="243"/>
      <c r="OCE254" s="243"/>
      <c r="OCF254" s="243"/>
      <c r="OCG254" s="243"/>
      <c r="OCH254" s="243"/>
      <c r="OCI254" s="243"/>
      <c r="OCJ254" s="243"/>
      <c r="OCK254" s="243"/>
      <c r="OCL254" s="243"/>
      <c r="OCM254" s="243"/>
      <c r="OCN254" s="243"/>
      <c r="OCO254" s="243"/>
      <c r="OCP254" s="243"/>
      <c r="OCQ254" s="243"/>
      <c r="OCR254" s="243"/>
      <c r="OCS254" s="243"/>
      <c r="OCT254" s="243"/>
      <c r="OCU254" s="243"/>
      <c r="OCV254" s="243"/>
      <c r="OCW254" s="243"/>
      <c r="OCX254" s="243"/>
      <c r="OCY254" s="243"/>
      <c r="OCZ254" s="243"/>
      <c r="ODA254" s="243"/>
      <c r="ODB254" s="243"/>
      <c r="ODC254" s="243"/>
      <c r="ODD254" s="243"/>
      <c r="ODE254" s="243"/>
      <c r="ODF254" s="243"/>
      <c r="ODG254" s="243"/>
      <c r="ODH254" s="243"/>
      <c r="ODI254" s="243"/>
      <c r="ODJ254" s="243"/>
      <c r="ODK254" s="243"/>
      <c r="ODL254" s="243"/>
      <c r="ODM254" s="243"/>
      <c r="ODN254" s="243"/>
      <c r="ODO254" s="243"/>
      <c r="ODP254" s="243"/>
      <c r="ODQ254" s="243"/>
      <c r="ODR254" s="243"/>
      <c r="ODS254" s="243"/>
      <c r="ODT254" s="243"/>
      <c r="ODU254" s="243"/>
      <c r="ODV254" s="243"/>
      <c r="ODW254" s="243"/>
      <c r="ODX254" s="243"/>
      <c r="ODY254" s="243"/>
      <c r="ODZ254" s="243"/>
      <c r="OEA254" s="243"/>
      <c r="OEB254" s="243"/>
      <c r="OEC254" s="243"/>
      <c r="OED254" s="243"/>
      <c r="OEE254" s="243"/>
      <c r="OEF254" s="243"/>
      <c r="OEG254" s="243"/>
      <c r="OEH254" s="243"/>
      <c r="OEI254" s="243"/>
      <c r="OEJ254" s="243"/>
      <c r="OEK254" s="243"/>
      <c r="OEL254" s="243"/>
      <c r="OEM254" s="243"/>
      <c r="OEN254" s="243"/>
      <c r="OEO254" s="243"/>
      <c r="OEP254" s="243"/>
      <c r="OEQ254" s="243"/>
      <c r="OER254" s="243"/>
      <c r="OES254" s="243"/>
      <c r="OET254" s="243"/>
      <c r="OEU254" s="243"/>
      <c r="OEV254" s="243"/>
      <c r="OEW254" s="243"/>
      <c r="OEX254" s="243"/>
      <c r="OEY254" s="243"/>
      <c r="OEZ254" s="243"/>
      <c r="OFA254" s="243"/>
      <c r="OFB254" s="243"/>
      <c r="OFC254" s="243"/>
      <c r="OFD254" s="243"/>
      <c r="OFE254" s="243"/>
      <c r="OFF254" s="243"/>
      <c r="OFG254" s="243"/>
      <c r="OFH254" s="243"/>
      <c r="OFI254" s="243"/>
      <c r="OFJ254" s="243"/>
      <c r="OFK254" s="243"/>
      <c r="OFL254" s="243"/>
      <c r="OFM254" s="243"/>
      <c r="OFN254" s="243"/>
      <c r="OFO254" s="243"/>
      <c r="OFP254" s="243"/>
      <c r="OFQ254" s="243"/>
      <c r="OFR254" s="243"/>
      <c r="OFS254" s="243"/>
      <c r="OFT254" s="243"/>
      <c r="OFU254" s="243"/>
      <c r="OFV254" s="243"/>
      <c r="OFW254" s="243"/>
      <c r="OFX254" s="243"/>
      <c r="OFY254" s="243"/>
      <c r="OFZ254" s="243"/>
      <c r="OGA254" s="243"/>
      <c r="OGB254" s="243"/>
      <c r="OGC254" s="243"/>
      <c r="OGD254" s="243"/>
      <c r="OGE254" s="243"/>
      <c r="OGF254" s="243"/>
      <c r="OGG254" s="243"/>
      <c r="OGH254" s="243"/>
      <c r="OGI254" s="243"/>
      <c r="OGJ254" s="243"/>
      <c r="OGK254" s="243"/>
      <c r="OGL254" s="243"/>
      <c r="OGM254" s="243"/>
      <c r="OGN254" s="243"/>
      <c r="OGO254" s="243"/>
      <c r="OGP254" s="243"/>
      <c r="OGQ254" s="243"/>
      <c r="OGR254" s="243"/>
      <c r="OGS254" s="243"/>
      <c r="OGT254" s="243"/>
      <c r="OGU254" s="243"/>
      <c r="OGV254" s="243"/>
      <c r="OGW254" s="243"/>
      <c r="OGX254" s="243"/>
      <c r="OGY254" s="243"/>
      <c r="OGZ254" s="243"/>
      <c r="OHA254" s="243"/>
      <c r="OHB254" s="243"/>
      <c r="OHC254" s="243"/>
      <c r="OHD254" s="243"/>
      <c r="OHE254" s="243"/>
      <c r="OHF254" s="243"/>
      <c r="OHG254" s="243"/>
      <c r="OHH254" s="243"/>
      <c r="OHI254" s="243"/>
      <c r="OHJ254" s="243"/>
      <c r="OHK254" s="243"/>
      <c r="OHL254" s="243"/>
      <c r="OHM254" s="243"/>
      <c r="OHN254" s="243"/>
      <c r="OHO254" s="243"/>
      <c r="OHP254" s="243"/>
      <c r="OHQ254" s="243"/>
      <c r="OHR254" s="243"/>
      <c r="OHS254" s="243"/>
      <c r="OHT254" s="243"/>
      <c r="OHU254" s="243"/>
      <c r="OHV254" s="243"/>
      <c r="OHW254" s="243"/>
      <c r="OHX254" s="243"/>
      <c r="OHY254" s="243"/>
      <c r="OHZ254" s="243"/>
      <c r="OIA254" s="243"/>
      <c r="OIB254" s="243"/>
      <c r="OIC254" s="243"/>
      <c r="OID254" s="243"/>
      <c r="OIE254" s="243"/>
      <c r="OIF254" s="243"/>
      <c r="OIG254" s="243"/>
      <c r="OIH254" s="243"/>
      <c r="OII254" s="243"/>
      <c r="OIJ254" s="243"/>
      <c r="OIK254" s="243"/>
      <c r="OIL254" s="243"/>
      <c r="OIM254" s="243"/>
      <c r="OIN254" s="243"/>
      <c r="OIO254" s="243"/>
      <c r="OIP254" s="243"/>
      <c r="OIQ254" s="243"/>
      <c r="OIR254" s="243"/>
      <c r="OIS254" s="243"/>
      <c r="OIT254" s="243"/>
      <c r="OIU254" s="243"/>
      <c r="OIV254" s="243"/>
      <c r="OIW254" s="243"/>
      <c r="OIX254" s="243"/>
      <c r="OIY254" s="243"/>
      <c r="OIZ254" s="243"/>
      <c r="OJA254" s="243"/>
      <c r="OJB254" s="243"/>
      <c r="OJC254" s="243"/>
      <c r="OJD254" s="243"/>
      <c r="OJE254" s="243"/>
      <c r="OJF254" s="243"/>
      <c r="OJG254" s="243"/>
      <c r="OJH254" s="243"/>
      <c r="OJI254" s="243"/>
      <c r="OJJ254" s="243"/>
      <c r="OJK254" s="243"/>
      <c r="OJL254" s="243"/>
      <c r="OJM254" s="243"/>
      <c r="OJN254" s="243"/>
      <c r="OJO254" s="243"/>
      <c r="OJP254" s="243"/>
      <c r="OJQ254" s="243"/>
      <c r="OJR254" s="243"/>
      <c r="OJS254" s="243"/>
      <c r="OJT254" s="243"/>
      <c r="OJU254" s="243"/>
      <c r="OJV254" s="243"/>
      <c r="OJW254" s="243"/>
      <c r="OJX254" s="243"/>
      <c r="OJY254" s="243"/>
      <c r="OJZ254" s="243"/>
      <c r="OKA254" s="243"/>
      <c r="OKB254" s="243"/>
      <c r="OKC254" s="243"/>
      <c r="OKD254" s="243"/>
      <c r="OKE254" s="243"/>
      <c r="OKF254" s="243"/>
      <c r="OKG254" s="243"/>
      <c r="OKH254" s="243"/>
      <c r="OKI254" s="243"/>
      <c r="OKJ254" s="243"/>
      <c r="OKK254" s="243"/>
      <c r="OKL254" s="243"/>
      <c r="OKM254" s="243"/>
      <c r="OKN254" s="243"/>
      <c r="OKO254" s="243"/>
      <c r="OKP254" s="243"/>
      <c r="OKQ254" s="243"/>
      <c r="OKR254" s="243"/>
      <c r="OKS254" s="243"/>
      <c r="OKT254" s="243"/>
      <c r="OKU254" s="243"/>
      <c r="OKV254" s="243"/>
      <c r="OKW254" s="243"/>
      <c r="OKX254" s="243"/>
      <c r="OKY254" s="243"/>
      <c r="OKZ254" s="243"/>
      <c r="OLA254" s="243"/>
      <c r="OLB254" s="243"/>
      <c r="OLC254" s="243"/>
      <c r="OLD254" s="243"/>
      <c r="OLE254" s="243"/>
      <c r="OLF254" s="243"/>
      <c r="OLG254" s="243"/>
      <c r="OLH254" s="243"/>
      <c r="OLI254" s="243"/>
      <c r="OLJ254" s="243"/>
      <c r="OLK254" s="243"/>
      <c r="OLL254" s="243"/>
      <c r="OLM254" s="243"/>
      <c r="OLN254" s="243"/>
      <c r="OLO254" s="243"/>
      <c r="OLP254" s="243"/>
      <c r="OLQ254" s="243"/>
      <c r="OLR254" s="243"/>
      <c r="OLS254" s="243"/>
      <c r="OLT254" s="243"/>
      <c r="OLU254" s="243"/>
      <c r="OLV254" s="243"/>
      <c r="OLW254" s="243"/>
      <c r="OLX254" s="243"/>
      <c r="OLY254" s="243"/>
      <c r="OLZ254" s="243"/>
      <c r="OMA254" s="243"/>
      <c r="OMB254" s="243"/>
      <c r="OMC254" s="243"/>
      <c r="OMD254" s="243"/>
      <c r="OME254" s="243"/>
      <c r="OMF254" s="243"/>
      <c r="OMG254" s="243"/>
      <c r="OMH254" s="243"/>
      <c r="OMI254" s="243"/>
      <c r="OMJ254" s="243"/>
      <c r="OMK254" s="243"/>
      <c r="OML254" s="243"/>
      <c r="OMM254" s="243"/>
      <c r="OMN254" s="243"/>
      <c r="OMO254" s="243"/>
      <c r="OMP254" s="243"/>
      <c r="OMQ254" s="243"/>
      <c r="OMR254" s="243"/>
      <c r="OMS254" s="243"/>
      <c r="OMT254" s="243"/>
      <c r="OMU254" s="243"/>
      <c r="OMV254" s="243"/>
      <c r="OMW254" s="243"/>
      <c r="OMX254" s="243"/>
      <c r="OMY254" s="243"/>
      <c r="OMZ254" s="243"/>
      <c r="ONA254" s="243"/>
      <c r="ONB254" s="243"/>
      <c r="ONC254" s="243"/>
      <c r="OND254" s="243"/>
      <c r="ONE254" s="243"/>
      <c r="ONF254" s="243"/>
      <c r="ONG254" s="243"/>
      <c r="ONH254" s="243"/>
      <c r="ONI254" s="243"/>
      <c r="ONJ254" s="243"/>
      <c r="ONK254" s="243"/>
      <c r="ONL254" s="243"/>
      <c r="ONM254" s="243"/>
      <c r="ONN254" s="243"/>
      <c r="ONO254" s="243"/>
      <c r="ONP254" s="243"/>
      <c r="ONQ254" s="243"/>
      <c r="ONR254" s="243"/>
      <c r="ONS254" s="243"/>
      <c r="ONT254" s="243"/>
      <c r="ONU254" s="243"/>
      <c r="ONV254" s="243"/>
      <c r="ONW254" s="243"/>
      <c r="ONX254" s="243"/>
      <c r="ONY254" s="243"/>
      <c r="ONZ254" s="243"/>
      <c r="OOA254" s="243"/>
      <c r="OOB254" s="243"/>
      <c r="OOC254" s="243"/>
      <c r="OOD254" s="243"/>
      <c r="OOE254" s="243"/>
      <c r="OOF254" s="243"/>
      <c r="OOG254" s="243"/>
      <c r="OOH254" s="243"/>
      <c r="OOI254" s="243"/>
      <c r="OOJ254" s="243"/>
      <c r="OOK254" s="243"/>
      <c r="OOL254" s="243"/>
      <c r="OOM254" s="243"/>
      <c r="OON254" s="243"/>
      <c r="OOO254" s="243"/>
      <c r="OOP254" s="243"/>
      <c r="OOQ254" s="243"/>
      <c r="OOR254" s="243"/>
      <c r="OOS254" s="243"/>
      <c r="OOT254" s="243"/>
      <c r="OOU254" s="243"/>
      <c r="OOV254" s="243"/>
      <c r="OOW254" s="243"/>
      <c r="OOX254" s="243"/>
      <c r="OOY254" s="243"/>
      <c r="OOZ254" s="243"/>
      <c r="OPA254" s="243"/>
      <c r="OPB254" s="243"/>
      <c r="OPC254" s="243"/>
      <c r="OPD254" s="243"/>
      <c r="OPE254" s="243"/>
      <c r="OPF254" s="243"/>
      <c r="OPG254" s="243"/>
      <c r="OPH254" s="243"/>
      <c r="OPI254" s="243"/>
      <c r="OPJ254" s="243"/>
      <c r="OPK254" s="243"/>
      <c r="OPL254" s="243"/>
      <c r="OPM254" s="243"/>
      <c r="OPN254" s="243"/>
      <c r="OPO254" s="243"/>
      <c r="OPP254" s="243"/>
      <c r="OPQ254" s="243"/>
      <c r="OPR254" s="243"/>
      <c r="OPS254" s="243"/>
      <c r="OPT254" s="243"/>
      <c r="OPU254" s="243"/>
      <c r="OPV254" s="243"/>
      <c r="OPW254" s="243"/>
      <c r="OPX254" s="243"/>
      <c r="OPY254" s="243"/>
      <c r="OPZ254" s="243"/>
      <c r="OQA254" s="243"/>
      <c r="OQB254" s="243"/>
      <c r="OQC254" s="243"/>
      <c r="OQD254" s="243"/>
      <c r="OQE254" s="243"/>
      <c r="OQF254" s="243"/>
      <c r="OQG254" s="243"/>
      <c r="OQH254" s="243"/>
      <c r="OQI254" s="243"/>
      <c r="OQJ254" s="243"/>
      <c r="OQK254" s="243"/>
      <c r="OQL254" s="243"/>
      <c r="OQM254" s="243"/>
      <c r="OQN254" s="243"/>
      <c r="OQO254" s="243"/>
      <c r="OQP254" s="243"/>
      <c r="OQQ254" s="243"/>
      <c r="OQR254" s="243"/>
      <c r="OQS254" s="243"/>
      <c r="OQT254" s="243"/>
      <c r="OQU254" s="243"/>
      <c r="OQV254" s="243"/>
      <c r="OQW254" s="243"/>
      <c r="OQX254" s="243"/>
      <c r="OQY254" s="243"/>
      <c r="OQZ254" s="243"/>
      <c r="ORA254" s="243"/>
      <c r="ORB254" s="243"/>
      <c r="ORC254" s="243"/>
      <c r="ORD254" s="243"/>
      <c r="ORE254" s="243"/>
      <c r="ORF254" s="243"/>
      <c r="ORG254" s="243"/>
      <c r="ORH254" s="243"/>
      <c r="ORI254" s="243"/>
      <c r="ORJ254" s="243"/>
      <c r="ORK254" s="243"/>
      <c r="ORL254" s="243"/>
      <c r="ORM254" s="243"/>
      <c r="ORN254" s="243"/>
      <c r="ORO254" s="243"/>
      <c r="ORP254" s="243"/>
      <c r="ORQ254" s="243"/>
      <c r="ORR254" s="243"/>
      <c r="ORS254" s="243"/>
      <c r="ORT254" s="243"/>
      <c r="ORU254" s="243"/>
      <c r="ORV254" s="243"/>
      <c r="ORW254" s="243"/>
      <c r="ORX254" s="243"/>
      <c r="ORY254" s="243"/>
      <c r="ORZ254" s="243"/>
      <c r="OSA254" s="243"/>
      <c r="OSB254" s="243"/>
      <c r="OSC254" s="243"/>
      <c r="OSD254" s="243"/>
      <c r="OSE254" s="243"/>
      <c r="OSF254" s="243"/>
      <c r="OSG254" s="243"/>
      <c r="OSH254" s="243"/>
      <c r="OSI254" s="243"/>
      <c r="OSJ254" s="243"/>
      <c r="OSK254" s="243"/>
      <c r="OSL254" s="243"/>
      <c r="OSM254" s="243"/>
      <c r="OSN254" s="243"/>
      <c r="OSO254" s="243"/>
      <c r="OSP254" s="243"/>
      <c r="OSQ254" s="243"/>
      <c r="OSR254" s="243"/>
      <c r="OSS254" s="243"/>
      <c r="OST254" s="243"/>
      <c r="OSU254" s="243"/>
      <c r="OSV254" s="243"/>
      <c r="OSW254" s="243"/>
      <c r="OSX254" s="243"/>
      <c r="OSY254" s="243"/>
      <c r="OSZ254" s="243"/>
      <c r="OTA254" s="243"/>
      <c r="OTB254" s="243"/>
      <c r="OTC254" s="243"/>
      <c r="OTD254" s="243"/>
      <c r="OTE254" s="243"/>
      <c r="OTF254" s="243"/>
      <c r="OTG254" s="243"/>
      <c r="OTH254" s="243"/>
      <c r="OTI254" s="243"/>
      <c r="OTJ254" s="243"/>
      <c r="OTK254" s="243"/>
      <c r="OTL254" s="243"/>
      <c r="OTM254" s="243"/>
      <c r="OTN254" s="243"/>
      <c r="OTO254" s="243"/>
      <c r="OTP254" s="243"/>
      <c r="OTQ254" s="243"/>
      <c r="OTR254" s="243"/>
      <c r="OTS254" s="243"/>
      <c r="OTT254" s="243"/>
      <c r="OTU254" s="243"/>
      <c r="OTV254" s="243"/>
      <c r="OTW254" s="243"/>
      <c r="OTX254" s="243"/>
      <c r="OTY254" s="243"/>
      <c r="OTZ254" s="243"/>
      <c r="OUA254" s="243"/>
      <c r="OUB254" s="243"/>
      <c r="OUC254" s="243"/>
      <c r="OUD254" s="243"/>
      <c r="OUE254" s="243"/>
      <c r="OUF254" s="243"/>
      <c r="OUG254" s="243"/>
      <c r="OUH254" s="243"/>
      <c r="OUI254" s="243"/>
      <c r="OUJ254" s="243"/>
      <c r="OUK254" s="243"/>
      <c r="OUL254" s="243"/>
      <c r="OUM254" s="243"/>
      <c r="OUN254" s="243"/>
      <c r="OUO254" s="243"/>
      <c r="OUP254" s="243"/>
      <c r="OUQ254" s="243"/>
      <c r="OUR254" s="243"/>
      <c r="OUS254" s="243"/>
      <c r="OUT254" s="243"/>
      <c r="OUU254" s="243"/>
      <c r="OUV254" s="243"/>
      <c r="OUW254" s="243"/>
      <c r="OUX254" s="243"/>
      <c r="OUY254" s="243"/>
      <c r="OUZ254" s="243"/>
      <c r="OVA254" s="243"/>
      <c r="OVB254" s="243"/>
      <c r="OVC254" s="243"/>
      <c r="OVD254" s="243"/>
      <c r="OVE254" s="243"/>
      <c r="OVF254" s="243"/>
      <c r="OVG254" s="243"/>
      <c r="OVH254" s="243"/>
      <c r="OVI254" s="243"/>
      <c r="OVJ254" s="243"/>
      <c r="OVK254" s="243"/>
      <c r="OVL254" s="243"/>
      <c r="OVM254" s="243"/>
      <c r="OVN254" s="243"/>
      <c r="OVO254" s="243"/>
      <c r="OVP254" s="243"/>
      <c r="OVQ254" s="243"/>
      <c r="OVR254" s="243"/>
      <c r="OVS254" s="243"/>
      <c r="OVT254" s="243"/>
      <c r="OVU254" s="243"/>
      <c r="OVV254" s="243"/>
      <c r="OVW254" s="243"/>
      <c r="OVX254" s="243"/>
      <c r="OVY254" s="243"/>
      <c r="OVZ254" s="243"/>
      <c r="OWA254" s="243"/>
      <c r="OWB254" s="243"/>
      <c r="OWC254" s="243"/>
      <c r="OWD254" s="243"/>
      <c r="OWE254" s="243"/>
      <c r="OWF254" s="243"/>
      <c r="OWG254" s="243"/>
      <c r="OWH254" s="243"/>
      <c r="OWI254" s="243"/>
      <c r="OWJ254" s="243"/>
      <c r="OWK254" s="243"/>
      <c r="OWL254" s="243"/>
      <c r="OWM254" s="243"/>
      <c r="OWN254" s="243"/>
      <c r="OWO254" s="243"/>
      <c r="OWP254" s="243"/>
      <c r="OWQ254" s="243"/>
      <c r="OWR254" s="243"/>
      <c r="OWS254" s="243"/>
      <c r="OWT254" s="243"/>
      <c r="OWU254" s="243"/>
      <c r="OWV254" s="243"/>
      <c r="OWW254" s="243"/>
      <c r="OWX254" s="243"/>
      <c r="OWY254" s="243"/>
      <c r="OWZ254" s="243"/>
      <c r="OXA254" s="243"/>
      <c r="OXB254" s="243"/>
      <c r="OXC254" s="243"/>
      <c r="OXD254" s="243"/>
      <c r="OXE254" s="243"/>
      <c r="OXF254" s="243"/>
      <c r="OXG254" s="243"/>
      <c r="OXH254" s="243"/>
      <c r="OXI254" s="243"/>
      <c r="OXJ254" s="243"/>
      <c r="OXK254" s="243"/>
      <c r="OXL254" s="243"/>
      <c r="OXM254" s="243"/>
      <c r="OXN254" s="243"/>
      <c r="OXO254" s="243"/>
      <c r="OXP254" s="243"/>
      <c r="OXQ254" s="243"/>
      <c r="OXR254" s="243"/>
      <c r="OXS254" s="243"/>
      <c r="OXT254" s="243"/>
      <c r="OXU254" s="243"/>
      <c r="OXV254" s="243"/>
      <c r="OXW254" s="243"/>
      <c r="OXX254" s="243"/>
      <c r="OXY254" s="243"/>
      <c r="OXZ254" s="243"/>
      <c r="OYA254" s="243"/>
      <c r="OYB254" s="243"/>
      <c r="OYC254" s="243"/>
      <c r="OYD254" s="243"/>
      <c r="OYE254" s="243"/>
      <c r="OYF254" s="243"/>
      <c r="OYG254" s="243"/>
      <c r="OYH254" s="243"/>
      <c r="OYI254" s="243"/>
      <c r="OYJ254" s="243"/>
      <c r="OYK254" s="243"/>
      <c r="OYL254" s="243"/>
      <c r="OYM254" s="243"/>
      <c r="OYN254" s="243"/>
      <c r="OYO254" s="243"/>
      <c r="OYP254" s="243"/>
      <c r="OYQ254" s="243"/>
      <c r="OYR254" s="243"/>
      <c r="OYS254" s="243"/>
      <c r="OYT254" s="243"/>
      <c r="OYU254" s="243"/>
      <c r="OYV254" s="243"/>
      <c r="OYW254" s="243"/>
      <c r="OYX254" s="243"/>
      <c r="OYY254" s="243"/>
      <c r="OYZ254" s="243"/>
      <c r="OZA254" s="243"/>
      <c r="OZB254" s="243"/>
      <c r="OZC254" s="243"/>
      <c r="OZD254" s="243"/>
      <c r="OZE254" s="243"/>
      <c r="OZF254" s="243"/>
      <c r="OZG254" s="243"/>
      <c r="OZH254" s="243"/>
      <c r="OZI254" s="243"/>
      <c r="OZJ254" s="243"/>
      <c r="OZK254" s="243"/>
      <c r="OZL254" s="243"/>
      <c r="OZM254" s="243"/>
      <c r="OZN254" s="243"/>
      <c r="OZO254" s="243"/>
      <c r="OZP254" s="243"/>
      <c r="OZQ254" s="243"/>
      <c r="OZR254" s="243"/>
      <c r="OZS254" s="243"/>
      <c r="OZT254" s="243"/>
      <c r="OZU254" s="243"/>
      <c r="OZV254" s="243"/>
      <c r="OZW254" s="243"/>
      <c r="OZX254" s="243"/>
      <c r="OZY254" s="243"/>
      <c r="OZZ254" s="243"/>
      <c r="PAA254" s="243"/>
      <c r="PAB254" s="243"/>
      <c r="PAC254" s="243"/>
      <c r="PAD254" s="243"/>
      <c r="PAE254" s="243"/>
      <c r="PAF254" s="243"/>
      <c r="PAG254" s="243"/>
      <c r="PAH254" s="243"/>
      <c r="PAI254" s="243"/>
      <c r="PAJ254" s="243"/>
      <c r="PAK254" s="243"/>
      <c r="PAL254" s="243"/>
      <c r="PAM254" s="243"/>
      <c r="PAN254" s="243"/>
      <c r="PAO254" s="243"/>
      <c r="PAP254" s="243"/>
      <c r="PAQ254" s="243"/>
      <c r="PAR254" s="243"/>
      <c r="PAS254" s="243"/>
      <c r="PAT254" s="243"/>
      <c r="PAU254" s="243"/>
      <c r="PAV254" s="243"/>
      <c r="PAW254" s="243"/>
      <c r="PAX254" s="243"/>
      <c r="PAY254" s="243"/>
      <c r="PAZ254" s="243"/>
      <c r="PBA254" s="243"/>
      <c r="PBB254" s="243"/>
      <c r="PBC254" s="243"/>
      <c r="PBD254" s="243"/>
      <c r="PBE254" s="243"/>
      <c r="PBF254" s="243"/>
      <c r="PBG254" s="243"/>
      <c r="PBH254" s="243"/>
      <c r="PBI254" s="243"/>
      <c r="PBJ254" s="243"/>
      <c r="PBK254" s="243"/>
      <c r="PBL254" s="243"/>
      <c r="PBM254" s="243"/>
      <c r="PBN254" s="243"/>
      <c r="PBO254" s="243"/>
      <c r="PBP254" s="243"/>
      <c r="PBQ254" s="243"/>
      <c r="PBR254" s="243"/>
      <c r="PBS254" s="243"/>
      <c r="PBT254" s="243"/>
      <c r="PBU254" s="243"/>
      <c r="PBV254" s="243"/>
      <c r="PBW254" s="243"/>
      <c r="PBX254" s="243"/>
      <c r="PBY254" s="243"/>
      <c r="PBZ254" s="243"/>
      <c r="PCA254" s="243"/>
      <c r="PCB254" s="243"/>
      <c r="PCC254" s="243"/>
      <c r="PCD254" s="243"/>
      <c r="PCE254" s="243"/>
      <c r="PCF254" s="243"/>
      <c r="PCG254" s="243"/>
      <c r="PCH254" s="243"/>
      <c r="PCI254" s="243"/>
      <c r="PCJ254" s="243"/>
      <c r="PCK254" s="243"/>
      <c r="PCL254" s="243"/>
      <c r="PCM254" s="243"/>
      <c r="PCN254" s="243"/>
      <c r="PCO254" s="243"/>
      <c r="PCP254" s="243"/>
      <c r="PCQ254" s="243"/>
      <c r="PCR254" s="243"/>
      <c r="PCS254" s="243"/>
      <c r="PCT254" s="243"/>
      <c r="PCU254" s="243"/>
      <c r="PCV254" s="243"/>
      <c r="PCW254" s="243"/>
      <c r="PCX254" s="243"/>
      <c r="PCY254" s="243"/>
      <c r="PCZ254" s="243"/>
      <c r="PDA254" s="243"/>
      <c r="PDB254" s="243"/>
      <c r="PDC254" s="243"/>
      <c r="PDD254" s="243"/>
      <c r="PDE254" s="243"/>
      <c r="PDF254" s="243"/>
      <c r="PDG254" s="243"/>
      <c r="PDH254" s="243"/>
      <c r="PDI254" s="243"/>
      <c r="PDJ254" s="243"/>
      <c r="PDK254" s="243"/>
      <c r="PDL254" s="243"/>
      <c r="PDM254" s="243"/>
      <c r="PDN254" s="243"/>
      <c r="PDO254" s="243"/>
      <c r="PDP254" s="243"/>
      <c r="PDQ254" s="243"/>
      <c r="PDR254" s="243"/>
      <c r="PDS254" s="243"/>
      <c r="PDT254" s="243"/>
      <c r="PDU254" s="243"/>
      <c r="PDV254" s="243"/>
      <c r="PDW254" s="243"/>
      <c r="PDX254" s="243"/>
      <c r="PDY254" s="243"/>
      <c r="PDZ254" s="243"/>
      <c r="PEA254" s="243"/>
      <c r="PEB254" s="243"/>
      <c r="PEC254" s="243"/>
      <c r="PED254" s="243"/>
      <c r="PEE254" s="243"/>
      <c r="PEF254" s="243"/>
      <c r="PEG254" s="243"/>
      <c r="PEH254" s="243"/>
      <c r="PEI254" s="243"/>
      <c r="PEJ254" s="243"/>
      <c r="PEK254" s="243"/>
      <c r="PEL254" s="243"/>
      <c r="PEM254" s="243"/>
      <c r="PEN254" s="243"/>
      <c r="PEO254" s="243"/>
      <c r="PEP254" s="243"/>
      <c r="PEQ254" s="243"/>
      <c r="PER254" s="243"/>
      <c r="PES254" s="243"/>
      <c r="PET254" s="243"/>
      <c r="PEU254" s="243"/>
      <c r="PEV254" s="243"/>
      <c r="PEW254" s="243"/>
      <c r="PEX254" s="243"/>
      <c r="PEY254" s="243"/>
      <c r="PEZ254" s="243"/>
      <c r="PFA254" s="243"/>
      <c r="PFB254" s="243"/>
      <c r="PFC254" s="243"/>
      <c r="PFD254" s="243"/>
      <c r="PFE254" s="243"/>
      <c r="PFF254" s="243"/>
      <c r="PFG254" s="243"/>
      <c r="PFH254" s="243"/>
      <c r="PFI254" s="243"/>
      <c r="PFJ254" s="243"/>
      <c r="PFK254" s="243"/>
      <c r="PFL254" s="243"/>
      <c r="PFM254" s="243"/>
      <c r="PFN254" s="243"/>
      <c r="PFO254" s="243"/>
      <c r="PFP254" s="243"/>
      <c r="PFQ254" s="243"/>
      <c r="PFR254" s="243"/>
      <c r="PFS254" s="243"/>
      <c r="PFT254" s="243"/>
      <c r="PFU254" s="243"/>
      <c r="PFV254" s="243"/>
      <c r="PFW254" s="243"/>
      <c r="PFX254" s="243"/>
      <c r="PFY254" s="243"/>
      <c r="PFZ254" s="243"/>
      <c r="PGA254" s="243"/>
      <c r="PGB254" s="243"/>
      <c r="PGC254" s="243"/>
      <c r="PGD254" s="243"/>
      <c r="PGE254" s="243"/>
      <c r="PGF254" s="243"/>
      <c r="PGG254" s="243"/>
      <c r="PGH254" s="243"/>
      <c r="PGI254" s="243"/>
      <c r="PGJ254" s="243"/>
      <c r="PGK254" s="243"/>
      <c r="PGL254" s="243"/>
      <c r="PGM254" s="243"/>
      <c r="PGN254" s="243"/>
      <c r="PGO254" s="243"/>
      <c r="PGP254" s="243"/>
      <c r="PGQ254" s="243"/>
      <c r="PGR254" s="243"/>
      <c r="PGS254" s="243"/>
      <c r="PGT254" s="243"/>
      <c r="PGU254" s="243"/>
      <c r="PGV254" s="243"/>
      <c r="PGW254" s="243"/>
      <c r="PGX254" s="243"/>
      <c r="PGY254" s="243"/>
      <c r="PGZ254" s="243"/>
      <c r="PHA254" s="243"/>
      <c r="PHB254" s="243"/>
      <c r="PHC254" s="243"/>
      <c r="PHD254" s="243"/>
      <c r="PHE254" s="243"/>
      <c r="PHF254" s="243"/>
      <c r="PHG254" s="243"/>
      <c r="PHH254" s="243"/>
      <c r="PHI254" s="243"/>
      <c r="PHJ254" s="243"/>
      <c r="PHK254" s="243"/>
      <c r="PHL254" s="243"/>
      <c r="PHM254" s="243"/>
      <c r="PHN254" s="243"/>
      <c r="PHO254" s="243"/>
      <c r="PHP254" s="243"/>
      <c r="PHQ254" s="243"/>
      <c r="PHR254" s="243"/>
      <c r="PHS254" s="243"/>
      <c r="PHT254" s="243"/>
      <c r="PHU254" s="243"/>
      <c r="PHV254" s="243"/>
      <c r="PHW254" s="243"/>
      <c r="PHX254" s="243"/>
      <c r="PHY254" s="243"/>
      <c r="PHZ254" s="243"/>
      <c r="PIA254" s="243"/>
      <c r="PIB254" s="243"/>
      <c r="PIC254" s="243"/>
      <c r="PID254" s="243"/>
      <c r="PIE254" s="243"/>
      <c r="PIF254" s="243"/>
      <c r="PIG254" s="243"/>
      <c r="PIH254" s="243"/>
      <c r="PII254" s="243"/>
      <c r="PIJ254" s="243"/>
      <c r="PIK254" s="243"/>
      <c r="PIL254" s="243"/>
      <c r="PIM254" s="243"/>
      <c r="PIN254" s="243"/>
      <c r="PIO254" s="243"/>
      <c r="PIP254" s="243"/>
      <c r="PIQ254" s="243"/>
      <c r="PIR254" s="243"/>
      <c r="PIS254" s="243"/>
      <c r="PIT254" s="243"/>
      <c r="PIU254" s="243"/>
      <c r="PIV254" s="243"/>
      <c r="PIW254" s="243"/>
      <c r="PIX254" s="243"/>
      <c r="PIY254" s="243"/>
      <c r="PIZ254" s="243"/>
      <c r="PJA254" s="243"/>
      <c r="PJB254" s="243"/>
      <c r="PJC254" s="243"/>
      <c r="PJD254" s="243"/>
      <c r="PJE254" s="243"/>
      <c r="PJF254" s="243"/>
      <c r="PJG254" s="243"/>
      <c r="PJH254" s="243"/>
      <c r="PJI254" s="243"/>
      <c r="PJJ254" s="243"/>
      <c r="PJK254" s="243"/>
      <c r="PJL254" s="243"/>
      <c r="PJM254" s="243"/>
      <c r="PJN254" s="243"/>
      <c r="PJO254" s="243"/>
      <c r="PJP254" s="243"/>
      <c r="PJQ254" s="243"/>
      <c r="PJR254" s="243"/>
      <c r="PJS254" s="243"/>
      <c r="PJT254" s="243"/>
      <c r="PJU254" s="243"/>
      <c r="PJV254" s="243"/>
      <c r="PJW254" s="243"/>
      <c r="PJX254" s="243"/>
      <c r="PJY254" s="243"/>
      <c r="PJZ254" s="243"/>
      <c r="PKA254" s="243"/>
      <c r="PKB254" s="243"/>
      <c r="PKC254" s="243"/>
      <c r="PKD254" s="243"/>
      <c r="PKE254" s="243"/>
      <c r="PKF254" s="243"/>
      <c r="PKG254" s="243"/>
      <c r="PKH254" s="243"/>
      <c r="PKI254" s="243"/>
      <c r="PKJ254" s="243"/>
      <c r="PKK254" s="243"/>
      <c r="PKL254" s="243"/>
      <c r="PKM254" s="243"/>
      <c r="PKN254" s="243"/>
      <c r="PKO254" s="243"/>
      <c r="PKP254" s="243"/>
      <c r="PKQ254" s="243"/>
      <c r="PKR254" s="243"/>
      <c r="PKS254" s="243"/>
      <c r="PKT254" s="243"/>
      <c r="PKU254" s="243"/>
      <c r="PKV254" s="243"/>
      <c r="PKW254" s="243"/>
      <c r="PKX254" s="243"/>
      <c r="PKY254" s="243"/>
      <c r="PKZ254" s="243"/>
      <c r="PLA254" s="243"/>
      <c r="PLB254" s="243"/>
      <c r="PLC254" s="243"/>
      <c r="PLD254" s="243"/>
      <c r="PLE254" s="243"/>
      <c r="PLF254" s="243"/>
      <c r="PLG254" s="243"/>
      <c r="PLH254" s="243"/>
      <c r="PLI254" s="243"/>
      <c r="PLJ254" s="243"/>
      <c r="PLK254" s="243"/>
      <c r="PLL254" s="243"/>
      <c r="PLM254" s="243"/>
      <c r="PLN254" s="243"/>
      <c r="PLO254" s="243"/>
      <c r="PLP254" s="243"/>
      <c r="PLQ254" s="243"/>
      <c r="PLR254" s="243"/>
      <c r="PLS254" s="243"/>
      <c r="PLT254" s="243"/>
      <c r="PLU254" s="243"/>
      <c r="PLV254" s="243"/>
      <c r="PLW254" s="243"/>
      <c r="PLX254" s="243"/>
      <c r="PLY254" s="243"/>
      <c r="PLZ254" s="243"/>
      <c r="PMA254" s="243"/>
      <c r="PMB254" s="243"/>
      <c r="PMC254" s="243"/>
      <c r="PMD254" s="243"/>
      <c r="PME254" s="243"/>
      <c r="PMF254" s="243"/>
      <c r="PMG254" s="243"/>
      <c r="PMH254" s="243"/>
      <c r="PMI254" s="243"/>
      <c r="PMJ254" s="243"/>
      <c r="PMK254" s="243"/>
      <c r="PML254" s="243"/>
      <c r="PMM254" s="243"/>
      <c r="PMN254" s="243"/>
      <c r="PMO254" s="243"/>
      <c r="PMP254" s="243"/>
      <c r="PMQ254" s="243"/>
      <c r="PMR254" s="243"/>
      <c r="PMS254" s="243"/>
      <c r="PMT254" s="243"/>
      <c r="PMU254" s="243"/>
      <c r="PMV254" s="243"/>
      <c r="PMW254" s="243"/>
      <c r="PMX254" s="243"/>
      <c r="PMY254" s="243"/>
      <c r="PMZ254" s="243"/>
      <c r="PNA254" s="243"/>
      <c r="PNB254" s="243"/>
      <c r="PNC254" s="243"/>
      <c r="PND254" s="243"/>
      <c r="PNE254" s="243"/>
      <c r="PNF254" s="243"/>
      <c r="PNG254" s="243"/>
      <c r="PNH254" s="243"/>
      <c r="PNI254" s="243"/>
      <c r="PNJ254" s="243"/>
      <c r="PNK254" s="243"/>
      <c r="PNL254" s="243"/>
      <c r="PNM254" s="243"/>
      <c r="PNN254" s="243"/>
      <c r="PNO254" s="243"/>
      <c r="PNP254" s="243"/>
      <c r="PNQ254" s="243"/>
      <c r="PNR254" s="243"/>
      <c r="PNS254" s="243"/>
      <c r="PNT254" s="243"/>
      <c r="PNU254" s="243"/>
      <c r="PNV254" s="243"/>
      <c r="PNW254" s="243"/>
      <c r="PNX254" s="243"/>
      <c r="PNY254" s="243"/>
      <c r="PNZ254" s="243"/>
      <c r="POA254" s="243"/>
      <c r="POB254" s="243"/>
      <c r="POC254" s="243"/>
      <c r="POD254" s="243"/>
      <c r="POE254" s="243"/>
      <c r="POF254" s="243"/>
      <c r="POG254" s="243"/>
      <c r="POH254" s="243"/>
      <c r="POI254" s="243"/>
      <c r="POJ254" s="243"/>
      <c r="POK254" s="243"/>
      <c r="POL254" s="243"/>
      <c r="POM254" s="243"/>
      <c r="PON254" s="243"/>
      <c r="POO254" s="243"/>
      <c r="POP254" s="243"/>
      <c r="POQ254" s="243"/>
      <c r="POR254" s="243"/>
      <c r="POS254" s="243"/>
      <c r="POT254" s="243"/>
      <c r="POU254" s="243"/>
      <c r="POV254" s="243"/>
      <c r="POW254" s="243"/>
      <c r="POX254" s="243"/>
      <c r="POY254" s="243"/>
      <c r="POZ254" s="243"/>
      <c r="PPA254" s="243"/>
      <c r="PPB254" s="243"/>
      <c r="PPC254" s="243"/>
      <c r="PPD254" s="243"/>
      <c r="PPE254" s="243"/>
      <c r="PPF254" s="243"/>
      <c r="PPG254" s="243"/>
      <c r="PPH254" s="243"/>
      <c r="PPI254" s="243"/>
      <c r="PPJ254" s="243"/>
      <c r="PPK254" s="243"/>
      <c r="PPL254" s="243"/>
      <c r="PPM254" s="243"/>
      <c r="PPN254" s="243"/>
      <c r="PPO254" s="243"/>
      <c r="PPP254" s="243"/>
      <c r="PPQ254" s="243"/>
      <c r="PPR254" s="243"/>
      <c r="PPS254" s="243"/>
      <c r="PPT254" s="243"/>
      <c r="PPU254" s="243"/>
      <c r="PPV254" s="243"/>
      <c r="PPW254" s="243"/>
      <c r="PPX254" s="243"/>
      <c r="PPY254" s="243"/>
      <c r="PPZ254" s="243"/>
      <c r="PQA254" s="243"/>
      <c r="PQB254" s="243"/>
      <c r="PQC254" s="243"/>
      <c r="PQD254" s="243"/>
      <c r="PQE254" s="243"/>
      <c r="PQF254" s="243"/>
      <c r="PQG254" s="243"/>
      <c r="PQH254" s="243"/>
      <c r="PQI254" s="243"/>
      <c r="PQJ254" s="243"/>
      <c r="PQK254" s="243"/>
      <c r="PQL254" s="243"/>
      <c r="PQM254" s="243"/>
      <c r="PQN254" s="243"/>
      <c r="PQO254" s="243"/>
      <c r="PQP254" s="243"/>
      <c r="PQQ254" s="243"/>
      <c r="PQR254" s="243"/>
      <c r="PQS254" s="243"/>
      <c r="PQT254" s="243"/>
      <c r="PQU254" s="243"/>
      <c r="PQV254" s="243"/>
      <c r="PQW254" s="243"/>
      <c r="PQX254" s="243"/>
      <c r="PQY254" s="243"/>
      <c r="PQZ254" s="243"/>
      <c r="PRA254" s="243"/>
      <c r="PRB254" s="243"/>
      <c r="PRC254" s="243"/>
      <c r="PRD254" s="243"/>
      <c r="PRE254" s="243"/>
      <c r="PRF254" s="243"/>
      <c r="PRG254" s="243"/>
      <c r="PRH254" s="243"/>
      <c r="PRI254" s="243"/>
      <c r="PRJ254" s="243"/>
      <c r="PRK254" s="243"/>
      <c r="PRL254" s="243"/>
      <c r="PRM254" s="243"/>
      <c r="PRN254" s="243"/>
      <c r="PRO254" s="243"/>
      <c r="PRP254" s="243"/>
      <c r="PRQ254" s="243"/>
      <c r="PRR254" s="243"/>
      <c r="PRS254" s="243"/>
      <c r="PRT254" s="243"/>
      <c r="PRU254" s="243"/>
      <c r="PRV254" s="243"/>
      <c r="PRW254" s="243"/>
      <c r="PRX254" s="243"/>
      <c r="PRY254" s="243"/>
      <c r="PRZ254" s="243"/>
      <c r="PSA254" s="243"/>
      <c r="PSB254" s="243"/>
      <c r="PSC254" s="243"/>
      <c r="PSD254" s="243"/>
      <c r="PSE254" s="243"/>
      <c r="PSF254" s="243"/>
      <c r="PSG254" s="243"/>
      <c r="PSH254" s="243"/>
      <c r="PSI254" s="243"/>
      <c r="PSJ254" s="243"/>
      <c r="PSK254" s="243"/>
      <c r="PSL254" s="243"/>
      <c r="PSM254" s="243"/>
      <c r="PSN254" s="243"/>
      <c r="PSO254" s="243"/>
      <c r="PSP254" s="243"/>
      <c r="PSQ254" s="243"/>
      <c r="PSR254" s="243"/>
      <c r="PSS254" s="243"/>
      <c r="PST254" s="243"/>
      <c r="PSU254" s="243"/>
      <c r="PSV254" s="243"/>
      <c r="PSW254" s="243"/>
      <c r="PSX254" s="243"/>
      <c r="PSY254" s="243"/>
      <c r="PSZ254" s="243"/>
      <c r="PTA254" s="243"/>
      <c r="PTB254" s="243"/>
      <c r="PTC254" s="243"/>
      <c r="PTD254" s="243"/>
      <c r="PTE254" s="243"/>
      <c r="PTF254" s="243"/>
      <c r="PTG254" s="243"/>
      <c r="PTH254" s="243"/>
      <c r="PTI254" s="243"/>
      <c r="PTJ254" s="243"/>
      <c r="PTK254" s="243"/>
      <c r="PTL254" s="243"/>
      <c r="PTM254" s="243"/>
      <c r="PTN254" s="243"/>
      <c r="PTO254" s="243"/>
      <c r="PTP254" s="243"/>
      <c r="PTQ254" s="243"/>
      <c r="PTR254" s="243"/>
      <c r="PTS254" s="243"/>
      <c r="PTT254" s="243"/>
      <c r="PTU254" s="243"/>
      <c r="PTV254" s="243"/>
      <c r="PTW254" s="243"/>
      <c r="PTX254" s="243"/>
      <c r="PTY254" s="243"/>
      <c r="PTZ254" s="243"/>
      <c r="PUA254" s="243"/>
      <c r="PUB254" s="243"/>
      <c r="PUC254" s="243"/>
      <c r="PUD254" s="243"/>
      <c r="PUE254" s="243"/>
      <c r="PUF254" s="243"/>
      <c r="PUG254" s="243"/>
      <c r="PUH254" s="243"/>
      <c r="PUI254" s="243"/>
      <c r="PUJ254" s="243"/>
      <c r="PUK254" s="243"/>
      <c r="PUL254" s="243"/>
      <c r="PUM254" s="243"/>
      <c r="PUN254" s="243"/>
      <c r="PUO254" s="243"/>
      <c r="PUP254" s="243"/>
      <c r="PUQ254" s="243"/>
      <c r="PUR254" s="243"/>
      <c r="PUS254" s="243"/>
      <c r="PUT254" s="243"/>
      <c r="PUU254" s="243"/>
      <c r="PUV254" s="243"/>
      <c r="PUW254" s="243"/>
      <c r="PUX254" s="243"/>
      <c r="PUY254" s="243"/>
      <c r="PUZ254" s="243"/>
      <c r="PVA254" s="243"/>
      <c r="PVB254" s="243"/>
      <c r="PVC254" s="243"/>
      <c r="PVD254" s="243"/>
      <c r="PVE254" s="243"/>
      <c r="PVF254" s="243"/>
      <c r="PVG254" s="243"/>
      <c r="PVH254" s="243"/>
      <c r="PVI254" s="243"/>
      <c r="PVJ254" s="243"/>
      <c r="PVK254" s="243"/>
      <c r="PVL254" s="243"/>
      <c r="PVM254" s="243"/>
      <c r="PVN254" s="243"/>
      <c r="PVO254" s="243"/>
      <c r="PVP254" s="243"/>
      <c r="PVQ254" s="243"/>
      <c r="PVR254" s="243"/>
      <c r="PVS254" s="243"/>
      <c r="PVT254" s="243"/>
      <c r="PVU254" s="243"/>
      <c r="PVV254" s="243"/>
      <c r="PVW254" s="243"/>
      <c r="PVX254" s="243"/>
      <c r="PVY254" s="243"/>
      <c r="PVZ254" s="243"/>
      <c r="PWA254" s="243"/>
      <c r="PWB254" s="243"/>
      <c r="PWC254" s="243"/>
      <c r="PWD254" s="243"/>
      <c r="PWE254" s="243"/>
      <c r="PWF254" s="243"/>
      <c r="PWG254" s="243"/>
      <c r="PWH254" s="243"/>
      <c r="PWI254" s="243"/>
      <c r="PWJ254" s="243"/>
      <c r="PWK254" s="243"/>
      <c r="PWL254" s="243"/>
      <c r="PWM254" s="243"/>
      <c r="PWN254" s="243"/>
      <c r="PWO254" s="243"/>
      <c r="PWP254" s="243"/>
      <c r="PWQ254" s="243"/>
      <c r="PWR254" s="243"/>
      <c r="PWS254" s="243"/>
      <c r="PWT254" s="243"/>
      <c r="PWU254" s="243"/>
      <c r="PWV254" s="243"/>
      <c r="PWW254" s="243"/>
      <c r="PWX254" s="243"/>
      <c r="PWY254" s="243"/>
      <c r="PWZ254" s="243"/>
      <c r="PXA254" s="243"/>
      <c r="PXB254" s="243"/>
      <c r="PXC254" s="243"/>
      <c r="PXD254" s="243"/>
      <c r="PXE254" s="243"/>
      <c r="PXF254" s="243"/>
      <c r="PXG254" s="243"/>
      <c r="PXH254" s="243"/>
      <c r="PXI254" s="243"/>
      <c r="PXJ254" s="243"/>
      <c r="PXK254" s="243"/>
      <c r="PXL254" s="243"/>
      <c r="PXM254" s="243"/>
      <c r="PXN254" s="243"/>
      <c r="PXO254" s="243"/>
      <c r="PXP254" s="243"/>
      <c r="PXQ254" s="243"/>
      <c r="PXR254" s="243"/>
      <c r="PXS254" s="243"/>
      <c r="PXT254" s="243"/>
      <c r="PXU254" s="243"/>
      <c r="PXV254" s="243"/>
      <c r="PXW254" s="243"/>
      <c r="PXX254" s="243"/>
      <c r="PXY254" s="243"/>
      <c r="PXZ254" s="243"/>
      <c r="PYA254" s="243"/>
      <c r="PYB254" s="243"/>
      <c r="PYC254" s="243"/>
      <c r="PYD254" s="243"/>
      <c r="PYE254" s="243"/>
      <c r="PYF254" s="243"/>
      <c r="PYG254" s="243"/>
      <c r="PYH254" s="243"/>
      <c r="PYI254" s="243"/>
      <c r="PYJ254" s="243"/>
      <c r="PYK254" s="243"/>
      <c r="PYL254" s="243"/>
      <c r="PYM254" s="243"/>
      <c r="PYN254" s="243"/>
      <c r="PYO254" s="243"/>
      <c r="PYP254" s="243"/>
      <c r="PYQ254" s="243"/>
      <c r="PYR254" s="243"/>
      <c r="PYS254" s="243"/>
      <c r="PYT254" s="243"/>
      <c r="PYU254" s="243"/>
      <c r="PYV254" s="243"/>
      <c r="PYW254" s="243"/>
      <c r="PYX254" s="243"/>
      <c r="PYY254" s="243"/>
      <c r="PYZ254" s="243"/>
      <c r="PZA254" s="243"/>
      <c r="PZB254" s="243"/>
      <c r="PZC254" s="243"/>
      <c r="PZD254" s="243"/>
      <c r="PZE254" s="243"/>
      <c r="PZF254" s="243"/>
      <c r="PZG254" s="243"/>
      <c r="PZH254" s="243"/>
      <c r="PZI254" s="243"/>
      <c r="PZJ254" s="243"/>
      <c r="PZK254" s="243"/>
      <c r="PZL254" s="243"/>
      <c r="PZM254" s="243"/>
      <c r="PZN254" s="243"/>
      <c r="PZO254" s="243"/>
      <c r="PZP254" s="243"/>
      <c r="PZQ254" s="243"/>
      <c r="PZR254" s="243"/>
      <c r="PZS254" s="243"/>
      <c r="PZT254" s="243"/>
      <c r="PZU254" s="243"/>
      <c r="PZV254" s="243"/>
      <c r="PZW254" s="243"/>
      <c r="PZX254" s="243"/>
      <c r="PZY254" s="243"/>
      <c r="PZZ254" s="243"/>
      <c r="QAA254" s="243"/>
      <c r="QAB254" s="243"/>
      <c r="QAC254" s="243"/>
      <c r="QAD254" s="243"/>
      <c r="QAE254" s="243"/>
      <c r="QAF254" s="243"/>
      <c r="QAG254" s="243"/>
      <c r="QAH254" s="243"/>
      <c r="QAI254" s="243"/>
      <c r="QAJ254" s="243"/>
      <c r="QAK254" s="243"/>
      <c r="QAL254" s="243"/>
      <c r="QAM254" s="243"/>
      <c r="QAN254" s="243"/>
      <c r="QAO254" s="243"/>
      <c r="QAP254" s="243"/>
      <c r="QAQ254" s="243"/>
      <c r="QAR254" s="243"/>
      <c r="QAS254" s="243"/>
      <c r="QAT254" s="243"/>
      <c r="QAU254" s="243"/>
      <c r="QAV254" s="243"/>
      <c r="QAW254" s="243"/>
      <c r="QAX254" s="243"/>
      <c r="QAY254" s="243"/>
      <c r="QAZ254" s="243"/>
      <c r="QBA254" s="243"/>
      <c r="QBB254" s="243"/>
      <c r="QBC254" s="243"/>
      <c r="QBD254" s="243"/>
      <c r="QBE254" s="243"/>
      <c r="QBF254" s="243"/>
      <c r="QBG254" s="243"/>
      <c r="QBH254" s="243"/>
      <c r="QBI254" s="243"/>
      <c r="QBJ254" s="243"/>
      <c r="QBK254" s="243"/>
      <c r="QBL254" s="243"/>
      <c r="QBM254" s="243"/>
      <c r="QBN254" s="243"/>
      <c r="QBO254" s="243"/>
      <c r="QBP254" s="243"/>
      <c r="QBQ254" s="243"/>
      <c r="QBR254" s="243"/>
      <c r="QBS254" s="243"/>
      <c r="QBT254" s="243"/>
      <c r="QBU254" s="243"/>
      <c r="QBV254" s="243"/>
      <c r="QBW254" s="243"/>
      <c r="QBX254" s="243"/>
      <c r="QBY254" s="243"/>
      <c r="QBZ254" s="243"/>
      <c r="QCA254" s="243"/>
      <c r="QCB254" s="243"/>
      <c r="QCC254" s="243"/>
      <c r="QCD254" s="243"/>
      <c r="QCE254" s="243"/>
      <c r="QCF254" s="243"/>
      <c r="QCG254" s="243"/>
      <c r="QCH254" s="243"/>
      <c r="QCI254" s="243"/>
      <c r="QCJ254" s="243"/>
      <c r="QCK254" s="243"/>
      <c r="QCL254" s="243"/>
      <c r="QCM254" s="243"/>
      <c r="QCN254" s="243"/>
      <c r="QCO254" s="243"/>
      <c r="QCP254" s="243"/>
      <c r="QCQ254" s="243"/>
      <c r="QCR254" s="243"/>
      <c r="QCS254" s="243"/>
      <c r="QCT254" s="243"/>
      <c r="QCU254" s="243"/>
      <c r="QCV254" s="243"/>
      <c r="QCW254" s="243"/>
      <c r="QCX254" s="243"/>
      <c r="QCY254" s="243"/>
      <c r="QCZ254" s="243"/>
      <c r="QDA254" s="243"/>
      <c r="QDB254" s="243"/>
      <c r="QDC254" s="243"/>
      <c r="QDD254" s="243"/>
      <c r="QDE254" s="243"/>
      <c r="QDF254" s="243"/>
      <c r="QDG254" s="243"/>
      <c r="QDH254" s="243"/>
      <c r="QDI254" s="243"/>
      <c r="QDJ254" s="243"/>
      <c r="QDK254" s="243"/>
      <c r="QDL254" s="243"/>
      <c r="QDM254" s="243"/>
      <c r="QDN254" s="243"/>
      <c r="QDO254" s="243"/>
      <c r="QDP254" s="243"/>
      <c r="QDQ254" s="243"/>
      <c r="QDR254" s="243"/>
      <c r="QDS254" s="243"/>
      <c r="QDT254" s="243"/>
      <c r="QDU254" s="243"/>
      <c r="QDV254" s="243"/>
      <c r="QDW254" s="243"/>
      <c r="QDX254" s="243"/>
      <c r="QDY254" s="243"/>
      <c r="QDZ254" s="243"/>
      <c r="QEA254" s="243"/>
      <c r="QEB254" s="243"/>
      <c r="QEC254" s="243"/>
      <c r="QED254" s="243"/>
      <c r="QEE254" s="243"/>
      <c r="QEF254" s="243"/>
      <c r="QEG254" s="243"/>
      <c r="QEH254" s="243"/>
      <c r="QEI254" s="243"/>
      <c r="QEJ254" s="243"/>
      <c r="QEK254" s="243"/>
      <c r="QEL254" s="243"/>
      <c r="QEM254" s="243"/>
      <c r="QEN254" s="243"/>
      <c r="QEO254" s="243"/>
      <c r="QEP254" s="243"/>
      <c r="QEQ254" s="243"/>
      <c r="QER254" s="243"/>
      <c r="QES254" s="243"/>
      <c r="QET254" s="243"/>
      <c r="QEU254" s="243"/>
      <c r="QEV254" s="243"/>
      <c r="QEW254" s="243"/>
      <c r="QEX254" s="243"/>
      <c r="QEY254" s="243"/>
      <c r="QEZ254" s="243"/>
      <c r="QFA254" s="243"/>
      <c r="QFB254" s="243"/>
      <c r="QFC254" s="243"/>
      <c r="QFD254" s="243"/>
      <c r="QFE254" s="243"/>
      <c r="QFF254" s="243"/>
      <c r="QFG254" s="243"/>
      <c r="QFH254" s="243"/>
      <c r="QFI254" s="243"/>
      <c r="QFJ254" s="243"/>
      <c r="QFK254" s="243"/>
      <c r="QFL254" s="243"/>
      <c r="QFM254" s="243"/>
      <c r="QFN254" s="243"/>
      <c r="QFO254" s="243"/>
      <c r="QFP254" s="243"/>
      <c r="QFQ254" s="243"/>
      <c r="QFR254" s="243"/>
      <c r="QFS254" s="243"/>
      <c r="QFT254" s="243"/>
      <c r="QFU254" s="243"/>
      <c r="QFV254" s="243"/>
      <c r="QFW254" s="243"/>
      <c r="QFX254" s="243"/>
      <c r="QFY254" s="243"/>
      <c r="QFZ254" s="243"/>
      <c r="QGA254" s="243"/>
      <c r="QGB254" s="243"/>
      <c r="QGC254" s="243"/>
      <c r="QGD254" s="243"/>
      <c r="QGE254" s="243"/>
      <c r="QGF254" s="243"/>
      <c r="QGG254" s="243"/>
      <c r="QGH254" s="243"/>
      <c r="QGI254" s="243"/>
      <c r="QGJ254" s="243"/>
      <c r="QGK254" s="243"/>
      <c r="QGL254" s="243"/>
      <c r="QGM254" s="243"/>
      <c r="QGN254" s="243"/>
      <c r="QGO254" s="243"/>
      <c r="QGP254" s="243"/>
      <c r="QGQ254" s="243"/>
      <c r="QGR254" s="243"/>
      <c r="QGS254" s="243"/>
      <c r="QGT254" s="243"/>
      <c r="QGU254" s="243"/>
      <c r="QGV254" s="243"/>
      <c r="QGW254" s="243"/>
      <c r="QGX254" s="243"/>
      <c r="QGY254" s="243"/>
      <c r="QGZ254" s="243"/>
      <c r="QHA254" s="243"/>
      <c r="QHB254" s="243"/>
      <c r="QHC254" s="243"/>
      <c r="QHD254" s="243"/>
      <c r="QHE254" s="243"/>
      <c r="QHF254" s="243"/>
      <c r="QHG254" s="243"/>
      <c r="QHH254" s="243"/>
      <c r="QHI254" s="243"/>
      <c r="QHJ254" s="243"/>
      <c r="QHK254" s="243"/>
      <c r="QHL254" s="243"/>
      <c r="QHM254" s="243"/>
      <c r="QHN254" s="243"/>
      <c r="QHO254" s="243"/>
      <c r="QHP254" s="243"/>
      <c r="QHQ254" s="243"/>
      <c r="QHR254" s="243"/>
      <c r="QHS254" s="243"/>
      <c r="QHT254" s="243"/>
      <c r="QHU254" s="243"/>
      <c r="QHV254" s="243"/>
      <c r="QHW254" s="243"/>
      <c r="QHX254" s="243"/>
      <c r="QHY254" s="243"/>
      <c r="QHZ254" s="243"/>
      <c r="QIA254" s="243"/>
      <c r="QIB254" s="243"/>
      <c r="QIC254" s="243"/>
      <c r="QID254" s="243"/>
      <c r="QIE254" s="243"/>
      <c r="QIF254" s="243"/>
      <c r="QIG254" s="243"/>
      <c r="QIH254" s="243"/>
      <c r="QII254" s="243"/>
      <c r="QIJ254" s="243"/>
      <c r="QIK254" s="243"/>
      <c r="QIL254" s="243"/>
      <c r="QIM254" s="243"/>
      <c r="QIN254" s="243"/>
      <c r="QIO254" s="243"/>
      <c r="QIP254" s="243"/>
      <c r="QIQ254" s="243"/>
      <c r="QIR254" s="243"/>
      <c r="QIS254" s="243"/>
      <c r="QIT254" s="243"/>
      <c r="QIU254" s="243"/>
      <c r="QIV254" s="243"/>
      <c r="QIW254" s="243"/>
      <c r="QIX254" s="243"/>
      <c r="QIY254" s="243"/>
      <c r="QIZ254" s="243"/>
      <c r="QJA254" s="243"/>
      <c r="QJB254" s="243"/>
      <c r="QJC254" s="243"/>
      <c r="QJD254" s="243"/>
      <c r="QJE254" s="243"/>
      <c r="QJF254" s="243"/>
      <c r="QJG254" s="243"/>
      <c r="QJH254" s="243"/>
      <c r="QJI254" s="243"/>
      <c r="QJJ254" s="243"/>
      <c r="QJK254" s="243"/>
      <c r="QJL254" s="243"/>
      <c r="QJM254" s="243"/>
      <c r="QJN254" s="243"/>
      <c r="QJO254" s="243"/>
      <c r="QJP254" s="243"/>
      <c r="QJQ254" s="243"/>
      <c r="QJR254" s="243"/>
      <c r="QJS254" s="243"/>
      <c r="QJT254" s="243"/>
      <c r="QJU254" s="243"/>
      <c r="QJV254" s="243"/>
      <c r="QJW254" s="243"/>
      <c r="QJX254" s="243"/>
      <c r="QJY254" s="243"/>
      <c r="QJZ254" s="243"/>
      <c r="QKA254" s="243"/>
      <c r="QKB254" s="243"/>
      <c r="QKC254" s="243"/>
      <c r="QKD254" s="243"/>
      <c r="QKE254" s="243"/>
      <c r="QKF254" s="243"/>
      <c r="QKG254" s="243"/>
      <c r="QKH254" s="243"/>
      <c r="QKI254" s="243"/>
      <c r="QKJ254" s="243"/>
      <c r="QKK254" s="243"/>
      <c r="QKL254" s="243"/>
      <c r="QKM254" s="243"/>
      <c r="QKN254" s="243"/>
      <c r="QKO254" s="243"/>
      <c r="QKP254" s="243"/>
      <c r="QKQ254" s="243"/>
      <c r="QKR254" s="243"/>
      <c r="QKS254" s="243"/>
      <c r="QKT254" s="243"/>
      <c r="QKU254" s="243"/>
      <c r="QKV254" s="243"/>
      <c r="QKW254" s="243"/>
      <c r="QKX254" s="243"/>
      <c r="QKY254" s="243"/>
      <c r="QKZ254" s="243"/>
      <c r="QLA254" s="243"/>
      <c r="QLB254" s="243"/>
      <c r="QLC254" s="243"/>
      <c r="QLD254" s="243"/>
      <c r="QLE254" s="243"/>
      <c r="QLF254" s="243"/>
      <c r="QLG254" s="243"/>
      <c r="QLH254" s="243"/>
      <c r="QLI254" s="243"/>
      <c r="QLJ254" s="243"/>
      <c r="QLK254" s="243"/>
      <c r="QLL254" s="243"/>
      <c r="QLM254" s="243"/>
      <c r="QLN254" s="243"/>
      <c r="QLO254" s="243"/>
      <c r="QLP254" s="243"/>
      <c r="QLQ254" s="243"/>
      <c r="QLR254" s="243"/>
      <c r="QLS254" s="243"/>
      <c r="QLT254" s="243"/>
      <c r="QLU254" s="243"/>
      <c r="QLV254" s="243"/>
      <c r="QLW254" s="243"/>
      <c r="QLX254" s="243"/>
      <c r="QLY254" s="243"/>
      <c r="QLZ254" s="243"/>
      <c r="QMA254" s="243"/>
      <c r="QMB254" s="243"/>
      <c r="QMC254" s="243"/>
      <c r="QMD254" s="243"/>
      <c r="QME254" s="243"/>
      <c r="QMF254" s="243"/>
      <c r="QMG254" s="243"/>
      <c r="QMH254" s="243"/>
      <c r="QMI254" s="243"/>
      <c r="QMJ254" s="243"/>
      <c r="QMK254" s="243"/>
      <c r="QML254" s="243"/>
      <c r="QMM254" s="243"/>
      <c r="QMN254" s="243"/>
      <c r="QMO254" s="243"/>
      <c r="QMP254" s="243"/>
      <c r="QMQ254" s="243"/>
      <c r="QMR254" s="243"/>
      <c r="QMS254" s="243"/>
      <c r="QMT254" s="243"/>
      <c r="QMU254" s="243"/>
      <c r="QMV254" s="243"/>
      <c r="QMW254" s="243"/>
      <c r="QMX254" s="243"/>
      <c r="QMY254" s="243"/>
      <c r="QMZ254" s="243"/>
      <c r="QNA254" s="243"/>
      <c r="QNB254" s="243"/>
      <c r="QNC254" s="243"/>
      <c r="QND254" s="243"/>
      <c r="QNE254" s="243"/>
      <c r="QNF254" s="243"/>
      <c r="QNG254" s="243"/>
      <c r="QNH254" s="243"/>
      <c r="QNI254" s="243"/>
      <c r="QNJ254" s="243"/>
      <c r="QNK254" s="243"/>
      <c r="QNL254" s="243"/>
      <c r="QNM254" s="243"/>
      <c r="QNN254" s="243"/>
      <c r="QNO254" s="243"/>
      <c r="QNP254" s="243"/>
      <c r="QNQ254" s="243"/>
      <c r="QNR254" s="243"/>
      <c r="QNS254" s="243"/>
      <c r="QNT254" s="243"/>
      <c r="QNU254" s="243"/>
      <c r="QNV254" s="243"/>
      <c r="QNW254" s="243"/>
      <c r="QNX254" s="243"/>
      <c r="QNY254" s="243"/>
      <c r="QNZ254" s="243"/>
      <c r="QOA254" s="243"/>
      <c r="QOB254" s="243"/>
      <c r="QOC254" s="243"/>
      <c r="QOD254" s="243"/>
      <c r="QOE254" s="243"/>
      <c r="QOF254" s="243"/>
      <c r="QOG254" s="243"/>
      <c r="QOH254" s="243"/>
      <c r="QOI254" s="243"/>
      <c r="QOJ254" s="243"/>
      <c r="QOK254" s="243"/>
      <c r="QOL254" s="243"/>
      <c r="QOM254" s="243"/>
      <c r="QON254" s="243"/>
      <c r="QOO254" s="243"/>
      <c r="QOP254" s="243"/>
      <c r="QOQ254" s="243"/>
      <c r="QOR254" s="243"/>
      <c r="QOS254" s="243"/>
      <c r="QOT254" s="243"/>
      <c r="QOU254" s="243"/>
      <c r="QOV254" s="243"/>
      <c r="QOW254" s="243"/>
      <c r="QOX254" s="243"/>
      <c r="QOY254" s="243"/>
      <c r="QOZ254" s="243"/>
      <c r="QPA254" s="243"/>
      <c r="QPB254" s="243"/>
      <c r="QPC254" s="243"/>
      <c r="QPD254" s="243"/>
      <c r="QPE254" s="243"/>
      <c r="QPF254" s="243"/>
      <c r="QPG254" s="243"/>
      <c r="QPH254" s="243"/>
      <c r="QPI254" s="243"/>
      <c r="QPJ254" s="243"/>
      <c r="QPK254" s="243"/>
      <c r="QPL254" s="243"/>
      <c r="QPM254" s="243"/>
      <c r="QPN254" s="243"/>
      <c r="QPO254" s="243"/>
      <c r="QPP254" s="243"/>
      <c r="QPQ254" s="243"/>
      <c r="QPR254" s="243"/>
      <c r="QPS254" s="243"/>
      <c r="QPT254" s="243"/>
      <c r="QPU254" s="243"/>
      <c r="QPV254" s="243"/>
      <c r="QPW254" s="243"/>
      <c r="QPX254" s="243"/>
      <c r="QPY254" s="243"/>
      <c r="QPZ254" s="243"/>
      <c r="QQA254" s="243"/>
      <c r="QQB254" s="243"/>
      <c r="QQC254" s="243"/>
      <c r="QQD254" s="243"/>
      <c r="QQE254" s="243"/>
      <c r="QQF254" s="243"/>
      <c r="QQG254" s="243"/>
      <c r="QQH254" s="243"/>
      <c r="QQI254" s="243"/>
      <c r="QQJ254" s="243"/>
      <c r="QQK254" s="243"/>
      <c r="QQL254" s="243"/>
      <c r="QQM254" s="243"/>
      <c r="QQN254" s="243"/>
      <c r="QQO254" s="243"/>
      <c r="QQP254" s="243"/>
      <c r="QQQ254" s="243"/>
      <c r="QQR254" s="243"/>
      <c r="QQS254" s="243"/>
      <c r="QQT254" s="243"/>
      <c r="QQU254" s="243"/>
      <c r="QQV254" s="243"/>
      <c r="QQW254" s="243"/>
      <c r="QQX254" s="243"/>
      <c r="QQY254" s="243"/>
      <c r="QQZ254" s="243"/>
      <c r="QRA254" s="243"/>
      <c r="QRB254" s="243"/>
      <c r="QRC254" s="243"/>
      <c r="QRD254" s="243"/>
      <c r="QRE254" s="243"/>
      <c r="QRF254" s="243"/>
      <c r="QRG254" s="243"/>
      <c r="QRH254" s="243"/>
      <c r="QRI254" s="243"/>
      <c r="QRJ254" s="243"/>
      <c r="QRK254" s="243"/>
      <c r="QRL254" s="243"/>
      <c r="QRM254" s="243"/>
      <c r="QRN254" s="243"/>
      <c r="QRO254" s="243"/>
      <c r="QRP254" s="243"/>
      <c r="QRQ254" s="243"/>
      <c r="QRR254" s="243"/>
      <c r="QRS254" s="243"/>
      <c r="QRT254" s="243"/>
      <c r="QRU254" s="243"/>
      <c r="QRV254" s="243"/>
      <c r="QRW254" s="243"/>
      <c r="QRX254" s="243"/>
      <c r="QRY254" s="243"/>
      <c r="QRZ254" s="243"/>
      <c r="QSA254" s="243"/>
      <c r="QSB254" s="243"/>
      <c r="QSC254" s="243"/>
      <c r="QSD254" s="243"/>
      <c r="QSE254" s="243"/>
      <c r="QSF254" s="243"/>
      <c r="QSG254" s="243"/>
      <c r="QSH254" s="243"/>
      <c r="QSI254" s="243"/>
      <c r="QSJ254" s="243"/>
      <c r="QSK254" s="243"/>
      <c r="QSL254" s="243"/>
      <c r="QSM254" s="243"/>
      <c r="QSN254" s="243"/>
      <c r="QSO254" s="243"/>
      <c r="QSP254" s="243"/>
      <c r="QSQ254" s="243"/>
      <c r="QSR254" s="243"/>
      <c r="QSS254" s="243"/>
      <c r="QST254" s="243"/>
      <c r="QSU254" s="243"/>
      <c r="QSV254" s="243"/>
      <c r="QSW254" s="243"/>
      <c r="QSX254" s="243"/>
      <c r="QSY254" s="243"/>
      <c r="QSZ254" s="243"/>
      <c r="QTA254" s="243"/>
      <c r="QTB254" s="243"/>
      <c r="QTC254" s="243"/>
      <c r="QTD254" s="243"/>
      <c r="QTE254" s="243"/>
      <c r="QTF254" s="243"/>
      <c r="QTG254" s="243"/>
      <c r="QTH254" s="243"/>
      <c r="QTI254" s="243"/>
      <c r="QTJ254" s="243"/>
      <c r="QTK254" s="243"/>
      <c r="QTL254" s="243"/>
      <c r="QTM254" s="243"/>
      <c r="QTN254" s="243"/>
      <c r="QTO254" s="243"/>
      <c r="QTP254" s="243"/>
      <c r="QTQ254" s="243"/>
      <c r="QTR254" s="243"/>
      <c r="QTS254" s="243"/>
      <c r="QTT254" s="243"/>
      <c r="QTU254" s="243"/>
      <c r="QTV254" s="243"/>
      <c r="QTW254" s="243"/>
      <c r="QTX254" s="243"/>
      <c r="QTY254" s="243"/>
      <c r="QTZ254" s="243"/>
      <c r="QUA254" s="243"/>
      <c r="QUB254" s="243"/>
      <c r="QUC254" s="243"/>
      <c r="QUD254" s="243"/>
      <c r="QUE254" s="243"/>
      <c r="QUF254" s="243"/>
      <c r="QUG254" s="243"/>
      <c r="QUH254" s="243"/>
      <c r="QUI254" s="243"/>
      <c r="QUJ254" s="243"/>
      <c r="QUK254" s="243"/>
      <c r="QUL254" s="243"/>
      <c r="QUM254" s="243"/>
      <c r="QUN254" s="243"/>
      <c r="QUO254" s="243"/>
      <c r="QUP254" s="243"/>
      <c r="QUQ254" s="243"/>
      <c r="QUR254" s="243"/>
      <c r="QUS254" s="243"/>
      <c r="QUT254" s="243"/>
      <c r="QUU254" s="243"/>
      <c r="QUV254" s="243"/>
      <c r="QUW254" s="243"/>
      <c r="QUX254" s="243"/>
      <c r="QUY254" s="243"/>
      <c r="QUZ254" s="243"/>
      <c r="QVA254" s="243"/>
      <c r="QVB254" s="243"/>
      <c r="QVC254" s="243"/>
      <c r="QVD254" s="243"/>
      <c r="QVE254" s="243"/>
      <c r="QVF254" s="243"/>
      <c r="QVG254" s="243"/>
      <c r="QVH254" s="243"/>
      <c r="QVI254" s="243"/>
      <c r="QVJ254" s="243"/>
      <c r="QVK254" s="243"/>
      <c r="QVL254" s="243"/>
      <c r="QVM254" s="243"/>
      <c r="QVN254" s="243"/>
      <c r="QVO254" s="243"/>
      <c r="QVP254" s="243"/>
      <c r="QVQ254" s="243"/>
      <c r="QVR254" s="243"/>
      <c r="QVS254" s="243"/>
      <c r="QVT254" s="243"/>
      <c r="QVU254" s="243"/>
      <c r="QVV254" s="243"/>
      <c r="QVW254" s="243"/>
      <c r="QVX254" s="243"/>
      <c r="QVY254" s="243"/>
      <c r="QVZ254" s="243"/>
      <c r="QWA254" s="243"/>
      <c r="QWB254" s="243"/>
      <c r="QWC254" s="243"/>
      <c r="QWD254" s="243"/>
      <c r="QWE254" s="243"/>
      <c r="QWF254" s="243"/>
      <c r="QWG254" s="243"/>
      <c r="QWH254" s="243"/>
      <c r="QWI254" s="243"/>
      <c r="QWJ254" s="243"/>
      <c r="QWK254" s="243"/>
      <c r="QWL254" s="243"/>
      <c r="QWM254" s="243"/>
      <c r="QWN254" s="243"/>
      <c r="QWO254" s="243"/>
      <c r="QWP254" s="243"/>
      <c r="QWQ254" s="243"/>
      <c r="QWR254" s="243"/>
      <c r="QWS254" s="243"/>
      <c r="QWT254" s="243"/>
      <c r="QWU254" s="243"/>
      <c r="QWV254" s="243"/>
      <c r="QWW254" s="243"/>
      <c r="QWX254" s="243"/>
      <c r="QWY254" s="243"/>
      <c r="QWZ254" s="243"/>
      <c r="QXA254" s="243"/>
      <c r="QXB254" s="243"/>
      <c r="QXC254" s="243"/>
      <c r="QXD254" s="243"/>
      <c r="QXE254" s="243"/>
      <c r="QXF254" s="243"/>
      <c r="QXG254" s="243"/>
      <c r="QXH254" s="243"/>
      <c r="QXI254" s="243"/>
      <c r="QXJ254" s="243"/>
      <c r="QXK254" s="243"/>
      <c r="QXL254" s="243"/>
      <c r="QXM254" s="243"/>
      <c r="QXN254" s="243"/>
      <c r="QXO254" s="243"/>
      <c r="QXP254" s="243"/>
      <c r="QXQ254" s="243"/>
      <c r="QXR254" s="243"/>
      <c r="QXS254" s="243"/>
      <c r="QXT254" s="243"/>
      <c r="QXU254" s="243"/>
      <c r="QXV254" s="243"/>
      <c r="QXW254" s="243"/>
      <c r="QXX254" s="243"/>
      <c r="QXY254" s="243"/>
      <c r="QXZ254" s="243"/>
      <c r="QYA254" s="243"/>
      <c r="QYB254" s="243"/>
      <c r="QYC254" s="243"/>
      <c r="QYD254" s="243"/>
      <c r="QYE254" s="243"/>
      <c r="QYF254" s="243"/>
      <c r="QYG254" s="243"/>
      <c r="QYH254" s="243"/>
      <c r="QYI254" s="243"/>
      <c r="QYJ254" s="243"/>
      <c r="QYK254" s="243"/>
      <c r="QYL254" s="243"/>
      <c r="QYM254" s="243"/>
      <c r="QYN254" s="243"/>
      <c r="QYO254" s="243"/>
      <c r="QYP254" s="243"/>
      <c r="QYQ254" s="243"/>
      <c r="QYR254" s="243"/>
      <c r="QYS254" s="243"/>
      <c r="QYT254" s="243"/>
      <c r="QYU254" s="243"/>
      <c r="QYV254" s="243"/>
      <c r="QYW254" s="243"/>
      <c r="QYX254" s="243"/>
      <c r="QYY254" s="243"/>
      <c r="QYZ254" s="243"/>
      <c r="QZA254" s="243"/>
      <c r="QZB254" s="243"/>
      <c r="QZC254" s="243"/>
      <c r="QZD254" s="243"/>
      <c r="QZE254" s="243"/>
      <c r="QZF254" s="243"/>
      <c r="QZG254" s="243"/>
      <c r="QZH254" s="243"/>
      <c r="QZI254" s="243"/>
      <c r="QZJ254" s="243"/>
      <c r="QZK254" s="243"/>
      <c r="QZL254" s="243"/>
      <c r="QZM254" s="243"/>
      <c r="QZN254" s="243"/>
      <c r="QZO254" s="243"/>
      <c r="QZP254" s="243"/>
      <c r="QZQ254" s="243"/>
      <c r="QZR254" s="243"/>
      <c r="QZS254" s="243"/>
      <c r="QZT254" s="243"/>
      <c r="QZU254" s="243"/>
      <c r="QZV254" s="243"/>
      <c r="QZW254" s="243"/>
      <c r="QZX254" s="243"/>
      <c r="QZY254" s="243"/>
      <c r="QZZ254" s="243"/>
      <c r="RAA254" s="243"/>
      <c r="RAB254" s="243"/>
      <c r="RAC254" s="243"/>
      <c r="RAD254" s="243"/>
      <c r="RAE254" s="243"/>
      <c r="RAF254" s="243"/>
      <c r="RAG254" s="243"/>
      <c r="RAH254" s="243"/>
      <c r="RAI254" s="243"/>
      <c r="RAJ254" s="243"/>
      <c r="RAK254" s="243"/>
      <c r="RAL254" s="243"/>
      <c r="RAM254" s="243"/>
      <c r="RAN254" s="243"/>
      <c r="RAO254" s="243"/>
      <c r="RAP254" s="243"/>
      <c r="RAQ254" s="243"/>
      <c r="RAR254" s="243"/>
      <c r="RAS254" s="243"/>
      <c r="RAT254" s="243"/>
      <c r="RAU254" s="243"/>
      <c r="RAV254" s="243"/>
      <c r="RAW254" s="243"/>
      <c r="RAX254" s="243"/>
      <c r="RAY254" s="243"/>
      <c r="RAZ254" s="243"/>
      <c r="RBA254" s="243"/>
      <c r="RBB254" s="243"/>
      <c r="RBC254" s="243"/>
      <c r="RBD254" s="243"/>
      <c r="RBE254" s="243"/>
      <c r="RBF254" s="243"/>
      <c r="RBG254" s="243"/>
      <c r="RBH254" s="243"/>
      <c r="RBI254" s="243"/>
      <c r="RBJ254" s="243"/>
      <c r="RBK254" s="243"/>
      <c r="RBL254" s="243"/>
      <c r="RBM254" s="243"/>
      <c r="RBN254" s="243"/>
      <c r="RBO254" s="243"/>
      <c r="RBP254" s="243"/>
      <c r="RBQ254" s="243"/>
      <c r="RBR254" s="243"/>
      <c r="RBS254" s="243"/>
      <c r="RBT254" s="243"/>
      <c r="RBU254" s="243"/>
      <c r="RBV254" s="243"/>
      <c r="RBW254" s="243"/>
      <c r="RBX254" s="243"/>
      <c r="RBY254" s="243"/>
      <c r="RBZ254" s="243"/>
      <c r="RCA254" s="243"/>
      <c r="RCB254" s="243"/>
      <c r="RCC254" s="243"/>
      <c r="RCD254" s="243"/>
      <c r="RCE254" s="243"/>
      <c r="RCF254" s="243"/>
      <c r="RCG254" s="243"/>
      <c r="RCH254" s="243"/>
      <c r="RCI254" s="243"/>
      <c r="RCJ254" s="243"/>
      <c r="RCK254" s="243"/>
      <c r="RCL254" s="243"/>
      <c r="RCM254" s="243"/>
      <c r="RCN254" s="243"/>
      <c r="RCO254" s="243"/>
      <c r="RCP254" s="243"/>
      <c r="RCQ254" s="243"/>
      <c r="RCR254" s="243"/>
      <c r="RCS254" s="243"/>
      <c r="RCT254" s="243"/>
      <c r="RCU254" s="243"/>
      <c r="RCV254" s="243"/>
      <c r="RCW254" s="243"/>
      <c r="RCX254" s="243"/>
      <c r="RCY254" s="243"/>
      <c r="RCZ254" s="243"/>
      <c r="RDA254" s="243"/>
      <c r="RDB254" s="243"/>
      <c r="RDC254" s="243"/>
      <c r="RDD254" s="243"/>
      <c r="RDE254" s="243"/>
      <c r="RDF254" s="243"/>
      <c r="RDG254" s="243"/>
      <c r="RDH254" s="243"/>
      <c r="RDI254" s="243"/>
      <c r="RDJ254" s="243"/>
      <c r="RDK254" s="243"/>
      <c r="RDL254" s="243"/>
      <c r="RDM254" s="243"/>
      <c r="RDN254" s="243"/>
      <c r="RDO254" s="243"/>
      <c r="RDP254" s="243"/>
      <c r="RDQ254" s="243"/>
      <c r="RDR254" s="243"/>
      <c r="RDS254" s="243"/>
      <c r="RDT254" s="243"/>
      <c r="RDU254" s="243"/>
      <c r="RDV254" s="243"/>
      <c r="RDW254" s="243"/>
      <c r="RDX254" s="243"/>
      <c r="RDY254" s="243"/>
      <c r="RDZ254" s="243"/>
      <c r="REA254" s="243"/>
      <c r="REB254" s="243"/>
      <c r="REC254" s="243"/>
      <c r="RED254" s="243"/>
      <c r="REE254" s="243"/>
      <c r="REF254" s="243"/>
      <c r="REG254" s="243"/>
      <c r="REH254" s="243"/>
      <c r="REI254" s="243"/>
      <c r="REJ254" s="243"/>
      <c r="REK254" s="243"/>
      <c r="REL254" s="243"/>
      <c r="REM254" s="243"/>
      <c r="REN254" s="243"/>
      <c r="REO254" s="243"/>
      <c r="REP254" s="243"/>
      <c r="REQ254" s="243"/>
      <c r="RER254" s="243"/>
      <c r="RES254" s="243"/>
      <c r="RET254" s="243"/>
      <c r="REU254" s="243"/>
      <c r="REV254" s="243"/>
      <c r="REW254" s="243"/>
      <c r="REX254" s="243"/>
      <c r="REY254" s="243"/>
      <c r="REZ254" s="243"/>
      <c r="RFA254" s="243"/>
      <c r="RFB254" s="243"/>
      <c r="RFC254" s="243"/>
      <c r="RFD254" s="243"/>
      <c r="RFE254" s="243"/>
      <c r="RFF254" s="243"/>
      <c r="RFG254" s="243"/>
      <c r="RFH254" s="243"/>
      <c r="RFI254" s="243"/>
      <c r="RFJ254" s="243"/>
      <c r="RFK254" s="243"/>
      <c r="RFL254" s="243"/>
      <c r="RFM254" s="243"/>
      <c r="RFN254" s="243"/>
      <c r="RFO254" s="243"/>
      <c r="RFP254" s="243"/>
      <c r="RFQ254" s="243"/>
      <c r="RFR254" s="243"/>
      <c r="RFS254" s="243"/>
      <c r="RFT254" s="243"/>
      <c r="RFU254" s="243"/>
      <c r="RFV254" s="243"/>
      <c r="RFW254" s="243"/>
      <c r="RFX254" s="243"/>
      <c r="RFY254" s="243"/>
      <c r="RFZ254" s="243"/>
      <c r="RGA254" s="243"/>
      <c r="RGB254" s="243"/>
      <c r="RGC254" s="243"/>
      <c r="RGD254" s="243"/>
      <c r="RGE254" s="243"/>
      <c r="RGF254" s="243"/>
      <c r="RGG254" s="243"/>
      <c r="RGH254" s="243"/>
      <c r="RGI254" s="243"/>
      <c r="RGJ254" s="243"/>
      <c r="RGK254" s="243"/>
      <c r="RGL254" s="243"/>
      <c r="RGM254" s="243"/>
      <c r="RGN254" s="243"/>
      <c r="RGO254" s="243"/>
      <c r="RGP254" s="243"/>
      <c r="RGQ254" s="243"/>
      <c r="RGR254" s="243"/>
      <c r="RGS254" s="243"/>
      <c r="RGT254" s="243"/>
      <c r="RGU254" s="243"/>
      <c r="RGV254" s="243"/>
      <c r="RGW254" s="243"/>
      <c r="RGX254" s="243"/>
      <c r="RGY254" s="243"/>
      <c r="RGZ254" s="243"/>
      <c r="RHA254" s="243"/>
      <c r="RHB254" s="243"/>
      <c r="RHC254" s="243"/>
      <c r="RHD254" s="243"/>
      <c r="RHE254" s="243"/>
      <c r="RHF254" s="243"/>
      <c r="RHG254" s="243"/>
      <c r="RHH254" s="243"/>
      <c r="RHI254" s="243"/>
      <c r="RHJ254" s="243"/>
      <c r="RHK254" s="243"/>
      <c r="RHL254" s="243"/>
      <c r="RHM254" s="243"/>
      <c r="RHN254" s="243"/>
      <c r="RHO254" s="243"/>
      <c r="RHP254" s="243"/>
      <c r="RHQ254" s="243"/>
      <c r="RHR254" s="243"/>
      <c r="RHS254" s="243"/>
      <c r="RHT254" s="243"/>
      <c r="RHU254" s="243"/>
      <c r="RHV254" s="243"/>
      <c r="RHW254" s="243"/>
      <c r="RHX254" s="243"/>
      <c r="RHY254" s="243"/>
      <c r="RHZ254" s="243"/>
      <c r="RIA254" s="243"/>
      <c r="RIB254" s="243"/>
      <c r="RIC254" s="243"/>
      <c r="RID254" s="243"/>
      <c r="RIE254" s="243"/>
      <c r="RIF254" s="243"/>
      <c r="RIG254" s="243"/>
      <c r="RIH254" s="243"/>
      <c r="RII254" s="243"/>
      <c r="RIJ254" s="243"/>
      <c r="RIK254" s="243"/>
      <c r="RIL254" s="243"/>
      <c r="RIM254" s="243"/>
      <c r="RIN254" s="243"/>
      <c r="RIO254" s="243"/>
      <c r="RIP254" s="243"/>
      <c r="RIQ254" s="243"/>
      <c r="RIR254" s="243"/>
      <c r="RIS254" s="243"/>
      <c r="RIT254" s="243"/>
      <c r="RIU254" s="243"/>
      <c r="RIV254" s="243"/>
      <c r="RIW254" s="243"/>
      <c r="RIX254" s="243"/>
      <c r="RIY254" s="243"/>
      <c r="RIZ254" s="243"/>
      <c r="RJA254" s="243"/>
      <c r="RJB254" s="243"/>
      <c r="RJC254" s="243"/>
      <c r="RJD254" s="243"/>
      <c r="RJE254" s="243"/>
      <c r="RJF254" s="243"/>
      <c r="RJG254" s="243"/>
      <c r="RJH254" s="243"/>
      <c r="RJI254" s="243"/>
      <c r="RJJ254" s="243"/>
      <c r="RJK254" s="243"/>
      <c r="RJL254" s="243"/>
      <c r="RJM254" s="243"/>
      <c r="RJN254" s="243"/>
      <c r="RJO254" s="243"/>
      <c r="RJP254" s="243"/>
      <c r="RJQ254" s="243"/>
      <c r="RJR254" s="243"/>
      <c r="RJS254" s="243"/>
      <c r="RJT254" s="243"/>
      <c r="RJU254" s="243"/>
      <c r="RJV254" s="243"/>
      <c r="RJW254" s="243"/>
      <c r="RJX254" s="243"/>
      <c r="RJY254" s="243"/>
      <c r="RJZ254" s="243"/>
      <c r="RKA254" s="243"/>
      <c r="RKB254" s="243"/>
      <c r="RKC254" s="243"/>
      <c r="RKD254" s="243"/>
      <c r="RKE254" s="243"/>
      <c r="RKF254" s="243"/>
      <c r="RKG254" s="243"/>
      <c r="RKH254" s="243"/>
      <c r="RKI254" s="243"/>
      <c r="RKJ254" s="243"/>
      <c r="RKK254" s="243"/>
      <c r="RKL254" s="243"/>
      <c r="RKM254" s="243"/>
      <c r="RKN254" s="243"/>
      <c r="RKO254" s="243"/>
      <c r="RKP254" s="243"/>
      <c r="RKQ254" s="243"/>
      <c r="RKR254" s="243"/>
      <c r="RKS254" s="243"/>
      <c r="RKT254" s="243"/>
      <c r="RKU254" s="243"/>
      <c r="RKV254" s="243"/>
      <c r="RKW254" s="243"/>
      <c r="RKX254" s="243"/>
      <c r="RKY254" s="243"/>
      <c r="RKZ254" s="243"/>
      <c r="RLA254" s="243"/>
      <c r="RLB254" s="243"/>
      <c r="RLC254" s="243"/>
      <c r="RLD254" s="243"/>
      <c r="RLE254" s="243"/>
      <c r="RLF254" s="243"/>
      <c r="RLG254" s="243"/>
      <c r="RLH254" s="243"/>
      <c r="RLI254" s="243"/>
      <c r="RLJ254" s="243"/>
      <c r="RLK254" s="243"/>
      <c r="RLL254" s="243"/>
      <c r="RLM254" s="243"/>
      <c r="RLN254" s="243"/>
      <c r="RLO254" s="243"/>
      <c r="RLP254" s="243"/>
      <c r="RLQ254" s="243"/>
      <c r="RLR254" s="243"/>
      <c r="RLS254" s="243"/>
      <c r="RLT254" s="243"/>
      <c r="RLU254" s="243"/>
      <c r="RLV254" s="243"/>
      <c r="RLW254" s="243"/>
      <c r="RLX254" s="243"/>
      <c r="RLY254" s="243"/>
      <c r="RLZ254" s="243"/>
      <c r="RMA254" s="243"/>
      <c r="RMB254" s="243"/>
      <c r="RMC254" s="243"/>
      <c r="RMD254" s="243"/>
      <c r="RME254" s="243"/>
      <c r="RMF254" s="243"/>
      <c r="RMG254" s="243"/>
      <c r="RMH254" s="243"/>
      <c r="RMI254" s="243"/>
      <c r="RMJ254" s="243"/>
      <c r="RMK254" s="243"/>
      <c r="RML254" s="243"/>
      <c r="RMM254" s="243"/>
      <c r="RMN254" s="243"/>
      <c r="RMO254" s="243"/>
      <c r="RMP254" s="243"/>
      <c r="RMQ254" s="243"/>
      <c r="RMR254" s="243"/>
      <c r="RMS254" s="243"/>
      <c r="RMT254" s="243"/>
      <c r="RMU254" s="243"/>
      <c r="RMV254" s="243"/>
      <c r="RMW254" s="243"/>
      <c r="RMX254" s="243"/>
      <c r="RMY254" s="243"/>
      <c r="RMZ254" s="243"/>
      <c r="RNA254" s="243"/>
      <c r="RNB254" s="243"/>
      <c r="RNC254" s="243"/>
      <c r="RND254" s="243"/>
      <c r="RNE254" s="243"/>
      <c r="RNF254" s="243"/>
      <c r="RNG254" s="243"/>
      <c r="RNH254" s="243"/>
      <c r="RNI254" s="243"/>
      <c r="RNJ254" s="243"/>
      <c r="RNK254" s="243"/>
      <c r="RNL254" s="243"/>
      <c r="RNM254" s="243"/>
      <c r="RNN254" s="243"/>
      <c r="RNO254" s="243"/>
      <c r="RNP254" s="243"/>
      <c r="RNQ254" s="243"/>
      <c r="RNR254" s="243"/>
      <c r="RNS254" s="243"/>
      <c r="RNT254" s="243"/>
      <c r="RNU254" s="243"/>
      <c r="RNV254" s="243"/>
      <c r="RNW254" s="243"/>
      <c r="RNX254" s="243"/>
      <c r="RNY254" s="243"/>
      <c r="RNZ254" s="243"/>
      <c r="ROA254" s="243"/>
      <c r="ROB254" s="243"/>
      <c r="ROC254" s="243"/>
      <c r="ROD254" s="243"/>
      <c r="ROE254" s="243"/>
      <c r="ROF254" s="243"/>
      <c r="ROG254" s="243"/>
      <c r="ROH254" s="243"/>
      <c r="ROI254" s="243"/>
      <c r="ROJ254" s="243"/>
      <c r="ROK254" s="243"/>
      <c r="ROL254" s="243"/>
      <c r="ROM254" s="243"/>
      <c r="RON254" s="243"/>
      <c r="ROO254" s="243"/>
      <c r="ROP254" s="243"/>
      <c r="ROQ254" s="243"/>
      <c r="ROR254" s="243"/>
      <c r="ROS254" s="243"/>
      <c r="ROT254" s="243"/>
      <c r="ROU254" s="243"/>
      <c r="ROV254" s="243"/>
      <c r="ROW254" s="243"/>
      <c r="ROX254" s="243"/>
      <c r="ROY254" s="243"/>
      <c r="ROZ254" s="243"/>
      <c r="RPA254" s="243"/>
      <c r="RPB254" s="243"/>
      <c r="RPC254" s="243"/>
      <c r="RPD254" s="243"/>
      <c r="RPE254" s="243"/>
      <c r="RPF254" s="243"/>
      <c r="RPG254" s="243"/>
      <c r="RPH254" s="243"/>
      <c r="RPI254" s="243"/>
      <c r="RPJ254" s="243"/>
      <c r="RPK254" s="243"/>
      <c r="RPL254" s="243"/>
      <c r="RPM254" s="243"/>
      <c r="RPN254" s="243"/>
      <c r="RPO254" s="243"/>
      <c r="RPP254" s="243"/>
      <c r="RPQ254" s="243"/>
      <c r="RPR254" s="243"/>
      <c r="RPS254" s="243"/>
      <c r="RPT254" s="243"/>
      <c r="RPU254" s="243"/>
      <c r="RPV254" s="243"/>
      <c r="RPW254" s="243"/>
      <c r="RPX254" s="243"/>
      <c r="RPY254" s="243"/>
      <c r="RPZ254" s="243"/>
      <c r="RQA254" s="243"/>
      <c r="RQB254" s="243"/>
      <c r="RQC254" s="243"/>
      <c r="RQD254" s="243"/>
      <c r="RQE254" s="243"/>
      <c r="RQF254" s="243"/>
      <c r="RQG254" s="243"/>
      <c r="RQH254" s="243"/>
      <c r="RQI254" s="243"/>
      <c r="RQJ254" s="243"/>
      <c r="RQK254" s="243"/>
      <c r="RQL254" s="243"/>
      <c r="RQM254" s="243"/>
      <c r="RQN254" s="243"/>
      <c r="RQO254" s="243"/>
      <c r="RQP254" s="243"/>
      <c r="RQQ254" s="243"/>
      <c r="RQR254" s="243"/>
      <c r="RQS254" s="243"/>
      <c r="RQT254" s="243"/>
      <c r="RQU254" s="243"/>
      <c r="RQV254" s="243"/>
      <c r="RQW254" s="243"/>
      <c r="RQX254" s="243"/>
      <c r="RQY254" s="243"/>
      <c r="RQZ254" s="243"/>
      <c r="RRA254" s="243"/>
      <c r="RRB254" s="243"/>
      <c r="RRC254" s="243"/>
      <c r="RRD254" s="243"/>
      <c r="RRE254" s="243"/>
      <c r="RRF254" s="243"/>
      <c r="RRG254" s="243"/>
      <c r="RRH254" s="243"/>
      <c r="RRI254" s="243"/>
      <c r="RRJ254" s="243"/>
      <c r="RRK254" s="243"/>
      <c r="RRL254" s="243"/>
      <c r="RRM254" s="243"/>
      <c r="RRN254" s="243"/>
      <c r="RRO254" s="243"/>
      <c r="RRP254" s="243"/>
      <c r="RRQ254" s="243"/>
      <c r="RRR254" s="243"/>
      <c r="RRS254" s="243"/>
      <c r="RRT254" s="243"/>
      <c r="RRU254" s="243"/>
      <c r="RRV254" s="243"/>
      <c r="RRW254" s="243"/>
      <c r="RRX254" s="243"/>
      <c r="RRY254" s="243"/>
      <c r="RRZ254" s="243"/>
      <c r="RSA254" s="243"/>
      <c r="RSB254" s="243"/>
      <c r="RSC254" s="243"/>
      <c r="RSD254" s="243"/>
      <c r="RSE254" s="243"/>
      <c r="RSF254" s="243"/>
      <c r="RSG254" s="243"/>
      <c r="RSH254" s="243"/>
      <c r="RSI254" s="243"/>
      <c r="RSJ254" s="243"/>
      <c r="RSK254" s="243"/>
      <c r="RSL254" s="243"/>
      <c r="RSM254" s="243"/>
      <c r="RSN254" s="243"/>
      <c r="RSO254" s="243"/>
      <c r="RSP254" s="243"/>
      <c r="RSQ254" s="243"/>
      <c r="RSR254" s="243"/>
      <c r="RSS254" s="243"/>
      <c r="RST254" s="243"/>
      <c r="RSU254" s="243"/>
      <c r="RSV254" s="243"/>
      <c r="RSW254" s="243"/>
      <c r="RSX254" s="243"/>
      <c r="RSY254" s="243"/>
      <c r="RSZ254" s="243"/>
      <c r="RTA254" s="243"/>
      <c r="RTB254" s="243"/>
      <c r="RTC254" s="243"/>
      <c r="RTD254" s="243"/>
      <c r="RTE254" s="243"/>
      <c r="RTF254" s="243"/>
      <c r="RTG254" s="243"/>
      <c r="RTH254" s="243"/>
      <c r="RTI254" s="243"/>
      <c r="RTJ254" s="243"/>
      <c r="RTK254" s="243"/>
      <c r="RTL254" s="243"/>
      <c r="RTM254" s="243"/>
      <c r="RTN254" s="243"/>
      <c r="RTO254" s="243"/>
      <c r="RTP254" s="243"/>
      <c r="RTQ254" s="243"/>
      <c r="RTR254" s="243"/>
      <c r="RTS254" s="243"/>
      <c r="RTT254" s="243"/>
      <c r="RTU254" s="243"/>
      <c r="RTV254" s="243"/>
      <c r="RTW254" s="243"/>
      <c r="RTX254" s="243"/>
      <c r="RTY254" s="243"/>
      <c r="RTZ254" s="243"/>
      <c r="RUA254" s="243"/>
      <c r="RUB254" s="243"/>
      <c r="RUC254" s="243"/>
      <c r="RUD254" s="243"/>
      <c r="RUE254" s="243"/>
      <c r="RUF254" s="243"/>
      <c r="RUG254" s="243"/>
      <c r="RUH254" s="243"/>
      <c r="RUI254" s="243"/>
      <c r="RUJ254" s="243"/>
      <c r="RUK254" s="243"/>
      <c r="RUL254" s="243"/>
      <c r="RUM254" s="243"/>
      <c r="RUN254" s="243"/>
      <c r="RUO254" s="243"/>
      <c r="RUP254" s="243"/>
      <c r="RUQ254" s="243"/>
      <c r="RUR254" s="243"/>
      <c r="RUS254" s="243"/>
      <c r="RUT254" s="243"/>
      <c r="RUU254" s="243"/>
      <c r="RUV254" s="243"/>
      <c r="RUW254" s="243"/>
      <c r="RUX254" s="243"/>
      <c r="RUY254" s="243"/>
      <c r="RUZ254" s="243"/>
      <c r="RVA254" s="243"/>
      <c r="RVB254" s="243"/>
      <c r="RVC254" s="243"/>
      <c r="RVD254" s="243"/>
      <c r="RVE254" s="243"/>
      <c r="RVF254" s="243"/>
      <c r="RVG254" s="243"/>
      <c r="RVH254" s="243"/>
      <c r="RVI254" s="243"/>
      <c r="RVJ254" s="243"/>
      <c r="RVK254" s="243"/>
      <c r="RVL254" s="243"/>
      <c r="RVM254" s="243"/>
      <c r="RVN254" s="243"/>
      <c r="RVO254" s="243"/>
      <c r="RVP254" s="243"/>
      <c r="RVQ254" s="243"/>
      <c r="RVR254" s="243"/>
      <c r="RVS254" s="243"/>
      <c r="RVT254" s="243"/>
      <c r="RVU254" s="243"/>
      <c r="RVV254" s="243"/>
      <c r="RVW254" s="243"/>
      <c r="RVX254" s="243"/>
      <c r="RVY254" s="243"/>
      <c r="RVZ254" s="243"/>
      <c r="RWA254" s="243"/>
      <c r="RWB254" s="243"/>
      <c r="RWC254" s="243"/>
      <c r="RWD254" s="243"/>
      <c r="RWE254" s="243"/>
      <c r="RWF254" s="243"/>
      <c r="RWG254" s="243"/>
      <c r="RWH254" s="243"/>
      <c r="RWI254" s="243"/>
      <c r="RWJ254" s="243"/>
      <c r="RWK254" s="243"/>
      <c r="RWL254" s="243"/>
      <c r="RWM254" s="243"/>
      <c r="RWN254" s="243"/>
      <c r="RWO254" s="243"/>
      <c r="RWP254" s="243"/>
      <c r="RWQ254" s="243"/>
      <c r="RWR254" s="243"/>
      <c r="RWS254" s="243"/>
      <c r="RWT254" s="243"/>
      <c r="RWU254" s="243"/>
      <c r="RWV254" s="243"/>
      <c r="RWW254" s="243"/>
      <c r="RWX254" s="243"/>
      <c r="RWY254" s="243"/>
      <c r="RWZ254" s="243"/>
      <c r="RXA254" s="243"/>
      <c r="RXB254" s="243"/>
      <c r="RXC254" s="243"/>
      <c r="RXD254" s="243"/>
      <c r="RXE254" s="243"/>
      <c r="RXF254" s="243"/>
      <c r="RXG254" s="243"/>
      <c r="RXH254" s="243"/>
      <c r="RXI254" s="243"/>
      <c r="RXJ254" s="243"/>
      <c r="RXK254" s="243"/>
      <c r="RXL254" s="243"/>
      <c r="RXM254" s="243"/>
      <c r="RXN254" s="243"/>
      <c r="RXO254" s="243"/>
      <c r="RXP254" s="243"/>
      <c r="RXQ254" s="243"/>
      <c r="RXR254" s="243"/>
      <c r="RXS254" s="243"/>
      <c r="RXT254" s="243"/>
      <c r="RXU254" s="243"/>
      <c r="RXV254" s="243"/>
      <c r="RXW254" s="243"/>
      <c r="RXX254" s="243"/>
      <c r="RXY254" s="243"/>
      <c r="RXZ254" s="243"/>
      <c r="RYA254" s="243"/>
      <c r="RYB254" s="243"/>
      <c r="RYC254" s="243"/>
      <c r="RYD254" s="243"/>
      <c r="RYE254" s="243"/>
      <c r="RYF254" s="243"/>
      <c r="RYG254" s="243"/>
      <c r="RYH254" s="243"/>
      <c r="RYI254" s="243"/>
      <c r="RYJ254" s="243"/>
      <c r="RYK254" s="243"/>
      <c r="RYL254" s="243"/>
      <c r="RYM254" s="243"/>
      <c r="RYN254" s="243"/>
      <c r="RYO254" s="243"/>
      <c r="RYP254" s="243"/>
      <c r="RYQ254" s="243"/>
      <c r="RYR254" s="243"/>
      <c r="RYS254" s="243"/>
      <c r="RYT254" s="243"/>
      <c r="RYU254" s="243"/>
      <c r="RYV254" s="243"/>
      <c r="RYW254" s="243"/>
      <c r="RYX254" s="243"/>
      <c r="RYY254" s="243"/>
      <c r="RYZ254" s="243"/>
      <c r="RZA254" s="243"/>
      <c r="RZB254" s="243"/>
      <c r="RZC254" s="243"/>
      <c r="RZD254" s="243"/>
      <c r="RZE254" s="243"/>
      <c r="RZF254" s="243"/>
      <c r="RZG254" s="243"/>
      <c r="RZH254" s="243"/>
      <c r="RZI254" s="243"/>
      <c r="RZJ254" s="243"/>
      <c r="RZK254" s="243"/>
      <c r="RZL254" s="243"/>
      <c r="RZM254" s="243"/>
      <c r="RZN254" s="243"/>
      <c r="RZO254" s="243"/>
      <c r="RZP254" s="243"/>
      <c r="RZQ254" s="243"/>
      <c r="RZR254" s="243"/>
      <c r="RZS254" s="243"/>
      <c r="RZT254" s="243"/>
      <c r="RZU254" s="243"/>
      <c r="RZV254" s="243"/>
      <c r="RZW254" s="243"/>
      <c r="RZX254" s="243"/>
      <c r="RZY254" s="243"/>
      <c r="RZZ254" s="243"/>
      <c r="SAA254" s="243"/>
      <c r="SAB254" s="243"/>
      <c r="SAC254" s="243"/>
      <c r="SAD254" s="243"/>
      <c r="SAE254" s="243"/>
      <c r="SAF254" s="243"/>
      <c r="SAG254" s="243"/>
      <c r="SAH254" s="243"/>
      <c r="SAI254" s="243"/>
      <c r="SAJ254" s="243"/>
      <c r="SAK254" s="243"/>
      <c r="SAL254" s="243"/>
      <c r="SAM254" s="243"/>
      <c r="SAN254" s="243"/>
      <c r="SAO254" s="243"/>
      <c r="SAP254" s="243"/>
      <c r="SAQ254" s="243"/>
      <c r="SAR254" s="243"/>
      <c r="SAS254" s="243"/>
      <c r="SAT254" s="243"/>
      <c r="SAU254" s="243"/>
      <c r="SAV254" s="243"/>
      <c r="SAW254" s="243"/>
      <c r="SAX254" s="243"/>
      <c r="SAY254" s="243"/>
      <c r="SAZ254" s="243"/>
      <c r="SBA254" s="243"/>
      <c r="SBB254" s="243"/>
      <c r="SBC254" s="243"/>
      <c r="SBD254" s="243"/>
      <c r="SBE254" s="243"/>
      <c r="SBF254" s="243"/>
      <c r="SBG254" s="243"/>
      <c r="SBH254" s="243"/>
      <c r="SBI254" s="243"/>
      <c r="SBJ254" s="243"/>
      <c r="SBK254" s="243"/>
      <c r="SBL254" s="243"/>
      <c r="SBM254" s="243"/>
      <c r="SBN254" s="243"/>
      <c r="SBO254" s="243"/>
      <c r="SBP254" s="243"/>
      <c r="SBQ254" s="243"/>
      <c r="SBR254" s="243"/>
      <c r="SBS254" s="243"/>
      <c r="SBT254" s="243"/>
      <c r="SBU254" s="243"/>
      <c r="SBV254" s="243"/>
      <c r="SBW254" s="243"/>
      <c r="SBX254" s="243"/>
      <c r="SBY254" s="243"/>
      <c r="SBZ254" s="243"/>
      <c r="SCA254" s="243"/>
      <c r="SCB254" s="243"/>
      <c r="SCC254" s="243"/>
      <c r="SCD254" s="243"/>
      <c r="SCE254" s="243"/>
      <c r="SCF254" s="243"/>
      <c r="SCG254" s="243"/>
      <c r="SCH254" s="243"/>
      <c r="SCI254" s="243"/>
      <c r="SCJ254" s="243"/>
      <c r="SCK254" s="243"/>
      <c r="SCL254" s="243"/>
      <c r="SCM254" s="243"/>
      <c r="SCN254" s="243"/>
      <c r="SCO254" s="243"/>
      <c r="SCP254" s="243"/>
      <c r="SCQ254" s="243"/>
      <c r="SCR254" s="243"/>
      <c r="SCS254" s="243"/>
      <c r="SCT254" s="243"/>
      <c r="SCU254" s="243"/>
      <c r="SCV254" s="243"/>
      <c r="SCW254" s="243"/>
      <c r="SCX254" s="243"/>
      <c r="SCY254" s="243"/>
      <c r="SCZ254" s="243"/>
      <c r="SDA254" s="243"/>
      <c r="SDB254" s="243"/>
      <c r="SDC254" s="243"/>
      <c r="SDD254" s="243"/>
      <c r="SDE254" s="243"/>
      <c r="SDF254" s="243"/>
      <c r="SDG254" s="243"/>
      <c r="SDH254" s="243"/>
      <c r="SDI254" s="243"/>
      <c r="SDJ254" s="243"/>
      <c r="SDK254" s="243"/>
      <c r="SDL254" s="243"/>
      <c r="SDM254" s="243"/>
      <c r="SDN254" s="243"/>
      <c r="SDO254" s="243"/>
      <c r="SDP254" s="243"/>
      <c r="SDQ254" s="243"/>
      <c r="SDR254" s="243"/>
      <c r="SDS254" s="243"/>
      <c r="SDT254" s="243"/>
      <c r="SDU254" s="243"/>
      <c r="SDV254" s="243"/>
      <c r="SDW254" s="243"/>
      <c r="SDX254" s="243"/>
      <c r="SDY254" s="243"/>
      <c r="SDZ254" s="243"/>
      <c r="SEA254" s="243"/>
      <c r="SEB254" s="243"/>
      <c r="SEC254" s="243"/>
      <c r="SED254" s="243"/>
      <c r="SEE254" s="243"/>
      <c r="SEF254" s="243"/>
      <c r="SEG254" s="243"/>
      <c r="SEH254" s="243"/>
      <c r="SEI254" s="243"/>
      <c r="SEJ254" s="243"/>
      <c r="SEK254" s="243"/>
      <c r="SEL254" s="243"/>
      <c r="SEM254" s="243"/>
      <c r="SEN254" s="243"/>
      <c r="SEO254" s="243"/>
      <c r="SEP254" s="243"/>
      <c r="SEQ254" s="243"/>
      <c r="SER254" s="243"/>
      <c r="SES254" s="243"/>
      <c r="SET254" s="243"/>
      <c r="SEU254" s="243"/>
      <c r="SEV254" s="243"/>
      <c r="SEW254" s="243"/>
      <c r="SEX254" s="243"/>
      <c r="SEY254" s="243"/>
      <c r="SEZ254" s="243"/>
      <c r="SFA254" s="243"/>
      <c r="SFB254" s="243"/>
      <c r="SFC254" s="243"/>
      <c r="SFD254" s="243"/>
      <c r="SFE254" s="243"/>
      <c r="SFF254" s="243"/>
      <c r="SFG254" s="243"/>
      <c r="SFH254" s="243"/>
      <c r="SFI254" s="243"/>
      <c r="SFJ254" s="243"/>
      <c r="SFK254" s="243"/>
      <c r="SFL254" s="243"/>
      <c r="SFM254" s="243"/>
      <c r="SFN254" s="243"/>
      <c r="SFO254" s="243"/>
      <c r="SFP254" s="243"/>
      <c r="SFQ254" s="243"/>
      <c r="SFR254" s="243"/>
      <c r="SFS254" s="243"/>
      <c r="SFT254" s="243"/>
      <c r="SFU254" s="243"/>
      <c r="SFV254" s="243"/>
      <c r="SFW254" s="243"/>
      <c r="SFX254" s="243"/>
      <c r="SFY254" s="243"/>
      <c r="SFZ254" s="243"/>
      <c r="SGA254" s="243"/>
      <c r="SGB254" s="243"/>
      <c r="SGC254" s="243"/>
      <c r="SGD254" s="243"/>
      <c r="SGE254" s="243"/>
      <c r="SGF254" s="243"/>
      <c r="SGG254" s="243"/>
      <c r="SGH254" s="243"/>
      <c r="SGI254" s="243"/>
      <c r="SGJ254" s="243"/>
      <c r="SGK254" s="243"/>
      <c r="SGL254" s="243"/>
      <c r="SGM254" s="243"/>
      <c r="SGN254" s="243"/>
      <c r="SGO254" s="243"/>
      <c r="SGP254" s="243"/>
      <c r="SGQ254" s="243"/>
      <c r="SGR254" s="243"/>
      <c r="SGS254" s="243"/>
      <c r="SGT254" s="243"/>
      <c r="SGU254" s="243"/>
      <c r="SGV254" s="243"/>
      <c r="SGW254" s="243"/>
      <c r="SGX254" s="243"/>
      <c r="SGY254" s="243"/>
      <c r="SGZ254" s="243"/>
      <c r="SHA254" s="243"/>
      <c r="SHB254" s="243"/>
      <c r="SHC254" s="243"/>
      <c r="SHD254" s="243"/>
      <c r="SHE254" s="243"/>
      <c r="SHF254" s="243"/>
      <c r="SHG254" s="243"/>
      <c r="SHH254" s="243"/>
      <c r="SHI254" s="243"/>
      <c r="SHJ254" s="243"/>
      <c r="SHK254" s="243"/>
      <c r="SHL254" s="243"/>
      <c r="SHM254" s="243"/>
      <c r="SHN254" s="243"/>
      <c r="SHO254" s="243"/>
      <c r="SHP254" s="243"/>
      <c r="SHQ254" s="243"/>
      <c r="SHR254" s="243"/>
      <c r="SHS254" s="243"/>
      <c r="SHT254" s="243"/>
      <c r="SHU254" s="243"/>
      <c r="SHV254" s="243"/>
      <c r="SHW254" s="243"/>
      <c r="SHX254" s="243"/>
      <c r="SHY254" s="243"/>
      <c r="SHZ254" s="243"/>
      <c r="SIA254" s="243"/>
      <c r="SIB254" s="243"/>
      <c r="SIC254" s="243"/>
      <c r="SID254" s="243"/>
      <c r="SIE254" s="243"/>
      <c r="SIF254" s="243"/>
      <c r="SIG254" s="243"/>
      <c r="SIH254" s="243"/>
      <c r="SII254" s="243"/>
      <c r="SIJ254" s="243"/>
      <c r="SIK254" s="243"/>
      <c r="SIL254" s="243"/>
      <c r="SIM254" s="243"/>
      <c r="SIN254" s="243"/>
      <c r="SIO254" s="243"/>
      <c r="SIP254" s="243"/>
      <c r="SIQ254" s="243"/>
      <c r="SIR254" s="243"/>
      <c r="SIS254" s="243"/>
      <c r="SIT254" s="243"/>
      <c r="SIU254" s="243"/>
      <c r="SIV254" s="243"/>
      <c r="SIW254" s="243"/>
      <c r="SIX254" s="243"/>
      <c r="SIY254" s="243"/>
      <c r="SIZ254" s="243"/>
      <c r="SJA254" s="243"/>
      <c r="SJB254" s="243"/>
      <c r="SJC254" s="243"/>
      <c r="SJD254" s="243"/>
      <c r="SJE254" s="243"/>
      <c r="SJF254" s="243"/>
      <c r="SJG254" s="243"/>
      <c r="SJH254" s="243"/>
      <c r="SJI254" s="243"/>
      <c r="SJJ254" s="243"/>
      <c r="SJK254" s="243"/>
      <c r="SJL254" s="243"/>
      <c r="SJM254" s="243"/>
      <c r="SJN254" s="243"/>
      <c r="SJO254" s="243"/>
      <c r="SJP254" s="243"/>
      <c r="SJQ254" s="243"/>
      <c r="SJR254" s="243"/>
      <c r="SJS254" s="243"/>
      <c r="SJT254" s="243"/>
      <c r="SJU254" s="243"/>
      <c r="SJV254" s="243"/>
      <c r="SJW254" s="243"/>
      <c r="SJX254" s="243"/>
      <c r="SJY254" s="243"/>
      <c r="SJZ254" s="243"/>
      <c r="SKA254" s="243"/>
      <c r="SKB254" s="243"/>
      <c r="SKC254" s="243"/>
      <c r="SKD254" s="243"/>
      <c r="SKE254" s="243"/>
      <c r="SKF254" s="243"/>
      <c r="SKG254" s="243"/>
      <c r="SKH254" s="243"/>
      <c r="SKI254" s="243"/>
      <c r="SKJ254" s="243"/>
      <c r="SKK254" s="243"/>
      <c r="SKL254" s="243"/>
      <c r="SKM254" s="243"/>
      <c r="SKN254" s="243"/>
      <c r="SKO254" s="243"/>
      <c r="SKP254" s="243"/>
      <c r="SKQ254" s="243"/>
      <c r="SKR254" s="243"/>
      <c r="SKS254" s="243"/>
      <c r="SKT254" s="243"/>
      <c r="SKU254" s="243"/>
      <c r="SKV254" s="243"/>
      <c r="SKW254" s="243"/>
      <c r="SKX254" s="243"/>
      <c r="SKY254" s="243"/>
      <c r="SKZ254" s="243"/>
      <c r="SLA254" s="243"/>
      <c r="SLB254" s="243"/>
      <c r="SLC254" s="243"/>
      <c r="SLD254" s="243"/>
      <c r="SLE254" s="243"/>
      <c r="SLF254" s="243"/>
      <c r="SLG254" s="243"/>
      <c r="SLH254" s="243"/>
      <c r="SLI254" s="243"/>
      <c r="SLJ254" s="243"/>
      <c r="SLK254" s="243"/>
      <c r="SLL254" s="243"/>
      <c r="SLM254" s="243"/>
      <c r="SLN254" s="243"/>
      <c r="SLO254" s="243"/>
      <c r="SLP254" s="243"/>
      <c r="SLQ254" s="243"/>
      <c r="SLR254" s="243"/>
      <c r="SLS254" s="243"/>
      <c r="SLT254" s="243"/>
      <c r="SLU254" s="243"/>
      <c r="SLV254" s="243"/>
      <c r="SLW254" s="243"/>
      <c r="SLX254" s="243"/>
      <c r="SLY254" s="243"/>
      <c r="SLZ254" s="243"/>
      <c r="SMA254" s="243"/>
      <c r="SMB254" s="243"/>
      <c r="SMC254" s="243"/>
      <c r="SMD254" s="243"/>
      <c r="SME254" s="243"/>
      <c r="SMF254" s="243"/>
      <c r="SMG254" s="243"/>
      <c r="SMH254" s="243"/>
      <c r="SMI254" s="243"/>
      <c r="SMJ254" s="243"/>
      <c r="SMK254" s="243"/>
      <c r="SML254" s="243"/>
      <c r="SMM254" s="243"/>
      <c r="SMN254" s="243"/>
      <c r="SMO254" s="243"/>
      <c r="SMP254" s="243"/>
      <c r="SMQ254" s="243"/>
      <c r="SMR254" s="243"/>
      <c r="SMS254" s="243"/>
      <c r="SMT254" s="243"/>
      <c r="SMU254" s="243"/>
      <c r="SMV254" s="243"/>
      <c r="SMW254" s="243"/>
      <c r="SMX254" s="243"/>
      <c r="SMY254" s="243"/>
      <c r="SMZ254" s="243"/>
      <c r="SNA254" s="243"/>
      <c r="SNB254" s="243"/>
      <c r="SNC254" s="243"/>
      <c r="SND254" s="243"/>
      <c r="SNE254" s="243"/>
      <c r="SNF254" s="243"/>
      <c r="SNG254" s="243"/>
      <c r="SNH254" s="243"/>
      <c r="SNI254" s="243"/>
      <c r="SNJ254" s="243"/>
      <c r="SNK254" s="243"/>
      <c r="SNL254" s="243"/>
      <c r="SNM254" s="243"/>
      <c r="SNN254" s="243"/>
      <c r="SNO254" s="243"/>
      <c r="SNP254" s="243"/>
      <c r="SNQ254" s="243"/>
      <c r="SNR254" s="243"/>
      <c r="SNS254" s="243"/>
      <c r="SNT254" s="243"/>
      <c r="SNU254" s="243"/>
      <c r="SNV254" s="243"/>
      <c r="SNW254" s="243"/>
      <c r="SNX254" s="243"/>
      <c r="SNY254" s="243"/>
      <c r="SNZ254" s="243"/>
      <c r="SOA254" s="243"/>
      <c r="SOB254" s="243"/>
      <c r="SOC254" s="243"/>
      <c r="SOD254" s="243"/>
      <c r="SOE254" s="243"/>
      <c r="SOF254" s="243"/>
      <c r="SOG254" s="243"/>
      <c r="SOH254" s="243"/>
      <c r="SOI254" s="243"/>
      <c r="SOJ254" s="243"/>
      <c r="SOK254" s="243"/>
      <c r="SOL254" s="243"/>
      <c r="SOM254" s="243"/>
      <c r="SON254" s="243"/>
      <c r="SOO254" s="243"/>
      <c r="SOP254" s="243"/>
      <c r="SOQ254" s="243"/>
      <c r="SOR254" s="243"/>
      <c r="SOS254" s="243"/>
      <c r="SOT254" s="243"/>
      <c r="SOU254" s="243"/>
      <c r="SOV254" s="243"/>
      <c r="SOW254" s="243"/>
      <c r="SOX254" s="243"/>
      <c r="SOY254" s="243"/>
      <c r="SOZ254" s="243"/>
      <c r="SPA254" s="243"/>
      <c r="SPB254" s="243"/>
      <c r="SPC254" s="243"/>
      <c r="SPD254" s="243"/>
      <c r="SPE254" s="243"/>
      <c r="SPF254" s="243"/>
      <c r="SPG254" s="243"/>
      <c r="SPH254" s="243"/>
      <c r="SPI254" s="243"/>
      <c r="SPJ254" s="243"/>
      <c r="SPK254" s="243"/>
      <c r="SPL254" s="243"/>
      <c r="SPM254" s="243"/>
      <c r="SPN254" s="243"/>
      <c r="SPO254" s="243"/>
      <c r="SPP254" s="243"/>
      <c r="SPQ254" s="243"/>
      <c r="SPR254" s="243"/>
      <c r="SPS254" s="243"/>
      <c r="SPT254" s="243"/>
      <c r="SPU254" s="243"/>
      <c r="SPV254" s="243"/>
      <c r="SPW254" s="243"/>
      <c r="SPX254" s="243"/>
      <c r="SPY254" s="243"/>
      <c r="SPZ254" s="243"/>
      <c r="SQA254" s="243"/>
      <c r="SQB254" s="243"/>
      <c r="SQC254" s="243"/>
      <c r="SQD254" s="243"/>
      <c r="SQE254" s="243"/>
      <c r="SQF254" s="243"/>
      <c r="SQG254" s="243"/>
      <c r="SQH254" s="243"/>
      <c r="SQI254" s="243"/>
      <c r="SQJ254" s="243"/>
      <c r="SQK254" s="243"/>
      <c r="SQL254" s="243"/>
      <c r="SQM254" s="243"/>
      <c r="SQN254" s="243"/>
      <c r="SQO254" s="243"/>
      <c r="SQP254" s="243"/>
      <c r="SQQ254" s="243"/>
      <c r="SQR254" s="243"/>
      <c r="SQS254" s="243"/>
      <c r="SQT254" s="243"/>
      <c r="SQU254" s="243"/>
      <c r="SQV254" s="243"/>
      <c r="SQW254" s="243"/>
      <c r="SQX254" s="243"/>
      <c r="SQY254" s="243"/>
      <c r="SQZ254" s="243"/>
      <c r="SRA254" s="243"/>
      <c r="SRB254" s="243"/>
      <c r="SRC254" s="243"/>
      <c r="SRD254" s="243"/>
      <c r="SRE254" s="243"/>
      <c r="SRF254" s="243"/>
      <c r="SRG254" s="243"/>
      <c r="SRH254" s="243"/>
      <c r="SRI254" s="243"/>
      <c r="SRJ254" s="243"/>
      <c r="SRK254" s="243"/>
      <c r="SRL254" s="243"/>
      <c r="SRM254" s="243"/>
      <c r="SRN254" s="243"/>
      <c r="SRO254" s="243"/>
      <c r="SRP254" s="243"/>
      <c r="SRQ254" s="243"/>
      <c r="SRR254" s="243"/>
      <c r="SRS254" s="243"/>
      <c r="SRT254" s="243"/>
      <c r="SRU254" s="243"/>
      <c r="SRV254" s="243"/>
      <c r="SRW254" s="243"/>
      <c r="SRX254" s="243"/>
      <c r="SRY254" s="243"/>
      <c r="SRZ254" s="243"/>
      <c r="SSA254" s="243"/>
      <c r="SSB254" s="243"/>
      <c r="SSC254" s="243"/>
      <c r="SSD254" s="243"/>
      <c r="SSE254" s="243"/>
      <c r="SSF254" s="243"/>
      <c r="SSG254" s="243"/>
      <c r="SSH254" s="243"/>
      <c r="SSI254" s="243"/>
      <c r="SSJ254" s="243"/>
      <c r="SSK254" s="243"/>
      <c r="SSL254" s="243"/>
      <c r="SSM254" s="243"/>
      <c r="SSN254" s="243"/>
      <c r="SSO254" s="243"/>
      <c r="SSP254" s="243"/>
      <c r="SSQ254" s="243"/>
      <c r="SSR254" s="243"/>
      <c r="SSS254" s="243"/>
      <c r="SST254" s="243"/>
      <c r="SSU254" s="243"/>
      <c r="SSV254" s="243"/>
      <c r="SSW254" s="243"/>
      <c r="SSX254" s="243"/>
      <c r="SSY254" s="243"/>
      <c r="SSZ254" s="243"/>
      <c r="STA254" s="243"/>
      <c r="STB254" s="243"/>
      <c r="STC254" s="243"/>
      <c r="STD254" s="243"/>
      <c r="STE254" s="243"/>
      <c r="STF254" s="243"/>
      <c r="STG254" s="243"/>
      <c r="STH254" s="243"/>
      <c r="STI254" s="243"/>
      <c r="STJ254" s="243"/>
      <c r="STK254" s="243"/>
      <c r="STL254" s="243"/>
      <c r="STM254" s="243"/>
      <c r="STN254" s="243"/>
      <c r="STO254" s="243"/>
      <c r="STP254" s="243"/>
      <c r="STQ254" s="243"/>
      <c r="STR254" s="243"/>
      <c r="STS254" s="243"/>
      <c r="STT254" s="243"/>
      <c r="STU254" s="243"/>
      <c r="STV254" s="243"/>
      <c r="STW254" s="243"/>
      <c r="STX254" s="243"/>
      <c r="STY254" s="243"/>
      <c r="STZ254" s="243"/>
      <c r="SUA254" s="243"/>
      <c r="SUB254" s="243"/>
      <c r="SUC254" s="243"/>
      <c r="SUD254" s="243"/>
      <c r="SUE254" s="243"/>
      <c r="SUF254" s="243"/>
      <c r="SUG254" s="243"/>
      <c r="SUH254" s="243"/>
      <c r="SUI254" s="243"/>
      <c r="SUJ254" s="243"/>
      <c r="SUK254" s="243"/>
      <c r="SUL254" s="243"/>
      <c r="SUM254" s="243"/>
      <c r="SUN254" s="243"/>
      <c r="SUO254" s="243"/>
      <c r="SUP254" s="243"/>
      <c r="SUQ254" s="243"/>
      <c r="SUR254" s="243"/>
      <c r="SUS254" s="243"/>
      <c r="SUT254" s="243"/>
      <c r="SUU254" s="243"/>
      <c r="SUV254" s="243"/>
      <c r="SUW254" s="243"/>
      <c r="SUX254" s="243"/>
      <c r="SUY254" s="243"/>
      <c r="SUZ254" s="243"/>
      <c r="SVA254" s="243"/>
      <c r="SVB254" s="243"/>
      <c r="SVC254" s="243"/>
      <c r="SVD254" s="243"/>
      <c r="SVE254" s="243"/>
      <c r="SVF254" s="243"/>
      <c r="SVG254" s="243"/>
      <c r="SVH254" s="243"/>
      <c r="SVI254" s="243"/>
      <c r="SVJ254" s="243"/>
      <c r="SVK254" s="243"/>
      <c r="SVL254" s="243"/>
      <c r="SVM254" s="243"/>
      <c r="SVN254" s="243"/>
      <c r="SVO254" s="243"/>
      <c r="SVP254" s="243"/>
      <c r="SVQ254" s="243"/>
      <c r="SVR254" s="243"/>
      <c r="SVS254" s="243"/>
      <c r="SVT254" s="243"/>
      <c r="SVU254" s="243"/>
      <c r="SVV254" s="243"/>
      <c r="SVW254" s="243"/>
      <c r="SVX254" s="243"/>
      <c r="SVY254" s="243"/>
      <c r="SVZ254" s="243"/>
      <c r="SWA254" s="243"/>
      <c r="SWB254" s="243"/>
      <c r="SWC254" s="243"/>
      <c r="SWD254" s="243"/>
      <c r="SWE254" s="243"/>
      <c r="SWF254" s="243"/>
      <c r="SWG254" s="243"/>
      <c r="SWH254" s="243"/>
      <c r="SWI254" s="243"/>
      <c r="SWJ254" s="243"/>
      <c r="SWK254" s="243"/>
      <c r="SWL254" s="243"/>
      <c r="SWM254" s="243"/>
      <c r="SWN254" s="243"/>
      <c r="SWO254" s="243"/>
      <c r="SWP254" s="243"/>
      <c r="SWQ254" s="243"/>
      <c r="SWR254" s="243"/>
      <c r="SWS254" s="243"/>
      <c r="SWT254" s="243"/>
      <c r="SWU254" s="243"/>
      <c r="SWV254" s="243"/>
      <c r="SWW254" s="243"/>
      <c r="SWX254" s="243"/>
      <c r="SWY254" s="243"/>
      <c r="SWZ254" s="243"/>
      <c r="SXA254" s="243"/>
      <c r="SXB254" s="243"/>
      <c r="SXC254" s="243"/>
      <c r="SXD254" s="243"/>
      <c r="SXE254" s="243"/>
      <c r="SXF254" s="243"/>
      <c r="SXG254" s="243"/>
      <c r="SXH254" s="243"/>
      <c r="SXI254" s="243"/>
      <c r="SXJ254" s="243"/>
      <c r="SXK254" s="243"/>
      <c r="SXL254" s="243"/>
      <c r="SXM254" s="243"/>
      <c r="SXN254" s="243"/>
      <c r="SXO254" s="243"/>
      <c r="SXP254" s="243"/>
      <c r="SXQ254" s="243"/>
      <c r="SXR254" s="243"/>
      <c r="SXS254" s="243"/>
      <c r="SXT254" s="243"/>
      <c r="SXU254" s="243"/>
      <c r="SXV254" s="243"/>
      <c r="SXW254" s="243"/>
      <c r="SXX254" s="243"/>
      <c r="SXY254" s="243"/>
      <c r="SXZ254" s="243"/>
      <c r="SYA254" s="243"/>
      <c r="SYB254" s="243"/>
      <c r="SYC254" s="243"/>
      <c r="SYD254" s="243"/>
      <c r="SYE254" s="243"/>
      <c r="SYF254" s="243"/>
      <c r="SYG254" s="243"/>
      <c r="SYH254" s="243"/>
      <c r="SYI254" s="243"/>
      <c r="SYJ254" s="243"/>
      <c r="SYK254" s="243"/>
      <c r="SYL254" s="243"/>
      <c r="SYM254" s="243"/>
      <c r="SYN254" s="243"/>
      <c r="SYO254" s="243"/>
      <c r="SYP254" s="243"/>
      <c r="SYQ254" s="243"/>
      <c r="SYR254" s="243"/>
      <c r="SYS254" s="243"/>
      <c r="SYT254" s="243"/>
      <c r="SYU254" s="243"/>
      <c r="SYV254" s="243"/>
      <c r="SYW254" s="243"/>
      <c r="SYX254" s="243"/>
      <c r="SYY254" s="243"/>
      <c r="SYZ254" s="243"/>
      <c r="SZA254" s="243"/>
      <c r="SZB254" s="243"/>
      <c r="SZC254" s="243"/>
      <c r="SZD254" s="243"/>
      <c r="SZE254" s="243"/>
      <c r="SZF254" s="243"/>
      <c r="SZG254" s="243"/>
      <c r="SZH254" s="243"/>
      <c r="SZI254" s="243"/>
      <c r="SZJ254" s="243"/>
      <c r="SZK254" s="243"/>
      <c r="SZL254" s="243"/>
      <c r="SZM254" s="243"/>
      <c r="SZN254" s="243"/>
      <c r="SZO254" s="243"/>
      <c r="SZP254" s="243"/>
      <c r="SZQ254" s="243"/>
      <c r="SZR254" s="243"/>
      <c r="SZS254" s="243"/>
      <c r="SZT254" s="243"/>
      <c r="SZU254" s="243"/>
      <c r="SZV254" s="243"/>
      <c r="SZW254" s="243"/>
      <c r="SZX254" s="243"/>
      <c r="SZY254" s="243"/>
      <c r="SZZ254" s="243"/>
      <c r="TAA254" s="243"/>
      <c r="TAB254" s="243"/>
      <c r="TAC254" s="243"/>
      <c r="TAD254" s="243"/>
      <c r="TAE254" s="243"/>
      <c r="TAF254" s="243"/>
      <c r="TAG254" s="243"/>
      <c r="TAH254" s="243"/>
      <c r="TAI254" s="243"/>
      <c r="TAJ254" s="243"/>
      <c r="TAK254" s="243"/>
      <c r="TAL254" s="243"/>
      <c r="TAM254" s="243"/>
      <c r="TAN254" s="243"/>
      <c r="TAO254" s="243"/>
      <c r="TAP254" s="243"/>
      <c r="TAQ254" s="243"/>
      <c r="TAR254" s="243"/>
      <c r="TAS254" s="243"/>
      <c r="TAT254" s="243"/>
      <c r="TAU254" s="243"/>
      <c r="TAV254" s="243"/>
      <c r="TAW254" s="243"/>
      <c r="TAX254" s="243"/>
      <c r="TAY254" s="243"/>
      <c r="TAZ254" s="243"/>
      <c r="TBA254" s="243"/>
      <c r="TBB254" s="243"/>
      <c r="TBC254" s="243"/>
      <c r="TBD254" s="243"/>
      <c r="TBE254" s="243"/>
      <c r="TBF254" s="243"/>
      <c r="TBG254" s="243"/>
      <c r="TBH254" s="243"/>
      <c r="TBI254" s="243"/>
      <c r="TBJ254" s="243"/>
      <c r="TBK254" s="243"/>
      <c r="TBL254" s="243"/>
      <c r="TBM254" s="243"/>
      <c r="TBN254" s="243"/>
      <c r="TBO254" s="243"/>
      <c r="TBP254" s="243"/>
      <c r="TBQ254" s="243"/>
      <c r="TBR254" s="243"/>
      <c r="TBS254" s="243"/>
      <c r="TBT254" s="243"/>
      <c r="TBU254" s="243"/>
      <c r="TBV254" s="243"/>
      <c r="TBW254" s="243"/>
      <c r="TBX254" s="243"/>
      <c r="TBY254" s="243"/>
      <c r="TBZ254" s="243"/>
      <c r="TCA254" s="243"/>
      <c r="TCB254" s="243"/>
      <c r="TCC254" s="243"/>
      <c r="TCD254" s="243"/>
      <c r="TCE254" s="243"/>
      <c r="TCF254" s="243"/>
      <c r="TCG254" s="243"/>
      <c r="TCH254" s="243"/>
      <c r="TCI254" s="243"/>
      <c r="TCJ254" s="243"/>
      <c r="TCK254" s="243"/>
      <c r="TCL254" s="243"/>
      <c r="TCM254" s="243"/>
      <c r="TCN254" s="243"/>
      <c r="TCO254" s="243"/>
      <c r="TCP254" s="243"/>
      <c r="TCQ254" s="243"/>
      <c r="TCR254" s="243"/>
      <c r="TCS254" s="243"/>
      <c r="TCT254" s="243"/>
      <c r="TCU254" s="243"/>
      <c r="TCV254" s="243"/>
      <c r="TCW254" s="243"/>
      <c r="TCX254" s="243"/>
      <c r="TCY254" s="243"/>
      <c r="TCZ254" s="243"/>
      <c r="TDA254" s="243"/>
      <c r="TDB254" s="243"/>
      <c r="TDC254" s="243"/>
      <c r="TDD254" s="243"/>
      <c r="TDE254" s="243"/>
      <c r="TDF254" s="243"/>
      <c r="TDG254" s="243"/>
      <c r="TDH254" s="243"/>
      <c r="TDI254" s="243"/>
      <c r="TDJ254" s="243"/>
      <c r="TDK254" s="243"/>
      <c r="TDL254" s="243"/>
      <c r="TDM254" s="243"/>
      <c r="TDN254" s="243"/>
      <c r="TDO254" s="243"/>
      <c r="TDP254" s="243"/>
      <c r="TDQ254" s="243"/>
      <c r="TDR254" s="243"/>
      <c r="TDS254" s="243"/>
      <c r="TDT254" s="243"/>
      <c r="TDU254" s="243"/>
      <c r="TDV254" s="243"/>
      <c r="TDW254" s="243"/>
      <c r="TDX254" s="243"/>
      <c r="TDY254" s="243"/>
      <c r="TDZ254" s="243"/>
      <c r="TEA254" s="243"/>
      <c r="TEB254" s="243"/>
      <c r="TEC254" s="243"/>
      <c r="TED254" s="243"/>
      <c r="TEE254" s="243"/>
      <c r="TEF254" s="243"/>
      <c r="TEG254" s="243"/>
      <c r="TEH254" s="243"/>
      <c r="TEI254" s="243"/>
      <c r="TEJ254" s="243"/>
      <c r="TEK254" s="243"/>
      <c r="TEL254" s="243"/>
      <c r="TEM254" s="243"/>
      <c r="TEN254" s="243"/>
      <c r="TEO254" s="243"/>
      <c r="TEP254" s="243"/>
      <c r="TEQ254" s="243"/>
      <c r="TER254" s="243"/>
      <c r="TES254" s="243"/>
      <c r="TET254" s="243"/>
      <c r="TEU254" s="243"/>
      <c r="TEV254" s="243"/>
      <c r="TEW254" s="243"/>
      <c r="TEX254" s="243"/>
      <c r="TEY254" s="243"/>
      <c r="TEZ254" s="243"/>
      <c r="TFA254" s="243"/>
      <c r="TFB254" s="243"/>
      <c r="TFC254" s="243"/>
      <c r="TFD254" s="243"/>
      <c r="TFE254" s="243"/>
      <c r="TFF254" s="243"/>
      <c r="TFG254" s="243"/>
      <c r="TFH254" s="243"/>
      <c r="TFI254" s="243"/>
      <c r="TFJ254" s="243"/>
      <c r="TFK254" s="243"/>
      <c r="TFL254" s="243"/>
      <c r="TFM254" s="243"/>
      <c r="TFN254" s="243"/>
      <c r="TFO254" s="243"/>
      <c r="TFP254" s="243"/>
      <c r="TFQ254" s="243"/>
      <c r="TFR254" s="243"/>
      <c r="TFS254" s="243"/>
      <c r="TFT254" s="243"/>
      <c r="TFU254" s="243"/>
      <c r="TFV254" s="243"/>
      <c r="TFW254" s="243"/>
      <c r="TFX254" s="243"/>
      <c r="TFY254" s="243"/>
      <c r="TFZ254" s="243"/>
      <c r="TGA254" s="243"/>
      <c r="TGB254" s="243"/>
      <c r="TGC254" s="243"/>
      <c r="TGD254" s="243"/>
      <c r="TGE254" s="243"/>
      <c r="TGF254" s="243"/>
      <c r="TGG254" s="243"/>
      <c r="TGH254" s="243"/>
      <c r="TGI254" s="243"/>
      <c r="TGJ254" s="243"/>
      <c r="TGK254" s="243"/>
      <c r="TGL254" s="243"/>
      <c r="TGM254" s="243"/>
      <c r="TGN254" s="243"/>
      <c r="TGO254" s="243"/>
      <c r="TGP254" s="243"/>
      <c r="TGQ254" s="243"/>
      <c r="TGR254" s="243"/>
      <c r="TGS254" s="243"/>
      <c r="TGT254" s="243"/>
      <c r="TGU254" s="243"/>
      <c r="TGV254" s="243"/>
      <c r="TGW254" s="243"/>
      <c r="TGX254" s="243"/>
      <c r="TGY254" s="243"/>
      <c r="TGZ254" s="243"/>
      <c r="THA254" s="243"/>
      <c r="THB254" s="243"/>
      <c r="THC254" s="243"/>
      <c r="THD254" s="243"/>
      <c r="THE254" s="243"/>
      <c r="THF254" s="243"/>
      <c r="THG254" s="243"/>
      <c r="THH254" s="243"/>
      <c r="THI254" s="243"/>
      <c r="THJ254" s="243"/>
      <c r="THK254" s="243"/>
      <c r="THL254" s="243"/>
      <c r="THM254" s="243"/>
      <c r="THN254" s="243"/>
      <c r="THO254" s="243"/>
      <c r="THP254" s="243"/>
      <c r="THQ254" s="243"/>
      <c r="THR254" s="243"/>
      <c r="THS254" s="243"/>
      <c r="THT254" s="243"/>
      <c r="THU254" s="243"/>
      <c r="THV254" s="243"/>
      <c r="THW254" s="243"/>
      <c r="THX254" s="243"/>
      <c r="THY254" s="243"/>
      <c r="THZ254" s="243"/>
      <c r="TIA254" s="243"/>
      <c r="TIB254" s="243"/>
      <c r="TIC254" s="243"/>
      <c r="TID254" s="243"/>
      <c r="TIE254" s="243"/>
      <c r="TIF254" s="243"/>
      <c r="TIG254" s="243"/>
      <c r="TIH254" s="243"/>
      <c r="TII254" s="243"/>
      <c r="TIJ254" s="243"/>
      <c r="TIK254" s="243"/>
      <c r="TIL254" s="243"/>
      <c r="TIM254" s="243"/>
      <c r="TIN254" s="243"/>
      <c r="TIO254" s="243"/>
      <c r="TIP254" s="243"/>
      <c r="TIQ254" s="243"/>
      <c r="TIR254" s="243"/>
      <c r="TIS254" s="243"/>
      <c r="TIT254" s="243"/>
      <c r="TIU254" s="243"/>
      <c r="TIV254" s="243"/>
      <c r="TIW254" s="243"/>
      <c r="TIX254" s="243"/>
      <c r="TIY254" s="243"/>
      <c r="TIZ254" s="243"/>
      <c r="TJA254" s="243"/>
      <c r="TJB254" s="243"/>
      <c r="TJC254" s="243"/>
      <c r="TJD254" s="243"/>
      <c r="TJE254" s="243"/>
      <c r="TJF254" s="243"/>
      <c r="TJG254" s="243"/>
      <c r="TJH254" s="243"/>
      <c r="TJI254" s="243"/>
      <c r="TJJ254" s="243"/>
      <c r="TJK254" s="243"/>
      <c r="TJL254" s="243"/>
      <c r="TJM254" s="243"/>
      <c r="TJN254" s="243"/>
      <c r="TJO254" s="243"/>
      <c r="TJP254" s="243"/>
      <c r="TJQ254" s="243"/>
      <c r="TJR254" s="243"/>
      <c r="TJS254" s="243"/>
      <c r="TJT254" s="243"/>
      <c r="TJU254" s="243"/>
      <c r="TJV254" s="243"/>
      <c r="TJW254" s="243"/>
      <c r="TJX254" s="243"/>
      <c r="TJY254" s="243"/>
      <c r="TJZ254" s="243"/>
      <c r="TKA254" s="243"/>
      <c r="TKB254" s="243"/>
      <c r="TKC254" s="243"/>
      <c r="TKD254" s="243"/>
      <c r="TKE254" s="243"/>
      <c r="TKF254" s="243"/>
      <c r="TKG254" s="243"/>
      <c r="TKH254" s="243"/>
      <c r="TKI254" s="243"/>
      <c r="TKJ254" s="243"/>
      <c r="TKK254" s="243"/>
      <c r="TKL254" s="243"/>
      <c r="TKM254" s="243"/>
      <c r="TKN254" s="243"/>
      <c r="TKO254" s="243"/>
      <c r="TKP254" s="243"/>
      <c r="TKQ254" s="243"/>
      <c r="TKR254" s="243"/>
      <c r="TKS254" s="243"/>
      <c r="TKT254" s="243"/>
      <c r="TKU254" s="243"/>
      <c r="TKV254" s="243"/>
      <c r="TKW254" s="243"/>
      <c r="TKX254" s="243"/>
      <c r="TKY254" s="243"/>
      <c r="TKZ254" s="243"/>
      <c r="TLA254" s="243"/>
      <c r="TLB254" s="243"/>
      <c r="TLC254" s="243"/>
      <c r="TLD254" s="243"/>
      <c r="TLE254" s="243"/>
      <c r="TLF254" s="243"/>
      <c r="TLG254" s="243"/>
      <c r="TLH254" s="243"/>
      <c r="TLI254" s="243"/>
      <c r="TLJ254" s="243"/>
      <c r="TLK254" s="243"/>
      <c r="TLL254" s="243"/>
      <c r="TLM254" s="243"/>
      <c r="TLN254" s="243"/>
      <c r="TLO254" s="243"/>
      <c r="TLP254" s="243"/>
      <c r="TLQ254" s="243"/>
      <c r="TLR254" s="243"/>
      <c r="TLS254" s="243"/>
      <c r="TLT254" s="243"/>
      <c r="TLU254" s="243"/>
      <c r="TLV254" s="243"/>
      <c r="TLW254" s="243"/>
      <c r="TLX254" s="243"/>
      <c r="TLY254" s="243"/>
      <c r="TLZ254" s="243"/>
      <c r="TMA254" s="243"/>
      <c r="TMB254" s="243"/>
      <c r="TMC254" s="243"/>
      <c r="TMD254" s="243"/>
      <c r="TME254" s="243"/>
      <c r="TMF254" s="243"/>
      <c r="TMG254" s="243"/>
      <c r="TMH254" s="243"/>
      <c r="TMI254" s="243"/>
      <c r="TMJ254" s="243"/>
      <c r="TMK254" s="243"/>
      <c r="TML254" s="243"/>
      <c r="TMM254" s="243"/>
      <c r="TMN254" s="243"/>
      <c r="TMO254" s="243"/>
      <c r="TMP254" s="243"/>
      <c r="TMQ254" s="243"/>
      <c r="TMR254" s="243"/>
      <c r="TMS254" s="243"/>
      <c r="TMT254" s="243"/>
      <c r="TMU254" s="243"/>
      <c r="TMV254" s="243"/>
      <c r="TMW254" s="243"/>
      <c r="TMX254" s="243"/>
      <c r="TMY254" s="243"/>
      <c r="TMZ254" s="243"/>
      <c r="TNA254" s="243"/>
      <c r="TNB254" s="243"/>
      <c r="TNC254" s="243"/>
      <c r="TND254" s="243"/>
      <c r="TNE254" s="243"/>
      <c r="TNF254" s="243"/>
      <c r="TNG254" s="243"/>
      <c r="TNH254" s="243"/>
      <c r="TNI254" s="243"/>
      <c r="TNJ254" s="243"/>
      <c r="TNK254" s="243"/>
      <c r="TNL254" s="243"/>
      <c r="TNM254" s="243"/>
      <c r="TNN254" s="243"/>
      <c r="TNO254" s="243"/>
      <c r="TNP254" s="243"/>
      <c r="TNQ254" s="243"/>
      <c r="TNR254" s="243"/>
      <c r="TNS254" s="243"/>
      <c r="TNT254" s="243"/>
      <c r="TNU254" s="243"/>
      <c r="TNV254" s="243"/>
      <c r="TNW254" s="243"/>
      <c r="TNX254" s="243"/>
      <c r="TNY254" s="243"/>
      <c r="TNZ254" s="243"/>
      <c r="TOA254" s="243"/>
      <c r="TOB254" s="243"/>
      <c r="TOC254" s="243"/>
      <c r="TOD254" s="243"/>
      <c r="TOE254" s="243"/>
      <c r="TOF254" s="243"/>
      <c r="TOG254" s="243"/>
      <c r="TOH254" s="243"/>
      <c r="TOI254" s="243"/>
      <c r="TOJ254" s="243"/>
      <c r="TOK254" s="243"/>
      <c r="TOL254" s="243"/>
      <c r="TOM254" s="243"/>
      <c r="TON254" s="243"/>
      <c r="TOO254" s="243"/>
      <c r="TOP254" s="243"/>
      <c r="TOQ254" s="243"/>
      <c r="TOR254" s="243"/>
      <c r="TOS254" s="243"/>
      <c r="TOT254" s="243"/>
      <c r="TOU254" s="243"/>
      <c r="TOV254" s="243"/>
      <c r="TOW254" s="243"/>
      <c r="TOX254" s="243"/>
      <c r="TOY254" s="243"/>
      <c r="TOZ254" s="243"/>
      <c r="TPA254" s="243"/>
      <c r="TPB254" s="243"/>
      <c r="TPC254" s="243"/>
      <c r="TPD254" s="243"/>
      <c r="TPE254" s="243"/>
      <c r="TPF254" s="243"/>
      <c r="TPG254" s="243"/>
      <c r="TPH254" s="243"/>
      <c r="TPI254" s="243"/>
      <c r="TPJ254" s="243"/>
      <c r="TPK254" s="243"/>
      <c r="TPL254" s="243"/>
      <c r="TPM254" s="243"/>
      <c r="TPN254" s="243"/>
      <c r="TPO254" s="243"/>
      <c r="TPP254" s="243"/>
      <c r="TPQ254" s="243"/>
      <c r="TPR254" s="243"/>
      <c r="TPS254" s="243"/>
      <c r="TPT254" s="243"/>
      <c r="TPU254" s="243"/>
      <c r="TPV254" s="243"/>
      <c r="TPW254" s="243"/>
      <c r="TPX254" s="243"/>
      <c r="TPY254" s="243"/>
      <c r="TPZ254" s="243"/>
      <c r="TQA254" s="243"/>
      <c r="TQB254" s="243"/>
      <c r="TQC254" s="243"/>
      <c r="TQD254" s="243"/>
      <c r="TQE254" s="243"/>
      <c r="TQF254" s="243"/>
      <c r="TQG254" s="243"/>
      <c r="TQH254" s="243"/>
      <c r="TQI254" s="243"/>
      <c r="TQJ254" s="243"/>
      <c r="TQK254" s="243"/>
      <c r="TQL254" s="243"/>
      <c r="TQM254" s="243"/>
      <c r="TQN254" s="243"/>
      <c r="TQO254" s="243"/>
      <c r="TQP254" s="243"/>
      <c r="TQQ254" s="243"/>
      <c r="TQR254" s="243"/>
      <c r="TQS254" s="243"/>
      <c r="TQT254" s="243"/>
      <c r="TQU254" s="243"/>
      <c r="TQV254" s="243"/>
      <c r="TQW254" s="243"/>
      <c r="TQX254" s="243"/>
      <c r="TQY254" s="243"/>
      <c r="TQZ254" s="243"/>
      <c r="TRA254" s="243"/>
      <c r="TRB254" s="243"/>
      <c r="TRC254" s="243"/>
      <c r="TRD254" s="243"/>
      <c r="TRE254" s="243"/>
      <c r="TRF254" s="243"/>
      <c r="TRG254" s="243"/>
      <c r="TRH254" s="243"/>
      <c r="TRI254" s="243"/>
      <c r="TRJ254" s="243"/>
      <c r="TRK254" s="243"/>
      <c r="TRL254" s="243"/>
      <c r="TRM254" s="243"/>
      <c r="TRN254" s="243"/>
      <c r="TRO254" s="243"/>
      <c r="TRP254" s="243"/>
      <c r="TRQ254" s="243"/>
      <c r="TRR254" s="243"/>
      <c r="TRS254" s="243"/>
      <c r="TRT254" s="243"/>
      <c r="TRU254" s="243"/>
      <c r="TRV254" s="243"/>
      <c r="TRW254" s="243"/>
      <c r="TRX254" s="243"/>
      <c r="TRY254" s="243"/>
      <c r="TRZ254" s="243"/>
      <c r="TSA254" s="243"/>
      <c r="TSB254" s="243"/>
      <c r="TSC254" s="243"/>
      <c r="TSD254" s="243"/>
      <c r="TSE254" s="243"/>
      <c r="TSF254" s="243"/>
      <c r="TSG254" s="243"/>
      <c r="TSH254" s="243"/>
      <c r="TSI254" s="243"/>
      <c r="TSJ254" s="243"/>
      <c r="TSK254" s="243"/>
      <c r="TSL254" s="243"/>
      <c r="TSM254" s="243"/>
      <c r="TSN254" s="243"/>
      <c r="TSO254" s="243"/>
      <c r="TSP254" s="243"/>
      <c r="TSQ254" s="243"/>
      <c r="TSR254" s="243"/>
      <c r="TSS254" s="243"/>
      <c r="TST254" s="243"/>
      <c r="TSU254" s="243"/>
      <c r="TSV254" s="243"/>
      <c r="TSW254" s="243"/>
      <c r="TSX254" s="243"/>
      <c r="TSY254" s="243"/>
      <c r="TSZ254" s="243"/>
      <c r="TTA254" s="243"/>
      <c r="TTB254" s="243"/>
      <c r="TTC254" s="243"/>
      <c r="TTD254" s="243"/>
      <c r="TTE254" s="243"/>
      <c r="TTF254" s="243"/>
      <c r="TTG254" s="243"/>
      <c r="TTH254" s="243"/>
      <c r="TTI254" s="243"/>
      <c r="TTJ254" s="243"/>
      <c r="TTK254" s="243"/>
      <c r="TTL254" s="243"/>
      <c r="TTM254" s="243"/>
      <c r="TTN254" s="243"/>
      <c r="TTO254" s="243"/>
      <c r="TTP254" s="243"/>
      <c r="TTQ254" s="243"/>
      <c r="TTR254" s="243"/>
      <c r="TTS254" s="243"/>
      <c r="TTT254" s="243"/>
      <c r="TTU254" s="243"/>
      <c r="TTV254" s="243"/>
      <c r="TTW254" s="243"/>
      <c r="TTX254" s="243"/>
      <c r="TTY254" s="243"/>
      <c r="TTZ254" s="243"/>
      <c r="TUA254" s="243"/>
      <c r="TUB254" s="243"/>
      <c r="TUC254" s="243"/>
      <c r="TUD254" s="243"/>
      <c r="TUE254" s="243"/>
      <c r="TUF254" s="243"/>
      <c r="TUG254" s="243"/>
      <c r="TUH254" s="243"/>
      <c r="TUI254" s="243"/>
      <c r="TUJ254" s="243"/>
      <c r="TUK254" s="243"/>
      <c r="TUL254" s="243"/>
      <c r="TUM254" s="243"/>
      <c r="TUN254" s="243"/>
      <c r="TUO254" s="243"/>
      <c r="TUP254" s="243"/>
      <c r="TUQ254" s="243"/>
      <c r="TUR254" s="243"/>
      <c r="TUS254" s="243"/>
      <c r="TUT254" s="243"/>
      <c r="TUU254" s="243"/>
      <c r="TUV254" s="243"/>
      <c r="TUW254" s="243"/>
      <c r="TUX254" s="243"/>
      <c r="TUY254" s="243"/>
      <c r="TUZ254" s="243"/>
      <c r="TVA254" s="243"/>
      <c r="TVB254" s="243"/>
      <c r="TVC254" s="243"/>
      <c r="TVD254" s="243"/>
      <c r="TVE254" s="243"/>
      <c r="TVF254" s="243"/>
      <c r="TVG254" s="243"/>
      <c r="TVH254" s="243"/>
      <c r="TVI254" s="243"/>
      <c r="TVJ254" s="243"/>
      <c r="TVK254" s="243"/>
      <c r="TVL254" s="243"/>
      <c r="TVM254" s="243"/>
      <c r="TVN254" s="243"/>
      <c r="TVO254" s="243"/>
      <c r="TVP254" s="243"/>
      <c r="TVQ254" s="243"/>
      <c r="TVR254" s="243"/>
      <c r="TVS254" s="243"/>
      <c r="TVT254" s="243"/>
      <c r="TVU254" s="243"/>
      <c r="TVV254" s="243"/>
      <c r="TVW254" s="243"/>
      <c r="TVX254" s="243"/>
      <c r="TVY254" s="243"/>
      <c r="TVZ254" s="243"/>
      <c r="TWA254" s="243"/>
      <c r="TWB254" s="243"/>
      <c r="TWC254" s="243"/>
      <c r="TWD254" s="243"/>
      <c r="TWE254" s="243"/>
      <c r="TWF254" s="243"/>
      <c r="TWG254" s="243"/>
      <c r="TWH254" s="243"/>
      <c r="TWI254" s="243"/>
      <c r="TWJ254" s="243"/>
      <c r="TWK254" s="243"/>
      <c r="TWL254" s="243"/>
      <c r="TWM254" s="243"/>
      <c r="TWN254" s="243"/>
      <c r="TWO254" s="243"/>
      <c r="TWP254" s="243"/>
      <c r="TWQ254" s="243"/>
      <c r="TWR254" s="243"/>
      <c r="TWS254" s="243"/>
      <c r="TWT254" s="243"/>
      <c r="TWU254" s="243"/>
      <c r="TWV254" s="243"/>
      <c r="TWW254" s="243"/>
      <c r="TWX254" s="243"/>
      <c r="TWY254" s="243"/>
      <c r="TWZ254" s="243"/>
      <c r="TXA254" s="243"/>
      <c r="TXB254" s="243"/>
      <c r="TXC254" s="243"/>
      <c r="TXD254" s="243"/>
      <c r="TXE254" s="243"/>
      <c r="TXF254" s="243"/>
      <c r="TXG254" s="243"/>
      <c r="TXH254" s="243"/>
      <c r="TXI254" s="243"/>
      <c r="TXJ254" s="243"/>
      <c r="TXK254" s="243"/>
      <c r="TXL254" s="243"/>
      <c r="TXM254" s="243"/>
      <c r="TXN254" s="243"/>
      <c r="TXO254" s="243"/>
      <c r="TXP254" s="243"/>
      <c r="TXQ254" s="243"/>
      <c r="TXR254" s="243"/>
      <c r="TXS254" s="243"/>
      <c r="TXT254" s="243"/>
      <c r="TXU254" s="243"/>
      <c r="TXV254" s="243"/>
      <c r="TXW254" s="243"/>
      <c r="TXX254" s="243"/>
      <c r="TXY254" s="243"/>
      <c r="TXZ254" s="243"/>
      <c r="TYA254" s="243"/>
      <c r="TYB254" s="243"/>
      <c r="TYC254" s="243"/>
      <c r="TYD254" s="243"/>
      <c r="TYE254" s="243"/>
      <c r="TYF254" s="243"/>
      <c r="TYG254" s="243"/>
      <c r="TYH254" s="243"/>
      <c r="TYI254" s="243"/>
      <c r="TYJ254" s="243"/>
      <c r="TYK254" s="243"/>
      <c r="TYL254" s="243"/>
      <c r="TYM254" s="243"/>
      <c r="TYN254" s="243"/>
      <c r="TYO254" s="243"/>
      <c r="TYP254" s="243"/>
      <c r="TYQ254" s="243"/>
      <c r="TYR254" s="243"/>
      <c r="TYS254" s="243"/>
      <c r="TYT254" s="243"/>
      <c r="TYU254" s="243"/>
      <c r="TYV254" s="243"/>
      <c r="TYW254" s="243"/>
      <c r="TYX254" s="243"/>
      <c r="TYY254" s="243"/>
      <c r="TYZ254" s="243"/>
      <c r="TZA254" s="243"/>
      <c r="TZB254" s="243"/>
      <c r="TZC254" s="243"/>
      <c r="TZD254" s="243"/>
      <c r="TZE254" s="243"/>
      <c r="TZF254" s="243"/>
      <c r="TZG254" s="243"/>
      <c r="TZH254" s="243"/>
      <c r="TZI254" s="243"/>
      <c r="TZJ254" s="243"/>
      <c r="TZK254" s="243"/>
      <c r="TZL254" s="243"/>
      <c r="TZM254" s="243"/>
      <c r="TZN254" s="243"/>
      <c r="TZO254" s="243"/>
      <c r="TZP254" s="243"/>
      <c r="TZQ254" s="243"/>
      <c r="TZR254" s="243"/>
      <c r="TZS254" s="243"/>
      <c r="TZT254" s="243"/>
      <c r="TZU254" s="243"/>
      <c r="TZV254" s="243"/>
      <c r="TZW254" s="243"/>
      <c r="TZX254" s="243"/>
      <c r="TZY254" s="243"/>
      <c r="TZZ254" s="243"/>
      <c r="UAA254" s="243"/>
      <c r="UAB254" s="243"/>
      <c r="UAC254" s="243"/>
      <c r="UAD254" s="243"/>
      <c r="UAE254" s="243"/>
      <c r="UAF254" s="243"/>
      <c r="UAG254" s="243"/>
      <c r="UAH254" s="243"/>
      <c r="UAI254" s="243"/>
      <c r="UAJ254" s="243"/>
      <c r="UAK254" s="243"/>
      <c r="UAL254" s="243"/>
      <c r="UAM254" s="243"/>
      <c r="UAN254" s="243"/>
      <c r="UAO254" s="243"/>
      <c r="UAP254" s="243"/>
      <c r="UAQ254" s="243"/>
      <c r="UAR254" s="243"/>
      <c r="UAS254" s="243"/>
      <c r="UAT254" s="243"/>
      <c r="UAU254" s="243"/>
      <c r="UAV254" s="243"/>
      <c r="UAW254" s="243"/>
      <c r="UAX254" s="243"/>
      <c r="UAY254" s="243"/>
      <c r="UAZ254" s="243"/>
      <c r="UBA254" s="243"/>
      <c r="UBB254" s="243"/>
      <c r="UBC254" s="243"/>
      <c r="UBD254" s="243"/>
      <c r="UBE254" s="243"/>
      <c r="UBF254" s="243"/>
      <c r="UBG254" s="243"/>
      <c r="UBH254" s="243"/>
      <c r="UBI254" s="243"/>
      <c r="UBJ254" s="243"/>
      <c r="UBK254" s="243"/>
      <c r="UBL254" s="243"/>
      <c r="UBM254" s="243"/>
      <c r="UBN254" s="243"/>
      <c r="UBO254" s="243"/>
      <c r="UBP254" s="243"/>
      <c r="UBQ254" s="243"/>
      <c r="UBR254" s="243"/>
      <c r="UBS254" s="243"/>
      <c r="UBT254" s="243"/>
      <c r="UBU254" s="243"/>
      <c r="UBV254" s="243"/>
      <c r="UBW254" s="243"/>
      <c r="UBX254" s="243"/>
      <c r="UBY254" s="243"/>
      <c r="UBZ254" s="243"/>
      <c r="UCA254" s="243"/>
      <c r="UCB254" s="243"/>
      <c r="UCC254" s="243"/>
      <c r="UCD254" s="243"/>
      <c r="UCE254" s="243"/>
      <c r="UCF254" s="243"/>
      <c r="UCG254" s="243"/>
      <c r="UCH254" s="243"/>
      <c r="UCI254" s="243"/>
      <c r="UCJ254" s="243"/>
      <c r="UCK254" s="243"/>
      <c r="UCL254" s="243"/>
      <c r="UCM254" s="243"/>
      <c r="UCN254" s="243"/>
      <c r="UCO254" s="243"/>
      <c r="UCP254" s="243"/>
      <c r="UCQ254" s="243"/>
      <c r="UCR254" s="243"/>
      <c r="UCS254" s="243"/>
      <c r="UCT254" s="243"/>
      <c r="UCU254" s="243"/>
      <c r="UCV254" s="243"/>
      <c r="UCW254" s="243"/>
      <c r="UCX254" s="243"/>
      <c r="UCY254" s="243"/>
      <c r="UCZ254" s="243"/>
      <c r="UDA254" s="243"/>
      <c r="UDB254" s="243"/>
      <c r="UDC254" s="243"/>
      <c r="UDD254" s="243"/>
      <c r="UDE254" s="243"/>
      <c r="UDF254" s="243"/>
      <c r="UDG254" s="243"/>
      <c r="UDH254" s="243"/>
      <c r="UDI254" s="243"/>
      <c r="UDJ254" s="243"/>
      <c r="UDK254" s="243"/>
      <c r="UDL254" s="243"/>
      <c r="UDM254" s="243"/>
      <c r="UDN254" s="243"/>
      <c r="UDO254" s="243"/>
      <c r="UDP254" s="243"/>
      <c r="UDQ254" s="243"/>
      <c r="UDR254" s="243"/>
      <c r="UDS254" s="243"/>
      <c r="UDT254" s="243"/>
      <c r="UDU254" s="243"/>
      <c r="UDV254" s="243"/>
      <c r="UDW254" s="243"/>
      <c r="UDX254" s="243"/>
      <c r="UDY254" s="243"/>
      <c r="UDZ254" s="243"/>
      <c r="UEA254" s="243"/>
      <c r="UEB254" s="243"/>
      <c r="UEC254" s="243"/>
      <c r="UED254" s="243"/>
      <c r="UEE254" s="243"/>
      <c r="UEF254" s="243"/>
      <c r="UEG254" s="243"/>
      <c r="UEH254" s="243"/>
      <c r="UEI254" s="243"/>
      <c r="UEJ254" s="243"/>
      <c r="UEK254" s="243"/>
      <c r="UEL254" s="243"/>
      <c r="UEM254" s="243"/>
      <c r="UEN254" s="243"/>
      <c r="UEO254" s="243"/>
      <c r="UEP254" s="243"/>
      <c r="UEQ254" s="243"/>
      <c r="UER254" s="243"/>
      <c r="UES254" s="243"/>
      <c r="UET254" s="243"/>
      <c r="UEU254" s="243"/>
      <c r="UEV254" s="243"/>
      <c r="UEW254" s="243"/>
      <c r="UEX254" s="243"/>
      <c r="UEY254" s="243"/>
      <c r="UEZ254" s="243"/>
      <c r="UFA254" s="243"/>
      <c r="UFB254" s="243"/>
      <c r="UFC254" s="243"/>
      <c r="UFD254" s="243"/>
      <c r="UFE254" s="243"/>
      <c r="UFF254" s="243"/>
      <c r="UFG254" s="243"/>
      <c r="UFH254" s="243"/>
      <c r="UFI254" s="243"/>
      <c r="UFJ254" s="243"/>
      <c r="UFK254" s="243"/>
      <c r="UFL254" s="243"/>
      <c r="UFM254" s="243"/>
      <c r="UFN254" s="243"/>
      <c r="UFO254" s="243"/>
      <c r="UFP254" s="243"/>
      <c r="UFQ254" s="243"/>
      <c r="UFR254" s="243"/>
      <c r="UFS254" s="243"/>
      <c r="UFT254" s="243"/>
      <c r="UFU254" s="243"/>
      <c r="UFV254" s="243"/>
      <c r="UFW254" s="243"/>
      <c r="UFX254" s="243"/>
      <c r="UFY254" s="243"/>
      <c r="UFZ254" s="243"/>
      <c r="UGA254" s="243"/>
      <c r="UGB254" s="243"/>
      <c r="UGC254" s="243"/>
      <c r="UGD254" s="243"/>
      <c r="UGE254" s="243"/>
      <c r="UGF254" s="243"/>
      <c r="UGG254" s="243"/>
      <c r="UGH254" s="243"/>
      <c r="UGI254" s="243"/>
      <c r="UGJ254" s="243"/>
      <c r="UGK254" s="243"/>
      <c r="UGL254" s="243"/>
      <c r="UGM254" s="243"/>
      <c r="UGN254" s="243"/>
      <c r="UGO254" s="243"/>
      <c r="UGP254" s="243"/>
      <c r="UGQ254" s="243"/>
      <c r="UGR254" s="243"/>
      <c r="UGS254" s="243"/>
      <c r="UGT254" s="243"/>
      <c r="UGU254" s="243"/>
      <c r="UGV254" s="243"/>
      <c r="UGW254" s="243"/>
      <c r="UGX254" s="243"/>
      <c r="UGY254" s="243"/>
      <c r="UGZ254" s="243"/>
      <c r="UHA254" s="243"/>
      <c r="UHB254" s="243"/>
      <c r="UHC254" s="243"/>
      <c r="UHD254" s="243"/>
      <c r="UHE254" s="243"/>
      <c r="UHF254" s="243"/>
      <c r="UHG254" s="243"/>
      <c r="UHH254" s="243"/>
      <c r="UHI254" s="243"/>
      <c r="UHJ254" s="243"/>
      <c r="UHK254" s="243"/>
      <c r="UHL254" s="243"/>
      <c r="UHM254" s="243"/>
      <c r="UHN254" s="243"/>
      <c r="UHO254" s="243"/>
      <c r="UHP254" s="243"/>
      <c r="UHQ254" s="243"/>
      <c r="UHR254" s="243"/>
      <c r="UHS254" s="243"/>
      <c r="UHT254" s="243"/>
      <c r="UHU254" s="243"/>
      <c r="UHV254" s="243"/>
      <c r="UHW254" s="243"/>
      <c r="UHX254" s="243"/>
      <c r="UHY254" s="243"/>
      <c r="UHZ254" s="243"/>
      <c r="UIA254" s="243"/>
      <c r="UIB254" s="243"/>
      <c r="UIC254" s="243"/>
      <c r="UID254" s="243"/>
      <c r="UIE254" s="243"/>
      <c r="UIF254" s="243"/>
      <c r="UIG254" s="243"/>
      <c r="UIH254" s="243"/>
      <c r="UII254" s="243"/>
      <c r="UIJ254" s="243"/>
      <c r="UIK254" s="243"/>
      <c r="UIL254" s="243"/>
      <c r="UIM254" s="243"/>
      <c r="UIN254" s="243"/>
      <c r="UIO254" s="243"/>
      <c r="UIP254" s="243"/>
      <c r="UIQ254" s="243"/>
      <c r="UIR254" s="243"/>
      <c r="UIS254" s="243"/>
      <c r="UIT254" s="243"/>
      <c r="UIU254" s="243"/>
      <c r="UIV254" s="243"/>
      <c r="UIW254" s="243"/>
      <c r="UIX254" s="243"/>
      <c r="UIY254" s="243"/>
      <c r="UIZ254" s="243"/>
      <c r="UJA254" s="243"/>
      <c r="UJB254" s="243"/>
      <c r="UJC254" s="243"/>
      <c r="UJD254" s="243"/>
      <c r="UJE254" s="243"/>
      <c r="UJF254" s="243"/>
      <c r="UJG254" s="243"/>
      <c r="UJH254" s="243"/>
      <c r="UJI254" s="243"/>
      <c r="UJJ254" s="243"/>
      <c r="UJK254" s="243"/>
      <c r="UJL254" s="243"/>
      <c r="UJM254" s="243"/>
      <c r="UJN254" s="243"/>
      <c r="UJO254" s="243"/>
      <c r="UJP254" s="243"/>
      <c r="UJQ254" s="243"/>
      <c r="UJR254" s="243"/>
      <c r="UJS254" s="243"/>
      <c r="UJT254" s="243"/>
      <c r="UJU254" s="243"/>
      <c r="UJV254" s="243"/>
      <c r="UJW254" s="243"/>
      <c r="UJX254" s="243"/>
      <c r="UJY254" s="243"/>
      <c r="UJZ254" s="243"/>
      <c r="UKA254" s="243"/>
      <c r="UKB254" s="243"/>
      <c r="UKC254" s="243"/>
      <c r="UKD254" s="243"/>
      <c r="UKE254" s="243"/>
      <c r="UKF254" s="243"/>
      <c r="UKG254" s="243"/>
      <c r="UKH254" s="243"/>
      <c r="UKI254" s="243"/>
      <c r="UKJ254" s="243"/>
      <c r="UKK254" s="243"/>
      <c r="UKL254" s="243"/>
      <c r="UKM254" s="243"/>
      <c r="UKN254" s="243"/>
      <c r="UKO254" s="243"/>
      <c r="UKP254" s="243"/>
      <c r="UKQ254" s="243"/>
      <c r="UKR254" s="243"/>
      <c r="UKS254" s="243"/>
      <c r="UKT254" s="243"/>
      <c r="UKU254" s="243"/>
      <c r="UKV254" s="243"/>
      <c r="UKW254" s="243"/>
      <c r="UKX254" s="243"/>
      <c r="UKY254" s="243"/>
      <c r="UKZ254" s="243"/>
      <c r="ULA254" s="243"/>
      <c r="ULB254" s="243"/>
      <c r="ULC254" s="243"/>
      <c r="ULD254" s="243"/>
      <c r="ULE254" s="243"/>
      <c r="ULF254" s="243"/>
      <c r="ULG254" s="243"/>
      <c r="ULH254" s="243"/>
      <c r="ULI254" s="243"/>
      <c r="ULJ254" s="243"/>
      <c r="ULK254" s="243"/>
      <c r="ULL254" s="243"/>
      <c r="ULM254" s="243"/>
      <c r="ULN254" s="243"/>
      <c r="ULO254" s="243"/>
      <c r="ULP254" s="243"/>
      <c r="ULQ254" s="243"/>
      <c r="ULR254" s="243"/>
      <c r="ULS254" s="243"/>
      <c r="ULT254" s="243"/>
      <c r="ULU254" s="243"/>
      <c r="ULV254" s="243"/>
      <c r="ULW254" s="243"/>
      <c r="ULX254" s="243"/>
      <c r="ULY254" s="243"/>
      <c r="ULZ254" s="243"/>
      <c r="UMA254" s="243"/>
      <c r="UMB254" s="243"/>
      <c r="UMC254" s="243"/>
      <c r="UMD254" s="243"/>
      <c r="UME254" s="243"/>
      <c r="UMF254" s="243"/>
      <c r="UMG254" s="243"/>
      <c r="UMH254" s="243"/>
      <c r="UMI254" s="243"/>
      <c r="UMJ254" s="243"/>
      <c r="UMK254" s="243"/>
      <c r="UML254" s="243"/>
      <c r="UMM254" s="243"/>
      <c r="UMN254" s="243"/>
      <c r="UMO254" s="243"/>
      <c r="UMP254" s="243"/>
      <c r="UMQ254" s="243"/>
      <c r="UMR254" s="243"/>
      <c r="UMS254" s="243"/>
      <c r="UMT254" s="243"/>
      <c r="UMU254" s="243"/>
      <c r="UMV254" s="243"/>
      <c r="UMW254" s="243"/>
      <c r="UMX254" s="243"/>
      <c r="UMY254" s="243"/>
      <c r="UMZ254" s="243"/>
      <c r="UNA254" s="243"/>
      <c r="UNB254" s="243"/>
      <c r="UNC254" s="243"/>
      <c r="UND254" s="243"/>
      <c r="UNE254" s="243"/>
      <c r="UNF254" s="243"/>
      <c r="UNG254" s="243"/>
      <c r="UNH254" s="243"/>
      <c r="UNI254" s="243"/>
      <c r="UNJ254" s="243"/>
      <c r="UNK254" s="243"/>
      <c r="UNL254" s="243"/>
      <c r="UNM254" s="243"/>
      <c r="UNN254" s="243"/>
      <c r="UNO254" s="243"/>
      <c r="UNP254" s="243"/>
      <c r="UNQ254" s="243"/>
      <c r="UNR254" s="243"/>
      <c r="UNS254" s="243"/>
      <c r="UNT254" s="243"/>
      <c r="UNU254" s="243"/>
      <c r="UNV254" s="243"/>
      <c r="UNW254" s="243"/>
      <c r="UNX254" s="243"/>
      <c r="UNY254" s="243"/>
      <c r="UNZ254" s="243"/>
      <c r="UOA254" s="243"/>
      <c r="UOB254" s="243"/>
      <c r="UOC254" s="243"/>
      <c r="UOD254" s="243"/>
      <c r="UOE254" s="243"/>
      <c r="UOF254" s="243"/>
      <c r="UOG254" s="243"/>
      <c r="UOH254" s="243"/>
      <c r="UOI254" s="243"/>
      <c r="UOJ254" s="243"/>
      <c r="UOK254" s="243"/>
      <c r="UOL254" s="243"/>
      <c r="UOM254" s="243"/>
      <c r="UON254" s="243"/>
      <c r="UOO254" s="243"/>
      <c r="UOP254" s="243"/>
      <c r="UOQ254" s="243"/>
      <c r="UOR254" s="243"/>
      <c r="UOS254" s="243"/>
      <c r="UOT254" s="243"/>
      <c r="UOU254" s="243"/>
      <c r="UOV254" s="243"/>
      <c r="UOW254" s="243"/>
      <c r="UOX254" s="243"/>
      <c r="UOY254" s="243"/>
      <c r="UOZ254" s="243"/>
      <c r="UPA254" s="243"/>
      <c r="UPB254" s="243"/>
      <c r="UPC254" s="243"/>
      <c r="UPD254" s="243"/>
      <c r="UPE254" s="243"/>
      <c r="UPF254" s="243"/>
      <c r="UPG254" s="243"/>
      <c r="UPH254" s="243"/>
      <c r="UPI254" s="243"/>
      <c r="UPJ254" s="243"/>
      <c r="UPK254" s="243"/>
      <c r="UPL254" s="243"/>
      <c r="UPM254" s="243"/>
      <c r="UPN254" s="243"/>
      <c r="UPO254" s="243"/>
      <c r="UPP254" s="243"/>
      <c r="UPQ254" s="243"/>
      <c r="UPR254" s="243"/>
      <c r="UPS254" s="243"/>
      <c r="UPT254" s="243"/>
      <c r="UPU254" s="243"/>
      <c r="UPV254" s="243"/>
      <c r="UPW254" s="243"/>
      <c r="UPX254" s="243"/>
      <c r="UPY254" s="243"/>
      <c r="UPZ254" s="243"/>
      <c r="UQA254" s="243"/>
      <c r="UQB254" s="243"/>
      <c r="UQC254" s="243"/>
      <c r="UQD254" s="243"/>
      <c r="UQE254" s="243"/>
      <c r="UQF254" s="243"/>
      <c r="UQG254" s="243"/>
      <c r="UQH254" s="243"/>
      <c r="UQI254" s="243"/>
      <c r="UQJ254" s="243"/>
      <c r="UQK254" s="243"/>
      <c r="UQL254" s="243"/>
      <c r="UQM254" s="243"/>
      <c r="UQN254" s="243"/>
      <c r="UQO254" s="243"/>
      <c r="UQP254" s="243"/>
      <c r="UQQ254" s="243"/>
      <c r="UQR254" s="243"/>
      <c r="UQS254" s="243"/>
      <c r="UQT254" s="243"/>
      <c r="UQU254" s="243"/>
      <c r="UQV254" s="243"/>
      <c r="UQW254" s="243"/>
      <c r="UQX254" s="243"/>
      <c r="UQY254" s="243"/>
      <c r="UQZ254" s="243"/>
      <c r="URA254" s="243"/>
      <c r="URB254" s="243"/>
      <c r="URC254" s="243"/>
      <c r="URD254" s="243"/>
      <c r="URE254" s="243"/>
      <c r="URF254" s="243"/>
      <c r="URG254" s="243"/>
      <c r="URH254" s="243"/>
      <c r="URI254" s="243"/>
      <c r="URJ254" s="243"/>
      <c r="URK254" s="243"/>
      <c r="URL254" s="243"/>
      <c r="URM254" s="243"/>
      <c r="URN254" s="243"/>
      <c r="URO254" s="243"/>
      <c r="URP254" s="243"/>
      <c r="URQ254" s="243"/>
      <c r="URR254" s="243"/>
      <c r="URS254" s="243"/>
      <c r="URT254" s="243"/>
      <c r="URU254" s="243"/>
      <c r="URV254" s="243"/>
      <c r="URW254" s="243"/>
      <c r="URX254" s="243"/>
      <c r="URY254" s="243"/>
      <c r="URZ254" s="243"/>
      <c r="USA254" s="243"/>
      <c r="USB254" s="243"/>
      <c r="USC254" s="243"/>
      <c r="USD254" s="243"/>
      <c r="USE254" s="243"/>
      <c r="USF254" s="243"/>
      <c r="USG254" s="243"/>
      <c r="USH254" s="243"/>
      <c r="USI254" s="243"/>
      <c r="USJ254" s="243"/>
      <c r="USK254" s="243"/>
      <c r="USL254" s="243"/>
      <c r="USM254" s="243"/>
      <c r="USN254" s="243"/>
      <c r="USO254" s="243"/>
      <c r="USP254" s="243"/>
      <c r="USQ254" s="243"/>
      <c r="USR254" s="243"/>
      <c r="USS254" s="243"/>
      <c r="UST254" s="243"/>
      <c r="USU254" s="243"/>
      <c r="USV254" s="243"/>
      <c r="USW254" s="243"/>
      <c r="USX254" s="243"/>
      <c r="USY254" s="243"/>
      <c r="USZ254" s="243"/>
      <c r="UTA254" s="243"/>
      <c r="UTB254" s="243"/>
      <c r="UTC254" s="243"/>
      <c r="UTD254" s="243"/>
      <c r="UTE254" s="243"/>
      <c r="UTF254" s="243"/>
      <c r="UTG254" s="243"/>
      <c r="UTH254" s="243"/>
      <c r="UTI254" s="243"/>
      <c r="UTJ254" s="243"/>
      <c r="UTK254" s="243"/>
      <c r="UTL254" s="243"/>
      <c r="UTM254" s="243"/>
      <c r="UTN254" s="243"/>
      <c r="UTO254" s="243"/>
      <c r="UTP254" s="243"/>
      <c r="UTQ254" s="243"/>
      <c r="UTR254" s="243"/>
      <c r="UTS254" s="243"/>
      <c r="UTT254" s="243"/>
      <c r="UTU254" s="243"/>
      <c r="UTV254" s="243"/>
      <c r="UTW254" s="243"/>
      <c r="UTX254" s="243"/>
      <c r="UTY254" s="243"/>
      <c r="UTZ254" s="243"/>
      <c r="UUA254" s="243"/>
      <c r="UUB254" s="243"/>
      <c r="UUC254" s="243"/>
      <c r="UUD254" s="243"/>
      <c r="UUE254" s="243"/>
      <c r="UUF254" s="243"/>
      <c r="UUG254" s="243"/>
      <c r="UUH254" s="243"/>
      <c r="UUI254" s="243"/>
      <c r="UUJ254" s="243"/>
      <c r="UUK254" s="243"/>
      <c r="UUL254" s="243"/>
      <c r="UUM254" s="243"/>
      <c r="UUN254" s="243"/>
      <c r="UUO254" s="243"/>
      <c r="UUP254" s="243"/>
      <c r="UUQ254" s="243"/>
      <c r="UUR254" s="243"/>
      <c r="UUS254" s="243"/>
      <c r="UUT254" s="243"/>
      <c r="UUU254" s="243"/>
      <c r="UUV254" s="243"/>
      <c r="UUW254" s="243"/>
      <c r="UUX254" s="243"/>
      <c r="UUY254" s="243"/>
      <c r="UUZ254" s="243"/>
      <c r="UVA254" s="243"/>
      <c r="UVB254" s="243"/>
      <c r="UVC254" s="243"/>
      <c r="UVD254" s="243"/>
      <c r="UVE254" s="243"/>
      <c r="UVF254" s="243"/>
      <c r="UVG254" s="243"/>
      <c r="UVH254" s="243"/>
      <c r="UVI254" s="243"/>
      <c r="UVJ254" s="243"/>
      <c r="UVK254" s="243"/>
      <c r="UVL254" s="243"/>
      <c r="UVM254" s="243"/>
      <c r="UVN254" s="243"/>
      <c r="UVO254" s="243"/>
      <c r="UVP254" s="243"/>
      <c r="UVQ254" s="243"/>
      <c r="UVR254" s="243"/>
      <c r="UVS254" s="243"/>
      <c r="UVT254" s="243"/>
      <c r="UVU254" s="243"/>
      <c r="UVV254" s="243"/>
      <c r="UVW254" s="243"/>
      <c r="UVX254" s="243"/>
      <c r="UVY254" s="243"/>
      <c r="UVZ254" s="243"/>
      <c r="UWA254" s="243"/>
      <c r="UWB254" s="243"/>
      <c r="UWC254" s="243"/>
      <c r="UWD254" s="243"/>
      <c r="UWE254" s="243"/>
      <c r="UWF254" s="243"/>
      <c r="UWG254" s="243"/>
      <c r="UWH254" s="243"/>
      <c r="UWI254" s="243"/>
      <c r="UWJ254" s="243"/>
      <c r="UWK254" s="243"/>
      <c r="UWL254" s="243"/>
      <c r="UWM254" s="243"/>
      <c r="UWN254" s="243"/>
      <c r="UWO254" s="243"/>
      <c r="UWP254" s="243"/>
      <c r="UWQ254" s="243"/>
      <c r="UWR254" s="243"/>
      <c r="UWS254" s="243"/>
      <c r="UWT254" s="243"/>
      <c r="UWU254" s="243"/>
      <c r="UWV254" s="243"/>
      <c r="UWW254" s="243"/>
      <c r="UWX254" s="243"/>
      <c r="UWY254" s="243"/>
      <c r="UWZ254" s="243"/>
      <c r="UXA254" s="243"/>
      <c r="UXB254" s="243"/>
      <c r="UXC254" s="243"/>
      <c r="UXD254" s="243"/>
      <c r="UXE254" s="243"/>
      <c r="UXF254" s="243"/>
      <c r="UXG254" s="243"/>
      <c r="UXH254" s="243"/>
      <c r="UXI254" s="243"/>
      <c r="UXJ254" s="243"/>
      <c r="UXK254" s="243"/>
      <c r="UXL254" s="243"/>
      <c r="UXM254" s="243"/>
      <c r="UXN254" s="243"/>
      <c r="UXO254" s="243"/>
      <c r="UXP254" s="243"/>
      <c r="UXQ254" s="243"/>
      <c r="UXR254" s="243"/>
      <c r="UXS254" s="243"/>
      <c r="UXT254" s="243"/>
      <c r="UXU254" s="243"/>
      <c r="UXV254" s="243"/>
      <c r="UXW254" s="243"/>
      <c r="UXX254" s="243"/>
      <c r="UXY254" s="243"/>
      <c r="UXZ254" s="243"/>
      <c r="UYA254" s="243"/>
      <c r="UYB254" s="243"/>
      <c r="UYC254" s="243"/>
      <c r="UYD254" s="243"/>
      <c r="UYE254" s="243"/>
      <c r="UYF254" s="243"/>
      <c r="UYG254" s="243"/>
      <c r="UYH254" s="243"/>
      <c r="UYI254" s="243"/>
      <c r="UYJ254" s="243"/>
      <c r="UYK254" s="243"/>
      <c r="UYL254" s="243"/>
      <c r="UYM254" s="243"/>
      <c r="UYN254" s="243"/>
      <c r="UYO254" s="243"/>
      <c r="UYP254" s="243"/>
      <c r="UYQ254" s="243"/>
      <c r="UYR254" s="243"/>
      <c r="UYS254" s="243"/>
      <c r="UYT254" s="243"/>
      <c r="UYU254" s="243"/>
      <c r="UYV254" s="243"/>
      <c r="UYW254" s="243"/>
      <c r="UYX254" s="243"/>
      <c r="UYY254" s="243"/>
      <c r="UYZ254" s="243"/>
      <c r="UZA254" s="243"/>
      <c r="UZB254" s="243"/>
      <c r="UZC254" s="243"/>
      <c r="UZD254" s="243"/>
      <c r="UZE254" s="243"/>
      <c r="UZF254" s="243"/>
      <c r="UZG254" s="243"/>
      <c r="UZH254" s="243"/>
      <c r="UZI254" s="243"/>
      <c r="UZJ254" s="243"/>
      <c r="UZK254" s="243"/>
      <c r="UZL254" s="243"/>
      <c r="UZM254" s="243"/>
      <c r="UZN254" s="243"/>
      <c r="UZO254" s="243"/>
      <c r="UZP254" s="243"/>
      <c r="UZQ254" s="243"/>
      <c r="UZR254" s="243"/>
      <c r="UZS254" s="243"/>
      <c r="UZT254" s="243"/>
      <c r="UZU254" s="243"/>
      <c r="UZV254" s="243"/>
      <c r="UZW254" s="243"/>
      <c r="UZX254" s="243"/>
      <c r="UZY254" s="243"/>
      <c r="UZZ254" s="243"/>
      <c r="VAA254" s="243"/>
      <c r="VAB254" s="243"/>
      <c r="VAC254" s="243"/>
      <c r="VAD254" s="243"/>
      <c r="VAE254" s="243"/>
      <c r="VAF254" s="243"/>
      <c r="VAG254" s="243"/>
      <c r="VAH254" s="243"/>
      <c r="VAI254" s="243"/>
      <c r="VAJ254" s="243"/>
      <c r="VAK254" s="243"/>
      <c r="VAL254" s="243"/>
      <c r="VAM254" s="243"/>
      <c r="VAN254" s="243"/>
      <c r="VAO254" s="243"/>
      <c r="VAP254" s="243"/>
      <c r="VAQ254" s="243"/>
      <c r="VAR254" s="243"/>
      <c r="VAS254" s="243"/>
      <c r="VAT254" s="243"/>
      <c r="VAU254" s="243"/>
      <c r="VAV254" s="243"/>
      <c r="VAW254" s="243"/>
      <c r="VAX254" s="243"/>
      <c r="VAY254" s="243"/>
      <c r="VAZ254" s="243"/>
      <c r="VBA254" s="243"/>
      <c r="VBB254" s="243"/>
      <c r="VBC254" s="243"/>
      <c r="VBD254" s="243"/>
      <c r="VBE254" s="243"/>
      <c r="VBF254" s="243"/>
      <c r="VBG254" s="243"/>
      <c r="VBH254" s="243"/>
      <c r="VBI254" s="243"/>
      <c r="VBJ254" s="243"/>
      <c r="VBK254" s="243"/>
      <c r="VBL254" s="243"/>
      <c r="VBM254" s="243"/>
      <c r="VBN254" s="243"/>
      <c r="VBO254" s="243"/>
      <c r="VBP254" s="243"/>
      <c r="VBQ254" s="243"/>
      <c r="VBR254" s="243"/>
      <c r="VBS254" s="243"/>
      <c r="VBT254" s="243"/>
      <c r="VBU254" s="243"/>
      <c r="VBV254" s="243"/>
      <c r="VBW254" s="243"/>
      <c r="VBX254" s="243"/>
      <c r="VBY254" s="243"/>
      <c r="VBZ254" s="243"/>
      <c r="VCA254" s="243"/>
      <c r="VCB254" s="243"/>
      <c r="VCC254" s="243"/>
      <c r="VCD254" s="243"/>
      <c r="VCE254" s="243"/>
      <c r="VCF254" s="243"/>
      <c r="VCG254" s="243"/>
      <c r="VCH254" s="243"/>
      <c r="VCI254" s="243"/>
      <c r="VCJ254" s="243"/>
      <c r="VCK254" s="243"/>
      <c r="VCL254" s="243"/>
      <c r="VCM254" s="243"/>
      <c r="VCN254" s="243"/>
      <c r="VCO254" s="243"/>
      <c r="VCP254" s="243"/>
      <c r="VCQ254" s="243"/>
      <c r="VCR254" s="243"/>
      <c r="VCS254" s="243"/>
      <c r="VCT254" s="243"/>
      <c r="VCU254" s="243"/>
      <c r="VCV254" s="243"/>
      <c r="VCW254" s="243"/>
      <c r="VCX254" s="243"/>
      <c r="VCY254" s="243"/>
      <c r="VCZ254" s="243"/>
      <c r="VDA254" s="243"/>
      <c r="VDB254" s="243"/>
      <c r="VDC254" s="243"/>
      <c r="VDD254" s="243"/>
      <c r="VDE254" s="243"/>
      <c r="VDF254" s="243"/>
      <c r="VDG254" s="243"/>
      <c r="VDH254" s="243"/>
      <c r="VDI254" s="243"/>
      <c r="VDJ254" s="243"/>
      <c r="VDK254" s="243"/>
      <c r="VDL254" s="243"/>
      <c r="VDM254" s="243"/>
      <c r="VDN254" s="243"/>
      <c r="VDO254" s="243"/>
      <c r="VDP254" s="243"/>
      <c r="VDQ254" s="243"/>
      <c r="VDR254" s="243"/>
      <c r="VDS254" s="243"/>
      <c r="VDT254" s="243"/>
      <c r="VDU254" s="243"/>
      <c r="VDV254" s="243"/>
      <c r="VDW254" s="243"/>
      <c r="VDX254" s="243"/>
      <c r="VDY254" s="243"/>
      <c r="VDZ254" s="243"/>
      <c r="VEA254" s="243"/>
      <c r="VEB254" s="243"/>
      <c r="VEC254" s="243"/>
      <c r="VED254" s="243"/>
      <c r="VEE254" s="243"/>
      <c r="VEF254" s="243"/>
      <c r="VEG254" s="243"/>
      <c r="VEH254" s="243"/>
      <c r="VEI254" s="243"/>
      <c r="VEJ254" s="243"/>
      <c r="VEK254" s="243"/>
      <c r="VEL254" s="243"/>
      <c r="VEM254" s="243"/>
      <c r="VEN254" s="243"/>
      <c r="VEO254" s="243"/>
      <c r="VEP254" s="243"/>
      <c r="VEQ254" s="243"/>
      <c r="VER254" s="243"/>
      <c r="VES254" s="243"/>
      <c r="VET254" s="243"/>
      <c r="VEU254" s="243"/>
      <c r="VEV254" s="243"/>
      <c r="VEW254" s="243"/>
      <c r="VEX254" s="243"/>
      <c r="VEY254" s="243"/>
      <c r="VEZ254" s="243"/>
      <c r="VFA254" s="243"/>
      <c r="VFB254" s="243"/>
      <c r="VFC254" s="243"/>
      <c r="VFD254" s="243"/>
      <c r="VFE254" s="243"/>
      <c r="VFF254" s="243"/>
      <c r="VFG254" s="243"/>
      <c r="VFH254" s="243"/>
      <c r="VFI254" s="243"/>
      <c r="VFJ254" s="243"/>
      <c r="VFK254" s="243"/>
      <c r="VFL254" s="243"/>
      <c r="VFM254" s="243"/>
      <c r="VFN254" s="243"/>
      <c r="VFO254" s="243"/>
      <c r="VFP254" s="243"/>
      <c r="VFQ254" s="243"/>
      <c r="VFR254" s="243"/>
      <c r="VFS254" s="243"/>
      <c r="VFT254" s="243"/>
      <c r="VFU254" s="243"/>
      <c r="VFV254" s="243"/>
      <c r="VFW254" s="243"/>
      <c r="VFX254" s="243"/>
      <c r="VFY254" s="243"/>
      <c r="VFZ254" s="243"/>
      <c r="VGA254" s="243"/>
      <c r="VGB254" s="243"/>
      <c r="VGC254" s="243"/>
      <c r="VGD254" s="243"/>
      <c r="VGE254" s="243"/>
      <c r="VGF254" s="243"/>
      <c r="VGG254" s="243"/>
      <c r="VGH254" s="243"/>
      <c r="VGI254" s="243"/>
      <c r="VGJ254" s="243"/>
      <c r="VGK254" s="243"/>
      <c r="VGL254" s="243"/>
      <c r="VGM254" s="243"/>
      <c r="VGN254" s="243"/>
      <c r="VGO254" s="243"/>
      <c r="VGP254" s="243"/>
      <c r="VGQ254" s="243"/>
      <c r="VGR254" s="243"/>
      <c r="VGS254" s="243"/>
      <c r="VGT254" s="243"/>
      <c r="VGU254" s="243"/>
      <c r="VGV254" s="243"/>
      <c r="VGW254" s="243"/>
      <c r="VGX254" s="243"/>
      <c r="VGY254" s="243"/>
      <c r="VGZ254" s="243"/>
      <c r="VHA254" s="243"/>
      <c r="VHB254" s="243"/>
      <c r="VHC254" s="243"/>
      <c r="VHD254" s="243"/>
      <c r="VHE254" s="243"/>
      <c r="VHF254" s="243"/>
      <c r="VHG254" s="243"/>
      <c r="VHH254" s="243"/>
      <c r="VHI254" s="243"/>
      <c r="VHJ254" s="243"/>
      <c r="VHK254" s="243"/>
      <c r="VHL254" s="243"/>
      <c r="VHM254" s="243"/>
      <c r="VHN254" s="243"/>
      <c r="VHO254" s="243"/>
      <c r="VHP254" s="243"/>
      <c r="VHQ254" s="243"/>
      <c r="VHR254" s="243"/>
      <c r="VHS254" s="243"/>
      <c r="VHT254" s="243"/>
      <c r="VHU254" s="243"/>
      <c r="VHV254" s="243"/>
      <c r="VHW254" s="243"/>
      <c r="VHX254" s="243"/>
      <c r="VHY254" s="243"/>
      <c r="VHZ254" s="243"/>
      <c r="VIA254" s="243"/>
      <c r="VIB254" s="243"/>
      <c r="VIC254" s="243"/>
      <c r="VID254" s="243"/>
      <c r="VIE254" s="243"/>
      <c r="VIF254" s="243"/>
      <c r="VIG254" s="243"/>
      <c r="VIH254" s="243"/>
      <c r="VII254" s="243"/>
      <c r="VIJ254" s="243"/>
      <c r="VIK254" s="243"/>
      <c r="VIL254" s="243"/>
      <c r="VIM254" s="243"/>
      <c r="VIN254" s="243"/>
      <c r="VIO254" s="243"/>
      <c r="VIP254" s="243"/>
      <c r="VIQ254" s="243"/>
      <c r="VIR254" s="243"/>
      <c r="VIS254" s="243"/>
      <c r="VIT254" s="243"/>
      <c r="VIU254" s="243"/>
      <c r="VIV254" s="243"/>
      <c r="VIW254" s="243"/>
      <c r="VIX254" s="243"/>
      <c r="VIY254" s="243"/>
      <c r="VIZ254" s="243"/>
      <c r="VJA254" s="243"/>
      <c r="VJB254" s="243"/>
      <c r="VJC254" s="243"/>
      <c r="VJD254" s="243"/>
      <c r="VJE254" s="243"/>
      <c r="VJF254" s="243"/>
      <c r="VJG254" s="243"/>
      <c r="VJH254" s="243"/>
      <c r="VJI254" s="243"/>
      <c r="VJJ254" s="243"/>
      <c r="VJK254" s="243"/>
      <c r="VJL254" s="243"/>
      <c r="VJM254" s="243"/>
      <c r="VJN254" s="243"/>
      <c r="VJO254" s="243"/>
      <c r="VJP254" s="243"/>
      <c r="VJQ254" s="243"/>
      <c r="VJR254" s="243"/>
      <c r="VJS254" s="243"/>
      <c r="VJT254" s="243"/>
      <c r="VJU254" s="243"/>
      <c r="VJV254" s="243"/>
      <c r="VJW254" s="243"/>
      <c r="VJX254" s="243"/>
      <c r="VJY254" s="243"/>
      <c r="VJZ254" s="243"/>
      <c r="VKA254" s="243"/>
      <c r="VKB254" s="243"/>
      <c r="VKC254" s="243"/>
      <c r="VKD254" s="243"/>
      <c r="VKE254" s="243"/>
      <c r="VKF254" s="243"/>
      <c r="VKG254" s="243"/>
      <c r="VKH254" s="243"/>
      <c r="VKI254" s="243"/>
      <c r="VKJ254" s="243"/>
      <c r="VKK254" s="243"/>
      <c r="VKL254" s="243"/>
      <c r="VKM254" s="243"/>
      <c r="VKN254" s="243"/>
      <c r="VKO254" s="243"/>
      <c r="VKP254" s="243"/>
      <c r="VKQ254" s="243"/>
      <c r="VKR254" s="243"/>
      <c r="VKS254" s="243"/>
      <c r="VKT254" s="243"/>
      <c r="VKU254" s="243"/>
      <c r="VKV254" s="243"/>
      <c r="VKW254" s="243"/>
      <c r="VKX254" s="243"/>
      <c r="VKY254" s="243"/>
      <c r="VKZ254" s="243"/>
      <c r="VLA254" s="243"/>
      <c r="VLB254" s="243"/>
      <c r="VLC254" s="243"/>
      <c r="VLD254" s="243"/>
      <c r="VLE254" s="243"/>
      <c r="VLF254" s="243"/>
      <c r="VLG254" s="243"/>
      <c r="VLH254" s="243"/>
      <c r="VLI254" s="243"/>
      <c r="VLJ254" s="243"/>
      <c r="VLK254" s="243"/>
      <c r="VLL254" s="243"/>
      <c r="VLM254" s="243"/>
      <c r="VLN254" s="243"/>
      <c r="VLO254" s="243"/>
      <c r="VLP254" s="243"/>
      <c r="VLQ254" s="243"/>
      <c r="VLR254" s="243"/>
      <c r="VLS254" s="243"/>
      <c r="VLT254" s="243"/>
      <c r="VLU254" s="243"/>
      <c r="VLV254" s="243"/>
      <c r="VLW254" s="243"/>
      <c r="VLX254" s="243"/>
      <c r="VLY254" s="243"/>
      <c r="VLZ254" s="243"/>
      <c r="VMA254" s="243"/>
      <c r="VMB254" s="243"/>
      <c r="VMC254" s="243"/>
      <c r="VMD254" s="243"/>
      <c r="VME254" s="243"/>
      <c r="VMF254" s="243"/>
      <c r="VMG254" s="243"/>
      <c r="VMH254" s="243"/>
      <c r="VMI254" s="243"/>
      <c r="VMJ254" s="243"/>
      <c r="VMK254" s="243"/>
      <c r="VML254" s="243"/>
      <c r="VMM254" s="243"/>
      <c r="VMN254" s="243"/>
      <c r="VMO254" s="243"/>
      <c r="VMP254" s="243"/>
      <c r="VMQ254" s="243"/>
      <c r="VMR254" s="243"/>
      <c r="VMS254" s="243"/>
      <c r="VMT254" s="243"/>
      <c r="VMU254" s="243"/>
      <c r="VMV254" s="243"/>
      <c r="VMW254" s="243"/>
      <c r="VMX254" s="243"/>
      <c r="VMY254" s="243"/>
      <c r="VMZ254" s="243"/>
      <c r="VNA254" s="243"/>
      <c r="VNB254" s="243"/>
      <c r="VNC254" s="243"/>
      <c r="VND254" s="243"/>
      <c r="VNE254" s="243"/>
      <c r="VNF254" s="243"/>
      <c r="VNG254" s="243"/>
      <c r="VNH254" s="243"/>
      <c r="VNI254" s="243"/>
      <c r="VNJ254" s="243"/>
      <c r="VNK254" s="243"/>
      <c r="VNL254" s="243"/>
      <c r="VNM254" s="243"/>
      <c r="VNN254" s="243"/>
      <c r="VNO254" s="243"/>
      <c r="VNP254" s="243"/>
      <c r="VNQ254" s="243"/>
      <c r="VNR254" s="243"/>
      <c r="VNS254" s="243"/>
      <c r="VNT254" s="243"/>
      <c r="VNU254" s="243"/>
      <c r="VNV254" s="243"/>
      <c r="VNW254" s="243"/>
      <c r="VNX254" s="243"/>
      <c r="VNY254" s="243"/>
      <c r="VNZ254" s="243"/>
      <c r="VOA254" s="243"/>
      <c r="VOB254" s="243"/>
      <c r="VOC254" s="243"/>
      <c r="VOD254" s="243"/>
      <c r="VOE254" s="243"/>
      <c r="VOF254" s="243"/>
      <c r="VOG254" s="243"/>
      <c r="VOH254" s="243"/>
      <c r="VOI254" s="243"/>
      <c r="VOJ254" s="243"/>
      <c r="VOK254" s="243"/>
      <c r="VOL254" s="243"/>
      <c r="VOM254" s="243"/>
      <c r="VON254" s="243"/>
      <c r="VOO254" s="243"/>
      <c r="VOP254" s="243"/>
      <c r="VOQ254" s="243"/>
      <c r="VOR254" s="243"/>
      <c r="VOS254" s="243"/>
      <c r="VOT254" s="243"/>
      <c r="VOU254" s="243"/>
      <c r="VOV254" s="243"/>
      <c r="VOW254" s="243"/>
      <c r="VOX254" s="243"/>
      <c r="VOY254" s="243"/>
      <c r="VOZ254" s="243"/>
      <c r="VPA254" s="243"/>
      <c r="VPB254" s="243"/>
      <c r="VPC254" s="243"/>
      <c r="VPD254" s="243"/>
      <c r="VPE254" s="243"/>
      <c r="VPF254" s="243"/>
      <c r="VPG254" s="243"/>
      <c r="VPH254" s="243"/>
      <c r="VPI254" s="243"/>
      <c r="VPJ254" s="243"/>
      <c r="VPK254" s="243"/>
      <c r="VPL254" s="243"/>
      <c r="VPM254" s="243"/>
      <c r="VPN254" s="243"/>
      <c r="VPO254" s="243"/>
      <c r="VPP254" s="243"/>
      <c r="VPQ254" s="243"/>
      <c r="VPR254" s="243"/>
      <c r="VPS254" s="243"/>
      <c r="VPT254" s="243"/>
      <c r="VPU254" s="243"/>
      <c r="VPV254" s="243"/>
      <c r="VPW254" s="243"/>
      <c r="VPX254" s="243"/>
      <c r="VPY254" s="243"/>
      <c r="VPZ254" s="243"/>
      <c r="VQA254" s="243"/>
      <c r="VQB254" s="243"/>
      <c r="VQC254" s="243"/>
      <c r="VQD254" s="243"/>
      <c r="VQE254" s="243"/>
      <c r="VQF254" s="243"/>
      <c r="VQG254" s="243"/>
      <c r="VQH254" s="243"/>
      <c r="VQI254" s="243"/>
      <c r="VQJ254" s="243"/>
      <c r="VQK254" s="243"/>
      <c r="VQL254" s="243"/>
      <c r="VQM254" s="243"/>
      <c r="VQN254" s="243"/>
      <c r="VQO254" s="243"/>
      <c r="VQP254" s="243"/>
      <c r="VQQ254" s="243"/>
      <c r="VQR254" s="243"/>
      <c r="VQS254" s="243"/>
      <c r="VQT254" s="243"/>
      <c r="VQU254" s="243"/>
      <c r="VQV254" s="243"/>
      <c r="VQW254" s="243"/>
      <c r="VQX254" s="243"/>
      <c r="VQY254" s="243"/>
      <c r="VQZ254" s="243"/>
      <c r="VRA254" s="243"/>
      <c r="VRB254" s="243"/>
      <c r="VRC254" s="243"/>
      <c r="VRD254" s="243"/>
      <c r="VRE254" s="243"/>
      <c r="VRF254" s="243"/>
      <c r="VRG254" s="243"/>
      <c r="VRH254" s="243"/>
      <c r="VRI254" s="243"/>
      <c r="VRJ254" s="243"/>
      <c r="VRK254" s="243"/>
      <c r="VRL254" s="243"/>
      <c r="VRM254" s="243"/>
      <c r="VRN254" s="243"/>
      <c r="VRO254" s="243"/>
      <c r="VRP254" s="243"/>
      <c r="VRQ254" s="243"/>
      <c r="VRR254" s="243"/>
      <c r="VRS254" s="243"/>
      <c r="VRT254" s="243"/>
      <c r="VRU254" s="243"/>
      <c r="VRV254" s="243"/>
      <c r="VRW254" s="243"/>
      <c r="VRX254" s="243"/>
      <c r="VRY254" s="243"/>
      <c r="VRZ254" s="243"/>
      <c r="VSA254" s="243"/>
      <c r="VSB254" s="243"/>
      <c r="VSC254" s="243"/>
      <c r="VSD254" s="243"/>
      <c r="VSE254" s="243"/>
      <c r="VSF254" s="243"/>
      <c r="VSG254" s="243"/>
      <c r="VSH254" s="243"/>
      <c r="VSI254" s="243"/>
      <c r="VSJ254" s="243"/>
      <c r="VSK254" s="243"/>
      <c r="VSL254" s="243"/>
      <c r="VSM254" s="243"/>
      <c r="VSN254" s="243"/>
      <c r="VSO254" s="243"/>
      <c r="VSP254" s="243"/>
      <c r="VSQ254" s="243"/>
      <c r="VSR254" s="243"/>
      <c r="VSS254" s="243"/>
      <c r="VST254" s="243"/>
      <c r="VSU254" s="243"/>
      <c r="VSV254" s="243"/>
      <c r="VSW254" s="243"/>
      <c r="VSX254" s="243"/>
      <c r="VSY254" s="243"/>
      <c r="VSZ254" s="243"/>
      <c r="VTA254" s="243"/>
      <c r="VTB254" s="243"/>
      <c r="VTC254" s="243"/>
      <c r="VTD254" s="243"/>
      <c r="VTE254" s="243"/>
      <c r="VTF254" s="243"/>
      <c r="VTG254" s="243"/>
      <c r="VTH254" s="243"/>
      <c r="VTI254" s="243"/>
      <c r="VTJ254" s="243"/>
      <c r="VTK254" s="243"/>
      <c r="VTL254" s="243"/>
      <c r="VTM254" s="243"/>
      <c r="VTN254" s="243"/>
      <c r="VTO254" s="243"/>
      <c r="VTP254" s="243"/>
      <c r="VTQ254" s="243"/>
      <c r="VTR254" s="243"/>
      <c r="VTS254" s="243"/>
      <c r="VTT254" s="243"/>
      <c r="VTU254" s="243"/>
      <c r="VTV254" s="243"/>
      <c r="VTW254" s="243"/>
      <c r="VTX254" s="243"/>
      <c r="VTY254" s="243"/>
      <c r="VTZ254" s="243"/>
      <c r="VUA254" s="243"/>
      <c r="VUB254" s="243"/>
      <c r="VUC254" s="243"/>
      <c r="VUD254" s="243"/>
      <c r="VUE254" s="243"/>
      <c r="VUF254" s="243"/>
      <c r="VUG254" s="243"/>
      <c r="VUH254" s="243"/>
      <c r="VUI254" s="243"/>
      <c r="VUJ254" s="243"/>
      <c r="VUK254" s="243"/>
      <c r="VUL254" s="243"/>
      <c r="VUM254" s="243"/>
      <c r="VUN254" s="243"/>
      <c r="VUO254" s="243"/>
      <c r="VUP254" s="243"/>
      <c r="VUQ254" s="243"/>
      <c r="VUR254" s="243"/>
      <c r="VUS254" s="243"/>
      <c r="VUT254" s="243"/>
      <c r="VUU254" s="243"/>
      <c r="VUV254" s="243"/>
      <c r="VUW254" s="243"/>
      <c r="VUX254" s="243"/>
      <c r="VUY254" s="243"/>
      <c r="VUZ254" s="243"/>
      <c r="VVA254" s="243"/>
      <c r="VVB254" s="243"/>
      <c r="VVC254" s="243"/>
      <c r="VVD254" s="243"/>
      <c r="VVE254" s="243"/>
      <c r="VVF254" s="243"/>
      <c r="VVG254" s="243"/>
      <c r="VVH254" s="243"/>
      <c r="VVI254" s="243"/>
      <c r="VVJ254" s="243"/>
      <c r="VVK254" s="243"/>
      <c r="VVL254" s="243"/>
      <c r="VVM254" s="243"/>
      <c r="VVN254" s="243"/>
      <c r="VVO254" s="243"/>
      <c r="VVP254" s="243"/>
      <c r="VVQ254" s="243"/>
      <c r="VVR254" s="243"/>
      <c r="VVS254" s="243"/>
      <c r="VVT254" s="243"/>
      <c r="VVU254" s="243"/>
      <c r="VVV254" s="243"/>
      <c r="VVW254" s="243"/>
      <c r="VVX254" s="243"/>
      <c r="VVY254" s="243"/>
      <c r="VVZ254" s="243"/>
      <c r="VWA254" s="243"/>
      <c r="VWB254" s="243"/>
      <c r="VWC254" s="243"/>
      <c r="VWD254" s="243"/>
      <c r="VWE254" s="243"/>
      <c r="VWF254" s="243"/>
      <c r="VWG254" s="243"/>
      <c r="VWH254" s="243"/>
      <c r="VWI254" s="243"/>
      <c r="VWJ254" s="243"/>
      <c r="VWK254" s="243"/>
      <c r="VWL254" s="243"/>
      <c r="VWM254" s="243"/>
      <c r="VWN254" s="243"/>
      <c r="VWO254" s="243"/>
      <c r="VWP254" s="243"/>
      <c r="VWQ254" s="243"/>
      <c r="VWR254" s="243"/>
      <c r="VWS254" s="243"/>
      <c r="VWT254" s="243"/>
      <c r="VWU254" s="243"/>
      <c r="VWV254" s="243"/>
      <c r="VWW254" s="243"/>
      <c r="VWX254" s="243"/>
      <c r="VWY254" s="243"/>
      <c r="VWZ254" s="243"/>
      <c r="VXA254" s="243"/>
      <c r="VXB254" s="243"/>
      <c r="VXC254" s="243"/>
      <c r="VXD254" s="243"/>
      <c r="VXE254" s="243"/>
      <c r="VXF254" s="243"/>
      <c r="VXG254" s="243"/>
      <c r="VXH254" s="243"/>
      <c r="VXI254" s="243"/>
      <c r="VXJ254" s="243"/>
      <c r="VXK254" s="243"/>
      <c r="VXL254" s="243"/>
      <c r="VXM254" s="243"/>
      <c r="VXN254" s="243"/>
      <c r="VXO254" s="243"/>
      <c r="VXP254" s="243"/>
      <c r="VXQ254" s="243"/>
      <c r="VXR254" s="243"/>
      <c r="VXS254" s="243"/>
      <c r="VXT254" s="243"/>
      <c r="VXU254" s="243"/>
      <c r="VXV254" s="243"/>
      <c r="VXW254" s="243"/>
      <c r="VXX254" s="243"/>
      <c r="VXY254" s="243"/>
      <c r="VXZ254" s="243"/>
      <c r="VYA254" s="243"/>
      <c r="VYB254" s="243"/>
      <c r="VYC254" s="243"/>
      <c r="VYD254" s="243"/>
      <c r="VYE254" s="243"/>
      <c r="VYF254" s="243"/>
      <c r="VYG254" s="243"/>
      <c r="VYH254" s="243"/>
      <c r="VYI254" s="243"/>
      <c r="VYJ254" s="243"/>
      <c r="VYK254" s="243"/>
      <c r="VYL254" s="243"/>
      <c r="VYM254" s="243"/>
      <c r="VYN254" s="243"/>
      <c r="VYO254" s="243"/>
      <c r="VYP254" s="243"/>
      <c r="VYQ254" s="243"/>
      <c r="VYR254" s="243"/>
      <c r="VYS254" s="243"/>
      <c r="VYT254" s="243"/>
      <c r="VYU254" s="243"/>
      <c r="VYV254" s="243"/>
      <c r="VYW254" s="243"/>
      <c r="VYX254" s="243"/>
      <c r="VYY254" s="243"/>
      <c r="VYZ254" s="243"/>
      <c r="VZA254" s="243"/>
      <c r="VZB254" s="243"/>
      <c r="VZC254" s="243"/>
      <c r="VZD254" s="243"/>
      <c r="VZE254" s="243"/>
      <c r="VZF254" s="243"/>
      <c r="VZG254" s="243"/>
      <c r="VZH254" s="243"/>
      <c r="VZI254" s="243"/>
      <c r="VZJ254" s="243"/>
      <c r="VZK254" s="243"/>
      <c r="VZL254" s="243"/>
      <c r="VZM254" s="243"/>
      <c r="VZN254" s="243"/>
      <c r="VZO254" s="243"/>
      <c r="VZP254" s="243"/>
      <c r="VZQ254" s="243"/>
      <c r="VZR254" s="243"/>
      <c r="VZS254" s="243"/>
      <c r="VZT254" s="243"/>
      <c r="VZU254" s="243"/>
      <c r="VZV254" s="243"/>
      <c r="VZW254" s="243"/>
      <c r="VZX254" s="243"/>
      <c r="VZY254" s="243"/>
      <c r="VZZ254" s="243"/>
      <c r="WAA254" s="243"/>
      <c r="WAB254" s="243"/>
      <c r="WAC254" s="243"/>
      <c r="WAD254" s="243"/>
      <c r="WAE254" s="243"/>
      <c r="WAF254" s="243"/>
      <c r="WAG254" s="243"/>
      <c r="WAH254" s="243"/>
      <c r="WAI254" s="243"/>
      <c r="WAJ254" s="243"/>
      <c r="WAK254" s="243"/>
      <c r="WAL254" s="243"/>
      <c r="WAM254" s="243"/>
      <c r="WAN254" s="243"/>
      <c r="WAO254" s="243"/>
      <c r="WAP254" s="243"/>
      <c r="WAQ254" s="243"/>
      <c r="WAR254" s="243"/>
      <c r="WAS254" s="243"/>
      <c r="WAT254" s="243"/>
      <c r="WAU254" s="243"/>
      <c r="WAV254" s="243"/>
      <c r="WAW254" s="243"/>
      <c r="WAX254" s="243"/>
      <c r="WAY254" s="243"/>
      <c r="WAZ254" s="243"/>
      <c r="WBA254" s="243"/>
      <c r="WBB254" s="243"/>
      <c r="WBC254" s="243"/>
      <c r="WBD254" s="243"/>
      <c r="WBE254" s="243"/>
      <c r="WBF254" s="243"/>
      <c r="WBG254" s="243"/>
      <c r="WBH254" s="243"/>
      <c r="WBI254" s="243"/>
      <c r="WBJ254" s="243"/>
      <c r="WBK254" s="243"/>
      <c r="WBL254" s="243"/>
      <c r="WBM254" s="243"/>
      <c r="WBN254" s="243"/>
      <c r="WBO254" s="243"/>
      <c r="WBP254" s="243"/>
      <c r="WBQ254" s="243"/>
      <c r="WBR254" s="243"/>
      <c r="WBS254" s="243"/>
      <c r="WBT254" s="243"/>
      <c r="WBU254" s="243"/>
      <c r="WBV254" s="243"/>
      <c r="WBW254" s="243"/>
      <c r="WBX254" s="243"/>
      <c r="WBY254" s="243"/>
      <c r="WBZ254" s="243"/>
      <c r="WCA254" s="243"/>
      <c r="WCB254" s="243"/>
      <c r="WCC254" s="243"/>
      <c r="WCD254" s="243"/>
      <c r="WCE254" s="243"/>
      <c r="WCF254" s="243"/>
      <c r="WCG254" s="243"/>
      <c r="WCH254" s="243"/>
      <c r="WCI254" s="243"/>
      <c r="WCJ254" s="243"/>
      <c r="WCK254" s="243"/>
      <c r="WCL254" s="243"/>
      <c r="WCM254" s="243"/>
      <c r="WCN254" s="243"/>
      <c r="WCO254" s="243"/>
      <c r="WCP254" s="243"/>
      <c r="WCQ254" s="243"/>
      <c r="WCR254" s="243"/>
      <c r="WCS254" s="243"/>
      <c r="WCT254" s="243"/>
      <c r="WCU254" s="243"/>
      <c r="WCV254" s="243"/>
      <c r="WCW254" s="243"/>
      <c r="WCX254" s="243"/>
      <c r="WCY254" s="243"/>
      <c r="WCZ254" s="243"/>
      <c r="WDA254" s="243"/>
      <c r="WDB254" s="243"/>
      <c r="WDC254" s="243"/>
      <c r="WDD254" s="243"/>
      <c r="WDE254" s="243"/>
      <c r="WDF254" s="243"/>
      <c r="WDG254" s="243"/>
      <c r="WDH254" s="243"/>
      <c r="WDI254" s="243"/>
      <c r="WDJ254" s="243"/>
      <c r="WDK254" s="243"/>
      <c r="WDL254" s="243"/>
      <c r="WDM254" s="243"/>
      <c r="WDN254" s="243"/>
      <c r="WDO254" s="243"/>
      <c r="WDP254" s="243"/>
      <c r="WDQ254" s="243"/>
      <c r="WDR254" s="243"/>
      <c r="WDS254" s="243"/>
      <c r="WDT254" s="243"/>
      <c r="WDU254" s="243"/>
      <c r="WDV254" s="243"/>
      <c r="WDW254" s="243"/>
      <c r="WDX254" s="243"/>
      <c r="WDY254" s="243"/>
      <c r="WDZ254" s="243"/>
      <c r="WEA254" s="243"/>
      <c r="WEB254" s="243"/>
      <c r="WEC254" s="243"/>
      <c r="WED254" s="243"/>
      <c r="WEE254" s="243"/>
      <c r="WEF254" s="243"/>
      <c r="WEG254" s="243"/>
      <c r="WEH254" s="243"/>
      <c r="WEI254" s="243"/>
      <c r="WEJ254" s="243"/>
      <c r="WEK254" s="243"/>
      <c r="WEL254" s="243"/>
      <c r="WEM254" s="243"/>
      <c r="WEN254" s="243"/>
      <c r="WEO254" s="243"/>
      <c r="WEP254" s="243"/>
      <c r="WEQ254" s="243"/>
      <c r="WER254" s="243"/>
      <c r="WES254" s="243"/>
      <c r="WET254" s="243"/>
      <c r="WEU254" s="243"/>
      <c r="WEV254" s="243"/>
      <c r="WEW254" s="243"/>
      <c r="WEX254" s="243"/>
      <c r="WEY254" s="243"/>
      <c r="WEZ254" s="243"/>
      <c r="WFA254" s="243"/>
      <c r="WFB254" s="243"/>
      <c r="WFC254" s="243"/>
      <c r="WFD254" s="243"/>
      <c r="WFE254" s="243"/>
      <c r="WFF254" s="243"/>
      <c r="WFG254" s="243"/>
      <c r="WFH254" s="243"/>
      <c r="WFI254" s="243"/>
      <c r="WFJ254" s="243"/>
      <c r="WFK254" s="243"/>
      <c r="WFL254" s="243"/>
      <c r="WFM254" s="243"/>
      <c r="WFN254" s="243"/>
      <c r="WFO254" s="243"/>
      <c r="WFP254" s="243"/>
      <c r="WFQ254" s="243"/>
      <c r="WFR254" s="243"/>
      <c r="WFS254" s="243"/>
      <c r="WFT254" s="243"/>
      <c r="WFU254" s="243"/>
      <c r="WFV254" s="243"/>
      <c r="WFW254" s="243"/>
      <c r="WFX254" s="243"/>
      <c r="WFY254" s="243"/>
      <c r="WFZ254" s="243"/>
      <c r="WGA254" s="243"/>
      <c r="WGB254" s="243"/>
      <c r="WGC254" s="243"/>
      <c r="WGD254" s="243"/>
      <c r="WGE254" s="243"/>
      <c r="WGF254" s="243"/>
      <c r="WGG254" s="243"/>
      <c r="WGH254" s="243"/>
      <c r="WGI254" s="243"/>
      <c r="WGJ254" s="243"/>
      <c r="WGK254" s="243"/>
      <c r="WGL254" s="243"/>
      <c r="WGM254" s="243"/>
      <c r="WGN254" s="243"/>
      <c r="WGO254" s="243"/>
      <c r="WGP254" s="243"/>
      <c r="WGQ254" s="243"/>
      <c r="WGR254" s="243"/>
      <c r="WGS254" s="243"/>
      <c r="WGT254" s="243"/>
      <c r="WGU254" s="243"/>
      <c r="WGV254" s="243"/>
      <c r="WGW254" s="243"/>
      <c r="WGX254" s="243"/>
      <c r="WGY254" s="243"/>
      <c r="WGZ254" s="243"/>
      <c r="WHA254" s="243"/>
      <c r="WHB254" s="243"/>
      <c r="WHC254" s="243"/>
      <c r="WHD254" s="243"/>
      <c r="WHE254" s="243"/>
      <c r="WHF254" s="243"/>
      <c r="WHG254" s="243"/>
      <c r="WHH254" s="243"/>
      <c r="WHI254" s="243"/>
      <c r="WHJ254" s="243"/>
      <c r="WHK254" s="243"/>
      <c r="WHL254" s="243"/>
      <c r="WHM254" s="243"/>
      <c r="WHN254" s="243"/>
      <c r="WHO254" s="243"/>
      <c r="WHP254" s="243"/>
      <c r="WHQ254" s="243"/>
      <c r="WHR254" s="243"/>
      <c r="WHS254" s="243"/>
      <c r="WHT254" s="243"/>
      <c r="WHU254" s="243"/>
      <c r="WHV254" s="243"/>
      <c r="WHW254" s="243"/>
      <c r="WHX254" s="243"/>
      <c r="WHY254" s="243"/>
      <c r="WHZ254" s="243"/>
      <c r="WIA254" s="243"/>
      <c r="WIB254" s="243"/>
      <c r="WIC254" s="243"/>
      <c r="WID254" s="243"/>
      <c r="WIE254" s="243"/>
      <c r="WIF254" s="243"/>
      <c r="WIG254" s="243"/>
      <c r="WIH254" s="243"/>
      <c r="WII254" s="243"/>
      <c r="WIJ254" s="243"/>
      <c r="WIK254" s="243"/>
      <c r="WIL254" s="243"/>
      <c r="WIM254" s="243"/>
      <c r="WIN254" s="243"/>
      <c r="WIO254" s="243"/>
      <c r="WIP254" s="243"/>
      <c r="WIQ254" s="243"/>
      <c r="WIR254" s="243"/>
      <c r="WIS254" s="243"/>
      <c r="WIT254" s="243"/>
      <c r="WIU254" s="243"/>
      <c r="WIV254" s="243"/>
      <c r="WIW254" s="243"/>
      <c r="WIX254" s="243"/>
      <c r="WIY254" s="243"/>
      <c r="WIZ254" s="243"/>
      <c r="WJA254" s="243"/>
      <c r="WJB254" s="243"/>
      <c r="WJC254" s="243"/>
      <c r="WJD254" s="243"/>
      <c r="WJE254" s="243"/>
      <c r="WJF254" s="243"/>
      <c r="WJG254" s="243"/>
      <c r="WJH254" s="243"/>
      <c r="WJI254" s="243"/>
      <c r="WJJ254" s="243"/>
      <c r="WJK254" s="243"/>
      <c r="WJL254" s="243"/>
      <c r="WJM254" s="243"/>
      <c r="WJN254" s="243"/>
      <c r="WJO254" s="243"/>
      <c r="WJP254" s="243"/>
      <c r="WJQ254" s="243"/>
      <c r="WJR254" s="243"/>
      <c r="WJS254" s="243"/>
      <c r="WJT254" s="243"/>
      <c r="WJU254" s="243"/>
      <c r="WJV254" s="243"/>
      <c r="WJW254" s="243"/>
      <c r="WJX254" s="243"/>
      <c r="WJY254" s="243"/>
      <c r="WJZ254" s="243"/>
      <c r="WKA254" s="243"/>
      <c r="WKB254" s="243"/>
      <c r="WKC254" s="243"/>
      <c r="WKD254" s="243"/>
      <c r="WKE254" s="243"/>
      <c r="WKF254" s="243"/>
      <c r="WKG254" s="243"/>
      <c r="WKH254" s="243"/>
      <c r="WKI254" s="243"/>
      <c r="WKJ254" s="243"/>
      <c r="WKK254" s="243"/>
      <c r="WKL254" s="243"/>
      <c r="WKM254" s="243"/>
      <c r="WKN254" s="243"/>
      <c r="WKO254" s="243"/>
      <c r="WKP254" s="243"/>
      <c r="WKQ254" s="243"/>
      <c r="WKR254" s="243"/>
      <c r="WKS254" s="243"/>
      <c r="WKT254" s="243"/>
      <c r="WKU254" s="243"/>
      <c r="WKV254" s="243"/>
      <c r="WKW254" s="243"/>
      <c r="WKX254" s="243"/>
      <c r="WKY254" s="243"/>
      <c r="WKZ254" s="243"/>
      <c r="WLA254" s="243"/>
      <c r="WLB254" s="243"/>
      <c r="WLC254" s="243"/>
      <c r="WLD254" s="243"/>
      <c r="WLE254" s="243"/>
      <c r="WLF254" s="243"/>
      <c r="WLG254" s="243"/>
      <c r="WLH254" s="243"/>
      <c r="WLI254" s="243"/>
      <c r="WLJ254" s="243"/>
      <c r="WLK254" s="243"/>
      <c r="WLL254" s="243"/>
      <c r="WLM254" s="243"/>
      <c r="WLN254" s="243"/>
      <c r="WLO254" s="243"/>
      <c r="WLP254" s="243"/>
      <c r="WLQ254" s="243"/>
      <c r="WLR254" s="243"/>
      <c r="WLS254" s="243"/>
      <c r="WLT254" s="243"/>
      <c r="WLU254" s="243"/>
      <c r="WLV254" s="243"/>
      <c r="WLW254" s="243"/>
      <c r="WLX254" s="243"/>
      <c r="WLY254" s="243"/>
      <c r="WLZ254" s="243"/>
      <c r="WMA254" s="243"/>
      <c r="WMB254" s="243"/>
      <c r="WMC254" s="243"/>
      <c r="WMD254" s="243"/>
      <c r="WME254" s="243"/>
      <c r="WMF254" s="243"/>
      <c r="WMG254" s="243"/>
      <c r="WMH254" s="243"/>
      <c r="WMI254" s="243"/>
      <c r="WMJ254" s="243"/>
      <c r="WMK254" s="243"/>
      <c r="WML254" s="243"/>
      <c r="WMM254" s="243"/>
      <c r="WMN254" s="243"/>
      <c r="WMO254" s="243"/>
      <c r="WMP254" s="243"/>
      <c r="WMQ254" s="243"/>
      <c r="WMR254" s="243"/>
      <c r="WMS254" s="243"/>
      <c r="WMT254" s="243"/>
      <c r="WMU254" s="243"/>
      <c r="WMV254" s="243"/>
      <c r="WMW254" s="243"/>
      <c r="WMX254" s="243"/>
      <c r="WMY254" s="243"/>
      <c r="WMZ254" s="243"/>
      <c r="WNA254" s="243"/>
      <c r="WNB254" s="243"/>
      <c r="WNC254" s="243"/>
      <c r="WND254" s="243"/>
      <c r="WNE254" s="243"/>
      <c r="WNF254" s="243"/>
      <c r="WNG254" s="243"/>
      <c r="WNH254" s="243"/>
      <c r="WNI254" s="243"/>
      <c r="WNJ254" s="243"/>
      <c r="WNK254" s="243"/>
      <c r="WNL254" s="243"/>
      <c r="WNM254" s="243"/>
      <c r="WNN254" s="243"/>
      <c r="WNO254" s="243"/>
      <c r="WNP254" s="243"/>
      <c r="WNQ254" s="243"/>
      <c r="WNR254" s="243"/>
      <c r="WNS254" s="243"/>
      <c r="WNT254" s="243"/>
      <c r="WNU254" s="243"/>
      <c r="WNV254" s="243"/>
      <c r="WNW254" s="243"/>
      <c r="WNX254" s="243"/>
      <c r="WNY254" s="243"/>
      <c r="WNZ254" s="243"/>
      <c r="WOA254" s="243"/>
      <c r="WOB254" s="243"/>
      <c r="WOC254" s="243"/>
      <c r="WOD254" s="243"/>
      <c r="WOE254" s="243"/>
      <c r="WOF254" s="243"/>
      <c r="WOG254" s="243"/>
      <c r="WOH254" s="243"/>
      <c r="WOI254" s="243"/>
      <c r="WOJ254" s="243"/>
      <c r="WOK254" s="243"/>
      <c r="WOL254" s="243"/>
      <c r="WOM254" s="243"/>
      <c r="WON254" s="243"/>
      <c r="WOO254" s="243"/>
      <c r="WOP254" s="243"/>
      <c r="WOQ254" s="243"/>
      <c r="WOR254" s="243"/>
      <c r="WOS254" s="243"/>
      <c r="WOT254" s="243"/>
      <c r="WOU254" s="243"/>
      <c r="WOV254" s="243"/>
      <c r="WOW254" s="243"/>
      <c r="WOX254" s="243"/>
      <c r="WOY254" s="243"/>
      <c r="WOZ254" s="243"/>
      <c r="WPA254" s="243"/>
      <c r="WPB254" s="243"/>
      <c r="WPC254" s="243"/>
      <c r="WPD254" s="243"/>
      <c r="WPE254" s="243"/>
      <c r="WPF254" s="243"/>
      <c r="WPG254" s="243"/>
      <c r="WPH254" s="243"/>
      <c r="WPI254" s="243"/>
      <c r="WPJ254" s="243"/>
      <c r="WPK254" s="243"/>
      <c r="WPL254" s="243"/>
      <c r="WPM254" s="243"/>
      <c r="WPN254" s="243"/>
      <c r="WPO254" s="243"/>
      <c r="WPP254" s="243"/>
      <c r="WPQ254" s="243"/>
      <c r="WPR254" s="243"/>
      <c r="WPS254" s="243"/>
      <c r="WPT254" s="243"/>
      <c r="WPU254" s="243"/>
      <c r="WPV254" s="243"/>
      <c r="WPW254" s="243"/>
      <c r="WPX254" s="243"/>
      <c r="WPY254" s="243"/>
      <c r="WPZ254" s="243"/>
      <c r="WQA254" s="243"/>
      <c r="WQB254" s="243"/>
      <c r="WQC254" s="243"/>
      <c r="WQD254" s="243"/>
      <c r="WQE254" s="243"/>
      <c r="WQF254" s="243"/>
      <c r="WQG254" s="243"/>
      <c r="WQH254" s="243"/>
      <c r="WQI254" s="243"/>
      <c r="WQJ254" s="243"/>
      <c r="WQK254" s="243"/>
      <c r="WQL254" s="243"/>
      <c r="WQM254" s="243"/>
      <c r="WQN254" s="243"/>
      <c r="WQO254" s="243"/>
      <c r="WQP254" s="243"/>
      <c r="WQQ254" s="243"/>
      <c r="WQR254" s="243"/>
      <c r="WQS254" s="243"/>
      <c r="WQT254" s="243"/>
      <c r="WQU254" s="243"/>
      <c r="WQV254" s="243"/>
      <c r="WQW254" s="243"/>
      <c r="WQX254" s="243"/>
      <c r="WQY254" s="243"/>
      <c r="WQZ254" s="243"/>
      <c r="WRA254" s="243"/>
      <c r="WRB254" s="243"/>
      <c r="WRC254" s="243"/>
      <c r="WRD254" s="243"/>
      <c r="WRE254" s="243"/>
      <c r="WRF254" s="243"/>
      <c r="WRG254" s="243"/>
      <c r="WRH254" s="243"/>
      <c r="WRI254" s="243"/>
      <c r="WRJ254" s="243"/>
      <c r="WRK254" s="243"/>
      <c r="WRL254" s="243"/>
      <c r="WRM254" s="243"/>
      <c r="WRN254" s="243"/>
      <c r="WRO254" s="243"/>
      <c r="WRP254" s="243"/>
      <c r="WRQ254" s="243"/>
      <c r="WRR254" s="243"/>
      <c r="WRS254" s="243"/>
      <c r="WRT254" s="243"/>
      <c r="WRU254" s="243"/>
      <c r="WRV254" s="243"/>
      <c r="WRW254" s="243"/>
      <c r="WRX254" s="243"/>
      <c r="WRY254" s="243"/>
      <c r="WRZ254" s="243"/>
      <c r="WSA254" s="243"/>
      <c r="WSB254" s="243"/>
      <c r="WSC254" s="243"/>
      <c r="WSD254" s="243"/>
      <c r="WSE254" s="243"/>
      <c r="WSF254" s="243"/>
      <c r="WSG254" s="243"/>
      <c r="WSH254" s="243"/>
      <c r="WSI254" s="243"/>
      <c r="WSJ254" s="243"/>
      <c r="WSK254" s="243"/>
      <c r="WSL254" s="243"/>
      <c r="WSM254" s="243"/>
      <c r="WSN254" s="243"/>
      <c r="WSO254" s="243"/>
      <c r="WSP254" s="243"/>
      <c r="WSQ254" s="243"/>
      <c r="WSR254" s="243"/>
      <c r="WSS254" s="243"/>
      <c r="WST254" s="243"/>
      <c r="WSU254" s="243"/>
      <c r="WSV254" s="243"/>
      <c r="WSW254" s="243"/>
      <c r="WSX254" s="243"/>
      <c r="WSY254" s="243"/>
      <c r="WSZ254" s="243"/>
      <c r="WTA254" s="243"/>
      <c r="WTB254" s="243"/>
      <c r="WTC254" s="243"/>
      <c r="WTD254" s="243"/>
      <c r="WTE254" s="243"/>
      <c r="WTF254" s="243"/>
      <c r="WTG254" s="243"/>
      <c r="WTH254" s="243"/>
      <c r="WTI254" s="243"/>
      <c r="WTJ254" s="243"/>
      <c r="WTK254" s="243"/>
      <c r="WTL254" s="243"/>
      <c r="WTM254" s="243"/>
      <c r="WTN254" s="243"/>
      <c r="WTO254" s="243"/>
      <c r="WTP254" s="243"/>
      <c r="WTQ254" s="243"/>
      <c r="WTR254" s="243"/>
      <c r="WTS254" s="243"/>
      <c r="WTT254" s="243"/>
      <c r="WTU254" s="243"/>
      <c r="WTV254" s="243"/>
      <c r="WTW254" s="243"/>
      <c r="WTX254" s="243"/>
      <c r="WTY254" s="243"/>
      <c r="WTZ254" s="243"/>
      <c r="WUA254" s="243"/>
      <c r="WUB254" s="243"/>
      <c r="WUC254" s="243"/>
      <c r="WUD254" s="243"/>
      <c r="WUE254" s="243"/>
      <c r="WUF254" s="243"/>
      <c r="WUG254" s="243"/>
      <c r="WUH254" s="243"/>
      <c r="WUI254" s="243"/>
      <c r="WUJ254" s="243"/>
      <c r="WUK254" s="243"/>
      <c r="WUL254" s="243"/>
      <c r="WUM254" s="243"/>
      <c r="WUN254" s="243"/>
      <c r="WUO254" s="243"/>
      <c r="WUP254" s="243"/>
      <c r="WUQ254" s="243"/>
      <c r="WUR254" s="243"/>
      <c r="WUS254" s="243"/>
      <c r="WUT254" s="243"/>
      <c r="WUU254" s="243"/>
      <c r="WUV254" s="243"/>
      <c r="WUW254" s="243"/>
      <c r="WUX254" s="243"/>
      <c r="WUY254" s="243"/>
      <c r="WUZ254" s="243"/>
      <c r="WVA254" s="243"/>
      <c r="WVB254" s="243"/>
      <c r="WVC254" s="243"/>
      <c r="WVD254" s="243"/>
      <c r="WVE254" s="243"/>
      <c r="WVF254" s="243"/>
      <c r="WVG254" s="243"/>
      <c r="WVH254" s="243"/>
      <c r="WVI254" s="243"/>
      <c r="WVJ254" s="243"/>
      <c r="WVK254" s="243"/>
      <c r="WVL254" s="243"/>
      <c r="WVM254" s="243"/>
      <c r="WVN254" s="243"/>
      <c r="WVO254" s="243"/>
      <c r="WVP254" s="243"/>
      <c r="WVQ254" s="243"/>
      <c r="WVR254" s="243"/>
      <c r="WVS254" s="243"/>
      <c r="WVT254" s="243"/>
      <c r="WVU254" s="243"/>
      <c r="WVV254" s="243"/>
      <c r="WVW254" s="243"/>
      <c r="WVX254" s="243"/>
      <c r="WVY254" s="243"/>
      <c r="WVZ254" s="243"/>
      <c r="WWA254" s="243"/>
      <c r="WWB254" s="243"/>
      <c r="WWC254" s="243"/>
      <c r="WWD254" s="243"/>
      <c r="WWE254" s="243"/>
      <c r="WWF254" s="243"/>
      <c r="WWG254" s="243"/>
      <c r="WWH254" s="243"/>
      <c r="WWI254" s="243"/>
      <c r="WWJ254" s="243"/>
      <c r="WWK254" s="243"/>
      <c r="WWL254" s="243"/>
      <c r="WWM254" s="243"/>
      <c r="WWN254" s="243"/>
      <c r="WWO254" s="243"/>
      <c r="WWP254" s="243"/>
      <c r="WWQ254" s="243"/>
      <c r="WWR254" s="243"/>
      <c r="WWS254" s="243"/>
      <c r="WWT254" s="243"/>
      <c r="WWU254" s="243"/>
      <c r="WWV254" s="243"/>
      <c r="WWW254" s="243"/>
      <c r="WWX254" s="243"/>
      <c r="WWY254" s="243"/>
      <c r="WWZ254" s="243"/>
      <c r="WXA254" s="243"/>
      <c r="WXB254" s="243"/>
      <c r="WXC254" s="243"/>
      <c r="WXD254" s="243"/>
      <c r="WXE254" s="243"/>
      <c r="WXF254" s="243"/>
      <c r="WXG254" s="243"/>
      <c r="WXH254" s="243"/>
      <c r="WXI254" s="243"/>
      <c r="WXJ254" s="243"/>
      <c r="WXK254" s="243"/>
      <c r="WXL254" s="243"/>
      <c r="WXM254" s="243"/>
      <c r="WXN254" s="243"/>
      <c r="WXO254" s="243"/>
      <c r="WXP254" s="243"/>
      <c r="WXQ254" s="243"/>
      <c r="WXR254" s="243"/>
      <c r="WXS254" s="243"/>
      <c r="WXT254" s="243"/>
      <c r="WXU254" s="243"/>
      <c r="WXV254" s="243"/>
      <c r="WXW254" s="243"/>
      <c r="WXX254" s="243"/>
      <c r="WXY254" s="243"/>
      <c r="WXZ254" s="243"/>
      <c r="WYA254" s="243"/>
      <c r="WYB254" s="243"/>
      <c r="WYC254" s="243"/>
      <c r="WYD254" s="243"/>
      <c r="WYE254" s="243"/>
      <c r="WYF254" s="243"/>
      <c r="WYG254" s="243"/>
      <c r="WYH254" s="243"/>
      <c r="WYI254" s="243"/>
      <c r="WYJ254" s="243"/>
      <c r="WYK254" s="243"/>
      <c r="WYL254" s="243"/>
      <c r="WYM254" s="243"/>
      <c r="WYN254" s="243"/>
      <c r="WYO254" s="243"/>
      <c r="WYP254" s="243"/>
      <c r="WYQ254" s="243"/>
      <c r="WYR254" s="243"/>
      <c r="WYS254" s="243"/>
      <c r="WYT254" s="243"/>
      <c r="WYU254" s="243"/>
      <c r="WYV254" s="243"/>
      <c r="WYW254" s="243"/>
      <c r="WYX254" s="243"/>
      <c r="WYY254" s="243"/>
      <c r="WYZ254" s="243"/>
      <c r="WZA254" s="243"/>
      <c r="WZB254" s="243"/>
      <c r="WZC254" s="243"/>
      <c r="WZD254" s="243"/>
      <c r="WZE254" s="243"/>
      <c r="WZF254" s="243"/>
      <c r="WZG254" s="243"/>
      <c r="WZH254" s="243"/>
      <c r="WZI254" s="243"/>
      <c r="WZJ254" s="243"/>
      <c r="WZK254" s="243"/>
      <c r="WZL254" s="243"/>
      <c r="WZM254" s="243"/>
      <c r="WZN254" s="243"/>
      <c r="WZO254" s="243"/>
      <c r="WZP254" s="243"/>
      <c r="WZQ254" s="243"/>
      <c r="WZR254" s="243"/>
      <c r="WZS254" s="243"/>
      <c r="WZT254" s="243"/>
      <c r="WZU254" s="243"/>
      <c r="WZV254" s="243"/>
      <c r="WZW254" s="243"/>
      <c r="WZX254" s="243"/>
      <c r="WZY254" s="243"/>
      <c r="WZZ254" s="243"/>
      <c r="XAA254" s="243"/>
      <c r="XAB254" s="243"/>
      <c r="XAC254" s="243"/>
      <c r="XAD254" s="243"/>
      <c r="XAE254" s="243"/>
      <c r="XAF254" s="243"/>
      <c r="XAG254" s="243"/>
      <c r="XAH254" s="243"/>
      <c r="XAI254" s="243"/>
      <c r="XAJ254" s="243"/>
      <c r="XAK254" s="243"/>
      <c r="XAL254" s="243"/>
      <c r="XAM254" s="243"/>
      <c r="XAN254" s="243"/>
      <c r="XAO254" s="243"/>
      <c r="XAP254" s="243"/>
      <c r="XAQ254" s="243"/>
      <c r="XAR254" s="243"/>
      <c r="XAS254" s="243"/>
      <c r="XAT254" s="243"/>
      <c r="XAU254" s="243"/>
      <c r="XAV254" s="243"/>
      <c r="XAW254" s="243"/>
      <c r="XAX254" s="243"/>
      <c r="XAY254" s="243"/>
      <c r="XAZ254" s="243"/>
      <c r="XBA254" s="243"/>
      <c r="XBB254" s="243"/>
      <c r="XBC254" s="243"/>
      <c r="XBD254" s="243"/>
      <c r="XBE254" s="243"/>
      <c r="XBF254" s="243"/>
      <c r="XBG254" s="243"/>
      <c r="XBH254" s="243"/>
      <c r="XBI254" s="243"/>
      <c r="XBJ254" s="243"/>
      <c r="XBK254" s="243"/>
      <c r="XBL254" s="243"/>
      <c r="XBM254" s="243"/>
      <c r="XBN254" s="243"/>
      <c r="XBO254" s="243"/>
      <c r="XBP254" s="243"/>
      <c r="XBQ254" s="243"/>
      <c r="XBR254" s="243"/>
      <c r="XBS254" s="243"/>
      <c r="XBT254" s="243"/>
      <c r="XBU254" s="243"/>
      <c r="XBV254" s="243"/>
      <c r="XBW254" s="243"/>
      <c r="XBX254" s="243"/>
      <c r="XBY254" s="243"/>
      <c r="XBZ254" s="243"/>
      <c r="XCA254" s="243"/>
      <c r="XCB254" s="243"/>
      <c r="XCC254" s="243"/>
      <c r="XCD254" s="243"/>
      <c r="XCE254" s="243"/>
      <c r="XCF254" s="243"/>
      <c r="XCG254" s="243"/>
      <c r="XCH254" s="243"/>
      <c r="XCI254" s="243"/>
      <c r="XCJ254" s="243"/>
      <c r="XCK254" s="243"/>
      <c r="XCL254" s="243"/>
      <c r="XCM254" s="243"/>
      <c r="XCN254" s="243"/>
      <c r="XCO254" s="243"/>
      <c r="XCP254" s="243"/>
      <c r="XCQ254" s="243"/>
      <c r="XCR254" s="243"/>
      <c r="XCS254" s="243"/>
      <c r="XCT254" s="243"/>
      <c r="XCU254" s="243"/>
      <c r="XCV254" s="243"/>
      <c r="XCW254" s="243"/>
      <c r="XCX254" s="243"/>
      <c r="XCY254" s="243"/>
      <c r="XCZ254" s="243"/>
      <c r="XDA254" s="243"/>
      <c r="XDB254" s="243"/>
      <c r="XDC254" s="243"/>
      <c r="XDD254" s="243"/>
      <c r="XDE254" s="243"/>
      <c r="XDF254" s="243"/>
      <c r="XDG254" s="243"/>
      <c r="XDH254" s="243"/>
      <c r="XDI254" s="243"/>
      <c r="XDJ254" s="243"/>
      <c r="XDK254" s="243"/>
      <c r="XDL254" s="243"/>
      <c r="XDM254" s="243"/>
      <c r="XDN254" s="243"/>
      <c r="XDO254" s="243"/>
      <c r="XDP254" s="243"/>
      <c r="XDQ254" s="243"/>
      <c r="XDR254" s="243"/>
      <c r="XDS254" s="243"/>
      <c r="XDT254" s="243"/>
      <c r="XDU254" s="243"/>
      <c r="XDV254" s="243"/>
      <c r="XDW254" s="243"/>
      <c r="XDX254" s="243"/>
      <c r="XDY254" s="243"/>
      <c r="XDZ254" s="243"/>
      <c r="XEA254" s="243"/>
      <c r="XEB254" s="243"/>
      <c r="XEC254" s="243"/>
      <c r="XED254" s="243"/>
      <c r="XEE254" s="243"/>
      <c r="XEF254" s="243"/>
      <c r="XEG254" s="243"/>
      <c r="XEH254" s="243"/>
      <c r="XEI254" s="243"/>
      <c r="XEJ254" s="243"/>
      <c r="XEK254" s="243"/>
      <c r="XEL254" s="243"/>
      <c r="XEM254" s="243"/>
      <c r="XEN254" s="243"/>
      <c r="XEO254" s="243"/>
      <c r="XEP254" s="243"/>
      <c r="XEQ254" s="243"/>
      <c r="XER254" s="243"/>
      <c r="XES254" s="243"/>
      <c r="XET254" s="243"/>
      <c r="XEU254" s="243"/>
      <c r="XEV254" s="243"/>
      <c r="XEW254" s="243"/>
      <c r="XEX254" s="243"/>
      <c r="XEY254" s="243"/>
      <c r="XEZ254" s="243"/>
      <c r="XFA254" s="243"/>
      <c r="XFB254" s="243"/>
      <c r="XFC254" s="243"/>
      <c r="XFD254" s="243"/>
    </row>
  </sheetData>
  <mergeCells count="9">
    <mergeCell ref="BB13:BD13"/>
    <mergeCell ref="BB14:BD14"/>
    <mergeCell ref="BB15:BD15"/>
    <mergeCell ref="J13:L13"/>
    <mergeCell ref="J14:L14"/>
    <mergeCell ref="J15:L15"/>
    <mergeCell ref="AF13:AH13"/>
    <mergeCell ref="AF14:AH14"/>
    <mergeCell ref="AF15:AH15"/>
  </mergeCells>
  <dataValidations count="17">
    <dataValidation type="list" allowBlank="1" showInputMessage="1" showErrorMessage="1" sqref="F41:Q41 F64:Q68 F91:Q92 F61:Q62 AB41:AM41 AB64:AM68 AB91:AM92 AB61:AM62 AX41:BI41 AX64:BI68 AX91:BI92 AX61:BI62">
      <formula1>Actividades_Agricolas</formula1>
    </dataValidation>
    <dataValidation type="list" allowBlank="1" showInputMessage="1" showErrorMessage="1" sqref="F4 AB4 AX4">
      <formula1>INDIRECT("Centros_Costo")</formula1>
    </dataValidation>
    <dataValidation type="list" allowBlank="1" showInputMessage="1" showErrorMessage="1" sqref="F5 AB5 AX5">
      <formula1>INDIRECT("Campaña")</formula1>
    </dataValidation>
    <dataValidation type="list" allowBlank="1" showInputMessage="1" showErrorMessage="1" sqref="E64:E68 E61:E62 E91:E92 E42:E58 E88 E110 E135 E153 E179 AA64:AA68 AA61:AA62 AA91:AA92 AA179 AA42:AA58 AW64:AW68 AW61:AW62 AW91:AW92 AW179 AW42:AW58">
      <formula1>Cuentas_Agricolas</formula1>
    </dataValidation>
    <dataValidation type="list" allowBlank="1" showInputMessage="1" showErrorMessage="1" sqref="F39 AB39 AX39">
      <formula1>"Total,Hectárea,Tonelada"</formula1>
    </dataValidation>
    <dataValidation type="list" allowBlank="1" showInputMessage="1" showErrorMessage="1" sqref="F72 AB72 AX72">
      <formula1>"Total,Tonelada"</formula1>
    </dataValidation>
    <dataValidation type="list" allowBlank="1" showInputMessage="1" showErrorMessage="1" sqref="F74:Q74 Q97:R97 F97:M97 Q141:R141 F141:M141 AB74:AM74 AM97:AN97 AB97:AI97 AM141:AN141 AB141:AI141 AX74:BI74 BI97:BJ97 AX97:BE97 BI141:BJ141 AX141:BE141">
      <formula1>Producto_Agricola</formula1>
    </dataValidation>
    <dataValidation type="list" allowBlank="1" showInputMessage="1" showErrorMessage="1" sqref="E75:E87 AA75:AA88 AW75:AW88">
      <formula1>Cuentas_Comerciales_Granos</formula1>
    </dataValidation>
    <dataValidation type="list" allowBlank="1" showInputMessage="1" showErrorMessage="1" sqref="E98:E109 AA98:AA110 AW98:AW110">
      <formula1>Categoria_Hacienda</formula1>
    </dataValidation>
    <dataValidation type="list" allowBlank="1" showInputMessage="1" showErrorMessage="1" sqref="P97 N97 N141 P141 E115:E134 AL97 AJ97 AJ141 AL141 AA115:AA135 BH97 BF97 BF141 BH141 AW115:AW135">
      <formula1>Cuentas_Ganaderas</formula1>
    </dataValidation>
    <dataValidation type="list" allowBlank="1" showInputMessage="1" showErrorMessage="1" sqref="E142:E152 AA142:AA153 AW142:AW153">
      <formula1>Categorias_Hacienda_Lecheria</formula1>
    </dataValidation>
    <dataValidation type="list" allowBlank="1" showInputMessage="1" showErrorMessage="1" sqref="E158:E178 AA158:AA178 AW158:AW178">
      <formula1>Cuentas_Lecheria</formula1>
    </dataValidation>
    <dataValidation type="list" allowBlank="1" showInputMessage="1" showErrorMessage="1" sqref="F185:L185 AB185:AH185 AX185:BD185">
      <formula1>Otras</formula1>
    </dataValidation>
    <dataValidation type="list" allowBlank="1" showInputMessage="1" showErrorMessage="1" sqref="E186:E207 E252 AA186:AA207 AA252 AW186:AW207 AW252">
      <formula1>Otras_Cuentas</formula1>
    </dataValidation>
    <dataValidation type="list" allowBlank="1" showInputMessage="1" showErrorMessage="1" sqref="F213:L213 D15:D18 D20 D24:D26 AB213:AH213 Z15:Z18 Z20 Z24:Z26 AX213:BD213 AV15:AV18 AV20 AV24:AV26">
      <formula1>Actividades_Indirectos</formula1>
    </dataValidation>
    <dataValidation type="list" allowBlank="1" showInputMessage="1" showErrorMessage="1" sqref="E214:E236 E243:E251 D21:D23 D19 AA214:AA236 AA243:AA251 Z21:Z23 Z19 AW214:AW236 AW243:AW251 AV21:AV23 AV19">
      <formula1>Cuentas_Indirectos</formula1>
    </dataValidation>
    <dataValidation type="list" allowBlank="1" showInputMessage="1" showErrorMessage="1" sqref="F242:L242 AB242:AH242 AX242:BD242">
      <formula1>Act_FIDI</formula1>
    </dataValidation>
  </dataValidations>
  <pageMargins left="0.7" right="0.7" top="0.75" bottom="0.75" header="0.3" footer="0.3"/>
  <pageSetup orientation="portrait" r:id="rId1"/>
  <legacyDrawing r:id="rId2"/>
  <tableParts count="27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  <pageSetUpPr fitToPage="1"/>
  </sheetPr>
  <dimension ref="A1:AS704"/>
  <sheetViews>
    <sheetView showGridLines="0" zoomScale="80" zoomScaleNormal="80" workbookViewId="0">
      <pane ySplit="4" topLeftCell="A5" activePane="bottomLeft" state="frozen"/>
      <selection pane="bottomLeft" activeCell="B9" sqref="B9"/>
    </sheetView>
  </sheetViews>
  <sheetFormatPr baseColWidth="10" defaultColWidth="0" defaultRowHeight="15" outlineLevelCol="1" x14ac:dyDescent="0.25"/>
  <cols>
    <col min="1" max="1" width="2.7109375" style="464" customWidth="1"/>
    <col min="2" max="2" width="17.85546875" style="464" bestFit="1" customWidth="1"/>
    <col min="3" max="3" width="2.7109375" style="464" customWidth="1"/>
    <col min="4" max="5" width="11.5703125" style="465" bestFit="1" customWidth="1"/>
    <col min="6" max="6" width="11.5703125" style="465" hidden="1" customWidth="1" outlineLevel="1"/>
    <col min="7" max="7" width="15" style="464" hidden="1" customWidth="1" outlineLevel="1"/>
    <col min="8" max="8" width="18" style="464" hidden="1" customWidth="1" outlineLevel="1"/>
    <col min="9" max="9" width="14.5703125" style="464" hidden="1" customWidth="1" outlineLevel="1"/>
    <col min="10" max="10" width="10" style="464" hidden="1" customWidth="1" outlineLevel="1"/>
    <col min="11" max="11" width="29.140625" style="465" bestFit="1" customWidth="1" collapsed="1"/>
    <col min="12" max="12" width="21.140625" style="464" customWidth="1"/>
    <col min="13" max="13" width="11.42578125" style="464" customWidth="1"/>
    <col min="14" max="14" width="8" style="465" bestFit="1" customWidth="1"/>
    <col min="15" max="15" width="8.85546875" style="465" bestFit="1" customWidth="1"/>
    <col min="16" max="16" width="14.140625" style="464" bestFit="1" customWidth="1"/>
    <col min="17" max="17" width="8.42578125" style="465" bestFit="1" customWidth="1"/>
    <col min="18" max="18" width="10.85546875" style="464" bestFit="1" customWidth="1"/>
    <col min="19" max="19" width="10.85546875" hidden="1" customWidth="1" outlineLevel="1"/>
    <col min="20" max="27" width="11.7109375" hidden="1" customWidth="1" outlineLevel="1"/>
    <col min="28" max="28" width="16.7109375" hidden="1" customWidth="1" outlineLevel="1"/>
    <col min="29" max="30" width="5.140625" hidden="1" customWidth="1" outlineLevel="1"/>
    <col min="31" max="33" width="10.7109375" hidden="1" customWidth="1" outlineLevel="1"/>
    <col min="34" max="34" width="10.7109375" style="1" hidden="1" customWidth="1" outlineLevel="1"/>
    <col min="35" max="35" width="10.7109375" style="22" hidden="1" customWidth="1" outlineLevel="1"/>
    <col min="36" max="36" width="10.85546875" style="22" hidden="1" customWidth="1" outlineLevel="1"/>
    <col min="37" max="38" width="10.28515625" style="1" hidden="1" customWidth="1" outlineLevel="1"/>
    <col min="39" max="39" width="14" style="1" hidden="1" customWidth="1" outlineLevel="1"/>
    <col min="40" max="40" width="14" hidden="1" customWidth="1" outlineLevel="1"/>
    <col min="41" max="41" width="14" style="79" hidden="1" customWidth="1" outlineLevel="1"/>
    <col min="42" max="42" width="13.5703125" style="79" hidden="1" customWidth="1" outlineLevel="1"/>
    <col min="43" max="43" width="19.140625" style="465" bestFit="1" customWidth="1" collapsed="1"/>
    <col min="44" max="44" width="40.85546875" style="464" bestFit="1" customWidth="1"/>
    <col min="45" max="45" width="11.85546875" style="342" customWidth="1"/>
    <col min="46" max="16384" width="11.85546875" hidden="1"/>
  </cols>
  <sheetData>
    <row r="1" spans="1:45" x14ac:dyDescent="0.25">
      <c r="AH1" s="344"/>
      <c r="AI1" s="344"/>
      <c r="AJ1" s="344"/>
      <c r="AK1" s="344"/>
      <c r="AL1" s="344"/>
      <c r="AM1" s="344"/>
      <c r="AO1" s="344"/>
      <c r="AP1" s="344"/>
    </row>
    <row r="2" spans="1:45" ht="45" x14ac:dyDescent="0.25">
      <c r="B2" s="466" t="s">
        <v>77</v>
      </c>
      <c r="D2" s="467" t="s">
        <v>477</v>
      </c>
      <c r="E2" s="468" t="s">
        <v>478</v>
      </c>
      <c r="I2" s="465"/>
      <c r="J2" s="465"/>
      <c r="M2" s="465"/>
      <c r="N2" s="464"/>
      <c r="Q2" s="464"/>
      <c r="S2" s="4"/>
      <c r="U2" s="4"/>
      <c r="X2" s="4"/>
      <c r="Y2" s="4"/>
      <c r="Z2" s="4"/>
      <c r="AA2" s="4"/>
      <c r="AC2" s="4"/>
      <c r="AD2" s="4"/>
      <c r="AE2" s="1"/>
      <c r="AF2" s="1"/>
      <c r="AG2" s="22"/>
      <c r="AH2" s="22"/>
      <c r="AI2" s="1"/>
      <c r="AJ2" s="1"/>
      <c r="AK2"/>
      <c r="AL2"/>
      <c r="AM2" s="79"/>
      <c r="AN2" s="79"/>
      <c r="AP2"/>
      <c r="AQ2" s="510"/>
      <c r="AS2"/>
    </row>
    <row r="3" spans="1:45" ht="27" customHeight="1" x14ac:dyDescent="0.25">
      <c r="H3" s="465"/>
      <c r="I3" s="465"/>
      <c r="J3" s="465"/>
      <c r="K3" s="464"/>
      <c r="L3" s="465"/>
      <c r="M3" s="465"/>
      <c r="P3" s="469"/>
      <c r="Q3" s="469"/>
      <c r="R3" s="469"/>
      <c r="S3" s="17"/>
      <c r="T3" s="17"/>
      <c r="AE3" s="1"/>
      <c r="AF3" s="1"/>
      <c r="AG3" s="22"/>
      <c r="AH3" s="22"/>
      <c r="AI3" s="1"/>
      <c r="AJ3" s="1"/>
      <c r="AK3"/>
      <c r="AL3"/>
      <c r="AM3" s="79"/>
      <c r="AN3" s="79"/>
      <c r="AP3"/>
      <c r="AQ3" s="510"/>
      <c r="AS3"/>
    </row>
    <row r="4" spans="1:45" s="5" customFormat="1" ht="31.5" customHeight="1" x14ac:dyDescent="0.25">
      <c r="A4" s="470"/>
      <c r="B4" s="470"/>
      <c r="C4" s="470"/>
      <c r="D4" s="471" t="s">
        <v>352</v>
      </c>
      <c r="E4" s="471" t="s">
        <v>15</v>
      </c>
      <c r="F4" s="472" t="s">
        <v>4</v>
      </c>
      <c r="G4" s="470" t="s">
        <v>0</v>
      </c>
      <c r="H4" s="470" t="s">
        <v>86</v>
      </c>
      <c r="I4" s="473" t="s">
        <v>80</v>
      </c>
      <c r="J4" s="472" t="s">
        <v>152</v>
      </c>
      <c r="K4" s="470" t="s">
        <v>78</v>
      </c>
      <c r="L4" s="474" t="s">
        <v>16</v>
      </c>
      <c r="M4" s="471" t="s">
        <v>26</v>
      </c>
      <c r="N4" s="475" t="s">
        <v>27</v>
      </c>
      <c r="O4" s="472" t="s">
        <v>89</v>
      </c>
      <c r="P4" s="476" t="s">
        <v>87</v>
      </c>
      <c r="Q4" s="475" t="s">
        <v>1</v>
      </c>
      <c r="R4" s="472" t="s">
        <v>353</v>
      </c>
      <c r="S4" s="6" t="s">
        <v>354</v>
      </c>
      <c r="T4" s="6" t="s">
        <v>355</v>
      </c>
      <c r="U4" s="6" t="s">
        <v>356</v>
      </c>
      <c r="V4" s="27" t="s">
        <v>236</v>
      </c>
      <c r="W4" s="6" t="s">
        <v>235</v>
      </c>
      <c r="X4" s="28" t="s">
        <v>357</v>
      </c>
      <c r="Y4" s="38" t="s">
        <v>92</v>
      </c>
      <c r="Z4" s="20" t="s">
        <v>93</v>
      </c>
      <c r="AA4" s="39" t="s">
        <v>345</v>
      </c>
      <c r="AB4" s="28" t="s">
        <v>39</v>
      </c>
      <c r="AC4" s="38" t="s">
        <v>91</v>
      </c>
      <c r="AD4" s="39" t="s">
        <v>64</v>
      </c>
      <c r="AE4" s="38" t="s">
        <v>346</v>
      </c>
      <c r="AF4" s="20" t="s">
        <v>347</v>
      </c>
      <c r="AG4" s="20" t="s">
        <v>348</v>
      </c>
      <c r="AH4" s="39" t="s">
        <v>349</v>
      </c>
      <c r="AI4" s="2" t="s">
        <v>33</v>
      </c>
      <c r="AJ4" s="2" t="s">
        <v>34</v>
      </c>
      <c r="AK4" s="2" t="s">
        <v>90</v>
      </c>
      <c r="AL4" s="2" t="s">
        <v>350</v>
      </c>
      <c r="AM4" s="38" t="s">
        <v>158</v>
      </c>
      <c r="AN4" s="2" t="s">
        <v>159</v>
      </c>
      <c r="AO4" s="2" t="s">
        <v>351</v>
      </c>
      <c r="AP4" s="38" t="s">
        <v>281</v>
      </c>
      <c r="AQ4" s="511" t="s">
        <v>393</v>
      </c>
      <c r="AR4" s="470" t="s">
        <v>384</v>
      </c>
    </row>
    <row r="5" spans="1:45" x14ac:dyDescent="0.25">
      <c r="B5" s="477" t="s">
        <v>444</v>
      </c>
      <c r="D5" s="478">
        <v>43586</v>
      </c>
      <c r="E5" s="478"/>
      <c r="F5" s="668" t="str">
        <f>$B$6</f>
        <v>2018-2019</v>
      </c>
      <c r="G5" s="669" t="str">
        <f>$B$7</f>
        <v>Campo 1</v>
      </c>
      <c r="H5" s="669" t="str">
        <f>$B$8</f>
        <v>Maíz Temprano</v>
      </c>
      <c r="I5" s="670" t="str">
        <f>IFERROR(INDEX(Tabla8[],MATCH(Producción_Agricola[[#This Row],[Unidad de Negocio]],Tabla8[Unidades de Negocio],0),2),0)</f>
        <v>Maíz</v>
      </c>
      <c r="J5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5" s="481" t="s">
        <v>77</v>
      </c>
      <c r="L5" s="482" t="s">
        <v>35</v>
      </c>
      <c r="M5" s="483">
        <v>0</v>
      </c>
      <c r="N5" s="484" t="s">
        <v>377</v>
      </c>
      <c r="O5" s="690">
        <f>Producción_Agricola[[#This Row],[Superficie]]*Producción_Agricola[[#This Row],[Cantidad]]</f>
        <v>0</v>
      </c>
      <c r="P5" s="482">
        <v>120</v>
      </c>
      <c r="Q5" s="484" t="s">
        <v>3</v>
      </c>
      <c r="R5" s="485"/>
      <c r="S5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" s="695">
        <f>IFERROR(Producción_Agricola[[#This Row],[Económico $Corrientes]]/Producción_Agricola[[#This Row],[Indexación Económico]],0)</f>
        <v>0</v>
      </c>
      <c r="U5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" s="695">
        <f>IFERROR(Producción_Agricola[[#This Row],[Financiero $Corrientes]]/Producción_Agricola[[#This Row],[Indexación Financiero]],0)</f>
        <v>0</v>
      </c>
      <c r="X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" s="699">
        <f>IFERROR(Producción_Agricola[[#This Row],[Intereses $Corrientes]]/Producción_Agricola[[#This Row],[Indexación Financiero]],0)</f>
        <v>0</v>
      </c>
      <c r="AA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" s="701" t="str">
        <f>IFERROR(INDEX(Produccion_Agricola_Cuentas[],MATCH(Producción_Agricola[[#This Row],[Cuenta Contable]],Produccion_Agricola_Cuentas[Cuenta Contable],0),2),0)</f>
        <v>Ingreso Cesión</v>
      </c>
      <c r="AC5" s="702" t="str">
        <f>IFERROR(INDEX(Tabla9[],MATCH(Producción_Agricola[[#This Row],[Movimiento]],Tabla9[Movimientos],0),2),0)</f>
        <v>No</v>
      </c>
      <c r="AD5" s="703" t="str">
        <f>IFERROR(INDEX(Tabla9[],MATCH(Producción_Agricola[[#This Row],[Movimiento]],Tabla9[Movimientos],0),3),0)</f>
        <v>(+)</v>
      </c>
      <c r="AE5" s="698">
        <f>IF(Producción_Agricola[[#This Row],[Fecha Económico]]=0,0,MONTH(Producción_Agricola[[#This Row],[Fecha Económico]]))</f>
        <v>5</v>
      </c>
      <c r="AF5" s="699">
        <f>IF(Producción_Agricola[[#This Row],[Fecha Económico]]=0,0,YEAR(Producción_Agricola[[#This Row],[Fecha Económico]]))</f>
        <v>2019</v>
      </c>
      <c r="AG5" s="704">
        <f>SUMPRODUCT((Producción_Agricola[[#This Row],[Mes Económico]]=Tipo_Cambio[Mes])*(Producción_Agricola[[#This Row],[Año Económico]]=Tipo_Cambio[Año])*(Tipo_Cambio[$/U$S]))</f>
        <v>24.301686759046497</v>
      </c>
      <c r="AH5" s="703">
        <f>SUMPRODUCT((Producción_Agricola[[#This Row],[Mes Económico]]=Tipo_Cambio[Mes])*(Producción_Agricola[[#This Row],[Año Económico]]=Tipo_Cambio[Año])*(Tipo_Cambio[Actualización]))</f>
        <v>1.2189944199947573</v>
      </c>
      <c r="AI5" s="705">
        <f>IF(ISNUMBER(Producción_Agricola[[#This Row],[Fecha Financiero]])=TRUE,MONTH(Producción_Agricola[[#This Row],[Fecha Financiero]]),0)</f>
        <v>0</v>
      </c>
      <c r="AJ5" s="705">
        <f>IF(ISNUMBER(Producción_Agricola[[#This Row],[Fecha Financiero]])=TRUE,YEAR(Producción_Agricola[[#This Row],[Fecha Financiero]]),0)</f>
        <v>0</v>
      </c>
      <c r="AK5" s="706">
        <f>SUMPRODUCT((Producción_Agricola[[#This Row],[Mes Financiero]]=Tipo_Cambio[Mes])*(Producción_Agricola[[#This Row],[Año Financiero]]=Tipo_Cambio[Año])*(Tipo_Cambio[$/U$S]))</f>
        <v>0</v>
      </c>
      <c r="AL5" s="706">
        <f>SUMPRODUCT((Producción_Agricola[[#This Row],[Mes Financiero]]=Tipo_Cambio[Mes])*(Producción_Agricola[[#This Row],[Año Financiero]]=Tipo_Cambio[Año])*(Tipo_Cambio[Actualización]))</f>
        <v>0</v>
      </c>
      <c r="AM5" s="702">
        <f>IFERROR(Producción_Agricola[[#This Row],[Económico $Corrientes]]/Producción_Agricola[[#This Row],[Superficie]],0)</f>
        <v>0</v>
      </c>
      <c r="AN5" s="706">
        <f>IFERROR(Producción_Agricola[[#This Row],[Económico $Constantes]]/Producción_Agricola[[#This Row],[Superficie]],0)</f>
        <v>0</v>
      </c>
      <c r="AO5" s="706">
        <f>IFERROR(Producción_Agricola[[#This Row],[Económico U$S Dólares]]/Producción_Agricola[[#This Row],[Superficie]],0)</f>
        <v>0</v>
      </c>
      <c r="AP5" s="707" t="str">
        <f>IF(Económico!$F$4=0,0,Producción_Agricola[[#This Row],[Centro de Costo]])</f>
        <v>Campo 1</v>
      </c>
      <c r="AQ5" s="512" t="s">
        <v>382</v>
      </c>
      <c r="AR5" s="513" t="s">
        <v>383</v>
      </c>
      <c r="AS5"/>
    </row>
    <row r="6" spans="1:45" x14ac:dyDescent="0.25">
      <c r="B6" s="486" t="s">
        <v>11</v>
      </c>
      <c r="D6" s="478">
        <f>D5</f>
        <v>43586</v>
      </c>
      <c r="E6" s="478">
        <v>43617</v>
      </c>
      <c r="F6" s="668" t="str">
        <f t="shared" ref="F6:F44" si="0">$B$6</f>
        <v>2018-2019</v>
      </c>
      <c r="G6" s="669" t="str">
        <f t="shared" ref="G6:G44" si="1">$B$7</f>
        <v>Campo 1</v>
      </c>
      <c r="H6" s="669" t="str">
        <f t="shared" ref="H6:H44" si="2">$B$8</f>
        <v>Maíz Temprano</v>
      </c>
      <c r="I6" s="670" t="str">
        <f>IFERROR(INDEX(Tabla8[],MATCH(Producción_Agricola[[#This Row],[Unidad de Negocio]],Tabla8[Unidades de Negocio],0),2),0)</f>
        <v>Maíz</v>
      </c>
      <c r="J6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6" s="481" t="s">
        <v>43</v>
      </c>
      <c r="L6" s="482" t="s">
        <v>43</v>
      </c>
      <c r="M6" s="483">
        <v>0</v>
      </c>
      <c r="N6" s="484" t="s">
        <v>389</v>
      </c>
      <c r="O6" s="690">
        <f>Producción_Agricola[[#This Row],[Superficie]]*Producción_Agricola[[#This Row],[Cantidad]]</f>
        <v>0</v>
      </c>
      <c r="P6" s="482">
        <v>2000</v>
      </c>
      <c r="Q6" s="484" t="s">
        <v>48</v>
      </c>
      <c r="R6" s="485">
        <v>0</v>
      </c>
      <c r="S6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" s="695">
        <f>IFERROR(Producción_Agricola[[#This Row],[Económico $Corrientes]]/Producción_Agricola[[#This Row],[Indexación Económico]],0)</f>
        <v>0</v>
      </c>
      <c r="U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" s="695">
        <f>IFERROR(Producción_Agricola[[#This Row],[Financiero $Corrientes]]/Producción_Agricola[[#This Row],[Indexación Financiero]],0)</f>
        <v>0</v>
      </c>
      <c r="X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" s="699">
        <f>IFERROR(Producción_Agricola[[#This Row],[Intereses $Corrientes]]/Producción_Agricola[[#This Row],[Indexación Financiero]],0)</f>
        <v>0</v>
      </c>
      <c r="AA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" s="701" t="str">
        <f>IFERROR(INDEX(Produccion_Agricola_Cuentas[],MATCH(Producción_Agricola[[#This Row],[Cuenta Contable]],Produccion_Agricola_Cuentas[Cuenta Contable],0),2),0)</f>
        <v>Egreso</v>
      </c>
      <c r="AC6" s="702" t="str">
        <f>IFERROR(INDEX(Tabla9[],MATCH(Producción_Agricola[[#This Row],[Movimiento]],Tabla9[Movimientos],0),2),0)</f>
        <v>Si</v>
      </c>
      <c r="AD6" s="703" t="str">
        <f>IFERROR(INDEX(Tabla9[],MATCH(Producción_Agricola[[#This Row],[Movimiento]],Tabla9[Movimientos],0),3),0)</f>
        <v>(-)</v>
      </c>
      <c r="AE6" s="698">
        <f>IF(Producción_Agricola[[#This Row],[Fecha Económico]]=0,0,MONTH(Producción_Agricola[[#This Row],[Fecha Económico]]))</f>
        <v>5</v>
      </c>
      <c r="AF6" s="699">
        <f>IF(Producción_Agricola[[#This Row],[Fecha Económico]]=0,0,YEAR(Producción_Agricola[[#This Row],[Fecha Económico]]))</f>
        <v>2019</v>
      </c>
      <c r="AG6" s="704">
        <f>SUMPRODUCT((Producción_Agricola[[#This Row],[Mes Económico]]=Tipo_Cambio[Mes])*(Producción_Agricola[[#This Row],[Año Económico]]=Tipo_Cambio[Año])*(Tipo_Cambio[$/U$S]))</f>
        <v>24.301686759046497</v>
      </c>
      <c r="AH6" s="703">
        <f>SUMPRODUCT((Producción_Agricola[[#This Row],[Mes Económico]]=Tipo_Cambio[Mes])*(Producción_Agricola[[#This Row],[Año Económico]]=Tipo_Cambio[Año])*(Tipo_Cambio[Actualización]))</f>
        <v>1.2189944199947573</v>
      </c>
      <c r="AI6" s="705">
        <f>IF(ISNUMBER(Producción_Agricola[[#This Row],[Fecha Financiero]])=TRUE,MONTH(Producción_Agricola[[#This Row],[Fecha Financiero]]),0)</f>
        <v>6</v>
      </c>
      <c r="AJ6" s="705">
        <f>IF(ISNUMBER(Producción_Agricola[[#This Row],[Fecha Financiero]])=TRUE,YEAR(Producción_Agricola[[#This Row],[Fecha Financiero]]),0)</f>
        <v>2019</v>
      </c>
      <c r="AK6" s="706">
        <f>SUMPRODUCT((Producción_Agricola[[#This Row],[Mes Financiero]]=Tipo_Cambio[Mes])*(Producción_Agricola[[#This Row],[Año Financiero]]=Tipo_Cambio[Año])*(Tipo_Cambio[$/U$S]))</f>
        <v>24.544703626636963</v>
      </c>
      <c r="AL6" s="706">
        <f>SUMPRODUCT((Producción_Agricola[[#This Row],[Mes Financiero]]=Tipo_Cambio[Mes])*(Producción_Agricola[[#This Row],[Año Financiero]]=Tipo_Cambio[Año])*(Tipo_Cambio[Actualización]))</f>
        <v>1.2433743083946525</v>
      </c>
      <c r="AM6" s="702">
        <f>IFERROR(Producción_Agricola[[#This Row],[Económico $Corrientes]]/Producción_Agricola[[#This Row],[Superficie]],0)</f>
        <v>0</v>
      </c>
      <c r="AN6" s="706">
        <f>IFERROR(Producción_Agricola[[#This Row],[Económico $Constantes]]/Producción_Agricola[[#This Row],[Superficie]],0)</f>
        <v>0</v>
      </c>
      <c r="AO6" s="706">
        <f>IFERROR(Producción_Agricola[[#This Row],[Económico U$S Dólares]]/Producción_Agricola[[#This Row],[Superficie]],0)</f>
        <v>0</v>
      </c>
      <c r="AP6" s="707" t="str">
        <f>IF(Económico!$F$4=0,0,Producción_Agricola[[#This Row],[Centro de Costo]])</f>
        <v>Campo 1</v>
      </c>
      <c r="AQ6" s="512" t="s">
        <v>43</v>
      </c>
      <c r="AR6" s="513"/>
      <c r="AS6"/>
    </row>
    <row r="7" spans="1:45" x14ac:dyDescent="0.25">
      <c r="B7" s="486" t="s">
        <v>2</v>
      </c>
      <c r="D7" s="478">
        <f>D5-320</f>
        <v>43266</v>
      </c>
      <c r="E7" s="478">
        <f>Producción_Agricola[[#This Row],[Fecha Económico]]+30</f>
        <v>43296</v>
      </c>
      <c r="F7" s="668" t="str">
        <f t="shared" si="0"/>
        <v>2018-2019</v>
      </c>
      <c r="G7" s="669" t="str">
        <f t="shared" si="1"/>
        <v>Campo 1</v>
      </c>
      <c r="H7" s="669" t="str">
        <f t="shared" si="2"/>
        <v>Maíz Temprano</v>
      </c>
      <c r="I7" s="670" t="str">
        <f>IFERROR(INDEX(Tabla8[],MATCH(Producción_Agricola[[#This Row],[Unidad de Negocio]],Tabla8[Unidades de Negocio],0),2),0)</f>
        <v>Maíz</v>
      </c>
      <c r="J7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7" s="481" t="s">
        <v>25</v>
      </c>
      <c r="L7" s="482" t="s">
        <v>219</v>
      </c>
      <c r="M7" s="483">
        <v>0</v>
      </c>
      <c r="N7" s="484" t="s">
        <v>389</v>
      </c>
      <c r="O7" s="690">
        <f>Producción_Agricola[[#This Row],[Superficie]]*Producción_Agricola[[#This Row],[Cantidad]]</f>
        <v>0</v>
      </c>
      <c r="P7" s="482">
        <v>120</v>
      </c>
      <c r="Q7" s="484" t="s">
        <v>48</v>
      </c>
      <c r="R7" s="485">
        <v>0</v>
      </c>
      <c r="S7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7" s="695">
        <f>IFERROR(Producción_Agricola[[#This Row],[Económico $Corrientes]]/Producción_Agricola[[#This Row],[Indexación Económico]],0)</f>
        <v>0</v>
      </c>
      <c r="U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7" s="695">
        <f>IFERROR(Producción_Agricola[[#This Row],[Financiero $Corrientes]]/Producción_Agricola[[#This Row],[Indexación Financiero]],0)</f>
        <v>0</v>
      </c>
      <c r="X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7" s="699">
        <f>IFERROR(Producción_Agricola[[#This Row],[Intereses $Corrientes]]/Producción_Agricola[[#This Row],[Indexación Financiero]],0)</f>
        <v>0</v>
      </c>
      <c r="AA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7" s="701" t="str">
        <f>IFERROR(INDEX(Produccion_Agricola_Cuentas[],MATCH(Producción_Agricola[[#This Row],[Cuenta Contable]],Produccion_Agricola_Cuentas[Cuenta Contable],0),2),0)</f>
        <v>Egreso</v>
      </c>
      <c r="AC7" s="702" t="str">
        <f>IFERROR(INDEX(Tabla9[],MATCH(Producción_Agricola[[#This Row],[Movimiento]],Tabla9[Movimientos],0),2),0)</f>
        <v>Si</v>
      </c>
      <c r="AD7" s="703" t="str">
        <f>IFERROR(INDEX(Tabla9[],MATCH(Producción_Agricola[[#This Row],[Movimiento]],Tabla9[Movimientos],0),3),0)</f>
        <v>(-)</v>
      </c>
      <c r="AE7" s="698">
        <f>IF(Producción_Agricola[[#This Row],[Fecha Económico]]=0,0,MONTH(Producción_Agricola[[#This Row],[Fecha Económico]]))</f>
        <v>6</v>
      </c>
      <c r="AF7" s="699">
        <f>IF(Producción_Agricola[[#This Row],[Fecha Económico]]=0,0,YEAR(Producción_Agricola[[#This Row],[Fecha Económico]]))</f>
        <v>2018</v>
      </c>
      <c r="AG7" s="704">
        <f>SUMPRODUCT((Producción_Agricola[[#This Row],[Mes Económico]]=Tipo_Cambio[Mes])*(Producción_Agricola[[#This Row],[Año Económico]]=Tipo_Cambio[Año])*(Tipo_Cambio[$/U$S]))</f>
        <v>0</v>
      </c>
      <c r="AH7" s="703">
        <f>SUMPRODUCT((Producción_Agricola[[#This Row],[Mes Económico]]=Tipo_Cambio[Mes])*(Producción_Agricola[[#This Row],[Año Económico]]=Tipo_Cambio[Año])*(Tipo_Cambio[Actualización]))</f>
        <v>0</v>
      </c>
      <c r="AI7" s="705">
        <f>IF(ISNUMBER(Producción_Agricola[[#This Row],[Fecha Financiero]])=TRUE,MONTH(Producción_Agricola[[#This Row],[Fecha Financiero]]),0)</f>
        <v>7</v>
      </c>
      <c r="AJ7" s="705">
        <f>IF(ISNUMBER(Producción_Agricola[[#This Row],[Fecha Financiero]])=TRUE,YEAR(Producción_Agricola[[#This Row],[Fecha Financiero]]),0)</f>
        <v>2018</v>
      </c>
      <c r="AK7" s="706">
        <f>SUMPRODUCT((Producción_Agricola[[#This Row],[Mes Financiero]]=Tipo_Cambio[Mes])*(Producción_Agricola[[#This Row],[Año Financiero]]=Tipo_Cambio[Año])*(Tipo_Cambio[$/U$S]))</f>
        <v>22</v>
      </c>
      <c r="AL7" s="706">
        <f>SUMPRODUCT((Producción_Agricola[[#This Row],[Mes Financiero]]=Tipo_Cambio[Mes])*(Producción_Agricola[[#This Row],[Año Financiero]]=Tipo_Cambio[Año])*(Tipo_Cambio[Actualización]))</f>
        <v>1</v>
      </c>
      <c r="AM7" s="702">
        <f>IFERROR(Producción_Agricola[[#This Row],[Económico $Corrientes]]/Producción_Agricola[[#This Row],[Superficie]],0)</f>
        <v>0</v>
      </c>
      <c r="AN7" s="706">
        <f>IFERROR(Producción_Agricola[[#This Row],[Económico $Constantes]]/Producción_Agricola[[#This Row],[Superficie]],0)</f>
        <v>0</v>
      </c>
      <c r="AO7" s="706">
        <f>IFERROR(Producción_Agricola[[#This Row],[Económico U$S Dólares]]/Producción_Agricola[[#This Row],[Superficie]],0)</f>
        <v>0</v>
      </c>
      <c r="AP7" s="707" t="str">
        <f>IF(Económico!$F$4=0,0,Producción_Agricola[[#This Row],[Centro de Costo]])</f>
        <v>Campo 1</v>
      </c>
      <c r="AQ7" s="512" t="s">
        <v>378</v>
      </c>
      <c r="AR7" s="513"/>
      <c r="AS7"/>
    </row>
    <row r="8" spans="1:45" x14ac:dyDescent="0.25">
      <c r="B8" s="486" t="s">
        <v>241</v>
      </c>
      <c r="D8" s="478">
        <f>D7</f>
        <v>43266</v>
      </c>
      <c r="E8" s="478">
        <v>43586</v>
      </c>
      <c r="F8" s="668" t="str">
        <f t="shared" si="0"/>
        <v>2018-2019</v>
      </c>
      <c r="G8" s="669" t="str">
        <f t="shared" si="1"/>
        <v>Campo 1</v>
      </c>
      <c r="H8" s="669" t="str">
        <f t="shared" si="2"/>
        <v>Maíz Temprano</v>
      </c>
      <c r="I8" s="670" t="str">
        <f>IFERROR(INDEX(Tabla8[],MATCH(Producción_Agricola[[#This Row],[Unidad de Negocio]],Tabla8[Unidades de Negocio],0),2),0)</f>
        <v>Maíz</v>
      </c>
      <c r="J8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8" s="481" t="s">
        <v>17</v>
      </c>
      <c r="L8" s="482" t="s">
        <v>50</v>
      </c>
      <c r="M8" s="483">
        <v>0</v>
      </c>
      <c r="N8" s="484" t="s">
        <v>387</v>
      </c>
      <c r="O8" s="690">
        <f>Producción_Agricola[[#This Row],[Superficie]]*Producción_Agricola[[#This Row],[Cantidad]]</f>
        <v>0</v>
      </c>
      <c r="P8" s="482">
        <v>3</v>
      </c>
      <c r="Q8" s="484" t="s">
        <v>3</v>
      </c>
      <c r="R8" s="485">
        <v>0.06</v>
      </c>
      <c r="S8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8" s="695">
        <f>IFERROR(Producción_Agricola[[#This Row],[Económico $Corrientes]]/Producción_Agricola[[#This Row],[Indexación Económico]],0)</f>
        <v>0</v>
      </c>
      <c r="U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8" s="695">
        <f>IFERROR(Producción_Agricola[[#This Row],[Financiero $Corrientes]]/Producción_Agricola[[#This Row],[Indexación Financiero]],0)</f>
        <v>0</v>
      </c>
      <c r="X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8" s="699">
        <f>IFERROR(Producción_Agricola[[#This Row],[Intereses $Corrientes]]/Producción_Agricola[[#This Row],[Indexación Financiero]],0)</f>
        <v>0</v>
      </c>
      <c r="AA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8" s="701" t="str">
        <f>IFERROR(INDEX(Produccion_Agricola_Cuentas[],MATCH(Producción_Agricola[[#This Row],[Cuenta Contable]],Produccion_Agricola_Cuentas[Cuenta Contable],0),2),0)</f>
        <v>Egreso</v>
      </c>
      <c r="AC8" s="702" t="str">
        <f>IFERROR(INDEX(Tabla9[],MATCH(Producción_Agricola[[#This Row],[Movimiento]],Tabla9[Movimientos],0),2),0)</f>
        <v>Si</v>
      </c>
      <c r="AD8" s="703" t="str">
        <f>IFERROR(INDEX(Tabla9[],MATCH(Producción_Agricola[[#This Row],[Movimiento]],Tabla9[Movimientos],0),3),0)</f>
        <v>(-)</v>
      </c>
      <c r="AE8" s="698">
        <f>IF(Producción_Agricola[[#This Row],[Fecha Económico]]=0,0,MONTH(Producción_Agricola[[#This Row],[Fecha Económico]]))</f>
        <v>6</v>
      </c>
      <c r="AF8" s="699">
        <f>IF(Producción_Agricola[[#This Row],[Fecha Económico]]=0,0,YEAR(Producción_Agricola[[#This Row],[Fecha Económico]]))</f>
        <v>2018</v>
      </c>
      <c r="AG8" s="704">
        <f>SUMPRODUCT((Producción_Agricola[[#This Row],[Mes Económico]]=Tipo_Cambio[Mes])*(Producción_Agricola[[#This Row],[Año Económico]]=Tipo_Cambio[Año])*(Tipo_Cambio[$/U$S]))</f>
        <v>0</v>
      </c>
      <c r="AH8" s="703">
        <f>SUMPRODUCT((Producción_Agricola[[#This Row],[Mes Económico]]=Tipo_Cambio[Mes])*(Producción_Agricola[[#This Row],[Año Económico]]=Tipo_Cambio[Año])*(Tipo_Cambio[Actualización]))</f>
        <v>0</v>
      </c>
      <c r="AI8" s="705">
        <f>IF(ISNUMBER(Producción_Agricola[[#This Row],[Fecha Financiero]])=TRUE,MONTH(Producción_Agricola[[#This Row],[Fecha Financiero]]),0)</f>
        <v>5</v>
      </c>
      <c r="AJ8" s="705">
        <f>IF(ISNUMBER(Producción_Agricola[[#This Row],[Fecha Financiero]])=TRUE,YEAR(Producción_Agricola[[#This Row],[Fecha Financiero]]),0)</f>
        <v>2019</v>
      </c>
      <c r="AK8" s="706">
        <f>SUMPRODUCT((Producción_Agricola[[#This Row],[Mes Financiero]]=Tipo_Cambio[Mes])*(Producción_Agricola[[#This Row],[Año Financiero]]=Tipo_Cambio[Año])*(Tipo_Cambio[$/U$S]))</f>
        <v>24.301686759046497</v>
      </c>
      <c r="AL8" s="706">
        <f>SUMPRODUCT((Producción_Agricola[[#This Row],[Mes Financiero]]=Tipo_Cambio[Mes])*(Producción_Agricola[[#This Row],[Año Financiero]]=Tipo_Cambio[Año])*(Tipo_Cambio[Actualización]))</f>
        <v>1.2189944199947573</v>
      </c>
      <c r="AM8" s="702">
        <f>IFERROR(Producción_Agricola[[#This Row],[Económico $Corrientes]]/Producción_Agricola[[#This Row],[Superficie]],0)</f>
        <v>0</v>
      </c>
      <c r="AN8" s="706">
        <f>IFERROR(Producción_Agricola[[#This Row],[Económico $Constantes]]/Producción_Agricola[[#This Row],[Superficie]],0)</f>
        <v>0</v>
      </c>
      <c r="AO8" s="706">
        <f>IFERROR(Producción_Agricola[[#This Row],[Económico U$S Dólares]]/Producción_Agricola[[#This Row],[Superficie]],0)</f>
        <v>0</v>
      </c>
      <c r="AP8" s="707" t="str">
        <f>IF(Económico!$F$4=0,0,Producción_Agricola[[#This Row],[Centro de Costo]])</f>
        <v>Campo 1</v>
      </c>
      <c r="AQ8" s="512" t="s">
        <v>378</v>
      </c>
      <c r="AR8" s="513"/>
      <c r="AS8"/>
    </row>
    <row r="9" spans="1:45" x14ac:dyDescent="0.25">
      <c r="B9" s="487">
        <f>$J$5</f>
        <v>100</v>
      </c>
      <c r="D9" s="478">
        <f t="shared" ref="D9:D10" si="3">D8</f>
        <v>43266</v>
      </c>
      <c r="E9" s="478">
        <v>43586</v>
      </c>
      <c r="F9" s="668" t="str">
        <f t="shared" si="0"/>
        <v>2018-2019</v>
      </c>
      <c r="G9" s="669" t="str">
        <f t="shared" si="1"/>
        <v>Campo 1</v>
      </c>
      <c r="H9" s="669" t="str">
        <f t="shared" si="2"/>
        <v>Maíz Temprano</v>
      </c>
      <c r="I9" s="670" t="str">
        <f>IFERROR(INDEX(Tabla8[],MATCH(Producción_Agricola[[#This Row],[Unidad de Negocio]],Tabla8[Unidades de Negocio],0),2),0)</f>
        <v>Maíz</v>
      </c>
      <c r="J9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9" s="481" t="s">
        <v>17</v>
      </c>
      <c r="L9" s="482" t="s">
        <v>49</v>
      </c>
      <c r="M9" s="483">
        <v>0</v>
      </c>
      <c r="N9" s="484" t="s">
        <v>387</v>
      </c>
      <c r="O9" s="690">
        <f>Producción_Agricola[[#This Row],[Superficie]]*Producción_Agricola[[#This Row],[Cantidad]]</f>
        <v>0</v>
      </c>
      <c r="P9" s="482">
        <v>7</v>
      </c>
      <c r="Q9" s="484" t="s">
        <v>3</v>
      </c>
      <c r="R9" s="485">
        <v>0.06</v>
      </c>
      <c r="S9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9" s="695">
        <f>IFERROR(Producción_Agricola[[#This Row],[Económico $Corrientes]]/Producción_Agricola[[#This Row],[Indexación Económico]],0)</f>
        <v>0</v>
      </c>
      <c r="U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9" s="695">
        <f>IFERROR(Producción_Agricola[[#This Row],[Financiero $Corrientes]]/Producción_Agricola[[#This Row],[Indexación Financiero]],0)</f>
        <v>0</v>
      </c>
      <c r="X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9" s="699">
        <f>IFERROR(Producción_Agricola[[#This Row],[Intereses $Corrientes]]/Producción_Agricola[[#This Row],[Indexación Financiero]],0)</f>
        <v>0</v>
      </c>
      <c r="AA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9" s="701" t="str">
        <f>IFERROR(INDEX(Produccion_Agricola_Cuentas[],MATCH(Producción_Agricola[[#This Row],[Cuenta Contable]],Produccion_Agricola_Cuentas[Cuenta Contable],0),2),0)</f>
        <v>Egreso</v>
      </c>
      <c r="AC9" s="702" t="str">
        <f>IFERROR(INDEX(Tabla9[],MATCH(Producción_Agricola[[#This Row],[Movimiento]],Tabla9[Movimientos],0),2),0)</f>
        <v>Si</v>
      </c>
      <c r="AD9" s="703" t="str">
        <f>IFERROR(INDEX(Tabla9[],MATCH(Producción_Agricola[[#This Row],[Movimiento]],Tabla9[Movimientos],0),3),0)</f>
        <v>(-)</v>
      </c>
      <c r="AE9" s="698">
        <f>IF(Producción_Agricola[[#This Row],[Fecha Económico]]=0,0,MONTH(Producción_Agricola[[#This Row],[Fecha Económico]]))</f>
        <v>6</v>
      </c>
      <c r="AF9" s="699">
        <f>IF(Producción_Agricola[[#This Row],[Fecha Económico]]=0,0,YEAR(Producción_Agricola[[#This Row],[Fecha Económico]]))</f>
        <v>2018</v>
      </c>
      <c r="AG9" s="704">
        <f>SUMPRODUCT((Producción_Agricola[[#This Row],[Mes Económico]]=Tipo_Cambio[Mes])*(Producción_Agricola[[#This Row],[Año Económico]]=Tipo_Cambio[Año])*(Tipo_Cambio[$/U$S]))</f>
        <v>0</v>
      </c>
      <c r="AH9" s="703">
        <f>SUMPRODUCT((Producción_Agricola[[#This Row],[Mes Económico]]=Tipo_Cambio[Mes])*(Producción_Agricola[[#This Row],[Año Económico]]=Tipo_Cambio[Año])*(Tipo_Cambio[Actualización]))</f>
        <v>0</v>
      </c>
      <c r="AI9" s="705">
        <f>IF(ISNUMBER(Producción_Agricola[[#This Row],[Fecha Financiero]])=TRUE,MONTH(Producción_Agricola[[#This Row],[Fecha Financiero]]),0)</f>
        <v>5</v>
      </c>
      <c r="AJ9" s="705">
        <f>IF(ISNUMBER(Producción_Agricola[[#This Row],[Fecha Financiero]])=TRUE,YEAR(Producción_Agricola[[#This Row],[Fecha Financiero]]),0)</f>
        <v>2019</v>
      </c>
      <c r="AK9" s="706">
        <f>SUMPRODUCT((Producción_Agricola[[#This Row],[Mes Financiero]]=Tipo_Cambio[Mes])*(Producción_Agricola[[#This Row],[Año Financiero]]=Tipo_Cambio[Año])*(Tipo_Cambio[$/U$S]))</f>
        <v>24.301686759046497</v>
      </c>
      <c r="AL9" s="706">
        <f>SUMPRODUCT((Producción_Agricola[[#This Row],[Mes Financiero]]=Tipo_Cambio[Mes])*(Producción_Agricola[[#This Row],[Año Financiero]]=Tipo_Cambio[Año])*(Tipo_Cambio[Actualización]))</f>
        <v>1.2189944199947573</v>
      </c>
      <c r="AM9" s="702">
        <f>IFERROR(Producción_Agricola[[#This Row],[Económico $Corrientes]]/Producción_Agricola[[#This Row],[Superficie]],0)</f>
        <v>0</v>
      </c>
      <c r="AN9" s="706">
        <f>IFERROR(Producción_Agricola[[#This Row],[Económico $Constantes]]/Producción_Agricola[[#This Row],[Superficie]],0)</f>
        <v>0</v>
      </c>
      <c r="AO9" s="706">
        <f>IFERROR(Producción_Agricola[[#This Row],[Económico U$S Dólares]]/Producción_Agricola[[#This Row],[Superficie]],0)</f>
        <v>0</v>
      </c>
      <c r="AP9" s="707" t="str">
        <f>IF(Económico!$F$4=0,0,Producción_Agricola[[#This Row],[Centro de Costo]])</f>
        <v>Campo 1</v>
      </c>
      <c r="AQ9" s="512" t="s">
        <v>378</v>
      </c>
      <c r="AR9" s="513"/>
      <c r="AS9"/>
    </row>
    <row r="10" spans="1:45" x14ac:dyDescent="0.25">
      <c r="D10" s="478">
        <f t="shared" si="3"/>
        <v>43266</v>
      </c>
      <c r="E10" s="478">
        <v>43586</v>
      </c>
      <c r="F10" s="668" t="str">
        <f t="shared" si="0"/>
        <v>2018-2019</v>
      </c>
      <c r="G10" s="669" t="str">
        <f t="shared" si="1"/>
        <v>Campo 1</v>
      </c>
      <c r="H10" s="669" t="str">
        <f t="shared" si="2"/>
        <v>Maíz Temprano</v>
      </c>
      <c r="I10" s="670" t="str">
        <f>IFERROR(INDEX(Tabla8[],MATCH(Producción_Agricola[[#This Row],[Unidad de Negocio]],Tabla8[Unidades de Negocio],0),2),0)</f>
        <v>Maíz</v>
      </c>
      <c r="J10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10" s="481" t="s">
        <v>24</v>
      </c>
      <c r="L10" s="482" t="s">
        <v>363</v>
      </c>
      <c r="M10" s="483">
        <v>0</v>
      </c>
      <c r="N10" s="484" t="s">
        <v>387</v>
      </c>
      <c r="O10" s="690">
        <f>Producción_Agricola[[#This Row],[Superficie]]*Producción_Agricola[[#This Row],[Cantidad]]</f>
        <v>0</v>
      </c>
      <c r="P10" s="482">
        <v>18</v>
      </c>
      <c r="Q10" s="484" t="s">
        <v>3</v>
      </c>
      <c r="R10" s="485">
        <v>0.06</v>
      </c>
      <c r="S10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0" s="695">
        <f>IFERROR(Producción_Agricola[[#This Row],[Económico $Corrientes]]/Producción_Agricola[[#This Row],[Indexación Económico]],0)</f>
        <v>0</v>
      </c>
      <c r="U1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0" s="695">
        <f>IFERROR(Producción_Agricola[[#This Row],[Financiero $Corrientes]]/Producción_Agricola[[#This Row],[Indexación Financiero]],0)</f>
        <v>0</v>
      </c>
      <c r="X1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0" s="699">
        <f>IFERROR(Producción_Agricola[[#This Row],[Intereses $Corrientes]]/Producción_Agricola[[#This Row],[Indexación Financiero]],0)</f>
        <v>0</v>
      </c>
      <c r="AA1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0" s="701" t="str">
        <f>IFERROR(INDEX(Produccion_Agricola_Cuentas[],MATCH(Producción_Agricola[[#This Row],[Cuenta Contable]],Produccion_Agricola_Cuentas[Cuenta Contable],0),2),0)</f>
        <v>Egreso</v>
      </c>
      <c r="AC10" s="702" t="str">
        <f>IFERROR(INDEX(Tabla9[],MATCH(Producción_Agricola[[#This Row],[Movimiento]],Tabla9[Movimientos],0),2),0)</f>
        <v>Si</v>
      </c>
      <c r="AD10" s="703" t="str">
        <f>IFERROR(INDEX(Tabla9[],MATCH(Producción_Agricola[[#This Row],[Movimiento]],Tabla9[Movimientos],0),3),0)</f>
        <v>(-)</v>
      </c>
      <c r="AE10" s="698">
        <f>IF(Producción_Agricola[[#This Row],[Fecha Económico]]=0,0,MONTH(Producción_Agricola[[#This Row],[Fecha Económico]]))</f>
        <v>6</v>
      </c>
      <c r="AF10" s="699">
        <f>IF(Producción_Agricola[[#This Row],[Fecha Económico]]=0,0,YEAR(Producción_Agricola[[#This Row],[Fecha Económico]]))</f>
        <v>2018</v>
      </c>
      <c r="AG10" s="704">
        <f>SUMPRODUCT((Producción_Agricola[[#This Row],[Mes Económico]]=Tipo_Cambio[Mes])*(Producción_Agricola[[#This Row],[Año Económico]]=Tipo_Cambio[Año])*(Tipo_Cambio[$/U$S]))</f>
        <v>0</v>
      </c>
      <c r="AH10" s="703">
        <f>SUMPRODUCT((Producción_Agricola[[#This Row],[Mes Económico]]=Tipo_Cambio[Mes])*(Producción_Agricola[[#This Row],[Año Económico]]=Tipo_Cambio[Año])*(Tipo_Cambio[Actualización]))</f>
        <v>0</v>
      </c>
      <c r="AI10" s="705">
        <f>IF(ISNUMBER(Producción_Agricola[[#This Row],[Fecha Financiero]])=TRUE,MONTH(Producción_Agricola[[#This Row],[Fecha Financiero]]),0)</f>
        <v>5</v>
      </c>
      <c r="AJ10" s="705">
        <f>IF(ISNUMBER(Producción_Agricola[[#This Row],[Fecha Financiero]])=TRUE,YEAR(Producción_Agricola[[#This Row],[Fecha Financiero]]),0)</f>
        <v>2019</v>
      </c>
      <c r="AK10" s="706">
        <f>SUMPRODUCT((Producción_Agricola[[#This Row],[Mes Financiero]]=Tipo_Cambio[Mes])*(Producción_Agricola[[#This Row],[Año Financiero]]=Tipo_Cambio[Año])*(Tipo_Cambio[$/U$S]))</f>
        <v>24.301686759046497</v>
      </c>
      <c r="AL10" s="706">
        <f>SUMPRODUCT((Producción_Agricola[[#This Row],[Mes Financiero]]=Tipo_Cambio[Mes])*(Producción_Agricola[[#This Row],[Año Financiero]]=Tipo_Cambio[Año])*(Tipo_Cambio[Actualización]))</f>
        <v>1.2189944199947573</v>
      </c>
      <c r="AM10" s="702">
        <f>IFERROR(Producción_Agricola[[#This Row],[Económico $Corrientes]]/Producción_Agricola[[#This Row],[Superficie]],0)</f>
        <v>0</v>
      </c>
      <c r="AN10" s="706">
        <f>IFERROR(Producción_Agricola[[#This Row],[Económico $Constantes]]/Producción_Agricola[[#This Row],[Superficie]],0)</f>
        <v>0</v>
      </c>
      <c r="AO10" s="706">
        <f>IFERROR(Producción_Agricola[[#This Row],[Económico U$S Dólares]]/Producción_Agricola[[#This Row],[Superficie]],0)</f>
        <v>0</v>
      </c>
      <c r="AP10" s="707" t="str">
        <f>IF(Económico!$F$4=0,0,Producción_Agricola[[#This Row],[Centro de Costo]])</f>
        <v>Campo 1</v>
      </c>
      <c r="AQ10" s="512" t="s">
        <v>378</v>
      </c>
      <c r="AR10" s="513"/>
      <c r="AS10"/>
    </row>
    <row r="11" spans="1:45" x14ac:dyDescent="0.25">
      <c r="D11" s="478">
        <f>D7+45</f>
        <v>43311</v>
      </c>
      <c r="E11" s="478">
        <f>Producción_Agricola[[#This Row],[Fecha Económico]]+30</f>
        <v>43341</v>
      </c>
      <c r="F11" s="668" t="str">
        <f t="shared" si="0"/>
        <v>2018-2019</v>
      </c>
      <c r="G11" s="669" t="str">
        <f t="shared" si="1"/>
        <v>Campo 1</v>
      </c>
      <c r="H11" s="669" t="str">
        <f t="shared" si="2"/>
        <v>Maíz Temprano</v>
      </c>
      <c r="I11" s="670" t="str">
        <f>IFERROR(INDEX(Tabla8[],MATCH(Producción_Agricola[[#This Row],[Unidad de Negocio]],Tabla8[Unidades de Negocio],0),2),0)</f>
        <v>Maíz</v>
      </c>
      <c r="J11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11" s="481" t="s">
        <v>25</v>
      </c>
      <c r="L11" s="482" t="s">
        <v>219</v>
      </c>
      <c r="M11" s="483">
        <v>0</v>
      </c>
      <c r="N11" s="484" t="s">
        <v>389</v>
      </c>
      <c r="O11" s="690">
        <f>Producción_Agricola[[#This Row],[Superficie]]*Producción_Agricola[[#This Row],[Cantidad]]</f>
        <v>0</v>
      </c>
      <c r="P11" s="482">
        <v>120</v>
      </c>
      <c r="Q11" s="484" t="s">
        <v>48</v>
      </c>
      <c r="R11" s="485">
        <v>0</v>
      </c>
      <c r="S11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1" s="695">
        <f>IFERROR(Producción_Agricola[[#This Row],[Económico $Corrientes]]/Producción_Agricola[[#This Row],[Indexación Económico]],0)</f>
        <v>0</v>
      </c>
      <c r="U1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1" s="695">
        <f>IFERROR(Producción_Agricola[[#This Row],[Financiero $Corrientes]]/Producción_Agricola[[#This Row],[Indexación Financiero]],0)</f>
        <v>0</v>
      </c>
      <c r="X1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1" s="699">
        <f>IFERROR(Producción_Agricola[[#This Row],[Intereses $Corrientes]]/Producción_Agricola[[#This Row],[Indexación Financiero]],0)</f>
        <v>0</v>
      </c>
      <c r="AA1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1" s="701" t="str">
        <f>IFERROR(INDEX(Produccion_Agricola_Cuentas[],MATCH(Producción_Agricola[[#This Row],[Cuenta Contable]],Produccion_Agricola_Cuentas[Cuenta Contable],0),2),0)</f>
        <v>Egreso</v>
      </c>
      <c r="AC11" s="702" t="str">
        <f>IFERROR(INDEX(Tabla9[],MATCH(Producción_Agricola[[#This Row],[Movimiento]],Tabla9[Movimientos],0),2),0)</f>
        <v>Si</v>
      </c>
      <c r="AD11" s="703" t="str">
        <f>IFERROR(INDEX(Tabla9[],MATCH(Producción_Agricola[[#This Row],[Movimiento]],Tabla9[Movimientos],0),3),0)</f>
        <v>(-)</v>
      </c>
      <c r="AE11" s="698">
        <f>IF(Producción_Agricola[[#This Row],[Fecha Económico]]=0,0,MONTH(Producción_Agricola[[#This Row],[Fecha Económico]]))</f>
        <v>7</v>
      </c>
      <c r="AF11" s="699">
        <f>IF(Producción_Agricola[[#This Row],[Fecha Económico]]=0,0,YEAR(Producción_Agricola[[#This Row],[Fecha Económico]]))</f>
        <v>2018</v>
      </c>
      <c r="AG11" s="704">
        <f>SUMPRODUCT((Producción_Agricola[[#This Row],[Mes Económico]]=Tipo_Cambio[Mes])*(Producción_Agricola[[#This Row],[Año Económico]]=Tipo_Cambio[Año])*(Tipo_Cambio[$/U$S]))</f>
        <v>22</v>
      </c>
      <c r="AH11" s="703">
        <f>SUMPRODUCT((Producción_Agricola[[#This Row],[Mes Económico]]=Tipo_Cambio[Mes])*(Producción_Agricola[[#This Row],[Año Económico]]=Tipo_Cambio[Año])*(Tipo_Cambio[Actualización]))</f>
        <v>1</v>
      </c>
      <c r="AI11" s="705">
        <f>IF(ISNUMBER(Producción_Agricola[[#This Row],[Fecha Financiero]])=TRUE,MONTH(Producción_Agricola[[#This Row],[Fecha Financiero]]),0)</f>
        <v>8</v>
      </c>
      <c r="AJ11" s="705">
        <f>IF(ISNUMBER(Producción_Agricola[[#This Row],[Fecha Financiero]])=TRUE,YEAR(Producción_Agricola[[#This Row],[Fecha Financiero]]),0)</f>
        <v>2018</v>
      </c>
      <c r="AK11" s="706">
        <f>SUMPRODUCT((Producción_Agricola[[#This Row],[Mes Financiero]]=Tipo_Cambio[Mes])*(Producción_Agricola[[#This Row],[Año Financiero]]=Tipo_Cambio[Año])*(Tipo_Cambio[$/U$S]))</f>
        <v>22.22</v>
      </c>
      <c r="AL11" s="706">
        <f>SUMPRODUCT((Producción_Agricola[[#This Row],[Mes Financiero]]=Tipo_Cambio[Mes])*(Producción_Agricola[[#This Row],[Año Financiero]]=Tipo_Cambio[Año])*(Tipo_Cambio[Actualización]))</f>
        <v>1.02</v>
      </c>
      <c r="AM11" s="702">
        <f>IFERROR(Producción_Agricola[[#This Row],[Económico $Corrientes]]/Producción_Agricola[[#This Row],[Superficie]],0)</f>
        <v>0</v>
      </c>
      <c r="AN11" s="706">
        <f>IFERROR(Producción_Agricola[[#This Row],[Económico $Constantes]]/Producción_Agricola[[#This Row],[Superficie]],0)</f>
        <v>0</v>
      </c>
      <c r="AO11" s="706">
        <f>IFERROR(Producción_Agricola[[#This Row],[Económico U$S Dólares]]/Producción_Agricola[[#This Row],[Superficie]],0)</f>
        <v>0</v>
      </c>
      <c r="AP11" s="707" t="str">
        <f>IF(Económico!$F$4=0,0,Producción_Agricola[[#This Row],[Centro de Costo]])</f>
        <v>Campo 1</v>
      </c>
      <c r="AQ11" s="512" t="s">
        <v>380</v>
      </c>
      <c r="AR11" s="513"/>
      <c r="AS11"/>
    </row>
    <row r="12" spans="1:45" x14ac:dyDescent="0.25">
      <c r="D12" s="478">
        <f>D11</f>
        <v>43311</v>
      </c>
      <c r="E12" s="478">
        <v>43586</v>
      </c>
      <c r="F12" s="668" t="str">
        <f t="shared" si="0"/>
        <v>2018-2019</v>
      </c>
      <c r="G12" s="669" t="str">
        <f t="shared" si="1"/>
        <v>Campo 1</v>
      </c>
      <c r="H12" s="669" t="str">
        <f t="shared" si="2"/>
        <v>Maíz Temprano</v>
      </c>
      <c r="I12" s="670" t="str">
        <f>IFERROR(INDEX(Tabla8[],MATCH(Producción_Agricola[[#This Row],[Unidad de Negocio]],Tabla8[Unidades de Negocio],0),2),0)</f>
        <v>Maíz</v>
      </c>
      <c r="J12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12" s="481" t="s">
        <v>17</v>
      </c>
      <c r="L12" s="482" t="s">
        <v>50</v>
      </c>
      <c r="M12" s="483">
        <v>0</v>
      </c>
      <c r="N12" s="484" t="s">
        <v>387</v>
      </c>
      <c r="O12" s="690">
        <f>Producción_Agricola[[#This Row],[Superficie]]*Producción_Agricola[[#This Row],[Cantidad]]</f>
        <v>0</v>
      </c>
      <c r="P12" s="482">
        <v>3</v>
      </c>
      <c r="Q12" s="484" t="s">
        <v>3</v>
      </c>
      <c r="R12" s="485">
        <v>0.06</v>
      </c>
      <c r="S12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2" s="695">
        <f>IFERROR(Producción_Agricola[[#This Row],[Económico $Corrientes]]/Producción_Agricola[[#This Row],[Indexación Económico]],0)</f>
        <v>0</v>
      </c>
      <c r="U12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2" s="695">
        <f>IFERROR(Producción_Agricola[[#This Row],[Financiero $Corrientes]]/Producción_Agricola[[#This Row],[Indexación Financiero]],0)</f>
        <v>0</v>
      </c>
      <c r="X1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2" s="699">
        <f>IFERROR(Producción_Agricola[[#This Row],[Intereses $Corrientes]]/Producción_Agricola[[#This Row],[Indexación Financiero]],0)</f>
        <v>0</v>
      </c>
      <c r="AA1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2" s="701" t="str">
        <f>IFERROR(INDEX(Produccion_Agricola_Cuentas[],MATCH(Producción_Agricola[[#This Row],[Cuenta Contable]],Produccion_Agricola_Cuentas[Cuenta Contable],0),2),0)</f>
        <v>Egreso</v>
      </c>
      <c r="AC12" s="702" t="str">
        <f>IFERROR(INDEX(Tabla9[],MATCH(Producción_Agricola[[#This Row],[Movimiento]],Tabla9[Movimientos],0),2),0)</f>
        <v>Si</v>
      </c>
      <c r="AD12" s="703" t="str">
        <f>IFERROR(INDEX(Tabla9[],MATCH(Producción_Agricola[[#This Row],[Movimiento]],Tabla9[Movimientos],0),3),0)</f>
        <v>(-)</v>
      </c>
      <c r="AE12" s="698">
        <f>IF(Producción_Agricola[[#This Row],[Fecha Económico]]=0,0,MONTH(Producción_Agricola[[#This Row],[Fecha Económico]]))</f>
        <v>7</v>
      </c>
      <c r="AF12" s="699">
        <f>IF(Producción_Agricola[[#This Row],[Fecha Económico]]=0,0,YEAR(Producción_Agricola[[#This Row],[Fecha Económico]]))</f>
        <v>2018</v>
      </c>
      <c r="AG12" s="704">
        <f>SUMPRODUCT((Producción_Agricola[[#This Row],[Mes Económico]]=Tipo_Cambio[Mes])*(Producción_Agricola[[#This Row],[Año Económico]]=Tipo_Cambio[Año])*(Tipo_Cambio[$/U$S]))</f>
        <v>22</v>
      </c>
      <c r="AH12" s="703">
        <f>SUMPRODUCT((Producción_Agricola[[#This Row],[Mes Económico]]=Tipo_Cambio[Mes])*(Producción_Agricola[[#This Row],[Año Económico]]=Tipo_Cambio[Año])*(Tipo_Cambio[Actualización]))</f>
        <v>1</v>
      </c>
      <c r="AI12" s="705">
        <f>IF(ISNUMBER(Producción_Agricola[[#This Row],[Fecha Financiero]])=TRUE,MONTH(Producción_Agricola[[#This Row],[Fecha Financiero]]),0)</f>
        <v>5</v>
      </c>
      <c r="AJ12" s="705">
        <f>IF(ISNUMBER(Producción_Agricola[[#This Row],[Fecha Financiero]])=TRUE,YEAR(Producción_Agricola[[#This Row],[Fecha Financiero]]),0)</f>
        <v>2019</v>
      </c>
      <c r="AK12" s="706">
        <f>SUMPRODUCT((Producción_Agricola[[#This Row],[Mes Financiero]]=Tipo_Cambio[Mes])*(Producción_Agricola[[#This Row],[Año Financiero]]=Tipo_Cambio[Año])*(Tipo_Cambio[$/U$S]))</f>
        <v>24.301686759046497</v>
      </c>
      <c r="AL12" s="706">
        <f>SUMPRODUCT((Producción_Agricola[[#This Row],[Mes Financiero]]=Tipo_Cambio[Mes])*(Producción_Agricola[[#This Row],[Año Financiero]]=Tipo_Cambio[Año])*(Tipo_Cambio[Actualización]))</f>
        <v>1.2189944199947573</v>
      </c>
      <c r="AM12" s="702">
        <f>IFERROR(Producción_Agricola[[#This Row],[Económico $Corrientes]]/Producción_Agricola[[#This Row],[Superficie]],0)</f>
        <v>0</v>
      </c>
      <c r="AN12" s="706">
        <f>IFERROR(Producción_Agricola[[#This Row],[Económico $Constantes]]/Producción_Agricola[[#This Row],[Superficie]],0)</f>
        <v>0</v>
      </c>
      <c r="AO12" s="706">
        <f>IFERROR(Producción_Agricola[[#This Row],[Económico U$S Dólares]]/Producción_Agricola[[#This Row],[Superficie]],0)</f>
        <v>0</v>
      </c>
      <c r="AP12" s="707" t="str">
        <f>IF(Económico!$F$4=0,0,Producción_Agricola[[#This Row],[Centro de Costo]])</f>
        <v>Campo 1</v>
      </c>
      <c r="AQ12" s="512" t="s">
        <v>380</v>
      </c>
      <c r="AR12" s="513"/>
      <c r="AS12"/>
    </row>
    <row r="13" spans="1:45" x14ac:dyDescent="0.25">
      <c r="D13" s="478">
        <f t="shared" ref="D13" si="4">D12</f>
        <v>43311</v>
      </c>
      <c r="E13" s="478">
        <v>43586</v>
      </c>
      <c r="F13" s="668" t="str">
        <f t="shared" si="0"/>
        <v>2018-2019</v>
      </c>
      <c r="G13" s="669" t="str">
        <f t="shared" si="1"/>
        <v>Campo 1</v>
      </c>
      <c r="H13" s="669" t="str">
        <f t="shared" si="2"/>
        <v>Maíz Temprano</v>
      </c>
      <c r="I13" s="670" t="str">
        <f>IFERROR(INDEX(Tabla8[],MATCH(Producción_Agricola[[#This Row],[Unidad de Negocio]],Tabla8[Unidades de Negocio],0),2),0)</f>
        <v>Maíz</v>
      </c>
      <c r="J13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13" s="481" t="s">
        <v>17</v>
      </c>
      <c r="L13" s="482" t="s">
        <v>49</v>
      </c>
      <c r="M13" s="483">
        <v>0</v>
      </c>
      <c r="N13" s="484" t="s">
        <v>387</v>
      </c>
      <c r="O13" s="690">
        <f>Producción_Agricola[[#This Row],[Superficie]]*Producción_Agricola[[#This Row],[Cantidad]]</f>
        <v>0</v>
      </c>
      <c r="P13" s="482">
        <v>7</v>
      </c>
      <c r="Q13" s="484" t="s">
        <v>3</v>
      </c>
      <c r="R13" s="485">
        <v>0.06</v>
      </c>
      <c r="S13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3" s="695">
        <f>IFERROR(Producción_Agricola[[#This Row],[Económico $Corrientes]]/Producción_Agricola[[#This Row],[Indexación Económico]],0)</f>
        <v>0</v>
      </c>
      <c r="U13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3" s="695">
        <f>IFERROR(Producción_Agricola[[#This Row],[Financiero $Corrientes]]/Producción_Agricola[[#This Row],[Indexación Financiero]],0)</f>
        <v>0</v>
      </c>
      <c r="X1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3" s="699">
        <f>IFERROR(Producción_Agricola[[#This Row],[Intereses $Corrientes]]/Producción_Agricola[[#This Row],[Indexación Financiero]],0)</f>
        <v>0</v>
      </c>
      <c r="AA1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3" s="701" t="str">
        <f>IFERROR(INDEX(Produccion_Agricola_Cuentas[],MATCH(Producción_Agricola[[#This Row],[Cuenta Contable]],Produccion_Agricola_Cuentas[Cuenta Contable],0),2),0)</f>
        <v>Egreso</v>
      </c>
      <c r="AC13" s="702" t="str">
        <f>IFERROR(INDEX(Tabla9[],MATCH(Producción_Agricola[[#This Row],[Movimiento]],Tabla9[Movimientos],0),2),0)</f>
        <v>Si</v>
      </c>
      <c r="AD13" s="703" t="str">
        <f>IFERROR(INDEX(Tabla9[],MATCH(Producción_Agricola[[#This Row],[Movimiento]],Tabla9[Movimientos],0),3),0)</f>
        <v>(-)</v>
      </c>
      <c r="AE13" s="698">
        <f>IF(Producción_Agricola[[#This Row],[Fecha Económico]]=0,0,MONTH(Producción_Agricola[[#This Row],[Fecha Económico]]))</f>
        <v>7</v>
      </c>
      <c r="AF13" s="699">
        <f>IF(Producción_Agricola[[#This Row],[Fecha Económico]]=0,0,YEAR(Producción_Agricola[[#This Row],[Fecha Económico]]))</f>
        <v>2018</v>
      </c>
      <c r="AG13" s="704">
        <f>SUMPRODUCT((Producción_Agricola[[#This Row],[Mes Económico]]=Tipo_Cambio[Mes])*(Producción_Agricola[[#This Row],[Año Económico]]=Tipo_Cambio[Año])*(Tipo_Cambio[$/U$S]))</f>
        <v>22</v>
      </c>
      <c r="AH13" s="703">
        <f>SUMPRODUCT((Producción_Agricola[[#This Row],[Mes Económico]]=Tipo_Cambio[Mes])*(Producción_Agricola[[#This Row],[Año Económico]]=Tipo_Cambio[Año])*(Tipo_Cambio[Actualización]))</f>
        <v>1</v>
      </c>
      <c r="AI13" s="705">
        <f>IF(ISNUMBER(Producción_Agricola[[#This Row],[Fecha Financiero]])=TRUE,MONTH(Producción_Agricola[[#This Row],[Fecha Financiero]]),0)</f>
        <v>5</v>
      </c>
      <c r="AJ13" s="705">
        <f>IF(ISNUMBER(Producción_Agricola[[#This Row],[Fecha Financiero]])=TRUE,YEAR(Producción_Agricola[[#This Row],[Fecha Financiero]]),0)</f>
        <v>2019</v>
      </c>
      <c r="AK13" s="706">
        <f>SUMPRODUCT((Producción_Agricola[[#This Row],[Mes Financiero]]=Tipo_Cambio[Mes])*(Producción_Agricola[[#This Row],[Año Financiero]]=Tipo_Cambio[Año])*(Tipo_Cambio[$/U$S]))</f>
        <v>24.301686759046497</v>
      </c>
      <c r="AL13" s="706">
        <f>SUMPRODUCT((Producción_Agricola[[#This Row],[Mes Financiero]]=Tipo_Cambio[Mes])*(Producción_Agricola[[#This Row],[Año Financiero]]=Tipo_Cambio[Año])*(Tipo_Cambio[Actualización]))</f>
        <v>1.2189944199947573</v>
      </c>
      <c r="AM13" s="702">
        <f>IFERROR(Producción_Agricola[[#This Row],[Económico $Corrientes]]/Producción_Agricola[[#This Row],[Superficie]],0)</f>
        <v>0</v>
      </c>
      <c r="AN13" s="706">
        <f>IFERROR(Producción_Agricola[[#This Row],[Económico $Constantes]]/Producción_Agricola[[#This Row],[Superficie]],0)</f>
        <v>0</v>
      </c>
      <c r="AO13" s="706">
        <f>IFERROR(Producción_Agricola[[#This Row],[Económico U$S Dólares]]/Producción_Agricola[[#This Row],[Superficie]],0)</f>
        <v>0</v>
      </c>
      <c r="AP13" s="707" t="str">
        <f>IF(Económico!$F$4=0,0,Producción_Agricola[[#This Row],[Centro de Costo]])</f>
        <v>Campo 1</v>
      </c>
      <c r="AQ13" s="512" t="s">
        <v>380</v>
      </c>
      <c r="AR13" s="513"/>
      <c r="AS13"/>
    </row>
    <row r="14" spans="1:45" x14ac:dyDescent="0.25">
      <c r="D14" s="478">
        <f t="shared" ref="D14:D15" si="5">D13</f>
        <v>43311</v>
      </c>
      <c r="E14" s="478">
        <v>43586</v>
      </c>
      <c r="F14" s="668" t="str">
        <f t="shared" si="0"/>
        <v>2018-2019</v>
      </c>
      <c r="G14" s="669" t="str">
        <f t="shared" si="1"/>
        <v>Campo 1</v>
      </c>
      <c r="H14" s="669" t="str">
        <f t="shared" si="2"/>
        <v>Maíz Temprano</v>
      </c>
      <c r="I14" s="670" t="str">
        <f>IFERROR(INDEX(Tabla8[],MATCH(Producción_Agricola[[#This Row],[Unidad de Negocio]],Tabla8[Unidades de Negocio],0),2),0)</f>
        <v>Maíz</v>
      </c>
      <c r="J14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14" s="481" t="s">
        <v>17</v>
      </c>
      <c r="L14" s="482" t="s">
        <v>205</v>
      </c>
      <c r="M14" s="483">
        <v>0</v>
      </c>
      <c r="N14" s="484" t="s">
        <v>388</v>
      </c>
      <c r="O14" s="690">
        <f>Producción_Agricola[[#This Row],[Superficie]]*Producción_Agricola[[#This Row],[Cantidad]]</f>
        <v>0</v>
      </c>
      <c r="P14" s="482">
        <v>8</v>
      </c>
      <c r="Q14" s="484" t="s">
        <v>3</v>
      </c>
      <c r="R14" s="485">
        <v>0.06</v>
      </c>
      <c r="S14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4" s="695">
        <f>IFERROR(Producción_Agricola[[#This Row],[Económico $Corrientes]]/Producción_Agricola[[#This Row],[Indexación Económico]],0)</f>
        <v>0</v>
      </c>
      <c r="U14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4" s="695">
        <f>IFERROR(Producción_Agricola[[#This Row],[Financiero $Corrientes]]/Producción_Agricola[[#This Row],[Indexación Financiero]],0)</f>
        <v>0</v>
      </c>
      <c r="X1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4" s="699">
        <f>IFERROR(Producción_Agricola[[#This Row],[Intereses $Corrientes]]/Producción_Agricola[[#This Row],[Indexación Financiero]],0)</f>
        <v>0</v>
      </c>
      <c r="AA1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4" s="701" t="str">
        <f>IFERROR(INDEX(Produccion_Agricola_Cuentas[],MATCH(Producción_Agricola[[#This Row],[Cuenta Contable]],Produccion_Agricola_Cuentas[Cuenta Contable],0),2),0)</f>
        <v>Egreso</v>
      </c>
      <c r="AC14" s="702" t="str">
        <f>IFERROR(INDEX(Tabla9[],MATCH(Producción_Agricola[[#This Row],[Movimiento]],Tabla9[Movimientos],0),2),0)</f>
        <v>Si</v>
      </c>
      <c r="AD14" s="703" t="str">
        <f>IFERROR(INDEX(Tabla9[],MATCH(Producción_Agricola[[#This Row],[Movimiento]],Tabla9[Movimientos],0),3),0)</f>
        <v>(-)</v>
      </c>
      <c r="AE14" s="698">
        <f>IF(Producción_Agricola[[#This Row],[Fecha Económico]]=0,0,MONTH(Producción_Agricola[[#This Row],[Fecha Económico]]))</f>
        <v>7</v>
      </c>
      <c r="AF14" s="699">
        <f>IF(Producción_Agricola[[#This Row],[Fecha Económico]]=0,0,YEAR(Producción_Agricola[[#This Row],[Fecha Económico]]))</f>
        <v>2018</v>
      </c>
      <c r="AG14" s="704">
        <f>SUMPRODUCT((Producción_Agricola[[#This Row],[Mes Económico]]=Tipo_Cambio[Mes])*(Producción_Agricola[[#This Row],[Año Económico]]=Tipo_Cambio[Año])*(Tipo_Cambio[$/U$S]))</f>
        <v>22</v>
      </c>
      <c r="AH14" s="703">
        <f>SUMPRODUCT((Producción_Agricola[[#This Row],[Mes Económico]]=Tipo_Cambio[Mes])*(Producción_Agricola[[#This Row],[Año Económico]]=Tipo_Cambio[Año])*(Tipo_Cambio[Actualización]))</f>
        <v>1</v>
      </c>
      <c r="AI14" s="705">
        <f>IF(ISNUMBER(Producción_Agricola[[#This Row],[Fecha Financiero]])=TRUE,MONTH(Producción_Agricola[[#This Row],[Fecha Financiero]]),0)</f>
        <v>5</v>
      </c>
      <c r="AJ14" s="705">
        <f>IF(ISNUMBER(Producción_Agricola[[#This Row],[Fecha Financiero]])=TRUE,YEAR(Producción_Agricola[[#This Row],[Fecha Financiero]]),0)</f>
        <v>2019</v>
      </c>
      <c r="AK14" s="706">
        <f>SUMPRODUCT((Producción_Agricola[[#This Row],[Mes Financiero]]=Tipo_Cambio[Mes])*(Producción_Agricola[[#This Row],[Año Financiero]]=Tipo_Cambio[Año])*(Tipo_Cambio[$/U$S]))</f>
        <v>24.301686759046497</v>
      </c>
      <c r="AL14" s="706">
        <f>SUMPRODUCT((Producción_Agricola[[#This Row],[Mes Financiero]]=Tipo_Cambio[Mes])*(Producción_Agricola[[#This Row],[Año Financiero]]=Tipo_Cambio[Año])*(Tipo_Cambio[Actualización]))</f>
        <v>1.2189944199947573</v>
      </c>
      <c r="AM14" s="702">
        <f>IFERROR(Producción_Agricola[[#This Row],[Económico $Corrientes]]/Producción_Agricola[[#This Row],[Superficie]],0)</f>
        <v>0</v>
      </c>
      <c r="AN14" s="706">
        <f>IFERROR(Producción_Agricola[[#This Row],[Económico $Constantes]]/Producción_Agricola[[#This Row],[Superficie]],0)</f>
        <v>0</v>
      </c>
      <c r="AO14" s="706">
        <f>IFERROR(Producción_Agricola[[#This Row],[Económico U$S Dólares]]/Producción_Agricola[[#This Row],[Superficie]],0)</f>
        <v>0</v>
      </c>
      <c r="AP14" s="707" t="str">
        <f>IF(Económico!$F$4=0,0,Producción_Agricola[[#This Row],[Centro de Costo]])</f>
        <v>Campo 1</v>
      </c>
      <c r="AQ14" s="512" t="s">
        <v>380</v>
      </c>
      <c r="AR14" s="513"/>
      <c r="AS14"/>
    </row>
    <row r="15" spans="1:45" x14ac:dyDescent="0.25">
      <c r="D15" s="478">
        <f t="shared" si="5"/>
        <v>43311</v>
      </c>
      <c r="E15" s="478">
        <v>43586</v>
      </c>
      <c r="F15" s="668" t="str">
        <f t="shared" si="0"/>
        <v>2018-2019</v>
      </c>
      <c r="G15" s="669" t="str">
        <f t="shared" si="1"/>
        <v>Campo 1</v>
      </c>
      <c r="H15" s="669" t="str">
        <f t="shared" si="2"/>
        <v>Maíz Temprano</v>
      </c>
      <c r="I15" s="670" t="str">
        <f>IFERROR(INDEX(Tabla8[],MATCH(Producción_Agricola[[#This Row],[Unidad de Negocio]],Tabla8[Unidades de Negocio],0),2),0)</f>
        <v>Maíz</v>
      </c>
      <c r="J15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15" s="481" t="s">
        <v>24</v>
      </c>
      <c r="L15" s="482" t="s">
        <v>363</v>
      </c>
      <c r="M15" s="483">
        <v>0</v>
      </c>
      <c r="N15" s="484" t="s">
        <v>387</v>
      </c>
      <c r="O15" s="690">
        <f>Producción_Agricola[[#This Row],[Superficie]]*Producción_Agricola[[#This Row],[Cantidad]]</f>
        <v>0</v>
      </c>
      <c r="P15" s="482">
        <v>18</v>
      </c>
      <c r="Q15" s="484" t="s">
        <v>3</v>
      </c>
      <c r="R15" s="485">
        <v>0.06</v>
      </c>
      <c r="S15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5" s="695">
        <f>IFERROR(Producción_Agricola[[#This Row],[Económico $Corrientes]]/Producción_Agricola[[#This Row],[Indexación Económico]],0)</f>
        <v>0</v>
      </c>
      <c r="U15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5" s="695">
        <f>IFERROR(Producción_Agricola[[#This Row],[Financiero $Corrientes]]/Producción_Agricola[[#This Row],[Indexación Financiero]],0)</f>
        <v>0</v>
      </c>
      <c r="X1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5" s="699">
        <f>IFERROR(Producción_Agricola[[#This Row],[Intereses $Corrientes]]/Producción_Agricola[[#This Row],[Indexación Financiero]],0)</f>
        <v>0</v>
      </c>
      <c r="AA1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5" s="701" t="str">
        <f>IFERROR(INDEX(Produccion_Agricola_Cuentas[],MATCH(Producción_Agricola[[#This Row],[Cuenta Contable]],Produccion_Agricola_Cuentas[Cuenta Contable],0),2),0)</f>
        <v>Egreso</v>
      </c>
      <c r="AC15" s="702" t="str">
        <f>IFERROR(INDEX(Tabla9[],MATCH(Producción_Agricola[[#This Row],[Movimiento]],Tabla9[Movimientos],0),2),0)</f>
        <v>Si</v>
      </c>
      <c r="AD15" s="703" t="str">
        <f>IFERROR(INDEX(Tabla9[],MATCH(Producción_Agricola[[#This Row],[Movimiento]],Tabla9[Movimientos],0),3),0)</f>
        <v>(-)</v>
      </c>
      <c r="AE15" s="698">
        <f>IF(Producción_Agricola[[#This Row],[Fecha Económico]]=0,0,MONTH(Producción_Agricola[[#This Row],[Fecha Económico]]))</f>
        <v>7</v>
      </c>
      <c r="AF15" s="699">
        <f>IF(Producción_Agricola[[#This Row],[Fecha Económico]]=0,0,YEAR(Producción_Agricola[[#This Row],[Fecha Económico]]))</f>
        <v>2018</v>
      </c>
      <c r="AG15" s="704">
        <f>SUMPRODUCT((Producción_Agricola[[#This Row],[Mes Económico]]=Tipo_Cambio[Mes])*(Producción_Agricola[[#This Row],[Año Económico]]=Tipo_Cambio[Año])*(Tipo_Cambio[$/U$S]))</f>
        <v>22</v>
      </c>
      <c r="AH15" s="703">
        <f>SUMPRODUCT((Producción_Agricola[[#This Row],[Mes Económico]]=Tipo_Cambio[Mes])*(Producción_Agricola[[#This Row],[Año Económico]]=Tipo_Cambio[Año])*(Tipo_Cambio[Actualización]))</f>
        <v>1</v>
      </c>
      <c r="AI15" s="705">
        <f>IF(ISNUMBER(Producción_Agricola[[#This Row],[Fecha Financiero]])=TRUE,MONTH(Producción_Agricola[[#This Row],[Fecha Financiero]]),0)</f>
        <v>5</v>
      </c>
      <c r="AJ15" s="705">
        <f>IF(ISNUMBER(Producción_Agricola[[#This Row],[Fecha Financiero]])=TRUE,YEAR(Producción_Agricola[[#This Row],[Fecha Financiero]]),0)</f>
        <v>2019</v>
      </c>
      <c r="AK15" s="706">
        <f>SUMPRODUCT((Producción_Agricola[[#This Row],[Mes Financiero]]=Tipo_Cambio[Mes])*(Producción_Agricola[[#This Row],[Año Financiero]]=Tipo_Cambio[Año])*(Tipo_Cambio[$/U$S]))</f>
        <v>24.301686759046497</v>
      </c>
      <c r="AL15" s="706">
        <f>SUMPRODUCT((Producción_Agricola[[#This Row],[Mes Financiero]]=Tipo_Cambio[Mes])*(Producción_Agricola[[#This Row],[Año Financiero]]=Tipo_Cambio[Año])*(Tipo_Cambio[Actualización]))</f>
        <v>1.2189944199947573</v>
      </c>
      <c r="AM15" s="702">
        <f>IFERROR(Producción_Agricola[[#This Row],[Económico $Corrientes]]/Producción_Agricola[[#This Row],[Superficie]],0)</f>
        <v>0</v>
      </c>
      <c r="AN15" s="706">
        <f>IFERROR(Producción_Agricola[[#This Row],[Económico $Constantes]]/Producción_Agricola[[#This Row],[Superficie]],0)</f>
        <v>0</v>
      </c>
      <c r="AO15" s="706">
        <f>IFERROR(Producción_Agricola[[#This Row],[Económico U$S Dólares]]/Producción_Agricola[[#This Row],[Superficie]],0)</f>
        <v>0</v>
      </c>
      <c r="AP15" s="707" t="str">
        <f>IF(Económico!$F$4=0,0,Producción_Agricola[[#This Row],[Centro de Costo]])</f>
        <v>Campo 1</v>
      </c>
      <c r="AQ15" s="512" t="s">
        <v>380</v>
      </c>
      <c r="AR15" s="513"/>
      <c r="AS15"/>
    </row>
    <row r="16" spans="1:45" x14ac:dyDescent="0.25">
      <c r="D16" s="478">
        <f>D12+50</f>
        <v>43361</v>
      </c>
      <c r="E16" s="478">
        <f>Producción_Agricola[[#This Row],[Fecha Económico]]+30</f>
        <v>43391</v>
      </c>
      <c r="F16" s="668" t="str">
        <f t="shared" si="0"/>
        <v>2018-2019</v>
      </c>
      <c r="G16" s="669" t="str">
        <f t="shared" si="1"/>
        <v>Campo 1</v>
      </c>
      <c r="H16" s="669" t="str">
        <f t="shared" si="2"/>
        <v>Maíz Temprano</v>
      </c>
      <c r="I16" s="670" t="str">
        <f>IFERROR(INDEX(Tabla8[],MATCH(Producción_Agricola[[#This Row],[Unidad de Negocio]],Tabla8[Unidades de Negocio],0),2),0)</f>
        <v>Maíz</v>
      </c>
      <c r="J16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16" s="481" t="s">
        <v>25</v>
      </c>
      <c r="L16" s="482" t="s">
        <v>219</v>
      </c>
      <c r="M16" s="483">
        <v>0</v>
      </c>
      <c r="N16" s="484" t="s">
        <v>389</v>
      </c>
      <c r="O16" s="690">
        <f>Producción_Agricola[[#This Row],[Superficie]]*Producción_Agricola[[#This Row],[Cantidad]]</f>
        <v>0</v>
      </c>
      <c r="P16" s="482">
        <v>120</v>
      </c>
      <c r="Q16" s="484" t="s">
        <v>48</v>
      </c>
      <c r="R16" s="485">
        <v>0</v>
      </c>
      <c r="S16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6" s="695">
        <f>IFERROR(Producción_Agricola[[#This Row],[Económico $Corrientes]]/Producción_Agricola[[#This Row],[Indexación Económico]],0)</f>
        <v>0</v>
      </c>
      <c r="U1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6" s="695">
        <f>IFERROR(Producción_Agricola[[#This Row],[Financiero $Corrientes]]/Producción_Agricola[[#This Row],[Indexación Financiero]],0)</f>
        <v>0</v>
      </c>
      <c r="X1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6" s="699">
        <f>IFERROR(Producción_Agricola[[#This Row],[Intereses $Corrientes]]/Producción_Agricola[[#This Row],[Indexación Financiero]],0)</f>
        <v>0</v>
      </c>
      <c r="AA1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6" s="701" t="str">
        <f>IFERROR(INDEX(Produccion_Agricola_Cuentas[],MATCH(Producción_Agricola[[#This Row],[Cuenta Contable]],Produccion_Agricola_Cuentas[Cuenta Contable],0),2),0)</f>
        <v>Egreso</v>
      </c>
      <c r="AC16" s="702" t="str">
        <f>IFERROR(INDEX(Tabla9[],MATCH(Producción_Agricola[[#This Row],[Movimiento]],Tabla9[Movimientos],0),2),0)</f>
        <v>Si</v>
      </c>
      <c r="AD16" s="703" t="str">
        <f>IFERROR(INDEX(Tabla9[],MATCH(Producción_Agricola[[#This Row],[Movimiento]],Tabla9[Movimientos],0),3),0)</f>
        <v>(-)</v>
      </c>
      <c r="AE16" s="698">
        <f>IF(Producción_Agricola[[#This Row],[Fecha Económico]]=0,0,MONTH(Producción_Agricola[[#This Row],[Fecha Económico]]))</f>
        <v>9</v>
      </c>
      <c r="AF16" s="699">
        <f>IF(Producción_Agricola[[#This Row],[Fecha Económico]]=0,0,YEAR(Producción_Agricola[[#This Row],[Fecha Económico]]))</f>
        <v>2018</v>
      </c>
      <c r="AG16" s="704">
        <f>SUMPRODUCT((Producción_Agricola[[#This Row],[Mes Económico]]=Tipo_Cambio[Mes])*(Producción_Agricola[[#This Row],[Año Económico]]=Tipo_Cambio[Año])*(Tipo_Cambio[$/U$S]))</f>
        <v>22.4422</v>
      </c>
      <c r="AH16" s="703">
        <f>SUMPRODUCT((Producción_Agricola[[#This Row],[Mes Económico]]=Tipo_Cambio[Mes])*(Producción_Agricola[[#This Row],[Año Económico]]=Tipo_Cambio[Año])*(Tipo_Cambio[Actualización]))</f>
        <v>1.0404</v>
      </c>
      <c r="AI16" s="705">
        <f>IF(ISNUMBER(Producción_Agricola[[#This Row],[Fecha Financiero]])=TRUE,MONTH(Producción_Agricola[[#This Row],[Fecha Financiero]]),0)</f>
        <v>10</v>
      </c>
      <c r="AJ16" s="705">
        <f>IF(ISNUMBER(Producción_Agricola[[#This Row],[Fecha Financiero]])=TRUE,YEAR(Producción_Agricola[[#This Row],[Fecha Financiero]]),0)</f>
        <v>2018</v>
      </c>
      <c r="AK16" s="706">
        <f>SUMPRODUCT((Producción_Agricola[[#This Row],[Mes Financiero]]=Tipo_Cambio[Mes])*(Producción_Agricola[[#This Row],[Año Financiero]]=Tipo_Cambio[Año])*(Tipo_Cambio[$/U$S]))</f>
        <v>22.666622</v>
      </c>
      <c r="AL16" s="706">
        <f>SUMPRODUCT((Producción_Agricola[[#This Row],[Mes Financiero]]=Tipo_Cambio[Mes])*(Producción_Agricola[[#This Row],[Año Financiero]]=Tipo_Cambio[Año])*(Tipo_Cambio[Actualización]))</f>
        <v>1.0612079999999999</v>
      </c>
      <c r="AM16" s="702">
        <f>IFERROR(Producción_Agricola[[#This Row],[Económico $Corrientes]]/Producción_Agricola[[#This Row],[Superficie]],0)</f>
        <v>0</v>
      </c>
      <c r="AN16" s="706">
        <f>IFERROR(Producción_Agricola[[#This Row],[Económico $Constantes]]/Producción_Agricola[[#This Row],[Superficie]],0)</f>
        <v>0</v>
      </c>
      <c r="AO16" s="706">
        <f>IFERROR(Producción_Agricola[[#This Row],[Económico U$S Dólares]]/Producción_Agricola[[#This Row],[Superficie]],0)</f>
        <v>0</v>
      </c>
      <c r="AP16" s="707" t="str">
        <f>IF(Económico!$F$4=0,0,Producción_Agricola[[#This Row],[Centro de Costo]])</f>
        <v>Campo 1</v>
      </c>
      <c r="AQ16" s="512" t="s">
        <v>379</v>
      </c>
      <c r="AR16" s="513"/>
      <c r="AS16"/>
    </row>
    <row r="17" spans="4:45" x14ac:dyDescent="0.25">
      <c r="D17" s="478">
        <f>D16</f>
        <v>43361</v>
      </c>
      <c r="E17" s="478">
        <v>43586</v>
      </c>
      <c r="F17" s="668" t="str">
        <f t="shared" si="0"/>
        <v>2018-2019</v>
      </c>
      <c r="G17" s="669" t="str">
        <f t="shared" si="1"/>
        <v>Campo 1</v>
      </c>
      <c r="H17" s="669" t="str">
        <f t="shared" si="2"/>
        <v>Maíz Temprano</v>
      </c>
      <c r="I17" s="670" t="str">
        <f>IFERROR(INDEX(Tabla8[],MATCH(Producción_Agricola[[#This Row],[Unidad de Negocio]],Tabla8[Unidades de Negocio],0),2),0)</f>
        <v>Maíz</v>
      </c>
      <c r="J17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17" s="481" t="s">
        <v>17</v>
      </c>
      <c r="L17" s="482" t="s">
        <v>50</v>
      </c>
      <c r="M17" s="483">
        <v>0</v>
      </c>
      <c r="N17" s="484" t="s">
        <v>387</v>
      </c>
      <c r="O17" s="690">
        <f>Producción_Agricola[[#This Row],[Superficie]]*Producción_Agricola[[#This Row],[Cantidad]]</f>
        <v>0</v>
      </c>
      <c r="P17" s="482">
        <v>3</v>
      </c>
      <c r="Q17" s="484" t="s">
        <v>3</v>
      </c>
      <c r="R17" s="485">
        <v>0.06</v>
      </c>
      <c r="S17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7" s="695">
        <f>IFERROR(Producción_Agricola[[#This Row],[Económico $Corrientes]]/Producción_Agricola[[#This Row],[Indexación Económico]],0)</f>
        <v>0</v>
      </c>
      <c r="U1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7" s="695">
        <f>IFERROR(Producción_Agricola[[#This Row],[Financiero $Corrientes]]/Producción_Agricola[[#This Row],[Indexación Financiero]],0)</f>
        <v>0</v>
      </c>
      <c r="X1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7" s="699">
        <f>IFERROR(Producción_Agricola[[#This Row],[Intereses $Corrientes]]/Producción_Agricola[[#This Row],[Indexación Financiero]],0)</f>
        <v>0</v>
      </c>
      <c r="AA1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7" s="701" t="str">
        <f>IFERROR(INDEX(Produccion_Agricola_Cuentas[],MATCH(Producción_Agricola[[#This Row],[Cuenta Contable]],Produccion_Agricola_Cuentas[Cuenta Contable],0),2),0)</f>
        <v>Egreso</v>
      </c>
      <c r="AC17" s="702" t="str">
        <f>IFERROR(INDEX(Tabla9[],MATCH(Producción_Agricola[[#This Row],[Movimiento]],Tabla9[Movimientos],0),2),0)</f>
        <v>Si</v>
      </c>
      <c r="AD17" s="703" t="str">
        <f>IFERROR(INDEX(Tabla9[],MATCH(Producción_Agricola[[#This Row],[Movimiento]],Tabla9[Movimientos],0),3),0)</f>
        <v>(-)</v>
      </c>
      <c r="AE17" s="698">
        <f>IF(Producción_Agricola[[#This Row],[Fecha Económico]]=0,0,MONTH(Producción_Agricola[[#This Row],[Fecha Económico]]))</f>
        <v>9</v>
      </c>
      <c r="AF17" s="699">
        <f>IF(Producción_Agricola[[#This Row],[Fecha Económico]]=0,0,YEAR(Producción_Agricola[[#This Row],[Fecha Económico]]))</f>
        <v>2018</v>
      </c>
      <c r="AG17" s="704">
        <f>SUMPRODUCT((Producción_Agricola[[#This Row],[Mes Económico]]=Tipo_Cambio[Mes])*(Producción_Agricola[[#This Row],[Año Económico]]=Tipo_Cambio[Año])*(Tipo_Cambio[$/U$S]))</f>
        <v>22.4422</v>
      </c>
      <c r="AH17" s="703">
        <f>SUMPRODUCT((Producción_Agricola[[#This Row],[Mes Económico]]=Tipo_Cambio[Mes])*(Producción_Agricola[[#This Row],[Año Económico]]=Tipo_Cambio[Año])*(Tipo_Cambio[Actualización]))</f>
        <v>1.0404</v>
      </c>
      <c r="AI17" s="705">
        <f>IF(ISNUMBER(Producción_Agricola[[#This Row],[Fecha Financiero]])=TRUE,MONTH(Producción_Agricola[[#This Row],[Fecha Financiero]]),0)</f>
        <v>5</v>
      </c>
      <c r="AJ17" s="705">
        <f>IF(ISNUMBER(Producción_Agricola[[#This Row],[Fecha Financiero]])=TRUE,YEAR(Producción_Agricola[[#This Row],[Fecha Financiero]]),0)</f>
        <v>2019</v>
      </c>
      <c r="AK17" s="706">
        <f>SUMPRODUCT((Producción_Agricola[[#This Row],[Mes Financiero]]=Tipo_Cambio[Mes])*(Producción_Agricola[[#This Row],[Año Financiero]]=Tipo_Cambio[Año])*(Tipo_Cambio[$/U$S]))</f>
        <v>24.301686759046497</v>
      </c>
      <c r="AL17" s="706">
        <f>SUMPRODUCT((Producción_Agricola[[#This Row],[Mes Financiero]]=Tipo_Cambio[Mes])*(Producción_Agricola[[#This Row],[Año Financiero]]=Tipo_Cambio[Año])*(Tipo_Cambio[Actualización]))</f>
        <v>1.2189944199947573</v>
      </c>
      <c r="AM17" s="702">
        <f>IFERROR(Producción_Agricola[[#This Row],[Económico $Corrientes]]/Producción_Agricola[[#This Row],[Superficie]],0)</f>
        <v>0</v>
      </c>
      <c r="AN17" s="706">
        <f>IFERROR(Producción_Agricola[[#This Row],[Económico $Constantes]]/Producción_Agricola[[#This Row],[Superficie]],0)</f>
        <v>0</v>
      </c>
      <c r="AO17" s="706">
        <f>IFERROR(Producción_Agricola[[#This Row],[Económico U$S Dólares]]/Producción_Agricola[[#This Row],[Superficie]],0)</f>
        <v>0</v>
      </c>
      <c r="AP17" s="707" t="str">
        <f>IF(Económico!$F$4=0,0,Producción_Agricola[[#This Row],[Centro de Costo]])</f>
        <v>Campo 1</v>
      </c>
      <c r="AQ17" s="512" t="s">
        <v>379</v>
      </c>
      <c r="AR17" s="513"/>
      <c r="AS17"/>
    </row>
    <row r="18" spans="4:45" x14ac:dyDescent="0.25">
      <c r="D18" s="478">
        <f t="shared" ref="D18:D19" si="6">D17</f>
        <v>43361</v>
      </c>
      <c r="E18" s="478">
        <v>43586</v>
      </c>
      <c r="F18" s="668" t="str">
        <f t="shared" si="0"/>
        <v>2018-2019</v>
      </c>
      <c r="G18" s="669" t="str">
        <f t="shared" si="1"/>
        <v>Campo 1</v>
      </c>
      <c r="H18" s="669" t="str">
        <f t="shared" si="2"/>
        <v>Maíz Temprano</v>
      </c>
      <c r="I18" s="670" t="str">
        <f>IFERROR(INDEX(Tabla8[],MATCH(Producción_Agricola[[#This Row],[Unidad de Negocio]],Tabla8[Unidades de Negocio],0),2),0)</f>
        <v>Maíz</v>
      </c>
      <c r="J18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18" s="481" t="s">
        <v>17</v>
      </c>
      <c r="L18" s="482" t="s">
        <v>205</v>
      </c>
      <c r="M18" s="483">
        <v>0</v>
      </c>
      <c r="N18" s="484" t="s">
        <v>387</v>
      </c>
      <c r="O18" s="690">
        <f>Producción_Agricola[[#This Row],[Superficie]]*Producción_Agricola[[#This Row],[Cantidad]]</f>
        <v>0</v>
      </c>
      <c r="P18" s="482">
        <v>7</v>
      </c>
      <c r="Q18" s="484" t="s">
        <v>3</v>
      </c>
      <c r="R18" s="485">
        <v>0.06</v>
      </c>
      <c r="S18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8" s="695">
        <f>IFERROR(Producción_Agricola[[#This Row],[Económico $Corrientes]]/Producción_Agricola[[#This Row],[Indexación Económico]],0)</f>
        <v>0</v>
      </c>
      <c r="U1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8" s="695">
        <f>IFERROR(Producción_Agricola[[#This Row],[Financiero $Corrientes]]/Producción_Agricola[[#This Row],[Indexación Financiero]],0)</f>
        <v>0</v>
      </c>
      <c r="X1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8" s="699">
        <f>IFERROR(Producción_Agricola[[#This Row],[Intereses $Corrientes]]/Producción_Agricola[[#This Row],[Indexación Financiero]],0)</f>
        <v>0</v>
      </c>
      <c r="AA1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8" s="701" t="str">
        <f>IFERROR(INDEX(Produccion_Agricola_Cuentas[],MATCH(Producción_Agricola[[#This Row],[Cuenta Contable]],Produccion_Agricola_Cuentas[Cuenta Contable],0),2),0)</f>
        <v>Egreso</v>
      </c>
      <c r="AC18" s="702" t="str">
        <f>IFERROR(INDEX(Tabla9[],MATCH(Producción_Agricola[[#This Row],[Movimiento]],Tabla9[Movimientos],0),2),0)</f>
        <v>Si</v>
      </c>
      <c r="AD18" s="703" t="str">
        <f>IFERROR(INDEX(Tabla9[],MATCH(Producción_Agricola[[#This Row],[Movimiento]],Tabla9[Movimientos],0),3),0)</f>
        <v>(-)</v>
      </c>
      <c r="AE18" s="698">
        <f>IF(Producción_Agricola[[#This Row],[Fecha Económico]]=0,0,MONTH(Producción_Agricola[[#This Row],[Fecha Económico]]))</f>
        <v>9</v>
      </c>
      <c r="AF18" s="699">
        <f>IF(Producción_Agricola[[#This Row],[Fecha Económico]]=0,0,YEAR(Producción_Agricola[[#This Row],[Fecha Económico]]))</f>
        <v>2018</v>
      </c>
      <c r="AG18" s="704">
        <f>SUMPRODUCT((Producción_Agricola[[#This Row],[Mes Económico]]=Tipo_Cambio[Mes])*(Producción_Agricola[[#This Row],[Año Económico]]=Tipo_Cambio[Año])*(Tipo_Cambio[$/U$S]))</f>
        <v>22.4422</v>
      </c>
      <c r="AH18" s="703">
        <f>SUMPRODUCT((Producción_Agricola[[#This Row],[Mes Económico]]=Tipo_Cambio[Mes])*(Producción_Agricola[[#This Row],[Año Económico]]=Tipo_Cambio[Año])*(Tipo_Cambio[Actualización]))</f>
        <v>1.0404</v>
      </c>
      <c r="AI18" s="705">
        <f>IF(ISNUMBER(Producción_Agricola[[#This Row],[Fecha Financiero]])=TRUE,MONTH(Producción_Agricola[[#This Row],[Fecha Financiero]]),0)</f>
        <v>5</v>
      </c>
      <c r="AJ18" s="705">
        <f>IF(ISNUMBER(Producción_Agricola[[#This Row],[Fecha Financiero]])=TRUE,YEAR(Producción_Agricola[[#This Row],[Fecha Financiero]]),0)</f>
        <v>2019</v>
      </c>
      <c r="AK18" s="706">
        <f>SUMPRODUCT((Producción_Agricola[[#This Row],[Mes Financiero]]=Tipo_Cambio[Mes])*(Producción_Agricola[[#This Row],[Año Financiero]]=Tipo_Cambio[Año])*(Tipo_Cambio[$/U$S]))</f>
        <v>24.301686759046497</v>
      </c>
      <c r="AL18" s="706">
        <f>SUMPRODUCT((Producción_Agricola[[#This Row],[Mes Financiero]]=Tipo_Cambio[Mes])*(Producción_Agricola[[#This Row],[Año Financiero]]=Tipo_Cambio[Año])*(Tipo_Cambio[Actualización]))</f>
        <v>1.2189944199947573</v>
      </c>
      <c r="AM18" s="702">
        <f>IFERROR(Producción_Agricola[[#This Row],[Económico $Corrientes]]/Producción_Agricola[[#This Row],[Superficie]],0)</f>
        <v>0</v>
      </c>
      <c r="AN18" s="706">
        <f>IFERROR(Producción_Agricola[[#This Row],[Económico $Constantes]]/Producción_Agricola[[#This Row],[Superficie]],0)</f>
        <v>0</v>
      </c>
      <c r="AO18" s="706">
        <f>IFERROR(Producción_Agricola[[#This Row],[Económico U$S Dólares]]/Producción_Agricola[[#This Row],[Superficie]],0)</f>
        <v>0</v>
      </c>
      <c r="AP18" s="707" t="str">
        <f>IF(Económico!$F$4=0,0,Producción_Agricola[[#This Row],[Centro de Costo]])</f>
        <v>Campo 1</v>
      </c>
      <c r="AQ18" s="512" t="s">
        <v>379</v>
      </c>
      <c r="AR18" s="513"/>
      <c r="AS18"/>
    </row>
    <row r="19" spans="4:45" x14ac:dyDescent="0.25">
      <c r="D19" s="478">
        <f t="shared" si="6"/>
        <v>43361</v>
      </c>
      <c r="E19" s="478">
        <v>43586</v>
      </c>
      <c r="F19" s="668" t="str">
        <f t="shared" si="0"/>
        <v>2018-2019</v>
      </c>
      <c r="G19" s="669" t="str">
        <f t="shared" si="1"/>
        <v>Campo 1</v>
      </c>
      <c r="H19" s="669" t="str">
        <f t="shared" si="2"/>
        <v>Maíz Temprano</v>
      </c>
      <c r="I19" s="670" t="str">
        <f>IFERROR(INDEX(Tabla8[],MATCH(Producción_Agricola[[#This Row],[Unidad de Negocio]],Tabla8[Unidades de Negocio],0),2),0)</f>
        <v>Maíz</v>
      </c>
      <c r="J19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19" s="481" t="s">
        <v>17</v>
      </c>
      <c r="L19" s="482" t="s">
        <v>51</v>
      </c>
      <c r="M19" s="483">
        <v>0</v>
      </c>
      <c r="N19" s="484" t="s">
        <v>387</v>
      </c>
      <c r="O19" s="690">
        <f>Producción_Agricola[[#This Row],[Superficie]]*Producción_Agricola[[#This Row],[Cantidad]]</f>
        <v>0</v>
      </c>
      <c r="P19" s="482">
        <v>8</v>
      </c>
      <c r="Q19" s="484" t="s">
        <v>3</v>
      </c>
      <c r="R19" s="485">
        <v>0.06</v>
      </c>
      <c r="S19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9" s="695">
        <f>IFERROR(Producción_Agricola[[#This Row],[Económico $Corrientes]]/Producción_Agricola[[#This Row],[Indexación Económico]],0)</f>
        <v>0</v>
      </c>
      <c r="U1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9" s="695">
        <f>IFERROR(Producción_Agricola[[#This Row],[Financiero $Corrientes]]/Producción_Agricola[[#This Row],[Indexación Financiero]],0)</f>
        <v>0</v>
      </c>
      <c r="X1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9" s="699">
        <f>IFERROR(Producción_Agricola[[#This Row],[Intereses $Corrientes]]/Producción_Agricola[[#This Row],[Indexación Financiero]],0)</f>
        <v>0</v>
      </c>
      <c r="AA1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9" s="701" t="str">
        <f>IFERROR(INDEX(Produccion_Agricola_Cuentas[],MATCH(Producción_Agricola[[#This Row],[Cuenta Contable]],Produccion_Agricola_Cuentas[Cuenta Contable],0),2),0)</f>
        <v>Egreso</v>
      </c>
      <c r="AC19" s="702" t="str">
        <f>IFERROR(INDEX(Tabla9[],MATCH(Producción_Agricola[[#This Row],[Movimiento]],Tabla9[Movimientos],0),2),0)</f>
        <v>Si</v>
      </c>
      <c r="AD19" s="703" t="str">
        <f>IFERROR(INDEX(Tabla9[],MATCH(Producción_Agricola[[#This Row],[Movimiento]],Tabla9[Movimientos],0),3),0)</f>
        <v>(-)</v>
      </c>
      <c r="AE19" s="698">
        <f>IF(Producción_Agricola[[#This Row],[Fecha Económico]]=0,0,MONTH(Producción_Agricola[[#This Row],[Fecha Económico]]))</f>
        <v>9</v>
      </c>
      <c r="AF19" s="699">
        <f>IF(Producción_Agricola[[#This Row],[Fecha Económico]]=0,0,YEAR(Producción_Agricola[[#This Row],[Fecha Económico]]))</f>
        <v>2018</v>
      </c>
      <c r="AG19" s="704">
        <f>SUMPRODUCT((Producción_Agricola[[#This Row],[Mes Económico]]=Tipo_Cambio[Mes])*(Producción_Agricola[[#This Row],[Año Económico]]=Tipo_Cambio[Año])*(Tipo_Cambio[$/U$S]))</f>
        <v>22.4422</v>
      </c>
      <c r="AH19" s="703">
        <f>SUMPRODUCT((Producción_Agricola[[#This Row],[Mes Económico]]=Tipo_Cambio[Mes])*(Producción_Agricola[[#This Row],[Año Económico]]=Tipo_Cambio[Año])*(Tipo_Cambio[Actualización]))</f>
        <v>1.0404</v>
      </c>
      <c r="AI19" s="705">
        <f>IF(ISNUMBER(Producción_Agricola[[#This Row],[Fecha Financiero]])=TRUE,MONTH(Producción_Agricola[[#This Row],[Fecha Financiero]]),0)</f>
        <v>5</v>
      </c>
      <c r="AJ19" s="705">
        <f>IF(ISNUMBER(Producción_Agricola[[#This Row],[Fecha Financiero]])=TRUE,YEAR(Producción_Agricola[[#This Row],[Fecha Financiero]]),0)</f>
        <v>2019</v>
      </c>
      <c r="AK19" s="706">
        <f>SUMPRODUCT((Producción_Agricola[[#This Row],[Mes Financiero]]=Tipo_Cambio[Mes])*(Producción_Agricola[[#This Row],[Año Financiero]]=Tipo_Cambio[Año])*(Tipo_Cambio[$/U$S]))</f>
        <v>24.301686759046497</v>
      </c>
      <c r="AL19" s="706">
        <f>SUMPRODUCT((Producción_Agricola[[#This Row],[Mes Financiero]]=Tipo_Cambio[Mes])*(Producción_Agricola[[#This Row],[Año Financiero]]=Tipo_Cambio[Año])*(Tipo_Cambio[Actualización]))</f>
        <v>1.2189944199947573</v>
      </c>
      <c r="AM19" s="702">
        <f>IFERROR(Producción_Agricola[[#This Row],[Económico $Corrientes]]/Producción_Agricola[[#This Row],[Superficie]],0)</f>
        <v>0</v>
      </c>
      <c r="AN19" s="706">
        <f>IFERROR(Producción_Agricola[[#This Row],[Económico $Constantes]]/Producción_Agricola[[#This Row],[Superficie]],0)</f>
        <v>0</v>
      </c>
      <c r="AO19" s="706">
        <f>IFERROR(Producción_Agricola[[#This Row],[Económico U$S Dólares]]/Producción_Agricola[[#This Row],[Superficie]],0)</f>
        <v>0</v>
      </c>
      <c r="AP19" s="707" t="str">
        <f>IF(Económico!$F$4=0,0,Producción_Agricola[[#This Row],[Centro de Costo]])</f>
        <v>Campo 1</v>
      </c>
      <c r="AQ19" s="512" t="s">
        <v>379</v>
      </c>
      <c r="AR19" s="513"/>
      <c r="AS19"/>
    </row>
    <row r="20" spans="4:45" x14ac:dyDescent="0.25">
      <c r="D20" s="478">
        <f t="shared" ref="D20" si="7">D19</f>
        <v>43361</v>
      </c>
      <c r="E20" s="478">
        <v>43586</v>
      </c>
      <c r="F20" s="668" t="str">
        <f t="shared" si="0"/>
        <v>2018-2019</v>
      </c>
      <c r="G20" s="669" t="str">
        <f t="shared" si="1"/>
        <v>Campo 1</v>
      </c>
      <c r="H20" s="669" t="str">
        <f t="shared" si="2"/>
        <v>Maíz Temprano</v>
      </c>
      <c r="I20" s="670" t="str">
        <f>IFERROR(INDEX(Tabla8[],MATCH(Producción_Agricola[[#This Row],[Unidad de Negocio]],Tabla8[Unidades de Negocio],0),2),0)</f>
        <v>Maíz</v>
      </c>
      <c r="J20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20" s="481" t="s">
        <v>22</v>
      </c>
      <c r="L20" s="482" t="s">
        <v>365</v>
      </c>
      <c r="M20" s="483">
        <v>0</v>
      </c>
      <c r="N20" s="484" t="s">
        <v>387</v>
      </c>
      <c r="O20" s="690">
        <f>Producción_Agricola[[#This Row],[Superficie]]*Producción_Agricola[[#This Row],[Cantidad]]</f>
        <v>0</v>
      </c>
      <c r="P20" s="482">
        <v>10</v>
      </c>
      <c r="Q20" s="484" t="s">
        <v>3</v>
      </c>
      <c r="R20" s="485">
        <v>0.06</v>
      </c>
      <c r="S20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0" s="695">
        <f>IFERROR(Producción_Agricola[[#This Row],[Económico $Corrientes]]/Producción_Agricola[[#This Row],[Indexación Económico]],0)</f>
        <v>0</v>
      </c>
      <c r="U2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0" s="695">
        <f>IFERROR(Producción_Agricola[[#This Row],[Financiero $Corrientes]]/Producción_Agricola[[#This Row],[Indexación Financiero]],0)</f>
        <v>0</v>
      </c>
      <c r="X2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0" s="699">
        <f>IFERROR(Producción_Agricola[[#This Row],[Intereses $Corrientes]]/Producción_Agricola[[#This Row],[Indexación Financiero]],0)</f>
        <v>0</v>
      </c>
      <c r="AA2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0" s="701" t="str">
        <f>IFERROR(INDEX(Produccion_Agricola_Cuentas[],MATCH(Producción_Agricola[[#This Row],[Cuenta Contable]],Produccion_Agricola_Cuentas[Cuenta Contable],0),2),0)</f>
        <v>Egreso</v>
      </c>
      <c r="AC20" s="702" t="str">
        <f>IFERROR(INDEX(Tabla9[],MATCH(Producción_Agricola[[#This Row],[Movimiento]],Tabla9[Movimientos],0),2),0)</f>
        <v>Si</v>
      </c>
      <c r="AD20" s="703" t="str">
        <f>IFERROR(INDEX(Tabla9[],MATCH(Producción_Agricola[[#This Row],[Movimiento]],Tabla9[Movimientos],0),3),0)</f>
        <v>(-)</v>
      </c>
      <c r="AE20" s="698">
        <f>IF(Producción_Agricola[[#This Row],[Fecha Económico]]=0,0,MONTH(Producción_Agricola[[#This Row],[Fecha Económico]]))</f>
        <v>9</v>
      </c>
      <c r="AF20" s="699">
        <f>IF(Producción_Agricola[[#This Row],[Fecha Económico]]=0,0,YEAR(Producción_Agricola[[#This Row],[Fecha Económico]]))</f>
        <v>2018</v>
      </c>
      <c r="AG20" s="704">
        <f>SUMPRODUCT((Producción_Agricola[[#This Row],[Mes Económico]]=Tipo_Cambio[Mes])*(Producción_Agricola[[#This Row],[Año Económico]]=Tipo_Cambio[Año])*(Tipo_Cambio[$/U$S]))</f>
        <v>22.4422</v>
      </c>
      <c r="AH20" s="703">
        <f>SUMPRODUCT((Producción_Agricola[[#This Row],[Mes Económico]]=Tipo_Cambio[Mes])*(Producción_Agricola[[#This Row],[Año Económico]]=Tipo_Cambio[Año])*(Tipo_Cambio[Actualización]))</f>
        <v>1.0404</v>
      </c>
      <c r="AI20" s="705">
        <f>IF(ISNUMBER(Producción_Agricola[[#This Row],[Fecha Financiero]])=TRUE,MONTH(Producción_Agricola[[#This Row],[Fecha Financiero]]),0)</f>
        <v>5</v>
      </c>
      <c r="AJ20" s="705">
        <f>IF(ISNUMBER(Producción_Agricola[[#This Row],[Fecha Financiero]])=TRUE,YEAR(Producción_Agricola[[#This Row],[Fecha Financiero]]),0)</f>
        <v>2019</v>
      </c>
      <c r="AK20" s="706">
        <f>SUMPRODUCT((Producción_Agricola[[#This Row],[Mes Financiero]]=Tipo_Cambio[Mes])*(Producción_Agricola[[#This Row],[Año Financiero]]=Tipo_Cambio[Año])*(Tipo_Cambio[$/U$S]))</f>
        <v>24.301686759046497</v>
      </c>
      <c r="AL20" s="706">
        <f>SUMPRODUCT((Producción_Agricola[[#This Row],[Mes Financiero]]=Tipo_Cambio[Mes])*(Producción_Agricola[[#This Row],[Año Financiero]]=Tipo_Cambio[Año])*(Tipo_Cambio[Actualización]))</f>
        <v>1.2189944199947573</v>
      </c>
      <c r="AM20" s="702">
        <f>IFERROR(Producción_Agricola[[#This Row],[Económico $Corrientes]]/Producción_Agricola[[#This Row],[Superficie]],0)</f>
        <v>0</v>
      </c>
      <c r="AN20" s="706">
        <f>IFERROR(Producción_Agricola[[#This Row],[Económico $Constantes]]/Producción_Agricola[[#This Row],[Superficie]],0)</f>
        <v>0</v>
      </c>
      <c r="AO20" s="706">
        <f>IFERROR(Producción_Agricola[[#This Row],[Económico U$S Dólares]]/Producción_Agricola[[#This Row],[Superficie]],0)</f>
        <v>0</v>
      </c>
      <c r="AP20" s="707" t="str">
        <f>IF(Económico!$F$4=0,0,Producción_Agricola[[#This Row],[Centro de Costo]])</f>
        <v>Campo 1</v>
      </c>
      <c r="AQ20" s="512" t="s">
        <v>379</v>
      </c>
      <c r="AR20" s="513"/>
      <c r="AS20"/>
    </row>
    <row r="21" spans="4:45" x14ac:dyDescent="0.25">
      <c r="D21" s="478">
        <f>D19</f>
        <v>43361</v>
      </c>
      <c r="E21" s="478">
        <v>43586</v>
      </c>
      <c r="F21" s="668" t="str">
        <f t="shared" si="0"/>
        <v>2018-2019</v>
      </c>
      <c r="G21" s="669" t="str">
        <f t="shared" si="1"/>
        <v>Campo 1</v>
      </c>
      <c r="H21" s="669" t="str">
        <f t="shared" si="2"/>
        <v>Maíz Temprano</v>
      </c>
      <c r="I21" s="670" t="str">
        <f>IFERROR(INDEX(Tabla8[],MATCH(Producción_Agricola[[#This Row],[Unidad de Negocio]],Tabla8[Unidades de Negocio],0),2),0)</f>
        <v>Maíz</v>
      </c>
      <c r="J21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21" s="481" t="s">
        <v>24</v>
      </c>
      <c r="L21" s="482" t="s">
        <v>363</v>
      </c>
      <c r="M21" s="483">
        <v>0</v>
      </c>
      <c r="N21" s="484" t="s">
        <v>387</v>
      </c>
      <c r="O21" s="690">
        <f>Producción_Agricola[[#This Row],[Superficie]]*Producción_Agricola[[#This Row],[Cantidad]]</f>
        <v>0</v>
      </c>
      <c r="P21" s="482">
        <v>18</v>
      </c>
      <c r="Q21" s="484" t="s">
        <v>3</v>
      </c>
      <c r="R21" s="485">
        <v>0.06</v>
      </c>
      <c r="S21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1" s="695">
        <f>IFERROR(Producción_Agricola[[#This Row],[Económico $Corrientes]]/Producción_Agricola[[#This Row],[Indexación Económico]],0)</f>
        <v>0</v>
      </c>
      <c r="U2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1" s="695">
        <f>IFERROR(Producción_Agricola[[#This Row],[Financiero $Corrientes]]/Producción_Agricola[[#This Row],[Indexación Financiero]],0)</f>
        <v>0</v>
      </c>
      <c r="X2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1" s="699">
        <f>IFERROR(Producción_Agricola[[#This Row],[Intereses $Corrientes]]/Producción_Agricola[[#This Row],[Indexación Financiero]],0)</f>
        <v>0</v>
      </c>
      <c r="AA2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1" s="701" t="str">
        <f>IFERROR(INDEX(Produccion_Agricola_Cuentas[],MATCH(Producción_Agricola[[#This Row],[Cuenta Contable]],Produccion_Agricola_Cuentas[Cuenta Contable],0),2),0)</f>
        <v>Egreso</v>
      </c>
      <c r="AC21" s="702" t="str">
        <f>IFERROR(INDEX(Tabla9[],MATCH(Producción_Agricola[[#This Row],[Movimiento]],Tabla9[Movimientos],0),2),0)</f>
        <v>Si</v>
      </c>
      <c r="AD21" s="703" t="str">
        <f>IFERROR(INDEX(Tabla9[],MATCH(Producción_Agricola[[#This Row],[Movimiento]],Tabla9[Movimientos],0),3),0)</f>
        <v>(-)</v>
      </c>
      <c r="AE21" s="698">
        <f>IF(Producción_Agricola[[#This Row],[Fecha Económico]]=0,0,MONTH(Producción_Agricola[[#This Row],[Fecha Económico]]))</f>
        <v>9</v>
      </c>
      <c r="AF21" s="699">
        <f>IF(Producción_Agricola[[#This Row],[Fecha Económico]]=0,0,YEAR(Producción_Agricola[[#This Row],[Fecha Económico]]))</f>
        <v>2018</v>
      </c>
      <c r="AG21" s="704">
        <f>SUMPRODUCT((Producción_Agricola[[#This Row],[Mes Económico]]=Tipo_Cambio[Mes])*(Producción_Agricola[[#This Row],[Año Económico]]=Tipo_Cambio[Año])*(Tipo_Cambio[$/U$S]))</f>
        <v>22.4422</v>
      </c>
      <c r="AH21" s="703">
        <f>SUMPRODUCT((Producción_Agricola[[#This Row],[Mes Económico]]=Tipo_Cambio[Mes])*(Producción_Agricola[[#This Row],[Año Económico]]=Tipo_Cambio[Año])*(Tipo_Cambio[Actualización]))</f>
        <v>1.0404</v>
      </c>
      <c r="AI21" s="705">
        <f>IF(ISNUMBER(Producción_Agricola[[#This Row],[Fecha Financiero]])=TRUE,MONTH(Producción_Agricola[[#This Row],[Fecha Financiero]]),0)</f>
        <v>5</v>
      </c>
      <c r="AJ21" s="705">
        <f>IF(ISNUMBER(Producción_Agricola[[#This Row],[Fecha Financiero]])=TRUE,YEAR(Producción_Agricola[[#This Row],[Fecha Financiero]]),0)</f>
        <v>2019</v>
      </c>
      <c r="AK21" s="706">
        <f>SUMPRODUCT((Producción_Agricola[[#This Row],[Mes Financiero]]=Tipo_Cambio[Mes])*(Producción_Agricola[[#This Row],[Año Financiero]]=Tipo_Cambio[Año])*(Tipo_Cambio[$/U$S]))</f>
        <v>24.301686759046497</v>
      </c>
      <c r="AL21" s="706">
        <f>SUMPRODUCT((Producción_Agricola[[#This Row],[Mes Financiero]]=Tipo_Cambio[Mes])*(Producción_Agricola[[#This Row],[Año Financiero]]=Tipo_Cambio[Año])*(Tipo_Cambio[Actualización]))</f>
        <v>1.2189944199947573</v>
      </c>
      <c r="AM21" s="702">
        <f>IFERROR(Producción_Agricola[[#This Row],[Económico $Corrientes]]/Producción_Agricola[[#This Row],[Superficie]],0)</f>
        <v>0</v>
      </c>
      <c r="AN21" s="706">
        <f>IFERROR(Producción_Agricola[[#This Row],[Económico $Constantes]]/Producción_Agricola[[#This Row],[Superficie]],0)</f>
        <v>0</v>
      </c>
      <c r="AO21" s="706">
        <f>IFERROR(Producción_Agricola[[#This Row],[Económico U$S Dólares]]/Producción_Agricola[[#This Row],[Superficie]],0)</f>
        <v>0</v>
      </c>
      <c r="AP21" s="707" t="str">
        <f>IF(Económico!$F$4=0,0,Producción_Agricola[[#This Row],[Centro de Costo]])</f>
        <v>Campo 1</v>
      </c>
      <c r="AQ21" s="512" t="s">
        <v>379</v>
      </c>
      <c r="AR21" s="513"/>
      <c r="AS21"/>
    </row>
    <row r="22" spans="4:45" x14ac:dyDescent="0.25">
      <c r="D22" s="478">
        <f>D5-220</f>
        <v>43366</v>
      </c>
      <c r="E22" s="478">
        <f>Producción_Agricola[[#This Row],[Fecha Económico]]+30</f>
        <v>43396</v>
      </c>
      <c r="F22" s="668" t="str">
        <f t="shared" si="0"/>
        <v>2018-2019</v>
      </c>
      <c r="G22" s="669" t="str">
        <f t="shared" si="1"/>
        <v>Campo 1</v>
      </c>
      <c r="H22" s="669" t="str">
        <f t="shared" si="2"/>
        <v>Maíz Temprano</v>
      </c>
      <c r="I22" s="670" t="str">
        <f>IFERROR(INDEX(Tabla8[],MATCH(Producción_Agricola[[#This Row],[Unidad de Negocio]],Tabla8[Unidades de Negocio],0),2),0)</f>
        <v>Maíz</v>
      </c>
      <c r="J22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22" s="481" t="s">
        <v>25</v>
      </c>
      <c r="L22" s="482" t="s">
        <v>30</v>
      </c>
      <c r="M22" s="483">
        <v>0</v>
      </c>
      <c r="N22" s="484" t="s">
        <v>389</v>
      </c>
      <c r="O22" s="690">
        <f>Producción_Agricola[[#This Row],[Superficie]]*Producción_Agricola[[#This Row],[Cantidad]]</f>
        <v>0</v>
      </c>
      <c r="P22" s="482">
        <v>800</v>
      </c>
      <c r="Q22" s="484" t="s">
        <v>48</v>
      </c>
      <c r="R22" s="485">
        <v>0</v>
      </c>
      <c r="S22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2" s="695">
        <f>IFERROR(Producción_Agricola[[#This Row],[Económico $Corrientes]]/Producción_Agricola[[#This Row],[Indexación Económico]],0)</f>
        <v>0</v>
      </c>
      <c r="U22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2" s="695">
        <f>IFERROR(Producción_Agricola[[#This Row],[Financiero $Corrientes]]/Producción_Agricola[[#This Row],[Indexación Financiero]],0)</f>
        <v>0</v>
      </c>
      <c r="X2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2" s="699">
        <f>IFERROR(Producción_Agricola[[#This Row],[Intereses $Corrientes]]/Producción_Agricola[[#This Row],[Indexación Financiero]],0)</f>
        <v>0</v>
      </c>
      <c r="AA2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2" s="701" t="str">
        <f>IFERROR(INDEX(Produccion_Agricola_Cuentas[],MATCH(Producción_Agricola[[#This Row],[Cuenta Contable]],Produccion_Agricola_Cuentas[Cuenta Contable],0),2),0)</f>
        <v>Egreso</v>
      </c>
      <c r="AC22" s="702" t="str">
        <f>IFERROR(INDEX(Tabla9[],MATCH(Producción_Agricola[[#This Row],[Movimiento]],Tabla9[Movimientos],0),2),0)</f>
        <v>Si</v>
      </c>
      <c r="AD22" s="703" t="str">
        <f>IFERROR(INDEX(Tabla9[],MATCH(Producción_Agricola[[#This Row],[Movimiento]],Tabla9[Movimientos],0),3),0)</f>
        <v>(-)</v>
      </c>
      <c r="AE22" s="698">
        <f>IF(Producción_Agricola[[#This Row],[Fecha Económico]]=0,0,MONTH(Producción_Agricola[[#This Row],[Fecha Económico]]))</f>
        <v>9</v>
      </c>
      <c r="AF22" s="699">
        <f>IF(Producción_Agricola[[#This Row],[Fecha Económico]]=0,0,YEAR(Producción_Agricola[[#This Row],[Fecha Económico]]))</f>
        <v>2018</v>
      </c>
      <c r="AG22" s="704">
        <f>SUMPRODUCT((Producción_Agricola[[#This Row],[Mes Económico]]=Tipo_Cambio[Mes])*(Producción_Agricola[[#This Row],[Año Económico]]=Tipo_Cambio[Año])*(Tipo_Cambio[$/U$S]))</f>
        <v>22.4422</v>
      </c>
      <c r="AH22" s="703">
        <f>SUMPRODUCT((Producción_Agricola[[#This Row],[Mes Económico]]=Tipo_Cambio[Mes])*(Producción_Agricola[[#This Row],[Año Económico]]=Tipo_Cambio[Año])*(Tipo_Cambio[Actualización]))</f>
        <v>1.0404</v>
      </c>
      <c r="AI22" s="705">
        <f>IF(ISNUMBER(Producción_Agricola[[#This Row],[Fecha Financiero]])=TRUE,MONTH(Producción_Agricola[[#This Row],[Fecha Financiero]]),0)</f>
        <v>10</v>
      </c>
      <c r="AJ22" s="705">
        <f>IF(ISNUMBER(Producción_Agricola[[#This Row],[Fecha Financiero]])=TRUE,YEAR(Producción_Agricola[[#This Row],[Fecha Financiero]]),0)</f>
        <v>2018</v>
      </c>
      <c r="AK22" s="706">
        <f>SUMPRODUCT((Producción_Agricola[[#This Row],[Mes Financiero]]=Tipo_Cambio[Mes])*(Producción_Agricola[[#This Row],[Año Financiero]]=Tipo_Cambio[Año])*(Tipo_Cambio[$/U$S]))</f>
        <v>22.666622</v>
      </c>
      <c r="AL22" s="706">
        <f>SUMPRODUCT((Producción_Agricola[[#This Row],[Mes Financiero]]=Tipo_Cambio[Mes])*(Producción_Agricola[[#This Row],[Año Financiero]]=Tipo_Cambio[Año])*(Tipo_Cambio[Actualización]))</f>
        <v>1.0612079999999999</v>
      </c>
      <c r="AM22" s="702">
        <f>IFERROR(Producción_Agricola[[#This Row],[Económico $Corrientes]]/Producción_Agricola[[#This Row],[Superficie]],0)</f>
        <v>0</v>
      </c>
      <c r="AN22" s="706">
        <f>IFERROR(Producción_Agricola[[#This Row],[Económico $Constantes]]/Producción_Agricola[[#This Row],[Superficie]],0)</f>
        <v>0</v>
      </c>
      <c r="AO22" s="706">
        <f>IFERROR(Producción_Agricola[[#This Row],[Económico U$S Dólares]]/Producción_Agricola[[#This Row],[Superficie]],0)</f>
        <v>0</v>
      </c>
      <c r="AP22" s="707" t="str">
        <f>IF(Económico!$F$4=0,0,Producción_Agricola[[#This Row],[Centro de Costo]])</f>
        <v>Campo 1</v>
      </c>
      <c r="AQ22" s="512" t="s">
        <v>30</v>
      </c>
      <c r="AR22" s="513"/>
      <c r="AS22"/>
    </row>
    <row r="23" spans="4:45" x14ac:dyDescent="0.25">
      <c r="D23" s="478">
        <f>D22</f>
        <v>43366</v>
      </c>
      <c r="E23" s="478">
        <v>43586</v>
      </c>
      <c r="F23" s="668" t="str">
        <f t="shared" si="0"/>
        <v>2018-2019</v>
      </c>
      <c r="G23" s="669" t="str">
        <f t="shared" si="1"/>
        <v>Campo 1</v>
      </c>
      <c r="H23" s="669" t="str">
        <f t="shared" si="2"/>
        <v>Maíz Temprano</v>
      </c>
      <c r="I23" s="670" t="str">
        <f>IFERROR(INDEX(Tabla8[],MATCH(Producción_Agricola[[#This Row],[Unidad de Negocio]],Tabla8[Unidades de Negocio],0),2),0)</f>
        <v>Maíz</v>
      </c>
      <c r="J23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23" s="481" t="s">
        <v>18</v>
      </c>
      <c r="L23" s="482" t="s">
        <v>364</v>
      </c>
      <c r="M23" s="483">
        <v>0</v>
      </c>
      <c r="N23" s="484" t="s">
        <v>390</v>
      </c>
      <c r="O23" s="690">
        <f>Producción_Agricola[[#This Row],[Superficie]]*Producción_Agricola[[#This Row],[Cantidad]]</f>
        <v>0</v>
      </c>
      <c r="P23" s="482">
        <v>220</v>
      </c>
      <c r="Q23" s="484" t="s">
        <v>3</v>
      </c>
      <c r="R23" s="485">
        <v>0.06</v>
      </c>
      <c r="S23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3" s="695">
        <f>IFERROR(Producción_Agricola[[#This Row],[Económico $Corrientes]]/Producción_Agricola[[#This Row],[Indexación Económico]],0)</f>
        <v>0</v>
      </c>
      <c r="U23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3" s="695">
        <f>IFERROR(Producción_Agricola[[#This Row],[Financiero $Corrientes]]/Producción_Agricola[[#This Row],[Indexación Financiero]],0)</f>
        <v>0</v>
      </c>
      <c r="X2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3" s="699">
        <f>IFERROR(Producción_Agricola[[#This Row],[Intereses $Corrientes]]/Producción_Agricola[[#This Row],[Indexación Financiero]],0)</f>
        <v>0</v>
      </c>
      <c r="AA2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3" s="701" t="str">
        <f>IFERROR(INDEX(Produccion_Agricola_Cuentas[],MATCH(Producción_Agricola[[#This Row],[Cuenta Contable]],Produccion_Agricola_Cuentas[Cuenta Contable],0),2),0)</f>
        <v>Egreso</v>
      </c>
      <c r="AC23" s="702" t="str">
        <f>IFERROR(INDEX(Tabla9[],MATCH(Producción_Agricola[[#This Row],[Movimiento]],Tabla9[Movimientos],0),2),0)</f>
        <v>Si</v>
      </c>
      <c r="AD23" s="703" t="str">
        <f>IFERROR(INDEX(Tabla9[],MATCH(Producción_Agricola[[#This Row],[Movimiento]],Tabla9[Movimientos],0),3),0)</f>
        <v>(-)</v>
      </c>
      <c r="AE23" s="698">
        <f>IF(Producción_Agricola[[#This Row],[Fecha Económico]]=0,0,MONTH(Producción_Agricola[[#This Row],[Fecha Económico]]))</f>
        <v>9</v>
      </c>
      <c r="AF23" s="699">
        <f>IF(Producción_Agricola[[#This Row],[Fecha Económico]]=0,0,YEAR(Producción_Agricola[[#This Row],[Fecha Económico]]))</f>
        <v>2018</v>
      </c>
      <c r="AG23" s="704">
        <f>SUMPRODUCT((Producción_Agricola[[#This Row],[Mes Económico]]=Tipo_Cambio[Mes])*(Producción_Agricola[[#This Row],[Año Económico]]=Tipo_Cambio[Año])*(Tipo_Cambio[$/U$S]))</f>
        <v>22.4422</v>
      </c>
      <c r="AH23" s="703">
        <f>SUMPRODUCT((Producción_Agricola[[#This Row],[Mes Económico]]=Tipo_Cambio[Mes])*(Producción_Agricola[[#This Row],[Año Económico]]=Tipo_Cambio[Año])*(Tipo_Cambio[Actualización]))</f>
        <v>1.0404</v>
      </c>
      <c r="AI23" s="705">
        <f>IF(ISNUMBER(Producción_Agricola[[#This Row],[Fecha Financiero]])=TRUE,MONTH(Producción_Agricola[[#This Row],[Fecha Financiero]]),0)</f>
        <v>5</v>
      </c>
      <c r="AJ23" s="705">
        <f>IF(ISNUMBER(Producción_Agricola[[#This Row],[Fecha Financiero]])=TRUE,YEAR(Producción_Agricola[[#This Row],[Fecha Financiero]]),0)</f>
        <v>2019</v>
      </c>
      <c r="AK23" s="706">
        <f>SUMPRODUCT((Producción_Agricola[[#This Row],[Mes Financiero]]=Tipo_Cambio[Mes])*(Producción_Agricola[[#This Row],[Año Financiero]]=Tipo_Cambio[Año])*(Tipo_Cambio[$/U$S]))</f>
        <v>24.301686759046497</v>
      </c>
      <c r="AL23" s="706">
        <f>SUMPRODUCT((Producción_Agricola[[#This Row],[Mes Financiero]]=Tipo_Cambio[Mes])*(Producción_Agricola[[#This Row],[Año Financiero]]=Tipo_Cambio[Año])*(Tipo_Cambio[Actualización]))</f>
        <v>1.2189944199947573</v>
      </c>
      <c r="AM23" s="702">
        <f>IFERROR(Producción_Agricola[[#This Row],[Económico $Corrientes]]/Producción_Agricola[[#This Row],[Superficie]],0)</f>
        <v>0</v>
      </c>
      <c r="AN23" s="706">
        <f>IFERROR(Producción_Agricola[[#This Row],[Económico $Constantes]]/Producción_Agricola[[#This Row],[Superficie]],0)</f>
        <v>0</v>
      </c>
      <c r="AO23" s="706">
        <f>IFERROR(Producción_Agricola[[#This Row],[Económico U$S Dólares]]/Producción_Agricola[[#This Row],[Superficie]],0)</f>
        <v>0</v>
      </c>
      <c r="AP23" s="707" t="str">
        <f>IF(Económico!$F$4=0,0,Producción_Agricola[[#This Row],[Centro de Costo]])</f>
        <v>Campo 1</v>
      </c>
      <c r="AQ23" s="512" t="s">
        <v>30</v>
      </c>
      <c r="AR23" s="513"/>
      <c r="AS23"/>
    </row>
    <row r="24" spans="4:45" x14ac:dyDescent="0.25">
      <c r="D24" s="478">
        <f t="shared" ref="D24:D25" si="8">D23</f>
        <v>43366</v>
      </c>
      <c r="E24" s="478">
        <f>Producción_Agricola[[#This Row],[Fecha Económico]]+30</f>
        <v>43396</v>
      </c>
      <c r="F24" s="668" t="str">
        <f t="shared" si="0"/>
        <v>2018-2019</v>
      </c>
      <c r="G24" s="669" t="str">
        <f t="shared" si="1"/>
        <v>Campo 1</v>
      </c>
      <c r="H24" s="669" t="str">
        <f t="shared" si="2"/>
        <v>Maíz Temprano</v>
      </c>
      <c r="I24" s="670" t="str">
        <f>IFERROR(INDEX(Tabla8[],MATCH(Producción_Agricola[[#This Row],[Unidad de Negocio]],Tabla8[Unidades de Negocio],0),2),0)</f>
        <v>Maíz</v>
      </c>
      <c r="J24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24" s="481" t="s">
        <v>19</v>
      </c>
      <c r="L24" s="482" t="s">
        <v>28</v>
      </c>
      <c r="M24" s="483">
        <v>0</v>
      </c>
      <c r="N24" s="484" t="s">
        <v>388</v>
      </c>
      <c r="O24" s="690">
        <f>Producción_Agricola[[#This Row],[Superficie]]*Producción_Agricola[[#This Row],[Cantidad]]</f>
        <v>0</v>
      </c>
      <c r="P24" s="482">
        <v>0.6</v>
      </c>
      <c r="Q24" s="484" t="s">
        <v>3</v>
      </c>
      <c r="R24" s="485">
        <v>0</v>
      </c>
      <c r="S24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4" s="695">
        <f>IFERROR(Producción_Agricola[[#This Row],[Económico $Corrientes]]/Producción_Agricola[[#This Row],[Indexación Económico]],0)</f>
        <v>0</v>
      </c>
      <c r="U24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4" s="695">
        <f>IFERROR(Producción_Agricola[[#This Row],[Financiero $Corrientes]]/Producción_Agricola[[#This Row],[Indexación Financiero]],0)</f>
        <v>0</v>
      </c>
      <c r="X2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4" s="699">
        <f>IFERROR(Producción_Agricola[[#This Row],[Intereses $Corrientes]]/Producción_Agricola[[#This Row],[Indexación Financiero]],0)</f>
        <v>0</v>
      </c>
      <c r="AA2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4" s="701" t="str">
        <f>IFERROR(INDEX(Produccion_Agricola_Cuentas[],MATCH(Producción_Agricola[[#This Row],[Cuenta Contable]],Produccion_Agricola_Cuentas[Cuenta Contable],0),2),0)</f>
        <v>Egreso</v>
      </c>
      <c r="AC24" s="702" t="str">
        <f>IFERROR(INDEX(Tabla9[],MATCH(Producción_Agricola[[#This Row],[Movimiento]],Tabla9[Movimientos],0),2),0)</f>
        <v>Si</v>
      </c>
      <c r="AD24" s="703" t="str">
        <f>IFERROR(INDEX(Tabla9[],MATCH(Producción_Agricola[[#This Row],[Movimiento]],Tabla9[Movimientos],0),3),0)</f>
        <v>(-)</v>
      </c>
      <c r="AE24" s="698">
        <f>IF(Producción_Agricola[[#This Row],[Fecha Económico]]=0,0,MONTH(Producción_Agricola[[#This Row],[Fecha Económico]]))</f>
        <v>9</v>
      </c>
      <c r="AF24" s="699">
        <f>IF(Producción_Agricola[[#This Row],[Fecha Económico]]=0,0,YEAR(Producción_Agricola[[#This Row],[Fecha Económico]]))</f>
        <v>2018</v>
      </c>
      <c r="AG24" s="704">
        <f>SUMPRODUCT((Producción_Agricola[[#This Row],[Mes Económico]]=Tipo_Cambio[Mes])*(Producción_Agricola[[#This Row],[Año Económico]]=Tipo_Cambio[Año])*(Tipo_Cambio[$/U$S]))</f>
        <v>22.4422</v>
      </c>
      <c r="AH24" s="703">
        <f>SUMPRODUCT((Producción_Agricola[[#This Row],[Mes Económico]]=Tipo_Cambio[Mes])*(Producción_Agricola[[#This Row],[Año Económico]]=Tipo_Cambio[Año])*(Tipo_Cambio[Actualización]))</f>
        <v>1.0404</v>
      </c>
      <c r="AI24" s="705">
        <f>IF(ISNUMBER(Producción_Agricola[[#This Row],[Fecha Financiero]])=TRUE,MONTH(Producción_Agricola[[#This Row],[Fecha Financiero]]),0)</f>
        <v>10</v>
      </c>
      <c r="AJ24" s="705">
        <f>IF(ISNUMBER(Producción_Agricola[[#This Row],[Fecha Financiero]])=TRUE,YEAR(Producción_Agricola[[#This Row],[Fecha Financiero]]),0)</f>
        <v>2018</v>
      </c>
      <c r="AK24" s="706">
        <f>SUMPRODUCT((Producción_Agricola[[#This Row],[Mes Financiero]]=Tipo_Cambio[Mes])*(Producción_Agricola[[#This Row],[Año Financiero]]=Tipo_Cambio[Año])*(Tipo_Cambio[$/U$S]))</f>
        <v>22.666622</v>
      </c>
      <c r="AL24" s="706">
        <f>SUMPRODUCT((Producción_Agricola[[#This Row],[Mes Financiero]]=Tipo_Cambio[Mes])*(Producción_Agricola[[#This Row],[Año Financiero]]=Tipo_Cambio[Año])*(Tipo_Cambio[Actualización]))</f>
        <v>1.0612079999999999</v>
      </c>
      <c r="AM24" s="702">
        <f>IFERROR(Producción_Agricola[[#This Row],[Económico $Corrientes]]/Producción_Agricola[[#This Row],[Superficie]],0)</f>
        <v>0</v>
      </c>
      <c r="AN24" s="706">
        <f>IFERROR(Producción_Agricola[[#This Row],[Económico $Constantes]]/Producción_Agricola[[#This Row],[Superficie]],0)</f>
        <v>0</v>
      </c>
      <c r="AO24" s="706">
        <f>IFERROR(Producción_Agricola[[#This Row],[Económico U$S Dólares]]/Producción_Agricola[[#This Row],[Superficie]],0)</f>
        <v>0</v>
      </c>
      <c r="AP24" s="707" t="str">
        <f>IF(Económico!$F$4=0,0,Producción_Agricola[[#This Row],[Centro de Costo]])</f>
        <v>Campo 1</v>
      </c>
      <c r="AQ24" s="512" t="s">
        <v>30</v>
      </c>
      <c r="AR24" s="513"/>
      <c r="AS24"/>
    </row>
    <row r="25" spans="4:45" x14ac:dyDescent="0.25">
      <c r="D25" s="478">
        <f t="shared" si="8"/>
        <v>43366</v>
      </c>
      <c r="E25" s="478">
        <f>Producción_Agricola[[#This Row],[Fecha Económico]]+30</f>
        <v>43396</v>
      </c>
      <c r="F25" s="668" t="str">
        <f t="shared" si="0"/>
        <v>2018-2019</v>
      </c>
      <c r="G25" s="669" t="str">
        <f t="shared" si="1"/>
        <v>Campo 1</v>
      </c>
      <c r="H25" s="669" t="str">
        <f t="shared" si="2"/>
        <v>Maíz Temprano</v>
      </c>
      <c r="I25" s="670" t="str">
        <f>IFERROR(INDEX(Tabla8[],MATCH(Producción_Agricola[[#This Row],[Unidad de Negocio]],Tabla8[Unidades de Negocio],0),2),0)</f>
        <v>Maíz</v>
      </c>
      <c r="J25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25" s="481" t="s">
        <v>19</v>
      </c>
      <c r="L25" s="482" t="s">
        <v>29</v>
      </c>
      <c r="M25" s="483">
        <v>0</v>
      </c>
      <c r="N25" s="484" t="s">
        <v>388</v>
      </c>
      <c r="O25" s="690">
        <f>Producción_Agricola[[#This Row],[Superficie]]*Producción_Agricola[[#This Row],[Cantidad]]</f>
        <v>0</v>
      </c>
      <c r="P25" s="482">
        <v>0.45</v>
      </c>
      <c r="Q25" s="484" t="s">
        <v>3</v>
      </c>
      <c r="R25" s="485">
        <v>0</v>
      </c>
      <c r="S25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5" s="695">
        <f>IFERROR(Producción_Agricola[[#This Row],[Económico $Corrientes]]/Producción_Agricola[[#This Row],[Indexación Económico]],0)</f>
        <v>0</v>
      </c>
      <c r="U25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5" s="695">
        <f>IFERROR(Producción_Agricola[[#This Row],[Financiero $Corrientes]]/Producción_Agricola[[#This Row],[Indexación Financiero]],0)</f>
        <v>0</v>
      </c>
      <c r="X2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5" s="699">
        <f>IFERROR(Producción_Agricola[[#This Row],[Intereses $Corrientes]]/Producción_Agricola[[#This Row],[Indexación Financiero]],0)</f>
        <v>0</v>
      </c>
      <c r="AA2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5" s="701" t="str">
        <f>IFERROR(INDEX(Produccion_Agricola_Cuentas[],MATCH(Producción_Agricola[[#This Row],[Cuenta Contable]],Produccion_Agricola_Cuentas[Cuenta Contable],0),2),0)</f>
        <v>Egreso</v>
      </c>
      <c r="AC25" s="702" t="str">
        <f>IFERROR(INDEX(Tabla9[],MATCH(Producción_Agricola[[#This Row],[Movimiento]],Tabla9[Movimientos],0),2),0)</f>
        <v>Si</v>
      </c>
      <c r="AD25" s="703" t="str">
        <f>IFERROR(INDEX(Tabla9[],MATCH(Producción_Agricola[[#This Row],[Movimiento]],Tabla9[Movimientos],0),3),0)</f>
        <v>(-)</v>
      </c>
      <c r="AE25" s="698">
        <f>IF(Producción_Agricola[[#This Row],[Fecha Económico]]=0,0,MONTH(Producción_Agricola[[#This Row],[Fecha Económico]]))</f>
        <v>9</v>
      </c>
      <c r="AF25" s="699">
        <f>IF(Producción_Agricola[[#This Row],[Fecha Económico]]=0,0,YEAR(Producción_Agricola[[#This Row],[Fecha Económico]]))</f>
        <v>2018</v>
      </c>
      <c r="AG25" s="704">
        <f>SUMPRODUCT((Producción_Agricola[[#This Row],[Mes Económico]]=Tipo_Cambio[Mes])*(Producción_Agricola[[#This Row],[Año Económico]]=Tipo_Cambio[Año])*(Tipo_Cambio[$/U$S]))</f>
        <v>22.4422</v>
      </c>
      <c r="AH25" s="703">
        <f>SUMPRODUCT((Producción_Agricola[[#This Row],[Mes Económico]]=Tipo_Cambio[Mes])*(Producción_Agricola[[#This Row],[Año Económico]]=Tipo_Cambio[Año])*(Tipo_Cambio[Actualización]))</f>
        <v>1.0404</v>
      </c>
      <c r="AI25" s="705">
        <f>IF(ISNUMBER(Producción_Agricola[[#This Row],[Fecha Financiero]])=TRUE,MONTH(Producción_Agricola[[#This Row],[Fecha Financiero]]),0)</f>
        <v>10</v>
      </c>
      <c r="AJ25" s="705">
        <f>IF(ISNUMBER(Producción_Agricola[[#This Row],[Fecha Financiero]])=TRUE,YEAR(Producción_Agricola[[#This Row],[Fecha Financiero]]),0)</f>
        <v>2018</v>
      </c>
      <c r="AK25" s="706">
        <f>SUMPRODUCT((Producción_Agricola[[#This Row],[Mes Financiero]]=Tipo_Cambio[Mes])*(Producción_Agricola[[#This Row],[Año Financiero]]=Tipo_Cambio[Año])*(Tipo_Cambio[$/U$S]))</f>
        <v>22.666622</v>
      </c>
      <c r="AL25" s="706">
        <f>SUMPRODUCT((Producción_Agricola[[#This Row],[Mes Financiero]]=Tipo_Cambio[Mes])*(Producción_Agricola[[#This Row],[Año Financiero]]=Tipo_Cambio[Año])*(Tipo_Cambio[Actualización]))</f>
        <v>1.0612079999999999</v>
      </c>
      <c r="AM25" s="702">
        <f>IFERROR(Producción_Agricola[[#This Row],[Económico $Corrientes]]/Producción_Agricola[[#This Row],[Superficie]],0)</f>
        <v>0</v>
      </c>
      <c r="AN25" s="706">
        <f>IFERROR(Producción_Agricola[[#This Row],[Económico $Constantes]]/Producción_Agricola[[#This Row],[Superficie]],0)</f>
        <v>0</v>
      </c>
      <c r="AO25" s="706">
        <f>IFERROR(Producción_Agricola[[#This Row],[Económico U$S Dólares]]/Producción_Agricola[[#This Row],[Superficie]],0)</f>
        <v>0</v>
      </c>
      <c r="AP25" s="707" t="str">
        <f>IF(Económico!$F$4=0,0,Producción_Agricola[[#This Row],[Centro de Costo]])</f>
        <v>Campo 1</v>
      </c>
      <c r="AQ25" s="512" t="s">
        <v>30</v>
      </c>
      <c r="AR25" s="513"/>
      <c r="AS25"/>
    </row>
    <row r="26" spans="4:45" x14ac:dyDescent="0.25">
      <c r="D26" s="478">
        <f>D22+30</f>
        <v>43396</v>
      </c>
      <c r="E26" s="478">
        <f>Producción_Agricola[[#This Row],[Fecha Económico]]+30</f>
        <v>43426</v>
      </c>
      <c r="F26" s="668" t="str">
        <f t="shared" si="0"/>
        <v>2018-2019</v>
      </c>
      <c r="G26" s="669" t="str">
        <f t="shared" si="1"/>
        <v>Campo 1</v>
      </c>
      <c r="H26" s="669" t="str">
        <f t="shared" si="2"/>
        <v>Maíz Temprano</v>
      </c>
      <c r="I26" s="670" t="str">
        <f>IFERROR(INDEX(Tabla8[],MATCH(Producción_Agricola[[#This Row],[Unidad de Negocio]],Tabla8[Unidades de Negocio],0),2),0)</f>
        <v>Maíz</v>
      </c>
      <c r="J26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26" s="481" t="s">
        <v>25</v>
      </c>
      <c r="L26" s="482" t="s">
        <v>367</v>
      </c>
      <c r="M26" s="483">
        <v>0</v>
      </c>
      <c r="N26" s="484" t="s">
        <v>389</v>
      </c>
      <c r="O26" s="690">
        <f>Producción_Agricola[[#This Row],[Superficie]]*Producción_Agricola[[#This Row],[Cantidad]]</f>
        <v>0</v>
      </c>
      <c r="P26" s="482">
        <v>150</v>
      </c>
      <c r="Q26" s="484" t="s">
        <v>48</v>
      </c>
      <c r="R26" s="485">
        <v>0.06</v>
      </c>
      <c r="S26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6" s="695">
        <f>IFERROR(Producción_Agricola[[#This Row],[Económico $Corrientes]]/Producción_Agricola[[#This Row],[Indexación Económico]],0)</f>
        <v>0</v>
      </c>
      <c r="U2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6" s="695">
        <f>IFERROR(Producción_Agricola[[#This Row],[Financiero $Corrientes]]/Producción_Agricola[[#This Row],[Indexación Financiero]],0)</f>
        <v>0</v>
      </c>
      <c r="X2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6" s="699">
        <f>IFERROR(Producción_Agricola[[#This Row],[Intereses $Corrientes]]/Producción_Agricola[[#This Row],[Indexación Financiero]],0)</f>
        <v>0</v>
      </c>
      <c r="AA2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6" s="701" t="str">
        <f>IFERROR(INDEX(Produccion_Agricola_Cuentas[],MATCH(Producción_Agricola[[#This Row],[Cuenta Contable]],Produccion_Agricola_Cuentas[Cuenta Contable],0),2),0)</f>
        <v>Egreso</v>
      </c>
      <c r="AC26" s="702" t="str">
        <f>IFERROR(INDEX(Tabla9[],MATCH(Producción_Agricola[[#This Row],[Movimiento]],Tabla9[Movimientos],0),2),0)</f>
        <v>Si</v>
      </c>
      <c r="AD26" s="703" t="str">
        <f>IFERROR(INDEX(Tabla9[],MATCH(Producción_Agricola[[#This Row],[Movimiento]],Tabla9[Movimientos],0),3),0)</f>
        <v>(-)</v>
      </c>
      <c r="AE26" s="698">
        <f>IF(Producción_Agricola[[#This Row],[Fecha Económico]]=0,0,MONTH(Producción_Agricola[[#This Row],[Fecha Económico]]))</f>
        <v>10</v>
      </c>
      <c r="AF26" s="699">
        <f>IF(Producción_Agricola[[#This Row],[Fecha Económico]]=0,0,YEAR(Producción_Agricola[[#This Row],[Fecha Económico]]))</f>
        <v>2018</v>
      </c>
      <c r="AG26" s="704">
        <f>SUMPRODUCT((Producción_Agricola[[#This Row],[Mes Económico]]=Tipo_Cambio[Mes])*(Producción_Agricola[[#This Row],[Año Económico]]=Tipo_Cambio[Año])*(Tipo_Cambio[$/U$S]))</f>
        <v>22.666622</v>
      </c>
      <c r="AH26" s="703">
        <f>SUMPRODUCT((Producción_Agricola[[#This Row],[Mes Económico]]=Tipo_Cambio[Mes])*(Producción_Agricola[[#This Row],[Año Económico]]=Tipo_Cambio[Año])*(Tipo_Cambio[Actualización]))</f>
        <v>1.0612079999999999</v>
      </c>
      <c r="AI26" s="705">
        <f>IF(ISNUMBER(Producción_Agricola[[#This Row],[Fecha Financiero]])=TRUE,MONTH(Producción_Agricola[[#This Row],[Fecha Financiero]]),0)</f>
        <v>11</v>
      </c>
      <c r="AJ26" s="705">
        <f>IF(ISNUMBER(Producción_Agricola[[#This Row],[Fecha Financiero]])=TRUE,YEAR(Producción_Agricola[[#This Row],[Fecha Financiero]]),0)</f>
        <v>2018</v>
      </c>
      <c r="AK26" s="706">
        <f>SUMPRODUCT((Producción_Agricola[[#This Row],[Mes Financiero]]=Tipo_Cambio[Mes])*(Producción_Agricola[[#This Row],[Año Financiero]]=Tipo_Cambio[Año])*(Tipo_Cambio[$/U$S]))</f>
        <v>22.893288219999999</v>
      </c>
      <c r="AL26" s="706">
        <f>SUMPRODUCT((Producción_Agricola[[#This Row],[Mes Financiero]]=Tipo_Cambio[Mes])*(Producción_Agricola[[#This Row],[Año Financiero]]=Tipo_Cambio[Año])*(Tipo_Cambio[Actualización]))</f>
        <v>1.08243216</v>
      </c>
      <c r="AM26" s="702">
        <f>IFERROR(Producción_Agricola[[#This Row],[Económico $Corrientes]]/Producción_Agricola[[#This Row],[Superficie]],0)</f>
        <v>0</v>
      </c>
      <c r="AN26" s="706">
        <f>IFERROR(Producción_Agricola[[#This Row],[Económico $Constantes]]/Producción_Agricola[[#This Row],[Superficie]],0)</f>
        <v>0</v>
      </c>
      <c r="AO26" s="706">
        <f>IFERROR(Producción_Agricola[[#This Row],[Económico U$S Dólares]]/Producción_Agricola[[#This Row],[Superficie]],0)</f>
        <v>0</v>
      </c>
      <c r="AP26" s="707" t="str">
        <f>IF(Económico!$F$4=0,0,Producción_Agricola[[#This Row],[Centro de Costo]])</f>
        <v>Campo 1</v>
      </c>
      <c r="AQ26" s="512" t="s">
        <v>367</v>
      </c>
      <c r="AR26" s="513"/>
      <c r="AS26"/>
    </row>
    <row r="27" spans="4:45" x14ac:dyDescent="0.25">
      <c r="D27" s="478">
        <f>D26</f>
        <v>43396</v>
      </c>
      <c r="E27" s="478">
        <f>Producción_Agricola[[#This Row],[Fecha Económico]]+30</f>
        <v>43426</v>
      </c>
      <c r="F27" s="668" t="str">
        <f t="shared" si="0"/>
        <v>2018-2019</v>
      </c>
      <c r="G27" s="669" t="str">
        <f t="shared" si="1"/>
        <v>Campo 1</v>
      </c>
      <c r="H27" s="669" t="str">
        <f t="shared" si="2"/>
        <v>Maíz Temprano</v>
      </c>
      <c r="I27" s="671" t="str">
        <f>IFERROR(INDEX(Tabla8[],MATCH(Producción_Agricola[[#This Row],[Unidad de Negocio]],Tabla8[Unidades de Negocio],0),2),0)</f>
        <v>Maíz</v>
      </c>
      <c r="J2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27" s="481" t="s">
        <v>19</v>
      </c>
      <c r="L27" s="482" t="s">
        <v>368</v>
      </c>
      <c r="M27" s="483">
        <v>0</v>
      </c>
      <c r="N27" s="484" t="s">
        <v>387</v>
      </c>
      <c r="O27" s="690">
        <f>Producción_Agricola[[#This Row],[Superficie]]*Producción_Agricola[[#This Row],[Cantidad]]</f>
        <v>0</v>
      </c>
      <c r="P27" s="482">
        <v>0.35</v>
      </c>
      <c r="Q27" s="484" t="s">
        <v>3</v>
      </c>
      <c r="R27" s="485">
        <v>0</v>
      </c>
      <c r="S2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7" s="695">
        <f>IFERROR(Producción_Agricola[[#This Row],[Económico $Corrientes]]/Producción_Agricola[[#This Row],[Indexación Económico]],0)</f>
        <v>0</v>
      </c>
      <c r="U2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7" s="695">
        <f>IFERROR(Producción_Agricola[[#This Row],[Financiero $Corrientes]]/Producción_Agricola[[#This Row],[Indexación Financiero]],0)</f>
        <v>0</v>
      </c>
      <c r="X2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7" s="699">
        <f>IFERROR(Producción_Agricola[[#This Row],[Intereses $Corrientes]]/Producción_Agricola[[#This Row],[Indexación Financiero]],0)</f>
        <v>0</v>
      </c>
      <c r="AA2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7" s="701" t="str">
        <f>IFERROR(INDEX(Produccion_Agricola_Cuentas[],MATCH(Producción_Agricola[[#This Row],[Cuenta Contable]],Produccion_Agricola_Cuentas[Cuenta Contable],0),2),0)</f>
        <v>Egreso</v>
      </c>
      <c r="AC27" s="702" t="str">
        <f>IFERROR(INDEX(Tabla9[],MATCH(Producción_Agricola[[#This Row],[Movimiento]],Tabla9[Movimientos],0),2),0)</f>
        <v>Si</v>
      </c>
      <c r="AD27" s="703" t="str">
        <f>IFERROR(INDEX(Tabla9[],MATCH(Producción_Agricola[[#This Row],[Movimiento]],Tabla9[Movimientos],0),3),0)</f>
        <v>(-)</v>
      </c>
      <c r="AE27" s="698">
        <f>IF(Producción_Agricola[[#This Row],[Fecha Económico]]=0,0,MONTH(Producción_Agricola[[#This Row],[Fecha Económico]]))</f>
        <v>10</v>
      </c>
      <c r="AF27" s="699">
        <f>IF(Producción_Agricola[[#This Row],[Fecha Económico]]=0,0,YEAR(Producción_Agricola[[#This Row],[Fecha Económico]]))</f>
        <v>2018</v>
      </c>
      <c r="AG27" s="704">
        <f>SUMPRODUCT((Producción_Agricola[[#This Row],[Mes Económico]]=Tipo_Cambio[Mes])*(Producción_Agricola[[#This Row],[Año Económico]]=Tipo_Cambio[Año])*(Tipo_Cambio[$/U$S]))</f>
        <v>22.666622</v>
      </c>
      <c r="AH27" s="703">
        <f>SUMPRODUCT((Producción_Agricola[[#This Row],[Mes Económico]]=Tipo_Cambio[Mes])*(Producción_Agricola[[#This Row],[Año Económico]]=Tipo_Cambio[Año])*(Tipo_Cambio[Actualización]))</f>
        <v>1.0612079999999999</v>
      </c>
      <c r="AI27" s="705">
        <f>IF(ISNUMBER(Producción_Agricola[[#This Row],[Fecha Financiero]])=TRUE,MONTH(Producción_Agricola[[#This Row],[Fecha Financiero]]),0)</f>
        <v>11</v>
      </c>
      <c r="AJ27" s="705">
        <f>IF(ISNUMBER(Producción_Agricola[[#This Row],[Fecha Financiero]])=TRUE,YEAR(Producción_Agricola[[#This Row],[Fecha Financiero]]),0)</f>
        <v>2018</v>
      </c>
      <c r="AK27" s="706">
        <f>SUMPRODUCT((Producción_Agricola[[#This Row],[Mes Financiero]]=Tipo_Cambio[Mes])*(Producción_Agricola[[#This Row],[Año Financiero]]=Tipo_Cambio[Año])*(Tipo_Cambio[$/U$S]))</f>
        <v>22.893288219999999</v>
      </c>
      <c r="AL27" s="706">
        <f>SUMPRODUCT((Producción_Agricola[[#This Row],[Mes Financiero]]=Tipo_Cambio[Mes])*(Producción_Agricola[[#This Row],[Año Financiero]]=Tipo_Cambio[Año])*(Tipo_Cambio[Actualización]))</f>
        <v>1.08243216</v>
      </c>
      <c r="AM27" s="709">
        <f>IFERROR(Producción_Agricola[[#This Row],[Económico $Corrientes]]/Producción_Agricola[[#This Row],[Superficie]],0)</f>
        <v>0</v>
      </c>
      <c r="AN27" s="710">
        <f>IFERROR(Producción_Agricola[[#This Row],[Económico $Constantes]]/Producción_Agricola[[#This Row],[Superficie]],0)</f>
        <v>0</v>
      </c>
      <c r="AO27" s="710">
        <f>IFERROR(Producción_Agricola[[#This Row],[Económico U$S Dólares]]/Producción_Agricola[[#This Row],[Superficie]],0)</f>
        <v>0</v>
      </c>
      <c r="AP27" s="711" t="str">
        <f>IF(Económico!$F$4=0,0,Producción_Agricola[[#This Row],[Centro de Costo]])</f>
        <v>Campo 1</v>
      </c>
      <c r="AQ27" s="512" t="s">
        <v>367</v>
      </c>
      <c r="AR27" s="513"/>
      <c r="AS27"/>
    </row>
    <row r="28" spans="4:45" x14ac:dyDescent="0.25">
      <c r="D28" s="478">
        <f>D23+60</f>
        <v>43426</v>
      </c>
      <c r="E28" s="478">
        <f>Producción_Agricola[[#This Row],[Fecha Económico]]+30</f>
        <v>43456</v>
      </c>
      <c r="F28" s="668" t="str">
        <f t="shared" si="0"/>
        <v>2018-2019</v>
      </c>
      <c r="G28" s="669" t="str">
        <f t="shared" si="1"/>
        <v>Campo 1</v>
      </c>
      <c r="H28" s="669" t="str">
        <f t="shared" si="2"/>
        <v>Maíz Temprano</v>
      </c>
      <c r="I28" s="670" t="str">
        <f>IFERROR(INDEX(Tabla8[],MATCH(Producción_Agricola[[#This Row],[Unidad de Negocio]],Tabla8[Unidades de Negocio],0),2),0)</f>
        <v>Maíz</v>
      </c>
      <c r="J28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28" s="481" t="s">
        <v>25</v>
      </c>
      <c r="L28" s="482" t="s">
        <v>219</v>
      </c>
      <c r="M28" s="483">
        <v>0</v>
      </c>
      <c r="N28" s="484" t="s">
        <v>389</v>
      </c>
      <c r="O28" s="690">
        <f>Producción_Agricola[[#This Row],[Superficie]]*Producción_Agricola[[#This Row],[Cantidad]]</f>
        <v>0</v>
      </c>
      <c r="P28" s="482">
        <v>120</v>
      </c>
      <c r="Q28" s="484" t="s">
        <v>48</v>
      </c>
      <c r="R28" s="485">
        <v>0</v>
      </c>
      <c r="S28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8" s="695">
        <f>IFERROR(Producción_Agricola[[#This Row],[Económico $Corrientes]]/Producción_Agricola[[#This Row],[Indexación Económico]],0)</f>
        <v>0</v>
      </c>
      <c r="U2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8" s="695">
        <f>IFERROR(Producción_Agricola[[#This Row],[Financiero $Corrientes]]/Producción_Agricola[[#This Row],[Indexación Financiero]],0)</f>
        <v>0</v>
      </c>
      <c r="X2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8" s="699">
        <f>IFERROR(Producción_Agricola[[#This Row],[Intereses $Corrientes]]/Producción_Agricola[[#This Row],[Indexación Financiero]],0)</f>
        <v>0</v>
      </c>
      <c r="AA2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8" s="701" t="str">
        <f>IFERROR(INDEX(Produccion_Agricola_Cuentas[],MATCH(Producción_Agricola[[#This Row],[Cuenta Contable]],Produccion_Agricola_Cuentas[Cuenta Contable],0),2),0)</f>
        <v>Egreso</v>
      </c>
      <c r="AC28" s="702" t="str">
        <f>IFERROR(INDEX(Tabla9[],MATCH(Producción_Agricola[[#This Row],[Movimiento]],Tabla9[Movimientos],0),2),0)</f>
        <v>Si</v>
      </c>
      <c r="AD28" s="703" t="str">
        <f>IFERROR(INDEX(Tabla9[],MATCH(Producción_Agricola[[#This Row],[Movimiento]],Tabla9[Movimientos],0),3),0)</f>
        <v>(-)</v>
      </c>
      <c r="AE28" s="698">
        <f>IF(Producción_Agricola[[#This Row],[Fecha Económico]]=0,0,MONTH(Producción_Agricola[[#This Row],[Fecha Económico]]))</f>
        <v>11</v>
      </c>
      <c r="AF28" s="699">
        <f>IF(Producción_Agricola[[#This Row],[Fecha Económico]]=0,0,YEAR(Producción_Agricola[[#This Row],[Fecha Económico]]))</f>
        <v>2018</v>
      </c>
      <c r="AG28" s="704">
        <f>SUMPRODUCT((Producción_Agricola[[#This Row],[Mes Económico]]=Tipo_Cambio[Mes])*(Producción_Agricola[[#This Row],[Año Económico]]=Tipo_Cambio[Año])*(Tipo_Cambio[$/U$S]))</f>
        <v>22.893288219999999</v>
      </c>
      <c r="AH28" s="703">
        <f>SUMPRODUCT((Producción_Agricola[[#This Row],[Mes Económico]]=Tipo_Cambio[Mes])*(Producción_Agricola[[#This Row],[Año Económico]]=Tipo_Cambio[Año])*(Tipo_Cambio[Actualización]))</f>
        <v>1.08243216</v>
      </c>
      <c r="AI28" s="705">
        <f>IF(ISNUMBER(Producción_Agricola[[#This Row],[Fecha Financiero]])=TRUE,MONTH(Producción_Agricola[[#This Row],[Fecha Financiero]]),0)</f>
        <v>12</v>
      </c>
      <c r="AJ28" s="705">
        <f>IF(ISNUMBER(Producción_Agricola[[#This Row],[Fecha Financiero]])=TRUE,YEAR(Producción_Agricola[[#This Row],[Fecha Financiero]]),0)</f>
        <v>2018</v>
      </c>
      <c r="AK28" s="706">
        <f>SUMPRODUCT((Producción_Agricola[[#This Row],[Mes Financiero]]=Tipo_Cambio[Mes])*(Producción_Agricola[[#This Row],[Año Financiero]]=Tipo_Cambio[Año])*(Tipo_Cambio[$/U$S]))</f>
        <v>23.122221102199997</v>
      </c>
      <c r="AL28" s="706">
        <f>SUMPRODUCT((Producción_Agricola[[#This Row],[Mes Financiero]]=Tipo_Cambio[Mes])*(Producción_Agricola[[#This Row],[Año Financiero]]=Tipo_Cambio[Año])*(Tipo_Cambio[Actualización]))</f>
        <v>1.1040808032</v>
      </c>
      <c r="AM28" s="702">
        <f>IFERROR(Producción_Agricola[[#This Row],[Económico $Corrientes]]/Producción_Agricola[[#This Row],[Superficie]],0)</f>
        <v>0</v>
      </c>
      <c r="AN28" s="706">
        <f>IFERROR(Producción_Agricola[[#This Row],[Económico $Constantes]]/Producción_Agricola[[#This Row],[Superficie]],0)</f>
        <v>0</v>
      </c>
      <c r="AO28" s="706">
        <f>IFERROR(Producción_Agricola[[#This Row],[Económico U$S Dólares]]/Producción_Agricola[[#This Row],[Superficie]],0)</f>
        <v>0</v>
      </c>
      <c r="AP28" s="707" t="str">
        <f>IF(Económico!$F$4=0,0,Producción_Agricola[[#This Row],[Centro de Costo]])</f>
        <v>Campo 1</v>
      </c>
      <c r="AQ28" s="512" t="s">
        <v>381</v>
      </c>
      <c r="AR28" s="513"/>
      <c r="AS28"/>
    </row>
    <row r="29" spans="4:45" x14ac:dyDescent="0.25">
      <c r="D29" s="478">
        <f>D28</f>
        <v>43426</v>
      </c>
      <c r="E29" s="478">
        <v>43586</v>
      </c>
      <c r="F29" s="668" t="str">
        <f t="shared" si="0"/>
        <v>2018-2019</v>
      </c>
      <c r="G29" s="669" t="str">
        <f t="shared" si="1"/>
        <v>Campo 1</v>
      </c>
      <c r="H29" s="669" t="str">
        <f t="shared" si="2"/>
        <v>Maíz Temprano</v>
      </c>
      <c r="I29" s="670" t="str">
        <f>IFERROR(INDEX(Tabla8[],MATCH(Producción_Agricola[[#This Row],[Unidad de Negocio]],Tabla8[Unidades de Negocio],0),2),0)</f>
        <v>Maíz</v>
      </c>
      <c r="J29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29" s="481" t="s">
        <v>17</v>
      </c>
      <c r="L29" s="482" t="s">
        <v>50</v>
      </c>
      <c r="M29" s="483">
        <v>0</v>
      </c>
      <c r="N29" s="484" t="s">
        <v>387</v>
      </c>
      <c r="O29" s="690">
        <f>Producción_Agricola[[#This Row],[Superficie]]*Producción_Agricola[[#This Row],[Cantidad]]</f>
        <v>0</v>
      </c>
      <c r="P29" s="482">
        <v>3</v>
      </c>
      <c r="Q29" s="484" t="s">
        <v>3</v>
      </c>
      <c r="R29" s="485">
        <v>0.06</v>
      </c>
      <c r="S29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9" s="695">
        <f>IFERROR(Producción_Agricola[[#This Row],[Económico $Corrientes]]/Producción_Agricola[[#This Row],[Indexación Económico]],0)</f>
        <v>0</v>
      </c>
      <c r="U2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9" s="695">
        <f>IFERROR(Producción_Agricola[[#This Row],[Financiero $Corrientes]]/Producción_Agricola[[#This Row],[Indexación Financiero]],0)</f>
        <v>0</v>
      </c>
      <c r="X2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9" s="699">
        <f>IFERROR(Producción_Agricola[[#This Row],[Intereses $Corrientes]]/Producción_Agricola[[#This Row],[Indexación Financiero]],0)</f>
        <v>0</v>
      </c>
      <c r="AA2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9" s="701" t="str">
        <f>IFERROR(INDEX(Produccion_Agricola_Cuentas[],MATCH(Producción_Agricola[[#This Row],[Cuenta Contable]],Produccion_Agricola_Cuentas[Cuenta Contable],0),2),0)</f>
        <v>Egreso</v>
      </c>
      <c r="AC29" s="702" t="str">
        <f>IFERROR(INDEX(Tabla9[],MATCH(Producción_Agricola[[#This Row],[Movimiento]],Tabla9[Movimientos],0),2),0)</f>
        <v>Si</v>
      </c>
      <c r="AD29" s="703" t="str">
        <f>IFERROR(INDEX(Tabla9[],MATCH(Producción_Agricola[[#This Row],[Movimiento]],Tabla9[Movimientos],0),3),0)</f>
        <v>(-)</v>
      </c>
      <c r="AE29" s="698">
        <f>IF(Producción_Agricola[[#This Row],[Fecha Económico]]=0,0,MONTH(Producción_Agricola[[#This Row],[Fecha Económico]]))</f>
        <v>11</v>
      </c>
      <c r="AF29" s="699">
        <f>IF(Producción_Agricola[[#This Row],[Fecha Económico]]=0,0,YEAR(Producción_Agricola[[#This Row],[Fecha Económico]]))</f>
        <v>2018</v>
      </c>
      <c r="AG29" s="704">
        <f>SUMPRODUCT((Producción_Agricola[[#This Row],[Mes Económico]]=Tipo_Cambio[Mes])*(Producción_Agricola[[#This Row],[Año Económico]]=Tipo_Cambio[Año])*(Tipo_Cambio[$/U$S]))</f>
        <v>22.893288219999999</v>
      </c>
      <c r="AH29" s="703">
        <f>SUMPRODUCT((Producción_Agricola[[#This Row],[Mes Económico]]=Tipo_Cambio[Mes])*(Producción_Agricola[[#This Row],[Año Económico]]=Tipo_Cambio[Año])*(Tipo_Cambio[Actualización]))</f>
        <v>1.08243216</v>
      </c>
      <c r="AI29" s="705">
        <f>IF(ISNUMBER(Producción_Agricola[[#This Row],[Fecha Financiero]])=TRUE,MONTH(Producción_Agricola[[#This Row],[Fecha Financiero]]),0)</f>
        <v>5</v>
      </c>
      <c r="AJ29" s="705">
        <f>IF(ISNUMBER(Producción_Agricola[[#This Row],[Fecha Financiero]])=TRUE,YEAR(Producción_Agricola[[#This Row],[Fecha Financiero]]),0)</f>
        <v>2019</v>
      </c>
      <c r="AK29" s="706">
        <f>SUMPRODUCT((Producción_Agricola[[#This Row],[Mes Financiero]]=Tipo_Cambio[Mes])*(Producción_Agricola[[#This Row],[Año Financiero]]=Tipo_Cambio[Año])*(Tipo_Cambio[$/U$S]))</f>
        <v>24.301686759046497</v>
      </c>
      <c r="AL29" s="706">
        <f>SUMPRODUCT((Producción_Agricola[[#This Row],[Mes Financiero]]=Tipo_Cambio[Mes])*(Producción_Agricola[[#This Row],[Año Financiero]]=Tipo_Cambio[Año])*(Tipo_Cambio[Actualización]))</f>
        <v>1.2189944199947573</v>
      </c>
      <c r="AM29" s="702">
        <f>IFERROR(Producción_Agricola[[#This Row],[Económico $Corrientes]]/Producción_Agricola[[#This Row],[Superficie]],0)</f>
        <v>0</v>
      </c>
      <c r="AN29" s="706">
        <f>IFERROR(Producción_Agricola[[#This Row],[Económico $Constantes]]/Producción_Agricola[[#This Row],[Superficie]],0)</f>
        <v>0</v>
      </c>
      <c r="AO29" s="706">
        <f>IFERROR(Producción_Agricola[[#This Row],[Económico U$S Dólares]]/Producción_Agricola[[#This Row],[Superficie]],0)</f>
        <v>0</v>
      </c>
      <c r="AP29" s="707" t="str">
        <f>IF(Económico!$F$4=0,0,Producción_Agricola[[#This Row],[Centro de Costo]])</f>
        <v>Campo 1</v>
      </c>
      <c r="AQ29" s="512" t="s">
        <v>381</v>
      </c>
      <c r="AR29" s="513"/>
      <c r="AS29"/>
    </row>
    <row r="30" spans="4:45" x14ac:dyDescent="0.25">
      <c r="D30" s="478">
        <f t="shared" ref="D30:D31" si="9">D29</f>
        <v>43426</v>
      </c>
      <c r="E30" s="478">
        <v>43586</v>
      </c>
      <c r="F30" s="668" t="str">
        <f t="shared" si="0"/>
        <v>2018-2019</v>
      </c>
      <c r="G30" s="669" t="str">
        <f t="shared" si="1"/>
        <v>Campo 1</v>
      </c>
      <c r="H30" s="669" t="str">
        <f t="shared" si="2"/>
        <v>Maíz Temprano</v>
      </c>
      <c r="I30" s="670" t="str">
        <f>IFERROR(INDEX(Tabla8[],MATCH(Producción_Agricola[[#This Row],[Unidad de Negocio]],Tabla8[Unidades de Negocio],0),2),0)</f>
        <v>Maíz</v>
      </c>
      <c r="J30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30" s="481" t="s">
        <v>17</v>
      </c>
      <c r="L30" s="482" t="s">
        <v>49</v>
      </c>
      <c r="M30" s="483">
        <v>0</v>
      </c>
      <c r="N30" s="484" t="s">
        <v>387</v>
      </c>
      <c r="O30" s="690">
        <f>Producción_Agricola[[#This Row],[Superficie]]*Producción_Agricola[[#This Row],[Cantidad]]</f>
        <v>0</v>
      </c>
      <c r="P30" s="482">
        <v>7</v>
      </c>
      <c r="Q30" s="484" t="s">
        <v>3</v>
      </c>
      <c r="R30" s="485">
        <v>0.06</v>
      </c>
      <c r="S30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0" s="695">
        <f>IFERROR(Producción_Agricola[[#This Row],[Económico $Corrientes]]/Producción_Agricola[[#This Row],[Indexación Económico]],0)</f>
        <v>0</v>
      </c>
      <c r="U3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0" s="695">
        <f>IFERROR(Producción_Agricola[[#This Row],[Financiero $Corrientes]]/Producción_Agricola[[#This Row],[Indexación Financiero]],0)</f>
        <v>0</v>
      </c>
      <c r="X3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0" s="699">
        <f>IFERROR(Producción_Agricola[[#This Row],[Intereses $Corrientes]]/Producción_Agricola[[#This Row],[Indexación Financiero]],0)</f>
        <v>0</v>
      </c>
      <c r="AA3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0" s="701" t="str">
        <f>IFERROR(INDEX(Produccion_Agricola_Cuentas[],MATCH(Producción_Agricola[[#This Row],[Cuenta Contable]],Produccion_Agricola_Cuentas[Cuenta Contable],0),2),0)</f>
        <v>Egreso</v>
      </c>
      <c r="AC30" s="702" t="str">
        <f>IFERROR(INDEX(Tabla9[],MATCH(Producción_Agricola[[#This Row],[Movimiento]],Tabla9[Movimientos],0),2),0)</f>
        <v>Si</v>
      </c>
      <c r="AD30" s="703" t="str">
        <f>IFERROR(INDEX(Tabla9[],MATCH(Producción_Agricola[[#This Row],[Movimiento]],Tabla9[Movimientos],0),3),0)</f>
        <v>(-)</v>
      </c>
      <c r="AE30" s="698">
        <f>IF(Producción_Agricola[[#This Row],[Fecha Económico]]=0,0,MONTH(Producción_Agricola[[#This Row],[Fecha Económico]]))</f>
        <v>11</v>
      </c>
      <c r="AF30" s="699">
        <f>IF(Producción_Agricola[[#This Row],[Fecha Económico]]=0,0,YEAR(Producción_Agricola[[#This Row],[Fecha Económico]]))</f>
        <v>2018</v>
      </c>
      <c r="AG30" s="704">
        <f>SUMPRODUCT((Producción_Agricola[[#This Row],[Mes Económico]]=Tipo_Cambio[Mes])*(Producción_Agricola[[#This Row],[Año Económico]]=Tipo_Cambio[Año])*(Tipo_Cambio[$/U$S]))</f>
        <v>22.893288219999999</v>
      </c>
      <c r="AH30" s="703">
        <f>SUMPRODUCT((Producción_Agricola[[#This Row],[Mes Económico]]=Tipo_Cambio[Mes])*(Producción_Agricola[[#This Row],[Año Económico]]=Tipo_Cambio[Año])*(Tipo_Cambio[Actualización]))</f>
        <v>1.08243216</v>
      </c>
      <c r="AI30" s="705">
        <f>IF(ISNUMBER(Producción_Agricola[[#This Row],[Fecha Financiero]])=TRUE,MONTH(Producción_Agricola[[#This Row],[Fecha Financiero]]),0)</f>
        <v>5</v>
      </c>
      <c r="AJ30" s="705">
        <f>IF(ISNUMBER(Producción_Agricola[[#This Row],[Fecha Financiero]])=TRUE,YEAR(Producción_Agricola[[#This Row],[Fecha Financiero]]),0)</f>
        <v>2019</v>
      </c>
      <c r="AK30" s="706">
        <f>SUMPRODUCT((Producción_Agricola[[#This Row],[Mes Financiero]]=Tipo_Cambio[Mes])*(Producción_Agricola[[#This Row],[Año Financiero]]=Tipo_Cambio[Año])*(Tipo_Cambio[$/U$S]))</f>
        <v>24.301686759046497</v>
      </c>
      <c r="AL30" s="706">
        <f>SUMPRODUCT((Producción_Agricola[[#This Row],[Mes Financiero]]=Tipo_Cambio[Mes])*(Producción_Agricola[[#This Row],[Año Financiero]]=Tipo_Cambio[Año])*(Tipo_Cambio[Actualización]))</f>
        <v>1.2189944199947573</v>
      </c>
      <c r="AM30" s="702">
        <f>IFERROR(Producción_Agricola[[#This Row],[Económico $Corrientes]]/Producción_Agricola[[#This Row],[Superficie]],0)</f>
        <v>0</v>
      </c>
      <c r="AN30" s="706">
        <f>IFERROR(Producción_Agricola[[#This Row],[Económico $Constantes]]/Producción_Agricola[[#This Row],[Superficie]],0)</f>
        <v>0</v>
      </c>
      <c r="AO30" s="706">
        <f>IFERROR(Producción_Agricola[[#This Row],[Económico U$S Dólares]]/Producción_Agricola[[#This Row],[Superficie]],0)</f>
        <v>0</v>
      </c>
      <c r="AP30" s="707" t="str">
        <f>IF(Económico!$F$4=0,0,Producción_Agricola[[#This Row],[Centro de Costo]])</f>
        <v>Campo 1</v>
      </c>
      <c r="AQ30" s="512" t="s">
        <v>381</v>
      </c>
      <c r="AR30" s="513"/>
      <c r="AS30"/>
    </row>
    <row r="31" spans="4:45" x14ac:dyDescent="0.25">
      <c r="D31" s="478">
        <f t="shared" si="9"/>
        <v>43426</v>
      </c>
      <c r="E31" s="478">
        <v>43586</v>
      </c>
      <c r="F31" s="668" t="str">
        <f t="shared" si="0"/>
        <v>2018-2019</v>
      </c>
      <c r="G31" s="669" t="str">
        <f t="shared" si="1"/>
        <v>Campo 1</v>
      </c>
      <c r="H31" s="669" t="str">
        <f t="shared" si="2"/>
        <v>Maíz Temprano</v>
      </c>
      <c r="I31" s="670" t="str">
        <f>IFERROR(INDEX(Tabla8[],MATCH(Producción_Agricola[[#This Row],[Unidad de Negocio]],Tabla8[Unidades de Negocio],0),2),0)</f>
        <v>Maíz</v>
      </c>
      <c r="J31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31" s="481" t="s">
        <v>24</v>
      </c>
      <c r="L31" s="482" t="s">
        <v>363</v>
      </c>
      <c r="M31" s="483">
        <v>0</v>
      </c>
      <c r="N31" s="484" t="s">
        <v>387</v>
      </c>
      <c r="O31" s="690">
        <f>Producción_Agricola[[#This Row],[Superficie]]*Producción_Agricola[[#This Row],[Cantidad]]</f>
        <v>0</v>
      </c>
      <c r="P31" s="482">
        <v>18</v>
      </c>
      <c r="Q31" s="484" t="s">
        <v>3</v>
      </c>
      <c r="R31" s="485">
        <v>0.06</v>
      </c>
      <c r="S31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1" s="695">
        <f>IFERROR(Producción_Agricola[[#This Row],[Económico $Corrientes]]/Producción_Agricola[[#This Row],[Indexación Económico]],0)</f>
        <v>0</v>
      </c>
      <c r="U3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1" s="695">
        <f>IFERROR(Producción_Agricola[[#This Row],[Financiero $Corrientes]]/Producción_Agricola[[#This Row],[Indexación Financiero]],0)</f>
        <v>0</v>
      </c>
      <c r="X3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1" s="699">
        <f>IFERROR(Producción_Agricola[[#This Row],[Intereses $Corrientes]]/Producción_Agricola[[#This Row],[Indexación Financiero]],0)</f>
        <v>0</v>
      </c>
      <c r="AA3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1" s="701" t="str">
        <f>IFERROR(INDEX(Produccion_Agricola_Cuentas[],MATCH(Producción_Agricola[[#This Row],[Cuenta Contable]],Produccion_Agricola_Cuentas[Cuenta Contable],0),2),0)</f>
        <v>Egreso</v>
      </c>
      <c r="AC31" s="702" t="str">
        <f>IFERROR(INDEX(Tabla9[],MATCH(Producción_Agricola[[#This Row],[Movimiento]],Tabla9[Movimientos],0),2),0)</f>
        <v>Si</v>
      </c>
      <c r="AD31" s="703" t="str">
        <f>IFERROR(INDEX(Tabla9[],MATCH(Producción_Agricola[[#This Row],[Movimiento]],Tabla9[Movimientos],0),3),0)</f>
        <v>(-)</v>
      </c>
      <c r="AE31" s="698">
        <f>IF(Producción_Agricola[[#This Row],[Fecha Económico]]=0,0,MONTH(Producción_Agricola[[#This Row],[Fecha Económico]]))</f>
        <v>11</v>
      </c>
      <c r="AF31" s="699">
        <f>IF(Producción_Agricola[[#This Row],[Fecha Económico]]=0,0,YEAR(Producción_Agricola[[#This Row],[Fecha Económico]]))</f>
        <v>2018</v>
      </c>
      <c r="AG31" s="704">
        <f>SUMPRODUCT((Producción_Agricola[[#This Row],[Mes Económico]]=Tipo_Cambio[Mes])*(Producción_Agricola[[#This Row],[Año Económico]]=Tipo_Cambio[Año])*(Tipo_Cambio[$/U$S]))</f>
        <v>22.893288219999999</v>
      </c>
      <c r="AH31" s="703">
        <f>SUMPRODUCT((Producción_Agricola[[#This Row],[Mes Económico]]=Tipo_Cambio[Mes])*(Producción_Agricola[[#This Row],[Año Económico]]=Tipo_Cambio[Año])*(Tipo_Cambio[Actualización]))</f>
        <v>1.08243216</v>
      </c>
      <c r="AI31" s="705">
        <f>IF(ISNUMBER(Producción_Agricola[[#This Row],[Fecha Financiero]])=TRUE,MONTH(Producción_Agricola[[#This Row],[Fecha Financiero]]),0)</f>
        <v>5</v>
      </c>
      <c r="AJ31" s="705">
        <f>IF(ISNUMBER(Producción_Agricola[[#This Row],[Fecha Financiero]])=TRUE,YEAR(Producción_Agricola[[#This Row],[Fecha Financiero]]),0)</f>
        <v>2019</v>
      </c>
      <c r="AK31" s="706">
        <f>SUMPRODUCT((Producción_Agricola[[#This Row],[Mes Financiero]]=Tipo_Cambio[Mes])*(Producción_Agricola[[#This Row],[Año Financiero]]=Tipo_Cambio[Año])*(Tipo_Cambio[$/U$S]))</f>
        <v>24.301686759046497</v>
      </c>
      <c r="AL31" s="706">
        <f>SUMPRODUCT((Producción_Agricola[[#This Row],[Mes Financiero]]=Tipo_Cambio[Mes])*(Producción_Agricola[[#This Row],[Año Financiero]]=Tipo_Cambio[Año])*(Tipo_Cambio[Actualización]))</f>
        <v>1.2189944199947573</v>
      </c>
      <c r="AM31" s="702">
        <f>IFERROR(Producción_Agricola[[#This Row],[Económico $Corrientes]]/Producción_Agricola[[#This Row],[Superficie]],0)</f>
        <v>0</v>
      </c>
      <c r="AN31" s="706">
        <f>IFERROR(Producción_Agricola[[#This Row],[Económico $Constantes]]/Producción_Agricola[[#This Row],[Superficie]],0)</f>
        <v>0</v>
      </c>
      <c r="AO31" s="706">
        <f>IFERROR(Producción_Agricola[[#This Row],[Económico U$S Dólares]]/Producción_Agricola[[#This Row],[Superficie]],0)</f>
        <v>0</v>
      </c>
      <c r="AP31" s="707" t="str">
        <f>IF(Económico!$F$4=0,0,Producción_Agricola[[#This Row],[Centro de Costo]])</f>
        <v>Campo 1</v>
      </c>
      <c r="AQ31" s="512" t="s">
        <v>381</v>
      </c>
      <c r="AR31" s="513"/>
      <c r="AS31"/>
    </row>
    <row r="32" spans="4:45" x14ac:dyDescent="0.25">
      <c r="D32" s="478">
        <f>D28+80</f>
        <v>43506</v>
      </c>
      <c r="E32" s="478">
        <f>Producción_Agricola[[#This Row],[Fecha Económico]]+30</f>
        <v>43536</v>
      </c>
      <c r="F32" s="668" t="str">
        <f t="shared" si="0"/>
        <v>2018-2019</v>
      </c>
      <c r="G32" s="669" t="str">
        <f t="shared" si="1"/>
        <v>Campo 1</v>
      </c>
      <c r="H32" s="669" t="str">
        <f t="shared" si="2"/>
        <v>Maíz Temprano</v>
      </c>
      <c r="I32" s="670" t="str">
        <f>IFERROR(INDEX(Tabla8[],MATCH(Producción_Agricola[[#This Row],[Unidad de Negocio]],Tabla8[Unidades de Negocio],0),2),0)</f>
        <v>Maíz</v>
      </c>
      <c r="J32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32" s="481" t="s">
        <v>25</v>
      </c>
      <c r="L32" s="482" t="s">
        <v>385</v>
      </c>
      <c r="M32" s="483">
        <v>0</v>
      </c>
      <c r="N32" s="484" t="s">
        <v>389</v>
      </c>
      <c r="O32" s="690">
        <f>Producción_Agricola[[#This Row],[Superficie]]*Producción_Agricola[[#This Row],[Cantidad]]</f>
        <v>0</v>
      </c>
      <c r="P32" s="482">
        <v>11</v>
      </c>
      <c r="Q32" s="484" t="s">
        <v>3</v>
      </c>
      <c r="R32" s="485">
        <v>0</v>
      </c>
      <c r="S32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2" s="695">
        <f>IFERROR(Producción_Agricola[[#This Row],[Económico $Corrientes]]/Producción_Agricola[[#This Row],[Indexación Económico]],0)</f>
        <v>0</v>
      </c>
      <c r="U32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2" s="695">
        <f>IFERROR(Producción_Agricola[[#This Row],[Financiero $Corrientes]]/Producción_Agricola[[#This Row],[Indexación Financiero]],0)</f>
        <v>0</v>
      </c>
      <c r="X3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2" s="699">
        <f>IFERROR(Producción_Agricola[[#This Row],[Intereses $Corrientes]]/Producción_Agricola[[#This Row],[Indexación Financiero]],0)</f>
        <v>0</v>
      </c>
      <c r="AA3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2" s="701" t="str">
        <f>IFERROR(INDEX(Produccion_Agricola_Cuentas[],MATCH(Producción_Agricola[[#This Row],[Cuenta Contable]],Produccion_Agricola_Cuentas[Cuenta Contable],0),2),0)</f>
        <v>Egreso</v>
      </c>
      <c r="AC32" s="702" t="str">
        <f>IFERROR(INDEX(Tabla9[],MATCH(Producción_Agricola[[#This Row],[Movimiento]],Tabla9[Movimientos],0),2),0)</f>
        <v>Si</v>
      </c>
      <c r="AD32" s="703" t="str">
        <f>IFERROR(INDEX(Tabla9[],MATCH(Producción_Agricola[[#This Row],[Movimiento]],Tabla9[Movimientos],0),3),0)</f>
        <v>(-)</v>
      </c>
      <c r="AE32" s="698">
        <f>IF(Producción_Agricola[[#This Row],[Fecha Económico]]=0,0,MONTH(Producción_Agricola[[#This Row],[Fecha Económico]]))</f>
        <v>2</v>
      </c>
      <c r="AF32" s="699">
        <f>IF(Producción_Agricola[[#This Row],[Fecha Económico]]=0,0,YEAR(Producción_Agricola[[#This Row],[Fecha Económico]]))</f>
        <v>2019</v>
      </c>
      <c r="AG32" s="704">
        <f>SUMPRODUCT((Producción_Agricola[[#This Row],[Mes Económico]]=Tipo_Cambio[Mes])*(Producción_Agricola[[#This Row],[Año Económico]]=Tipo_Cambio[Año])*(Tipo_Cambio[$/U$S]))</f>
        <v>23.586977746354219</v>
      </c>
      <c r="AH32" s="703">
        <f>SUMPRODUCT((Producción_Agricola[[#This Row],[Mes Económico]]=Tipo_Cambio[Mes])*(Producción_Agricola[[#This Row],[Año Económico]]=Tipo_Cambio[Año])*(Tipo_Cambio[Actualización]))</f>
        <v>1.14868566764928</v>
      </c>
      <c r="AI32" s="705">
        <f>IF(ISNUMBER(Producción_Agricola[[#This Row],[Fecha Financiero]])=TRUE,MONTH(Producción_Agricola[[#This Row],[Fecha Financiero]]),0)</f>
        <v>3</v>
      </c>
      <c r="AJ32" s="705">
        <f>IF(ISNUMBER(Producción_Agricola[[#This Row],[Fecha Financiero]])=TRUE,YEAR(Producción_Agricola[[#This Row],[Fecha Financiero]]),0)</f>
        <v>2019</v>
      </c>
      <c r="AK32" s="706">
        <f>SUMPRODUCT((Producción_Agricola[[#This Row],[Mes Financiero]]=Tipo_Cambio[Mes])*(Producción_Agricola[[#This Row],[Año Financiero]]=Tipo_Cambio[Año])*(Tipo_Cambio[$/U$S]))</f>
        <v>23.82284752381776</v>
      </c>
      <c r="AL32" s="706">
        <f>SUMPRODUCT((Producción_Agricola[[#This Row],[Mes Financiero]]=Tipo_Cambio[Mes])*(Producción_Agricola[[#This Row],[Año Financiero]]=Tipo_Cambio[Año])*(Tipo_Cambio[Actualización]))</f>
        <v>1.1716593810022657</v>
      </c>
      <c r="AM32" s="702">
        <f>IFERROR(Producción_Agricola[[#This Row],[Económico $Corrientes]]/Producción_Agricola[[#This Row],[Superficie]],0)</f>
        <v>0</v>
      </c>
      <c r="AN32" s="706">
        <f>IFERROR(Producción_Agricola[[#This Row],[Económico $Constantes]]/Producción_Agricola[[#This Row],[Superficie]],0)</f>
        <v>0</v>
      </c>
      <c r="AO32" s="706">
        <f>IFERROR(Producción_Agricola[[#This Row],[Económico U$S Dólares]]/Producción_Agricola[[#This Row],[Superficie]],0)</f>
        <v>0</v>
      </c>
      <c r="AP32" s="707" t="str">
        <f>IF(Económico!$F$4=0,0,Producción_Agricola[[#This Row],[Centro de Costo]])</f>
        <v>Campo 1</v>
      </c>
      <c r="AQ32" s="512" t="s">
        <v>366</v>
      </c>
      <c r="AR32" s="513"/>
      <c r="AS32"/>
    </row>
    <row r="33" spans="1:45" x14ac:dyDescent="0.25">
      <c r="D33" s="478">
        <f>D32</f>
        <v>43506</v>
      </c>
      <c r="E33" s="478">
        <v>43586</v>
      </c>
      <c r="F33" s="668" t="str">
        <f t="shared" si="0"/>
        <v>2018-2019</v>
      </c>
      <c r="G33" s="669" t="str">
        <f t="shared" si="1"/>
        <v>Campo 1</v>
      </c>
      <c r="H33" s="669" t="str">
        <f t="shared" si="2"/>
        <v>Maíz Temprano</v>
      </c>
      <c r="I33" s="670" t="str">
        <f>IFERROR(INDEX(Tabla8[],MATCH(Producción_Agricola[[#This Row],[Unidad de Negocio]],Tabla8[Unidades de Negocio],0),2),0)</f>
        <v>Maíz</v>
      </c>
      <c r="J33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33" s="481" t="s">
        <v>23</v>
      </c>
      <c r="L33" s="482" t="s">
        <v>366</v>
      </c>
      <c r="M33" s="483">
        <v>0</v>
      </c>
      <c r="N33" s="484" t="s">
        <v>387</v>
      </c>
      <c r="O33" s="690">
        <f>Producción_Agricola[[#This Row],[Superficie]]*Producción_Agricola[[#This Row],[Cantidad]]</f>
        <v>0</v>
      </c>
      <c r="P33" s="482">
        <v>60</v>
      </c>
      <c r="Q33" s="484" t="s">
        <v>3</v>
      </c>
      <c r="R33" s="485">
        <v>0.06</v>
      </c>
      <c r="S33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3" s="695">
        <f>IFERROR(Producción_Agricola[[#This Row],[Económico $Corrientes]]/Producción_Agricola[[#This Row],[Indexación Económico]],0)</f>
        <v>0</v>
      </c>
      <c r="U33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3" s="695">
        <f>IFERROR(Producción_Agricola[[#This Row],[Financiero $Corrientes]]/Producción_Agricola[[#This Row],[Indexación Financiero]],0)</f>
        <v>0</v>
      </c>
      <c r="X3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3" s="699">
        <f>IFERROR(Producción_Agricola[[#This Row],[Intereses $Corrientes]]/Producción_Agricola[[#This Row],[Indexación Financiero]],0)</f>
        <v>0</v>
      </c>
      <c r="AA3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3" s="701" t="str">
        <f>IFERROR(INDEX(Produccion_Agricola_Cuentas[],MATCH(Producción_Agricola[[#This Row],[Cuenta Contable]],Produccion_Agricola_Cuentas[Cuenta Contable],0),2),0)</f>
        <v>Egreso</v>
      </c>
      <c r="AC33" s="702" t="str">
        <f>IFERROR(INDEX(Tabla9[],MATCH(Producción_Agricola[[#This Row],[Movimiento]],Tabla9[Movimientos],0),2),0)</f>
        <v>Si</v>
      </c>
      <c r="AD33" s="703" t="str">
        <f>IFERROR(INDEX(Tabla9[],MATCH(Producción_Agricola[[#This Row],[Movimiento]],Tabla9[Movimientos],0),3),0)</f>
        <v>(-)</v>
      </c>
      <c r="AE33" s="698">
        <f>IF(Producción_Agricola[[#This Row],[Fecha Económico]]=0,0,MONTH(Producción_Agricola[[#This Row],[Fecha Económico]]))</f>
        <v>2</v>
      </c>
      <c r="AF33" s="699">
        <f>IF(Producción_Agricola[[#This Row],[Fecha Económico]]=0,0,YEAR(Producción_Agricola[[#This Row],[Fecha Económico]]))</f>
        <v>2019</v>
      </c>
      <c r="AG33" s="704">
        <f>SUMPRODUCT((Producción_Agricola[[#This Row],[Mes Económico]]=Tipo_Cambio[Mes])*(Producción_Agricola[[#This Row],[Año Económico]]=Tipo_Cambio[Año])*(Tipo_Cambio[$/U$S]))</f>
        <v>23.586977746354219</v>
      </c>
      <c r="AH33" s="703">
        <f>SUMPRODUCT((Producción_Agricola[[#This Row],[Mes Económico]]=Tipo_Cambio[Mes])*(Producción_Agricola[[#This Row],[Año Económico]]=Tipo_Cambio[Año])*(Tipo_Cambio[Actualización]))</f>
        <v>1.14868566764928</v>
      </c>
      <c r="AI33" s="705">
        <f>IF(ISNUMBER(Producción_Agricola[[#This Row],[Fecha Financiero]])=TRUE,MONTH(Producción_Agricola[[#This Row],[Fecha Financiero]]),0)</f>
        <v>5</v>
      </c>
      <c r="AJ33" s="705">
        <f>IF(ISNUMBER(Producción_Agricola[[#This Row],[Fecha Financiero]])=TRUE,YEAR(Producción_Agricola[[#This Row],[Fecha Financiero]]),0)</f>
        <v>2019</v>
      </c>
      <c r="AK33" s="706">
        <f>SUMPRODUCT((Producción_Agricola[[#This Row],[Mes Financiero]]=Tipo_Cambio[Mes])*(Producción_Agricola[[#This Row],[Año Financiero]]=Tipo_Cambio[Año])*(Tipo_Cambio[$/U$S]))</f>
        <v>24.301686759046497</v>
      </c>
      <c r="AL33" s="706">
        <f>SUMPRODUCT((Producción_Agricola[[#This Row],[Mes Financiero]]=Tipo_Cambio[Mes])*(Producción_Agricola[[#This Row],[Año Financiero]]=Tipo_Cambio[Año])*(Tipo_Cambio[Actualización]))</f>
        <v>1.2189944199947573</v>
      </c>
      <c r="AM33" s="702">
        <f>IFERROR(Producción_Agricola[[#This Row],[Económico $Corrientes]]/Producción_Agricola[[#This Row],[Superficie]],0)</f>
        <v>0</v>
      </c>
      <c r="AN33" s="706">
        <f>IFERROR(Producción_Agricola[[#This Row],[Económico $Constantes]]/Producción_Agricola[[#This Row],[Superficie]],0)</f>
        <v>0</v>
      </c>
      <c r="AO33" s="706">
        <f>IFERROR(Producción_Agricola[[#This Row],[Económico U$S Dólares]]/Producción_Agricola[[#This Row],[Superficie]],0)</f>
        <v>0</v>
      </c>
      <c r="AP33" s="707" t="str">
        <f>IF(Económico!$F$4=0,0,Producción_Agricola[[#This Row],[Centro de Costo]])</f>
        <v>Campo 1</v>
      </c>
      <c r="AQ33" s="512" t="s">
        <v>366</v>
      </c>
      <c r="AR33" s="513"/>
      <c r="AS33"/>
    </row>
    <row r="34" spans="1:45" x14ac:dyDescent="0.25">
      <c r="D34" s="478">
        <f t="shared" ref="D34:D35" si="10">D33</f>
        <v>43506</v>
      </c>
      <c r="E34" s="478">
        <v>43586</v>
      </c>
      <c r="F34" s="668" t="str">
        <f t="shared" si="0"/>
        <v>2018-2019</v>
      </c>
      <c r="G34" s="669" t="str">
        <f t="shared" si="1"/>
        <v>Campo 1</v>
      </c>
      <c r="H34" s="669" t="str">
        <f t="shared" si="2"/>
        <v>Maíz Temprano</v>
      </c>
      <c r="I34" s="670" t="str">
        <f>IFERROR(INDEX(Tabla8[],MATCH(Producción_Agricola[[#This Row],[Unidad de Negocio]],Tabla8[Unidades de Negocio],0),2),0)</f>
        <v>Maíz</v>
      </c>
      <c r="J34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34" s="481" t="s">
        <v>22</v>
      </c>
      <c r="L34" s="482" t="s">
        <v>365</v>
      </c>
      <c r="M34" s="483">
        <v>0</v>
      </c>
      <c r="N34" s="484" t="s">
        <v>387</v>
      </c>
      <c r="O34" s="690">
        <f>Producción_Agricola[[#This Row],[Superficie]]*Producción_Agricola[[#This Row],[Cantidad]]</f>
        <v>0</v>
      </c>
      <c r="P34" s="482">
        <v>10</v>
      </c>
      <c r="Q34" s="484" t="s">
        <v>3</v>
      </c>
      <c r="R34" s="485">
        <v>0.06</v>
      </c>
      <c r="S34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4" s="695">
        <f>IFERROR(Producción_Agricola[[#This Row],[Económico $Corrientes]]/Producción_Agricola[[#This Row],[Indexación Económico]],0)</f>
        <v>0</v>
      </c>
      <c r="U34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4" s="695">
        <f>IFERROR(Producción_Agricola[[#This Row],[Financiero $Corrientes]]/Producción_Agricola[[#This Row],[Indexación Financiero]],0)</f>
        <v>0</v>
      </c>
      <c r="X3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4" s="699">
        <f>IFERROR(Producción_Agricola[[#This Row],[Intereses $Corrientes]]/Producción_Agricola[[#This Row],[Indexación Financiero]],0)</f>
        <v>0</v>
      </c>
      <c r="AA3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4" s="701" t="str">
        <f>IFERROR(INDEX(Produccion_Agricola_Cuentas[],MATCH(Producción_Agricola[[#This Row],[Cuenta Contable]],Produccion_Agricola_Cuentas[Cuenta Contable],0),2),0)</f>
        <v>Egreso</v>
      </c>
      <c r="AC34" s="702" t="str">
        <f>IFERROR(INDEX(Tabla9[],MATCH(Producción_Agricola[[#This Row],[Movimiento]],Tabla9[Movimientos],0),2),0)</f>
        <v>Si</v>
      </c>
      <c r="AD34" s="703" t="str">
        <f>IFERROR(INDEX(Tabla9[],MATCH(Producción_Agricola[[#This Row],[Movimiento]],Tabla9[Movimientos],0),3),0)</f>
        <v>(-)</v>
      </c>
      <c r="AE34" s="698">
        <f>IF(Producción_Agricola[[#This Row],[Fecha Económico]]=0,0,MONTH(Producción_Agricola[[#This Row],[Fecha Económico]]))</f>
        <v>2</v>
      </c>
      <c r="AF34" s="699">
        <f>IF(Producción_Agricola[[#This Row],[Fecha Económico]]=0,0,YEAR(Producción_Agricola[[#This Row],[Fecha Económico]]))</f>
        <v>2019</v>
      </c>
      <c r="AG34" s="704">
        <f>SUMPRODUCT((Producción_Agricola[[#This Row],[Mes Económico]]=Tipo_Cambio[Mes])*(Producción_Agricola[[#This Row],[Año Económico]]=Tipo_Cambio[Año])*(Tipo_Cambio[$/U$S]))</f>
        <v>23.586977746354219</v>
      </c>
      <c r="AH34" s="703">
        <f>SUMPRODUCT((Producción_Agricola[[#This Row],[Mes Económico]]=Tipo_Cambio[Mes])*(Producción_Agricola[[#This Row],[Año Económico]]=Tipo_Cambio[Año])*(Tipo_Cambio[Actualización]))</f>
        <v>1.14868566764928</v>
      </c>
      <c r="AI34" s="705">
        <f>IF(ISNUMBER(Producción_Agricola[[#This Row],[Fecha Financiero]])=TRUE,MONTH(Producción_Agricola[[#This Row],[Fecha Financiero]]),0)</f>
        <v>5</v>
      </c>
      <c r="AJ34" s="705">
        <f>IF(ISNUMBER(Producción_Agricola[[#This Row],[Fecha Financiero]])=TRUE,YEAR(Producción_Agricola[[#This Row],[Fecha Financiero]]),0)</f>
        <v>2019</v>
      </c>
      <c r="AK34" s="706">
        <f>SUMPRODUCT((Producción_Agricola[[#This Row],[Mes Financiero]]=Tipo_Cambio[Mes])*(Producción_Agricola[[#This Row],[Año Financiero]]=Tipo_Cambio[Año])*(Tipo_Cambio[$/U$S]))</f>
        <v>24.301686759046497</v>
      </c>
      <c r="AL34" s="706">
        <f>SUMPRODUCT((Producción_Agricola[[#This Row],[Mes Financiero]]=Tipo_Cambio[Mes])*(Producción_Agricola[[#This Row],[Año Financiero]]=Tipo_Cambio[Año])*(Tipo_Cambio[Actualización]))</f>
        <v>1.2189944199947573</v>
      </c>
      <c r="AM34" s="702">
        <f>IFERROR(Producción_Agricola[[#This Row],[Económico $Corrientes]]/Producción_Agricola[[#This Row],[Superficie]],0)</f>
        <v>0</v>
      </c>
      <c r="AN34" s="706">
        <f>IFERROR(Producción_Agricola[[#This Row],[Económico $Constantes]]/Producción_Agricola[[#This Row],[Superficie]],0)</f>
        <v>0</v>
      </c>
      <c r="AO34" s="706">
        <f>IFERROR(Producción_Agricola[[#This Row],[Económico U$S Dólares]]/Producción_Agricola[[#This Row],[Superficie]],0)</f>
        <v>0</v>
      </c>
      <c r="AP34" s="707" t="str">
        <f>IF(Económico!$F$4=0,0,Producción_Agricola[[#This Row],[Centro de Costo]])</f>
        <v>Campo 1</v>
      </c>
      <c r="AQ34" s="512" t="s">
        <v>366</v>
      </c>
      <c r="AR34" s="513"/>
      <c r="AS34"/>
    </row>
    <row r="35" spans="1:45" s="19" customFormat="1" x14ac:dyDescent="0.25">
      <c r="A35" s="489"/>
      <c r="B35" s="489"/>
      <c r="C35" s="489"/>
      <c r="D35" s="478">
        <f t="shared" si="10"/>
        <v>43506</v>
      </c>
      <c r="E35" s="478">
        <v>43586</v>
      </c>
      <c r="F35" s="668" t="str">
        <f t="shared" si="0"/>
        <v>2018-2019</v>
      </c>
      <c r="G35" s="669" t="str">
        <f t="shared" si="1"/>
        <v>Campo 1</v>
      </c>
      <c r="H35" s="673" t="str">
        <f t="shared" si="2"/>
        <v>Maíz Temprano</v>
      </c>
      <c r="I35" s="674" t="str">
        <f>IFERROR(INDEX(Tabla8[],MATCH(Producción_Agricola[[#This Row],[Unidad de Negocio]],Tabla8[Unidades de Negocio],0),2),0)</f>
        <v>Maíz</v>
      </c>
      <c r="J35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35" s="491" t="s">
        <v>24</v>
      </c>
      <c r="L35" s="482" t="s">
        <v>363</v>
      </c>
      <c r="M35" s="483">
        <v>0</v>
      </c>
      <c r="N35" s="484" t="s">
        <v>387</v>
      </c>
      <c r="O35" s="690">
        <f>Producción_Agricola[[#This Row],[Superficie]]*Producción_Agricola[[#This Row],[Cantidad]]</f>
        <v>0</v>
      </c>
      <c r="P35" s="482">
        <v>18</v>
      </c>
      <c r="Q35" s="484" t="s">
        <v>3</v>
      </c>
      <c r="R35" s="485">
        <v>0.06</v>
      </c>
      <c r="S35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5" s="695">
        <f>IFERROR(Producción_Agricola[[#This Row],[Económico $Corrientes]]/Producción_Agricola[[#This Row],[Indexación Económico]],0)</f>
        <v>0</v>
      </c>
      <c r="U35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5" s="695">
        <f>IFERROR(Producción_Agricola[[#This Row],[Financiero $Corrientes]]/Producción_Agricola[[#This Row],[Indexación Financiero]],0)</f>
        <v>0</v>
      </c>
      <c r="X3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5" s="699">
        <f>IFERROR(Producción_Agricola[[#This Row],[Intereses $Corrientes]]/Producción_Agricola[[#This Row],[Indexación Financiero]],0)</f>
        <v>0</v>
      </c>
      <c r="AA3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5" s="701" t="str">
        <f>IFERROR(INDEX(Produccion_Agricola_Cuentas[],MATCH(Producción_Agricola[[#This Row],[Cuenta Contable]],Produccion_Agricola_Cuentas[Cuenta Contable],0),2),0)</f>
        <v>Egreso</v>
      </c>
      <c r="AC35" s="702" t="str">
        <f>IFERROR(INDEX(Tabla9[],MATCH(Producción_Agricola[[#This Row],[Movimiento]],Tabla9[Movimientos],0),2),0)</f>
        <v>Si</v>
      </c>
      <c r="AD35" s="703" t="str">
        <f>IFERROR(INDEX(Tabla9[],MATCH(Producción_Agricola[[#This Row],[Movimiento]],Tabla9[Movimientos],0),3),0)</f>
        <v>(-)</v>
      </c>
      <c r="AE35" s="698">
        <f>IF(Producción_Agricola[[#This Row],[Fecha Económico]]=0,0,MONTH(Producción_Agricola[[#This Row],[Fecha Económico]]))</f>
        <v>2</v>
      </c>
      <c r="AF35" s="699">
        <f>IF(Producción_Agricola[[#This Row],[Fecha Económico]]=0,0,YEAR(Producción_Agricola[[#This Row],[Fecha Económico]]))</f>
        <v>2019</v>
      </c>
      <c r="AG35" s="704">
        <f>SUMPRODUCT((Producción_Agricola[[#This Row],[Mes Económico]]=Tipo_Cambio[Mes])*(Producción_Agricola[[#This Row],[Año Económico]]=Tipo_Cambio[Año])*(Tipo_Cambio[$/U$S]))</f>
        <v>23.586977746354219</v>
      </c>
      <c r="AH35" s="703">
        <f>SUMPRODUCT((Producción_Agricola[[#This Row],[Mes Económico]]=Tipo_Cambio[Mes])*(Producción_Agricola[[#This Row],[Año Económico]]=Tipo_Cambio[Año])*(Tipo_Cambio[Actualización]))</f>
        <v>1.14868566764928</v>
      </c>
      <c r="AI35" s="699">
        <f>IF(ISNUMBER(Producción_Agricola[[#This Row],[Fecha Financiero]])=TRUE,MONTH(Producción_Agricola[[#This Row],[Fecha Financiero]]),0)</f>
        <v>5</v>
      </c>
      <c r="AJ35" s="699">
        <f>IF(ISNUMBER(Producción_Agricola[[#This Row],[Fecha Financiero]])=TRUE,YEAR(Producción_Agricola[[#This Row],[Fecha Financiero]]),0)</f>
        <v>2019</v>
      </c>
      <c r="AK35" s="704">
        <f>SUMPRODUCT((Producción_Agricola[[#This Row],[Mes Financiero]]=Tipo_Cambio[Mes])*(Producción_Agricola[[#This Row],[Año Financiero]]=Tipo_Cambio[Año])*(Tipo_Cambio[$/U$S]))</f>
        <v>24.301686759046497</v>
      </c>
      <c r="AL35" s="704">
        <f>SUMPRODUCT((Producción_Agricola[[#This Row],[Mes Financiero]]=Tipo_Cambio[Mes])*(Producción_Agricola[[#This Row],[Año Financiero]]=Tipo_Cambio[Año])*(Tipo_Cambio[Actualización]))</f>
        <v>1.2189944199947573</v>
      </c>
      <c r="AM35" s="702">
        <f>IFERROR(Producción_Agricola[[#This Row],[Económico $Corrientes]]/Producción_Agricola[[#This Row],[Superficie]],0)</f>
        <v>0</v>
      </c>
      <c r="AN35" s="704">
        <f>IFERROR(Producción_Agricola[[#This Row],[Económico $Constantes]]/Producción_Agricola[[#This Row],[Superficie]],0)</f>
        <v>0</v>
      </c>
      <c r="AO35" s="704">
        <f>IFERROR(Producción_Agricola[[#This Row],[Económico U$S Dólares]]/Producción_Agricola[[#This Row],[Superficie]],0)</f>
        <v>0</v>
      </c>
      <c r="AP35" s="707" t="str">
        <f>IF(Económico!$F$4=0,0,Producción_Agricola[[#This Row],[Centro de Costo]])</f>
        <v>Campo 1</v>
      </c>
      <c r="AQ35" s="512" t="s">
        <v>366</v>
      </c>
      <c r="AR35" s="514"/>
    </row>
    <row r="36" spans="1:45" s="19" customFormat="1" x14ac:dyDescent="0.25">
      <c r="A36" s="489"/>
      <c r="B36" s="489"/>
      <c r="C36" s="489"/>
      <c r="D36" s="478">
        <f>D5-150</f>
        <v>43436</v>
      </c>
      <c r="E36" s="478">
        <f>Producción_Agricola[[#This Row],[Fecha Económico]]</f>
        <v>43436</v>
      </c>
      <c r="F36" s="668" t="str">
        <f t="shared" si="0"/>
        <v>2018-2019</v>
      </c>
      <c r="G36" s="669" t="str">
        <f t="shared" si="1"/>
        <v>Campo 1</v>
      </c>
      <c r="H36" s="673" t="str">
        <f t="shared" si="2"/>
        <v>Maíz Temprano</v>
      </c>
      <c r="I36" s="675" t="str">
        <f>IFERROR(INDEX(Tabla8[],MATCH(Producción_Agricola[[#This Row],[Unidad de Negocio]],Tabla8[Unidades de Negocio],0),2),0)</f>
        <v>Maíz</v>
      </c>
      <c r="J3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36" s="491" t="s">
        <v>53</v>
      </c>
      <c r="L36" s="482" t="s">
        <v>53</v>
      </c>
      <c r="M36" s="483">
        <v>0</v>
      </c>
      <c r="N36" s="484" t="s">
        <v>389</v>
      </c>
      <c r="O36" s="690">
        <f>Producción_Agricola[[#This Row],[Superficie]]*Producción_Agricola[[#This Row],[Cantidad]]</f>
        <v>0</v>
      </c>
      <c r="P36" s="482">
        <v>60</v>
      </c>
      <c r="Q36" s="484" t="s">
        <v>3</v>
      </c>
      <c r="R36" s="485"/>
      <c r="S3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6" s="695">
        <f>IFERROR(Producción_Agricola[[#This Row],[Económico $Corrientes]]/Producción_Agricola[[#This Row],[Indexación Económico]],0)</f>
        <v>0</v>
      </c>
      <c r="U3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6" s="695">
        <f>IFERROR(Producción_Agricola[[#This Row],[Financiero $Corrientes]]/Producción_Agricola[[#This Row],[Indexación Financiero]],0)</f>
        <v>0</v>
      </c>
      <c r="X3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6" s="699">
        <f>IFERROR(Producción_Agricola[[#This Row],[Intereses $Corrientes]]/Producción_Agricola[[#This Row],[Indexación Financiero]],0)</f>
        <v>0</v>
      </c>
      <c r="AA3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6" s="701" t="str">
        <f>IFERROR(INDEX(Produccion_Agricola_Cuentas[],MATCH(Producción_Agricola[[#This Row],[Cuenta Contable]],Produccion_Agricola_Cuentas[Cuenta Contable],0),2),0)</f>
        <v>Egreso</v>
      </c>
      <c r="AC36" s="702" t="str">
        <f>IFERROR(INDEX(Tabla9[],MATCH(Producción_Agricola[[#This Row],[Movimiento]],Tabla9[Movimientos],0),2),0)</f>
        <v>Si</v>
      </c>
      <c r="AD36" s="703" t="str">
        <f>IFERROR(INDEX(Tabla9[],MATCH(Producción_Agricola[[#This Row],[Movimiento]],Tabla9[Movimientos],0),3),0)</f>
        <v>(-)</v>
      </c>
      <c r="AE36" s="698">
        <f>IF(Producción_Agricola[[#This Row],[Fecha Económico]]=0,0,MONTH(Producción_Agricola[[#This Row],[Fecha Económico]]))</f>
        <v>12</v>
      </c>
      <c r="AF36" s="699">
        <f>IF(Producción_Agricola[[#This Row],[Fecha Económico]]=0,0,YEAR(Producción_Agricola[[#This Row],[Fecha Económico]]))</f>
        <v>2018</v>
      </c>
      <c r="AG36" s="704">
        <f>SUMPRODUCT((Producción_Agricola[[#This Row],[Mes Económico]]=Tipo_Cambio[Mes])*(Producción_Agricola[[#This Row],[Año Económico]]=Tipo_Cambio[Año])*(Tipo_Cambio[$/U$S]))</f>
        <v>23.122221102199997</v>
      </c>
      <c r="AH36" s="703">
        <f>SUMPRODUCT((Producción_Agricola[[#This Row],[Mes Económico]]=Tipo_Cambio[Mes])*(Producción_Agricola[[#This Row],[Año Económico]]=Tipo_Cambio[Año])*(Tipo_Cambio[Actualización]))</f>
        <v>1.1040808032</v>
      </c>
      <c r="AI36" s="699">
        <f>IF(ISNUMBER(Producción_Agricola[[#This Row],[Fecha Financiero]])=TRUE,MONTH(Producción_Agricola[[#This Row],[Fecha Financiero]]),0)</f>
        <v>12</v>
      </c>
      <c r="AJ36" s="699">
        <f>IF(ISNUMBER(Producción_Agricola[[#This Row],[Fecha Financiero]])=TRUE,YEAR(Producción_Agricola[[#This Row],[Fecha Financiero]]),0)</f>
        <v>2018</v>
      </c>
      <c r="AK36" s="704">
        <f>SUMPRODUCT((Producción_Agricola[[#This Row],[Mes Financiero]]=Tipo_Cambio[Mes])*(Producción_Agricola[[#This Row],[Año Financiero]]=Tipo_Cambio[Año])*(Tipo_Cambio[$/U$S]))</f>
        <v>23.122221102199997</v>
      </c>
      <c r="AL36" s="704">
        <f>SUMPRODUCT((Producción_Agricola[[#This Row],[Mes Financiero]]=Tipo_Cambio[Mes])*(Producción_Agricola[[#This Row],[Año Financiero]]=Tipo_Cambio[Año])*(Tipo_Cambio[Actualización]))</f>
        <v>1.1040808032</v>
      </c>
      <c r="AM36" s="709">
        <f>IFERROR(Producción_Agricola[[#This Row],[Económico $Corrientes]]/Producción_Agricola[[#This Row],[Superficie]],0)</f>
        <v>0</v>
      </c>
      <c r="AN36" s="712">
        <f>IFERROR(Producción_Agricola[[#This Row],[Económico $Constantes]]/Producción_Agricola[[#This Row],[Superficie]],0)</f>
        <v>0</v>
      </c>
      <c r="AO36" s="712">
        <f>IFERROR(Producción_Agricola[[#This Row],[Económico U$S Dólares]]/Producción_Agricola[[#This Row],[Superficie]],0)</f>
        <v>0</v>
      </c>
      <c r="AP36" s="711" t="str">
        <f>IF(Económico!$F$4=0,0,Producción_Agricola[[#This Row],[Centro de Costo]])</f>
        <v>Campo 1</v>
      </c>
      <c r="AQ36" s="512" t="s">
        <v>53</v>
      </c>
      <c r="AR36" s="514"/>
    </row>
    <row r="37" spans="1:45" x14ac:dyDescent="0.25">
      <c r="D37" s="478">
        <f>D5-300</f>
        <v>43286</v>
      </c>
      <c r="E37" s="478">
        <f>Producción_Agricola[[#This Row],[Fecha Económico]]</f>
        <v>43286</v>
      </c>
      <c r="F37" s="668" t="str">
        <f t="shared" si="0"/>
        <v>2018-2019</v>
      </c>
      <c r="G37" s="669" t="str">
        <f t="shared" si="1"/>
        <v>Campo 1</v>
      </c>
      <c r="H37" s="673" t="str">
        <f t="shared" si="2"/>
        <v>Maíz Temprano</v>
      </c>
      <c r="I37" s="675" t="str">
        <f>IFERROR(INDEX(Tabla8[],MATCH(Producción_Agricola[[#This Row],[Unidad de Negocio]],Tabla8[Unidades de Negocio],0),2),0)</f>
        <v>Maíz</v>
      </c>
      <c r="J3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37" s="491" t="s">
        <v>56</v>
      </c>
      <c r="L37" s="482" t="s">
        <v>373</v>
      </c>
      <c r="M37" s="483">
        <v>0</v>
      </c>
      <c r="N37" s="484" t="s">
        <v>377</v>
      </c>
      <c r="O37" s="690">
        <f>Producción_Agricola[[#This Row],[Superficie]]*Producción_Agricola[[#This Row],[Cantidad]]</f>
        <v>0</v>
      </c>
      <c r="P37" s="482">
        <v>280</v>
      </c>
      <c r="Q37" s="484" t="s">
        <v>3</v>
      </c>
      <c r="R37" s="485"/>
      <c r="S3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7" s="695">
        <f>IFERROR(Producción_Agricola[[#This Row],[Económico $Corrientes]]/Producción_Agricola[[#This Row],[Indexación Económico]],0)</f>
        <v>0</v>
      </c>
      <c r="U3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7" s="695">
        <f>IFERROR(Producción_Agricola[[#This Row],[Financiero $Corrientes]]/Producción_Agricola[[#This Row],[Indexación Financiero]],0)</f>
        <v>0</v>
      </c>
      <c r="X3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7" s="699">
        <f>IFERROR(Producción_Agricola[[#This Row],[Intereses $Corrientes]]/Producción_Agricola[[#This Row],[Indexación Financiero]],0)</f>
        <v>0</v>
      </c>
      <c r="AA3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7" s="701" t="str">
        <f>IFERROR(INDEX(Produccion_Agricola_Cuentas[],MATCH(Producción_Agricola[[#This Row],[Cuenta Contable]],Produccion_Agricola_Cuentas[Cuenta Contable],0),2),0)</f>
        <v>Egreso</v>
      </c>
      <c r="AC37" s="702" t="str">
        <f>IFERROR(INDEX(Tabla9[],MATCH(Producción_Agricola[[#This Row],[Movimiento]],Tabla9[Movimientos],0),2),0)</f>
        <v>Si</v>
      </c>
      <c r="AD37" s="703" t="str">
        <f>IFERROR(INDEX(Tabla9[],MATCH(Producción_Agricola[[#This Row],[Movimiento]],Tabla9[Movimientos],0),3),0)</f>
        <v>(-)</v>
      </c>
      <c r="AE37" s="698">
        <f>IF(Producción_Agricola[[#This Row],[Fecha Económico]]=0,0,MONTH(Producción_Agricola[[#This Row],[Fecha Económico]]))</f>
        <v>7</v>
      </c>
      <c r="AF37" s="699">
        <f>IF(Producción_Agricola[[#This Row],[Fecha Económico]]=0,0,YEAR(Producción_Agricola[[#This Row],[Fecha Económico]]))</f>
        <v>2018</v>
      </c>
      <c r="AG37" s="704">
        <f>SUMPRODUCT((Producción_Agricola[[#This Row],[Mes Económico]]=Tipo_Cambio[Mes])*(Producción_Agricola[[#This Row],[Año Económico]]=Tipo_Cambio[Año])*(Tipo_Cambio[$/U$S]))</f>
        <v>22</v>
      </c>
      <c r="AH37" s="703">
        <f>SUMPRODUCT((Producción_Agricola[[#This Row],[Mes Económico]]=Tipo_Cambio[Mes])*(Producción_Agricola[[#This Row],[Año Económico]]=Tipo_Cambio[Año])*(Tipo_Cambio[Actualización]))</f>
        <v>1</v>
      </c>
      <c r="AI37" s="705">
        <f>IF(ISNUMBER(Producción_Agricola[[#This Row],[Fecha Financiero]])=TRUE,MONTH(Producción_Agricola[[#This Row],[Fecha Financiero]]),0)</f>
        <v>7</v>
      </c>
      <c r="AJ37" s="705">
        <f>IF(ISNUMBER(Producción_Agricola[[#This Row],[Fecha Financiero]])=TRUE,YEAR(Producción_Agricola[[#This Row],[Fecha Financiero]]),0)</f>
        <v>2018</v>
      </c>
      <c r="AK37" s="706">
        <f>SUMPRODUCT((Producción_Agricola[[#This Row],[Mes Financiero]]=Tipo_Cambio[Mes])*(Producción_Agricola[[#This Row],[Año Financiero]]=Tipo_Cambio[Año])*(Tipo_Cambio[$/U$S]))</f>
        <v>22</v>
      </c>
      <c r="AL37" s="706">
        <f>SUMPRODUCT((Producción_Agricola[[#This Row],[Mes Financiero]]=Tipo_Cambio[Mes])*(Producción_Agricola[[#This Row],[Año Financiero]]=Tipo_Cambio[Año])*(Tipo_Cambio[Actualización]))</f>
        <v>1</v>
      </c>
      <c r="AM37" s="709">
        <f>IFERROR(Producción_Agricola[[#This Row],[Económico $Corrientes]]/Producción_Agricola[[#This Row],[Superficie]],0)</f>
        <v>0</v>
      </c>
      <c r="AN37" s="710">
        <f>IFERROR(Producción_Agricola[[#This Row],[Económico $Constantes]]/Producción_Agricola[[#This Row],[Superficie]],0)</f>
        <v>0</v>
      </c>
      <c r="AO37" s="710">
        <f>IFERROR(Producción_Agricola[[#This Row],[Económico U$S Dólares]]/Producción_Agricola[[#This Row],[Superficie]],0)</f>
        <v>0</v>
      </c>
      <c r="AP37" s="711" t="str">
        <f>IF(Económico!$F$4=0,0,Producción_Agricola[[#This Row],[Centro de Costo]])</f>
        <v>Campo 1</v>
      </c>
      <c r="AQ37" s="512" t="s">
        <v>56</v>
      </c>
      <c r="AR37" s="513"/>
      <c r="AS37"/>
    </row>
    <row r="38" spans="1:45" x14ac:dyDescent="0.25">
      <c r="D38" s="478">
        <f>D37+90</f>
        <v>43376</v>
      </c>
      <c r="E38" s="478">
        <f>Producción_Agricola[[#This Row],[Fecha Económico]]</f>
        <v>43376</v>
      </c>
      <c r="F38" s="668" t="str">
        <f t="shared" si="0"/>
        <v>2018-2019</v>
      </c>
      <c r="G38" s="669" t="str">
        <f t="shared" si="1"/>
        <v>Campo 1</v>
      </c>
      <c r="H38" s="673" t="str">
        <f t="shared" si="2"/>
        <v>Maíz Temprano</v>
      </c>
      <c r="I38" s="675" t="str">
        <f>IFERROR(INDEX(Tabla8[],MATCH(Producción_Agricola[[#This Row],[Unidad de Negocio]],Tabla8[Unidades de Negocio],0),2),0)</f>
        <v>Maíz</v>
      </c>
      <c r="J3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38" s="491" t="s">
        <v>56</v>
      </c>
      <c r="L38" s="482" t="s">
        <v>374</v>
      </c>
      <c r="M38" s="483">
        <v>0</v>
      </c>
      <c r="N38" s="484" t="s">
        <v>377</v>
      </c>
      <c r="O38" s="690">
        <f>Producción_Agricola[[#This Row],[Superficie]]*Producción_Agricola[[#This Row],[Cantidad]]</f>
        <v>0</v>
      </c>
      <c r="P38" s="482">
        <v>280</v>
      </c>
      <c r="Q38" s="484" t="s">
        <v>3</v>
      </c>
      <c r="R38" s="485"/>
      <c r="S3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8" s="695">
        <f>IFERROR(Producción_Agricola[[#This Row],[Económico $Corrientes]]/Producción_Agricola[[#This Row],[Indexación Económico]],0)</f>
        <v>0</v>
      </c>
      <c r="U3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8" s="695">
        <f>IFERROR(Producción_Agricola[[#This Row],[Financiero $Corrientes]]/Producción_Agricola[[#This Row],[Indexación Financiero]],0)</f>
        <v>0</v>
      </c>
      <c r="X3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8" s="699">
        <f>IFERROR(Producción_Agricola[[#This Row],[Intereses $Corrientes]]/Producción_Agricola[[#This Row],[Indexación Financiero]],0)</f>
        <v>0</v>
      </c>
      <c r="AA3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8" s="701" t="str">
        <f>IFERROR(INDEX(Produccion_Agricola_Cuentas[],MATCH(Producción_Agricola[[#This Row],[Cuenta Contable]],Produccion_Agricola_Cuentas[Cuenta Contable],0),2),0)</f>
        <v>Egreso</v>
      </c>
      <c r="AC38" s="702" t="str">
        <f>IFERROR(INDEX(Tabla9[],MATCH(Producción_Agricola[[#This Row],[Movimiento]],Tabla9[Movimientos],0),2),0)</f>
        <v>Si</v>
      </c>
      <c r="AD38" s="703" t="str">
        <f>IFERROR(INDEX(Tabla9[],MATCH(Producción_Agricola[[#This Row],[Movimiento]],Tabla9[Movimientos],0),3),0)</f>
        <v>(-)</v>
      </c>
      <c r="AE38" s="698">
        <f>IF(Producción_Agricola[[#This Row],[Fecha Económico]]=0,0,MONTH(Producción_Agricola[[#This Row],[Fecha Económico]]))</f>
        <v>10</v>
      </c>
      <c r="AF38" s="699">
        <f>IF(Producción_Agricola[[#This Row],[Fecha Económico]]=0,0,YEAR(Producción_Agricola[[#This Row],[Fecha Económico]]))</f>
        <v>2018</v>
      </c>
      <c r="AG38" s="704">
        <f>SUMPRODUCT((Producción_Agricola[[#This Row],[Mes Económico]]=Tipo_Cambio[Mes])*(Producción_Agricola[[#This Row],[Año Económico]]=Tipo_Cambio[Año])*(Tipo_Cambio[$/U$S]))</f>
        <v>22.666622</v>
      </c>
      <c r="AH38" s="703">
        <f>SUMPRODUCT((Producción_Agricola[[#This Row],[Mes Económico]]=Tipo_Cambio[Mes])*(Producción_Agricola[[#This Row],[Año Económico]]=Tipo_Cambio[Año])*(Tipo_Cambio[Actualización]))</f>
        <v>1.0612079999999999</v>
      </c>
      <c r="AI38" s="699">
        <f>IF(ISNUMBER(Producción_Agricola[[#This Row],[Fecha Financiero]])=TRUE,MONTH(Producción_Agricola[[#This Row],[Fecha Financiero]]),0)</f>
        <v>10</v>
      </c>
      <c r="AJ38" s="699">
        <f>IF(ISNUMBER(Producción_Agricola[[#This Row],[Fecha Financiero]])=TRUE,YEAR(Producción_Agricola[[#This Row],[Fecha Financiero]]),0)</f>
        <v>2018</v>
      </c>
      <c r="AK38" s="704">
        <f>SUMPRODUCT((Producción_Agricola[[#This Row],[Mes Financiero]]=Tipo_Cambio[Mes])*(Producción_Agricola[[#This Row],[Año Financiero]]=Tipo_Cambio[Año])*(Tipo_Cambio[$/U$S]))</f>
        <v>22.666622</v>
      </c>
      <c r="AL38" s="704">
        <f>SUMPRODUCT((Producción_Agricola[[#This Row],[Mes Financiero]]=Tipo_Cambio[Mes])*(Producción_Agricola[[#This Row],[Año Financiero]]=Tipo_Cambio[Año])*(Tipo_Cambio[Actualización]))</f>
        <v>1.0612079999999999</v>
      </c>
      <c r="AM38" s="709">
        <f>IFERROR(Producción_Agricola[[#This Row],[Económico $Corrientes]]/Producción_Agricola[[#This Row],[Superficie]],0)</f>
        <v>0</v>
      </c>
      <c r="AN38" s="712">
        <f>IFERROR(Producción_Agricola[[#This Row],[Económico $Constantes]]/Producción_Agricola[[#This Row],[Superficie]],0)</f>
        <v>0</v>
      </c>
      <c r="AO38" s="712">
        <f>IFERROR(Producción_Agricola[[#This Row],[Económico U$S Dólares]]/Producción_Agricola[[#This Row],[Superficie]],0)</f>
        <v>0</v>
      </c>
      <c r="AP38" s="711" t="str">
        <f>IF(Económico!$F$4=0,0,Producción_Agricola[[#This Row],[Centro de Costo]])</f>
        <v>Campo 1</v>
      </c>
      <c r="AQ38" s="512" t="s">
        <v>56</v>
      </c>
      <c r="AR38" s="513"/>
      <c r="AS38"/>
    </row>
    <row r="39" spans="1:45" x14ac:dyDescent="0.25">
      <c r="D39" s="478">
        <f>D38+90</f>
        <v>43466</v>
      </c>
      <c r="E39" s="478">
        <f>Producción_Agricola[[#This Row],[Fecha Económico]]</f>
        <v>43466</v>
      </c>
      <c r="F39" s="668" t="str">
        <f t="shared" si="0"/>
        <v>2018-2019</v>
      </c>
      <c r="G39" s="669" t="str">
        <f t="shared" si="1"/>
        <v>Campo 1</v>
      </c>
      <c r="H39" s="673" t="str">
        <f t="shared" si="2"/>
        <v>Maíz Temprano</v>
      </c>
      <c r="I39" s="675" t="str">
        <f>IFERROR(INDEX(Tabla8[],MATCH(Producción_Agricola[[#This Row],[Unidad de Negocio]],Tabla8[Unidades de Negocio],0),2),0)</f>
        <v>Maíz</v>
      </c>
      <c r="J3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39" s="491" t="s">
        <v>56</v>
      </c>
      <c r="L39" s="482" t="s">
        <v>375</v>
      </c>
      <c r="M39" s="483">
        <v>0</v>
      </c>
      <c r="N39" s="484" t="s">
        <v>377</v>
      </c>
      <c r="O39" s="690">
        <f>Producción_Agricola[[#This Row],[Superficie]]*Producción_Agricola[[#This Row],[Cantidad]]</f>
        <v>0</v>
      </c>
      <c r="P39" s="482">
        <v>280</v>
      </c>
      <c r="Q39" s="484" t="s">
        <v>3</v>
      </c>
      <c r="R39" s="485"/>
      <c r="S3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9" s="695">
        <f>IFERROR(Producción_Agricola[[#This Row],[Económico $Corrientes]]/Producción_Agricola[[#This Row],[Indexación Económico]],0)</f>
        <v>0</v>
      </c>
      <c r="U3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9" s="695">
        <f>IFERROR(Producción_Agricola[[#This Row],[Financiero $Corrientes]]/Producción_Agricola[[#This Row],[Indexación Financiero]],0)</f>
        <v>0</v>
      </c>
      <c r="X3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9" s="699">
        <f>IFERROR(Producción_Agricola[[#This Row],[Intereses $Corrientes]]/Producción_Agricola[[#This Row],[Indexación Financiero]],0)</f>
        <v>0</v>
      </c>
      <c r="AA3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9" s="701" t="str">
        <f>IFERROR(INDEX(Produccion_Agricola_Cuentas[],MATCH(Producción_Agricola[[#This Row],[Cuenta Contable]],Produccion_Agricola_Cuentas[Cuenta Contable],0),2),0)</f>
        <v>Egreso</v>
      </c>
      <c r="AC39" s="702" t="str">
        <f>IFERROR(INDEX(Tabla9[],MATCH(Producción_Agricola[[#This Row],[Movimiento]],Tabla9[Movimientos],0),2),0)</f>
        <v>Si</v>
      </c>
      <c r="AD39" s="703" t="str">
        <f>IFERROR(INDEX(Tabla9[],MATCH(Producción_Agricola[[#This Row],[Movimiento]],Tabla9[Movimientos],0),3),0)</f>
        <v>(-)</v>
      </c>
      <c r="AE39" s="698">
        <f>IF(Producción_Agricola[[#This Row],[Fecha Económico]]=0,0,MONTH(Producción_Agricola[[#This Row],[Fecha Económico]]))</f>
        <v>1</v>
      </c>
      <c r="AF39" s="699">
        <f>IF(Producción_Agricola[[#This Row],[Fecha Económico]]=0,0,YEAR(Producción_Agricola[[#This Row],[Fecha Económico]]))</f>
        <v>2019</v>
      </c>
      <c r="AG39" s="704">
        <f>SUMPRODUCT((Producción_Agricola[[#This Row],[Mes Económico]]=Tipo_Cambio[Mes])*(Producción_Agricola[[#This Row],[Año Económico]]=Tipo_Cambio[Año])*(Tipo_Cambio[$/U$S]))</f>
        <v>23.353443313221998</v>
      </c>
      <c r="AH39" s="703">
        <f>SUMPRODUCT((Producción_Agricola[[#This Row],[Mes Económico]]=Tipo_Cambio[Mes])*(Producción_Agricola[[#This Row],[Año Económico]]=Tipo_Cambio[Año])*(Tipo_Cambio[Actualización]))</f>
        <v>1.1261624192640001</v>
      </c>
      <c r="AI39" s="699">
        <f>IF(ISNUMBER(Producción_Agricola[[#This Row],[Fecha Financiero]])=TRUE,MONTH(Producción_Agricola[[#This Row],[Fecha Financiero]]),0)</f>
        <v>1</v>
      </c>
      <c r="AJ39" s="699">
        <f>IF(ISNUMBER(Producción_Agricola[[#This Row],[Fecha Financiero]])=TRUE,YEAR(Producción_Agricola[[#This Row],[Fecha Financiero]]),0)</f>
        <v>2019</v>
      </c>
      <c r="AK39" s="704">
        <f>SUMPRODUCT((Producción_Agricola[[#This Row],[Mes Financiero]]=Tipo_Cambio[Mes])*(Producción_Agricola[[#This Row],[Año Financiero]]=Tipo_Cambio[Año])*(Tipo_Cambio[$/U$S]))</f>
        <v>23.353443313221998</v>
      </c>
      <c r="AL39" s="704">
        <f>SUMPRODUCT((Producción_Agricola[[#This Row],[Mes Financiero]]=Tipo_Cambio[Mes])*(Producción_Agricola[[#This Row],[Año Financiero]]=Tipo_Cambio[Año])*(Tipo_Cambio[Actualización]))</f>
        <v>1.1261624192640001</v>
      </c>
      <c r="AM39" s="709">
        <f>IFERROR(Producción_Agricola[[#This Row],[Económico $Corrientes]]/Producción_Agricola[[#This Row],[Superficie]],0)</f>
        <v>0</v>
      </c>
      <c r="AN39" s="712">
        <f>IFERROR(Producción_Agricola[[#This Row],[Económico $Constantes]]/Producción_Agricola[[#This Row],[Superficie]],0)</f>
        <v>0</v>
      </c>
      <c r="AO39" s="712">
        <f>IFERROR(Producción_Agricola[[#This Row],[Económico U$S Dólares]]/Producción_Agricola[[#This Row],[Superficie]],0)</f>
        <v>0</v>
      </c>
      <c r="AP39" s="711" t="str">
        <f>IF(Económico!$F$4=0,0,Producción_Agricola[[#This Row],[Centro de Costo]])</f>
        <v>Campo 1</v>
      </c>
      <c r="AQ39" s="512" t="s">
        <v>56</v>
      </c>
      <c r="AR39" s="513"/>
      <c r="AS39"/>
    </row>
    <row r="40" spans="1:45" x14ac:dyDescent="0.25">
      <c r="D40" s="478">
        <f>D39+90</f>
        <v>43556</v>
      </c>
      <c r="E40" s="478">
        <f>Producción_Agricola[[#This Row],[Fecha Económico]]</f>
        <v>43556</v>
      </c>
      <c r="F40" s="668" t="str">
        <f t="shared" si="0"/>
        <v>2018-2019</v>
      </c>
      <c r="G40" s="669" t="str">
        <f t="shared" si="1"/>
        <v>Campo 1</v>
      </c>
      <c r="H40" s="673" t="str">
        <f t="shared" si="2"/>
        <v>Maíz Temprano</v>
      </c>
      <c r="I40" s="675" t="str">
        <f>IFERROR(INDEX(Tabla8[],MATCH(Producción_Agricola[[#This Row],[Unidad de Negocio]],Tabla8[Unidades de Negocio],0),2),0)</f>
        <v>Maíz</v>
      </c>
      <c r="J4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40" s="491" t="s">
        <v>56</v>
      </c>
      <c r="L40" s="482" t="s">
        <v>376</v>
      </c>
      <c r="M40" s="483">
        <v>0</v>
      </c>
      <c r="N40" s="484" t="s">
        <v>377</v>
      </c>
      <c r="O40" s="690">
        <f>Producción_Agricola[[#This Row],[Superficie]]*Producción_Agricola[[#This Row],[Cantidad]]</f>
        <v>0</v>
      </c>
      <c r="P40" s="482">
        <v>280</v>
      </c>
      <c r="Q40" s="484" t="s">
        <v>3</v>
      </c>
      <c r="R40" s="485"/>
      <c r="S4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0" s="695">
        <f>IFERROR(Producción_Agricola[[#This Row],[Económico $Corrientes]]/Producción_Agricola[[#This Row],[Indexación Económico]],0)</f>
        <v>0</v>
      </c>
      <c r="U4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0" s="695">
        <f>IFERROR(Producción_Agricola[[#This Row],[Financiero $Corrientes]]/Producción_Agricola[[#This Row],[Indexación Financiero]],0)</f>
        <v>0</v>
      </c>
      <c r="X4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0" s="699">
        <f>IFERROR(Producción_Agricola[[#This Row],[Intereses $Corrientes]]/Producción_Agricola[[#This Row],[Indexación Financiero]],0)</f>
        <v>0</v>
      </c>
      <c r="AA4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0" s="701" t="str">
        <f>IFERROR(INDEX(Produccion_Agricola_Cuentas[],MATCH(Producción_Agricola[[#This Row],[Cuenta Contable]],Produccion_Agricola_Cuentas[Cuenta Contable],0),2),0)</f>
        <v>Egreso</v>
      </c>
      <c r="AC40" s="702" t="str">
        <f>IFERROR(INDEX(Tabla9[],MATCH(Producción_Agricola[[#This Row],[Movimiento]],Tabla9[Movimientos],0),2),0)</f>
        <v>Si</v>
      </c>
      <c r="AD40" s="703" t="str">
        <f>IFERROR(INDEX(Tabla9[],MATCH(Producción_Agricola[[#This Row],[Movimiento]],Tabla9[Movimientos],0),3),0)</f>
        <v>(-)</v>
      </c>
      <c r="AE40" s="698">
        <f>IF(Producción_Agricola[[#This Row],[Fecha Económico]]=0,0,MONTH(Producción_Agricola[[#This Row],[Fecha Económico]]))</f>
        <v>4</v>
      </c>
      <c r="AF40" s="699">
        <f>IF(Producción_Agricola[[#This Row],[Fecha Económico]]=0,0,YEAR(Producción_Agricola[[#This Row],[Fecha Económico]]))</f>
        <v>2019</v>
      </c>
      <c r="AG40" s="704">
        <f>SUMPRODUCT((Producción_Agricola[[#This Row],[Mes Económico]]=Tipo_Cambio[Mes])*(Producción_Agricola[[#This Row],[Año Económico]]=Tipo_Cambio[Año])*(Tipo_Cambio[$/U$S]))</f>
        <v>24.061075999055937</v>
      </c>
      <c r="AH40" s="703">
        <f>SUMPRODUCT((Producción_Agricola[[#This Row],[Mes Económico]]=Tipo_Cambio[Mes])*(Producción_Agricola[[#This Row],[Año Económico]]=Tipo_Cambio[Año])*(Tipo_Cambio[Actualización]))</f>
        <v>1.1950925686223111</v>
      </c>
      <c r="AI40" s="699">
        <f>IF(ISNUMBER(Producción_Agricola[[#This Row],[Fecha Financiero]])=TRUE,MONTH(Producción_Agricola[[#This Row],[Fecha Financiero]]),0)</f>
        <v>4</v>
      </c>
      <c r="AJ40" s="699">
        <f>IF(ISNUMBER(Producción_Agricola[[#This Row],[Fecha Financiero]])=TRUE,YEAR(Producción_Agricola[[#This Row],[Fecha Financiero]]),0)</f>
        <v>2019</v>
      </c>
      <c r="AK40" s="704">
        <f>SUMPRODUCT((Producción_Agricola[[#This Row],[Mes Financiero]]=Tipo_Cambio[Mes])*(Producción_Agricola[[#This Row],[Año Financiero]]=Tipo_Cambio[Año])*(Tipo_Cambio[$/U$S]))</f>
        <v>24.061075999055937</v>
      </c>
      <c r="AL40" s="704">
        <f>SUMPRODUCT((Producción_Agricola[[#This Row],[Mes Financiero]]=Tipo_Cambio[Mes])*(Producción_Agricola[[#This Row],[Año Financiero]]=Tipo_Cambio[Año])*(Tipo_Cambio[Actualización]))</f>
        <v>1.1950925686223111</v>
      </c>
      <c r="AM40" s="709">
        <f>IFERROR(Producción_Agricola[[#This Row],[Económico $Corrientes]]/Producción_Agricola[[#This Row],[Superficie]],0)</f>
        <v>0</v>
      </c>
      <c r="AN40" s="712">
        <f>IFERROR(Producción_Agricola[[#This Row],[Económico $Constantes]]/Producción_Agricola[[#This Row],[Superficie]],0)</f>
        <v>0</v>
      </c>
      <c r="AO40" s="712">
        <f>IFERROR(Producción_Agricola[[#This Row],[Económico U$S Dólares]]/Producción_Agricola[[#This Row],[Superficie]],0)</f>
        <v>0</v>
      </c>
      <c r="AP40" s="711" t="str">
        <f>IF(Económico!$F$4=0,0,Producción_Agricola[[#This Row],[Centro de Costo]])</f>
        <v>Campo 1</v>
      </c>
      <c r="AQ40" s="512" t="s">
        <v>56</v>
      </c>
      <c r="AR40" s="513"/>
      <c r="AS40"/>
    </row>
    <row r="41" spans="1:45" s="19" customFormat="1" x14ac:dyDescent="0.25">
      <c r="A41" s="489"/>
      <c r="B41" s="489"/>
      <c r="C41" s="489"/>
      <c r="D41" s="478">
        <f>D39+90</f>
        <v>43556</v>
      </c>
      <c r="E41" s="493"/>
      <c r="F41" s="668" t="str">
        <f t="shared" si="0"/>
        <v>2018-2019</v>
      </c>
      <c r="G41" s="673" t="str">
        <f t="shared" si="1"/>
        <v>Campo 1</v>
      </c>
      <c r="H41" s="673" t="str">
        <f t="shared" si="2"/>
        <v>Maíz Temprano</v>
      </c>
      <c r="I41" s="675" t="str">
        <f>IFERROR(INDEX(Tabla8[],MATCH(Producción_Agricola[[#This Row],[Unidad de Negocio]],Tabla8[Unidades de Negocio],0),2),0)</f>
        <v>Maíz</v>
      </c>
      <c r="J4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41" s="491" t="s">
        <v>56</v>
      </c>
      <c r="L41" s="482" t="s">
        <v>523</v>
      </c>
      <c r="M41" s="483">
        <v>0</v>
      </c>
      <c r="N41" s="484" t="s">
        <v>377</v>
      </c>
      <c r="O41" s="690">
        <f>Producción_Agricola[[#This Row],[Superficie]]*Producción_Agricola[[#This Row],[Cantidad]]</f>
        <v>0</v>
      </c>
      <c r="P41" s="482">
        <v>280</v>
      </c>
      <c r="Q41" s="484" t="s">
        <v>3</v>
      </c>
      <c r="R41" s="485"/>
      <c r="S4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1" s="695">
        <f>IFERROR(Producción_Agricola[[#This Row],[Económico $Corrientes]]/Producción_Agricola[[#This Row],[Indexación Económico]],0)</f>
        <v>0</v>
      </c>
      <c r="U4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1" s="695">
        <f>IFERROR(Producción_Agricola[[#This Row],[Financiero $Corrientes]]/Producción_Agricola[[#This Row],[Indexación Financiero]],0)</f>
        <v>0</v>
      </c>
      <c r="X4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1" s="699">
        <f>IFERROR(Producción_Agricola[[#This Row],[Intereses $Corrientes]]/Producción_Agricola[[#This Row],[Indexación Financiero]],0)</f>
        <v>0</v>
      </c>
      <c r="AA4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1" s="701" t="str">
        <f>IFERROR(INDEX(Produccion_Agricola_Cuentas[],MATCH(Producción_Agricola[[#This Row],[Cuenta Contable]],Produccion_Agricola_Cuentas[Cuenta Contable],0),2),0)</f>
        <v>Egreso</v>
      </c>
      <c r="AC41" s="702" t="str">
        <f>IFERROR(INDEX(Tabla9[],MATCH(Producción_Agricola[[#This Row],[Movimiento]],Tabla9[Movimientos],0),2),0)</f>
        <v>Si</v>
      </c>
      <c r="AD41" s="703" t="str">
        <f>IFERROR(INDEX(Tabla9[],MATCH(Producción_Agricola[[#This Row],[Movimiento]],Tabla9[Movimientos],0),3),0)</f>
        <v>(-)</v>
      </c>
      <c r="AE41" s="698">
        <f>IF(Producción_Agricola[[#This Row],[Fecha Económico]]=0,0,MONTH(Producción_Agricola[[#This Row],[Fecha Económico]]))</f>
        <v>4</v>
      </c>
      <c r="AF41" s="699">
        <f>IF(Producción_Agricola[[#This Row],[Fecha Económico]]=0,0,YEAR(Producción_Agricola[[#This Row],[Fecha Económico]]))</f>
        <v>2019</v>
      </c>
      <c r="AG41" s="704">
        <f>SUMPRODUCT((Producción_Agricola[[#This Row],[Mes Económico]]=Tipo_Cambio[Mes])*(Producción_Agricola[[#This Row],[Año Económico]]=Tipo_Cambio[Año])*(Tipo_Cambio[$/U$S]))</f>
        <v>24.061075999055937</v>
      </c>
      <c r="AH41" s="703">
        <f>SUMPRODUCT((Producción_Agricola[[#This Row],[Mes Económico]]=Tipo_Cambio[Mes])*(Producción_Agricola[[#This Row],[Año Económico]]=Tipo_Cambio[Año])*(Tipo_Cambio[Actualización]))</f>
        <v>1.1950925686223111</v>
      </c>
      <c r="AI41" s="699">
        <f>IF(ISNUMBER(Producción_Agricola[[#This Row],[Fecha Financiero]])=TRUE,MONTH(Producción_Agricola[[#This Row],[Fecha Financiero]]),0)</f>
        <v>0</v>
      </c>
      <c r="AJ41" s="699">
        <f>IF(ISNUMBER(Producción_Agricola[[#This Row],[Fecha Financiero]])=TRUE,YEAR(Producción_Agricola[[#This Row],[Fecha Financiero]]),0)</f>
        <v>0</v>
      </c>
      <c r="AK41" s="704">
        <f>SUMPRODUCT((Producción_Agricola[[#This Row],[Mes Financiero]]=Tipo_Cambio[Mes])*(Producción_Agricola[[#This Row],[Año Financiero]]=Tipo_Cambio[Año])*(Tipo_Cambio[$/U$S]))</f>
        <v>0</v>
      </c>
      <c r="AL41" s="704">
        <f>SUMPRODUCT((Producción_Agricola[[#This Row],[Mes Financiero]]=Tipo_Cambio[Mes])*(Producción_Agricola[[#This Row],[Año Financiero]]=Tipo_Cambio[Año])*(Tipo_Cambio[Actualización]))</f>
        <v>0</v>
      </c>
      <c r="AM41" s="709">
        <f>IFERROR(Producción_Agricola[[#This Row],[Económico $Corrientes]]/Producción_Agricola[[#This Row],[Superficie]],0)</f>
        <v>0</v>
      </c>
      <c r="AN41" s="712">
        <f>IFERROR(Producción_Agricola[[#This Row],[Económico $Constantes]]/Producción_Agricola[[#This Row],[Superficie]],0)</f>
        <v>0</v>
      </c>
      <c r="AO41" s="712">
        <f>IFERROR(Producción_Agricola[[#This Row],[Económico U$S Dólares]]/Producción_Agricola[[#This Row],[Superficie]],0)</f>
        <v>0</v>
      </c>
      <c r="AP41" s="711" t="str">
        <f>IF(Económico!$F$4=0,0,Producción_Agricola[[#This Row],[Centro de Costo]])</f>
        <v>Campo 1</v>
      </c>
      <c r="AQ41" s="512" t="s">
        <v>56</v>
      </c>
      <c r="AR41" s="515" t="s">
        <v>386</v>
      </c>
    </row>
    <row r="42" spans="1:45" x14ac:dyDescent="0.25">
      <c r="D42" s="478"/>
      <c r="E42" s="478"/>
      <c r="F42" s="668" t="str">
        <f t="shared" si="0"/>
        <v>2018-2019</v>
      </c>
      <c r="G42" s="669" t="str">
        <f t="shared" si="1"/>
        <v>Campo 1</v>
      </c>
      <c r="H42" s="673" t="str">
        <f t="shared" si="2"/>
        <v>Maíz Temprano</v>
      </c>
      <c r="I42" s="675" t="str">
        <f>IFERROR(INDEX(Tabla8[],MATCH(Producción_Agricola[[#This Row],[Unidad de Negocio]],Tabla8[Unidades de Negocio],0),2),0)</f>
        <v>Maíz</v>
      </c>
      <c r="J4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42" s="492"/>
      <c r="L42" s="482"/>
      <c r="M42" s="483"/>
      <c r="N42" s="484"/>
      <c r="O42" s="690">
        <f>Producción_Agricola[[#This Row],[Superficie]]*Producción_Agricola[[#This Row],[Cantidad]]</f>
        <v>0</v>
      </c>
      <c r="P42" s="482"/>
      <c r="Q42" s="484"/>
      <c r="R42" s="485"/>
      <c r="S4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2" s="695">
        <f>IFERROR(Producción_Agricola[[#This Row],[Económico $Corrientes]]/Producción_Agricola[[#This Row],[Indexación Económico]],0)</f>
        <v>0</v>
      </c>
      <c r="U4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2" s="695">
        <f>IFERROR(Producción_Agricola[[#This Row],[Financiero $Corrientes]]/Producción_Agricola[[#This Row],[Indexación Financiero]],0)</f>
        <v>0</v>
      </c>
      <c r="X4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2" s="699">
        <f>IFERROR(Producción_Agricola[[#This Row],[Intereses $Corrientes]]/Producción_Agricola[[#This Row],[Indexación Financiero]],0)</f>
        <v>0</v>
      </c>
      <c r="AA4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2" s="701">
        <f>IFERROR(INDEX(Produccion_Agricola_Cuentas[],MATCH(Producción_Agricola[[#This Row],[Cuenta Contable]],Produccion_Agricola_Cuentas[Cuenta Contable],0),2),0)</f>
        <v>0</v>
      </c>
      <c r="AC42" s="702">
        <f>IFERROR(INDEX(Tabla9[],MATCH(Producción_Agricola[[#This Row],[Movimiento]],Tabla9[Movimientos],0),2),0)</f>
        <v>0</v>
      </c>
      <c r="AD42" s="703">
        <f>IFERROR(INDEX(Tabla9[],MATCH(Producción_Agricola[[#This Row],[Movimiento]],Tabla9[Movimientos],0),3),0)</f>
        <v>0</v>
      </c>
      <c r="AE42" s="698">
        <f>IF(Producción_Agricola[[#This Row],[Fecha Económico]]=0,0,MONTH(Producción_Agricola[[#This Row],[Fecha Económico]]))</f>
        <v>0</v>
      </c>
      <c r="AF42" s="699">
        <f>IF(Producción_Agricola[[#This Row],[Fecha Económico]]=0,0,YEAR(Producción_Agricola[[#This Row],[Fecha Económico]]))</f>
        <v>0</v>
      </c>
      <c r="AG42" s="704">
        <f>SUMPRODUCT((Producción_Agricola[[#This Row],[Mes Económico]]=Tipo_Cambio[Mes])*(Producción_Agricola[[#This Row],[Año Económico]]=Tipo_Cambio[Año])*(Tipo_Cambio[$/U$S]))</f>
        <v>0</v>
      </c>
      <c r="AH42" s="703">
        <f>SUMPRODUCT((Producción_Agricola[[#This Row],[Mes Económico]]=Tipo_Cambio[Mes])*(Producción_Agricola[[#This Row],[Año Económico]]=Tipo_Cambio[Año])*(Tipo_Cambio[Actualización]))</f>
        <v>0</v>
      </c>
      <c r="AI42" s="699">
        <f>IF(ISNUMBER(Producción_Agricola[[#This Row],[Fecha Financiero]])=TRUE,MONTH(Producción_Agricola[[#This Row],[Fecha Financiero]]),0)</f>
        <v>0</v>
      </c>
      <c r="AJ42" s="699">
        <f>IF(ISNUMBER(Producción_Agricola[[#This Row],[Fecha Financiero]])=TRUE,YEAR(Producción_Agricola[[#This Row],[Fecha Financiero]]),0)</f>
        <v>0</v>
      </c>
      <c r="AK42" s="704">
        <f>SUMPRODUCT((Producción_Agricola[[#This Row],[Mes Financiero]]=Tipo_Cambio[Mes])*(Producción_Agricola[[#This Row],[Año Financiero]]=Tipo_Cambio[Año])*(Tipo_Cambio[$/U$S]))</f>
        <v>0</v>
      </c>
      <c r="AL42" s="704">
        <f>SUMPRODUCT((Producción_Agricola[[#This Row],[Mes Financiero]]=Tipo_Cambio[Mes])*(Producción_Agricola[[#This Row],[Año Financiero]]=Tipo_Cambio[Año])*(Tipo_Cambio[Actualización]))</f>
        <v>0</v>
      </c>
      <c r="AM42" s="709">
        <f>IFERROR(Producción_Agricola[[#This Row],[Económico $Corrientes]]/Producción_Agricola[[#This Row],[Superficie]],0)</f>
        <v>0</v>
      </c>
      <c r="AN42" s="712">
        <f>IFERROR(Producción_Agricola[[#This Row],[Económico $Constantes]]/Producción_Agricola[[#This Row],[Superficie]],0)</f>
        <v>0</v>
      </c>
      <c r="AO42" s="712">
        <f>IFERROR(Producción_Agricola[[#This Row],[Económico U$S Dólares]]/Producción_Agricola[[#This Row],[Superficie]],0)</f>
        <v>0</v>
      </c>
      <c r="AP42" s="711" t="str">
        <f>IF(Económico!$F$4=0,0,Producción_Agricola[[#This Row],[Centro de Costo]])</f>
        <v>Campo 1</v>
      </c>
      <c r="AQ42" s="512"/>
      <c r="AR42" s="515"/>
      <c r="AS42"/>
    </row>
    <row r="43" spans="1:45" x14ac:dyDescent="0.25">
      <c r="D43" s="478"/>
      <c r="E43" s="478"/>
      <c r="F43" s="668" t="str">
        <f t="shared" si="0"/>
        <v>2018-2019</v>
      </c>
      <c r="G43" s="669" t="str">
        <f t="shared" si="1"/>
        <v>Campo 1</v>
      </c>
      <c r="H43" s="673" t="str">
        <f t="shared" si="2"/>
        <v>Maíz Temprano</v>
      </c>
      <c r="I43" s="675" t="str">
        <f>IFERROR(INDEX(Tabla8[],MATCH(Producción_Agricola[[#This Row],[Unidad de Negocio]],Tabla8[Unidades de Negocio],0),2),0)</f>
        <v>Maíz</v>
      </c>
      <c r="J4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43" s="492"/>
      <c r="L43" s="482"/>
      <c r="M43" s="483"/>
      <c r="N43" s="484"/>
      <c r="O43" s="690">
        <f>Producción_Agricola[[#This Row],[Superficie]]*Producción_Agricola[[#This Row],[Cantidad]]</f>
        <v>0</v>
      </c>
      <c r="P43" s="482"/>
      <c r="Q43" s="484"/>
      <c r="R43" s="485"/>
      <c r="S4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3" s="695">
        <f>IFERROR(Producción_Agricola[[#This Row],[Económico $Corrientes]]/Producción_Agricola[[#This Row],[Indexación Económico]],0)</f>
        <v>0</v>
      </c>
      <c r="U4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3" s="695">
        <f>IFERROR(Producción_Agricola[[#This Row],[Financiero $Corrientes]]/Producción_Agricola[[#This Row],[Indexación Financiero]],0)</f>
        <v>0</v>
      </c>
      <c r="X4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3" s="699">
        <f>IFERROR(Producción_Agricola[[#This Row],[Intereses $Corrientes]]/Producción_Agricola[[#This Row],[Indexación Financiero]],0)</f>
        <v>0</v>
      </c>
      <c r="AA4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3" s="701">
        <f>IFERROR(INDEX(Produccion_Agricola_Cuentas[],MATCH(Producción_Agricola[[#This Row],[Cuenta Contable]],Produccion_Agricola_Cuentas[Cuenta Contable],0),2),0)</f>
        <v>0</v>
      </c>
      <c r="AC43" s="702">
        <f>IFERROR(INDEX(Tabla9[],MATCH(Producción_Agricola[[#This Row],[Movimiento]],Tabla9[Movimientos],0),2),0)</f>
        <v>0</v>
      </c>
      <c r="AD43" s="703">
        <f>IFERROR(INDEX(Tabla9[],MATCH(Producción_Agricola[[#This Row],[Movimiento]],Tabla9[Movimientos],0),3),0)</f>
        <v>0</v>
      </c>
      <c r="AE43" s="698">
        <f>IF(Producción_Agricola[[#This Row],[Fecha Económico]]=0,0,MONTH(Producción_Agricola[[#This Row],[Fecha Económico]]))</f>
        <v>0</v>
      </c>
      <c r="AF43" s="699">
        <f>IF(Producción_Agricola[[#This Row],[Fecha Económico]]=0,0,YEAR(Producción_Agricola[[#This Row],[Fecha Económico]]))</f>
        <v>0</v>
      </c>
      <c r="AG43" s="704">
        <f>SUMPRODUCT((Producción_Agricola[[#This Row],[Mes Económico]]=Tipo_Cambio[Mes])*(Producción_Agricola[[#This Row],[Año Económico]]=Tipo_Cambio[Año])*(Tipo_Cambio[$/U$S]))</f>
        <v>0</v>
      </c>
      <c r="AH43" s="703">
        <f>SUMPRODUCT((Producción_Agricola[[#This Row],[Mes Económico]]=Tipo_Cambio[Mes])*(Producción_Agricola[[#This Row],[Año Económico]]=Tipo_Cambio[Año])*(Tipo_Cambio[Actualización]))</f>
        <v>0</v>
      </c>
      <c r="AI43" s="699">
        <f>IF(ISNUMBER(Producción_Agricola[[#This Row],[Fecha Financiero]])=TRUE,MONTH(Producción_Agricola[[#This Row],[Fecha Financiero]]),0)</f>
        <v>0</v>
      </c>
      <c r="AJ43" s="699">
        <f>IF(ISNUMBER(Producción_Agricola[[#This Row],[Fecha Financiero]])=TRUE,YEAR(Producción_Agricola[[#This Row],[Fecha Financiero]]),0)</f>
        <v>0</v>
      </c>
      <c r="AK43" s="704">
        <f>SUMPRODUCT((Producción_Agricola[[#This Row],[Mes Financiero]]=Tipo_Cambio[Mes])*(Producción_Agricola[[#This Row],[Año Financiero]]=Tipo_Cambio[Año])*(Tipo_Cambio[$/U$S]))</f>
        <v>0</v>
      </c>
      <c r="AL43" s="704">
        <f>SUMPRODUCT((Producción_Agricola[[#This Row],[Mes Financiero]]=Tipo_Cambio[Mes])*(Producción_Agricola[[#This Row],[Año Financiero]]=Tipo_Cambio[Año])*(Tipo_Cambio[Actualización]))</f>
        <v>0</v>
      </c>
      <c r="AM43" s="709">
        <f>IFERROR(Producción_Agricola[[#This Row],[Económico $Corrientes]]/Producción_Agricola[[#This Row],[Superficie]],0)</f>
        <v>0</v>
      </c>
      <c r="AN43" s="712">
        <f>IFERROR(Producción_Agricola[[#This Row],[Económico $Constantes]]/Producción_Agricola[[#This Row],[Superficie]],0)</f>
        <v>0</v>
      </c>
      <c r="AO43" s="712">
        <f>IFERROR(Producción_Agricola[[#This Row],[Económico U$S Dólares]]/Producción_Agricola[[#This Row],[Superficie]],0)</f>
        <v>0</v>
      </c>
      <c r="AP43" s="711" t="str">
        <f>IF(Económico!$F$4=0,0,Producción_Agricola[[#This Row],[Centro de Costo]])</f>
        <v>Campo 1</v>
      </c>
      <c r="AQ43" s="512"/>
      <c r="AR43" s="515"/>
      <c r="AS43"/>
    </row>
    <row r="44" spans="1:45" ht="15.75" thickBot="1" x14ac:dyDescent="0.3">
      <c r="B44" s="494" t="s">
        <v>101</v>
      </c>
      <c r="D44" s="478"/>
      <c r="E44" s="478"/>
      <c r="F44" s="668" t="str">
        <f t="shared" si="0"/>
        <v>2018-2019</v>
      </c>
      <c r="G44" s="669" t="str">
        <f t="shared" si="1"/>
        <v>Campo 1</v>
      </c>
      <c r="H44" s="673" t="str">
        <f t="shared" si="2"/>
        <v>Maíz Temprano</v>
      </c>
      <c r="I44" s="675" t="str">
        <f>IFERROR(INDEX(Tabla8[],MATCH(Producción_Agricola[[#This Row],[Unidad de Negocio]],Tabla8[Unidades de Negocio],0),2),0)</f>
        <v>Maíz</v>
      </c>
      <c r="J4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100</v>
      </c>
      <c r="K44" s="492"/>
      <c r="L44" s="482"/>
      <c r="M44" s="483"/>
      <c r="N44" s="484"/>
      <c r="O44" s="690">
        <f>Producción_Agricola[[#This Row],[Superficie]]*Producción_Agricola[[#This Row],[Cantidad]]</f>
        <v>0</v>
      </c>
      <c r="P44" s="482"/>
      <c r="Q44" s="484"/>
      <c r="R44" s="485"/>
      <c r="S4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4" s="695">
        <f>IFERROR(Producción_Agricola[[#This Row],[Económico $Corrientes]]/Producción_Agricola[[#This Row],[Indexación Económico]],0)</f>
        <v>0</v>
      </c>
      <c r="U4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4" s="695">
        <f>IFERROR(Producción_Agricola[[#This Row],[Financiero $Corrientes]]/Producción_Agricola[[#This Row],[Indexación Financiero]],0)</f>
        <v>0</v>
      </c>
      <c r="X4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4" s="699">
        <f>IFERROR(Producción_Agricola[[#This Row],[Intereses $Corrientes]]/Producción_Agricola[[#This Row],[Indexación Financiero]],0)</f>
        <v>0</v>
      </c>
      <c r="AA4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4" s="701">
        <f>IFERROR(INDEX(Produccion_Agricola_Cuentas[],MATCH(Producción_Agricola[[#This Row],[Cuenta Contable]],Produccion_Agricola_Cuentas[Cuenta Contable],0),2),0)</f>
        <v>0</v>
      </c>
      <c r="AC44" s="702">
        <f>IFERROR(INDEX(Tabla9[],MATCH(Producción_Agricola[[#This Row],[Movimiento]],Tabla9[Movimientos],0),2),0)</f>
        <v>0</v>
      </c>
      <c r="AD44" s="703">
        <f>IFERROR(INDEX(Tabla9[],MATCH(Producción_Agricola[[#This Row],[Movimiento]],Tabla9[Movimientos],0),3),0)</f>
        <v>0</v>
      </c>
      <c r="AE44" s="698">
        <f>IF(Producción_Agricola[[#This Row],[Fecha Económico]]=0,0,MONTH(Producción_Agricola[[#This Row],[Fecha Económico]]))</f>
        <v>0</v>
      </c>
      <c r="AF44" s="699">
        <f>IF(Producción_Agricola[[#This Row],[Fecha Económico]]=0,0,YEAR(Producción_Agricola[[#This Row],[Fecha Económico]]))</f>
        <v>0</v>
      </c>
      <c r="AG44" s="704">
        <f>SUMPRODUCT((Producción_Agricola[[#This Row],[Mes Económico]]=Tipo_Cambio[Mes])*(Producción_Agricola[[#This Row],[Año Económico]]=Tipo_Cambio[Año])*(Tipo_Cambio[$/U$S]))</f>
        <v>0</v>
      </c>
      <c r="AH44" s="703">
        <f>SUMPRODUCT((Producción_Agricola[[#This Row],[Mes Económico]]=Tipo_Cambio[Mes])*(Producción_Agricola[[#This Row],[Año Económico]]=Tipo_Cambio[Año])*(Tipo_Cambio[Actualización]))</f>
        <v>0</v>
      </c>
      <c r="AI44" s="699">
        <f>IF(ISNUMBER(Producción_Agricola[[#This Row],[Fecha Financiero]])=TRUE,MONTH(Producción_Agricola[[#This Row],[Fecha Financiero]]),0)</f>
        <v>0</v>
      </c>
      <c r="AJ44" s="699">
        <f>IF(ISNUMBER(Producción_Agricola[[#This Row],[Fecha Financiero]])=TRUE,YEAR(Producción_Agricola[[#This Row],[Fecha Financiero]]),0)</f>
        <v>0</v>
      </c>
      <c r="AK44" s="704">
        <f>SUMPRODUCT((Producción_Agricola[[#This Row],[Mes Financiero]]=Tipo_Cambio[Mes])*(Producción_Agricola[[#This Row],[Año Financiero]]=Tipo_Cambio[Año])*(Tipo_Cambio[$/U$S]))</f>
        <v>0</v>
      </c>
      <c r="AL44" s="704">
        <f>SUMPRODUCT((Producción_Agricola[[#This Row],[Mes Financiero]]=Tipo_Cambio[Mes])*(Producción_Agricola[[#This Row],[Año Financiero]]=Tipo_Cambio[Año])*(Tipo_Cambio[Actualización]))</f>
        <v>0</v>
      </c>
      <c r="AM44" s="709">
        <f>IFERROR(Producción_Agricola[[#This Row],[Económico $Corrientes]]/Producción_Agricola[[#This Row],[Superficie]],0)</f>
        <v>0</v>
      </c>
      <c r="AN44" s="712">
        <f>IFERROR(Producción_Agricola[[#This Row],[Económico $Constantes]]/Producción_Agricola[[#This Row],[Superficie]],0)</f>
        <v>0</v>
      </c>
      <c r="AO44" s="712">
        <f>IFERROR(Producción_Agricola[[#This Row],[Económico U$S Dólares]]/Producción_Agricola[[#This Row],[Superficie]],0)</f>
        <v>0</v>
      </c>
      <c r="AP44" s="711" t="str">
        <f>IF(Económico!$F$4=0,0,Producción_Agricola[[#This Row],[Centro de Costo]])</f>
        <v>Campo 1</v>
      </c>
      <c r="AQ44" s="512"/>
      <c r="AR44" s="515"/>
      <c r="AS44"/>
    </row>
    <row r="45" spans="1:45" ht="15.75" thickTop="1" x14ac:dyDescent="0.25">
      <c r="B45" s="477" t="s">
        <v>453</v>
      </c>
      <c r="D45" s="495">
        <v>43586</v>
      </c>
      <c r="E45" s="495"/>
      <c r="F45" s="679" t="str">
        <f>$B$46</f>
        <v>2018-2019</v>
      </c>
      <c r="G45" s="680" t="str">
        <f>$B$47</f>
        <v>Campo 1</v>
      </c>
      <c r="H45" s="680" t="str">
        <f>$B$48</f>
        <v>Maíz Tardío</v>
      </c>
      <c r="I45" s="678" t="str">
        <f>IFERROR(INDEX(Tabla8[],MATCH(Producción_Agricola[[#This Row],[Unidad de Negocio]],Tabla8[Unidades de Negocio],0),2),0)</f>
        <v>Maíz</v>
      </c>
      <c r="J45" s="679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45" s="496" t="s">
        <v>77</v>
      </c>
      <c r="L45" s="497" t="s">
        <v>35</v>
      </c>
      <c r="M45" s="498">
        <v>0</v>
      </c>
      <c r="N45" s="499" t="s">
        <v>377</v>
      </c>
      <c r="O45" s="691">
        <f>Producción_Agricola[[#This Row],[Superficie]]*Producción_Agricola[[#This Row],[Cantidad]]</f>
        <v>0</v>
      </c>
      <c r="P45" s="497">
        <v>120</v>
      </c>
      <c r="Q45" s="499" t="s">
        <v>3</v>
      </c>
      <c r="R45" s="500"/>
      <c r="S45" s="714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5" s="714">
        <f>IFERROR(Producción_Agricola[[#This Row],[Económico $Corrientes]]/Producción_Agricola[[#This Row],[Indexación Económico]],0)</f>
        <v>0</v>
      </c>
      <c r="U45" s="714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5" s="715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5" s="714">
        <f>IFERROR(Producción_Agricola[[#This Row],[Financiero $Corrientes]]/Producción_Agricola[[#This Row],[Indexación Financiero]],0)</f>
        <v>0</v>
      </c>
      <c r="X45" s="716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5" s="717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5" s="718">
        <f>IFERROR(Producción_Agricola[[#This Row],[Intereses $Corrientes]]/Producción_Agricola[[#This Row],[Indexación Financiero]],0)</f>
        <v>0</v>
      </c>
      <c r="AA45" s="719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5" s="720" t="str">
        <f>IFERROR(INDEX(Produccion_Agricola_Cuentas[],MATCH(Producción_Agricola[[#This Row],[Cuenta Contable]],Produccion_Agricola_Cuentas[Cuenta Contable],0),2),0)</f>
        <v>Ingreso Cesión</v>
      </c>
      <c r="AC45" s="721" t="str">
        <f>IFERROR(INDEX(Tabla9[],MATCH(Producción_Agricola[[#This Row],[Movimiento]],Tabla9[Movimientos],0),2),0)</f>
        <v>No</v>
      </c>
      <c r="AD45" s="722" t="str">
        <f>IFERROR(INDEX(Tabla9[],MATCH(Producción_Agricola[[#This Row],[Movimiento]],Tabla9[Movimientos],0),3),0)</f>
        <v>(+)</v>
      </c>
      <c r="AE45" s="717">
        <f>IF(Producción_Agricola[[#This Row],[Fecha Económico]]=0,0,MONTH(Producción_Agricola[[#This Row],[Fecha Económico]]))</f>
        <v>5</v>
      </c>
      <c r="AF45" s="718">
        <f>IF(Producción_Agricola[[#This Row],[Fecha Económico]]=0,0,YEAR(Producción_Agricola[[#This Row],[Fecha Económico]]))</f>
        <v>2019</v>
      </c>
      <c r="AG45" s="723">
        <f>SUMPRODUCT((Producción_Agricola[[#This Row],[Mes Económico]]=Tipo_Cambio[Mes])*(Producción_Agricola[[#This Row],[Año Económico]]=Tipo_Cambio[Año])*(Tipo_Cambio[$/U$S]))</f>
        <v>24.301686759046497</v>
      </c>
      <c r="AH45" s="722">
        <f>SUMPRODUCT((Producción_Agricola[[#This Row],[Mes Económico]]=Tipo_Cambio[Mes])*(Producción_Agricola[[#This Row],[Año Económico]]=Tipo_Cambio[Año])*(Tipo_Cambio[Actualización]))</f>
        <v>1.2189944199947573</v>
      </c>
      <c r="AI45" s="718">
        <f>IF(ISNUMBER(Producción_Agricola[[#This Row],[Fecha Financiero]])=TRUE,MONTH(Producción_Agricola[[#This Row],[Fecha Financiero]]),0)</f>
        <v>0</v>
      </c>
      <c r="AJ45" s="718">
        <f>IF(ISNUMBER(Producción_Agricola[[#This Row],[Fecha Financiero]])=TRUE,YEAR(Producción_Agricola[[#This Row],[Fecha Financiero]]),0)</f>
        <v>0</v>
      </c>
      <c r="AK45" s="723">
        <f>SUMPRODUCT((Producción_Agricola[[#This Row],[Mes Financiero]]=Tipo_Cambio[Mes])*(Producción_Agricola[[#This Row],[Año Financiero]]=Tipo_Cambio[Año])*(Tipo_Cambio[$/U$S]))</f>
        <v>0</v>
      </c>
      <c r="AL45" s="723">
        <f>SUMPRODUCT((Producción_Agricola[[#This Row],[Mes Financiero]]=Tipo_Cambio[Mes])*(Producción_Agricola[[#This Row],[Año Financiero]]=Tipo_Cambio[Año])*(Tipo_Cambio[Actualización]))</f>
        <v>0</v>
      </c>
      <c r="AM45" s="721">
        <f>IFERROR(Producción_Agricola[[#This Row],[Económico $Corrientes]]/Producción_Agricola[[#This Row],[Superficie]],0)</f>
        <v>0</v>
      </c>
      <c r="AN45" s="723">
        <f>IFERROR(Producción_Agricola[[#This Row],[Económico $Constantes]]/Producción_Agricola[[#This Row],[Superficie]],0)</f>
        <v>0</v>
      </c>
      <c r="AO45" s="723">
        <f>IFERROR(Producción_Agricola[[#This Row],[Económico U$S Dólares]]/Producción_Agricola[[#This Row],[Superficie]],0)</f>
        <v>0</v>
      </c>
      <c r="AP45" s="724" t="str">
        <f>IF(Económico!$F$4=0,0,Producción_Agricola[[#This Row],[Centro de Costo]])</f>
        <v>Campo 1</v>
      </c>
      <c r="AQ45" s="516" t="s">
        <v>382</v>
      </c>
      <c r="AR45" s="517" t="s">
        <v>383</v>
      </c>
      <c r="AS45"/>
    </row>
    <row r="46" spans="1:45" x14ac:dyDescent="0.25">
      <c r="B46" s="486" t="s">
        <v>11</v>
      </c>
      <c r="D46" s="478">
        <f>D45</f>
        <v>43586</v>
      </c>
      <c r="E46" s="478">
        <v>43617</v>
      </c>
      <c r="F46" s="668" t="str">
        <f t="shared" ref="F46:F81" si="11">$B$46</f>
        <v>2018-2019</v>
      </c>
      <c r="G46" s="669" t="str">
        <f t="shared" ref="G46:G81" si="12">$B$47</f>
        <v>Campo 1</v>
      </c>
      <c r="H46" s="669" t="str">
        <f t="shared" ref="H46:H81" si="13">$B$48</f>
        <v>Maíz Tardío</v>
      </c>
      <c r="I46" s="670" t="str">
        <f>IFERROR(INDEX(Tabla8[],MATCH(Producción_Agricola[[#This Row],[Unidad de Negocio]],Tabla8[Unidades de Negocio],0),2),0)</f>
        <v>Maíz</v>
      </c>
      <c r="J46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46" s="481" t="s">
        <v>43</v>
      </c>
      <c r="L46" s="482" t="s">
        <v>43</v>
      </c>
      <c r="M46" s="483">
        <v>0</v>
      </c>
      <c r="N46" s="484" t="s">
        <v>389</v>
      </c>
      <c r="O46" s="690">
        <f>Producción_Agricola[[#This Row],[Superficie]]*Producción_Agricola[[#This Row],[Cantidad]]</f>
        <v>0</v>
      </c>
      <c r="P46" s="482">
        <v>90</v>
      </c>
      <c r="Q46" s="484" t="s">
        <v>3</v>
      </c>
      <c r="R46" s="485">
        <v>0</v>
      </c>
      <c r="S46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6" s="695">
        <f>IFERROR(Producción_Agricola[[#This Row],[Económico $Corrientes]]/Producción_Agricola[[#This Row],[Indexación Económico]],0)</f>
        <v>0</v>
      </c>
      <c r="U4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6" s="695">
        <f>IFERROR(Producción_Agricola[[#This Row],[Financiero $Corrientes]]/Producción_Agricola[[#This Row],[Indexación Financiero]],0)</f>
        <v>0</v>
      </c>
      <c r="X4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6" s="699">
        <f>IFERROR(Producción_Agricola[[#This Row],[Intereses $Corrientes]]/Producción_Agricola[[#This Row],[Indexación Financiero]],0)</f>
        <v>0</v>
      </c>
      <c r="AA4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6" s="701" t="str">
        <f>IFERROR(INDEX(Produccion_Agricola_Cuentas[],MATCH(Producción_Agricola[[#This Row],[Cuenta Contable]],Produccion_Agricola_Cuentas[Cuenta Contable],0),2),0)</f>
        <v>Egreso</v>
      </c>
      <c r="AC46" s="702" t="str">
        <f>IFERROR(INDEX(Tabla9[],MATCH(Producción_Agricola[[#This Row],[Movimiento]],Tabla9[Movimientos],0),2),0)</f>
        <v>Si</v>
      </c>
      <c r="AD46" s="703" t="str">
        <f>IFERROR(INDEX(Tabla9[],MATCH(Producción_Agricola[[#This Row],[Movimiento]],Tabla9[Movimientos],0),3),0)</f>
        <v>(-)</v>
      </c>
      <c r="AE46" s="698">
        <f>IF(Producción_Agricola[[#This Row],[Fecha Económico]]=0,0,MONTH(Producción_Agricola[[#This Row],[Fecha Económico]]))</f>
        <v>5</v>
      </c>
      <c r="AF46" s="699">
        <f>IF(Producción_Agricola[[#This Row],[Fecha Económico]]=0,0,YEAR(Producción_Agricola[[#This Row],[Fecha Económico]]))</f>
        <v>2019</v>
      </c>
      <c r="AG46" s="704">
        <f>SUMPRODUCT((Producción_Agricola[[#This Row],[Mes Económico]]=Tipo_Cambio[Mes])*(Producción_Agricola[[#This Row],[Año Económico]]=Tipo_Cambio[Año])*(Tipo_Cambio[$/U$S]))</f>
        <v>24.301686759046497</v>
      </c>
      <c r="AH46" s="703">
        <f>SUMPRODUCT((Producción_Agricola[[#This Row],[Mes Económico]]=Tipo_Cambio[Mes])*(Producción_Agricola[[#This Row],[Año Económico]]=Tipo_Cambio[Año])*(Tipo_Cambio[Actualización]))</f>
        <v>1.2189944199947573</v>
      </c>
      <c r="AI46" s="705">
        <f>IF(ISNUMBER(Producción_Agricola[[#This Row],[Fecha Financiero]])=TRUE,MONTH(Producción_Agricola[[#This Row],[Fecha Financiero]]),0)</f>
        <v>6</v>
      </c>
      <c r="AJ46" s="705">
        <f>IF(ISNUMBER(Producción_Agricola[[#This Row],[Fecha Financiero]])=TRUE,YEAR(Producción_Agricola[[#This Row],[Fecha Financiero]]),0)</f>
        <v>2019</v>
      </c>
      <c r="AK46" s="706">
        <f>SUMPRODUCT((Producción_Agricola[[#This Row],[Mes Financiero]]=Tipo_Cambio[Mes])*(Producción_Agricola[[#This Row],[Año Financiero]]=Tipo_Cambio[Año])*(Tipo_Cambio[$/U$S]))</f>
        <v>24.544703626636963</v>
      </c>
      <c r="AL46" s="706">
        <f>SUMPRODUCT((Producción_Agricola[[#This Row],[Mes Financiero]]=Tipo_Cambio[Mes])*(Producción_Agricola[[#This Row],[Año Financiero]]=Tipo_Cambio[Año])*(Tipo_Cambio[Actualización]))</f>
        <v>1.2433743083946525</v>
      </c>
      <c r="AM46" s="702">
        <f>IFERROR(Producción_Agricola[[#This Row],[Económico $Corrientes]]/Producción_Agricola[[#This Row],[Superficie]],0)</f>
        <v>0</v>
      </c>
      <c r="AN46" s="706">
        <f>IFERROR(Producción_Agricola[[#This Row],[Económico $Constantes]]/Producción_Agricola[[#This Row],[Superficie]],0)</f>
        <v>0</v>
      </c>
      <c r="AO46" s="706">
        <f>IFERROR(Producción_Agricola[[#This Row],[Económico U$S Dólares]]/Producción_Agricola[[#This Row],[Superficie]],0)</f>
        <v>0</v>
      </c>
      <c r="AP46" s="707" t="str">
        <f>IF(Económico!$F$4=0,0,Producción_Agricola[[#This Row],[Centro de Costo]])</f>
        <v>Campo 1</v>
      </c>
      <c r="AQ46" s="512" t="s">
        <v>43</v>
      </c>
      <c r="AR46" s="513"/>
      <c r="AS46"/>
    </row>
    <row r="47" spans="1:45" x14ac:dyDescent="0.25">
      <c r="B47" s="486" t="s">
        <v>2</v>
      </c>
      <c r="D47" s="478">
        <f>D45-320</f>
        <v>43266</v>
      </c>
      <c r="E47" s="478">
        <f>Producción_Agricola[[#This Row],[Fecha Económico]]+30</f>
        <v>43296</v>
      </c>
      <c r="F47" s="668" t="str">
        <f t="shared" si="11"/>
        <v>2018-2019</v>
      </c>
      <c r="G47" s="669" t="str">
        <f t="shared" si="12"/>
        <v>Campo 1</v>
      </c>
      <c r="H47" s="669" t="str">
        <f t="shared" si="13"/>
        <v>Maíz Tardío</v>
      </c>
      <c r="I47" s="670" t="str">
        <f>IFERROR(INDEX(Tabla8[],MATCH(Producción_Agricola[[#This Row],[Unidad de Negocio]],Tabla8[Unidades de Negocio],0),2),0)</f>
        <v>Maíz</v>
      </c>
      <c r="J47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47" s="481" t="s">
        <v>25</v>
      </c>
      <c r="L47" s="482" t="s">
        <v>219</v>
      </c>
      <c r="M47" s="483">
        <v>0</v>
      </c>
      <c r="N47" s="484" t="s">
        <v>389</v>
      </c>
      <c r="O47" s="690">
        <f>Producción_Agricola[[#This Row],[Superficie]]*Producción_Agricola[[#This Row],[Cantidad]]</f>
        <v>0</v>
      </c>
      <c r="P47" s="482">
        <v>120</v>
      </c>
      <c r="Q47" s="484" t="s">
        <v>48</v>
      </c>
      <c r="R47" s="485">
        <v>0</v>
      </c>
      <c r="S47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7" s="695">
        <f>IFERROR(Producción_Agricola[[#This Row],[Económico $Corrientes]]/Producción_Agricola[[#This Row],[Indexación Económico]],0)</f>
        <v>0</v>
      </c>
      <c r="U4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7" s="695">
        <f>IFERROR(Producción_Agricola[[#This Row],[Financiero $Corrientes]]/Producción_Agricola[[#This Row],[Indexación Financiero]],0)</f>
        <v>0</v>
      </c>
      <c r="X4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7" s="699">
        <f>IFERROR(Producción_Agricola[[#This Row],[Intereses $Corrientes]]/Producción_Agricola[[#This Row],[Indexación Financiero]],0)</f>
        <v>0</v>
      </c>
      <c r="AA4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7" s="701" t="str">
        <f>IFERROR(INDEX(Produccion_Agricola_Cuentas[],MATCH(Producción_Agricola[[#This Row],[Cuenta Contable]],Produccion_Agricola_Cuentas[Cuenta Contable],0),2),0)</f>
        <v>Egreso</v>
      </c>
      <c r="AC47" s="702" t="str">
        <f>IFERROR(INDEX(Tabla9[],MATCH(Producción_Agricola[[#This Row],[Movimiento]],Tabla9[Movimientos],0),2),0)</f>
        <v>Si</v>
      </c>
      <c r="AD47" s="703" t="str">
        <f>IFERROR(INDEX(Tabla9[],MATCH(Producción_Agricola[[#This Row],[Movimiento]],Tabla9[Movimientos],0),3),0)</f>
        <v>(-)</v>
      </c>
      <c r="AE47" s="698">
        <f>IF(Producción_Agricola[[#This Row],[Fecha Económico]]=0,0,MONTH(Producción_Agricola[[#This Row],[Fecha Económico]]))</f>
        <v>6</v>
      </c>
      <c r="AF47" s="699">
        <f>IF(Producción_Agricola[[#This Row],[Fecha Económico]]=0,0,YEAR(Producción_Agricola[[#This Row],[Fecha Económico]]))</f>
        <v>2018</v>
      </c>
      <c r="AG47" s="704">
        <f>SUMPRODUCT((Producción_Agricola[[#This Row],[Mes Económico]]=Tipo_Cambio[Mes])*(Producción_Agricola[[#This Row],[Año Económico]]=Tipo_Cambio[Año])*(Tipo_Cambio[$/U$S]))</f>
        <v>0</v>
      </c>
      <c r="AH47" s="703">
        <f>SUMPRODUCT((Producción_Agricola[[#This Row],[Mes Económico]]=Tipo_Cambio[Mes])*(Producción_Agricola[[#This Row],[Año Económico]]=Tipo_Cambio[Año])*(Tipo_Cambio[Actualización]))</f>
        <v>0</v>
      </c>
      <c r="AI47" s="705">
        <f>IF(ISNUMBER(Producción_Agricola[[#This Row],[Fecha Financiero]])=TRUE,MONTH(Producción_Agricola[[#This Row],[Fecha Financiero]]),0)</f>
        <v>7</v>
      </c>
      <c r="AJ47" s="705">
        <f>IF(ISNUMBER(Producción_Agricola[[#This Row],[Fecha Financiero]])=TRUE,YEAR(Producción_Agricola[[#This Row],[Fecha Financiero]]),0)</f>
        <v>2018</v>
      </c>
      <c r="AK47" s="706">
        <f>SUMPRODUCT((Producción_Agricola[[#This Row],[Mes Financiero]]=Tipo_Cambio[Mes])*(Producción_Agricola[[#This Row],[Año Financiero]]=Tipo_Cambio[Año])*(Tipo_Cambio[$/U$S]))</f>
        <v>22</v>
      </c>
      <c r="AL47" s="706">
        <f>SUMPRODUCT((Producción_Agricola[[#This Row],[Mes Financiero]]=Tipo_Cambio[Mes])*(Producción_Agricola[[#This Row],[Año Financiero]]=Tipo_Cambio[Año])*(Tipo_Cambio[Actualización]))</f>
        <v>1</v>
      </c>
      <c r="AM47" s="702">
        <f>IFERROR(Producción_Agricola[[#This Row],[Económico $Corrientes]]/Producción_Agricola[[#This Row],[Superficie]],0)</f>
        <v>0</v>
      </c>
      <c r="AN47" s="706">
        <f>IFERROR(Producción_Agricola[[#This Row],[Económico $Constantes]]/Producción_Agricola[[#This Row],[Superficie]],0)</f>
        <v>0</v>
      </c>
      <c r="AO47" s="706">
        <f>IFERROR(Producción_Agricola[[#This Row],[Económico U$S Dólares]]/Producción_Agricola[[#This Row],[Superficie]],0)</f>
        <v>0</v>
      </c>
      <c r="AP47" s="707" t="str">
        <f>IF(Económico!$F$4=0,0,Producción_Agricola[[#This Row],[Centro de Costo]])</f>
        <v>Campo 1</v>
      </c>
      <c r="AQ47" s="512" t="s">
        <v>378</v>
      </c>
      <c r="AR47" s="513"/>
      <c r="AS47"/>
    </row>
    <row r="48" spans="1:45" x14ac:dyDescent="0.25">
      <c r="B48" s="486" t="s">
        <v>242</v>
      </c>
      <c r="D48" s="478">
        <f>D47</f>
        <v>43266</v>
      </c>
      <c r="E48" s="478">
        <v>43586</v>
      </c>
      <c r="F48" s="668" t="str">
        <f t="shared" si="11"/>
        <v>2018-2019</v>
      </c>
      <c r="G48" s="669" t="str">
        <f t="shared" si="12"/>
        <v>Campo 1</v>
      </c>
      <c r="H48" s="669" t="str">
        <f t="shared" si="13"/>
        <v>Maíz Tardío</v>
      </c>
      <c r="I48" s="670" t="str">
        <f>IFERROR(INDEX(Tabla8[],MATCH(Producción_Agricola[[#This Row],[Unidad de Negocio]],Tabla8[Unidades de Negocio],0),2),0)</f>
        <v>Maíz</v>
      </c>
      <c r="J48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48" s="481" t="s">
        <v>17</v>
      </c>
      <c r="L48" s="482" t="s">
        <v>50</v>
      </c>
      <c r="M48" s="483">
        <v>0</v>
      </c>
      <c r="N48" s="484" t="s">
        <v>387</v>
      </c>
      <c r="O48" s="690">
        <f>Producción_Agricola[[#This Row],[Superficie]]*Producción_Agricola[[#This Row],[Cantidad]]</f>
        <v>0</v>
      </c>
      <c r="P48" s="482">
        <v>3</v>
      </c>
      <c r="Q48" s="484" t="s">
        <v>3</v>
      </c>
      <c r="R48" s="485">
        <v>0.06</v>
      </c>
      <c r="S48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8" s="695">
        <f>IFERROR(Producción_Agricola[[#This Row],[Económico $Corrientes]]/Producción_Agricola[[#This Row],[Indexación Económico]],0)</f>
        <v>0</v>
      </c>
      <c r="U4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8" s="695">
        <f>IFERROR(Producción_Agricola[[#This Row],[Financiero $Corrientes]]/Producción_Agricola[[#This Row],[Indexación Financiero]],0)</f>
        <v>0</v>
      </c>
      <c r="X4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8" s="699">
        <f>IFERROR(Producción_Agricola[[#This Row],[Intereses $Corrientes]]/Producción_Agricola[[#This Row],[Indexación Financiero]],0)</f>
        <v>0</v>
      </c>
      <c r="AA4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8" s="701" t="str">
        <f>IFERROR(INDEX(Produccion_Agricola_Cuentas[],MATCH(Producción_Agricola[[#This Row],[Cuenta Contable]],Produccion_Agricola_Cuentas[Cuenta Contable],0),2),0)</f>
        <v>Egreso</v>
      </c>
      <c r="AC48" s="702" t="str">
        <f>IFERROR(INDEX(Tabla9[],MATCH(Producción_Agricola[[#This Row],[Movimiento]],Tabla9[Movimientos],0),2),0)</f>
        <v>Si</v>
      </c>
      <c r="AD48" s="703" t="str">
        <f>IFERROR(INDEX(Tabla9[],MATCH(Producción_Agricola[[#This Row],[Movimiento]],Tabla9[Movimientos],0),3),0)</f>
        <v>(-)</v>
      </c>
      <c r="AE48" s="698">
        <f>IF(Producción_Agricola[[#This Row],[Fecha Económico]]=0,0,MONTH(Producción_Agricola[[#This Row],[Fecha Económico]]))</f>
        <v>6</v>
      </c>
      <c r="AF48" s="699">
        <f>IF(Producción_Agricola[[#This Row],[Fecha Económico]]=0,0,YEAR(Producción_Agricola[[#This Row],[Fecha Económico]]))</f>
        <v>2018</v>
      </c>
      <c r="AG48" s="704">
        <f>SUMPRODUCT((Producción_Agricola[[#This Row],[Mes Económico]]=Tipo_Cambio[Mes])*(Producción_Agricola[[#This Row],[Año Económico]]=Tipo_Cambio[Año])*(Tipo_Cambio[$/U$S]))</f>
        <v>0</v>
      </c>
      <c r="AH48" s="703">
        <f>SUMPRODUCT((Producción_Agricola[[#This Row],[Mes Económico]]=Tipo_Cambio[Mes])*(Producción_Agricola[[#This Row],[Año Económico]]=Tipo_Cambio[Año])*(Tipo_Cambio[Actualización]))</f>
        <v>0</v>
      </c>
      <c r="AI48" s="705">
        <f>IF(ISNUMBER(Producción_Agricola[[#This Row],[Fecha Financiero]])=TRUE,MONTH(Producción_Agricola[[#This Row],[Fecha Financiero]]),0)</f>
        <v>5</v>
      </c>
      <c r="AJ48" s="705">
        <f>IF(ISNUMBER(Producción_Agricola[[#This Row],[Fecha Financiero]])=TRUE,YEAR(Producción_Agricola[[#This Row],[Fecha Financiero]]),0)</f>
        <v>2019</v>
      </c>
      <c r="AK48" s="706">
        <f>SUMPRODUCT((Producción_Agricola[[#This Row],[Mes Financiero]]=Tipo_Cambio[Mes])*(Producción_Agricola[[#This Row],[Año Financiero]]=Tipo_Cambio[Año])*(Tipo_Cambio[$/U$S]))</f>
        <v>24.301686759046497</v>
      </c>
      <c r="AL48" s="706">
        <f>SUMPRODUCT((Producción_Agricola[[#This Row],[Mes Financiero]]=Tipo_Cambio[Mes])*(Producción_Agricola[[#This Row],[Año Financiero]]=Tipo_Cambio[Año])*(Tipo_Cambio[Actualización]))</f>
        <v>1.2189944199947573</v>
      </c>
      <c r="AM48" s="702">
        <f>IFERROR(Producción_Agricola[[#This Row],[Económico $Corrientes]]/Producción_Agricola[[#This Row],[Superficie]],0)</f>
        <v>0</v>
      </c>
      <c r="AN48" s="706">
        <f>IFERROR(Producción_Agricola[[#This Row],[Económico $Constantes]]/Producción_Agricola[[#This Row],[Superficie]],0)</f>
        <v>0</v>
      </c>
      <c r="AO48" s="706">
        <f>IFERROR(Producción_Agricola[[#This Row],[Económico U$S Dólares]]/Producción_Agricola[[#This Row],[Superficie]],0)</f>
        <v>0</v>
      </c>
      <c r="AP48" s="707" t="str">
        <f>IF(Económico!$F$4=0,0,Producción_Agricola[[#This Row],[Centro de Costo]])</f>
        <v>Campo 1</v>
      </c>
      <c r="AQ48" s="512" t="s">
        <v>378</v>
      </c>
      <c r="AR48" s="513"/>
      <c r="AS48"/>
    </row>
    <row r="49" spans="2:45" x14ac:dyDescent="0.25">
      <c r="B49" s="487">
        <f>$J$45</f>
        <v>150</v>
      </c>
      <c r="D49" s="478">
        <f t="shared" ref="D49:D50" si="14">D48</f>
        <v>43266</v>
      </c>
      <c r="E49" s="478">
        <v>43586</v>
      </c>
      <c r="F49" s="668" t="str">
        <f t="shared" si="11"/>
        <v>2018-2019</v>
      </c>
      <c r="G49" s="669" t="str">
        <f t="shared" si="12"/>
        <v>Campo 1</v>
      </c>
      <c r="H49" s="669" t="str">
        <f t="shared" si="13"/>
        <v>Maíz Tardío</v>
      </c>
      <c r="I49" s="670" t="str">
        <f>IFERROR(INDEX(Tabla8[],MATCH(Producción_Agricola[[#This Row],[Unidad de Negocio]],Tabla8[Unidades de Negocio],0),2),0)</f>
        <v>Maíz</v>
      </c>
      <c r="J49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49" s="481" t="s">
        <v>17</v>
      </c>
      <c r="L49" s="482" t="s">
        <v>49</v>
      </c>
      <c r="M49" s="483">
        <v>0</v>
      </c>
      <c r="N49" s="484" t="s">
        <v>387</v>
      </c>
      <c r="O49" s="690">
        <f>Producción_Agricola[[#This Row],[Superficie]]*Producción_Agricola[[#This Row],[Cantidad]]</f>
        <v>0</v>
      </c>
      <c r="P49" s="482">
        <v>7</v>
      </c>
      <c r="Q49" s="484" t="s">
        <v>3</v>
      </c>
      <c r="R49" s="485">
        <v>0.06</v>
      </c>
      <c r="S49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9" s="695">
        <f>IFERROR(Producción_Agricola[[#This Row],[Económico $Corrientes]]/Producción_Agricola[[#This Row],[Indexación Económico]],0)</f>
        <v>0</v>
      </c>
      <c r="U4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9" s="695">
        <f>IFERROR(Producción_Agricola[[#This Row],[Financiero $Corrientes]]/Producción_Agricola[[#This Row],[Indexación Financiero]],0)</f>
        <v>0</v>
      </c>
      <c r="X4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9" s="699">
        <f>IFERROR(Producción_Agricola[[#This Row],[Intereses $Corrientes]]/Producción_Agricola[[#This Row],[Indexación Financiero]],0)</f>
        <v>0</v>
      </c>
      <c r="AA4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9" s="701" t="str">
        <f>IFERROR(INDEX(Produccion_Agricola_Cuentas[],MATCH(Producción_Agricola[[#This Row],[Cuenta Contable]],Produccion_Agricola_Cuentas[Cuenta Contable],0),2),0)</f>
        <v>Egreso</v>
      </c>
      <c r="AC49" s="702" t="str">
        <f>IFERROR(INDEX(Tabla9[],MATCH(Producción_Agricola[[#This Row],[Movimiento]],Tabla9[Movimientos],0),2),0)</f>
        <v>Si</v>
      </c>
      <c r="AD49" s="703" t="str">
        <f>IFERROR(INDEX(Tabla9[],MATCH(Producción_Agricola[[#This Row],[Movimiento]],Tabla9[Movimientos],0),3),0)</f>
        <v>(-)</v>
      </c>
      <c r="AE49" s="698">
        <f>IF(Producción_Agricola[[#This Row],[Fecha Económico]]=0,0,MONTH(Producción_Agricola[[#This Row],[Fecha Económico]]))</f>
        <v>6</v>
      </c>
      <c r="AF49" s="699">
        <f>IF(Producción_Agricola[[#This Row],[Fecha Económico]]=0,0,YEAR(Producción_Agricola[[#This Row],[Fecha Económico]]))</f>
        <v>2018</v>
      </c>
      <c r="AG49" s="704">
        <f>SUMPRODUCT((Producción_Agricola[[#This Row],[Mes Económico]]=Tipo_Cambio[Mes])*(Producción_Agricola[[#This Row],[Año Económico]]=Tipo_Cambio[Año])*(Tipo_Cambio[$/U$S]))</f>
        <v>0</v>
      </c>
      <c r="AH49" s="703">
        <f>SUMPRODUCT((Producción_Agricola[[#This Row],[Mes Económico]]=Tipo_Cambio[Mes])*(Producción_Agricola[[#This Row],[Año Económico]]=Tipo_Cambio[Año])*(Tipo_Cambio[Actualización]))</f>
        <v>0</v>
      </c>
      <c r="AI49" s="705">
        <f>IF(ISNUMBER(Producción_Agricola[[#This Row],[Fecha Financiero]])=TRUE,MONTH(Producción_Agricola[[#This Row],[Fecha Financiero]]),0)</f>
        <v>5</v>
      </c>
      <c r="AJ49" s="705">
        <f>IF(ISNUMBER(Producción_Agricola[[#This Row],[Fecha Financiero]])=TRUE,YEAR(Producción_Agricola[[#This Row],[Fecha Financiero]]),0)</f>
        <v>2019</v>
      </c>
      <c r="AK49" s="706">
        <f>SUMPRODUCT((Producción_Agricola[[#This Row],[Mes Financiero]]=Tipo_Cambio[Mes])*(Producción_Agricola[[#This Row],[Año Financiero]]=Tipo_Cambio[Año])*(Tipo_Cambio[$/U$S]))</f>
        <v>24.301686759046497</v>
      </c>
      <c r="AL49" s="706">
        <f>SUMPRODUCT((Producción_Agricola[[#This Row],[Mes Financiero]]=Tipo_Cambio[Mes])*(Producción_Agricola[[#This Row],[Año Financiero]]=Tipo_Cambio[Año])*(Tipo_Cambio[Actualización]))</f>
        <v>1.2189944199947573</v>
      </c>
      <c r="AM49" s="702">
        <f>IFERROR(Producción_Agricola[[#This Row],[Económico $Corrientes]]/Producción_Agricola[[#This Row],[Superficie]],0)</f>
        <v>0</v>
      </c>
      <c r="AN49" s="706">
        <f>IFERROR(Producción_Agricola[[#This Row],[Económico $Constantes]]/Producción_Agricola[[#This Row],[Superficie]],0)</f>
        <v>0</v>
      </c>
      <c r="AO49" s="706">
        <f>IFERROR(Producción_Agricola[[#This Row],[Económico U$S Dólares]]/Producción_Agricola[[#This Row],[Superficie]],0)</f>
        <v>0</v>
      </c>
      <c r="AP49" s="707" t="str">
        <f>IF(Económico!$F$4=0,0,Producción_Agricola[[#This Row],[Centro de Costo]])</f>
        <v>Campo 1</v>
      </c>
      <c r="AQ49" s="512" t="s">
        <v>378</v>
      </c>
      <c r="AR49" s="513"/>
      <c r="AS49"/>
    </row>
    <row r="50" spans="2:45" x14ac:dyDescent="0.25">
      <c r="D50" s="478">
        <f t="shared" si="14"/>
        <v>43266</v>
      </c>
      <c r="E50" s="478">
        <v>43586</v>
      </c>
      <c r="F50" s="668" t="str">
        <f t="shared" si="11"/>
        <v>2018-2019</v>
      </c>
      <c r="G50" s="669" t="str">
        <f t="shared" si="12"/>
        <v>Campo 1</v>
      </c>
      <c r="H50" s="669" t="str">
        <f t="shared" si="13"/>
        <v>Maíz Tardío</v>
      </c>
      <c r="I50" s="670" t="str">
        <f>IFERROR(INDEX(Tabla8[],MATCH(Producción_Agricola[[#This Row],[Unidad de Negocio]],Tabla8[Unidades de Negocio],0),2),0)</f>
        <v>Maíz</v>
      </c>
      <c r="J50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50" s="481" t="s">
        <v>24</v>
      </c>
      <c r="L50" s="482" t="s">
        <v>363</v>
      </c>
      <c r="M50" s="483">
        <v>0</v>
      </c>
      <c r="N50" s="484" t="s">
        <v>387</v>
      </c>
      <c r="O50" s="690">
        <f>Producción_Agricola[[#This Row],[Superficie]]*Producción_Agricola[[#This Row],[Cantidad]]</f>
        <v>0</v>
      </c>
      <c r="P50" s="482">
        <v>18</v>
      </c>
      <c r="Q50" s="484" t="s">
        <v>3</v>
      </c>
      <c r="R50" s="485">
        <v>0.06</v>
      </c>
      <c r="S50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0" s="695">
        <f>IFERROR(Producción_Agricola[[#This Row],[Económico $Corrientes]]/Producción_Agricola[[#This Row],[Indexación Económico]],0)</f>
        <v>0</v>
      </c>
      <c r="U5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0" s="695">
        <f>IFERROR(Producción_Agricola[[#This Row],[Financiero $Corrientes]]/Producción_Agricola[[#This Row],[Indexación Financiero]],0)</f>
        <v>0</v>
      </c>
      <c r="X5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0" s="699">
        <f>IFERROR(Producción_Agricola[[#This Row],[Intereses $Corrientes]]/Producción_Agricola[[#This Row],[Indexación Financiero]],0)</f>
        <v>0</v>
      </c>
      <c r="AA5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0" s="701" t="str">
        <f>IFERROR(INDEX(Produccion_Agricola_Cuentas[],MATCH(Producción_Agricola[[#This Row],[Cuenta Contable]],Produccion_Agricola_Cuentas[Cuenta Contable],0),2),0)</f>
        <v>Egreso</v>
      </c>
      <c r="AC50" s="702" t="str">
        <f>IFERROR(INDEX(Tabla9[],MATCH(Producción_Agricola[[#This Row],[Movimiento]],Tabla9[Movimientos],0),2),0)</f>
        <v>Si</v>
      </c>
      <c r="AD50" s="703" t="str">
        <f>IFERROR(INDEX(Tabla9[],MATCH(Producción_Agricola[[#This Row],[Movimiento]],Tabla9[Movimientos],0),3),0)</f>
        <v>(-)</v>
      </c>
      <c r="AE50" s="698">
        <f>IF(Producción_Agricola[[#This Row],[Fecha Económico]]=0,0,MONTH(Producción_Agricola[[#This Row],[Fecha Económico]]))</f>
        <v>6</v>
      </c>
      <c r="AF50" s="699">
        <f>IF(Producción_Agricola[[#This Row],[Fecha Económico]]=0,0,YEAR(Producción_Agricola[[#This Row],[Fecha Económico]]))</f>
        <v>2018</v>
      </c>
      <c r="AG50" s="704">
        <f>SUMPRODUCT((Producción_Agricola[[#This Row],[Mes Económico]]=Tipo_Cambio[Mes])*(Producción_Agricola[[#This Row],[Año Económico]]=Tipo_Cambio[Año])*(Tipo_Cambio[$/U$S]))</f>
        <v>0</v>
      </c>
      <c r="AH50" s="703">
        <f>SUMPRODUCT((Producción_Agricola[[#This Row],[Mes Económico]]=Tipo_Cambio[Mes])*(Producción_Agricola[[#This Row],[Año Económico]]=Tipo_Cambio[Año])*(Tipo_Cambio[Actualización]))</f>
        <v>0</v>
      </c>
      <c r="AI50" s="705">
        <f>IF(ISNUMBER(Producción_Agricola[[#This Row],[Fecha Financiero]])=TRUE,MONTH(Producción_Agricola[[#This Row],[Fecha Financiero]]),0)</f>
        <v>5</v>
      </c>
      <c r="AJ50" s="705">
        <f>IF(ISNUMBER(Producción_Agricola[[#This Row],[Fecha Financiero]])=TRUE,YEAR(Producción_Agricola[[#This Row],[Fecha Financiero]]),0)</f>
        <v>2019</v>
      </c>
      <c r="AK50" s="706">
        <f>SUMPRODUCT((Producción_Agricola[[#This Row],[Mes Financiero]]=Tipo_Cambio[Mes])*(Producción_Agricola[[#This Row],[Año Financiero]]=Tipo_Cambio[Año])*(Tipo_Cambio[$/U$S]))</f>
        <v>24.301686759046497</v>
      </c>
      <c r="AL50" s="706">
        <f>SUMPRODUCT((Producción_Agricola[[#This Row],[Mes Financiero]]=Tipo_Cambio[Mes])*(Producción_Agricola[[#This Row],[Año Financiero]]=Tipo_Cambio[Año])*(Tipo_Cambio[Actualización]))</f>
        <v>1.2189944199947573</v>
      </c>
      <c r="AM50" s="702">
        <f>IFERROR(Producción_Agricola[[#This Row],[Económico $Corrientes]]/Producción_Agricola[[#This Row],[Superficie]],0)</f>
        <v>0</v>
      </c>
      <c r="AN50" s="706">
        <f>IFERROR(Producción_Agricola[[#This Row],[Económico $Constantes]]/Producción_Agricola[[#This Row],[Superficie]],0)</f>
        <v>0</v>
      </c>
      <c r="AO50" s="706">
        <f>IFERROR(Producción_Agricola[[#This Row],[Económico U$S Dólares]]/Producción_Agricola[[#This Row],[Superficie]],0)</f>
        <v>0</v>
      </c>
      <c r="AP50" s="707" t="str">
        <f>IF(Económico!$F$4=0,0,Producción_Agricola[[#This Row],[Centro de Costo]])</f>
        <v>Campo 1</v>
      </c>
      <c r="AQ50" s="512" t="s">
        <v>378</v>
      </c>
      <c r="AR50" s="513"/>
      <c r="AS50"/>
    </row>
    <row r="51" spans="2:45" x14ac:dyDescent="0.25">
      <c r="D51" s="478">
        <f>D47+45</f>
        <v>43311</v>
      </c>
      <c r="E51" s="478">
        <f>Producción_Agricola[[#This Row],[Fecha Económico]]+30</f>
        <v>43341</v>
      </c>
      <c r="F51" s="668" t="str">
        <f t="shared" si="11"/>
        <v>2018-2019</v>
      </c>
      <c r="G51" s="669" t="str">
        <f t="shared" si="12"/>
        <v>Campo 1</v>
      </c>
      <c r="H51" s="669" t="str">
        <f t="shared" si="13"/>
        <v>Maíz Tardío</v>
      </c>
      <c r="I51" s="670" t="str">
        <f>IFERROR(INDEX(Tabla8[],MATCH(Producción_Agricola[[#This Row],[Unidad de Negocio]],Tabla8[Unidades de Negocio],0),2),0)</f>
        <v>Maíz</v>
      </c>
      <c r="J51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51" s="481" t="s">
        <v>201</v>
      </c>
      <c r="L51" s="482" t="s">
        <v>219</v>
      </c>
      <c r="M51" s="483">
        <v>0</v>
      </c>
      <c r="N51" s="484" t="s">
        <v>389</v>
      </c>
      <c r="O51" s="690">
        <f>Producción_Agricola[[#This Row],[Superficie]]*Producción_Agricola[[#This Row],[Cantidad]]</f>
        <v>0</v>
      </c>
      <c r="P51" s="482">
        <v>120</v>
      </c>
      <c r="Q51" s="484" t="s">
        <v>48</v>
      </c>
      <c r="R51" s="485">
        <v>0</v>
      </c>
      <c r="S51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1" s="695">
        <f>IFERROR(Producción_Agricola[[#This Row],[Económico $Corrientes]]/Producción_Agricola[[#This Row],[Indexación Económico]],0)</f>
        <v>0</v>
      </c>
      <c r="U5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1" s="695">
        <f>IFERROR(Producción_Agricola[[#This Row],[Financiero $Corrientes]]/Producción_Agricola[[#This Row],[Indexación Financiero]],0)</f>
        <v>0</v>
      </c>
      <c r="X5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1" s="699">
        <f>IFERROR(Producción_Agricola[[#This Row],[Intereses $Corrientes]]/Producción_Agricola[[#This Row],[Indexación Financiero]],0)</f>
        <v>0</v>
      </c>
      <c r="AA5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1" s="701" t="str">
        <f>IFERROR(INDEX(Produccion_Agricola_Cuentas[],MATCH(Producción_Agricola[[#This Row],[Cuenta Contable]],Produccion_Agricola_Cuentas[Cuenta Contable],0),2),0)</f>
        <v>Egreso Cesión</v>
      </c>
      <c r="AC51" s="702" t="str">
        <f>IFERROR(INDEX(Tabla9[],MATCH(Producción_Agricola[[#This Row],[Movimiento]],Tabla9[Movimientos],0),2),0)</f>
        <v>No</v>
      </c>
      <c r="AD51" s="703" t="str">
        <f>IFERROR(INDEX(Tabla9[],MATCH(Producción_Agricola[[#This Row],[Movimiento]],Tabla9[Movimientos],0),3),0)</f>
        <v>(-)</v>
      </c>
      <c r="AE51" s="698">
        <f>IF(Producción_Agricola[[#This Row],[Fecha Económico]]=0,0,MONTH(Producción_Agricola[[#This Row],[Fecha Económico]]))</f>
        <v>7</v>
      </c>
      <c r="AF51" s="699">
        <f>IF(Producción_Agricola[[#This Row],[Fecha Económico]]=0,0,YEAR(Producción_Agricola[[#This Row],[Fecha Económico]]))</f>
        <v>2018</v>
      </c>
      <c r="AG51" s="704">
        <f>SUMPRODUCT((Producción_Agricola[[#This Row],[Mes Económico]]=Tipo_Cambio[Mes])*(Producción_Agricola[[#This Row],[Año Económico]]=Tipo_Cambio[Año])*(Tipo_Cambio[$/U$S]))</f>
        <v>22</v>
      </c>
      <c r="AH51" s="703">
        <f>SUMPRODUCT((Producción_Agricola[[#This Row],[Mes Económico]]=Tipo_Cambio[Mes])*(Producción_Agricola[[#This Row],[Año Económico]]=Tipo_Cambio[Año])*(Tipo_Cambio[Actualización]))</f>
        <v>1</v>
      </c>
      <c r="AI51" s="705">
        <f>IF(ISNUMBER(Producción_Agricola[[#This Row],[Fecha Financiero]])=TRUE,MONTH(Producción_Agricola[[#This Row],[Fecha Financiero]]),0)</f>
        <v>8</v>
      </c>
      <c r="AJ51" s="705">
        <f>IF(ISNUMBER(Producción_Agricola[[#This Row],[Fecha Financiero]])=TRUE,YEAR(Producción_Agricola[[#This Row],[Fecha Financiero]]),0)</f>
        <v>2018</v>
      </c>
      <c r="AK51" s="706">
        <f>SUMPRODUCT((Producción_Agricola[[#This Row],[Mes Financiero]]=Tipo_Cambio[Mes])*(Producción_Agricola[[#This Row],[Año Financiero]]=Tipo_Cambio[Año])*(Tipo_Cambio[$/U$S]))</f>
        <v>22.22</v>
      </c>
      <c r="AL51" s="706">
        <f>SUMPRODUCT((Producción_Agricola[[#This Row],[Mes Financiero]]=Tipo_Cambio[Mes])*(Producción_Agricola[[#This Row],[Año Financiero]]=Tipo_Cambio[Año])*(Tipo_Cambio[Actualización]))</f>
        <v>1.02</v>
      </c>
      <c r="AM51" s="702">
        <f>IFERROR(Producción_Agricola[[#This Row],[Económico $Corrientes]]/Producción_Agricola[[#This Row],[Superficie]],0)</f>
        <v>0</v>
      </c>
      <c r="AN51" s="706">
        <f>IFERROR(Producción_Agricola[[#This Row],[Económico $Constantes]]/Producción_Agricola[[#This Row],[Superficie]],0)</f>
        <v>0</v>
      </c>
      <c r="AO51" s="706">
        <f>IFERROR(Producción_Agricola[[#This Row],[Económico U$S Dólares]]/Producción_Agricola[[#This Row],[Superficie]],0)</f>
        <v>0</v>
      </c>
      <c r="AP51" s="707" t="str">
        <f>IF(Económico!$F$4=0,0,Producción_Agricola[[#This Row],[Centro de Costo]])</f>
        <v>Campo 1</v>
      </c>
      <c r="AQ51" s="512" t="s">
        <v>380</v>
      </c>
      <c r="AR51" s="513"/>
      <c r="AS51"/>
    </row>
    <row r="52" spans="2:45" x14ac:dyDescent="0.25">
      <c r="D52" s="478">
        <f>D51</f>
        <v>43311</v>
      </c>
      <c r="E52" s="478">
        <v>43586</v>
      </c>
      <c r="F52" s="668" t="str">
        <f t="shared" si="11"/>
        <v>2018-2019</v>
      </c>
      <c r="G52" s="669" t="str">
        <f t="shared" si="12"/>
        <v>Campo 1</v>
      </c>
      <c r="H52" s="669" t="str">
        <f t="shared" si="13"/>
        <v>Maíz Tardío</v>
      </c>
      <c r="I52" s="670" t="str">
        <f>IFERROR(INDEX(Tabla8[],MATCH(Producción_Agricola[[#This Row],[Unidad de Negocio]],Tabla8[Unidades de Negocio],0),2),0)</f>
        <v>Maíz</v>
      </c>
      <c r="J52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52" s="481" t="s">
        <v>17</v>
      </c>
      <c r="L52" s="482" t="s">
        <v>50</v>
      </c>
      <c r="M52" s="483">
        <v>0</v>
      </c>
      <c r="N52" s="484" t="s">
        <v>387</v>
      </c>
      <c r="O52" s="690">
        <f>Producción_Agricola[[#This Row],[Superficie]]*Producción_Agricola[[#This Row],[Cantidad]]</f>
        <v>0</v>
      </c>
      <c r="P52" s="482">
        <v>3</v>
      </c>
      <c r="Q52" s="484" t="s">
        <v>3</v>
      </c>
      <c r="R52" s="485">
        <v>0.06</v>
      </c>
      <c r="S52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2" s="695">
        <f>IFERROR(Producción_Agricola[[#This Row],[Económico $Corrientes]]/Producción_Agricola[[#This Row],[Indexación Económico]],0)</f>
        <v>0</v>
      </c>
      <c r="U52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2" s="695">
        <f>IFERROR(Producción_Agricola[[#This Row],[Financiero $Corrientes]]/Producción_Agricola[[#This Row],[Indexación Financiero]],0)</f>
        <v>0</v>
      </c>
      <c r="X5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2" s="699">
        <f>IFERROR(Producción_Agricola[[#This Row],[Intereses $Corrientes]]/Producción_Agricola[[#This Row],[Indexación Financiero]],0)</f>
        <v>0</v>
      </c>
      <c r="AA5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2" s="701" t="str">
        <f>IFERROR(INDEX(Produccion_Agricola_Cuentas[],MATCH(Producción_Agricola[[#This Row],[Cuenta Contable]],Produccion_Agricola_Cuentas[Cuenta Contable],0),2),0)</f>
        <v>Egreso</v>
      </c>
      <c r="AC52" s="702" t="str">
        <f>IFERROR(INDEX(Tabla9[],MATCH(Producción_Agricola[[#This Row],[Movimiento]],Tabla9[Movimientos],0),2),0)</f>
        <v>Si</v>
      </c>
      <c r="AD52" s="703" t="str">
        <f>IFERROR(INDEX(Tabla9[],MATCH(Producción_Agricola[[#This Row],[Movimiento]],Tabla9[Movimientos],0),3),0)</f>
        <v>(-)</v>
      </c>
      <c r="AE52" s="698">
        <f>IF(Producción_Agricola[[#This Row],[Fecha Económico]]=0,0,MONTH(Producción_Agricola[[#This Row],[Fecha Económico]]))</f>
        <v>7</v>
      </c>
      <c r="AF52" s="699">
        <f>IF(Producción_Agricola[[#This Row],[Fecha Económico]]=0,0,YEAR(Producción_Agricola[[#This Row],[Fecha Económico]]))</f>
        <v>2018</v>
      </c>
      <c r="AG52" s="704">
        <f>SUMPRODUCT((Producción_Agricola[[#This Row],[Mes Económico]]=Tipo_Cambio[Mes])*(Producción_Agricola[[#This Row],[Año Económico]]=Tipo_Cambio[Año])*(Tipo_Cambio[$/U$S]))</f>
        <v>22</v>
      </c>
      <c r="AH52" s="703">
        <f>SUMPRODUCT((Producción_Agricola[[#This Row],[Mes Económico]]=Tipo_Cambio[Mes])*(Producción_Agricola[[#This Row],[Año Económico]]=Tipo_Cambio[Año])*(Tipo_Cambio[Actualización]))</f>
        <v>1</v>
      </c>
      <c r="AI52" s="705">
        <f>IF(ISNUMBER(Producción_Agricola[[#This Row],[Fecha Financiero]])=TRUE,MONTH(Producción_Agricola[[#This Row],[Fecha Financiero]]),0)</f>
        <v>5</v>
      </c>
      <c r="AJ52" s="705">
        <f>IF(ISNUMBER(Producción_Agricola[[#This Row],[Fecha Financiero]])=TRUE,YEAR(Producción_Agricola[[#This Row],[Fecha Financiero]]),0)</f>
        <v>2019</v>
      </c>
      <c r="AK52" s="706">
        <f>SUMPRODUCT((Producción_Agricola[[#This Row],[Mes Financiero]]=Tipo_Cambio[Mes])*(Producción_Agricola[[#This Row],[Año Financiero]]=Tipo_Cambio[Año])*(Tipo_Cambio[$/U$S]))</f>
        <v>24.301686759046497</v>
      </c>
      <c r="AL52" s="706">
        <f>SUMPRODUCT((Producción_Agricola[[#This Row],[Mes Financiero]]=Tipo_Cambio[Mes])*(Producción_Agricola[[#This Row],[Año Financiero]]=Tipo_Cambio[Año])*(Tipo_Cambio[Actualización]))</f>
        <v>1.2189944199947573</v>
      </c>
      <c r="AM52" s="702">
        <f>IFERROR(Producción_Agricola[[#This Row],[Económico $Corrientes]]/Producción_Agricola[[#This Row],[Superficie]],0)</f>
        <v>0</v>
      </c>
      <c r="AN52" s="706">
        <f>IFERROR(Producción_Agricola[[#This Row],[Económico $Constantes]]/Producción_Agricola[[#This Row],[Superficie]],0)</f>
        <v>0</v>
      </c>
      <c r="AO52" s="706">
        <f>IFERROR(Producción_Agricola[[#This Row],[Económico U$S Dólares]]/Producción_Agricola[[#This Row],[Superficie]],0)</f>
        <v>0</v>
      </c>
      <c r="AP52" s="707" t="str">
        <f>IF(Económico!$F$4=0,0,Producción_Agricola[[#This Row],[Centro de Costo]])</f>
        <v>Campo 1</v>
      </c>
      <c r="AQ52" s="512" t="s">
        <v>380</v>
      </c>
      <c r="AR52" s="513"/>
      <c r="AS52"/>
    </row>
    <row r="53" spans="2:45" x14ac:dyDescent="0.25">
      <c r="D53" s="478">
        <f t="shared" ref="D53:D55" si="15">D52</f>
        <v>43311</v>
      </c>
      <c r="E53" s="478">
        <v>43586</v>
      </c>
      <c r="F53" s="668" t="str">
        <f t="shared" si="11"/>
        <v>2018-2019</v>
      </c>
      <c r="G53" s="669" t="str">
        <f t="shared" si="12"/>
        <v>Campo 1</v>
      </c>
      <c r="H53" s="669" t="str">
        <f t="shared" si="13"/>
        <v>Maíz Tardío</v>
      </c>
      <c r="I53" s="670" t="str">
        <f>IFERROR(INDEX(Tabla8[],MATCH(Producción_Agricola[[#This Row],[Unidad de Negocio]],Tabla8[Unidades de Negocio],0),2),0)</f>
        <v>Maíz</v>
      </c>
      <c r="J53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53" s="481" t="s">
        <v>17</v>
      </c>
      <c r="L53" s="482" t="s">
        <v>49</v>
      </c>
      <c r="M53" s="483">
        <v>0</v>
      </c>
      <c r="N53" s="484" t="s">
        <v>387</v>
      </c>
      <c r="O53" s="690">
        <f>Producción_Agricola[[#This Row],[Superficie]]*Producción_Agricola[[#This Row],[Cantidad]]</f>
        <v>0</v>
      </c>
      <c r="P53" s="482">
        <v>7</v>
      </c>
      <c r="Q53" s="484" t="s">
        <v>3</v>
      </c>
      <c r="R53" s="485">
        <v>0.06</v>
      </c>
      <c r="S53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3" s="695">
        <f>IFERROR(Producción_Agricola[[#This Row],[Económico $Corrientes]]/Producción_Agricola[[#This Row],[Indexación Económico]],0)</f>
        <v>0</v>
      </c>
      <c r="U53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3" s="695">
        <f>IFERROR(Producción_Agricola[[#This Row],[Financiero $Corrientes]]/Producción_Agricola[[#This Row],[Indexación Financiero]],0)</f>
        <v>0</v>
      </c>
      <c r="X5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3" s="699">
        <f>IFERROR(Producción_Agricola[[#This Row],[Intereses $Corrientes]]/Producción_Agricola[[#This Row],[Indexación Financiero]],0)</f>
        <v>0</v>
      </c>
      <c r="AA5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3" s="701" t="str">
        <f>IFERROR(INDEX(Produccion_Agricola_Cuentas[],MATCH(Producción_Agricola[[#This Row],[Cuenta Contable]],Produccion_Agricola_Cuentas[Cuenta Contable],0),2),0)</f>
        <v>Egreso</v>
      </c>
      <c r="AC53" s="702" t="str">
        <f>IFERROR(INDEX(Tabla9[],MATCH(Producción_Agricola[[#This Row],[Movimiento]],Tabla9[Movimientos],0),2),0)</f>
        <v>Si</v>
      </c>
      <c r="AD53" s="703" t="str">
        <f>IFERROR(INDEX(Tabla9[],MATCH(Producción_Agricola[[#This Row],[Movimiento]],Tabla9[Movimientos],0),3),0)</f>
        <v>(-)</v>
      </c>
      <c r="AE53" s="698">
        <f>IF(Producción_Agricola[[#This Row],[Fecha Económico]]=0,0,MONTH(Producción_Agricola[[#This Row],[Fecha Económico]]))</f>
        <v>7</v>
      </c>
      <c r="AF53" s="699">
        <f>IF(Producción_Agricola[[#This Row],[Fecha Económico]]=0,0,YEAR(Producción_Agricola[[#This Row],[Fecha Económico]]))</f>
        <v>2018</v>
      </c>
      <c r="AG53" s="704">
        <f>SUMPRODUCT((Producción_Agricola[[#This Row],[Mes Económico]]=Tipo_Cambio[Mes])*(Producción_Agricola[[#This Row],[Año Económico]]=Tipo_Cambio[Año])*(Tipo_Cambio[$/U$S]))</f>
        <v>22</v>
      </c>
      <c r="AH53" s="703">
        <f>SUMPRODUCT((Producción_Agricola[[#This Row],[Mes Económico]]=Tipo_Cambio[Mes])*(Producción_Agricola[[#This Row],[Año Económico]]=Tipo_Cambio[Año])*(Tipo_Cambio[Actualización]))</f>
        <v>1</v>
      </c>
      <c r="AI53" s="705">
        <f>IF(ISNUMBER(Producción_Agricola[[#This Row],[Fecha Financiero]])=TRUE,MONTH(Producción_Agricola[[#This Row],[Fecha Financiero]]),0)</f>
        <v>5</v>
      </c>
      <c r="AJ53" s="705">
        <f>IF(ISNUMBER(Producción_Agricola[[#This Row],[Fecha Financiero]])=TRUE,YEAR(Producción_Agricola[[#This Row],[Fecha Financiero]]),0)</f>
        <v>2019</v>
      </c>
      <c r="AK53" s="706">
        <f>SUMPRODUCT((Producción_Agricola[[#This Row],[Mes Financiero]]=Tipo_Cambio[Mes])*(Producción_Agricola[[#This Row],[Año Financiero]]=Tipo_Cambio[Año])*(Tipo_Cambio[$/U$S]))</f>
        <v>24.301686759046497</v>
      </c>
      <c r="AL53" s="706">
        <f>SUMPRODUCT((Producción_Agricola[[#This Row],[Mes Financiero]]=Tipo_Cambio[Mes])*(Producción_Agricola[[#This Row],[Año Financiero]]=Tipo_Cambio[Año])*(Tipo_Cambio[Actualización]))</f>
        <v>1.2189944199947573</v>
      </c>
      <c r="AM53" s="702">
        <f>IFERROR(Producción_Agricola[[#This Row],[Económico $Corrientes]]/Producción_Agricola[[#This Row],[Superficie]],0)</f>
        <v>0</v>
      </c>
      <c r="AN53" s="706">
        <f>IFERROR(Producción_Agricola[[#This Row],[Económico $Constantes]]/Producción_Agricola[[#This Row],[Superficie]],0)</f>
        <v>0</v>
      </c>
      <c r="AO53" s="706">
        <f>IFERROR(Producción_Agricola[[#This Row],[Económico U$S Dólares]]/Producción_Agricola[[#This Row],[Superficie]],0)</f>
        <v>0</v>
      </c>
      <c r="AP53" s="707" t="str">
        <f>IF(Económico!$F$4=0,0,Producción_Agricola[[#This Row],[Centro de Costo]])</f>
        <v>Campo 1</v>
      </c>
      <c r="AQ53" s="512" t="s">
        <v>380</v>
      </c>
      <c r="AR53" s="513"/>
      <c r="AS53"/>
    </row>
    <row r="54" spans="2:45" x14ac:dyDescent="0.25">
      <c r="D54" s="478">
        <f t="shared" si="15"/>
        <v>43311</v>
      </c>
      <c r="E54" s="478">
        <v>43586</v>
      </c>
      <c r="F54" s="668" t="str">
        <f t="shared" si="11"/>
        <v>2018-2019</v>
      </c>
      <c r="G54" s="669" t="str">
        <f t="shared" si="12"/>
        <v>Campo 1</v>
      </c>
      <c r="H54" s="669" t="str">
        <f t="shared" si="13"/>
        <v>Maíz Tardío</v>
      </c>
      <c r="I54" s="670" t="str">
        <f>IFERROR(INDEX(Tabla8[],MATCH(Producción_Agricola[[#This Row],[Unidad de Negocio]],Tabla8[Unidades de Negocio],0),2),0)</f>
        <v>Maíz</v>
      </c>
      <c r="J54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54" s="481" t="s">
        <v>17</v>
      </c>
      <c r="L54" s="482" t="s">
        <v>205</v>
      </c>
      <c r="M54" s="483">
        <v>0</v>
      </c>
      <c r="N54" s="484" t="s">
        <v>388</v>
      </c>
      <c r="O54" s="690">
        <f>Producción_Agricola[[#This Row],[Superficie]]*Producción_Agricola[[#This Row],[Cantidad]]</f>
        <v>0</v>
      </c>
      <c r="P54" s="482">
        <v>8</v>
      </c>
      <c r="Q54" s="484" t="s">
        <v>3</v>
      </c>
      <c r="R54" s="485">
        <v>0.06</v>
      </c>
      <c r="S54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4" s="695">
        <f>IFERROR(Producción_Agricola[[#This Row],[Económico $Corrientes]]/Producción_Agricola[[#This Row],[Indexación Económico]],0)</f>
        <v>0</v>
      </c>
      <c r="U54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4" s="695">
        <f>IFERROR(Producción_Agricola[[#This Row],[Financiero $Corrientes]]/Producción_Agricola[[#This Row],[Indexación Financiero]],0)</f>
        <v>0</v>
      </c>
      <c r="X5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4" s="699">
        <f>IFERROR(Producción_Agricola[[#This Row],[Intereses $Corrientes]]/Producción_Agricola[[#This Row],[Indexación Financiero]],0)</f>
        <v>0</v>
      </c>
      <c r="AA5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4" s="701" t="str">
        <f>IFERROR(INDEX(Produccion_Agricola_Cuentas[],MATCH(Producción_Agricola[[#This Row],[Cuenta Contable]],Produccion_Agricola_Cuentas[Cuenta Contable],0),2),0)</f>
        <v>Egreso</v>
      </c>
      <c r="AC54" s="702" t="str">
        <f>IFERROR(INDEX(Tabla9[],MATCH(Producción_Agricola[[#This Row],[Movimiento]],Tabla9[Movimientos],0),2),0)</f>
        <v>Si</v>
      </c>
      <c r="AD54" s="703" t="str">
        <f>IFERROR(INDEX(Tabla9[],MATCH(Producción_Agricola[[#This Row],[Movimiento]],Tabla9[Movimientos],0),3),0)</f>
        <v>(-)</v>
      </c>
      <c r="AE54" s="698">
        <f>IF(Producción_Agricola[[#This Row],[Fecha Económico]]=0,0,MONTH(Producción_Agricola[[#This Row],[Fecha Económico]]))</f>
        <v>7</v>
      </c>
      <c r="AF54" s="699">
        <f>IF(Producción_Agricola[[#This Row],[Fecha Económico]]=0,0,YEAR(Producción_Agricola[[#This Row],[Fecha Económico]]))</f>
        <v>2018</v>
      </c>
      <c r="AG54" s="704">
        <f>SUMPRODUCT((Producción_Agricola[[#This Row],[Mes Económico]]=Tipo_Cambio[Mes])*(Producción_Agricola[[#This Row],[Año Económico]]=Tipo_Cambio[Año])*(Tipo_Cambio[$/U$S]))</f>
        <v>22</v>
      </c>
      <c r="AH54" s="703">
        <f>SUMPRODUCT((Producción_Agricola[[#This Row],[Mes Económico]]=Tipo_Cambio[Mes])*(Producción_Agricola[[#This Row],[Año Económico]]=Tipo_Cambio[Año])*(Tipo_Cambio[Actualización]))</f>
        <v>1</v>
      </c>
      <c r="AI54" s="705">
        <f>IF(ISNUMBER(Producción_Agricola[[#This Row],[Fecha Financiero]])=TRUE,MONTH(Producción_Agricola[[#This Row],[Fecha Financiero]]),0)</f>
        <v>5</v>
      </c>
      <c r="AJ54" s="705">
        <f>IF(ISNUMBER(Producción_Agricola[[#This Row],[Fecha Financiero]])=TRUE,YEAR(Producción_Agricola[[#This Row],[Fecha Financiero]]),0)</f>
        <v>2019</v>
      </c>
      <c r="AK54" s="706">
        <f>SUMPRODUCT((Producción_Agricola[[#This Row],[Mes Financiero]]=Tipo_Cambio[Mes])*(Producción_Agricola[[#This Row],[Año Financiero]]=Tipo_Cambio[Año])*(Tipo_Cambio[$/U$S]))</f>
        <v>24.301686759046497</v>
      </c>
      <c r="AL54" s="706">
        <f>SUMPRODUCT((Producción_Agricola[[#This Row],[Mes Financiero]]=Tipo_Cambio[Mes])*(Producción_Agricola[[#This Row],[Año Financiero]]=Tipo_Cambio[Año])*(Tipo_Cambio[Actualización]))</f>
        <v>1.2189944199947573</v>
      </c>
      <c r="AM54" s="702">
        <f>IFERROR(Producción_Agricola[[#This Row],[Económico $Corrientes]]/Producción_Agricola[[#This Row],[Superficie]],0)</f>
        <v>0</v>
      </c>
      <c r="AN54" s="706">
        <f>IFERROR(Producción_Agricola[[#This Row],[Económico $Constantes]]/Producción_Agricola[[#This Row],[Superficie]],0)</f>
        <v>0</v>
      </c>
      <c r="AO54" s="706">
        <f>IFERROR(Producción_Agricola[[#This Row],[Económico U$S Dólares]]/Producción_Agricola[[#This Row],[Superficie]],0)</f>
        <v>0</v>
      </c>
      <c r="AP54" s="707" t="str">
        <f>IF(Económico!$F$4=0,0,Producción_Agricola[[#This Row],[Centro de Costo]])</f>
        <v>Campo 1</v>
      </c>
      <c r="AQ54" s="512" t="s">
        <v>380</v>
      </c>
      <c r="AR54" s="513"/>
      <c r="AS54"/>
    </row>
    <row r="55" spans="2:45" x14ac:dyDescent="0.25">
      <c r="D55" s="478">
        <f t="shared" si="15"/>
        <v>43311</v>
      </c>
      <c r="E55" s="478">
        <v>43586</v>
      </c>
      <c r="F55" s="668" t="str">
        <f t="shared" si="11"/>
        <v>2018-2019</v>
      </c>
      <c r="G55" s="669" t="str">
        <f t="shared" si="12"/>
        <v>Campo 1</v>
      </c>
      <c r="H55" s="669" t="str">
        <f t="shared" si="13"/>
        <v>Maíz Tardío</v>
      </c>
      <c r="I55" s="670" t="str">
        <f>IFERROR(INDEX(Tabla8[],MATCH(Producción_Agricola[[#This Row],[Unidad de Negocio]],Tabla8[Unidades de Negocio],0),2),0)</f>
        <v>Maíz</v>
      </c>
      <c r="J55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55" s="481" t="s">
        <v>24</v>
      </c>
      <c r="L55" s="482" t="s">
        <v>363</v>
      </c>
      <c r="M55" s="483">
        <v>0</v>
      </c>
      <c r="N55" s="484" t="s">
        <v>387</v>
      </c>
      <c r="O55" s="690">
        <f>Producción_Agricola[[#This Row],[Superficie]]*Producción_Agricola[[#This Row],[Cantidad]]</f>
        <v>0</v>
      </c>
      <c r="P55" s="482">
        <v>18</v>
      </c>
      <c r="Q55" s="484" t="s">
        <v>3</v>
      </c>
      <c r="R55" s="485">
        <v>0.06</v>
      </c>
      <c r="S55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5" s="695">
        <f>IFERROR(Producción_Agricola[[#This Row],[Económico $Corrientes]]/Producción_Agricola[[#This Row],[Indexación Económico]],0)</f>
        <v>0</v>
      </c>
      <c r="U55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5" s="695">
        <f>IFERROR(Producción_Agricola[[#This Row],[Financiero $Corrientes]]/Producción_Agricola[[#This Row],[Indexación Financiero]],0)</f>
        <v>0</v>
      </c>
      <c r="X5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5" s="699">
        <f>IFERROR(Producción_Agricola[[#This Row],[Intereses $Corrientes]]/Producción_Agricola[[#This Row],[Indexación Financiero]],0)</f>
        <v>0</v>
      </c>
      <c r="AA5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5" s="701" t="str">
        <f>IFERROR(INDEX(Produccion_Agricola_Cuentas[],MATCH(Producción_Agricola[[#This Row],[Cuenta Contable]],Produccion_Agricola_Cuentas[Cuenta Contable],0),2),0)</f>
        <v>Egreso</v>
      </c>
      <c r="AC55" s="702" t="str">
        <f>IFERROR(INDEX(Tabla9[],MATCH(Producción_Agricola[[#This Row],[Movimiento]],Tabla9[Movimientos],0),2),0)</f>
        <v>Si</v>
      </c>
      <c r="AD55" s="703" t="str">
        <f>IFERROR(INDEX(Tabla9[],MATCH(Producción_Agricola[[#This Row],[Movimiento]],Tabla9[Movimientos],0),3),0)</f>
        <v>(-)</v>
      </c>
      <c r="AE55" s="698">
        <f>IF(Producción_Agricola[[#This Row],[Fecha Económico]]=0,0,MONTH(Producción_Agricola[[#This Row],[Fecha Económico]]))</f>
        <v>7</v>
      </c>
      <c r="AF55" s="699">
        <f>IF(Producción_Agricola[[#This Row],[Fecha Económico]]=0,0,YEAR(Producción_Agricola[[#This Row],[Fecha Económico]]))</f>
        <v>2018</v>
      </c>
      <c r="AG55" s="704">
        <f>SUMPRODUCT((Producción_Agricola[[#This Row],[Mes Económico]]=Tipo_Cambio[Mes])*(Producción_Agricola[[#This Row],[Año Económico]]=Tipo_Cambio[Año])*(Tipo_Cambio[$/U$S]))</f>
        <v>22</v>
      </c>
      <c r="AH55" s="703">
        <f>SUMPRODUCT((Producción_Agricola[[#This Row],[Mes Económico]]=Tipo_Cambio[Mes])*(Producción_Agricola[[#This Row],[Año Económico]]=Tipo_Cambio[Año])*(Tipo_Cambio[Actualización]))</f>
        <v>1</v>
      </c>
      <c r="AI55" s="705">
        <f>IF(ISNUMBER(Producción_Agricola[[#This Row],[Fecha Financiero]])=TRUE,MONTH(Producción_Agricola[[#This Row],[Fecha Financiero]]),0)</f>
        <v>5</v>
      </c>
      <c r="AJ55" s="705">
        <f>IF(ISNUMBER(Producción_Agricola[[#This Row],[Fecha Financiero]])=TRUE,YEAR(Producción_Agricola[[#This Row],[Fecha Financiero]]),0)</f>
        <v>2019</v>
      </c>
      <c r="AK55" s="706">
        <f>SUMPRODUCT((Producción_Agricola[[#This Row],[Mes Financiero]]=Tipo_Cambio[Mes])*(Producción_Agricola[[#This Row],[Año Financiero]]=Tipo_Cambio[Año])*(Tipo_Cambio[$/U$S]))</f>
        <v>24.301686759046497</v>
      </c>
      <c r="AL55" s="706">
        <f>SUMPRODUCT((Producción_Agricola[[#This Row],[Mes Financiero]]=Tipo_Cambio[Mes])*(Producción_Agricola[[#This Row],[Año Financiero]]=Tipo_Cambio[Año])*(Tipo_Cambio[Actualización]))</f>
        <v>1.2189944199947573</v>
      </c>
      <c r="AM55" s="702">
        <f>IFERROR(Producción_Agricola[[#This Row],[Económico $Corrientes]]/Producción_Agricola[[#This Row],[Superficie]],0)</f>
        <v>0</v>
      </c>
      <c r="AN55" s="706">
        <f>IFERROR(Producción_Agricola[[#This Row],[Económico $Constantes]]/Producción_Agricola[[#This Row],[Superficie]],0)</f>
        <v>0</v>
      </c>
      <c r="AO55" s="706">
        <f>IFERROR(Producción_Agricola[[#This Row],[Económico U$S Dólares]]/Producción_Agricola[[#This Row],[Superficie]],0)</f>
        <v>0</v>
      </c>
      <c r="AP55" s="707" t="str">
        <f>IF(Económico!$F$4=0,0,Producción_Agricola[[#This Row],[Centro de Costo]])</f>
        <v>Campo 1</v>
      </c>
      <c r="AQ55" s="512" t="s">
        <v>380</v>
      </c>
      <c r="AR55" s="513"/>
      <c r="AS55"/>
    </row>
    <row r="56" spans="2:45" x14ac:dyDescent="0.25">
      <c r="D56" s="478">
        <f>D52+50</f>
        <v>43361</v>
      </c>
      <c r="E56" s="478">
        <f>Producción_Agricola[[#This Row],[Fecha Económico]]+30</f>
        <v>43391</v>
      </c>
      <c r="F56" s="668" t="str">
        <f t="shared" si="11"/>
        <v>2018-2019</v>
      </c>
      <c r="G56" s="669" t="str">
        <f t="shared" si="12"/>
        <v>Campo 1</v>
      </c>
      <c r="H56" s="669" t="str">
        <f t="shared" si="13"/>
        <v>Maíz Tardío</v>
      </c>
      <c r="I56" s="670" t="str">
        <f>IFERROR(INDEX(Tabla8[],MATCH(Producción_Agricola[[#This Row],[Unidad de Negocio]],Tabla8[Unidades de Negocio],0),2),0)</f>
        <v>Maíz</v>
      </c>
      <c r="J56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56" s="481" t="s">
        <v>25</v>
      </c>
      <c r="L56" s="482" t="s">
        <v>219</v>
      </c>
      <c r="M56" s="483">
        <v>0</v>
      </c>
      <c r="N56" s="484" t="s">
        <v>389</v>
      </c>
      <c r="O56" s="690">
        <f>Producción_Agricola[[#This Row],[Superficie]]*Producción_Agricola[[#This Row],[Cantidad]]</f>
        <v>0</v>
      </c>
      <c r="P56" s="482">
        <v>120</v>
      </c>
      <c r="Q56" s="484" t="s">
        <v>48</v>
      </c>
      <c r="R56" s="485">
        <v>0</v>
      </c>
      <c r="S56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6" s="695">
        <f>IFERROR(Producción_Agricola[[#This Row],[Económico $Corrientes]]/Producción_Agricola[[#This Row],[Indexación Económico]],0)</f>
        <v>0</v>
      </c>
      <c r="U5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6" s="695">
        <f>IFERROR(Producción_Agricola[[#This Row],[Financiero $Corrientes]]/Producción_Agricola[[#This Row],[Indexación Financiero]],0)</f>
        <v>0</v>
      </c>
      <c r="X5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6" s="699">
        <f>IFERROR(Producción_Agricola[[#This Row],[Intereses $Corrientes]]/Producción_Agricola[[#This Row],[Indexación Financiero]],0)</f>
        <v>0</v>
      </c>
      <c r="AA5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6" s="701" t="str">
        <f>IFERROR(INDEX(Produccion_Agricola_Cuentas[],MATCH(Producción_Agricola[[#This Row],[Cuenta Contable]],Produccion_Agricola_Cuentas[Cuenta Contable],0),2),0)</f>
        <v>Egreso</v>
      </c>
      <c r="AC56" s="702" t="str">
        <f>IFERROR(INDEX(Tabla9[],MATCH(Producción_Agricola[[#This Row],[Movimiento]],Tabla9[Movimientos],0),2),0)</f>
        <v>Si</v>
      </c>
      <c r="AD56" s="703" t="str">
        <f>IFERROR(INDEX(Tabla9[],MATCH(Producción_Agricola[[#This Row],[Movimiento]],Tabla9[Movimientos],0),3),0)</f>
        <v>(-)</v>
      </c>
      <c r="AE56" s="698">
        <f>IF(Producción_Agricola[[#This Row],[Fecha Económico]]=0,0,MONTH(Producción_Agricola[[#This Row],[Fecha Económico]]))</f>
        <v>9</v>
      </c>
      <c r="AF56" s="699">
        <f>IF(Producción_Agricola[[#This Row],[Fecha Económico]]=0,0,YEAR(Producción_Agricola[[#This Row],[Fecha Económico]]))</f>
        <v>2018</v>
      </c>
      <c r="AG56" s="704">
        <f>SUMPRODUCT((Producción_Agricola[[#This Row],[Mes Económico]]=Tipo_Cambio[Mes])*(Producción_Agricola[[#This Row],[Año Económico]]=Tipo_Cambio[Año])*(Tipo_Cambio[$/U$S]))</f>
        <v>22.4422</v>
      </c>
      <c r="AH56" s="703">
        <f>SUMPRODUCT((Producción_Agricola[[#This Row],[Mes Económico]]=Tipo_Cambio[Mes])*(Producción_Agricola[[#This Row],[Año Económico]]=Tipo_Cambio[Año])*(Tipo_Cambio[Actualización]))</f>
        <v>1.0404</v>
      </c>
      <c r="AI56" s="705">
        <f>IF(ISNUMBER(Producción_Agricola[[#This Row],[Fecha Financiero]])=TRUE,MONTH(Producción_Agricola[[#This Row],[Fecha Financiero]]),0)</f>
        <v>10</v>
      </c>
      <c r="AJ56" s="705">
        <f>IF(ISNUMBER(Producción_Agricola[[#This Row],[Fecha Financiero]])=TRUE,YEAR(Producción_Agricola[[#This Row],[Fecha Financiero]]),0)</f>
        <v>2018</v>
      </c>
      <c r="AK56" s="706">
        <f>SUMPRODUCT((Producción_Agricola[[#This Row],[Mes Financiero]]=Tipo_Cambio[Mes])*(Producción_Agricola[[#This Row],[Año Financiero]]=Tipo_Cambio[Año])*(Tipo_Cambio[$/U$S]))</f>
        <v>22.666622</v>
      </c>
      <c r="AL56" s="706">
        <f>SUMPRODUCT((Producción_Agricola[[#This Row],[Mes Financiero]]=Tipo_Cambio[Mes])*(Producción_Agricola[[#This Row],[Año Financiero]]=Tipo_Cambio[Año])*(Tipo_Cambio[Actualización]))</f>
        <v>1.0612079999999999</v>
      </c>
      <c r="AM56" s="702">
        <f>IFERROR(Producción_Agricola[[#This Row],[Económico $Corrientes]]/Producción_Agricola[[#This Row],[Superficie]],0)</f>
        <v>0</v>
      </c>
      <c r="AN56" s="706">
        <f>IFERROR(Producción_Agricola[[#This Row],[Económico $Constantes]]/Producción_Agricola[[#This Row],[Superficie]],0)</f>
        <v>0</v>
      </c>
      <c r="AO56" s="706">
        <f>IFERROR(Producción_Agricola[[#This Row],[Económico U$S Dólares]]/Producción_Agricola[[#This Row],[Superficie]],0)</f>
        <v>0</v>
      </c>
      <c r="AP56" s="707" t="str">
        <f>IF(Económico!$F$4=0,0,Producción_Agricola[[#This Row],[Centro de Costo]])</f>
        <v>Campo 1</v>
      </c>
      <c r="AQ56" s="512" t="s">
        <v>379</v>
      </c>
      <c r="AR56" s="513"/>
      <c r="AS56"/>
    </row>
    <row r="57" spans="2:45" x14ac:dyDescent="0.25">
      <c r="D57" s="478">
        <f>D56</f>
        <v>43361</v>
      </c>
      <c r="E57" s="478">
        <v>43586</v>
      </c>
      <c r="F57" s="668" t="str">
        <f t="shared" si="11"/>
        <v>2018-2019</v>
      </c>
      <c r="G57" s="669" t="str">
        <f t="shared" si="12"/>
        <v>Campo 1</v>
      </c>
      <c r="H57" s="669" t="str">
        <f t="shared" si="13"/>
        <v>Maíz Tardío</v>
      </c>
      <c r="I57" s="670" t="str">
        <f>IFERROR(INDEX(Tabla8[],MATCH(Producción_Agricola[[#This Row],[Unidad de Negocio]],Tabla8[Unidades de Negocio],0),2),0)</f>
        <v>Maíz</v>
      </c>
      <c r="J57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57" s="481" t="s">
        <v>17</v>
      </c>
      <c r="L57" s="482" t="s">
        <v>50</v>
      </c>
      <c r="M57" s="483">
        <v>0</v>
      </c>
      <c r="N57" s="484" t="s">
        <v>387</v>
      </c>
      <c r="O57" s="690">
        <f>Producción_Agricola[[#This Row],[Superficie]]*Producción_Agricola[[#This Row],[Cantidad]]</f>
        <v>0</v>
      </c>
      <c r="P57" s="482">
        <v>3</v>
      </c>
      <c r="Q57" s="484" t="s">
        <v>3</v>
      </c>
      <c r="R57" s="485">
        <v>0.06</v>
      </c>
      <c r="S57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7" s="695">
        <f>IFERROR(Producción_Agricola[[#This Row],[Económico $Corrientes]]/Producción_Agricola[[#This Row],[Indexación Económico]],0)</f>
        <v>0</v>
      </c>
      <c r="U5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7" s="695">
        <f>IFERROR(Producción_Agricola[[#This Row],[Financiero $Corrientes]]/Producción_Agricola[[#This Row],[Indexación Financiero]],0)</f>
        <v>0</v>
      </c>
      <c r="X5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7" s="699">
        <f>IFERROR(Producción_Agricola[[#This Row],[Intereses $Corrientes]]/Producción_Agricola[[#This Row],[Indexación Financiero]],0)</f>
        <v>0</v>
      </c>
      <c r="AA5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7" s="701" t="str">
        <f>IFERROR(INDEX(Produccion_Agricola_Cuentas[],MATCH(Producción_Agricola[[#This Row],[Cuenta Contable]],Produccion_Agricola_Cuentas[Cuenta Contable],0),2),0)</f>
        <v>Egreso</v>
      </c>
      <c r="AC57" s="702" t="str">
        <f>IFERROR(INDEX(Tabla9[],MATCH(Producción_Agricola[[#This Row],[Movimiento]],Tabla9[Movimientos],0),2),0)</f>
        <v>Si</v>
      </c>
      <c r="AD57" s="703" t="str">
        <f>IFERROR(INDEX(Tabla9[],MATCH(Producción_Agricola[[#This Row],[Movimiento]],Tabla9[Movimientos],0),3),0)</f>
        <v>(-)</v>
      </c>
      <c r="AE57" s="698">
        <f>IF(Producción_Agricola[[#This Row],[Fecha Económico]]=0,0,MONTH(Producción_Agricola[[#This Row],[Fecha Económico]]))</f>
        <v>9</v>
      </c>
      <c r="AF57" s="699">
        <f>IF(Producción_Agricola[[#This Row],[Fecha Económico]]=0,0,YEAR(Producción_Agricola[[#This Row],[Fecha Económico]]))</f>
        <v>2018</v>
      </c>
      <c r="AG57" s="704">
        <f>SUMPRODUCT((Producción_Agricola[[#This Row],[Mes Económico]]=Tipo_Cambio[Mes])*(Producción_Agricola[[#This Row],[Año Económico]]=Tipo_Cambio[Año])*(Tipo_Cambio[$/U$S]))</f>
        <v>22.4422</v>
      </c>
      <c r="AH57" s="703">
        <f>SUMPRODUCT((Producción_Agricola[[#This Row],[Mes Económico]]=Tipo_Cambio[Mes])*(Producción_Agricola[[#This Row],[Año Económico]]=Tipo_Cambio[Año])*(Tipo_Cambio[Actualización]))</f>
        <v>1.0404</v>
      </c>
      <c r="AI57" s="705">
        <f>IF(ISNUMBER(Producción_Agricola[[#This Row],[Fecha Financiero]])=TRUE,MONTH(Producción_Agricola[[#This Row],[Fecha Financiero]]),0)</f>
        <v>5</v>
      </c>
      <c r="AJ57" s="705">
        <f>IF(ISNUMBER(Producción_Agricola[[#This Row],[Fecha Financiero]])=TRUE,YEAR(Producción_Agricola[[#This Row],[Fecha Financiero]]),0)</f>
        <v>2019</v>
      </c>
      <c r="AK57" s="706">
        <f>SUMPRODUCT((Producción_Agricola[[#This Row],[Mes Financiero]]=Tipo_Cambio[Mes])*(Producción_Agricola[[#This Row],[Año Financiero]]=Tipo_Cambio[Año])*(Tipo_Cambio[$/U$S]))</f>
        <v>24.301686759046497</v>
      </c>
      <c r="AL57" s="706">
        <f>SUMPRODUCT((Producción_Agricola[[#This Row],[Mes Financiero]]=Tipo_Cambio[Mes])*(Producción_Agricola[[#This Row],[Año Financiero]]=Tipo_Cambio[Año])*(Tipo_Cambio[Actualización]))</f>
        <v>1.2189944199947573</v>
      </c>
      <c r="AM57" s="702">
        <f>IFERROR(Producción_Agricola[[#This Row],[Económico $Corrientes]]/Producción_Agricola[[#This Row],[Superficie]],0)</f>
        <v>0</v>
      </c>
      <c r="AN57" s="706">
        <f>IFERROR(Producción_Agricola[[#This Row],[Económico $Constantes]]/Producción_Agricola[[#This Row],[Superficie]],0)</f>
        <v>0</v>
      </c>
      <c r="AO57" s="706">
        <f>IFERROR(Producción_Agricola[[#This Row],[Económico U$S Dólares]]/Producción_Agricola[[#This Row],[Superficie]],0)</f>
        <v>0</v>
      </c>
      <c r="AP57" s="707" t="str">
        <f>IF(Económico!$F$4=0,0,Producción_Agricola[[#This Row],[Centro de Costo]])</f>
        <v>Campo 1</v>
      </c>
      <c r="AQ57" s="512" t="s">
        <v>379</v>
      </c>
      <c r="AR57" s="513"/>
      <c r="AS57"/>
    </row>
    <row r="58" spans="2:45" x14ac:dyDescent="0.25">
      <c r="D58" s="478">
        <f t="shared" ref="D58:D60" si="16">D57</f>
        <v>43361</v>
      </c>
      <c r="E58" s="478">
        <v>43586</v>
      </c>
      <c r="F58" s="668" t="str">
        <f t="shared" si="11"/>
        <v>2018-2019</v>
      </c>
      <c r="G58" s="669" t="str">
        <f t="shared" si="12"/>
        <v>Campo 1</v>
      </c>
      <c r="H58" s="669" t="str">
        <f t="shared" si="13"/>
        <v>Maíz Tardío</v>
      </c>
      <c r="I58" s="670" t="str">
        <f>IFERROR(INDEX(Tabla8[],MATCH(Producción_Agricola[[#This Row],[Unidad de Negocio]],Tabla8[Unidades de Negocio],0),2),0)</f>
        <v>Maíz</v>
      </c>
      <c r="J58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58" s="481" t="s">
        <v>17</v>
      </c>
      <c r="L58" s="482" t="s">
        <v>205</v>
      </c>
      <c r="M58" s="483">
        <v>0</v>
      </c>
      <c r="N58" s="484" t="s">
        <v>387</v>
      </c>
      <c r="O58" s="690">
        <f>Producción_Agricola[[#This Row],[Superficie]]*Producción_Agricola[[#This Row],[Cantidad]]</f>
        <v>0</v>
      </c>
      <c r="P58" s="482">
        <v>7</v>
      </c>
      <c r="Q58" s="484" t="s">
        <v>3</v>
      </c>
      <c r="R58" s="485">
        <v>0.06</v>
      </c>
      <c r="S58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8" s="695">
        <f>IFERROR(Producción_Agricola[[#This Row],[Económico $Corrientes]]/Producción_Agricola[[#This Row],[Indexación Económico]],0)</f>
        <v>0</v>
      </c>
      <c r="U5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8" s="695">
        <f>IFERROR(Producción_Agricola[[#This Row],[Financiero $Corrientes]]/Producción_Agricola[[#This Row],[Indexación Financiero]],0)</f>
        <v>0</v>
      </c>
      <c r="X5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8" s="699">
        <f>IFERROR(Producción_Agricola[[#This Row],[Intereses $Corrientes]]/Producción_Agricola[[#This Row],[Indexación Financiero]],0)</f>
        <v>0</v>
      </c>
      <c r="AA5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8" s="701" t="str">
        <f>IFERROR(INDEX(Produccion_Agricola_Cuentas[],MATCH(Producción_Agricola[[#This Row],[Cuenta Contable]],Produccion_Agricola_Cuentas[Cuenta Contable],0),2),0)</f>
        <v>Egreso</v>
      </c>
      <c r="AC58" s="702" t="str">
        <f>IFERROR(INDEX(Tabla9[],MATCH(Producción_Agricola[[#This Row],[Movimiento]],Tabla9[Movimientos],0),2),0)</f>
        <v>Si</v>
      </c>
      <c r="AD58" s="703" t="str">
        <f>IFERROR(INDEX(Tabla9[],MATCH(Producción_Agricola[[#This Row],[Movimiento]],Tabla9[Movimientos],0),3),0)</f>
        <v>(-)</v>
      </c>
      <c r="AE58" s="698">
        <f>IF(Producción_Agricola[[#This Row],[Fecha Económico]]=0,0,MONTH(Producción_Agricola[[#This Row],[Fecha Económico]]))</f>
        <v>9</v>
      </c>
      <c r="AF58" s="699">
        <f>IF(Producción_Agricola[[#This Row],[Fecha Económico]]=0,0,YEAR(Producción_Agricola[[#This Row],[Fecha Económico]]))</f>
        <v>2018</v>
      </c>
      <c r="AG58" s="704">
        <f>SUMPRODUCT((Producción_Agricola[[#This Row],[Mes Económico]]=Tipo_Cambio[Mes])*(Producción_Agricola[[#This Row],[Año Económico]]=Tipo_Cambio[Año])*(Tipo_Cambio[$/U$S]))</f>
        <v>22.4422</v>
      </c>
      <c r="AH58" s="703">
        <f>SUMPRODUCT((Producción_Agricola[[#This Row],[Mes Económico]]=Tipo_Cambio[Mes])*(Producción_Agricola[[#This Row],[Año Económico]]=Tipo_Cambio[Año])*(Tipo_Cambio[Actualización]))</f>
        <v>1.0404</v>
      </c>
      <c r="AI58" s="705">
        <f>IF(ISNUMBER(Producción_Agricola[[#This Row],[Fecha Financiero]])=TRUE,MONTH(Producción_Agricola[[#This Row],[Fecha Financiero]]),0)</f>
        <v>5</v>
      </c>
      <c r="AJ58" s="705">
        <f>IF(ISNUMBER(Producción_Agricola[[#This Row],[Fecha Financiero]])=TRUE,YEAR(Producción_Agricola[[#This Row],[Fecha Financiero]]),0)</f>
        <v>2019</v>
      </c>
      <c r="AK58" s="706">
        <f>SUMPRODUCT((Producción_Agricola[[#This Row],[Mes Financiero]]=Tipo_Cambio[Mes])*(Producción_Agricola[[#This Row],[Año Financiero]]=Tipo_Cambio[Año])*(Tipo_Cambio[$/U$S]))</f>
        <v>24.301686759046497</v>
      </c>
      <c r="AL58" s="706">
        <f>SUMPRODUCT((Producción_Agricola[[#This Row],[Mes Financiero]]=Tipo_Cambio[Mes])*(Producción_Agricola[[#This Row],[Año Financiero]]=Tipo_Cambio[Año])*(Tipo_Cambio[Actualización]))</f>
        <v>1.2189944199947573</v>
      </c>
      <c r="AM58" s="702">
        <f>IFERROR(Producción_Agricola[[#This Row],[Económico $Corrientes]]/Producción_Agricola[[#This Row],[Superficie]],0)</f>
        <v>0</v>
      </c>
      <c r="AN58" s="706">
        <f>IFERROR(Producción_Agricola[[#This Row],[Económico $Constantes]]/Producción_Agricola[[#This Row],[Superficie]],0)</f>
        <v>0</v>
      </c>
      <c r="AO58" s="706">
        <f>IFERROR(Producción_Agricola[[#This Row],[Económico U$S Dólares]]/Producción_Agricola[[#This Row],[Superficie]],0)</f>
        <v>0</v>
      </c>
      <c r="AP58" s="707" t="str">
        <f>IF(Económico!$F$4=0,0,Producción_Agricola[[#This Row],[Centro de Costo]])</f>
        <v>Campo 1</v>
      </c>
      <c r="AQ58" s="512" t="s">
        <v>379</v>
      </c>
      <c r="AR58" s="513"/>
      <c r="AS58"/>
    </row>
    <row r="59" spans="2:45" x14ac:dyDescent="0.25">
      <c r="D59" s="478">
        <f t="shared" si="16"/>
        <v>43361</v>
      </c>
      <c r="E59" s="478">
        <v>43586</v>
      </c>
      <c r="F59" s="668" t="str">
        <f t="shared" si="11"/>
        <v>2018-2019</v>
      </c>
      <c r="G59" s="669" t="str">
        <f t="shared" si="12"/>
        <v>Campo 1</v>
      </c>
      <c r="H59" s="669" t="str">
        <f t="shared" si="13"/>
        <v>Maíz Tardío</v>
      </c>
      <c r="I59" s="670" t="str">
        <f>IFERROR(INDEX(Tabla8[],MATCH(Producción_Agricola[[#This Row],[Unidad de Negocio]],Tabla8[Unidades de Negocio],0),2),0)</f>
        <v>Maíz</v>
      </c>
      <c r="J59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59" s="481" t="s">
        <v>17</v>
      </c>
      <c r="L59" s="482" t="s">
        <v>51</v>
      </c>
      <c r="M59" s="483">
        <v>0</v>
      </c>
      <c r="N59" s="484" t="s">
        <v>387</v>
      </c>
      <c r="O59" s="690">
        <f>Producción_Agricola[[#This Row],[Superficie]]*Producción_Agricola[[#This Row],[Cantidad]]</f>
        <v>0</v>
      </c>
      <c r="P59" s="482">
        <v>8</v>
      </c>
      <c r="Q59" s="484" t="s">
        <v>3</v>
      </c>
      <c r="R59" s="485">
        <v>0.06</v>
      </c>
      <c r="S59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9" s="695">
        <f>IFERROR(Producción_Agricola[[#This Row],[Económico $Corrientes]]/Producción_Agricola[[#This Row],[Indexación Económico]],0)</f>
        <v>0</v>
      </c>
      <c r="U5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9" s="695">
        <f>IFERROR(Producción_Agricola[[#This Row],[Financiero $Corrientes]]/Producción_Agricola[[#This Row],[Indexación Financiero]],0)</f>
        <v>0</v>
      </c>
      <c r="X5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9" s="699">
        <f>IFERROR(Producción_Agricola[[#This Row],[Intereses $Corrientes]]/Producción_Agricola[[#This Row],[Indexación Financiero]],0)</f>
        <v>0</v>
      </c>
      <c r="AA5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9" s="701" t="str">
        <f>IFERROR(INDEX(Produccion_Agricola_Cuentas[],MATCH(Producción_Agricola[[#This Row],[Cuenta Contable]],Produccion_Agricola_Cuentas[Cuenta Contable],0),2),0)</f>
        <v>Egreso</v>
      </c>
      <c r="AC59" s="702" t="str">
        <f>IFERROR(INDEX(Tabla9[],MATCH(Producción_Agricola[[#This Row],[Movimiento]],Tabla9[Movimientos],0),2),0)</f>
        <v>Si</v>
      </c>
      <c r="AD59" s="703" t="str">
        <f>IFERROR(INDEX(Tabla9[],MATCH(Producción_Agricola[[#This Row],[Movimiento]],Tabla9[Movimientos],0),3),0)</f>
        <v>(-)</v>
      </c>
      <c r="AE59" s="698">
        <f>IF(Producción_Agricola[[#This Row],[Fecha Económico]]=0,0,MONTH(Producción_Agricola[[#This Row],[Fecha Económico]]))</f>
        <v>9</v>
      </c>
      <c r="AF59" s="699">
        <f>IF(Producción_Agricola[[#This Row],[Fecha Económico]]=0,0,YEAR(Producción_Agricola[[#This Row],[Fecha Económico]]))</f>
        <v>2018</v>
      </c>
      <c r="AG59" s="704">
        <f>SUMPRODUCT((Producción_Agricola[[#This Row],[Mes Económico]]=Tipo_Cambio[Mes])*(Producción_Agricola[[#This Row],[Año Económico]]=Tipo_Cambio[Año])*(Tipo_Cambio[$/U$S]))</f>
        <v>22.4422</v>
      </c>
      <c r="AH59" s="703">
        <f>SUMPRODUCT((Producción_Agricola[[#This Row],[Mes Económico]]=Tipo_Cambio[Mes])*(Producción_Agricola[[#This Row],[Año Económico]]=Tipo_Cambio[Año])*(Tipo_Cambio[Actualización]))</f>
        <v>1.0404</v>
      </c>
      <c r="AI59" s="705">
        <f>IF(ISNUMBER(Producción_Agricola[[#This Row],[Fecha Financiero]])=TRUE,MONTH(Producción_Agricola[[#This Row],[Fecha Financiero]]),0)</f>
        <v>5</v>
      </c>
      <c r="AJ59" s="705">
        <f>IF(ISNUMBER(Producción_Agricola[[#This Row],[Fecha Financiero]])=TRUE,YEAR(Producción_Agricola[[#This Row],[Fecha Financiero]]),0)</f>
        <v>2019</v>
      </c>
      <c r="AK59" s="706">
        <f>SUMPRODUCT((Producción_Agricola[[#This Row],[Mes Financiero]]=Tipo_Cambio[Mes])*(Producción_Agricola[[#This Row],[Año Financiero]]=Tipo_Cambio[Año])*(Tipo_Cambio[$/U$S]))</f>
        <v>24.301686759046497</v>
      </c>
      <c r="AL59" s="706">
        <f>SUMPRODUCT((Producción_Agricola[[#This Row],[Mes Financiero]]=Tipo_Cambio[Mes])*(Producción_Agricola[[#This Row],[Año Financiero]]=Tipo_Cambio[Año])*(Tipo_Cambio[Actualización]))</f>
        <v>1.2189944199947573</v>
      </c>
      <c r="AM59" s="702">
        <f>IFERROR(Producción_Agricola[[#This Row],[Económico $Corrientes]]/Producción_Agricola[[#This Row],[Superficie]],0)</f>
        <v>0</v>
      </c>
      <c r="AN59" s="706">
        <f>IFERROR(Producción_Agricola[[#This Row],[Económico $Constantes]]/Producción_Agricola[[#This Row],[Superficie]],0)</f>
        <v>0</v>
      </c>
      <c r="AO59" s="706">
        <f>IFERROR(Producción_Agricola[[#This Row],[Económico U$S Dólares]]/Producción_Agricola[[#This Row],[Superficie]],0)</f>
        <v>0</v>
      </c>
      <c r="AP59" s="707" t="str">
        <f>IF(Económico!$F$4=0,0,Producción_Agricola[[#This Row],[Centro de Costo]])</f>
        <v>Campo 1</v>
      </c>
      <c r="AQ59" s="512" t="s">
        <v>379</v>
      </c>
      <c r="AR59" s="513"/>
      <c r="AS59"/>
    </row>
    <row r="60" spans="2:45" x14ac:dyDescent="0.25">
      <c r="D60" s="478">
        <f t="shared" si="16"/>
        <v>43361</v>
      </c>
      <c r="E60" s="478">
        <v>43586</v>
      </c>
      <c r="F60" s="668" t="str">
        <f t="shared" si="11"/>
        <v>2018-2019</v>
      </c>
      <c r="G60" s="669" t="str">
        <f t="shared" si="12"/>
        <v>Campo 1</v>
      </c>
      <c r="H60" s="669" t="str">
        <f t="shared" si="13"/>
        <v>Maíz Tardío</v>
      </c>
      <c r="I60" s="670" t="str">
        <f>IFERROR(INDEX(Tabla8[],MATCH(Producción_Agricola[[#This Row],[Unidad de Negocio]],Tabla8[Unidades de Negocio],0),2),0)</f>
        <v>Maíz</v>
      </c>
      <c r="J60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60" s="481" t="s">
        <v>22</v>
      </c>
      <c r="L60" s="482" t="s">
        <v>365</v>
      </c>
      <c r="M60" s="483">
        <v>0</v>
      </c>
      <c r="N60" s="484" t="s">
        <v>387</v>
      </c>
      <c r="O60" s="690">
        <f>Producción_Agricola[[#This Row],[Superficie]]*Producción_Agricola[[#This Row],[Cantidad]]</f>
        <v>0</v>
      </c>
      <c r="P60" s="482">
        <v>10</v>
      </c>
      <c r="Q60" s="484" t="s">
        <v>3</v>
      </c>
      <c r="R60" s="485">
        <v>0.06</v>
      </c>
      <c r="S60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0" s="695">
        <f>IFERROR(Producción_Agricola[[#This Row],[Económico $Corrientes]]/Producción_Agricola[[#This Row],[Indexación Económico]],0)</f>
        <v>0</v>
      </c>
      <c r="U6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0" s="695">
        <f>IFERROR(Producción_Agricola[[#This Row],[Financiero $Corrientes]]/Producción_Agricola[[#This Row],[Indexación Financiero]],0)</f>
        <v>0</v>
      </c>
      <c r="X6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0" s="699">
        <f>IFERROR(Producción_Agricola[[#This Row],[Intereses $Corrientes]]/Producción_Agricola[[#This Row],[Indexación Financiero]],0)</f>
        <v>0</v>
      </c>
      <c r="AA6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0" s="701" t="str">
        <f>IFERROR(INDEX(Produccion_Agricola_Cuentas[],MATCH(Producción_Agricola[[#This Row],[Cuenta Contable]],Produccion_Agricola_Cuentas[Cuenta Contable],0),2),0)</f>
        <v>Egreso</v>
      </c>
      <c r="AC60" s="702" t="str">
        <f>IFERROR(INDEX(Tabla9[],MATCH(Producción_Agricola[[#This Row],[Movimiento]],Tabla9[Movimientos],0),2),0)</f>
        <v>Si</v>
      </c>
      <c r="AD60" s="703" t="str">
        <f>IFERROR(INDEX(Tabla9[],MATCH(Producción_Agricola[[#This Row],[Movimiento]],Tabla9[Movimientos],0),3),0)</f>
        <v>(-)</v>
      </c>
      <c r="AE60" s="698">
        <f>IF(Producción_Agricola[[#This Row],[Fecha Económico]]=0,0,MONTH(Producción_Agricola[[#This Row],[Fecha Económico]]))</f>
        <v>9</v>
      </c>
      <c r="AF60" s="699">
        <f>IF(Producción_Agricola[[#This Row],[Fecha Económico]]=0,0,YEAR(Producción_Agricola[[#This Row],[Fecha Económico]]))</f>
        <v>2018</v>
      </c>
      <c r="AG60" s="704">
        <f>SUMPRODUCT((Producción_Agricola[[#This Row],[Mes Económico]]=Tipo_Cambio[Mes])*(Producción_Agricola[[#This Row],[Año Económico]]=Tipo_Cambio[Año])*(Tipo_Cambio[$/U$S]))</f>
        <v>22.4422</v>
      </c>
      <c r="AH60" s="703">
        <f>SUMPRODUCT((Producción_Agricola[[#This Row],[Mes Económico]]=Tipo_Cambio[Mes])*(Producción_Agricola[[#This Row],[Año Económico]]=Tipo_Cambio[Año])*(Tipo_Cambio[Actualización]))</f>
        <v>1.0404</v>
      </c>
      <c r="AI60" s="705">
        <f>IF(ISNUMBER(Producción_Agricola[[#This Row],[Fecha Financiero]])=TRUE,MONTH(Producción_Agricola[[#This Row],[Fecha Financiero]]),0)</f>
        <v>5</v>
      </c>
      <c r="AJ60" s="705">
        <f>IF(ISNUMBER(Producción_Agricola[[#This Row],[Fecha Financiero]])=TRUE,YEAR(Producción_Agricola[[#This Row],[Fecha Financiero]]),0)</f>
        <v>2019</v>
      </c>
      <c r="AK60" s="706">
        <f>SUMPRODUCT((Producción_Agricola[[#This Row],[Mes Financiero]]=Tipo_Cambio[Mes])*(Producción_Agricola[[#This Row],[Año Financiero]]=Tipo_Cambio[Año])*(Tipo_Cambio[$/U$S]))</f>
        <v>24.301686759046497</v>
      </c>
      <c r="AL60" s="706">
        <f>SUMPRODUCT((Producción_Agricola[[#This Row],[Mes Financiero]]=Tipo_Cambio[Mes])*(Producción_Agricola[[#This Row],[Año Financiero]]=Tipo_Cambio[Año])*(Tipo_Cambio[Actualización]))</f>
        <v>1.2189944199947573</v>
      </c>
      <c r="AM60" s="702">
        <f>IFERROR(Producción_Agricola[[#This Row],[Económico $Corrientes]]/Producción_Agricola[[#This Row],[Superficie]],0)</f>
        <v>0</v>
      </c>
      <c r="AN60" s="706">
        <f>IFERROR(Producción_Agricola[[#This Row],[Económico $Constantes]]/Producción_Agricola[[#This Row],[Superficie]],0)</f>
        <v>0</v>
      </c>
      <c r="AO60" s="706">
        <f>IFERROR(Producción_Agricola[[#This Row],[Económico U$S Dólares]]/Producción_Agricola[[#This Row],[Superficie]],0)</f>
        <v>0</v>
      </c>
      <c r="AP60" s="707" t="str">
        <f>IF(Económico!$F$4=0,0,Producción_Agricola[[#This Row],[Centro de Costo]])</f>
        <v>Campo 1</v>
      </c>
      <c r="AQ60" s="512" t="s">
        <v>379</v>
      </c>
      <c r="AR60" s="513"/>
      <c r="AS60"/>
    </row>
    <row r="61" spans="2:45" x14ac:dyDescent="0.25">
      <c r="D61" s="478">
        <f>D59</f>
        <v>43361</v>
      </c>
      <c r="E61" s="478">
        <v>43586</v>
      </c>
      <c r="F61" s="668" t="str">
        <f t="shared" si="11"/>
        <v>2018-2019</v>
      </c>
      <c r="G61" s="669" t="str">
        <f t="shared" si="12"/>
        <v>Campo 1</v>
      </c>
      <c r="H61" s="669" t="str">
        <f t="shared" si="13"/>
        <v>Maíz Tardío</v>
      </c>
      <c r="I61" s="670" t="str">
        <f>IFERROR(INDEX(Tabla8[],MATCH(Producción_Agricola[[#This Row],[Unidad de Negocio]],Tabla8[Unidades de Negocio],0),2),0)</f>
        <v>Maíz</v>
      </c>
      <c r="J61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61" s="481" t="s">
        <v>24</v>
      </c>
      <c r="L61" s="482" t="s">
        <v>363</v>
      </c>
      <c r="M61" s="483">
        <v>0</v>
      </c>
      <c r="N61" s="484" t="s">
        <v>387</v>
      </c>
      <c r="O61" s="690">
        <f>Producción_Agricola[[#This Row],[Superficie]]*Producción_Agricola[[#This Row],[Cantidad]]</f>
        <v>0</v>
      </c>
      <c r="P61" s="482">
        <v>18</v>
      </c>
      <c r="Q61" s="484" t="s">
        <v>3</v>
      </c>
      <c r="R61" s="485">
        <v>0.06</v>
      </c>
      <c r="S61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1" s="695">
        <f>IFERROR(Producción_Agricola[[#This Row],[Económico $Corrientes]]/Producción_Agricola[[#This Row],[Indexación Económico]],0)</f>
        <v>0</v>
      </c>
      <c r="U6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1" s="695">
        <f>IFERROR(Producción_Agricola[[#This Row],[Financiero $Corrientes]]/Producción_Agricola[[#This Row],[Indexación Financiero]],0)</f>
        <v>0</v>
      </c>
      <c r="X6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1" s="699">
        <f>IFERROR(Producción_Agricola[[#This Row],[Intereses $Corrientes]]/Producción_Agricola[[#This Row],[Indexación Financiero]],0)</f>
        <v>0</v>
      </c>
      <c r="AA6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1" s="701" t="str">
        <f>IFERROR(INDEX(Produccion_Agricola_Cuentas[],MATCH(Producción_Agricola[[#This Row],[Cuenta Contable]],Produccion_Agricola_Cuentas[Cuenta Contable],0),2),0)</f>
        <v>Egreso</v>
      </c>
      <c r="AC61" s="702" t="str">
        <f>IFERROR(INDEX(Tabla9[],MATCH(Producción_Agricola[[#This Row],[Movimiento]],Tabla9[Movimientos],0),2),0)</f>
        <v>Si</v>
      </c>
      <c r="AD61" s="703" t="str">
        <f>IFERROR(INDEX(Tabla9[],MATCH(Producción_Agricola[[#This Row],[Movimiento]],Tabla9[Movimientos],0),3),0)</f>
        <v>(-)</v>
      </c>
      <c r="AE61" s="698">
        <f>IF(Producción_Agricola[[#This Row],[Fecha Económico]]=0,0,MONTH(Producción_Agricola[[#This Row],[Fecha Económico]]))</f>
        <v>9</v>
      </c>
      <c r="AF61" s="699">
        <f>IF(Producción_Agricola[[#This Row],[Fecha Económico]]=0,0,YEAR(Producción_Agricola[[#This Row],[Fecha Económico]]))</f>
        <v>2018</v>
      </c>
      <c r="AG61" s="704">
        <f>SUMPRODUCT((Producción_Agricola[[#This Row],[Mes Económico]]=Tipo_Cambio[Mes])*(Producción_Agricola[[#This Row],[Año Económico]]=Tipo_Cambio[Año])*(Tipo_Cambio[$/U$S]))</f>
        <v>22.4422</v>
      </c>
      <c r="AH61" s="703">
        <f>SUMPRODUCT((Producción_Agricola[[#This Row],[Mes Económico]]=Tipo_Cambio[Mes])*(Producción_Agricola[[#This Row],[Año Económico]]=Tipo_Cambio[Año])*(Tipo_Cambio[Actualización]))</f>
        <v>1.0404</v>
      </c>
      <c r="AI61" s="705">
        <f>IF(ISNUMBER(Producción_Agricola[[#This Row],[Fecha Financiero]])=TRUE,MONTH(Producción_Agricola[[#This Row],[Fecha Financiero]]),0)</f>
        <v>5</v>
      </c>
      <c r="AJ61" s="705">
        <f>IF(ISNUMBER(Producción_Agricola[[#This Row],[Fecha Financiero]])=TRUE,YEAR(Producción_Agricola[[#This Row],[Fecha Financiero]]),0)</f>
        <v>2019</v>
      </c>
      <c r="AK61" s="706">
        <f>SUMPRODUCT((Producción_Agricola[[#This Row],[Mes Financiero]]=Tipo_Cambio[Mes])*(Producción_Agricola[[#This Row],[Año Financiero]]=Tipo_Cambio[Año])*(Tipo_Cambio[$/U$S]))</f>
        <v>24.301686759046497</v>
      </c>
      <c r="AL61" s="706">
        <f>SUMPRODUCT((Producción_Agricola[[#This Row],[Mes Financiero]]=Tipo_Cambio[Mes])*(Producción_Agricola[[#This Row],[Año Financiero]]=Tipo_Cambio[Año])*(Tipo_Cambio[Actualización]))</f>
        <v>1.2189944199947573</v>
      </c>
      <c r="AM61" s="702">
        <f>IFERROR(Producción_Agricola[[#This Row],[Económico $Corrientes]]/Producción_Agricola[[#This Row],[Superficie]],0)</f>
        <v>0</v>
      </c>
      <c r="AN61" s="706">
        <f>IFERROR(Producción_Agricola[[#This Row],[Económico $Constantes]]/Producción_Agricola[[#This Row],[Superficie]],0)</f>
        <v>0</v>
      </c>
      <c r="AO61" s="706">
        <f>IFERROR(Producción_Agricola[[#This Row],[Económico U$S Dólares]]/Producción_Agricola[[#This Row],[Superficie]],0)</f>
        <v>0</v>
      </c>
      <c r="AP61" s="707" t="str">
        <f>IF(Económico!$F$4=0,0,Producción_Agricola[[#This Row],[Centro de Costo]])</f>
        <v>Campo 1</v>
      </c>
      <c r="AQ61" s="512" t="s">
        <v>379</v>
      </c>
      <c r="AR61" s="513"/>
      <c r="AS61"/>
    </row>
    <row r="62" spans="2:45" x14ac:dyDescent="0.25">
      <c r="D62" s="478">
        <f>D45-220</f>
        <v>43366</v>
      </c>
      <c r="E62" s="478">
        <f>Producción_Agricola[[#This Row],[Fecha Económico]]+30</f>
        <v>43396</v>
      </c>
      <c r="F62" s="668" t="str">
        <f t="shared" si="11"/>
        <v>2018-2019</v>
      </c>
      <c r="G62" s="669" t="str">
        <f t="shared" si="12"/>
        <v>Campo 1</v>
      </c>
      <c r="H62" s="669" t="str">
        <f t="shared" si="13"/>
        <v>Maíz Tardío</v>
      </c>
      <c r="I62" s="670" t="str">
        <f>IFERROR(INDEX(Tabla8[],MATCH(Producción_Agricola[[#This Row],[Unidad de Negocio]],Tabla8[Unidades de Negocio],0),2),0)</f>
        <v>Maíz</v>
      </c>
      <c r="J62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62" s="481" t="s">
        <v>25</v>
      </c>
      <c r="L62" s="482" t="s">
        <v>30</v>
      </c>
      <c r="M62" s="483">
        <v>0</v>
      </c>
      <c r="N62" s="484" t="s">
        <v>389</v>
      </c>
      <c r="O62" s="690">
        <f>Producción_Agricola[[#This Row],[Superficie]]*Producción_Agricola[[#This Row],[Cantidad]]</f>
        <v>0</v>
      </c>
      <c r="P62" s="482">
        <v>800</v>
      </c>
      <c r="Q62" s="484" t="s">
        <v>48</v>
      </c>
      <c r="R62" s="485">
        <v>0</v>
      </c>
      <c r="S62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2" s="695">
        <f>IFERROR(Producción_Agricola[[#This Row],[Económico $Corrientes]]/Producción_Agricola[[#This Row],[Indexación Económico]],0)</f>
        <v>0</v>
      </c>
      <c r="U62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2" s="695">
        <f>IFERROR(Producción_Agricola[[#This Row],[Financiero $Corrientes]]/Producción_Agricola[[#This Row],[Indexación Financiero]],0)</f>
        <v>0</v>
      </c>
      <c r="X6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2" s="699">
        <f>IFERROR(Producción_Agricola[[#This Row],[Intereses $Corrientes]]/Producción_Agricola[[#This Row],[Indexación Financiero]],0)</f>
        <v>0</v>
      </c>
      <c r="AA6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2" s="701" t="str">
        <f>IFERROR(INDEX(Produccion_Agricola_Cuentas[],MATCH(Producción_Agricola[[#This Row],[Cuenta Contable]],Produccion_Agricola_Cuentas[Cuenta Contable],0),2),0)</f>
        <v>Egreso</v>
      </c>
      <c r="AC62" s="702" t="str">
        <f>IFERROR(INDEX(Tabla9[],MATCH(Producción_Agricola[[#This Row],[Movimiento]],Tabla9[Movimientos],0),2),0)</f>
        <v>Si</v>
      </c>
      <c r="AD62" s="703" t="str">
        <f>IFERROR(INDEX(Tabla9[],MATCH(Producción_Agricola[[#This Row],[Movimiento]],Tabla9[Movimientos],0),3),0)</f>
        <v>(-)</v>
      </c>
      <c r="AE62" s="698">
        <f>IF(Producción_Agricola[[#This Row],[Fecha Económico]]=0,0,MONTH(Producción_Agricola[[#This Row],[Fecha Económico]]))</f>
        <v>9</v>
      </c>
      <c r="AF62" s="699">
        <f>IF(Producción_Agricola[[#This Row],[Fecha Económico]]=0,0,YEAR(Producción_Agricola[[#This Row],[Fecha Económico]]))</f>
        <v>2018</v>
      </c>
      <c r="AG62" s="704">
        <f>SUMPRODUCT((Producción_Agricola[[#This Row],[Mes Económico]]=Tipo_Cambio[Mes])*(Producción_Agricola[[#This Row],[Año Económico]]=Tipo_Cambio[Año])*(Tipo_Cambio[$/U$S]))</f>
        <v>22.4422</v>
      </c>
      <c r="AH62" s="703">
        <f>SUMPRODUCT((Producción_Agricola[[#This Row],[Mes Económico]]=Tipo_Cambio[Mes])*(Producción_Agricola[[#This Row],[Año Económico]]=Tipo_Cambio[Año])*(Tipo_Cambio[Actualización]))</f>
        <v>1.0404</v>
      </c>
      <c r="AI62" s="705">
        <f>IF(ISNUMBER(Producción_Agricola[[#This Row],[Fecha Financiero]])=TRUE,MONTH(Producción_Agricola[[#This Row],[Fecha Financiero]]),0)</f>
        <v>10</v>
      </c>
      <c r="AJ62" s="705">
        <f>IF(ISNUMBER(Producción_Agricola[[#This Row],[Fecha Financiero]])=TRUE,YEAR(Producción_Agricola[[#This Row],[Fecha Financiero]]),0)</f>
        <v>2018</v>
      </c>
      <c r="AK62" s="706">
        <f>SUMPRODUCT((Producción_Agricola[[#This Row],[Mes Financiero]]=Tipo_Cambio[Mes])*(Producción_Agricola[[#This Row],[Año Financiero]]=Tipo_Cambio[Año])*(Tipo_Cambio[$/U$S]))</f>
        <v>22.666622</v>
      </c>
      <c r="AL62" s="706">
        <f>SUMPRODUCT((Producción_Agricola[[#This Row],[Mes Financiero]]=Tipo_Cambio[Mes])*(Producción_Agricola[[#This Row],[Año Financiero]]=Tipo_Cambio[Año])*(Tipo_Cambio[Actualización]))</f>
        <v>1.0612079999999999</v>
      </c>
      <c r="AM62" s="702">
        <f>IFERROR(Producción_Agricola[[#This Row],[Económico $Corrientes]]/Producción_Agricola[[#This Row],[Superficie]],0)</f>
        <v>0</v>
      </c>
      <c r="AN62" s="706">
        <f>IFERROR(Producción_Agricola[[#This Row],[Económico $Constantes]]/Producción_Agricola[[#This Row],[Superficie]],0)</f>
        <v>0</v>
      </c>
      <c r="AO62" s="706">
        <f>IFERROR(Producción_Agricola[[#This Row],[Económico U$S Dólares]]/Producción_Agricola[[#This Row],[Superficie]],0)</f>
        <v>0</v>
      </c>
      <c r="AP62" s="707" t="str">
        <f>IF(Económico!$F$4=0,0,Producción_Agricola[[#This Row],[Centro de Costo]])</f>
        <v>Campo 1</v>
      </c>
      <c r="AQ62" s="512" t="s">
        <v>30</v>
      </c>
      <c r="AR62" s="513"/>
      <c r="AS62"/>
    </row>
    <row r="63" spans="2:45" x14ac:dyDescent="0.25">
      <c r="D63" s="478">
        <f>D62</f>
        <v>43366</v>
      </c>
      <c r="E63" s="478">
        <v>43586</v>
      </c>
      <c r="F63" s="668" t="str">
        <f t="shared" si="11"/>
        <v>2018-2019</v>
      </c>
      <c r="G63" s="669" t="str">
        <f t="shared" si="12"/>
        <v>Campo 1</v>
      </c>
      <c r="H63" s="669" t="str">
        <f t="shared" si="13"/>
        <v>Maíz Tardío</v>
      </c>
      <c r="I63" s="670" t="str">
        <f>IFERROR(INDEX(Tabla8[],MATCH(Producción_Agricola[[#This Row],[Unidad de Negocio]],Tabla8[Unidades de Negocio],0),2),0)</f>
        <v>Maíz</v>
      </c>
      <c r="J63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63" s="481" t="s">
        <v>18</v>
      </c>
      <c r="L63" s="482" t="s">
        <v>364</v>
      </c>
      <c r="M63" s="483">
        <v>0</v>
      </c>
      <c r="N63" s="484" t="s">
        <v>390</v>
      </c>
      <c r="O63" s="690">
        <f>Producción_Agricola[[#This Row],[Superficie]]*Producción_Agricola[[#This Row],[Cantidad]]</f>
        <v>0</v>
      </c>
      <c r="P63" s="482">
        <v>220</v>
      </c>
      <c r="Q63" s="484" t="s">
        <v>3</v>
      </c>
      <c r="R63" s="485">
        <v>0.06</v>
      </c>
      <c r="S63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3" s="695">
        <f>IFERROR(Producción_Agricola[[#This Row],[Económico $Corrientes]]/Producción_Agricola[[#This Row],[Indexación Económico]],0)</f>
        <v>0</v>
      </c>
      <c r="U63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3" s="695">
        <f>IFERROR(Producción_Agricola[[#This Row],[Financiero $Corrientes]]/Producción_Agricola[[#This Row],[Indexación Financiero]],0)</f>
        <v>0</v>
      </c>
      <c r="X6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3" s="699">
        <f>IFERROR(Producción_Agricola[[#This Row],[Intereses $Corrientes]]/Producción_Agricola[[#This Row],[Indexación Financiero]],0)</f>
        <v>0</v>
      </c>
      <c r="AA6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3" s="701" t="str">
        <f>IFERROR(INDEX(Produccion_Agricola_Cuentas[],MATCH(Producción_Agricola[[#This Row],[Cuenta Contable]],Produccion_Agricola_Cuentas[Cuenta Contable],0),2),0)</f>
        <v>Egreso</v>
      </c>
      <c r="AC63" s="702" t="str">
        <f>IFERROR(INDEX(Tabla9[],MATCH(Producción_Agricola[[#This Row],[Movimiento]],Tabla9[Movimientos],0),2),0)</f>
        <v>Si</v>
      </c>
      <c r="AD63" s="703" t="str">
        <f>IFERROR(INDEX(Tabla9[],MATCH(Producción_Agricola[[#This Row],[Movimiento]],Tabla9[Movimientos],0),3),0)</f>
        <v>(-)</v>
      </c>
      <c r="AE63" s="698">
        <f>IF(Producción_Agricola[[#This Row],[Fecha Económico]]=0,0,MONTH(Producción_Agricola[[#This Row],[Fecha Económico]]))</f>
        <v>9</v>
      </c>
      <c r="AF63" s="699">
        <f>IF(Producción_Agricola[[#This Row],[Fecha Económico]]=0,0,YEAR(Producción_Agricola[[#This Row],[Fecha Económico]]))</f>
        <v>2018</v>
      </c>
      <c r="AG63" s="704">
        <f>SUMPRODUCT((Producción_Agricola[[#This Row],[Mes Económico]]=Tipo_Cambio[Mes])*(Producción_Agricola[[#This Row],[Año Económico]]=Tipo_Cambio[Año])*(Tipo_Cambio[$/U$S]))</f>
        <v>22.4422</v>
      </c>
      <c r="AH63" s="703">
        <f>SUMPRODUCT((Producción_Agricola[[#This Row],[Mes Económico]]=Tipo_Cambio[Mes])*(Producción_Agricola[[#This Row],[Año Económico]]=Tipo_Cambio[Año])*(Tipo_Cambio[Actualización]))</f>
        <v>1.0404</v>
      </c>
      <c r="AI63" s="705">
        <f>IF(ISNUMBER(Producción_Agricola[[#This Row],[Fecha Financiero]])=TRUE,MONTH(Producción_Agricola[[#This Row],[Fecha Financiero]]),0)</f>
        <v>5</v>
      </c>
      <c r="AJ63" s="705">
        <f>IF(ISNUMBER(Producción_Agricola[[#This Row],[Fecha Financiero]])=TRUE,YEAR(Producción_Agricola[[#This Row],[Fecha Financiero]]),0)</f>
        <v>2019</v>
      </c>
      <c r="AK63" s="706">
        <f>SUMPRODUCT((Producción_Agricola[[#This Row],[Mes Financiero]]=Tipo_Cambio[Mes])*(Producción_Agricola[[#This Row],[Año Financiero]]=Tipo_Cambio[Año])*(Tipo_Cambio[$/U$S]))</f>
        <v>24.301686759046497</v>
      </c>
      <c r="AL63" s="706">
        <f>SUMPRODUCT((Producción_Agricola[[#This Row],[Mes Financiero]]=Tipo_Cambio[Mes])*(Producción_Agricola[[#This Row],[Año Financiero]]=Tipo_Cambio[Año])*(Tipo_Cambio[Actualización]))</f>
        <v>1.2189944199947573</v>
      </c>
      <c r="AM63" s="702">
        <f>IFERROR(Producción_Agricola[[#This Row],[Económico $Corrientes]]/Producción_Agricola[[#This Row],[Superficie]],0)</f>
        <v>0</v>
      </c>
      <c r="AN63" s="706">
        <f>IFERROR(Producción_Agricola[[#This Row],[Económico $Constantes]]/Producción_Agricola[[#This Row],[Superficie]],0)</f>
        <v>0</v>
      </c>
      <c r="AO63" s="706">
        <f>IFERROR(Producción_Agricola[[#This Row],[Económico U$S Dólares]]/Producción_Agricola[[#This Row],[Superficie]],0)</f>
        <v>0</v>
      </c>
      <c r="AP63" s="707" t="str">
        <f>IF(Económico!$F$4=0,0,Producción_Agricola[[#This Row],[Centro de Costo]])</f>
        <v>Campo 1</v>
      </c>
      <c r="AQ63" s="512" t="s">
        <v>30</v>
      </c>
      <c r="AR63" s="513"/>
      <c r="AS63"/>
    </row>
    <row r="64" spans="2:45" x14ac:dyDescent="0.25">
      <c r="D64" s="478">
        <f t="shared" ref="D64:D65" si="17">D63</f>
        <v>43366</v>
      </c>
      <c r="E64" s="478">
        <f>Producción_Agricola[[#This Row],[Fecha Económico]]+30</f>
        <v>43396</v>
      </c>
      <c r="F64" s="668" t="str">
        <f t="shared" si="11"/>
        <v>2018-2019</v>
      </c>
      <c r="G64" s="669" t="str">
        <f t="shared" si="12"/>
        <v>Campo 1</v>
      </c>
      <c r="H64" s="669" t="str">
        <f t="shared" si="13"/>
        <v>Maíz Tardío</v>
      </c>
      <c r="I64" s="670" t="str">
        <f>IFERROR(INDEX(Tabla8[],MATCH(Producción_Agricola[[#This Row],[Unidad de Negocio]],Tabla8[Unidades de Negocio],0),2),0)</f>
        <v>Maíz</v>
      </c>
      <c r="J64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64" s="481" t="s">
        <v>19</v>
      </c>
      <c r="L64" s="482" t="s">
        <v>28</v>
      </c>
      <c r="M64" s="483">
        <v>0</v>
      </c>
      <c r="N64" s="484" t="s">
        <v>388</v>
      </c>
      <c r="O64" s="690">
        <f>Producción_Agricola[[#This Row],[Superficie]]*Producción_Agricola[[#This Row],[Cantidad]]</f>
        <v>0</v>
      </c>
      <c r="P64" s="482">
        <v>0.6</v>
      </c>
      <c r="Q64" s="484" t="s">
        <v>3</v>
      </c>
      <c r="R64" s="485">
        <v>0</v>
      </c>
      <c r="S64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4" s="695">
        <f>IFERROR(Producción_Agricola[[#This Row],[Económico $Corrientes]]/Producción_Agricola[[#This Row],[Indexación Económico]],0)</f>
        <v>0</v>
      </c>
      <c r="U64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4" s="695">
        <f>IFERROR(Producción_Agricola[[#This Row],[Financiero $Corrientes]]/Producción_Agricola[[#This Row],[Indexación Financiero]],0)</f>
        <v>0</v>
      </c>
      <c r="X6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4" s="699">
        <f>IFERROR(Producción_Agricola[[#This Row],[Intereses $Corrientes]]/Producción_Agricola[[#This Row],[Indexación Financiero]],0)</f>
        <v>0</v>
      </c>
      <c r="AA6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4" s="701" t="str">
        <f>IFERROR(INDEX(Produccion_Agricola_Cuentas[],MATCH(Producción_Agricola[[#This Row],[Cuenta Contable]],Produccion_Agricola_Cuentas[Cuenta Contable],0),2),0)</f>
        <v>Egreso</v>
      </c>
      <c r="AC64" s="702" t="str">
        <f>IFERROR(INDEX(Tabla9[],MATCH(Producción_Agricola[[#This Row],[Movimiento]],Tabla9[Movimientos],0),2),0)</f>
        <v>Si</v>
      </c>
      <c r="AD64" s="703" t="str">
        <f>IFERROR(INDEX(Tabla9[],MATCH(Producción_Agricola[[#This Row],[Movimiento]],Tabla9[Movimientos],0),3),0)</f>
        <v>(-)</v>
      </c>
      <c r="AE64" s="698">
        <f>IF(Producción_Agricola[[#This Row],[Fecha Económico]]=0,0,MONTH(Producción_Agricola[[#This Row],[Fecha Económico]]))</f>
        <v>9</v>
      </c>
      <c r="AF64" s="699">
        <f>IF(Producción_Agricola[[#This Row],[Fecha Económico]]=0,0,YEAR(Producción_Agricola[[#This Row],[Fecha Económico]]))</f>
        <v>2018</v>
      </c>
      <c r="AG64" s="704">
        <f>SUMPRODUCT((Producción_Agricola[[#This Row],[Mes Económico]]=Tipo_Cambio[Mes])*(Producción_Agricola[[#This Row],[Año Económico]]=Tipo_Cambio[Año])*(Tipo_Cambio[$/U$S]))</f>
        <v>22.4422</v>
      </c>
      <c r="AH64" s="703">
        <f>SUMPRODUCT((Producción_Agricola[[#This Row],[Mes Económico]]=Tipo_Cambio[Mes])*(Producción_Agricola[[#This Row],[Año Económico]]=Tipo_Cambio[Año])*(Tipo_Cambio[Actualización]))</f>
        <v>1.0404</v>
      </c>
      <c r="AI64" s="705">
        <f>IF(ISNUMBER(Producción_Agricola[[#This Row],[Fecha Financiero]])=TRUE,MONTH(Producción_Agricola[[#This Row],[Fecha Financiero]]),0)</f>
        <v>10</v>
      </c>
      <c r="AJ64" s="705">
        <f>IF(ISNUMBER(Producción_Agricola[[#This Row],[Fecha Financiero]])=TRUE,YEAR(Producción_Agricola[[#This Row],[Fecha Financiero]]),0)</f>
        <v>2018</v>
      </c>
      <c r="AK64" s="706">
        <f>SUMPRODUCT((Producción_Agricola[[#This Row],[Mes Financiero]]=Tipo_Cambio[Mes])*(Producción_Agricola[[#This Row],[Año Financiero]]=Tipo_Cambio[Año])*(Tipo_Cambio[$/U$S]))</f>
        <v>22.666622</v>
      </c>
      <c r="AL64" s="706">
        <f>SUMPRODUCT((Producción_Agricola[[#This Row],[Mes Financiero]]=Tipo_Cambio[Mes])*(Producción_Agricola[[#This Row],[Año Financiero]]=Tipo_Cambio[Año])*(Tipo_Cambio[Actualización]))</f>
        <v>1.0612079999999999</v>
      </c>
      <c r="AM64" s="702">
        <f>IFERROR(Producción_Agricola[[#This Row],[Económico $Corrientes]]/Producción_Agricola[[#This Row],[Superficie]],0)</f>
        <v>0</v>
      </c>
      <c r="AN64" s="706">
        <f>IFERROR(Producción_Agricola[[#This Row],[Económico $Constantes]]/Producción_Agricola[[#This Row],[Superficie]],0)</f>
        <v>0</v>
      </c>
      <c r="AO64" s="706">
        <f>IFERROR(Producción_Agricola[[#This Row],[Económico U$S Dólares]]/Producción_Agricola[[#This Row],[Superficie]],0)</f>
        <v>0</v>
      </c>
      <c r="AP64" s="707" t="str">
        <f>IF(Económico!$F$4=0,0,Producción_Agricola[[#This Row],[Centro de Costo]])</f>
        <v>Campo 1</v>
      </c>
      <c r="AQ64" s="512" t="s">
        <v>30</v>
      </c>
      <c r="AR64" s="513"/>
      <c r="AS64"/>
    </row>
    <row r="65" spans="1:45" x14ac:dyDescent="0.25">
      <c r="D65" s="478">
        <f t="shared" si="17"/>
        <v>43366</v>
      </c>
      <c r="E65" s="478">
        <f>Producción_Agricola[[#This Row],[Fecha Económico]]+30</f>
        <v>43396</v>
      </c>
      <c r="F65" s="668" t="str">
        <f t="shared" si="11"/>
        <v>2018-2019</v>
      </c>
      <c r="G65" s="669" t="str">
        <f t="shared" si="12"/>
        <v>Campo 1</v>
      </c>
      <c r="H65" s="669" t="str">
        <f t="shared" si="13"/>
        <v>Maíz Tardío</v>
      </c>
      <c r="I65" s="670" t="str">
        <f>IFERROR(INDEX(Tabla8[],MATCH(Producción_Agricola[[#This Row],[Unidad de Negocio]],Tabla8[Unidades de Negocio],0),2),0)</f>
        <v>Maíz</v>
      </c>
      <c r="J65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65" s="481" t="s">
        <v>19</v>
      </c>
      <c r="L65" s="482" t="s">
        <v>29</v>
      </c>
      <c r="M65" s="483">
        <v>0</v>
      </c>
      <c r="N65" s="484" t="s">
        <v>388</v>
      </c>
      <c r="O65" s="690">
        <f>Producción_Agricola[[#This Row],[Superficie]]*Producción_Agricola[[#This Row],[Cantidad]]</f>
        <v>0</v>
      </c>
      <c r="P65" s="482">
        <v>0.45</v>
      </c>
      <c r="Q65" s="484" t="s">
        <v>3</v>
      </c>
      <c r="R65" s="485">
        <v>0</v>
      </c>
      <c r="S65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5" s="695">
        <f>IFERROR(Producción_Agricola[[#This Row],[Económico $Corrientes]]/Producción_Agricola[[#This Row],[Indexación Económico]],0)</f>
        <v>0</v>
      </c>
      <c r="U65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5" s="695">
        <f>IFERROR(Producción_Agricola[[#This Row],[Financiero $Corrientes]]/Producción_Agricola[[#This Row],[Indexación Financiero]],0)</f>
        <v>0</v>
      </c>
      <c r="X6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5" s="699">
        <f>IFERROR(Producción_Agricola[[#This Row],[Intereses $Corrientes]]/Producción_Agricola[[#This Row],[Indexación Financiero]],0)</f>
        <v>0</v>
      </c>
      <c r="AA6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5" s="701" t="str">
        <f>IFERROR(INDEX(Produccion_Agricola_Cuentas[],MATCH(Producción_Agricola[[#This Row],[Cuenta Contable]],Produccion_Agricola_Cuentas[Cuenta Contable],0),2),0)</f>
        <v>Egreso</v>
      </c>
      <c r="AC65" s="702" t="str">
        <f>IFERROR(INDEX(Tabla9[],MATCH(Producción_Agricola[[#This Row],[Movimiento]],Tabla9[Movimientos],0),2),0)</f>
        <v>Si</v>
      </c>
      <c r="AD65" s="703" t="str">
        <f>IFERROR(INDEX(Tabla9[],MATCH(Producción_Agricola[[#This Row],[Movimiento]],Tabla9[Movimientos],0),3),0)</f>
        <v>(-)</v>
      </c>
      <c r="AE65" s="698">
        <f>IF(Producción_Agricola[[#This Row],[Fecha Económico]]=0,0,MONTH(Producción_Agricola[[#This Row],[Fecha Económico]]))</f>
        <v>9</v>
      </c>
      <c r="AF65" s="699">
        <f>IF(Producción_Agricola[[#This Row],[Fecha Económico]]=0,0,YEAR(Producción_Agricola[[#This Row],[Fecha Económico]]))</f>
        <v>2018</v>
      </c>
      <c r="AG65" s="704">
        <f>SUMPRODUCT((Producción_Agricola[[#This Row],[Mes Económico]]=Tipo_Cambio[Mes])*(Producción_Agricola[[#This Row],[Año Económico]]=Tipo_Cambio[Año])*(Tipo_Cambio[$/U$S]))</f>
        <v>22.4422</v>
      </c>
      <c r="AH65" s="703">
        <f>SUMPRODUCT((Producción_Agricola[[#This Row],[Mes Económico]]=Tipo_Cambio[Mes])*(Producción_Agricola[[#This Row],[Año Económico]]=Tipo_Cambio[Año])*(Tipo_Cambio[Actualización]))</f>
        <v>1.0404</v>
      </c>
      <c r="AI65" s="705">
        <f>IF(ISNUMBER(Producción_Agricola[[#This Row],[Fecha Financiero]])=TRUE,MONTH(Producción_Agricola[[#This Row],[Fecha Financiero]]),0)</f>
        <v>10</v>
      </c>
      <c r="AJ65" s="705">
        <f>IF(ISNUMBER(Producción_Agricola[[#This Row],[Fecha Financiero]])=TRUE,YEAR(Producción_Agricola[[#This Row],[Fecha Financiero]]),0)</f>
        <v>2018</v>
      </c>
      <c r="AK65" s="706">
        <f>SUMPRODUCT((Producción_Agricola[[#This Row],[Mes Financiero]]=Tipo_Cambio[Mes])*(Producción_Agricola[[#This Row],[Año Financiero]]=Tipo_Cambio[Año])*(Tipo_Cambio[$/U$S]))</f>
        <v>22.666622</v>
      </c>
      <c r="AL65" s="706">
        <f>SUMPRODUCT((Producción_Agricola[[#This Row],[Mes Financiero]]=Tipo_Cambio[Mes])*(Producción_Agricola[[#This Row],[Año Financiero]]=Tipo_Cambio[Año])*(Tipo_Cambio[Actualización]))</f>
        <v>1.0612079999999999</v>
      </c>
      <c r="AM65" s="702">
        <f>IFERROR(Producción_Agricola[[#This Row],[Económico $Corrientes]]/Producción_Agricola[[#This Row],[Superficie]],0)</f>
        <v>0</v>
      </c>
      <c r="AN65" s="706">
        <f>IFERROR(Producción_Agricola[[#This Row],[Económico $Constantes]]/Producción_Agricola[[#This Row],[Superficie]],0)</f>
        <v>0</v>
      </c>
      <c r="AO65" s="706">
        <f>IFERROR(Producción_Agricola[[#This Row],[Económico U$S Dólares]]/Producción_Agricola[[#This Row],[Superficie]],0)</f>
        <v>0</v>
      </c>
      <c r="AP65" s="707" t="str">
        <f>IF(Económico!$F$4=0,0,Producción_Agricola[[#This Row],[Centro de Costo]])</f>
        <v>Campo 1</v>
      </c>
      <c r="AQ65" s="512" t="s">
        <v>30</v>
      </c>
      <c r="AR65" s="513"/>
      <c r="AS65"/>
    </row>
    <row r="66" spans="1:45" x14ac:dyDescent="0.25">
      <c r="D66" s="478">
        <f>D62+30</f>
        <v>43396</v>
      </c>
      <c r="E66" s="478">
        <f>Producción_Agricola[[#This Row],[Fecha Económico]]+30</f>
        <v>43426</v>
      </c>
      <c r="F66" s="668" t="str">
        <f t="shared" si="11"/>
        <v>2018-2019</v>
      </c>
      <c r="G66" s="669" t="str">
        <f t="shared" si="12"/>
        <v>Campo 1</v>
      </c>
      <c r="H66" s="669" t="str">
        <f t="shared" si="13"/>
        <v>Maíz Tardío</v>
      </c>
      <c r="I66" s="670" t="str">
        <f>IFERROR(INDEX(Tabla8[],MATCH(Producción_Agricola[[#This Row],[Unidad de Negocio]],Tabla8[Unidades de Negocio],0),2),0)</f>
        <v>Maíz</v>
      </c>
      <c r="J66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66" s="481" t="s">
        <v>25</v>
      </c>
      <c r="L66" s="482" t="s">
        <v>367</v>
      </c>
      <c r="M66" s="483">
        <v>0</v>
      </c>
      <c r="N66" s="484" t="s">
        <v>389</v>
      </c>
      <c r="O66" s="690">
        <f>Producción_Agricola[[#This Row],[Superficie]]*Producción_Agricola[[#This Row],[Cantidad]]</f>
        <v>0</v>
      </c>
      <c r="P66" s="482">
        <v>150</v>
      </c>
      <c r="Q66" s="484" t="s">
        <v>48</v>
      </c>
      <c r="R66" s="485">
        <v>0.06</v>
      </c>
      <c r="S66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6" s="695">
        <f>IFERROR(Producción_Agricola[[#This Row],[Económico $Corrientes]]/Producción_Agricola[[#This Row],[Indexación Económico]],0)</f>
        <v>0</v>
      </c>
      <c r="U6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6" s="695">
        <f>IFERROR(Producción_Agricola[[#This Row],[Financiero $Corrientes]]/Producción_Agricola[[#This Row],[Indexación Financiero]],0)</f>
        <v>0</v>
      </c>
      <c r="X6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6" s="699">
        <f>IFERROR(Producción_Agricola[[#This Row],[Intereses $Corrientes]]/Producción_Agricola[[#This Row],[Indexación Financiero]],0)</f>
        <v>0</v>
      </c>
      <c r="AA6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6" s="701" t="str">
        <f>IFERROR(INDEX(Produccion_Agricola_Cuentas[],MATCH(Producción_Agricola[[#This Row],[Cuenta Contable]],Produccion_Agricola_Cuentas[Cuenta Contable],0),2),0)</f>
        <v>Egreso</v>
      </c>
      <c r="AC66" s="702" t="str">
        <f>IFERROR(INDEX(Tabla9[],MATCH(Producción_Agricola[[#This Row],[Movimiento]],Tabla9[Movimientos],0),2),0)</f>
        <v>Si</v>
      </c>
      <c r="AD66" s="703" t="str">
        <f>IFERROR(INDEX(Tabla9[],MATCH(Producción_Agricola[[#This Row],[Movimiento]],Tabla9[Movimientos],0),3),0)</f>
        <v>(-)</v>
      </c>
      <c r="AE66" s="698">
        <f>IF(Producción_Agricola[[#This Row],[Fecha Económico]]=0,0,MONTH(Producción_Agricola[[#This Row],[Fecha Económico]]))</f>
        <v>10</v>
      </c>
      <c r="AF66" s="699">
        <f>IF(Producción_Agricola[[#This Row],[Fecha Económico]]=0,0,YEAR(Producción_Agricola[[#This Row],[Fecha Económico]]))</f>
        <v>2018</v>
      </c>
      <c r="AG66" s="704">
        <f>SUMPRODUCT((Producción_Agricola[[#This Row],[Mes Económico]]=Tipo_Cambio[Mes])*(Producción_Agricola[[#This Row],[Año Económico]]=Tipo_Cambio[Año])*(Tipo_Cambio[$/U$S]))</f>
        <v>22.666622</v>
      </c>
      <c r="AH66" s="703">
        <f>SUMPRODUCT((Producción_Agricola[[#This Row],[Mes Económico]]=Tipo_Cambio[Mes])*(Producción_Agricola[[#This Row],[Año Económico]]=Tipo_Cambio[Año])*(Tipo_Cambio[Actualización]))</f>
        <v>1.0612079999999999</v>
      </c>
      <c r="AI66" s="705">
        <f>IF(ISNUMBER(Producción_Agricola[[#This Row],[Fecha Financiero]])=TRUE,MONTH(Producción_Agricola[[#This Row],[Fecha Financiero]]),0)</f>
        <v>11</v>
      </c>
      <c r="AJ66" s="705">
        <f>IF(ISNUMBER(Producción_Agricola[[#This Row],[Fecha Financiero]])=TRUE,YEAR(Producción_Agricola[[#This Row],[Fecha Financiero]]),0)</f>
        <v>2018</v>
      </c>
      <c r="AK66" s="706">
        <f>SUMPRODUCT((Producción_Agricola[[#This Row],[Mes Financiero]]=Tipo_Cambio[Mes])*(Producción_Agricola[[#This Row],[Año Financiero]]=Tipo_Cambio[Año])*(Tipo_Cambio[$/U$S]))</f>
        <v>22.893288219999999</v>
      </c>
      <c r="AL66" s="706">
        <f>SUMPRODUCT((Producción_Agricola[[#This Row],[Mes Financiero]]=Tipo_Cambio[Mes])*(Producción_Agricola[[#This Row],[Año Financiero]]=Tipo_Cambio[Año])*(Tipo_Cambio[Actualización]))</f>
        <v>1.08243216</v>
      </c>
      <c r="AM66" s="702">
        <f>IFERROR(Producción_Agricola[[#This Row],[Económico $Corrientes]]/Producción_Agricola[[#This Row],[Superficie]],0)</f>
        <v>0</v>
      </c>
      <c r="AN66" s="706">
        <f>IFERROR(Producción_Agricola[[#This Row],[Económico $Constantes]]/Producción_Agricola[[#This Row],[Superficie]],0)</f>
        <v>0</v>
      </c>
      <c r="AO66" s="706">
        <f>IFERROR(Producción_Agricola[[#This Row],[Económico U$S Dólares]]/Producción_Agricola[[#This Row],[Superficie]],0)</f>
        <v>0</v>
      </c>
      <c r="AP66" s="707" t="str">
        <f>IF(Económico!$F$4=0,0,Producción_Agricola[[#This Row],[Centro de Costo]])</f>
        <v>Campo 1</v>
      </c>
      <c r="AQ66" s="512" t="s">
        <v>367</v>
      </c>
      <c r="AR66" s="513"/>
      <c r="AS66"/>
    </row>
    <row r="67" spans="1:45" x14ac:dyDescent="0.25">
      <c r="D67" s="478">
        <f>D66</f>
        <v>43396</v>
      </c>
      <c r="E67" s="478">
        <f>Producción_Agricola[[#This Row],[Fecha Económico]]+30</f>
        <v>43426</v>
      </c>
      <c r="F67" s="668" t="str">
        <f t="shared" si="11"/>
        <v>2018-2019</v>
      </c>
      <c r="G67" s="669" t="str">
        <f t="shared" si="12"/>
        <v>Campo 1</v>
      </c>
      <c r="H67" s="669" t="str">
        <f t="shared" si="13"/>
        <v>Maíz Tardío</v>
      </c>
      <c r="I67" s="671" t="str">
        <f>IFERROR(INDEX(Tabla8[],MATCH(Producción_Agricola[[#This Row],[Unidad de Negocio]],Tabla8[Unidades de Negocio],0),2),0)</f>
        <v>Maíz</v>
      </c>
      <c r="J6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67" s="481" t="s">
        <v>19</v>
      </c>
      <c r="L67" s="482" t="s">
        <v>368</v>
      </c>
      <c r="M67" s="483">
        <v>0</v>
      </c>
      <c r="N67" s="484" t="s">
        <v>387</v>
      </c>
      <c r="O67" s="690">
        <f>Producción_Agricola[[#This Row],[Superficie]]*Producción_Agricola[[#This Row],[Cantidad]]</f>
        <v>0</v>
      </c>
      <c r="P67" s="482">
        <v>0.35</v>
      </c>
      <c r="Q67" s="484" t="s">
        <v>3</v>
      </c>
      <c r="R67" s="485">
        <v>0</v>
      </c>
      <c r="S6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7" s="695">
        <f>IFERROR(Producción_Agricola[[#This Row],[Económico $Corrientes]]/Producción_Agricola[[#This Row],[Indexación Económico]],0)</f>
        <v>0</v>
      </c>
      <c r="U6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7" s="695">
        <f>IFERROR(Producción_Agricola[[#This Row],[Financiero $Corrientes]]/Producción_Agricola[[#This Row],[Indexación Financiero]],0)</f>
        <v>0</v>
      </c>
      <c r="X6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7" s="699">
        <f>IFERROR(Producción_Agricola[[#This Row],[Intereses $Corrientes]]/Producción_Agricola[[#This Row],[Indexación Financiero]],0)</f>
        <v>0</v>
      </c>
      <c r="AA6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7" s="701" t="str">
        <f>IFERROR(INDEX(Produccion_Agricola_Cuentas[],MATCH(Producción_Agricola[[#This Row],[Cuenta Contable]],Produccion_Agricola_Cuentas[Cuenta Contable],0),2),0)</f>
        <v>Egreso</v>
      </c>
      <c r="AC67" s="702" t="str">
        <f>IFERROR(INDEX(Tabla9[],MATCH(Producción_Agricola[[#This Row],[Movimiento]],Tabla9[Movimientos],0),2),0)</f>
        <v>Si</v>
      </c>
      <c r="AD67" s="703" t="str">
        <f>IFERROR(INDEX(Tabla9[],MATCH(Producción_Agricola[[#This Row],[Movimiento]],Tabla9[Movimientos],0),3),0)</f>
        <v>(-)</v>
      </c>
      <c r="AE67" s="698">
        <f>IF(Producción_Agricola[[#This Row],[Fecha Económico]]=0,0,MONTH(Producción_Agricola[[#This Row],[Fecha Económico]]))</f>
        <v>10</v>
      </c>
      <c r="AF67" s="699">
        <f>IF(Producción_Agricola[[#This Row],[Fecha Económico]]=0,0,YEAR(Producción_Agricola[[#This Row],[Fecha Económico]]))</f>
        <v>2018</v>
      </c>
      <c r="AG67" s="704">
        <f>SUMPRODUCT((Producción_Agricola[[#This Row],[Mes Económico]]=Tipo_Cambio[Mes])*(Producción_Agricola[[#This Row],[Año Económico]]=Tipo_Cambio[Año])*(Tipo_Cambio[$/U$S]))</f>
        <v>22.666622</v>
      </c>
      <c r="AH67" s="703">
        <f>SUMPRODUCT((Producción_Agricola[[#This Row],[Mes Económico]]=Tipo_Cambio[Mes])*(Producción_Agricola[[#This Row],[Año Económico]]=Tipo_Cambio[Año])*(Tipo_Cambio[Actualización]))</f>
        <v>1.0612079999999999</v>
      </c>
      <c r="AI67" s="705">
        <f>IF(ISNUMBER(Producción_Agricola[[#This Row],[Fecha Financiero]])=TRUE,MONTH(Producción_Agricola[[#This Row],[Fecha Financiero]]),0)</f>
        <v>11</v>
      </c>
      <c r="AJ67" s="705">
        <f>IF(ISNUMBER(Producción_Agricola[[#This Row],[Fecha Financiero]])=TRUE,YEAR(Producción_Agricola[[#This Row],[Fecha Financiero]]),0)</f>
        <v>2018</v>
      </c>
      <c r="AK67" s="706">
        <f>SUMPRODUCT((Producción_Agricola[[#This Row],[Mes Financiero]]=Tipo_Cambio[Mes])*(Producción_Agricola[[#This Row],[Año Financiero]]=Tipo_Cambio[Año])*(Tipo_Cambio[$/U$S]))</f>
        <v>22.893288219999999</v>
      </c>
      <c r="AL67" s="706">
        <f>SUMPRODUCT((Producción_Agricola[[#This Row],[Mes Financiero]]=Tipo_Cambio[Mes])*(Producción_Agricola[[#This Row],[Año Financiero]]=Tipo_Cambio[Año])*(Tipo_Cambio[Actualización]))</f>
        <v>1.08243216</v>
      </c>
      <c r="AM67" s="709">
        <f>IFERROR(Producción_Agricola[[#This Row],[Económico $Corrientes]]/Producción_Agricola[[#This Row],[Superficie]],0)</f>
        <v>0</v>
      </c>
      <c r="AN67" s="710">
        <f>IFERROR(Producción_Agricola[[#This Row],[Económico $Constantes]]/Producción_Agricola[[#This Row],[Superficie]],0)</f>
        <v>0</v>
      </c>
      <c r="AO67" s="710">
        <f>IFERROR(Producción_Agricola[[#This Row],[Económico U$S Dólares]]/Producción_Agricola[[#This Row],[Superficie]],0)</f>
        <v>0</v>
      </c>
      <c r="AP67" s="711" t="str">
        <f>IF(Económico!$F$4=0,0,Producción_Agricola[[#This Row],[Centro de Costo]])</f>
        <v>Campo 1</v>
      </c>
      <c r="AQ67" s="512" t="s">
        <v>367</v>
      </c>
      <c r="AR67" s="513"/>
      <c r="AS67"/>
    </row>
    <row r="68" spans="1:45" x14ac:dyDescent="0.25">
      <c r="D68" s="478">
        <f>D63+60</f>
        <v>43426</v>
      </c>
      <c r="E68" s="478">
        <f>Producción_Agricola[[#This Row],[Fecha Económico]]+30</f>
        <v>43456</v>
      </c>
      <c r="F68" s="668" t="str">
        <f t="shared" si="11"/>
        <v>2018-2019</v>
      </c>
      <c r="G68" s="669" t="str">
        <f t="shared" si="12"/>
        <v>Campo 1</v>
      </c>
      <c r="H68" s="669" t="str">
        <f t="shared" si="13"/>
        <v>Maíz Tardío</v>
      </c>
      <c r="I68" s="670" t="str">
        <f>IFERROR(INDEX(Tabla8[],MATCH(Producción_Agricola[[#This Row],[Unidad de Negocio]],Tabla8[Unidades de Negocio],0),2),0)</f>
        <v>Maíz</v>
      </c>
      <c r="J68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68" s="481" t="s">
        <v>25</v>
      </c>
      <c r="L68" s="482" t="s">
        <v>219</v>
      </c>
      <c r="M68" s="483">
        <v>0</v>
      </c>
      <c r="N68" s="484" t="s">
        <v>389</v>
      </c>
      <c r="O68" s="690">
        <f>Producción_Agricola[[#This Row],[Superficie]]*Producción_Agricola[[#This Row],[Cantidad]]</f>
        <v>0</v>
      </c>
      <c r="P68" s="482">
        <v>120</v>
      </c>
      <c r="Q68" s="484" t="s">
        <v>48</v>
      </c>
      <c r="R68" s="485">
        <v>0</v>
      </c>
      <c r="S68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8" s="695">
        <f>IFERROR(Producción_Agricola[[#This Row],[Económico $Corrientes]]/Producción_Agricola[[#This Row],[Indexación Económico]],0)</f>
        <v>0</v>
      </c>
      <c r="U6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8" s="695">
        <f>IFERROR(Producción_Agricola[[#This Row],[Financiero $Corrientes]]/Producción_Agricola[[#This Row],[Indexación Financiero]],0)</f>
        <v>0</v>
      </c>
      <c r="X6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8" s="699">
        <f>IFERROR(Producción_Agricola[[#This Row],[Intereses $Corrientes]]/Producción_Agricola[[#This Row],[Indexación Financiero]],0)</f>
        <v>0</v>
      </c>
      <c r="AA6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8" s="701" t="str">
        <f>IFERROR(INDEX(Produccion_Agricola_Cuentas[],MATCH(Producción_Agricola[[#This Row],[Cuenta Contable]],Produccion_Agricola_Cuentas[Cuenta Contable],0),2),0)</f>
        <v>Egreso</v>
      </c>
      <c r="AC68" s="702" t="str">
        <f>IFERROR(INDEX(Tabla9[],MATCH(Producción_Agricola[[#This Row],[Movimiento]],Tabla9[Movimientos],0),2),0)</f>
        <v>Si</v>
      </c>
      <c r="AD68" s="703" t="str">
        <f>IFERROR(INDEX(Tabla9[],MATCH(Producción_Agricola[[#This Row],[Movimiento]],Tabla9[Movimientos],0),3),0)</f>
        <v>(-)</v>
      </c>
      <c r="AE68" s="698">
        <f>IF(Producción_Agricola[[#This Row],[Fecha Económico]]=0,0,MONTH(Producción_Agricola[[#This Row],[Fecha Económico]]))</f>
        <v>11</v>
      </c>
      <c r="AF68" s="699">
        <f>IF(Producción_Agricola[[#This Row],[Fecha Económico]]=0,0,YEAR(Producción_Agricola[[#This Row],[Fecha Económico]]))</f>
        <v>2018</v>
      </c>
      <c r="AG68" s="704">
        <f>SUMPRODUCT((Producción_Agricola[[#This Row],[Mes Económico]]=Tipo_Cambio[Mes])*(Producción_Agricola[[#This Row],[Año Económico]]=Tipo_Cambio[Año])*(Tipo_Cambio[$/U$S]))</f>
        <v>22.893288219999999</v>
      </c>
      <c r="AH68" s="703">
        <f>SUMPRODUCT((Producción_Agricola[[#This Row],[Mes Económico]]=Tipo_Cambio[Mes])*(Producción_Agricola[[#This Row],[Año Económico]]=Tipo_Cambio[Año])*(Tipo_Cambio[Actualización]))</f>
        <v>1.08243216</v>
      </c>
      <c r="AI68" s="705">
        <f>IF(ISNUMBER(Producción_Agricola[[#This Row],[Fecha Financiero]])=TRUE,MONTH(Producción_Agricola[[#This Row],[Fecha Financiero]]),0)</f>
        <v>12</v>
      </c>
      <c r="AJ68" s="705">
        <f>IF(ISNUMBER(Producción_Agricola[[#This Row],[Fecha Financiero]])=TRUE,YEAR(Producción_Agricola[[#This Row],[Fecha Financiero]]),0)</f>
        <v>2018</v>
      </c>
      <c r="AK68" s="706">
        <f>SUMPRODUCT((Producción_Agricola[[#This Row],[Mes Financiero]]=Tipo_Cambio[Mes])*(Producción_Agricola[[#This Row],[Año Financiero]]=Tipo_Cambio[Año])*(Tipo_Cambio[$/U$S]))</f>
        <v>23.122221102199997</v>
      </c>
      <c r="AL68" s="706">
        <f>SUMPRODUCT((Producción_Agricola[[#This Row],[Mes Financiero]]=Tipo_Cambio[Mes])*(Producción_Agricola[[#This Row],[Año Financiero]]=Tipo_Cambio[Año])*(Tipo_Cambio[Actualización]))</f>
        <v>1.1040808032</v>
      </c>
      <c r="AM68" s="702">
        <f>IFERROR(Producción_Agricola[[#This Row],[Económico $Corrientes]]/Producción_Agricola[[#This Row],[Superficie]],0)</f>
        <v>0</v>
      </c>
      <c r="AN68" s="706">
        <f>IFERROR(Producción_Agricola[[#This Row],[Económico $Constantes]]/Producción_Agricola[[#This Row],[Superficie]],0)</f>
        <v>0</v>
      </c>
      <c r="AO68" s="706">
        <f>IFERROR(Producción_Agricola[[#This Row],[Económico U$S Dólares]]/Producción_Agricola[[#This Row],[Superficie]],0)</f>
        <v>0</v>
      </c>
      <c r="AP68" s="707" t="str">
        <f>IF(Económico!$F$4=0,0,Producción_Agricola[[#This Row],[Centro de Costo]])</f>
        <v>Campo 1</v>
      </c>
      <c r="AQ68" s="512" t="s">
        <v>381</v>
      </c>
      <c r="AR68" s="513"/>
      <c r="AS68"/>
    </row>
    <row r="69" spans="1:45" x14ac:dyDescent="0.25">
      <c r="D69" s="478">
        <f>D68</f>
        <v>43426</v>
      </c>
      <c r="E69" s="478">
        <v>43586</v>
      </c>
      <c r="F69" s="668" t="str">
        <f t="shared" si="11"/>
        <v>2018-2019</v>
      </c>
      <c r="G69" s="669" t="str">
        <f t="shared" si="12"/>
        <v>Campo 1</v>
      </c>
      <c r="H69" s="669" t="str">
        <f t="shared" si="13"/>
        <v>Maíz Tardío</v>
      </c>
      <c r="I69" s="670" t="str">
        <f>IFERROR(INDEX(Tabla8[],MATCH(Producción_Agricola[[#This Row],[Unidad de Negocio]],Tabla8[Unidades de Negocio],0),2),0)</f>
        <v>Maíz</v>
      </c>
      <c r="J69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69" s="481" t="s">
        <v>17</v>
      </c>
      <c r="L69" s="482" t="s">
        <v>50</v>
      </c>
      <c r="M69" s="483">
        <v>0</v>
      </c>
      <c r="N69" s="484" t="s">
        <v>387</v>
      </c>
      <c r="O69" s="690">
        <f>Producción_Agricola[[#This Row],[Superficie]]*Producción_Agricola[[#This Row],[Cantidad]]</f>
        <v>0</v>
      </c>
      <c r="P69" s="482">
        <v>3</v>
      </c>
      <c r="Q69" s="484" t="s">
        <v>3</v>
      </c>
      <c r="R69" s="485">
        <v>0.06</v>
      </c>
      <c r="S69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9" s="695">
        <f>IFERROR(Producción_Agricola[[#This Row],[Económico $Corrientes]]/Producción_Agricola[[#This Row],[Indexación Económico]],0)</f>
        <v>0</v>
      </c>
      <c r="U6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9" s="695">
        <f>IFERROR(Producción_Agricola[[#This Row],[Financiero $Corrientes]]/Producción_Agricola[[#This Row],[Indexación Financiero]],0)</f>
        <v>0</v>
      </c>
      <c r="X6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9" s="699">
        <f>IFERROR(Producción_Agricola[[#This Row],[Intereses $Corrientes]]/Producción_Agricola[[#This Row],[Indexación Financiero]],0)</f>
        <v>0</v>
      </c>
      <c r="AA6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9" s="701" t="str">
        <f>IFERROR(INDEX(Produccion_Agricola_Cuentas[],MATCH(Producción_Agricola[[#This Row],[Cuenta Contable]],Produccion_Agricola_Cuentas[Cuenta Contable],0),2),0)</f>
        <v>Egreso</v>
      </c>
      <c r="AC69" s="702" t="str">
        <f>IFERROR(INDEX(Tabla9[],MATCH(Producción_Agricola[[#This Row],[Movimiento]],Tabla9[Movimientos],0),2),0)</f>
        <v>Si</v>
      </c>
      <c r="AD69" s="703" t="str">
        <f>IFERROR(INDEX(Tabla9[],MATCH(Producción_Agricola[[#This Row],[Movimiento]],Tabla9[Movimientos],0),3),0)</f>
        <v>(-)</v>
      </c>
      <c r="AE69" s="698">
        <f>IF(Producción_Agricola[[#This Row],[Fecha Económico]]=0,0,MONTH(Producción_Agricola[[#This Row],[Fecha Económico]]))</f>
        <v>11</v>
      </c>
      <c r="AF69" s="699">
        <f>IF(Producción_Agricola[[#This Row],[Fecha Económico]]=0,0,YEAR(Producción_Agricola[[#This Row],[Fecha Económico]]))</f>
        <v>2018</v>
      </c>
      <c r="AG69" s="704">
        <f>SUMPRODUCT((Producción_Agricola[[#This Row],[Mes Económico]]=Tipo_Cambio[Mes])*(Producción_Agricola[[#This Row],[Año Económico]]=Tipo_Cambio[Año])*(Tipo_Cambio[$/U$S]))</f>
        <v>22.893288219999999</v>
      </c>
      <c r="AH69" s="703">
        <f>SUMPRODUCT((Producción_Agricola[[#This Row],[Mes Económico]]=Tipo_Cambio[Mes])*(Producción_Agricola[[#This Row],[Año Económico]]=Tipo_Cambio[Año])*(Tipo_Cambio[Actualización]))</f>
        <v>1.08243216</v>
      </c>
      <c r="AI69" s="705">
        <f>IF(ISNUMBER(Producción_Agricola[[#This Row],[Fecha Financiero]])=TRUE,MONTH(Producción_Agricola[[#This Row],[Fecha Financiero]]),0)</f>
        <v>5</v>
      </c>
      <c r="AJ69" s="705">
        <f>IF(ISNUMBER(Producción_Agricola[[#This Row],[Fecha Financiero]])=TRUE,YEAR(Producción_Agricola[[#This Row],[Fecha Financiero]]),0)</f>
        <v>2019</v>
      </c>
      <c r="AK69" s="706">
        <f>SUMPRODUCT((Producción_Agricola[[#This Row],[Mes Financiero]]=Tipo_Cambio[Mes])*(Producción_Agricola[[#This Row],[Año Financiero]]=Tipo_Cambio[Año])*(Tipo_Cambio[$/U$S]))</f>
        <v>24.301686759046497</v>
      </c>
      <c r="AL69" s="706">
        <f>SUMPRODUCT((Producción_Agricola[[#This Row],[Mes Financiero]]=Tipo_Cambio[Mes])*(Producción_Agricola[[#This Row],[Año Financiero]]=Tipo_Cambio[Año])*(Tipo_Cambio[Actualización]))</f>
        <v>1.2189944199947573</v>
      </c>
      <c r="AM69" s="702">
        <f>IFERROR(Producción_Agricola[[#This Row],[Económico $Corrientes]]/Producción_Agricola[[#This Row],[Superficie]],0)</f>
        <v>0</v>
      </c>
      <c r="AN69" s="706">
        <f>IFERROR(Producción_Agricola[[#This Row],[Económico $Constantes]]/Producción_Agricola[[#This Row],[Superficie]],0)</f>
        <v>0</v>
      </c>
      <c r="AO69" s="706">
        <f>IFERROR(Producción_Agricola[[#This Row],[Económico U$S Dólares]]/Producción_Agricola[[#This Row],[Superficie]],0)</f>
        <v>0</v>
      </c>
      <c r="AP69" s="707" t="str">
        <f>IF(Económico!$F$4=0,0,Producción_Agricola[[#This Row],[Centro de Costo]])</f>
        <v>Campo 1</v>
      </c>
      <c r="AQ69" s="512" t="s">
        <v>381</v>
      </c>
      <c r="AR69" s="513"/>
      <c r="AS69"/>
    </row>
    <row r="70" spans="1:45" x14ac:dyDescent="0.25">
      <c r="D70" s="478">
        <f t="shared" ref="D70:D71" si="18">D69</f>
        <v>43426</v>
      </c>
      <c r="E70" s="478">
        <v>43586</v>
      </c>
      <c r="F70" s="668" t="str">
        <f t="shared" si="11"/>
        <v>2018-2019</v>
      </c>
      <c r="G70" s="669" t="str">
        <f t="shared" si="12"/>
        <v>Campo 1</v>
      </c>
      <c r="H70" s="669" t="str">
        <f t="shared" si="13"/>
        <v>Maíz Tardío</v>
      </c>
      <c r="I70" s="670" t="str">
        <f>IFERROR(INDEX(Tabla8[],MATCH(Producción_Agricola[[#This Row],[Unidad de Negocio]],Tabla8[Unidades de Negocio],0),2),0)</f>
        <v>Maíz</v>
      </c>
      <c r="J70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70" s="481" t="s">
        <v>17</v>
      </c>
      <c r="L70" s="482" t="s">
        <v>49</v>
      </c>
      <c r="M70" s="483">
        <v>0</v>
      </c>
      <c r="N70" s="484" t="s">
        <v>387</v>
      </c>
      <c r="O70" s="690">
        <f>Producción_Agricola[[#This Row],[Superficie]]*Producción_Agricola[[#This Row],[Cantidad]]</f>
        <v>0</v>
      </c>
      <c r="P70" s="482">
        <v>7</v>
      </c>
      <c r="Q70" s="484" t="s">
        <v>3</v>
      </c>
      <c r="R70" s="485">
        <v>0.06</v>
      </c>
      <c r="S70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70" s="695">
        <f>IFERROR(Producción_Agricola[[#This Row],[Económico $Corrientes]]/Producción_Agricola[[#This Row],[Indexación Económico]],0)</f>
        <v>0</v>
      </c>
      <c r="U7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7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70" s="695">
        <f>IFERROR(Producción_Agricola[[#This Row],[Financiero $Corrientes]]/Producción_Agricola[[#This Row],[Indexación Financiero]],0)</f>
        <v>0</v>
      </c>
      <c r="X7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7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70" s="699">
        <f>IFERROR(Producción_Agricola[[#This Row],[Intereses $Corrientes]]/Producción_Agricola[[#This Row],[Indexación Financiero]],0)</f>
        <v>0</v>
      </c>
      <c r="AA7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70" s="701" t="str">
        <f>IFERROR(INDEX(Produccion_Agricola_Cuentas[],MATCH(Producción_Agricola[[#This Row],[Cuenta Contable]],Produccion_Agricola_Cuentas[Cuenta Contable],0),2),0)</f>
        <v>Egreso</v>
      </c>
      <c r="AC70" s="702" t="str">
        <f>IFERROR(INDEX(Tabla9[],MATCH(Producción_Agricola[[#This Row],[Movimiento]],Tabla9[Movimientos],0),2),0)</f>
        <v>Si</v>
      </c>
      <c r="AD70" s="703" t="str">
        <f>IFERROR(INDEX(Tabla9[],MATCH(Producción_Agricola[[#This Row],[Movimiento]],Tabla9[Movimientos],0),3),0)</f>
        <v>(-)</v>
      </c>
      <c r="AE70" s="698">
        <f>IF(Producción_Agricola[[#This Row],[Fecha Económico]]=0,0,MONTH(Producción_Agricola[[#This Row],[Fecha Económico]]))</f>
        <v>11</v>
      </c>
      <c r="AF70" s="699">
        <f>IF(Producción_Agricola[[#This Row],[Fecha Económico]]=0,0,YEAR(Producción_Agricola[[#This Row],[Fecha Económico]]))</f>
        <v>2018</v>
      </c>
      <c r="AG70" s="704">
        <f>SUMPRODUCT((Producción_Agricola[[#This Row],[Mes Económico]]=Tipo_Cambio[Mes])*(Producción_Agricola[[#This Row],[Año Económico]]=Tipo_Cambio[Año])*(Tipo_Cambio[$/U$S]))</f>
        <v>22.893288219999999</v>
      </c>
      <c r="AH70" s="703">
        <f>SUMPRODUCT((Producción_Agricola[[#This Row],[Mes Económico]]=Tipo_Cambio[Mes])*(Producción_Agricola[[#This Row],[Año Económico]]=Tipo_Cambio[Año])*(Tipo_Cambio[Actualización]))</f>
        <v>1.08243216</v>
      </c>
      <c r="AI70" s="705">
        <f>IF(ISNUMBER(Producción_Agricola[[#This Row],[Fecha Financiero]])=TRUE,MONTH(Producción_Agricola[[#This Row],[Fecha Financiero]]),0)</f>
        <v>5</v>
      </c>
      <c r="AJ70" s="705">
        <f>IF(ISNUMBER(Producción_Agricola[[#This Row],[Fecha Financiero]])=TRUE,YEAR(Producción_Agricola[[#This Row],[Fecha Financiero]]),0)</f>
        <v>2019</v>
      </c>
      <c r="AK70" s="706">
        <f>SUMPRODUCT((Producción_Agricola[[#This Row],[Mes Financiero]]=Tipo_Cambio[Mes])*(Producción_Agricola[[#This Row],[Año Financiero]]=Tipo_Cambio[Año])*(Tipo_Cambio[$/U$S]))</f>
        <v>24.301686759046497</v>
      </c>
      <c r="AL70" s="706">
        <f>SUMPRODUCT((Producción_Agricola[[#This Row],[Mes Financiero]]=Tipo_Cambio[Mes])*(Producción_Agricola[[#This Row],[Año Financiero]]=Tipo_Cambio[Año])*(Tipo_Cambio[Actualización]))</f>
        <v>1.2189944199947573</v>
      </c>
      <c r="AM70" s="702">
        <f>IFERROR(Producción_Agricola[[#This Row],[Económico $Corrientes]]/Producción_Agricola[[#This Row],[Superficie]],0)</f>
        <v>0</v>
      </c>
      <c r="AN70" s="706">
        <f>IFERROR(Producción_Agricola[[#This Row],[Económico $Constantes]]/Producción_Agricola[[#This Row],[Superficie]],0)</f>
        <v>0</v>
      </c>
      <c r="AO70" s="706">
        <f>IFERROR(Producción_Agricola[[#This Row],[Económico U$S Dólares]]/Producción_Agricola[[#This Row],[Superficie]],0)</f>
        <v>0</v>
      </c>
      <c r="AP70" s="707" t="str">
        <f>IF(Económico!$F$4=0,0,Producción_Agricola[[#This Row],[Centro de Costo]])</f>
        <v>Campo 1</v>
      </c>
      <c r="AQ70" s="512" t="s">
        <v>381</v>
      </c>
      <c r="AR70" s="513"/>
      <c r="AS70"/>
    </row>
    <row r="71" spans="1:45" x14ac:dyDescent="0.25">
      <c r="D71" s="478">
        <f t="shared" si="18"/>
        <v>43426</v>
      </c>
      <c r="E71" s="478">
        <v>43586</v>
      </c>
      <c r="F71" s="668" t="str">
        <f t="shared" si="11"/>
        <v>2018-2019</v>
      </c>
      <c r="G71" s="669" t="str">
        <f t="shared" si="12"/>
        <v>Campo 1</v>
      </c>
      <c r="H71" s="669" t="str">
        <f t="shared" si="13"/>
        <v>Maíz Tardío</v>
      </c>
      <c r="I71" s="670" t="str">
        <f>IFERROR(INDEX(Tabla8[],MATCH(Producción_Agricola[[#This Row],[Unidad de Negocio]],Tabla8[Unidades de Negocio],0),2),0)</f>
        <v>Maíz</v>
      </c>
      <c r="J71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71" s="481" t="s">
        <v>24</v>
      </c>
      <c r="L71" s="482" t="s">
        <v>363</v>
      </c>
      <c r="M71" s="483">
        <v>0</v>
      </c>
      <c r="N71" s="484" t="s">
        <v>387</v>
      </c>
      <c r="O71" s="690">
        <f>Producción_Agricola[[#This Row],[Superficie]]*Producción_Agricola[[#This Row],[Cantidad]]</f>
        <v>0</v>
      </c>
      <c r="P71" s="482">
        <v>18</v>
      </c>
      <c r="Q71" s="484" t="s">
        <v>3</v>
      </c>
      <c r="R71" s="485">
        <v>0.06</v>
      </c>
      <c r="S71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71" s="695">
        <f>IFERROR(Producción_Agricola[[#This Row],[Económico $Corrientes]]/Producción_Agricola[[#This Row],[Indexación Económico]],0)</f>
        <v>0</v>
      </c>
      <c r="U7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7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71" s="695">
        <f>IFERROR(Producción_Agricola[[#This Row],[Financiero $Corrientes]]/Producción_Agricola[[#This Row],[Indexación Financiero]],0)</f>
        <v>0</v>
      </c>
      <c r="X7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7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71" s="699">
        <f>IFERROR(Producción_Agricola[[#This Row],[Intereses $Corrientes]]/Producción_Agricola[[#This Row],[Indexación Financiero]],0)</f>
        <v>0</v>
      </c>
      <c r="AA7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71" s="701" t="str">
        <f>IFERROR(INDEX(Produccion_Agricola_Cuentas[],MATCH(Producción_Agricola[[#This Row],[Cuenta Contable]],Produccion_Agricola_Cuentas[Cuenta Contable],0),2),0)</f>
        <v>Egreso</v>
      </c>
      <c r="AC71" s="702" t="str">
        <f>IFERROR(INDEX(Tabla9[],MATCH(Producción_Agricola[[#This Row],[Movimiento]],Tabla9[Movimientos],0),2),0)</f>
        <v>Si</v>
      </c>
      <c r="AD71" s="703" t="str">
        <f>IFERROR(INDEX(Tabla9[],MATCH(Producción_Agricola[[#This Row],[Movimiento]],Tabla9[Movimientos],0),3),0)</f>
        <v>(-)</v>
      </c>
      <c r="AE71" s="698">
        <f>IF(Producción_Agricola[[#This Row],[Fecha Económico]]=0,0,MONTH(Producción_Agricola[[#This Row],[Fecha Económico]]))</f>
        <v>11</v>
      </c>
      <c r="AF71" s="699">
        <f>IF(Producción_Agricola[[#This Row],[Fecha Económico]]=0,0,YEAR(Producción_Agricola[[#This Row],[Fecha Económico]]))</f>
        <v>2018</v>
      </c>
      <c r="AG71" s="704">
        <f>SUMPRODUCT((Producción_Agricola[[#This Row],[Mes Económico]]=Tipo_Cambio[Mes])*(Producción_Agricola[[#This Row],[Año Económico]]=Tipo_Cambio[Año])*(Tipo_Cambio[$/U$S]))</f>
        <v>22.893288219999999</v>
      </c>
      <c r="AH71" s="703">
        <f>SUMPRODUCT((Producción_Agricola[[#This Row],[Mes Económico]]=Tipo_Cambio[Mes])*(Producción_Agricola[[#This Row],[Año Económico]]=Tipo_Cambio[Año])*(Tipo_Cambio[Actualización]))</f>
        <v>1.08243216</v>
      </c>
      <c r="AI71" s="705">
        <f>IF(ISNUMBER(Producción_Agricola[[#This Row],[Fecha Financiero]])=TRUE,MONTH(Producción_Agricola[[#This Row],[Fecha Financiero]]),0)</f>
        <v>5</v>
      </c>
      <c r="AJ71" s="705">
        <f>IF(ISNUMBER(Producción_Agricola[[#This Row],[Fecha Financiero]])=TRUE,YEAR(Producción_Agricola[[#This Row],[Fecha Financiero]]),0)</f>
        <v>2019</v>
      </c>
      <c r="AK71" s="706">
        <f>SUMPRODUCT((Producción_Agricola[[#This Row],[Mes Financiero]]=Tipo_Cambio[Mes])*(Producción_Agricola[[#This Row],[Año Financiero]]=Tipo_Cambio[Año])*(Tipo_Cambio[$/U$S]))</f>
        <v>24.301686759046497</v>
      </c>
      <c r="AL71" s="706">
        <f>SUMPRODUCT((Producción_Agricola[[#This Row],[Mes Financiero]]=Tipo_Cambio[Mes])*(Producción_Agricola[[#This Row],[Año Financiero]]=Tipo_Cambio[Año])*(Tipo_Cambio[Actualización]))</f>
        <v>1.2189944199947573</v>
      </c>
      <c r="AM71" s="702">
        <f>IFERROR(Producción_Agricola[[#This Row],[Económico $Corrientes]]/Producción_Agricola[[#This Row],[Superficie]],0)</f>
        <v>0</v>
      </c>
      <c r="AN71" s="706">
        <f>IFERROR(Producción_Agricola[[#This Row],[Económico $Constantes]]/Producción_Agricola[[#This Row],[Superficie]],0)</f>
        <v>0</v>
      </c>
      <c r="AO71" s="706">
        <f>IFERROR(Producción_Agricola[[#This Row],[Económico U$S Dólares]]/Producción_Agricola[[#This Row],[Superficie]],0)</f>
        <v>0</v>
      </c>
      <c r="AP71" s="707" t="str">
        <f>IF(Económico!$F$4=0,0,Producción_Agricola[[#This Row],[Centro de Costo]])</f>
        <v>Campo 1</v>
      </c>
      <c r="AQ71" s="512" t="s">
        <v>381</v>
      </c>
      <c r="AR71" s="513"/>
      <c r="AS71"/>
    </row>
    <row r="72" spans="1:45" x14ac:dyDescent="0.25">
      <c r="D72" s="478">
        <f>D68+80</f>
        <v>43506</v>
      </c>
      <c r="E72" s="478">
        <f>Producción_Agricola[[#This Row],[Fecha Económico]]+30</f>
        <v>43536</v>
      </c>
      <c r="F72" s="668" t="str">
        <f t="shared" si="11"/>
        <v>2018-2019</v>
      </c>
      <c r="G72" s="669" t="str">
        <f t="shared" si="12"/>
        <v>Campo 1</v>
      </c>
      <c r="H72" s="669" t="str">
        <f t="shared" si="13"/>
        <v>Maíz Tardío</v>
      </c>
      <c r="I72" s="670" t="str">
        <f>IFERROR(INDEX(Tabla8[],MATCH(Producción_Agricola[[#This Row],[Unidad de Negocio]],Tabla8[Unidades de Negocio],0),2),0)</f>
        <v>Maíz</v>
      </c>
      <c r="J72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72" s="481" t="s">
        <v>25</v>
      </c>
      <c r="L72" s="482" t="s">
        <v>385</v>
      </c>
      <c r="M72" s="483">
        <v>0</v>
      </c>
      <c r="N72" s="484" t="s">
        <v>389</v>
      </c>
      <c r="O72" s="690">
        <f>Producción_Agricola[[#This Row],[Superficie]]*Producción_Agricola[[#This Row],[Cantidad]]</f>
        <v>0</v>
      </c>
      <c r="P72" s="482">
        <v>11</v>
      </c>
      <c r="Q72" s="484" t="s">
        <v>3</v>
      </c>
      <c r="R72" s="485">
        <v>0</v>
      </c>
      <c r="S72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72" s="695">
        <f>IFERROR(Producción_Agricola[[#This Row],[Económico $Corrientes]]/Producción_Agricola[[#This Row],[Indexación Económico]],0)</f>
        <v>0</v>
      </c>
      <c r="U72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7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72" s="695">
        <f>IFERROR(Producción_Agricola[[#This Row],[Financiero $Corrientes]]/Producción_Agricola[[#This Row],[Indexación Financiero]],0)</f>
        <v>0</v>
      </c>
      <c r="X7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7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72" s="699">
        <f>IFERROR(Producción_Agricola[[#This Row],[Intereses $Corrientes]]/Producción_Agricola[[#This Row],[Indexación Financiero]],0)</f>
        <v>0</v>
      </c>
      <c r="AA7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72" s="701" t="str">
        <f>IFERROR(INDEX(Produccion_Agricola_Cuentas[],MATCH(Producción_Agricola[[#This Row],[Cuenta Contable]],Produccion_Agricola_Cuentas[Cuenta Contable],0),2),0)</f>
        <v>Egreso</v>
      </c>
      <c r="AC72" s="702" t="str">
        <f>IFERROR(INDEX(Tabla9[],MATCH(Producción_Agricola[[#This Row],[Movimiento]],Tabla9[Movimientos],0),2),0)</f>
        <v>Si</v>
      </c>
      <c r="AD72" s="703" t="str">
        <f>IFERROR(INDEX(Tabla9[],MATCH(Producción_Agricola[[#This Row],[Movimiento]],Tabla9[Movimientos],0),3),0)</f>
        <v>(-)</v>
      </c>
      <c r="AE72" s="698">
        <f>IF(Producción_Agricola[[#This Row],[Fecha Económico]]=0,0,MONTH(Producción_Agricola[[#This Row],[Fecha Económico]]))</f>
        <v>2</v>
      </c>
      <c r="AF72" s="699">
        <f>IF(Producción_Agricola[[#This Row],[Fecha Económico]]=0,0,YEAR(Producción_Agricola[[#This Row],[Fecha Económico]]))</f>
        <v>2019</v>
      </c>
      <c r="AG72" s="704">
        <f>SUMPRODUCT((Producción_Agricola[[#This Row],[Mes Económico]]=Tipo_Cambio[Mes])*(Producción_Agricola[[#This Row],[Año Económico]]=Tipo_Cambio[Año])*(Tipo_Cambio[$/U$S]))</f>
        <v>23.586977746354219</v>
      </c>
      <c r="AH72" s="703">
        <f>SUMPRODUCT((Producción_Agricola[[#This Row],[Mes Económico]]=Tipo_Cambio[Mes])*(Producción_Agricola[[#This Row],[Año Económico]]=Tipo_Cambio[Año])*(Tipo_Cambio[Actualización]))</f>
        <v>1.14868566764928</v>
      </c>
      <c r="AI72" s="705">
        <f>IF(ISNUMBER(Producción_Agricola[[#This Row],[Fecha Financiero]])=TRUE,MONTH(Producción_Agricola[[#This Row],[Fecha Financiero]]),0)</f>
        <v>3</v>
      </c>
      <c r="AJ72" s="705">
        <f>IF(ISNUMBER(Producción_Agricola[[#This Row],[Fecha Financiero]])=TRUE,YEAR(Producción_Agricola[[#This Row],[Fecha Financiero]]),0)</f>
        <v>2019</v>
      </c>
      <c r="AK72" s="706">
        <f>SUMPRODUCT((Producción_Agricola[[#This Row],[Mes Financiero]]=Tipo_Cambio[Mes])*(Producción_Agricola[[#This Row],[Año Financiero]]=Tipo_Cambio[Año])*(Tipo_Cambio[$/U$S]))</f>
        <v>23.82284752381776</v>
      </c>
      <c r="AL72" s="706">
        <f>SUMPRODUCT((Producción_Agricola[[#This Row],[Mes Financiero]]=Tipo_Cambio[Mes])*(Producción_Agricola[[#This Row],[Año Financiero]]=Tipo_Cambio[Año])*(Tipo_Cambio[Actualización]))</f>
        <v>1.1716593810022657</v>
      </c>
      <c r="AM72" s="702">
        <f>IFERROR(Producción_Agricola[[#This Row],[Económico $Corrientes]]/Producción_Agricola[[#This Row],[Superficie]],0)</f>
        <v>0</v>
      </c>
      <c r="AN72" s="706">
        <f>IFERROR(Producción_Agricola[[#This Row],[Económico $Constantes]]/Producción_Agricola[[#This Row],[Superficie]],0)</f>
        <v>0</v>
      </c>
      <c r="AO72" s="706">
        <f>IFERROR(Producción_Agricola[[#This Row],[Económico U$S Dólares]]/Producción_Agricola[[#This Row],[Superficie]],0)</f>
        <v>0</v>
      </c>
      <c r="AP72" s="707" t="str">
        <f>IF(Económico!$F$4=0,0,Producción_Agricola[[#This Row],[Centro de Costo]])</f>
        <v>Campo 1</v>
      </c>
      <c r="AQ72" s="512" t="s">
        <v>366</v>
      </c>
      <c r="AR72" s="513"/>
      <c r="AS72"/>
    </row>
    <row r="73" spans="1:45" x14ac:dyDescent="0.25">
      <c r="D73" s="478">
        <f>D72</f>
        <v>43506</v>
      </c>
      <c r="E73" s="478">
        <v>43586</v>
      </c>
      <c r="F73" s="668" t="str">
        <f t="shared" si="11"/>
        <v>2018-2019</v>
      </c>
      <c r="G73" s="669" t="str">
        <f t="shared" si="12"/>
        <v>Campo 1</v>
      </c>
      <c r="H73" s="669" t="str">
        <f t="shared" si="13"/>
        <v>Maíz Tardío</v>
      </c>
      <c r="I73" s="670" t="str">
        <f>IFERROR(INDEX(Tabla8[],MATCH(Producción_Agricola[[#This Row],[Unidad de Negocio]],Tabla8[Unidades de Negocio],0),2),0)</f>
        <v>Maíz</v>
      </c>
      <c r="J73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73" s="481" t="s">
        <v>23</v>
      </c>
      <c r="L73" s="482" t="s">
        <v>366</v>
      </c>
      <c r="M73" s="483">
        <v>0</v>
      </c>
      <c r="N73" s="484" t="s">
        <v>387</v>
      </c>
      <c r="O73" s="690">
        <f>Producción_Agricola[[#This Row],[Superficie]]*Producción_Agricola[[#This Row],[Cantidad]]</f>
        <v>0</v>
      </c>
      <c r="P73" s="482">
        <v>60</v>
      </c>
      <c r="Q73" s="484" t="s">
        <v>3</v>
      </c>
      <c r="R73" s="485">
        <v>0.06</v>
      </c>
      <c r="S73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73" s="695">
        <f>IFERROR(Producción_Agricola[[#This Row],[Económico $Corrientes]]/Producción_Agricola[[#This Row],[Indexación Económico]],0)</f>
        <v>0</v>
      </c>
      <c r="U73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7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73" s="695">
        <f>IFERROR(Producción_Agricola[[#This Row],[Financiero $Corrientes]]/Producción_Agricola[[#This Row],[Indexación Financiero]],0)</f>
        <v>0</v>
      </c>
      <c r="X7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7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73" s="699">
        <f>IFERROR(Producción_Agricola[[#This Row],[Intereses $Corrientes]]/Producción_Agricola[[#This Row],[Indexación Financiero]],0)</f>
        <v>0</v>
      </c>
      <c r="AA7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73" s="701" t="str">
        <f>IFERROR(INDEX(Produccion_Agricola_Cuentas[],MATCH(Producción_Agricola[[#This Row],[Cuenta Contable]],Produccion_Agricola_Cuentas[Cuenta Contable],0),2),0)</f>
        <v>Egreso</v>
      </c>
      <c r="AC73" s="702" t="str">
        <f>IFERROR(INDEX(Tabla9[],MATCH(Producción_Agricola[[#This Row],[Movimiento]],Tabla9[Movimientos],0),2),0)</f>
        <v>Si</v>
      </c>
      <c r="AD73" s="703" t="str">
        <f>IFERROR(INDEX(Tabla9[],MATCH(Producción_Agricola[[#This Row],[Movimiento]],Tabla9[Movimientos],0),3),0)</f>
        <v>(-)</v>
      </c>
      <c r="AE73" s="698">
        <f>IF(Producción_Agricola[[#This Row],[Fecha Económico]]=0,0,MONTH(Producción_Agricola[[#This Row],[Fecha Económico]]))</f>
        <v>2</v>
      </c>
      <c r="AF73" s="699">
        <f>IF(Producción_Agricola[[#This Row],[Fecha Económico]]=0,0,YEAR(Producción_Agricola[[#This Row],[Fecha Económico]]))</f>
        <v>2019</v>
      </c>
      <c r="AG73" s="704">
        <f>SUMPRODUCT((Producción_Agricola[[#This Row],[Mes Económico]]=Tipo_Cambio[Mes])*(Producción_Agricola[[#This Row],[Año Económico]]=Tipo_Cambio[Año])*(Tipo_Cambio[$/U$S]))</f>
        <v>23.586977746354219</v>
      </c>
      <c r="AH73" s="703">
        <f>SUMPRODUCT((Producción_Agricola[[#This Row],[Mes Económico]]=Tipo_Cambio[Mes])*(Producción_Agricola[[#This Row],[Año Económico]]=Tipo_Cambio[Año])*(Tipo_Cambio[Actualización]))</f>
        <v>1.14868566764928</v>
      </c>
      <c r="AI73" s="705">
        <f>IF(ISNUMBER(Producción_Agricola[[#This Row],[Fecha Financiero]])=TRUE,MONTH(Producción_Agricola[[#This Row],[Fecha Financiero]]),0)</f>
        <v>5</v>
      </c>
      <c r="AJ73" s="705">
        <f>IF(ISNUMBER(Producción_Agricola[[#This Row],[Fecha Financiero]])=TRUE,YEAR(Producción_Agricola[[#This Row],[Fecha Financiero]]),0)</f>
        <v>2019</v>
      </c>
      <c r="AK73" s="706">
        <f>SUMPRODUCT((Producción_Agricola[[#This Row],[Mes Financiero]]=Tipo_Cambio[Mes])*(Producción_Agricola[[#This Row],[Año Financiero]]=Tipo_Cambio[Año])*(Tipo_Cambio[$/U$S]))</f>
        <v>24.301686759046497</v>
      </c>
      <c r="AL73" s="706">
        <f>SUMPRODUCT((Producción_Agricola[[#This Row],[Mes Financiero]]=Tipo_Cambio[Mes])*(Producción_Agricola[[#This Row],[Año Financiero]]=Tipo_Cambio[Año])*(Tipo_Cambio[Actualización]))</f>
        <v>1.2189944199947573</v>
      </c>
      <c r="AM73" s="702">
        <f>IFERROR(Producción_Agricola[[#This Row],[Económico $Corrientes]]/Producción_Agricola[[#This Row],[Superficie]],0)</f>
        <v>0</v>
      </c>
      <c r="AN73" s="706">
        <f>IFERROR(Producción_Agricola[[#This Row],[Económico $Constantes]]/Producción_Agricola[[#This Row],[Superficie]],0)</f>
        <v>0</v>
      </c>
      <c r="AO73" s="706">
        <f>IFERROR(Producción_Agricola[[#This Row],[Económico U$S Dólares]]/Producción_Agricola[[#This Row],[Superficie]],0)</f>
        <v>0</v>
      </c>
      <c r="AP73" s="707" t="str">
        <f>IF(Económico!$F$4=0,0,Producción_Agricola[[#This Row],[Centro de Costo]])</f>
        <v>Campo 1</v>
      </c>
      <c r="AQ73" s="512" t="s">
        <v>366</v>
      </c>
      <c r="AR73" s="513"/>
      <c r="AS73"/>
    </row>
    <row r="74" spans="1:45" x14ac:dyDescent="0.25">
      <c r="D74" s="478">
        <f t="shared" ref="D74:D75" si="19">D73</f>
        <v>43506</v>
      </c>
      <c r="E74" s="478">
        <v>43586</v>
      </c>
      <c r="F74" s="668" t="str">
        <f t="shared" si="11"/>
        <v>2018-2019</v>
      </c>
      <c r="G74" s="669" t="str">
        <f t="shared" si="12"/>
        <v>Campo 1</v>
      </c>
      <c r="H74" s="669" t="str">
        <f t="shared" si="13"/>
        <v>Maíz Tardío</v>
      </c>
      <c r="I74" s="670" t="str">
        <f>IFERROR(INDEX(Tabla8[],MATCH(Producción_Agricola[[#This Row],[Unidad de Negocio]],Tabla8[Unidades de Negocio],0),2),0)</f>
        <v>Maíz</v>
      </c>
      <c r="J74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74" s="481" t="s">
        <v>22</v>
      </c>
      <c r="L74" s="482" t="s">
        <v>365</v>
      </c>
      <c r="M74" s="483">
        <v>0</v>
      </c>
      <c r="N74" s="484" t="s">
        <v>387</v>
      </c>
      <c r="O74" s="690">
        <f>Producción_Agricola[[#This Row],[Superficie]]*Producción_Agricola[[#This Row],[Cantidad]]</f>
        <v>0</v>
      </c>
      <c r="P74" s="482">
        <v>10</v>
      </c>
      <c r="Q74" s="484" t="s">
        <v>3</v>
      </c>
      <c r="R74" s="485">
        <v>0.06</v>
      </c>
      <c r="S74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74" s="695">
        <f>IFERROR(Producción_Agricola[[#This Row],[Económico $Corrientes]]/Producción_Agricola[[#This Row],[Indexación Económico]],0)</f>
        <v>0</v>
      </c>
      <c r="U74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7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74" s="695">
        <f>IFERROR(Producción_Agricola[[#This Row],[Financiero $Corrientes]]/Producción_Agricola[[#This Row],[Indexación Financiero]],0)</f>
        <v>0</v>
      </c>
      <c r="X7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7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74" s="699">
        <f>IFERROR(Producción_Agricola[[#This Row],[Intereses $Corrientes]]/Producción_Agricola[[#This Row],[Indexación Financiero]],0)</f>
        <v>0</v>
      </c>
      <c r="AA7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74" s="701" t="str">
        <f>IFERROR(INDEX(Produccion_Agricola_Cuentas[],MATCH(Producción_Agricola[[#This Row],[Cuenta Contable]],Produccion_Agricola_Cuentas[Cuenta Contable],0),2),0)</f>
        <v>Egreso</v>
      </c>
      <c r="AC74" s="702" t="str">
        <f>IFERROR(INDEX(Tabla9[],MATCH(Producción_Agricola[[#This Row],[Movimiento]],Tabla9[Movimientos],0),2),0)</f>
        <v>Si</v>
      </c>
      <c r="AD74" s="703" t="str">
        <f>IFERROR(INDEX(Tabla9[],MATCH(Producción_Agricola[[#This Row],[Movimiento]],Tabla9[Movimientos],0),3),0)</f>
        <v>(-)</v>
      </c>
      <c r="AE74" s="698">
        <f>IF(Producción_Agricola[[#This Row],[Fecha Económico]]=0,0,MONTH(Producción_Agricola[[#This Row],[Fecha Económico]]))</f>
        <v>2</v>
      </c>
      <c r="AF74" s="699">
        <f>IF(Producción_Agricola[[#This Row],[Fecha Económico]]=0,0,YEAR(Producción_Agricola[[#This Row],[Fecha Económico]]))</f>
        <v>2019</v>
      </c>
      <c r="AG74" s="704">
        <f>SUMPRODUCT((Producción_Agricola[[#This Row],[Mes Económico]]=Tipo_Cambio[Mes])*(Producción_Agricola[[#This Row],[Año Económico]]=Tipo_Cambio[Año])*(Tipo_Cambio[$/U$S]))</f>
        <v>23.586977746354219</v>
      </c>
      <c r="AH74" s="703">
        <f>SUMPRODUCT((Producción_Agricola[[#This Row],[Mes Económico]]=Tipo_Cambio[Mes])*(Producción_Agricola[[#This Row],[Año Económico]]=Tipo_Cambio[Año])*(Tipo_Cambio[Actualización]))</f>
        <v>1.14868566764928</v>
      </c>
      <c r="AI74" s="705">
        <f>IF(ISNUMBER(Producción_Agricola[[#This Row],[Fecha Financiero]])=TRUE,MONTH(Producción_Agricola[[#This Row],[Fecha Financiero]]),0)</f>
        <v>5</v>
      </c>
      <c r="AJ74" s="705">
        <f>IF(ISNUMBER(Producción_Agricola[[#This Row],[Fecha Financiero]])=TRUE,YEAR(Producción_Agricola[[#This Row],[Fecha Financiero]]),0)</f>
        <v>2019</v>
      </c>
      <c r="AK74" s="706">
        <f>SUMPRODUCT((Producción_Agricola[[#This Row],[Mes Financiero]]=Tipo_Cambio[Mes])*(Producción_Agricola[[#This Row],[Año Financiero]]=Tipo_Cambio[Año])*(Tipo_Cambio[$/U$S]))</f>
        <v>24.301686759046497</v>
      </c>
      <c r="AL74" s="706">
        <f>SUMPRODUCT((Producción_Agricola[[#This Row],[Mes Financiero]]=Tipo_Cambio[Mes])*(Producción_Agricola[[#This Row],[Año Financiero]]=Tipo_Cambio[Año])*(Tipo_Cambio[Actualización]))</f>
        <v>1.2189944199947573</v>
      </c>
      <c r="AM74" s="702">
        <f>IFERROR(Producción_Agricola[[#This Row],[Económico $Corrientes]]/Producción_Agricola[[#This Row],[Superficie]],0)</f>
        <v>0</v>
      </c>
      <c r="AN74" s="706">
        <f>IFERROR(Producción_Agricola[[#This Row],[Económico $Constantes]]/Producción_Agricola[[#This Row],[Superficie]],0)</f>
        <v>0</v>
      </c>
      <c r="AO74" s="706">
        <f>IFERROR(Producción_Agricola[[#This Row],[Económico U$S Dólares]]/Producción_Agricola[[#This Row],[Superficie]],0)</f>
        <v>0</v>
      </c>
      <c r="AP74" s="707" t="str">
        <f>IF(Económico!$F$4=0,0,Producción_Agricola[[#This Row],[Centro de Costo]])</f>
        <v>Campo 1</v>
      </c>
      <c r="AQ74" s="512" t="s">
        <v>366</v>
      </c>
      <c r="AR74" s="513"/>
      <c r="AS74"/>
    </row>
    <row r="75" spans="1:45" s="19" customFormat="1" x14ac:dyDescent="0.25">
      <c r="A75" s="489"/>
      <c r="B75" s="489"/>
      <c r="C75" s="489"/>
      <c r="D75" s="478">
        <f t="shared" si="19"/>
        <v>43506</v>
      </c>
      <c r="E75" s="478">
        <v>43586</v>
      </c>
      <c r="F75" s="668" t="str">
        <f t="shared" si="11"/>
        <v>2018-2019</v>
      </c>
      <c r="G75" s="673" t="str">
        <f t="shared" si="12"/>
        <v>Campo 1</v>
      </c>
      <c r="H75" s="673" t="str">
        <f t="shared" si="13"/>
        <v>Maíz Tardío</v>
      </c>
      <c r="I75" s="674" t="str">
        <f>IFERROR(INDEX(Tabla8[],MATCH(Producción_Agricola[[#This Row],[Unidad de Negocio]],Tabla8[Unidades de Negocio],0),2),0)</f>
        <v>Maíz</v>
      </c>
      <c r="J75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75" s="491" t="s">
        <v>24</v>
      </c>
      <c r="L75" s="482" t="s">
        <v>363</v>
      </c>
      <c r="M75" s="483">
        <v>0</v>
      </c>
      <c r="N75" s="484" t="s">
        <v>387</v>
      </c>
      <c r="O75" s="690">
        <f>Producción_Agricola[[#This Row],[Superficie]]*Producción_Agricola[[#This Row],[Cantidad]]</f>
        <v>0</v>
      </c>
      <c r="P75" s="482">
        <v>18</v>
      </c>
      <c r="Q75" s="484" t="s">
        <v>3</v>
      </c>
      <c r="R75" s="485">
        <v>0.06</v>
      </c>
      <c r="S75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75" s="695">
        <f>IFERROR(Producción_Agricola[[#This Row],[Económico $Corrientes]]/Producción_Agricola[[#This Row],[Indexación Económico]],0)</f>
        <v>0</v>
      </c>
      <c r="U75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7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75" s="695">
        <f>IFERROR(Producción_Agricola[[#This Row],[Financiero $Corrientes]]/Producción_Agricola[[#This Row],[Indexación Financiero]],0)</f>
        <v>0</v>
      </c>
      <c r="X7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7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75" s="699">
        <f>IFERROR(Producción_Agricola[[#This Row],[Intereses $Corrientes]]/Producción_Agricola[[#This Row],[Indexación Financiero]],0)</f>
        <v>0</v>
      </c>
      <c r="AA7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75" s="701" t="str">
        <f>IFERROR(INDEX(Produccion_Agricola_Cuentas[],MATCH(Producción_Agricola[[#This Row],[Cuenta Contable]],Produccion_Agricola_Cuentas[Cuenta Contable],0),2),0)</f>
        <v>Egreso</v>
      </c>
      <c r="AC75" s="702" t="str">
        <f>IFERROR(INDEX(Tabla9[],MATCH(Producción_Agricola[[#This Row],[Movimiento]],Tabla9[Movimientos],0),2),0)</f>
        <v>Si</v>
      </c>
      <c r="AD75" s="703" t="str">
        <f>IFERROR(INDEX(Tabla9[],MATCH(Producción_Agricola[[#This Row],[Movimiento]],Tabla9[Movimientos],0),3),0)</f>
        <v>(-)</v>
      </c>
      <c r="AE75" s="698">
        <f>IF(Producción_Agricola[[#This Row],[Fecha Económico]]=0,0,MONTH(Producción_Agricola[[#This Row],[Fecha Económico]]))</f>
        <v>2</v>
      </c>
      <c r="AF75" s="699">
        <f>IF(Producción_Agricola[[#This Row],[Fecha Económico]]=0,0,YEAR(Producción_Agricola[[#This Row],[Fecha Económico]]))</f>
        <v>2019</v>
      </c>
      <c r="AG75" s="704">
        <f>SUMPRODUCT((Producción_Agricola[[#This Row],[Mes Económico]]=Tipo_Cambio[Mes])*(Producción_Agricola[[#This Row],[Año Económico]]=Tipo_Cambio[Año])*(Tipo_Cambio[$/U$S]))</f>
        <v>23.586977746354219</v>
      </c>
      <c r="AH75" s="703">
        <f>SUMPRODUCT((Producción_Agricola[[#This Row],[Mes Económico]]=Tipo_Cambio[Mes])*(Producción_Agricola[[#This Row],[Año Económico]]=Tipo_Cambio[Año])*(Tipo_Cambio[Actualización]))</f>
        <v>1.14868566764928</v>
      </c>
      <c r="AI75" s="699">
        <f>IF(ISNUMBER(Producción_Agricola[[#This Row],[Fecha Financiero]])=TRUE,MONTH(Producción_Agricola[[#This Row],[Fecha Financiero]]),0)</f>
        <v>5</v>
      </c>
      <c r="AJ75" s="699">
        <f>IF(ISNUMBER(Producción_Agricola[[#This Row],[Fecha Financiero]])=TRUE,YEAR(Producción_Agricola[[#This Row],[Fecha Financiero]]),0)</f>
        <v>2019</v>
      </c>
      <c r="AK75" s="704">
        <f>SUMPRODUCT((Producción_Agricola[[#This Row],[Mes Financiero]]=Tipo_Cambio[Mes])*(Producción_Agricola[[#This Row],[Año Financiero]]=Tipo_Cambio[Año])*(Tipo_Cambio[$/U$S]))</f>
        <v>24.301686759046497</v>
      </c>
      <c r="AL75" s="704">
        <f>SUMPRODUCT((Producción_Agricola[[#This Row],[Mes Financiero]]=Tipo_Cambio[Mes])*(Producción_Agricola[[#This Row],[Año Financiero]]=Tipo_Cambio[Año])*(Tipo_Cambio[Actualización]))</f>
        <v>1.2189944199947573</v>
      </c>
      <c r="AM75" s="702">
        <f>IFERROR(Producción_Agricola[[#This Row],[Económico $Corrientes]]/Producción_Agricola[[#This Row],[Superficie]],0)</f>
        <v>0</v>
      </c>
      <c r="AN75" s="704">
        <f>IFERROR(Producción_Agricola[[#This Row],[Económico $Constantes]]/Producción_Agricola[[#This Row],[Superficie]],0)</f>
        <v>0</v>
      </c>
      <c r="AO75" s="704">
        <f>IFERROR(Producción_Agricola[[#This Row],[Económico U$S Dólares]]/Producción_Agricola[[#This Row],[Superficie]],0)</f>
        <v>0</v>
      </c>
      <c r="AP75" s="707" t="str">
        <f>IF(Económico!$F$4=0,0,Producción_Agricola[[#This Row],[Centro de Costo]])</f>
        <v>Campo 1</v>
      </c>
      <c r="AQ75" s="512" t="s">
        <v>366</v>
      </c>
      <c r="AR75" s="514"/>
    </row>
    <row r="76" spans="1:45" s="19" customFormat="1" x14ac:dyDescent="0.25">
      <c r="A76" s="489"/>
      <c r="B76" s="489"/>
      <c r="C76" s="489"/>
      <c r="D76" s="478">
        <f>D45-150</f>
        <v>43436</v>
      </c>
      <c r="E76" s="478">
        <f>Producción_Agricola[[#This Row],[Fecha Económico]]</f>
        <v>43436</v>
      </c>
      <c r="F76" s="668" t="str">
        <f t="shared" si="11"/>
        <v>2018-2019</v>
      </c>
      <c r="G76" s="673" t="str">
        <f t="shared" si="12"/>
        <v>Campo 1</v>
      </c>
      <c r="H76" s="673" t="str">
        <f t="shared" si="13"/>
        <v>Maíz Tardío</v>
      </c>
      <c r="I76" s="675" t="str">
        <f>IFERROR(INDEX(Tabla8[],MATCH(Producción_Agricola[[#This Row],[Unidad de Negocio]],Tabla8[Unidades de Negocio],0),2),0)</f>
        <v>Maíz</v>
      </c>
      <c r="J7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76" s="491" t="s">
        <v>53</v>
      </c>
      <c r="L76" s="482" t="s">
        <v>53</v>
      </c>
      <c r="M76" s="483">
        <v>0</v>
      </c>
      <c r="N76" s="484" t="s">
        <v>389</v>
      </c>
      <c r="O76" s="690">
        <f>Producción_Agricola[[#This Row],[Superficie]]*Producción_Agricola[[#This Row],[Cantidad]]</f>
        <v>0</v>
      </c>
      <c r="P76" s="482">
        <v>60</v>
      </c>
      <c r="Q76" s="484" t="s">
        <v>3</v>
      </c>
      <c r="R76" s="485"/>
      <c r="S7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76" s="695">
        <f>IFERROR(Producción_Agricola[[#This Row],[Económico $Corrientes]]/Producción_Agricola[[#This Row],[Indexación Económico]],0)</f>
        <v>0</v>
      </c>
      <c r="U7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7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76" s="695">
        <f>IFERROR(Producción_Agricola[[#This Row],[Financiero $Corrientes]]/Producción_Agricola[[#This Row],[Indexación Financiero]],0)</f>
        <v>0</v>
      </c>
      <c r="X7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7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76" s="699">
        <f>IFERROR(Producción_Agricola[[#This Row],[Intereses $Corrientes]]/Producción_Agricola[[#This Row],[Indexación Financiero]],0)</f>
        <v>0</v>
      </c>
      <c r="AA7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76" s="701" t="str">
        <f>IFERROR(INDEX(Produccion_Agricola_Cuentas[],MATCH(Producción_Agricola[[#This Row],[Cuenta Contable]],Produccion_Agricola_Cuentas[Cuenta Contable],0),2),0)</f>
        <v>Egreso</v>
      </c>
      <c r="AC76" s="702" t="str">
        <f>IFERROR(INDEX(Tabla9[],MATCH(Producción_Agricola[[#This Row],[Movimiento]],Tabla9[Movimientos],0),2),0)</f>
        <v>Si</v>
      </c>
      <c r="AD76" s="703" t="str">
        <f>IFERROR(INDEX(Tabla9[],MATCH(Producción_Agricola[[#This Row],[Movimiento]],Tabla9[Movimientos],0),3),0)</f>
        <v>(-)</v>
      </c>
      <c r="AE76" s="698">
        <f>IF(Producción_Agricola[[#This Row],[Fecha Económico]]=0,0,MONTH(Producción_Agricola[[#This Row],[Fecha Económico]]))</f>
        <v>12</v>
      </c>
      <c r="AF76" s="699">
        <f>IF(Producción_Agricola[[#This Row],[Fecha Económico]]=0,0,YEAR(Producción_Agricola[[#This Row],[Fecha Económico]]))</f>
        <v>2018</v>
      </c>
      <c r="AG76" s="704">
        <f>SUMPRODUCT((Producción_Agricola[[#This Row],[Mes Económico]]=Tipo_Cambio[Mes])*(Producción_Agricola[[#This Row],[Año Económico]]=Tipo_Cambio[Año])*(Tipo_Cambio[$/U$S]))</f>
        <v>23.122221102199997</v>
      </c>
      <c r="AH76" s="703">
        <f>SUMPRODUCT((Producción_Agricola[[#This Row],[Mes Económico]]=Tipo_Cambio[Mes])*(Producción_Agricola[[#This Row],[Año Económico]]=Tipo_Cambio[Año])*(Tipo_Cambio[Actualización]))</f>
        <v>1.1040808032</v>
      </c>
      <c r="AI76" s="699">
        <f>IF(ISNUMBER(Producción_Agricola[[#This Row],[Fecha Financiero]])=TRUE,MONTH(Producción_Agricola[[#This Row],[Fecha Financiero]]),0)</f>
        <v>12</v>
      </c>
      <c r="AJ76" s="699">
        <f>IF(ISNUMBER(Producción_Agricola[[#This Row],[Fecha Financiero]])=TRUE,YEAR(Producción_Agricola[[#This Row],[Fecha Financiero]]),0)</f>
        <v>2018</v>
      </c>
      <c r="AK76" s="704">
        <f>SUMPRODUCT((Producción_Agricola[[#This Row],[Mes Financiero]]=Tipo_Cambio[Mes])*(Producción_Agricola[[#This Row],[Año Financiero]]=Tipo_Cambio[Año])*(Tipo_Cambio[$/U$S]))</f>
        <v>23.122221102199997</v>
      </c>
      <c r="AL76" s="704">
        <f>SUMPRODUCT((Producción_Agricola[[#This Row],[Mes Financiero]]=Tipo_Cambio[Mes])*(Producción_Agricola[[#This Row],[Año Financiero]]=Tipo_Cambio[Año])*(Tipo_Cambio[Actualización]))</f>
        <v>1.1040808032</v>
      </c>
      <c r="AM76" s="709">
        <f>IFERROR(Producción_Agricola[[#This Row],[Económico $Corrientes]]/Producción_Agricola[[#This Row],[Superficie]],0)</f>
        <v>0</v>
      </c>
      <c r="AN76" s="712">
        <f>IFERROR(Producción_Agricola[[#This Row],[Económico $Constantes]]/Producción_Agricola[[#This Row],[Superficie]],0)</f>
        <v>0</v>
      </c>
      <c r="AO76" s="712">
        <f>IFERROR(Producción_Agricola[[#This Row],[Económico U$S Dólares]]/Producción_Agricola[[#This Row],[Superficie]],0)</f>
        <v>0</v>
      </c>
      <c r="AP76" s="711" t="str">
        <f>IF(Económico!$F$4=0,0,Producción_Agricola[[#This Row],[Centro de Costo]])</f>
        <v>Campo 1</v>
      </c>
      <c r="AQ76" s="512" t="s">
        <v>53</v>
      </c>
      <c r="AR76" s="514"/>
    </row>
    <row r="77" spans="1:45" x14ac:dyDescent="0.25">
      <c r="D77" s="478">
        <f>D45-300</f>
        <v>43286</v>
      </c>
      <c r="E77" s="478">
        <f>Producción_Agricola[[#This Row],[Fecha Económico]]</f>
        <v>43286</v>
      </c>
      <c r="F77" s="668" t="str">
        <f t="shared" si="11"/>
        <v>2018-2019</v>
      </c>
      <c r="G77" s="673" t="str">
        <f t="shared" si="12"/>
        <v>Campo 1</v>
      </c>
      <c r="H77" s="673" t="str">
        <f t="shared" si="13"/>
        <v>Maíz Tardío</v>
      </c>
      <c r="I77" s="675" t="str">
        <f>IFERROR(INDEX(Tabla8[],MATCH(Producción_Agricola[[#This Row],[Unidad de Negocio]],Tabla8[Unidades de Negocio],0),2),0)</f>
        <v>Maíz</v>
      </c>
      <c r="J7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77" s="491" t="s">
        <v>56</v>
      </c>
      <c r="L77" s="482" t="s">
        <v>373</v>
      </c>
      <c r="M77" s="483">
        <v>0</v>
      </c>
      <c r="N77" s="484" t="s">
        <v>377</v>
      </c>
      <c r="O77" s="690">
        <f>Producción_Agricola[[#This Row],[Superficie]]*Producción_Agricola[[#This Row],[Cantidad]]</f>
        <v>0</v>
      </c>
      <c r="P77" s="482">
        <v>280</v>
      </c>
      <c r="Q77" s="484" t="s">
        <v>3</v>
      </c>
      <c r="R77" s="485"/>
      <c r="S7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77" s="695">
        <f>IFERROR(Producción_Agricola[[#This Row],[Económico $Corrientes]]/Producción_Agricola[[#This Row],[Indexación Económico]],0)</f>
        <v>0</v>
      </c>
      <c r="U7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7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77" s="695">
        <f>IFERROR(Producción_Agricola[[#This Row],[Financiero $Corrientes]]/Producción_Agricola[[#This Row],[Indexación Financiero]],0)</f>
        <v>0</v>
      </c>
      <c r="X7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7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77" s="699">
        <f>IFERROR(Producción_Agricola[[#This Row],[Intereses $Corrientes]]/Producción_Agricola[[#This Row],[Indexación Financiero]],0)</f>
        <v>0</v>
      </c>
      <c r="AA7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77" s="701" t="str">
        <f>IFERROR(INDEX(Produccion_Agricola_Cuentas[],MATCH(Producción_Agricola[[#This Row],[Cuenta Contable]],Produccion_Agricola_Cuentas[Cuenta Contable],0),2),0)</f>
        <v>Egreso</v>
      </c>
      <c r="AC77" s="702" t="str">
        <f>IFERROR(INDEX(Tabla9[],MATCH(Producción_Agricola[[#This Row],[Movimiento]],Tabla9[Movimientos],0),2),0)</f>
        <v>Si</v>
      </c>
      <c r="AD77" s="703" t="str">
        <f>IFERROR(INDEX(Tabla9[],MATCH(Producción_Agricola[[#This Row],[Movimiento]],Tabla9[Movimientos],0),3),0)</f>
        <v>(-)</v>
      </c>
      <c r="AE77" s="698">
        <f>IF(Producción_Agricola[[#This Row],[Fecha Económico]]=0,0,MONTH(Producción_Agricola[[#This Row],[Fecha Económico]]))</f>
        <v>7</v>
      </c>
      <c r="AF77" s="699">
        <f>IF(Producción_Agricola[[#This Row],[Fecha Económico]]=0,0,YEAR(Producción_Agricola[[#This Row],[Fecha Económico]]))</f>
        <v>2018</v>
      </c>
      <c r="AG77" s="704">
        <f>SUMPRODUCT((Producción_Agricola[[#This Row],[Mes Económico]]=Tipo_Cambio[Mes])*(Producción_Agricola[[#This Row],[Año Económico]]=Tipo_Cambio[Año])*(Tipo_Cambio[$/U$S]))</f>
        <v>22</v>
      </c>
      <c r="AH77" s="703">
        <f>SUMPRODUCT((Producción_Agricola[[#This Row],[Mes Económico]]=Tipo_Cambio[Mes])*(Producción_Agricola[[#This Row],[Año Económico]]=Tipo_Cambio[Año])*(Tipo_Cambio[Actualización]))</f>
        <v>1</v>
      </c>
      <c r="AI77" s="705">
        <f>IF(ISNUMBER(Producción_Agricola[[#This Row],[Fecha Financiero]])=TRUE,MONTH(Producción_Agricola[[#This Row],[Fecha Financiero]]),0)</f>
        <v>7</v>
      </c>
      <c r="AJ77" s="705">
        <f>IF(ISNUMBER(Producción_Agricola[[#This Row],[Fecha Financiero]])=TRUE,YEAR(Producción_Agricola[[#This Row],[Fecha Financiero]]),0)</f>
        <v>2018</v>
      </c>
      <c r="AK77" s="706">
        <f>SUMPRODUCT((Producción_Agricola[[#This Row],[Mes Financiero]]=Tipo_Cambio[Mes])*(Producción_Agricola[[#This Row],[Año Financiero]]=Tipo_Cambio[Año])*(Tipo_Cambio[$/U$S]))</f>
        <v>22</v>
      </c>
      <c r="AL77" s="706">
        <f>SUMPRODUCT((Producción_Agricola[[#This Row],[Mes Financiero]]=Tipo_Cambio[Mes])*(Producción_Agricola[[#This Row],[Año Financiero]]=Tipo_Cambio[Año])*(Tipo_Cambio[Actualización]))</f>
        <v>1</v>
      </c>
      <c r="AM77" s="709">
        <f>IFERROR(Producción_Agricola[[#This Row],[Económico $Corrientes]]/Producción_Agricola[[#This Row],[Superficie]],0)</f>
        <v>0</v>
      </c>
      <c r="AN77" s="710">
        <f>IFERROR(Producción_Agricola[[#This Row],[Económico $Constantes]]/Producción_Agricola[[#This Row],[Superficie]],0)</f>
        <v>0</v>
      </c>
      <c r="AO77" s="710">
        <f>IFERROR(Producción_Agricola[[#This Row],[Económico U$S Dólares]]/Producción_Agricola[[#This Row],[Superficie]],0)</f>
        <v>0</v>
      </c>
      <c r="AP77" s="711" t="str">
        <f>IF(Económico!$F$4=0,0,Producción_Agricola[[#This Row],[Centro de Costo]])</f>
        <v>Campo 1</v>
      </c>
      <c r="AQ77" s="512" t="s">
        <v>56</v>
      </c>
      <c r="AR77" s="513"/>
      <c r="AS77"/>
    </row>
    <row r="78" spans="1:45" x14ac:dyDescent="0.25">
      <c r="D78" s="478">
        <f>D77+90</f>
        <v>43376</v>
      </c>
      <c r="E78" s="478">
        <f>Producción_Agricola[[#This Row],[Fecha Económico]]</f>
        <v>43376</v>
      </c>
      <c r="F78" s="668" t="str">
        <f t="shared" si="11"/>
        <v>2018-2019</v>
      </c>
      <c r="G78" s="673" t="str">
        <f t="shared" si="12"/>
        <v>Campo 1</v>
      </c>
      <c r="H78" s="673" t="str">
        <f t="shared" si="13"/>
        <v>Maíz Tardío</v>
      </c>
      <c r="I78" s="675" t="str">
        <f>IFERROR(INDEX(Tabla8[],MATCH(Producción_Agricola[[#This Row],[Unidad de Negocio]],Tabla8[Unidades de Negocio],0),2),0)</f>
        <v>Maíz</v>
      </c>
      <c r="J7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78" s="491" t="s">
        <v>56</v>
      </c>
      <c r="L78" s="482" t="s">
        <v>374</v>
      </c>
      <c r="M78" s="483">
        <v>0</v>
      </c>
      <c r="N78" s="484" t="s">
        <v>377</v>
      </c>
      <c r="O78" s="690">
        <f>Producción_Agricola[[#This Row],[Superficie]]*Producción_Agricola[[#This Row],[Cantidad]]</f>
        <v>0</v>
      </c>
      <c r="P78" s="482">
        <v>280</v>
      </c>
      <c r="Q78" s="484" t="s">
        <v>3</v>
      </c>
      <c r="R78" s="485"/>
      <c r="S7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78" s="695">
        <f>IFERROR(Producción_Agricola[[#This Row],[Económico $Corrientes]]/Producción_Agricola[[#This Row],[Indexación Económico]],0)</f>
        <v>0</v>
      </c>
      <c r="U7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7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78" s="695">
        <f>IFERROR(Producción_Agricola[[#This Row],[Financiero $Corrientes]]/Producción_Agricola[[#This Row],[Indexación Financiero]],0)</f>
        <v>0</v>
      </c>
      <c r="X7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7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78" s="699">
        <f>IFERROR(Producción_Agricola[[#This Row],[Intereses $Corrientes]]/Producción_Agricola[[#This Row],[Indexación Financiero]],0)</f>
        <v>0</v>
      </c>
      <c r="AA7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78" s="701" t="str">
        <f>IFERROR(INDEX(Produccion_Agricola_Cuentas[],MATCH(Producción_Agricola[[#This Row],[Cuenta Contable]],Produccion_Agricola_Cuentas[Cuenta Contable],0),2),0)</f>
        <v>Egreso</v>
      </c>
      <c r="AC78" s="702" t="str">
        <f>IFERROR(INDEX(Tabla9[],MATCH(Producción_Agricola[[#This Row],[Movimiento]],Tabla9[Movimientos],0),2),0)</f>
        <v>Si</v>
      </c>
      <c r="AD78" s="703" t="str">
        <f>IFERROR(INDEX(Tabla9[],MATCH(Producción_Agricola[[#This Row],[Movimiento]],Tabla9[Movimientos],0),3),0)</f>
        <v>(-)</v>
      </c>
      <c r="AE78" s="698">
        <f>IF(Producción_Agricola[[#This Row],[Fecha Económico]]=0,0,MONTH(Producción_Agricola[[#This Row],[Fecha Económico]]))</f>
        <v>10</v>
      </c>
      <c r="AF78" s="699">
        <f>IF(Producción_Agricola[[#This Row],[Fecha Económico]]=0,0,YEAR(Producción_Agricola[[#This Row],[Fecha Económico]]))</f>
        <v>2018</v>
      </c>
      <c r="AG78" s="704">
        <f>SUMPRODUCT((Producción_Agricola[[#This Row],[Mes Económico]]=Tipo_Cambio[Mes])*(Producción_Agricola[[#This Row],[Año Económico]]=Tipo_Cambio[Año])*(Tipo_Cambio[$/U$S]))</f>
        <v>22.666622</v>
      </c>
      <c r="AH78" s="703">
        <f>SUMPRODUCT((Producción_Agricola[[#This Row],[Mes Económico]]=Tipo_Cambio[Mes])*(Producción_Agricola[[#This Row],[Año Económico]]=Tipo_Cambio[Año])*(Tipo_Cambio[Actualización]))</f>
        <v>1.0612079999999999</v>
      </c>
      <c r="AI78" s="699">
        <f>IF(ISNUMBER(Producción_Agricola[[#This Row],[Fecha Financiero]])=TRUE,MONTH(Producción_Agricola[[#This Row],[Fecha Financiero]]),0)</f>
        <v>10</v>
      </c>
      <c r="AJ78" s="699">
        <f>IF(ISNUMBER(Producción_Agricola[[#This Row],[Fecha Financiero]])=TRUE,YEAR(Producción_Agricola[[#This Row],[Fecha Financiero]]),0)</f>
        <v>2018</v>
      </c>
      <c r="AK78" s="704">
        <f>SUMPRODUCT((Producción_Agricola[[#This Row],[Mes Financiero]]=Tipo_Cambio[Mes])*(Producción_Agricola[[#This Row],[Año Financiero]]=Tipo_Cambio[Año])*(Tipo_Cambio[$/U$S]))</f>
        <v>22.666622</v>
      </c>
      <c r="AL78" s="704">
        <f>SUMPRODUCT((Producción_Agricola[[#This Row],[Mes Financiero]]=Tipo_Cambio[Mes])*(Producción_Agricola[[#This Row],[Año Financiero]]=Tipo_Cambio[Año])*(Tipo_Cambio[Actualización]))</f>
        <v>1.0612079999999999</v>
      </c>
      <c r="AM78" s="709">
        <f>IFERROR(Producción_Agricola[[#This Row],[Económico $Corrientes]]/Producción_Agricola[[#This Row],[Superficie]],0)</f>
        <v>0</v>
      </c>
      <c r="AN78" s="712">
        <f>IFERROR(Producción_Agricola[[#This Row],[Económico $Constantes]]/Producción_Agricola[[#This Row],[Superficie]],0)</f>
        <v>0</v>
      </c>
      <c r="AO78" s="712">
        <f>IFERROR(Producción_Agricola[[#This Row],[Económico U$S Dólares]]/Producción_Agricola[[#This Row],[Superficie]],0)</f>
        <v>0</v>
      </c>
      <c r="AP78" s="711" t="str">
        <f>IF(Económico!$F$4=0,0,Producción_Agricola[[#This Row],[Centro de Costo]])</f>
        <v>Campo 1</v>
      </c>
      <c r="AQ78" s="512" t="s">
        <v>56</v>
      </c>
      <c r="AR78" s="513"/>
      <c r="AS78"/>
    </row>
    <row r="79" spans="1:45" x14ac:dyDescent="0.25">
      <c r="D79" s="478">
        <f>D78+90</f>
        <v>43466</v>
      </c>
      <c r="E79" s="478">
        <f>Producción_Agricola[[#This Row],[Fecha Económico]]</f>
        <v>43466</v>
      </c>
      <c r="F79" s="668" t="str">
        <f t="shared" si="11"/>
        <v>2018-2019</v>
      </c>
      <c r="G79" s="673" t="str">
        <f t="shared" si="12"/>
        <v>Campo 1</v>
      </c>
      <c r="H79" s="673" t="str">
        <f t="shared" si="13"/>
        <v>Maíz Tardío</v>
      </c>
      <c r="I79" s="675" t="str">
        <f>IFERROR(INDEX(Tabla8[],MATCH(Producción_Agricola[[#This Row],[Unidad de Negocio]],Tabla8[Unidades de Negocio],0),2),0)</f>
        <v>Maíz</v>
      </c>
      <c r="J7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79" s="491" t="s">
        <v>56</v>
      </c>
      <c r="L79" s="482" t="s">
        <v>375</v>
      </c>
      <c r="M79" s="483">
        <v>0</v>
      </c>
      <c r="N79" s="484" t="s">
        <v>377</v>
      </c>
      <c r="O79" s="690">
        <f>Producción_Agricola[[#This Row],[Superficie]]*Producción_Agricola[[#This Row],[Cantidad]]</f>
        <v>0</v>
      </c>
      <c r="P79" s="482">
        <v>280</v>
      </c>
      <c r="Q79" s="484" t="s">
        <v>3</v>
      </c>
      <c r="R79" s="485"/>
      <c r="S7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79" s="695">
        <f>IFERROR(Producción_Agricola[[#This Row],[Económico $Corrientes]]/Producción_Agricola[[#This Row],[Indexación Económico]],0)</f>
        <v>0</v>
      </c>
      <c r="U7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7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79" s="695">
        <f>IFERROR(Producción_Agricola[[#This Row],[Financiero $Corrientes]]/Producción_Agricola[[#This Row],[Indexación Financiero]],0)</f>
        <v>0</v>
      </c>
      <c r="X7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7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79" s="699">
        <f>IFERROR(Producción_Agricola[[#This Row],[Intereses $Corrientes]]/Producción_Agricola[[#This Row],[Indexación Financiero]],0)</f>
        <v>0</v>
      </c>
      <c r="AA7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79" s="701" t="str">
        <f>IFERROR(INDEX(Produccion_Agricola_Cuentas[],MATCH(Producción_Agricola[[#This Row],[Cuenta Contable]],Produccion_Agricola_Cuentas[Cuenta Contable],0),2),0)</f>
        <v>Egreso</v>
      </c>
      <c r="AC79" s="702" t="str">
        <f>IFERROR(INDEX(Tabla9[],MATCH(Producción_Agricola[[#This Row],[Movimiento]],Tabla9[Movimientos],0),2),0)</f>
        <v>Si</v>
      </c>
      <c r="AD79" s="703" t="str">
        <f>IFERROR(INDEX(Tabla9[],MATCH(Producción_Agricola[[#This Row],[Movimiento]],Tabla9[Movimientos],0),3),0)</f>
        <v>(-)</v>
      </c>
      <c r="AE79" s="698">
        <f>IF(Producción_Agricola[[#This Row],[Fecha Económico]]=0,0,MONTH(Producción_Agricola[[#This Row],[Fecha Económico]]))</f>
        <v>1</v>
      </c>
      <c r="AF79" s="699">
        <f>IF(Producción_Agricola[[#This Row],[Fecha Económico]]=0,0,YEAR(Producción_Agricola[[#This Row],[Fecha Económico]]))</f>
        <v>2019</v>
      </c>
      <c r="AG79" s="704">
        <f>SUMPRODUCT((Producción_Agricola[[#This Row],[Mes Económico]]=Tipo_Cambio[Mes])*(Producción_Agricola[[#This Row],[Año Económico]]=Tipo_Cambio[Año])*(Tipo_Cambio[$/U$S]))</f>
        <v>23.353443313221998</v>
      </c>
      <c r="AH79" s="703">
        <f>SUMPRODUCT((Producción_Agricola[[#This Row],[Mes Económico]]=Tipo_Cambio[Mes])*(Producción_Agricola[[#This Row],[Año Económico]]=Tipo_Cambio[Año])*(Tipo_Cambio[Actualización]))</f>
        <v>1.1261624192640001</v>
      </c>
      <c r="AI79" s="699">
        <f>IF(ISNUMBER(Producción_Agricola[[#This Row],[Fecha Financiero]])=TRUE,MONTH(Producción_Agricola[[#This Row],[Fecha Financiero]]),0)</f>
        <v>1</v>
      </c>
      <c r="AJ79" s="699">
        <f>IF(ISNUMBER(Producción_Agricola[[#This Row],[Fecha Financiero]])=TRUE,YEAR(Producción_Agricola[[#This Row],[Fecha Financiero]]),0)</f>
        <v>2019</v>
      </c>
      <c r="AK79" s="704">
        <f>SUMPRODUCT((Producción_Agricola[[#This Row],[Mes Financiero]]=Tipo_Cambio[Mes])*(Producción_Agricola[[#This Row],[Año Financiero]]=Tipo_Cambio[Año])*(Tipo_Cambio[$/U$S]))</f>
        <v>23.353443313221998</v>
      </c>
      <c r="AL79" s="704">
        <f>SUMPRODUCT((Producción_Agricola[[#This Row],[Mes Financiero]]=Tipo_Cambio[Mes])*(Producción_Agricola[[#This Row],[Año Financiero]]=Tipo_Cambio[Año])*(Tipo_Cambio[Actualización]))</f>
        <v>1.1261624192640001</v>
      </c>
      <c r="AM79" s="709">
        <f>IFERROR(Producción_Agricola[[#This Row],[Económico $Corrientes]]/Producción_Agricola[[#This Row],[Superficie]],0)</f>
        <v>0</v>
      </c>
      <c r="AN79" s="712">
        <f>IFERROR(Producción_Agricola[[#This Row],[Económico $Constantes]]/Producción_Agricola[[#This Row],[Superficie]],0)</f>
        <v>0</v>
      </c>
      <c r="AO79" s="712">
        <f>IFERROR(Producción_Agricola[[#This Row],[Económico U$S Dólares]]/Producción_Agricola[[#This Row],[Superficie]],0)</f>
        <v>0</v>
      </c>
      <c r="AP79" s="711" t="str">
        <f>IF(Económico!$F$4=0,0,Producción_Agricola[[#This Row],[Centro de Costo]])</f>
        <v>Campo 1</v>
      </c>
      <c r="AQ79" s="512" t="s">
        <v>56</v>
      </c>
      <c r="AR79" s="513"/>
      <c r="AS79"/>
    </row>
    <row r="80" spans="1:45" x14ac:dyDescent="0.25">
      <c r="D80" s="478">
        <f>D79+90</f>
        <v>43556</v>
      </c>
      <c r="E80" s="478">
        <f>Producción_Agricola[[#This Row],[Fecha Económico]]</f>
        <v>43556</v>
      </c>
      <c r="F80" s="668" t="str">
        <f t="shared" si="11"/>
        <v>2018-2019</v>
      </c>
      <c r="G80" s="673" t="str">
        <f t="shared" si="12"/>
        <v>Campo 1</v>
      </c>
      <c r="H80" s="673" t="str">
        <f t="shared" si="13"/>
        <v>Maíz Tardío</v>
      </c>
      <c r="I80" s="675" t="str">
        <f>IFERROR(INDEX(Tabla8[],MATCH(Producción_Agricola[[#This Row],[Unidad de Negocio]],Tabla8[Unidades de Negocio],0),2),0)</f>
        <v>Maíz</v>
      </c>
      <c r="J8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80" s="491" t="s">
        <v>56</v>
      </c>
      <c r="L80" s="482" t="s">
        <v>375</v>
      </c>
      <c r="M80" s="483">
        <v>0</v>
      </c>
      <c r="N80" s="484" t="s">
        <v>377</v>
      </c>
      <c r="O80" s="690">
        <f>Producción_Agricola[[#This Row],[Superficie]]*Producción_Agricola[[#This Row],[Cantidad]]</f>
        <v>0</v>
      </c>
      <c r="P80" s="482">
        <v>280</v>
      </c>
      <c r="Q80" s="484" t="s">
        <v>3</v>
      </c>
      <c r="R80" s="485"/>
      <c r="S8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80" s="695">
        <f>IFERROR(Producción_Agricola[[#This Row],[Económico $Corrientes]]/Producción_Agricola[[#This Row],[Indexación Económico]],0)</f>
        <v>0</v>
      </c>
      <c r="U8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8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80" s="695">
        <f>IFERROR(Producción_Agricola[[#This Row],[Financiero $Corrientes]]/Producción_Agricola[[#This Row],[Indexación Financiero]],0)</f>
        <v>0</v>
      </c>
      <c r="X8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8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80" s="699">
        <f>IFERROR(Producción_Agricola[[#This Row],[Intereses $Corrientes]]/Producción_Agricola[[#This Row],[Indexación Financiero]],0)</f>
        <v>0</v>
      </c>
      <c r="AA8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80" s="701" t="str">
        <f>IFERROR(INDEX(Produccion_Agricola_Cuentas[],MATCH(Producción_Agricola[[#This Row],[Cuenta Contable]],Produccion_Agricola_Cuentas[Cuenta Contable],0),2),0)</f>
        <v>Egreso</v>
      </c>
      <c r="AC80" s="702" t="str">
        <f>IFERROR(INDEX(Tabla9[],MATCH(Producción_Agricola[[#This Row],[Movimiento]],Tabla9[Movimientos],0),2),0)</f>
        <v>Si</v>
      </c>
      <c r="AD80" s="703" t="str">
        <f>IFERROR(INDEX(Tabla9[],MATCH(Producción_Agricola[[#This Row],[Movimiento]],Tabla9[Movimientos],0),3),0)</f>
        <v>(-)</v>
      </c>
      <c r="AE80" s="698">
        <f>IF(Producción_Agricola[[#This Row],[Fecha Económico]]=0,0,MONTH(Producción_Agricola[[#This Row],[Fecha Económico]]))</f>
        <v>4</v>
      </c>
      <c r="AF80" s="699">
        <f>IF(Producción_Agricola[[#This Row],[Fecha Económico]]=0,0,YEAR(Producción_Agricola[[#This Row],[Fecha Económico]]))</f>
        <v>2019</v>
      </c>
      <c r="AG80" s="704">
        <f>SUMPRODUCT((Producción_Agricola[[#This Row],[Mes Económico]]=Tipo_Cambio[Mes])*(Producción_Agricola[[#This Row],[Año Económico]]=Tipo_Cambio[Año])*(Tipo_Cambio[$/U$S]))</f>
        <v>24.061075999055937</v>
      </c>
      <c r="AH80" s="703">
        <f>SUMPRODUCT((Producción_Agricola[[#This Row],[Mes Económico]]=Tipo_Cambio[Mes])*(Producción_Agricola[[#This Row],[Año Económico]]=Tipo_Cambio[Año])*(Tipo_Cambio[Actualización]))</f>
        <v>1.1950925686223111</v>
      </c>
      <c r="AI80" s="699">
        <f>IF(ISNUMBER(Producción_Agricola[[#This Row],[Fecha Financiero]])=TRUE,MONTH(Producción_Agricola[[#This Row],[Fecha Financiero]]),0)</f>
        <v>4</v>
      </c>
      <c r="AJ80" s="699">
        <f>IF(ISNUMBER(Producción_Agricola[[#This Row],[Fecha Financiero]])=TRUE,YEAR(Producción_Agricola[[#This Row],[Fecha Financiero]]),0)</f>
        <v>2019</v>
      </c>
      <c r="AK80" s="704">
        <f>SUMPRODUCT((Producción_Agricola[[#This Row],[Mes Financiero]]=Tipo_Cambio[Mes])*(Producción_Agricola[[#This Row],[Año Financiero]]=Tipo_Cambio[Año])*(Tipo_Cambio[$/U$S]))</f>
        <v>24.061075999055937</v>
      </c>
      <c r="AL80" s="704">
        <f>SUMPRODUCT((Producción_Agricola[[#This Row],[Mes Financiero]]=Tipo_Cambio[Mes])*(Producción_Agricola[[#This Row],[Año Financiero]]=Tipo_Cambio[Año])*(Tipo_Cambio[Actualización]))</f>
        <v>1.1950925686223111</v>
      </c>
      <c r="AM80" s="709">
        <f>IFERROR(Producción_Agricola[[#This Row],[Económico $Corrientes]]/Producción_Agricola[[#This Row],[Superficie]],0)</f>
        <v>0</v>
      </c>
      <c r="AN80" s="712">
        <f>IFERROR(Producción_Agricola[[#This Row],[Económico $Constantes]]/Producción_Agricola[[#This Row],[Superficie]],0)</f>
        <v>0</v>
      </c>
      <c r="AO80" s="712">
        <f>IFERROR(Producción_Agricola[[#This Row],[Económico U$S Dólares]]/Producción_Agricola[[#This Row],[Superficie]],0)</f>
        <v>0</v>
      </c>
      <c r="AP80" s="711" t="str">
        <f>IF(Económico!$F$4=0,0,Producción_Agricola[[#This Row],[Centro de Costo]])</f>
        <v>Campo 1</v>
      </c>
      <c r="AQ80" s="512" t="s">
        <v>56</v>
      </c>
      <c r="AR80" s="513"/>
      <c r="AS80"/>
    </row>
    <row r="81" spans="2:45" x14ac:dyDescent="0.25">
      <c r="D81" s="478">
        <f>D79+90</f>
        <v>43556</v>
      </c>
      <c r="E81" s="493"/>
      <c r="F81" s="668" t="str">
        <f t="shared" si="11"/>
        <v>2018-2019</v>
      </c>
      <c r="G81" s="673" t="str">
        <f t="shared" si="12"/>
        <v>Campo 1</v>
      </c>
      <c r="H81" s="673" t="str">
        <f t="shared" si="13"/>
        <v>Maíz Tardío</v>
      </c>
      <c r="I81" s="675" t="str">
        <f>IFERROR(INDEX(Tabla8[],MATCH(Producción_Agricola[[#This Row],[Unidad de Negocio]],Tabla8[Unidades de Negocio],0),2),0)</f>
        <v>Maíz</v>
      </c>
      <c r="J8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150</v>
      </c>
      <c r="K81" s="491" t="s">
        <v>57</v>
      </c>
      <c r="L81" s="482"/>
      <c r="M81" s="483">
        <v>0</v>
      </c>
      <c r="N81" s="484" t="s">
        <v>377</v>
      </c>
      <c r="O81" s="690">
        <f>Producción_Agricola[[#This Row],[Superficie]]*Producción_Agricola[[#This Row],[Cantidad]]</f>
        <v>0</v>
      </c>
      <c r="P81" s="482">
        <v>280</v>
      </c>
      <c r="Q81" s="484" t="s">
        <v>3</v>
      </c>
      <c r="R81" s="485"/>
      <c r="S8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81" s="695">
        <f>IFERROR(Producción_Agricola[[#This Row],[Económico $Corrientes]]/Producción_Agricola[[#This Row],[Indexación Económico]],0)</f>
        <v>0</v>
      </c>
      <c r="U8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8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81" s="695">
        <f>IFERROR(Producción_Agricola[[#This Row],[Financiero $Corrientes]]/Producción_Agricola[[#This Row],[Indexación Financiero]],0)</f>
        <v>0</v>
      </c>
      <c r="X8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8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81" s="699">
        <f>IFERROR(Producción_Agricola[[#This Row],[Intereses $Corrientes]]/Producción_Agricola[[#This Row],[Indexación Financiero]],0)</f>
        <v>0</v>
      </c>
      <c r="AA8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81" s="701" t="str">
        <f>IFERROR(INDEX(Produccion_Agricola_Cuentas[],MATCH(Producción_Agricola[[#This Row],[Cuenta Contable]],Produccion_Agricola_Cuentas[Cuenta Contable],0),2),0)</f>
        <v>Egreso Cesión</v>
      </c>
      <c r="AC81" s="702" t="str">
        <f>IFERROR(INDEX(Tabla9[],MATCH(Producción_Agricola[[#This Row],[Movimiento]],Tabla9[Movimientos],0),2),0)</f>
        <v>No</v>
      </c>
      <c r="AD81" s="703" t="str">
        <f>IFERROR(INDEX(Tabla9[],MATCH(Producción_Agricola[[#This Row],[Movimiento]],Tabla9[Movimientos],0),3),0)</f>
        <v>(-)</v>
      </c>
      <c r="AE81" s="698">
        <f>IF(Producción_Agricola[[#This Row],[Fecha Económico]]=0,0,MONTH(Producción_Agricola[[#This Row],[Fecha Económico]]))</f>
        <v>4</v>
      </c>
      <c r="AF81" s="699">
        <f>IF(Producción_Agricola[[#This Row],[Fecha Económico]]=0,0,YEAR(Producción_Agricola[[#This Row],[Fecha Económico]]))</f>
        <v>2019</v>
      </c>
      <c r="AG81" s="704">
        <f>SUMPRODUCT((Producción_Agricola[[#This Row],[Mes Económico]]=Tipo_Cambio[Mes])*(Producción_Agricola[[#This Row],[Año Económico]]=Tipo_Cambio[Año])*(Tipo_Cambio[$/U$S]))</f>
        <v>24.061075999055937</v>
      </c>
      <c r="AH81" s="703">
        <f>SUMPRODUCT((Producción_Agricola[[#This Row],[Mes Económico]]=Tipo_Cambio[Mes])*(Producción_Agricola[[#This Row],[Año Económico]]=Tipo_Cambio[Año])*(Tipo_Cambio[Actualización]))</f>
        <v>1.1950925686223111</v>
      </c>
      <c r="AI81" s="699">
        <f>IF(ISNUMBER(Producción_Agricola[[#This Row],[Fecha Financiero]])=TRUE,MONTH(Producción_Agricola[[#This Row],[Fecha Financiero]]),0)</f>
        <v>0</v>
      </c>
      <c r="AJ81" s="699">
        <f>IF(ISNUMBER(Producción_Agricola[[#This Row],[Fecha Financiero]])=TRUE,YEAR(Producción_Agricola[[#This Row],[Fecha Financiero]]),0)</f>
        <v>0</v>
      </c>
      <c r="AK81" s="704">
        <f>SUMPRODUCT((Producción_Agricola[[#This Row],[Mes Financiero]]=Tipo_Cambio[Mes])*(Producción_Agricola[[#This Row],[Año Financiero]]=Tipo_Cambio[Año])*(Tipo_Cambio[$/U$S]))</f>
        <v>0</v>
      </c>
      <c r="AL81" s="704">
        <f>SUMPRODUCT((Producción_Agricola[[#This Row],[Mes Financiero]]=Tipo_Cambio[Mes])*(Producción_Agricola[[#This Row],[Año Financiero]]=Tipo_Cambio[Año])*(Tipo_Cambio[Actualización]))</f>
        <v>0</v>
      </c>
      <c r="AM81" s="709">
        <f>IFERROR(Producción_Agricola[[#This Row],[Económico $Corrientes]]/Producción_Agricola[[#This Row],[Superficie]],0)</f>
        <v>0</v>
      </c>
      <c r="AN81" s="712">
        <f>IFERROR(Producción_Agricola[[#This Row],[Económico $Constantes]]/Producción_Agricola[[#This Row],[Superficie]],0)</f>
        <v>0</v>
      </c>
      <c r="AO81" s="712">
        <f>IFERROR(Producción_Agricola[[#This Row],[Económico U$S Dólares]]/Producción_Agricola[[#This Row],[Superficie]],0)</f>
        <v>0</v>
      </c>
      <c r="AP81" s="711" t="str">
        <f>IF(Económico!$F$4=0,0,Producción_Agricola[[#This Row],[Centro de Costo]])</f>
        <v>Campo 1</v>
      </c>
      <c r="AQ81" s="512" t="s">
        <v>56</v>
      </c>
      <c r="AR81" s="515" t="s">
        <v>386</v>
      </c>
      <c r="AS81"/>
    </row>
    <row r="82" spans="2:45" x14ac:dyDescent="0.25">
      <c r="B82" s="494"/>
      <c r="D82" s="478"/>
      <c r="E82" s="478"/>
      <c r="F82" s="668"/>
      <c r="G82" s="673"/>
      <c r="H82" s="673"/>
      <c r="I82" s="675">
        <f>IFERROR(INDEX(Tabla8[],MATCH(Producción_Agricola[[#This Row],[Unidad de Negocio]],Tabla8[Unidades de Negocio],0),2),0)</f>
        <v>0</v>
      </c>
      <c r="J8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82" s="492"/>
      <c r="L82" s="482"/>
      <c r="M82" s="483"/>
      <c r="N82" s="484"/>
      <c r="O82" s="690">
        <f>Producción_Agricola[[#This Row],[Superficie]]*Producción_Agricola[[#This Row],[Cantidad]]</f>
        <v>0</v>
      </c>
      <c r="P82" s="482"/>
      <c r="Q82" s="484"/>
      <c r="R82" s="485"/>
      <c r="S8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82" s="695">
        <f>IFERROR(Producción_Agricola[[#This Row],[Económico $Corrientes]]/Producción_Agricola[[#This Row],[Indexación Económico]],0)</f>
        <v>0</v>
      </c>
      <c r="U8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8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82" s="695">
        <f>IFERROR(Producción_Agricola[[#This Row],[Financiero $Corrientes]]/Producción_Agricola[[#This Row],[Indexación Financiero]],0)</f>
        <v>0</v>
      </c>
      <c r="X8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8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82" s="699">
        <f>IFERROR(Producción_Agricola[[#This Row],[Intereses $Corrientes]]/Producción_Agricola[[#This Row],[Indexación Financiero]],0)</f>
        <v>0</v>
      </c>
      <c r="AA8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82" s="701">
        <f>IFERROR(INDEX(Produccion_Agricola_Cuentas[],MATCH(Producción_Agricola[[#This Row],[Cuenta Contable]],Produccion_Agricola_Cuentas[Cuenta Contable],0),2),0)</f>
        <v>0</v>
      </c>
      <c r="AC82" s="702">
        <f>IFERROR(INDEX(Tabla9[],MATCH(Producción_Agricola[[#This Row],[Movimiento]],Tabla9[Movimientos],0),2),0)</f>
        <v>0</v>
      </c>
      <c r="AD82" s="703">
        <f>IFERROR(INDEX(Tabla9[],MATCH(Producción_Agricola[[#This Row],[Movimiento]],Tabla9[Movimientos],0),3),0)</f>
        <v>0</v>
      </c>
      <c r="AE82" s="698">
        <f>IF(Producción_Agricola[[#This Row],[Fecha Económico]]=0,0,MONTH(Producción_Agricola[[#This Row],[Fecha Económico]]))</f>
        <v>0</v>
      </c>
      <c r="AF82" s="699">
        <f>IF(Producción_Agricola[[#This Row],[Fecha Económico]]=0,0,YEAR(Producción_Agricola[[#This Row],[Fecha Económico]]))</f>
        <v>0</v>
      </c>
      <c r="AG82" s="704">
        <f>SUMPRODUCT((Producción_Agricola[[#This Row],[Mes Económico]]=Tipo_Cambio[Mes])*(Producción_Agricola[[#This Row],[Año Económico]]=Tipo_Cambio[Año])*(Tipo_Cambio[$/U$S]))</f>
        <v>0</v>
      </c>
      <c r="AH82" s="703">
        <f>SUMPRODUCT((Producción_Agricola[[#This Row],[Mes Económico]]=Tipo_Cambio[Mes])*(Producción_Agricola[[#This Row],[Año Económico]]=Tipo_Cambio[Año])*(Tipo_Cambio[Actualización]))</f>
        <v>0</v>
      </c>
      <c r="AI82" s="699">
        <f>IF(ISNUMBER(Producción_Agricola[[#This Row],[Fecha Financiero]])=TRUE,MONTH(Producción_Agricola[[#This Row],[Fecha Financiero]]),0)</f>
        <v>0</v>
      </c>
      <c r="AJ82" s="699">
        <f>IF(ISNUMBER(Producción_Agricola[[#This Row],[Fecha Financiero]])=TRUE,YEAR(Producción_Agricola[[#This Row],[Fecha Financiero]]),0)</f>
        <v>0</v>
      </c>
      <c r="AK82" s="704">
        <f>SUMPRODUCT((Producción_Agricola[[#This Row],[Mes Financiero]]=Tipo_Cambio[Mes])*(Producción_Agricola[[#This Row],[Año Financiero]]=Tipo_Cambio[Año])*(Tipo_Cambio[$/U$S]))</f>
        <v>0</v>
      </c>
      <c r="AL82" s="704">
        <f>SUMPRODUCT((Producción_Agricola[[#This Row],[Mes Financiero]]=Tipo_Cambio[Mes])*(Producción_Agricola[[#This Row],[Año Financiero]]=Tipo_Cambio[Año])*(Tipo_Cambio[Actualización]))</f>
        <v>0</v>
      </c>
      <c r="AM82" s="709">
        <f>IFERROR(Producción_Agricola[[#This Row],[Económico $Corrientes]]/Producción_Agricola[[#This Row],[Superficie]],0)</f>
        <v>0</v>
      </c>
      <c r="AN82" s="712">
        <f>IFERROR(Producción_Agricola[[#This Row],[Económico $Constantes]]/Producción_Agricola[[#This Row],[Superficie]],0)</f>
        <v>0</v>
      </c>
      <c r="AO82" s="712">
        <f>IFERROR(Producción_Agricola[[#This Row],[Económico U$S Dólares]]/Producción_Agricola[[#This Row],[Superficie]],0)</f>
        <v>0</v>
      </c>
      <c r="AP82" s="711">
        <f>IF(Económico!$F$4=0,0,Producción_Agricola[[#This Row],[Centro de Costo]])</f>
        <v>0</v>
      </c>
      <c r="AQ82" s="512"/>
      <c r="AR82" s="515"/>
      <c r="AS82"/>
    </row>
    <row r="83" spans="2:45" x14ac:dyDescent="0.25">
      <c r="B83" s="494"/>
      <c r="D83" s="478"/>
      <c r="E83" s="478"/>
      <c r="F83" s="668"/>
      <c r="G83" s="673"/>
      <c r="H83" s="673"/>
      <c r="I83" s="675">
        <f>IFERROR(INDEX(Tabla8[],MATCH(Producción_Agricola[[#This Row],[Unidad de Negocio]],Tabla8[Unidades de Negocio],0),2),0)</f>
        <v>0</v>
      </c>
      <c r="J8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83" s="492"/>
      <c r="L83" s="482"/>
      <c r="M83" s="483"/>
      <c r="N83" s="484"/>
      <c r="O83" s="690">
        <f>Producción_Agricola[[#This Row],[Superficie]]*Producción_Agricola[[#This Row],[Cantidad]]</f>
        <v>0</v>
      </c>
      <c r="P83" s="482"/>
      <c r="Q83" s="484"/>
      <c r="R83" s="485"/>
      <c r="S8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83" s="695">
        <f>IFERROR(Producción_Agricola[[#This Row],[Económico $Corrientes]]/Producción_Agricola[[#This Row],[Indexación Económico]],0)</f>
        <v>0</v>
      </c>
      <c r="U8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8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83" s="695">
        <f>IFERROR(Producción_Agricola[[#This Row],[Financiero $Corrientes]]/Producción_Agricola[[#This Row],[Indexación Financiero]],0)</f>
        <v>0</v>
      </c>
      <c r="X8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8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83" s="699">
        <f>IFERROR(Producción_Agricola[[#This Row],[Intereses $Corrientes]]/Producción_Agricola[[#This Row],[Indexación Financiero]],0)</f>
        <v>0</v>
      </c>
      <c r="AA8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83" s="701">
        <f>IFERROR(INDEX(Produccion_Agricola_Cuentas[],MATCH(Producción_Agricola[[#This Row],[Cuenta Contable]],Produccion_Agricola_Cuentas[Cuenta Contable],0),2),0)</f>
        <v>0</v>
      </c>
      <c r="AC83" s="702">
        <f>IFERROR(INDEX(Tabla9[],MATCH(Producción_Agricola[[#This Row],[Movimiento]],Tabla9[Movimientos],0),2),0)</f>
        <v>0</v>
      </c>
      <c r="AD83" s="703">
        <f>IFERROR(INDEX(Tabla9[],MATCH(Producción_Agricola[[#This Row],[Movimiento]],Tabla9[Movimientos],0),3),0)</f>
        <v>0</v>
      </c>
      <c r="AE83" s="698">
        <f>IF(Producción_Agricola[[#This Row],[Fecha Económico]]=0,0,MONTH(Producción_Agricola[[#This Row],[Fecha Económico]]))</f>
        <v>0</v>
      </c>
      <c r="AF83" s="699">
        <f>IF(Producción_Agricola[[#This Row],[Fecha Económico]]=0,0,YEAR(Producción_Agricola[[#This Row],[Fecha Económico]]))</f>
        <v>0</v>
      </c>
      <c r="AG83" s="704">
        <f>SUMPRODUCT((Producción_Agricola[[#This Row],[Mes Económico]]=Tipo_Cambio[Mes])*(Producción_Agricola[[#This Row],[Año Económico]]=Tipo_Cambio[Año])*(Tipo_Cambio[$/U$S]))</f>
        <v>0</v>
      </c>
      <c r="AH83" s="703">
        <f>SUMPRODUCT((Producción_Agricola[[#This Row],[Mes Económico]]=Tipo_Cambio[Mes])*(Producción_Agricola[[#This Row],[Año Económico]]=Tipo_Cambio[Año])*(Tipo_Cambio[Actualización]))</f>
        <v>0</v>
      </c>
      <c r="AI83" s="699">
        <f>IF(ISNUMBER(Producción_Agricola[[#This Row],[Fecha Financiero]])=TRUE,MONTH(Producción_Agricola[[#This Row],[Fecha Financiero]]),0)</f>
        <v>0</v>
      </c>
      <c r="AJ83" s="699">
        <f>IF(ISNUMBER(Producción_Agricola[[#This Row],[Fecha Financiero]])=TRUE,YEAR(Producción_Agricola[[#This Row],[Fecha Financiero]]),0)</f>
        <v>0</v>
      </c>
      <c r="AK83" s="704">
        <f>SUMPRODUCT((Producción_Agricola[[#This Row],[Mes Financiero]]=Tipo_Cambio[Mes])*(Producción_Agricola[[#This Row],[Año Financiero]]=Tipo_Cambio[Año])*(Tipo_Cambio[$/U$S]))</f>
        <v>0</v>
      </c>
      <c r="AL83" s="704">
        <f>SUMPRODUCT((Producción_Agricola[[#This Row],[Mes Financiero]]=Tipo_Cambio[Mes])*(Producción_Agricola[[#This Row],[Año Financiero]]=Tipo_Cambio[Año])*(Tipo_Cambio[Actualización]))</f>
        <v>0</v>
      </c>
      <c r="AM83" s="709">
        <f>IFERROR(Producción_Agricola[[#This Row],[Económico $Corrientes]]/Producción_Agricola[[#This Row],[Superficie]],0)</f>
        <v>0</v>
      </c>
      <c r="AN83" s="712">
        <f>IFERROR(Producción_Agricola[[#This Row],[Económico $Constantes]]/Producción_Agricola[[#This Row],[Superficie]],0)</f>
        <v>0</v>
      </c>
      <c r="AO83" s="712">
        <f>IFERROR(Producción_Agricola[[#This Row],[Económico U$S Dólares]]/Producción_Agricola[[#This Row],[Superficie]],0)</f>
        <v>0</v>
      </c>
      <c r="AP83" s="711">
        <f>IF(Económico!$F$4=0,0,Producción_Agricola[[#This Row],[Centro de Costo]])</f>
        <v>0</v>
      </c>
      <c r="AQ83" s="512"/>
      <c r="AR83" s="515"/>
      <c r="AS83"/>
    </row>
    <row r="84" spans="2:45" ht="15.75" thickBot="1" x14ac:dyDescent="0.3">
      <c r="B84" s="494" t="s">
        <v>101</v>
      </c>
      <c r="D84" s="478"/>
      <c r="E84" s="478"/>
      <c r="F84" s="668"/>
      <c r="G84" s="673"/>
      <c r="H84" s="689"/>
      <c r="I84" s="675">
        <f>IFERROR(INDEX(Tabla8[],MATCH(Producción_Agricola[[#This Row],[Unidad de Negocio]],Tabla8[Unidades de Negocio],0),2),0)</f>
        <v>0</v>
      </c>
      <c r="J8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84" s="492"/>
      <c r="L84" s="482"/>
      <c r="M84" s="483"/>
      <c r="N84" s="484"/>
      <c r="O84" s="690">
        <f>Producción_Agricola[[#This Row],[Superficie]]*Producción_Agricola[[#This Row],[Cantidad]]</f>
        <v>0</v>
      </c>
      <c r="P84" s="482"/>
      <c r="Q84" s="484"/>
      <c r="R84" s="485"/>
      <c r="S8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84" s="695">
        <f>IFERROR(Producción_Agricola[[#This Row],[Económico $Corrientes]]/Producción_Agricola[[#This Row],[Indexación Económico]],0)</f>
        <v>0</v>
      </c>
      <c r="U8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8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84" s="695">
        <f>IFERROR(Producción_Agricola[[#This Row],[Financiero $Corrientes]]/Producción_Agricola[[#This Row],[Indexación Financiero]],0)</f>
        <v>0</v>
      </c>
      <c r="X8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8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84" s="699">
        <f>IFERROR(Producción_Agricola[[#This Row],[Intereses $Corrientes]]/Producción_Agricola[[#This Row],[Indexación Financiero]],0)</f>
        <v>0</v>
      </c>
      <c r="AA8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84" s="701">
        <f>IFERROR(INDEX(Produccion_Agricola_Cuentas[],MATCH(Producción_Agricola[[#This Row],[Cuenta Contable]],Produccion_Agricola_Cuentas[Cuenta Contable],0),2),0)</f>
        <v>0</v>
      </c>
      <c r="AC84" s="702">
        <f>IFERROR(INDEX(Tabla9[],MATCH(Producción_Agricola[[#This Row],[Movimiento]],Tabla9[Movimientos],0),2),0)</f>
        <v>0</v>
      </c>
      <c r="AD84" s="703">
        <f>IFERROR(INDEX(Tabla9[],MATCH(Producción_Agricola[[#This Row],[Movimiento]],Tabla9[Movimientos],0),3),0)</f>
        <v>0</v>
      </c>
      <c r="AE84" s="698">
        <f>IF(Producción_Agricola[[#This Row],[Fecha Económico]]=0,0,MONTH(Producción_Agricola[[#This Row],[Fecha Económico]]))</f>
        <v>0</v>
      </c>
      <c r="AF84" s="699">
        <f>IF(Producción_Agricola[[#This Row],[Fecha Económico]]=0,0,YEAR(Producción_Agricola[[#This Row],[Fecha Económico]]))</f>
        <v>0</v>
      </c>
      <c r="AG84" s="704">
        <f>SUMPRODUCT((Producción_Agricola[[#This Row],[Mes Económico]]=Tipo_Cambio[Mes])*(Producción_Agricola[[#This Row],[Año Económico]]=Tipo_Cambio[Año])*(Tipo_Cambio[$/U$S]))</f>
        <v>0</v>
      </c>
      <c r="AH84" s="703">
        <f>SUMPRODUCT((Producción_Agricola[[#This Row],[Mes Económico]]=Tipo_Cambio[Mes])*(Producción_Agricola[[#This Row],[Año Económico]]=Tipo_Cambio[Año])*(Tipo_Cambio[Actualización]))</f>
        <v>0</v>
      </c>
      <c r="AI84" s="699">
        <f>IF(ISNUMBER(Producción_Agricola[[#This Row],[Fecha Financiero]])=TRUE,MONTH(Producción_Agricola[[#This Row],[Fecha Financiero]]),0)</f>
        <v>0</v>
      </c>
      <c r="AJ84" s="699">
        <f>IF(ISNUMBER(Producción_Agricola[[#This Row],[Fecha Financiero]])=TRUE,YEAR(Producción_Agricola[[#This Row],[Fecha Financiero]]),0)</f>
        <v>0</v>
      </c>
      <c r="AK84" s="704">
        <f>SUMPRODUCT((Producción_Agricola[[#This Row],[Mes Financiero]]=Tipo_Cambio[Mes])*(Producción_Agricola[[#This Row],[Año Financiero]]=Tipo_Cambio[Año])*(Tipo_Cambio[$/U$S]))</f>
        <v>0</v>
      </c>
      <c r="AL84" s="704">
        <f>SUMPRODUCT((Producción_Agricola[[#This Row],[Mes Financiero]]=Tipo_Cambio[Mes])*(Producción_Agricola[[#This Row],[Año Financiero]]=Tipo_Cambio[Año])*(Tipo_Cambio[Actualización]))</f>
        <v>0</v>
      </c>
      <c r="AM84" s="709">
        <f>IFERROR(Producción_Agricola[[#This Row],[Económico $Corrientes]]/Producción_Agricola[[#This Row],[Superficie]],0)</f>
        <v>0</v>
      </c>
      <c r="AN84" s="712">
        <f>IFERROR(Producción_Agricola[[#This Row],[Económico $Constantes]]/Producción_Agricola[[#This Row],[Superficie]],0)</f>
        <v>0</v>
      </c>
      <c r="AO84" s="712">
        <f>IFERROR(Producción_Agricola[[#This Row],[Económico U$S Dólares]]/Producción_Agricola[[#This Row],[Superficie]],0)</f>
        <v>0</v>
      </c>
      <c r="AP84" s="711">
        <f>IF(Económico!$F$4=0,0,Producción_Agricola[[#This Row],[Centro de Costo]])</f>
        <v>0</v>
      </c>
      <c r="AQ84" s="512"/>
      <c r="AR84" s="515"/>
      <c r="AS84"/>
    </row>
    <row r="85" spans="2:45" ht="15.75" thickTop="1" x14ac:dyDescent="0.25">
      <c r="B85" s="477" t="s">
        <v>454</v>
      </c>
      <c r="D85" s="495">
        <v>43586</v>
      </c>
      <c r="E85" s="495"/>
      <c r="F85" s="679" t="str">
        <f>$B$86</f>
        <v>2018-2019</v>
      </c>
      <c r="G85" s="680" t="str">
        <f>$B$87</f>
        <v>Campo 1</v>
      </c>
      <c r="H85" s="669" t="str">
        <f t="shared" ref="H85:H124" si="20">$B$88</f>
        <v>Girasol</v>
      </c>
      <c r="I85" s="678" t="str">
        <f>IFERROR(INDEX(Tabla8[],MATCH(Producción_Agricola[[#This Row],[Unidad de Negocio]],Tabla8[Unidades de Negocio],0),2),0)</f>
        <v>Girasol</v>
      </c>
      <c r="J85" s="679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85" s="496" t="s">
        <v>77</v>
      </c>
      <c r="L85" s="497" t="s">
        <v>35</v>
      </c>
      <c r="M85" s="498">
        <v>0</v>
      </c>
      <c r="N85" s="499" t="s">
        <v>377</v>
      </c>
      <c r="O85" s="691">
        <f>Producción_Agricola[[#This Row],[Superficie]]*Producción_Agricola[[#This Row],[Cantidad]]</f>
        <v>0</v>
      </c>
      <c r="P85" s="497">
        <v>120</v>
      </c>
      <c r="Q85" s="499" t="s">
        <v>3</v>
      </c>
      <c r="R85" s="500"/>
      <c r="S85" s="714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85" s="714">
        <f>IFERROR(Producción_Agricola[[#This Row],[Económico $Corrientes]]/Producción_Agricola[[#This Row],[Indexación Económico]],0)</f>
        <v>0</v>
      </c>
      <c r="U85" s="714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85" s="715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85" s="714">
        <f>IFERROR(Producción_Agricola[[#This Row],[Financiero $Corrientes]]/Producción_Agricola[[#This Row],[Indexación Financiero]],0)</f>
        <v>0</v>
      </c>
      <c r="X85" s="716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85" s="717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85" s="718">
        <f>IFERROR(Producción_Agricola[[#This Row],[Intereses $Corrientes]]/Producción_Agricola[[#This Row],[Indexación Financiero]],0)</f>
        <v>0</v>
      </c>
      <c r="AA85" s="719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85" s="720" t="str">
        <f>IFERROR(INDEX(Produccion_Agricola_Cuentas[],MATCH(Producción_Agricola[[#This Row],[Cuenta Contable]],Produccion_Agricola_Cuentas[Cuenta Contable],0),2),0)</f>
        <v>Ingreso Cesión</v>
      </c>
      <c r="AC85" s="721" t="str">
        <f>IFERROR(INDEX(Tabla9[],MATCH(Producción_Agricola[[#This Row],[Movimiento]],Tabla9[Movimientos],0),2),0)</f>
        <v>No</v>
      </c>
      <c r="AD85" s="722" t="str">
        <f>IFERROR(INDEX(Tabla9[],MATCH(Producción_Agricola[[#This Row],[Movimiento]],Tabla9[Movimientos],0),3),0)</f>
        <v>(+)</v>
      </c>
      <c r="AE85" s="717">
        <f>IF(Producción_Agricola[[#This Row],[Fecha Económico]]=0,0,MONTH(Producción_Agricola[[#This Row],[Fecha Económico]]))</f>
        <v>5</v>
      </c>
      <c r="AF85" s="718">
        <f>IF(Producción_Agricola[[#This Row],[Fecha Económico]]=0,0,YEAR(Producción_Agricola[[#This Row],[Fecha Económico]]))</f>
        <v>2019</v>
      </c>
      <c r="AG85" s="723">
        <f>SUMPRODUCT((Producción_Agricola[[#This Row],[Mes Económico]]=Tipo_Cambio[Mes])*(Producción_Agricola[[#This Row],[Año Económico]]=Tipo_Cambio[Año])*(Tipo_Cambio[$/U$S]))</f>
        <v>24.301686759046497</v>
      </c>
      <c r="AH85" s="722">
        <f>SUMPRODUCT((Producción_Agricola[[#This Row],[Mes Económico]]=Tipo_Cambio[Mes])*(Producción_Agricola[[#This Row],[Año Económico]]=Tipo_Cambio[Año])*(Tipo_Cambio[Actualización]))</f>
        <v>1.2189944199947573</v>
      </c>
      <c r="AI85" s="718">
        <f>IF(ISNUMBER(Producción_Agricola[[#This Row],[Fecha Financiero]])=TRUE,MONTH(Producción_Agricola[[#This Row],[Fecha Financiero]]),0)</f>
        <v>0</v>
      </c>
      <c r="AJ85" s="718">
        <f>IF(ISNUMBER(Producción_Agricola[[#This Row],[Fecha Financiero]])=TRUE,YEAR(Producción_Agricola[[#This Row],[Fecha Financiero]]),0)</f>
        <v>0</v>
      </c>
      <c r="AK85" s="723">
        <f>SUMPRODUCT((Producción_Agricola[[#This Row],[Mes Financiero]]=Tipo_Cambio[Mes])*(Producción_Agricola[[#This Row],[Año Financiero]]=Tipo_Cambio[Año])*(Tipo_Cambio[$/U$S]))</f>
        <v>0</v>
      </c>
      <c r="AL85" s="723">
        <f>SUMPRODUCT((Producción_Agricola[[#This Row],[Mes Financiero]]=Tipo_Cambio[Mes])*(Producción_Agricola[[#This Row],[Año Financiero]]=Tipo_Cambio[Año])*(Tipo_Cambio[Actualización]))</f>
        <v>0</v>
      </c>
      <c r="AM85" s="721">
        <f>IFERROR(Producción_Agricola[[#This Row],[Económico $Corrientes]]/Producción_Agricola[[#This Row],[Superficie]],0)</f>
        <v>0</v>
      </c>
      <c r="AN85" s="723">
        <f>IFERROR(Producción_Agricola[[#This Row],[Económico $Constantes]]/Producción_Agricola[[#This Row],[Superficie]],0)</f>
        <v>0</v>
      </c>
      <c r="AO85" s="723">
        <f>IFERROR(Producción_Agricola[[#This Row],[Económico U$S Dólares]]/Producción_Agricola[[#This Row],[Superficie]],0)</f>
        <v>0</v>
      </c>
      <c r="AP85" s="724" t="str">
        <f>IF(Económico!$F$4=0,0,Producción_Agricola[[#This Row],[Centro de Costo]])</f>
        <v>Campo 1</v>
      </c>
      <c r="AQ85" s="516" t="s">
        <v>382</v>
      </c>
      <c r="AR85" s="517" t="s">
        <v>383</v>
      </c>
      <c r="AS85"/>
    </row>
    <row r="86" spans="2:45" x14ac:dyDescent="0.25">
      <c r="B86" s="486" t="s">
        <v>11</v>
      </c>
      <c r="D86" s="478">
        <f>D85</f>
        <v>43586</v>
      </c>
      <c r="E86" s="478">
        <v>43617</v>
      </c>
      <c r="F86" s="668" t="str">
        <f t="shared" ref="F86:F124" si="21">$B$86</f>
        <v>2018-2019</v>
      </c>
      <c r="G86" s="669" t="str">
        <f t="shared" ref="G86:G124" si="22">$B$87</f>
        <v>Campo 1</v>
      </c>
      <c r="H86" s="669" t="str">
        <f t="shared" si="20"/>
        <v>Girasol</v>
      </c>
      <c r="I86" s="670" t="str">
        <f>IFERROR(INDEX(Tabla8[],MATCH(Producción_Agricola[[#This Row],[Unidad de Negocio]],Tabla8[Unidades de Negocio],0),2),0)</f>
        <v>Girasol</v>
      </c>
      <c r="J86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86" s="481" t="s">
        <v>43</v>
      </c>
      <c r="L86" s="482" t="s">
        <v>43</v>
      </c>
      <c r="M86" s="483">
        <v>0</v>
      </c>
      <c r="N86" s="484" t="s">
        <v>389</v>
      </c>
      <c r="O86" s="690">
        <f>Producción_Agricola[[#This Row],[Superficie]]*Producción_Agricola[[#This Row],[Cantidad]]</f>
        <v>0</v>
      </c>
      <c r="P86" s="482">
        <v>90</v>
      </c>
      <c r="Q86" s="484" t="s">
        <v>3</v>
      </c>
      <c r="R86" s="485">
        <v>0</v>
      </c>
      <c r="S86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86" s="695">
        <f>IFERROR(Producción_Agricola[[#This Row],[Económico $Corrientes]]/Producción_Agricola[[#This Row],[Indexación Económico]],0)</f>
        <v>0</v>
      </c>
      <c r="U8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8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86" s="695">
        <f>IFERROR(Producción_Agricola[[#This Row],[Financiero $Corrientes]]/Producción_Agricola[[#This Row],[Indexación Financiero]],0)</f>
        <v>0</v>
      </c>
      <c r="X8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8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86" s="699">
        <f>IFERROR(Producción_Agricola[[#This Row],[Intereses $Corrientes]]/Producción_Agricola[[#This Row],[Indexación Financiero]],0)</f>
        <v>0</v>
      </c>
      <c r="AA8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86" s="701" t="str">
        <f>IFERROR(INDEX(Produccion_Agricola_Cuentas[],MATCH(Producción_Agricola[[#This Row],[Cuenta Contable]],Produccion_Agricola_Cuentas[Cuenta Contable],0),2),0)</f>
        <v>Egreso</v>
      </c>
      <c r="AC86" s="702" t="str">
        <f>IFERROR(INDEX(Tabla9[],MATCH(Producción_Agricola[[#This Row],[Movimiento]],Tabla9[Movimientos],0),2),0)</f>
        <v>Si</v>
      </c>
      <c r="AD86" s="703" t="str">
        <f>IFERROR(INDEX(Tabla9[],MATCH(Producción_Agricola[[#This Row],[Movimiento]],Tabla9[Movimientos],0),3),0)</f>
        <v>(-)</v>
      </c>
      <c r="AE86" s="698">
        <f>IF(Producción_Agricola[[#This Row],[Fecha Económico]]=0,0,MONTH(Producción_Agricola[[#This Row],[Fecha Económico]]))</f>
        <v>5</v>
      </c>
      <c r="AF86" s="699">
        <f>IF(Producción_Agricola[[#This Row],[Fecha Económico]]=0,0,YEAR(Producción_Agricola[[#This Row],[Fecha Económico]]))</f>
        <v>2019</v>
      </c>
      <c r="AG86" s="704">
        <f>SUMPRODUCT((Producción_Agricola[[#This Row],[Mes Económico]]=Tipo_Cambio[Mes])*(Producción_Agricola[[#This Row],[Año Económico]]=Tipo_Cambio[Año])*(Tipo_Cambio[$/U$S]))</f>
        <v>24.301686759046497</v>
      </c>
      <c r="AH86" s="703">
        <f>SUMPRODUCT((Producción_Agricola[[#This Row],[Mes Económico]]=Tipo_Cambio[Mes])*(Producción_Agricola[[#This Row],[Año Económico]]=Tipo_Cambio[Año])*(Tipo_Cambio[Actualización]))</f>
        <v>1.2189944199947573</v>
      </c>
      <c r="AI86" s="705">
        <f>IF(ISNUMBER(Producción_Agricola[[#This Row],[Fecha Financiero]])=TRUE,MONTH(Producción_Agricola[[#This Row],[Fecha Financiero]]),0)</f>
        <v>6</v>
      </c>
      <c r="AJ86" s="705">
        <f>IF(ISNUMBER(Producción_Agricola[[#This Row],[Fecha Financiero]])=TRUE,YEAR(Producción_Agricola[[#This Row],[Fecha Financiero]]),0)</f>
        <v>2019</v>
      </c>
      <c r="AK86" s="706">
        <f>SUMPRODUCT((Producción_Agricola[[#This Row],[Mes Financiero]]=Tipo_Cambio[Mes])*(Producción_Agricola[[#This Row],[Año Financiero]]=Tipo_Cambio[Año])*(Tipo_Cambio[$/U$S]))</f>
        <v>24.544703626636963</v>
      </c>
      <c r="AL86" s="706">
        <f>SUMPRODUCT((Producción_Agricola[[#This Row],[Mes Financiero]]=Tipo_Cambio[Mes])*(Producción_Agricola[[#This Row],[Año Financiero]]=Tipo_Cambio[Año])*(Tipo_Cambio[Actualización]))</f>
        <v>1.2433743083946525</v>
      </c>
      <c r="AM86" s="702">
        <f>IFERROR(Producción_Agricola[[#This Row],[Económico $Corrientes]]/Producción_Agricola[[#This Row],[Superficie]],0)</f>
        <v>0</v>
      </c>
      <c r="AN86" s="706">
        <f>IFERROR(Producción_Agricola[[#This Row],[Económico $Constantes]]/Producción_Agricola[[#This Row],[Superficie]],0)</f>
        <v>0</v>
      </c>
      <c r="AO86" s="706">
        <f>IFERROR(Producción_Agricola[[#This Row],[Económico U$S Dólares]]/Producción_Agricola[[#This Row],[Superficie]],0)</f>
        <v>0</v>
      </c>
      <c r="AP86" s="707" t="str">
        <f>IF(Económico!$F$4=0,0,Producción_Agricola[[#This Row],[Centro de Costo]])</f>
        <v>Campo 1</v>
      </c>
      <c r="AQ86" s="512" t="s">
        <v>43</v>
      </c>
      <c r="AR86" s="513"/>
      <c r="AS86"/>
    </row>
    <row r="87" spans="2:45" x14ac:dyDescent="0.25">
      <c r="B87" s="486" t="s">
        <v>2</v>
      </c>
      <c r="D87" s="478">
        <f>D85-320</f>
        <v>43266</v>
      </c>
      <c r="E87" s="478">
        <f>Producción_Agricola[[#This Row],[Fecha Económico]]+30</f>
        <v>43296</v>
      </c>
      <c r="F87" s="668" t="str">
        <f t="shared" si="21"/>
        <v>2018-2019</v>
      </c>
      <c r="G87" s="669" t="str">
        <f t="shared" si="22"/>
        <v>Campo 1</v>
      </c>
      <c r="H87" s="669" t="str">
        <f t="shared" si="20"/>
        <v>Girasol</v>
      </c>
      <c r="I87" s="670" t="str">
        <f>IFERROR(INDEX(Tabla8[],MATCH(Producción_Agricola[[#This Row],[Unidad de Negocio]],Tabla8[Unidades de Negocio],0),2),0)</f>
        <v>Girasol</v>
      </c>
      <c r="J87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87" s="481" t="s">
        <v>25</v>
      </c>
      <c r="L87" s="482" t="s">
        <v>219</v>
      </c>
      <c r="M87" s="483">
        <v>0</v>
      </c>
      <c r="N87" s="484" t="s">
        <v>389</v>
      </c>
      <c r="O87" s="690">
        <f>Producción_Agricola[[#This Row],[Superficie]]*Producción_Agricola[[#This Row],[Cantidad]]</f>
        <v>0</v>
      </c>
      <c r="P87" s="482">
        <v>120</v>
      </c>
      <c r="Q87" s="484" t="s">
        <v>48</v>
      </c>
      <c r="R87" s="485">
        <v>0</v>
      </c>
      <c r="S87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87" s="695">
        <f>IFERROR(Producción_Agricola[[#This Row],[Económico $Corrientes]]/Producción_Agricola[[#This Row],[Indexación Económico]],0)</f>
        <v>0</v>
      </c>
      <c r="U8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8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87" s="695">
        <f>IFERROR(Producción_Agricola[[#This Row],[Financiero $Corrientes]]/Producción_Agricola[[#This Row],[Indexación Financiero]],0)</f>
        <v>0</v>
      </c>
      <c r="X8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8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87" s="699">
        <f>IFERROR(Producción_Agricola[[#This Row],[Intereses $Corrientes]]/Producción_Agricola[[#This Row],[Indexación Financiero]],0)</f>
        <v>0</v>
      </c>
      <c r="AA8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87" s="701" t="str">
        <f>IFERROR(INDEX(Produccion_Agricola_Cuentas[],MATCH(Producción_Agricola[[#This Row],[Cuenta Contable]],Produccion_Agricola_Cuentas[Cuenta Contable],0),2),0)</f>
        <v>Egreso</v>
      </c>
      <c r="AC87" s="702" t="str">
        <f>IFERROR(INDEX(Tabla9[],MATCH(Producción_Agricola[[#This Row],[Movimiento]],Tabla9[Movimientos],0),2),0)</f>
        <v>Si</v>
      </c>
      <c r="AD87" s="703" t="str">
        <f>IFERROR(INDEX(Tabla9[],MATCH(Producción_Agricola[[#This Row],[Movimiento]],Tabla9[Movimientos],0),3),0)</f>
        <v>(-)</v>
      </c>
      <c r="AE87" s="698">
        <f>IF(Producción_Agricola[[#This Row],[Fecha Económico]]=0,0,MONTH(Producción_Agricola[[#This Row],[Fecha Económico]]))</f>
        <v>6</v>
      </c>
      <c r="AF87" s="699">
        <f>IF(Producción_Agricola[[#This Row],[Fecha Económico]]=0,0,YEAR(Producción_Agricola[[#This Row],[Fecha Económico]]))</f>
        <v>2018</v>
      </c>
      <c r="AG87" s="704">
        <f>SUMPRODUCT((Producción_Agricola[[#This Row],[Mes Económico]]=Tipo_Cambio[Mes])*(Producción_Agricola[[#This Row],[Año Económico]]=Tipo_Cambio[Año])*(Tipo_Cambio[$/U$S]))</f>
        <v>0</v>
      </c>
      <c r="AH87" s="703">
        <f>SUMPRODUCT((Producción_Agricola[[#This Row],[Mes Económico]]=Tipo_Cambio[Mes])*(Producción_Agricola[[#This Row],[Año Económico]]=Tipo_Cambio[Año])*(Tipo_Cambio[Actualización]))</f>
        <v>0</v>
      </c>
      <c r="AI87" s="705">
        <f>IF(ISNUMBER(Producción_Agricola[[#This Row],[Fecha Financiero]])=TRUE,MONTH(Producción_Agricola[[#This Row],[Fecha Financiero]]),0)</f>
        <v>7</v>
      </c>
      <c r="AJ87" s="705">
        <f>IF(ISNUMBER(Producción_Agricola[[#This Row],[Fecha Financiero]])=TRUE,YEAR(Producción_Agricola[[#This Row],[Fecha Financiero]]),0)</f>
        <v>2018</v>
      </c>
      <c r="AK87" s="706">
        <f>SUMPRODUCT((Producción_Agricola[[#This Row],[Mes Financiero]]=Tipo_Cambio[Mes])*(Producción_Agricola[[#This Row],[Año Financiero]]=Tipo_Cambio[Año])*(Tipo_Cambio[$/U$S]))</f>
        <v>22</v>
      </c>
      <c r="AL87" s="706">
        <f>SUMPRODUCT((Producción_Agricola[[#This Row],[Mes Financiero]]=Tipo_Cambio[Mes])*(Producción_Agricola[[#This Row],[Año Financiero]]=Tipo_Cambio[Año])*(Tipo_Cambio[Actualización]))</f>
        <v>1</v>
      </c>
      <c r="AM87" s="702">
        <f>IFERROR(Producción_Agricola[[#This Row],[Económico $Corrientes]]/Producción_Agricola[[#This Row],[Superficie]],0)</f>
        <v>0</v>
      </c>
      <c r="AN87" s="706">
        <f>IFERROR(Producción_Agricola[[#This Row],[Económico $Constantes]]/Producción_Agricola[[#This Row],[Superficie]],0)</f>
        <v>0</v>
      </c>
      <c r="AO87" s="706">
        <f>IFERROR(Producción_Agricola[[#This Row],[Económico U$S Dólares]]/Producción_Agricola[[#This Row],[Superficie]],0)</f>
        <v>0</v>
      </c>
      <c r="AP87" s="707" t="str">
        <f>IF(Económico!$F$4=0,0,Producción_Agricola[[#This Row],[Centro de Costo]])</f>
        <v>Campo 1</v>
      </c>
      <c r="AQ87" s="512" t="s">
        <v>378</v>
      </c>
      <c r="AR87" s="513"/>
      <c r="AS87"/>
    </row>
    <row r="88" spans="2:45" x14ac:dyDescent="0.25">
      <c r="B88" s="486" t="s">
        <v>82</v>
      </c>
      <c r="D88" s="478">
        <f>D87</f>
        <v>43266</v>
      </c>
      <c r="E88" s="478">
        <v>43586</v>
      </c>
      <c r="F88" s="668" t="str">
        <f t="shared" si="21"/>
        <v>2018-2019</v>
      </c>
      <c r="G88" s="669" t="str">
        <f t="shared" si="22"/>
        <v>Campo 1</v>
      </c>
      <c r="H88" s="669" t="str">
        <f t="shared" si="20"/>
        <v>Girasol</v>
      </c>
      <c r="I88" s="670" t="str">
        <f>IFERROR(INDEX(Tabla8[],MATCH(Producción_Agricola[[#This Row],[Unidad de Negocio]],Tabla8[Unidades de Negocio],0),2),0)</f>
        <v>Girasol</v>
      </c>
      <c r="J88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88" s="481" t="s">
        <v>17</v>
      </c>
      <c r="L88" s="482" t="s">
        <v>50</v>
      </c>
      <c r="M88" s="483">
        <v>0</v>
      </c>
      <c r="N88" s="484" t="s">
        <v>387</v>
      </c>
      <c r="O88" s="690">
        <f>Producción_Agricola[[#This Row],[Superficie]]*Producción_Agricola[[#This Row],[Cantidad]]</f>
        <v>0</v>
      </c>
      <c r="P88" s="482">
        <v>3</v>
      </c>
      <c r="Q88" s="484" t="s">
        <v>3</v>
      </c>
      <c r="R88" s="485">
        <v>0.06</v>
      </c>
      <c r="S88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88" s="695">
        <f>IFERROR(Producción_Agricola[[#This Row],[Económico $Corrientes]]/Producción_Agricola[[#This Row],[Indexación Económico]],0)</f>
        <v>0</v>
      </c>
      <c r="U8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8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88" s="695">
        <f>IFERROR(Producción_Agricola[[#This Row],[Financiero $Corrientes]]/Producción_Agricola[[#This Row],[Indexación Financiero]],0)</f>
        <v>0</v>
      </c>
      <c r="X8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8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88" s="699">
        <f>IFERROR(Producción_Agricola[[#This Row],[Intereses $Corrientes]]/Producción_Agricola[[#This Row],[Indexación Financiero]],0)</f>
        <v>0</v>
      </c>
      <c r="AA8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88" s="701" t="str">
        <f>IFERROR(INDEX(Produccion_Agricola_Cuentas[],MATCH(Producción_Agricola[[#This Row],[Cuenta Contable]],Produccion_Agricola_Cuentas[Cuenta Contable],0),2),0)</f>
        <v>Egreso</v>
      </c>
      <c r="AC88" s="702" t="str">
        <f>IFERROR(INDEX(Tabla9[],MATCH(Producción_Agricola[[#This Row],[Movimiento]],Tabla9[Movimientos],0),2),0)</f>
        <v>Si</v>
      </c>
      <c r="AD88" s="703" t="str">
        <f>IFERROR(INDEX(Tabla9[],MATCH(Producción_Agricola[[#This Row],[Movimiento]],Tabla9[Movimientos],0),3),0)</f>
        <v>(-)</v>
      </c>
      <c r="AE88" s="698">
        <f>IF(Producción_Agricola[[#This Row],[Fecha Económico]]=0,0,MONTH(Producción_Agricola[[#This Row],[Fecha Económico]]))</f>
        <v>6</v>
      </c>
      <c r="AF88" s="699">
        <f>IF(Producción_Agricola[[#This Row],[Fecha Económico]]=0,0,YEAR(Producción_Agricola[[#This Row],[Fecha Económico]]))</f>
        <v>2018</v>
      </c>
      <c r="AG88" s="704">
        <f>SUMPRODUCT((Producción_Agricola[[#This Row],[Mes Económico]]=Tipo_Cambio[Mes])*(Producción_Agricola[[#This Row],[Año Económico]]=Tipo_Cambio[Año])*(Tipo_Cambio[$/U$S]))</f>
        <v>0</v>
      </c>
      <c r="AH88" s="703">
        <f>SUMPRODUCT((Producción_Agricola[[#This Row],[Mes Económico]]=Tipo_Cambio[Mes])*(Producción_Agricola[[#This Row],[Año Económico]]=Tipo_Cambio[Año])*(Tipo_Cambio[Actualización]))</f>
        <v>0</v>
      </c>
      <c r="AI88" s="705">
        <f>IF(ISNUMBER(Producción_Agricola[[#This Row],[Fecha Financiero]])=TRUE,MONTH(Producción_Agricola[[#This Row],[Fecha Financiero]]),0)</f>
        <v>5</v>
      </c>
      <c r="AJ88" s="705">
        <f>IF(ISNUMBER(Producción_Agricola[[#This Row],[Fecha Financiero]])=TRUE,YEAR(Producción_Agricola[[#This Row],[Fecha Financiero]]),0)</f>
        <v>2019</v>
      </c>
      <c r="AK88" s="706">
        <f>SUMPRODUCT((Producción_Agricola[[#This Row],[Mes Financiero]]=Tipo_Cambio[Mes])*(Producción_Agricola[[#This Row],[Año Financiero]]=Tipo_Cambio[Año])*(Tipo_Cambio[$/U$S]))</f>
        <v>24.301686759046497</v>
      </c>
      <c r="AL88" s="706">
        <f>SUMPRODUCT((Producción_Agricola[[#This Row],[Mes Financiero]]=Tipo_Cambio[Mes])*(Producción_Agricola[[#This Row],[Año Financiero]]=Tipo_Cambio[Año])*(Tipo_Cambio[Actualización]))</f>
        <v>1.2189944199947573</v>
      </c>
      <c r="AM88" s="702">
        <f>IFERROR(Producción_Agricola[[#This Row],[Económico $Corrientes]]/Producción_Agricola[[#This Row],[Superficie]],0)</f>
        <v>0</v>
      </c>
      <c r="AN88" s="706">
        <f>IFERROR(Producción_Agricola[[#This Row],[Económico $Constantes]]/Producción_Agricola[[#This Row],[Superficie]],0)</f>
        <v>0</v>
      </c>
      <c r="AO88" s="706">
        <f>IFERROR(Producción_Agricola[[#This Row],[Económico U$S Dólares]]/Producción_Agricola[[#This Row],[Superficie]],0)</f>
        <v>0</v>
      </c>
      <c r="AP88" s="707" t="str">
        <f>IF(Económico!$F$4=0,0,Producción_Agricola[[#This Row],[Centro de Costo]])</f>
        <v>Campo 1</v>
      </c>
      <c r="AQ88" s="512" t="s">
        <v>378</v>
      </c>
      <c r="AR88" s="513"/>
      <c r="AS88"/>
    </row>
    <row r="89" spans="2:45" x14ac:dyDescent="0.25">
      <c r="B89" s="487">
        <f>$J$85</f>
        <v>120</v>
      </c>
      <c r="D89" s="478">
        <f t="shared" ref="D89:D90" si="23">D88</f>
        <v>43266</v>
      </c>
      <c r="E89" s="478">
        <v>43586</v>
      </c>
      <c r="F89" s="668" t="str">
        <f t="shared" si="21"/>
        <v>2018-2019</v>
      </c>
      <c r="G89" s="669" t="str">
        <f t="shared" si="22"/>
        <v>Campo 1</v>
      </c>
      <c r="H89" s="669" t="str">
        <f t="shared" si="20"/>
        <v>Girasol</v>
      </c>
      <c r="I89" s="670" t="str">
        <f>IFERROR(INDEX(Tabla8[],MATCH(Producción_Agricola[[#This Row],[Unidad de Negocio]],Tabla8[Unidades de Negocio],0),2),0)</f>
        <v>Girasol</v>
      </c>
      <c r="J89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89" s="481" t="s">
        <v>17</v>
      </c>
      <c r="L89" s="482" t="s">
        <v>49</v>
      </c>
      <c r="M89" s="483">
        <v>0</v>
      </c>
      <c r="N89" s="484" t="s">
        <v>387</v>
      </c>
      <c r="O89" s="690">
        <f>Producción_Agricola[[#This Row],[Superficie]]*Producción_Agricola[[#This Row],[Cantidad]]</f>
        <v>0</v>
      </c>
      <c r="P89" s="482">
        <v>7</v>
      </c>
      <c r="Q89" s="484" t="s">
        <v>3</v>
      </c>
      <c r="R89" s="485">
        <v>0.06</v>
      </c>
      <c r="S89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89" s="695">
        <f>IFERROR(Producción_Agricola[[#This Row],[Económico $Corrientes]]/Producción_Agricola[[#This Row],[Indexación Económico]],0)</f>
        <v>0</v>
      </c>
      <c r="U8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8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89" s="695">
        <f>IFERROR(Producción_Agricola[[#This Row],[Financiero $Corrientes]]/Producción_Agricola[[#This Row],[Indexación Financiero]],0)</f>
        <v>0</v>
      </c>
      <c r="X8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8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89" s="699">
        <f>IFERROR(Producción_Agricola[[#This Row],[Intereses $Corrientes]]/Producción_Agricola[[#This Row],[Indexación Financiero]],0)</f>
        <v>0</v>
      </c>
      <c r="AA8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89" s="701" t="str">
        <f>IFERROR(INDEX(Produccion_Agricola_Cuentas[],MATCH(Producción_Agricola[[#This Row],[Cuenta Contable]],Produccion_Agricola_Cuentas[Cuenta Contable],0),2),0)</f>
        <v>Egreso</v>
      </c>
      <c r="AC89" s="702" t="str">
        <f>IFERROR(INDEX(Tabla9[],MATCH(Producción_Agricola[[#This Row],[Movimiento]],Tabla9[Movimientos],0),2),0)</f>
        <v>Si</v>
      </c>
      <c r="AD89" s="703" t="str">
        <f>IFERROR(INDEX(Tabla9[],MATCH(Producción_Agricola[[#This Row],[Movimiento]],Tabla9[Movimientos],0),3),0)</f>
        <v>(-)</v>
      </c>
      <c r="AE89" s="698">
        <f>IF(Producción_Agricola[[#This Row],[Fecha Económico]]=0,0,MONTH(Producción_Agricola[[#This Row],[Fecha Económico]]))</f>
        <v>6</v>
      </c>
      <c r="AF89" s="699">
        <f>IF(Producción_Agricola[[#This Row],[Fecha Económico]]=0,0,YEAR(Producción_Agricola[[#This Row],[Fecha Económico]]))</f>
        <v>2018</v>
      </c>
      <c r="AG89" s="704">
        <f>SUMPRODUCT((Producción_Agricola[[#This Row],[Mes Económico]]=Tipo_Cambio[Mes])*(Producción_Agricola[[#This Row],[Año Económico]]=Tipo_Cambio[Año])*(Tipo_Cambio[$/U$S]))</f>
        <v>0</v>
      </c>
      <c r="AH89" s="703">
        <f>SUMPRODUCT((Producción_Agricola[[#This Row],[Mes Económico]]=Tipo_Cambio[Mes])*(Producción_Agricola[[#This Row],[Año Económico]]=Tipo_Cambio[Año])*(Tipo_Cambio[Actualización]))</f>
        <v>0</v>
      </c>
      <c r="AI89" s="705">
        <f>IF(ISNUMBER(Producción_Agricola[[#This Row],[Fecha Financiero]])=TRUE,MONTH(Producción_Agricola[[#This Row],[Fecha Financiero]]),0)</f>
        <v>5</v>
      </c>
      <c r="AJ89" s="705">
        <f>IF(ISNUMBER(Producción_Agricola[[#This Row],[Fecha Financiero]])=TRUE,YEAR(Producción_Agricola[[#This Row],[Fecha Financiero]]),0)</f>
        <v>2019</v>
      </c>
      <c r="AK89" s="706">
        <f>SUMPRODUCT((Producción_Agricola[[#This Row],[Mes Financiero]]=Tipo_Cambio[Mes])*(Producción_Agricola[[#This Row],[Año Financiero]]=Tipo_Cambio[Año])*(Tipo_Cambio[$/U$S]))</f>
        <v>24.301686759046497</v>
      </c>
      <c r="AL89" s="706">
        <f>SUMPRODUCT((Producción_Agricola[[#This Row],[Mes Financiero]]=Tipo_Cambio[Mes])*(Producción_Agricola[[#This Row],[Año Financiero]]=Tipo_Cambio[Año])*(Tipo_Cambio[Actualización]))</f>
        <v>1.2189944199947573</v>
      </c>
      <c r="AM89" s="702">
        <f>IFERROR(Producción_Agricola[[#This Row],[Económico $Corrientes]]/Producción_Agricola[[#This Row],[Superficie]],0)</f>
        <v>0</v>
      </c>
      <c r="AN89" s="706">
        <f>IFERROR(Producción_Agricola[[#This Row],[Económico $Constantes]]/Producción_Agricola[[#This Row],[Superficie]],0)</f>
        <v>0</v>
      </c>
      <c r="AO89" s="706">
        <f>IFERROR(Producción_Agricola[[#This Row],[Económico U$S Dólares]]/Producción_Agricola[[#This Row],[Superficie]],0)</f>
        <v>0</v>
      </c>
      <c r="AP89" s="707" t="str">
        <f>IF(Económico!$F$4=0,0,Producción_Agricola[[#This Row],[Centro de Costo]])</f>
        <v>Campo 1</v>
      </c>
      <c r="AQ89" s="512" t="s">
        <v>378</v>
      </c>
      <c r="AR89" s="513"/>
      <c r="AS89"/>
    </row>
    <row r="90" spans="2:45" x14ac:dyDescent="0.25">
      <c r="D90" s="478">
        <f t="shared" si="23"/>
        <v>43266</v>
      </c>
      <c r="E90" s="478">
        <v>43586</v>
      </c>
      <c r="F90" s="668" t="str">
        <f t="shared" si="21"/>
        <v>2018-2019</v>
      </c>
      <c r="G90" s="669" t="str">
        <f t="shared" si="22"/>
        <v>Campo 1</v>
      </c>
      <c r="H90" s="669" t="str">
        <f t="shared" si="20"/>
        <v>Girasol</v>
      </c>
      <c r="I90" s="670" t="str">
        <f>IFERROR(INDEX(Tabla8[],MATCH(Producción_Agricola[[#This Row],[Unidad de Negocio]],Tabla8[Unidades de Negocio],0),2),0)</f>
        <v>Girasol</v>
      </c>
      <c r="J90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90" s="481" t="s">
        <v>24</v>
      </c>
      <c r="L90" s="482" t="s">
        <v>363</v>
      </c>
      <c r="M90" s="483">
        <v>0</v>
      </c>
      <c r="N90" s="484" t="s">
        <v>387</v>
      </c>
      <c r="O90" s="690">
        <f>Producción_Agricola[[#This Row],[Superficie]]*Producción_Agricola[[#This Row],[Cantidad]]</f>
        <v>0</v>
      </c>
      <c r="P90" s="482">
        <v>18</v>
      </c>
      <c r="Q90" s="484" t="s">
        <v>3</v>
      </c>
      <c r="R90" s="485">
        <v>0.06</v>
      </c>
      <c r="S90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90" s="695">
        <f>IFERROR(Producción_Agricola[[#This Row],[Económico $Corrientes]]/Producción_Agricola[[#This Row],[Indexación Económico]],0)</f>
        <v>0</v>
      </c>
      <c r="U9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9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90" s="695">
        <f>IFERROR(Producción_Agricola[[#This Row],[Financiero $Corrientes]]/Producción_Agricola[[#This Row],[Indexación Financiero]],0)</f>
        <v>0</v>
      </c>
      <c r="X9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9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90" s="699">
        <f>IFERROR(Producción_Agricola[[#This Row],[Intereses $Corrientes]]/Producción_Agricola[[#This Row],[Indexación Financiero]],0)</f>
        <v>0</v>
      </c>
      <c r="AA9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90" s="701" t="str">
        <f>IFERROR(INDEX(Produccion_Agricola_Cuentas[],MATCH(Producción_Agricola[[#This Row],[Cuenta Contable]],Produccion_Agricola_Cuentas[Cuenta Contable],0),2),0)</f>
        <v>Egreso</v>
      </c>
      <c r="AC90" s="702" t="str">
        <f>IFERROR(INDEX(Tabla9[],MATCH(Producción_Agricola[[#This Row],[Movimiento]],Tabla9[Movimientos],0),2),0)</f>
        <v>Si</v>
      </c>
      <c r="AD90" s="703" t="str">
        <f>IFERROR(INDEX(Tabla9[],MATCH(Producción_Agricola[[#This Row],[Movimiento]],Tabla9[Movimientos],0),3),0)</f>
        <v>(-)</v>
      </c>
      <c r="AE90" s="698">
        <f>IF(Producción_Agricola[[#This Row],[Fecha Económico]]=0,0,MONTH(Producción_Agricola[[#This Row],[Fecha Económico]]))</f>
        <v>6</v>
      </c>
      <c r="AF90" s="699">
        <f>IF(Producción_Agricola[[#This Row],[Fecha Económico]]=0,0,YEAR(Producción_Agricola[[#This Row],[Fecha Económico]]))</f>
        <v>2018</v>
      </c>
      <c r="AG90" s="704">
        <f>SUMPRODUCT((Producción_Agricola[[#This Row],[Mes Económico]]=Tipo_Cambio[Mes])*(Producción_Agricola[[#This Row],[Año Económico]]=Tipo_Cambio[Año])*(Tipo_Cambio[$/U$S]))</f>
        <v>0</v>
      </c>
      <c r="AH90" s="703">
        <f>SUMPRODUCT((Producción_Agricola[[#This Row],[Mes Económico]]=Tipo_Cambio[Mes])*(Producción_Agricola[[#This Row],[Año Económico]]=Tipo_Cambio[Año])*(Tipo_Cambio[Actualización]))</f>
        <v>0</v>
      </c>
      <c r="AI90" s="705">
        <f>IF(ISNUMBER(Producción_Agricola[[#This Row],[Fecha Financiero]])=TRUE,MONTH(Producción_Agricola[[#This Row],[Fecha Financiero]]),0)</f>
        <v>5</v>
      </c>
      <c r="AJ90" s="705">
        <f>IF(ISNUMBER(Producción_Agricola[[#This Row],[Fecha Financiero]])=TRUE,YEAR(Producción_Agricola[[#This Row],[Fecha Financiero]]),0)</f>
        <v>2019</v>
      </c>
      <c r="AK90" s="706">
        <f>SUMPRODUCT((Producción_Agricola[[#This Row],[Mes Financiero]]=Tipo_Cambio[Mes])*(Producción_Agricola[[#This Row],[Año Financiero]]=Tipo_Cambio[Año])*(Tipo_Cambio[$/U$S]))</f>
        <v>24.301686759046497</v>
      </c>
      <c r="AL90" s="706">
        <f>SUMPRODUCT((Producción_Agricola[[#This Row],[Mes Financiero]]=Tipo_Cambio[Mes])*(Producción_Agricola[[#This Row],[Año Financiero]]=Tipo_Cambio[Año])*(Tipo_Cambio[Actualización]))</f>
        <v>1.2189944199947573</v>
      </c>
      <c r="AM90" s="702">
        <f>IFERROR(Producción_Agricola[[#This Row],[Económico $Corrientes]]/Producción_Agricola[[#This Row],[Superficie]],0)</f>
        <v>0</v>
      </c>
      <c r="AN90" s="706">
        <f>IFERROR(Producción_Agricola[[#This Row],[Económico $Constantes]]/Producción_Agricola[[#This Row],[Superficie]],0)</f>
        <v>0</v>
      </c>
      <c r="AO90" s="706">
        <f>IFERROR(Producción_Agricola[[#This Row],[Económico U$S Dólares]]/Producción_Agricola[[#This Row],[Superficie]],0)</f>
        <v>0</v>
      </c>
      <c r="AP90" s="707" t="str">
        <f>IF(Económico!$F$4=0,0,Producción_Agricola[[#This Row],[Centro de Costo]])</f>
        <v>Campo 1</v>
      </c>
      <c r="AQ90" s="512" t="s">
        <v>378</v>
      </c>
      <c r="AR90" s="513"/>
      <c r="AS90"/>
    </row>
    <row r="91" spans="2:45" x14ac:dyDescent="0.25">
      <c r="D91" s="478">
        <f>D87+45</f>
        <v>43311</v>
      </c>
      <c r="E91" s="478">
        <f>Producción_Agricola[[#This Row],[Fecha Económico]]+30</f>
        <v>43341</v>
      </c>
      <c r="F91" s="668" t="str">
        <f t="shared" si="21"/>
        <v>2018-2019</v>
      </c>
      <c r="G91" s="669" t="str">
        <f t="shared" si="22"/>
        <v>Campo 1</v>
      </c>
      <c r="H91" s="669" t="str">
        <f t="shared" si="20"/>
        <v>Girasol</v>
      </c>
      <c r="I91" s="670" t="str">
        <f>IFERROR(INDEX(Tabla8[],MATCH(Producción_Agricola[[#This Row],[Unidad de Negocio]],Tabla8[Unidades de Negocio],0),2),0)</f>
        <v>Girasol</v>
      </c>
      <c r="J91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91" s="481" t="s">
        <v>25</v>
      </c>
      <c r="L91" s="482" t="s">
        <v>219</v>
      </c>
      <c r="M91" s="483">
        <v>0</v>
      </c>
      <c r="N91" s="484" t="s">
        <v>389</v>
      </c>
      <c r="O91" s="690">
        <f>Producción_Agricola[[#This Row],[Superficie]]*Producción_Agricola[[#This Row],[Cantidad]]</f>
        <v>0</v>
      </c>
      <c r="P91" s="482">
        <v>120</v>
      </c>
      <c r="Q91" s="484" t="s">
        <v>48</v>
      </c>
      <c r="R91" s="485">
        <v>0</v>
      </c>
      <c r="S91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91" s="695">
        <f>IFERROR(Producción_Agricola[[#This Row],[Económico $Corrientes]]/Producción_Agricola[[#This Row],[Indexación Económico]],0)</f>
        <v>0</v>
      </c>
      <c r="U9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9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91" s="695">
        <f>IFERROR(Producción_Agricola[[#This Row],[Financiero $Corrientes]]/Producción_Agricola[[#This Row],[Indexación Financiero]],0)</f>
        <v>0</v>
      </c>
      <c r="X9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9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91" s="699">
        <f>IFERROR(Producción_Agricola[[#This Row],[Intereses $Corrientes]]/Producción_Agricola[[#This Row],[Indexación Financiero]],0)</f>
        <v>0</v>
      </c>
      <c r="AA9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91" s="701" t="str">
        <f>IFERROR(INDEX(Produccion_Agricola_Cuentas[],MATCH(Producción_Agricola[[#This Row],[Cuenta Contable]],Produccion_Agricola_Cuentas[Cuenta Contable],0),2),0)</f>
        <v>Egreso</v>
      </c>
      <c r="AC91" s="702" t="str">
        <f>IFERROR(INDEX(Tabla9[],MATCH(Producción_Agricola[[#This Row],[Movimiento]],Tabla9[Movimientos],0),2),0)</f>
        <v>Si</v>
      </c>
      <c r="AD91" s="703" t="str">
        <f>IFERROR(INDEX(Tabla9[],MATCH(Producción_Agricola[[#This Row],[Movimiento]],Tabla9[Movimientos],0),3),0)</f>
        <v>(-)</v>
      </c>
      <c r="AE91" s="698">
        <f>IF(Producción_Agricola[[#This Row],[Fecha Económico]]=0,0,MONTH(Producción_Agricola[[#This Row],[Fecha Económico]]))</f>
        <v>7</v>
      </c>
      <c r="AF91" s="699">
        <f>IF(Producción_Agricola[[#This Row],[Fecha Económico]]=0,0,YEAR(Producción_Agricola[[#This Row],[Fecha Económico]]))</f>
        <v>2018</v>
      </c>
      <c r="AG91" s="704">
        <f>SUMPRODUCT((Producción_Agricola[[#This Row],[Mes Económico]]=Tipo_Cambio[Mes])*(Producción_Agricola[[#This Row],[Año Económico]]=Tipo_Cambio[Año])*(Tipo_Cambio[$/U$S]))</f>
        <v>22</v>
      </c>
      <c r="AH91" s="703">
        <f>SUMPRODUCT((Producción_Agricola[[#This Row],[Mes Económico]]=Tipo_Cambio[Mes])*(Producción_Agricola[[#This Row],[Año Económico]]=Tipo_Cambio[Año])*(Tipo_Cambio[Actualización]))</f>
        <v>1</v>
      </c>
      <c r="AI91" s="705">
        <f>IF(ISNUMBER(Producción_Agricola[[#This Row],[Fecha Financiero]])=TRUE,MONTH(Producción_Agricola[[#This Row],[Fecha Financiero]]),0)</f>
        <v>8</v>
      </c>
      <c r="AJ91" s="705">
        <f>IF(ISNUMBER(Producción_Agricola[[#This Row],[Fecha Financiero]])=TRUE,YEAR(Producción_Agricola[[#This Row],[Fecha Financiero]]),0)</f>
        <v>2018</v>
      </c>
      <c r="AK91" s="706">
        <f>SUMPRODUCT((Producción_Agricola[[#This Row],[Mes Financiero]]=Tipo_Cambio[Mes])*(Producción_Agricola[[#This Row],[Año Financiero]]=Tipo_Cambio[Año])*(Tipo_Cambio[$/U$S]))</f>
        <v>22.22</v>
      </c>
      <c r="AL91" s="706">
        <f>SUMPRODUCT((Producción_Agricola[[#This Row],[Mes Financiero]]=Tipo_Cambio[Mes])*(Producción_Agricola[[#This Row],[Año Financiero]]=Tipo_Cambio[Año])*(Tipo_Cambio[Actualización]))</f>
        <v>1.02</v>
      </c>
      <c r="AM91" s="702">
        <f>IFERROR(Producción_Agricola[[#This Row],[Económico $Corrientes]]/Producción_Agricola[[#This Row],[Superficie]],0)</f>
        <v>0</v>
      </c>
      <c r="AN91" s="706">
        <f>IFERROR(Producción_Agricola[[#This Row],[Económico $Constantes]]/Producción_Agricola[[#This Row],[Superficie]],0)</f>
        <v>0</v>
      </c>
      <c r="AO91" s="706">
        <f>IFERROR(Producción_Agricola[[#This Row],[Económico U$S Dólares]]/Producción_Agricola[[#This Row],[Superficie]],0)</f>
        <v>0</v>
      </c>
      <c r="AP91" s="707" t="str">
        <f>IF(Económico!$F$4=0,0,Producción_Agricola[[#This Row],[Centro de Costo]])</f>
        <v>Campo 1</v>
      </c>
      <c r="AQ91" s="512" t="s">
        <v>380</v>
      </c>
      <c r="AR91" s="513"/>
      <c r="AS91"/>
    </row>
    <row r="92" spans="2:45" x14ac:dyDescent="0.25">
      <c r="D92" s="478">
        <f>D91</f>
        <v>43311</v>
      </c>
      <c r="E92" s="478">
        <v>43586</v>
      </c>
      <c r="F92" s="668" t="str">
        <f t="shared" si="21"/>
        <v>2018-2019</v>
      </c>
      <c r="G92" s="669" t="str">
        <f t="shared" si="22"/>
        <v>Campo 1</v>
      </c>
      <c r="H92" s="669" t="str">
        <f t="shared" si="20"/>
        <v>Girasol</v>
      </c>
      <c r="I92" s="670" t="str">
        <f>IFERROR(INDEX(Tabla8[],MATCH(Producción_Agricola[[#This Row],[Unidad de Negocio]],Tabla8[Unidades de Negocio],0),2),0)</f>
        <v>Girasol</v>
      </c>
      <c r="J92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92" s="481" t="s">
        <v>17</v>
      </c>
      <c r="L92" s="482" t="s">
        <v>50</v>
      </c>
      <c r="M92" s="483">
        <v>0</v>
      </c>
      <c r="N92" s="484" t="s">
        <v>387</v>
      </c>
      <c r="O92" s="690">
        <f>Producción_Agricola[[#This Row],[Superficie]]*Producción_Agricola[[#This Row],[Cantidad]]</f>
        <v>0</v>
      </c>
      <c r="P92" s="482">
        <v>3</v>
      </c>
      <c r="Q92" s="484" t="s">
        <v>3</v>
      </c>
      <c r="R92" s="485">
        <v>0.06</v>
      </c>
      <c r="S92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92" s="695">
        <f>IFERROR(Producción_Agricola[[#This Row],[Económico $Corrientes]]/Producción_Agricola[[#This Row],[Indexación Económico]],0)</f>
        <v>0</v>
      </c>
      <c r="U92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9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92" s="695">
        <f>IFERROR(Producción_Agricola[[#This Row],[Financiero $Corrientes]]/Producción_Agricola[[#This Row],[Indexación Financiero]],0)</f>
        <v>0</v>
      </c>
      <c r="X9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9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92" s="699">
        <f>IFERROR(Producción_Agricola[[#This Row],[Intereses $Corrientes]]/Producción_Agricola[[#This Row],[Indexación Financiero]],0)</f>
        <v>0</v>
      </c>
      <c r="AA9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92" s="701" t="str">
        <f>IFERROR(INDEX(Produccion_Agricola_Cuentas[],MATCH(Producción_Agricola[[#This Row],[Cuenta Contable]],Produccion_Agricola_Cuentas[Cuenta Contable],0),2),0)</f>
        <v>Egreso</v>
      </c>
      <c r="AC92" s="702" t="str">
        <f>IFERROR(INDEX(Tabla9[],MATCH(Producción_Agricola[[#This Row],[Movimiento]],Tabla9[Movimientos],0),2),0)</f>
        <v>Si</v>
      </c>
      <c r="AD92" s="703" t="str">
        <f>IFERROR(INDEX(Tabla9[],MATCH(Producción_Agricola[[#This Row],[Movimiento]],Tabla9[Movimientos],0),3),0)</f>
        <v>(-)</v>
      </c>
      <c r="AE92" s="698">
        <f>IF(Producción_Agricola[[#This Row],[Fecha Económico]]=0,0,MONTH(Producción_Agricola[[#This Row],[Fecha Económico]]))</f>
        <v>7</v>
      </c>
      <c r="AF92" s="699">
        <f>IF(Producción_Agricola[[#This Row],[Fecha Económico]]=0,0,YEAR(Producción_Agricola[[#This Row],[Fecha Económico]]))</f>
        <v>2018</v>
      </c>
      <c r="AG92" s="704">
        <f>SUMPRODUCT((Producción_Agricola[[#This Row],[Mes Económico]]=Tipo_Cambio[Mes])*(Producción_Agricola[[#This Row],[Año Económico]]=Tipo_Cambio[Año])*(Tipo_Cambio[$/U$S]))</f>
        <v>22</v>
      </c>
      <c r="AH92" s="703">
        <f>SUMPRODUCT((Producción_Agricola[[#This Row],[Mes Económico]]=Tipo_Cambio[Mes])*(Producción_Agricola[[#This Row],[Año Económico]]=Tipo_Cambio[Año])*(Tipo_Cambio[Actualización]))</f>
        <v>1</v>
      </c>
      <c r="AI92" s="705">
        <f>IF(ISNUMBER(Producción_Agricola[[#This Row],[Fecha Financiero]])=TRUE,MONTH(Producción_Agricola[[#This Row],[Fecha Financiero]]),0)</f>
        <v>5</v>
      </c>
      <c r="AJ92" s="705">
        <f>IF(ISNUMBER(Producción_Agricola[[#This Row],[Fecha Financiero]])=TRUE,YEAR(Producción_Agricola[[#This Row],[Fecha Financiero]]),0)</f>
        <v>2019</v>
      </c>
      <c r="AK92" s="706">
        <f>SUMPRODUCT((Producción_Agricola[[#This Row],[Mes Financiero]]=Tipo_Cambio[Mes])*(Producción_Agricola[[#This Row],[Año Financiero]]=Tipo_Cambio[Año])*(Tipo_Cambio[$/U$S]))</f>
        <v>24.301686759046497</v>
      </c>
      <c r="AL92" s="706">
        <f>SUMPRODUCT((Producción_Agricola[[#This Row],[Mes Financiero]]=Tipo_Cambio[Mes])*(Producción_Agricola[[#This Row],[Año Financiero]]=Tipo_Cambio[Año])*(Tipo_Cambio[Actualización]))</f>
        <v>1.2189944199947573</v>
      </c>
      <c r="AM92" s="702">
        <f>IFERROR(Producción_Agricola[[#This Row],[Económico $Corrientes]]/Producción_Agricola[[#This Row],[Superficie]],0)</f>
        <v>0</v>
      </c>
      <c r="AN92" s="706">
        <f>IFERROR(Producción_Agricola[[#This Row],[Económico $Constantes]]/Producción_Agricola[[#This Row],[Superficie]],0)</f>
        <v>0</v>
      </c>
      <c r="AO92" s="706">
        <f>IFERROR(Producción_Agricola[[#This Row],[Económico U$S Dólares]]/Producción_Agricola[[#This Row],[Superficie]],0)</f>
        <v>0</v>
      </c>
      <c r="AP92" s="707" t="str">
        <f>IF(Económico!$F$4=0,0,Producción_Agricola[[#This Row],[Centro de Costo]])</f>
        <v>Campo 1</v>
      </c>
      <c r="AQ92" s="512" t="s">
        <v>380</v>
      </c>
      <c r="AR92" s="513"/>
      <c r="AS92"/>
    </row>
    <row r="93" spans="2:45" x14ac:dyDescent="0.25">
      <c r="D93" s="478">
        <f t="shared" ref="D93:D95" si="24">D92</f>
        <v>43311</v>
      </c>
      <c r="E93" s="478">
        <v>43586</v>
      </c>
      <c r="F93" s="668" t="str">
        <f t="shared" si="21"/>
        <v>2018-2019</v>
      </c>
      <c r="G93" s="669" t="str">
        <f t="shared" si="22"/>
        <v>Campo 1</v>
      </c>
      <c r="H93" s="669" t="str">
        <f t="shared" si="20"/>
        <v>Girasol</v>
      </c>
      <c r="I93" s="670" t="str">
        <f>IFERROR(INDEX(Tabla8[],MATCH(Producción_Agricola[[#This Row],[Unidad de Negocio]],Tabla8[Unidades de Negocio],0),2),0)</f>
        <v>Girasol</v>
      </c>
      <c r="J93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93" s="481" t="s">
        <v>17</v>
      </c>
      <c r="L93" s="482" t="s">
        <v>49</v>
      </c>
      <c r="M93" s="483">
        <v>0</v>
      </c>
      <c r="N93" s="484" t="s">
        <v>387</v>
      </c>
      <c r="O93" s="690">
        <f>Producción_Agricola[[#This Row],[Superficie]]*Producción_Agricola[[#This Row],[Cantidad]]</f>
        <v>0</v>
      </c>
      <c r="P93" s="482">
        <v>7</v>
      </c>
      <c r="Q93" s="484" t="s">
        <v>3</v>
      </c>
      <c r="R93" s="485">
        <v>0.06</v>
      </c>
      <c r="S93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93" s="695">
        <f>IFERROR(Producción_Agricola[[#This Row],[Económico $Corrientes]]/Producción_Agricola[[#This Row],[Indexación Económico]],0)</f>
        <v>0</v>
      </c>
      <c r="U93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9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93" s="695">
        <f>IFERROR(Producción_Agricola[[#This Row],[Financiero $Corrientes]]/Producción_Agricola[[#This Row],[Indexación Financiero]],0)</f>
        <v>0</v>
      </c>
      <c r="X9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9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93" s="699">
        <f>IFERROR(Producción_Agricola[[#This Row],[Intereses $Corrientes]]/Producción_Agricola[[#This Row],[Indexación Financiero]],0)</f>
        <v>0</v>
      </c>
      <c r="AA9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93" s="701" t="str">
        <f>IFERROR(INDEX(Produccion_Agricola_Cuentas[],MATCH(Producción_Agricola[[#This Row],[Cuenta Contable]],Produccion_Agricola_Cuentas[Cuenta Contable],0),2),0)</f>
        <v>Egreso</v>
      </c>
      <c r="AC93" s="702" t="str">
        <f>IFERROR(INDEX(Tabla9[],MATCH(Producción_Agricola[[#This Row],[Movimiento]],Tabla9[Movimientos],0),2),0)</f>
        <v>Si</v>
      </c>
      <c r="AD93" s="703" t="str">
        <f>IFERROR(INDEX(Tabla9[],MATCH(Producción_Agricola[[#This Row],[Movimiento]],Tabla9[Movimientos],0),3),0)</f>
        <v>(-)</v>
      </c>
      <c r="AE93" s="698">
        <f>IF(Producción_Agricola[[#This Row],[Fecha Económico]]=0,0,MONTH(Producción_Agricola[[#This Row],[Fecha Económico]]))</f>
        <v>7</v>
      </c>
      <c r="AF93" s="699">
        <f>IF(Producción_Agricola[[#This Row],[Fecha Económico]]=0,0,YEAR(Producción_Agricola[[#This Row],[Fecha Económico]]))</f>
        <v>2018</v>
      </c>
      <c r="AG93" s="704">
        <f>SUMPRODUCT((Producción_Agricola[[#This Row],[Mes Económico]]=Tipo_Cambio[Mes])*(Producción_Agricola[[#This Row],[Año Económico]]=Tipo_Cambio[Año])*(Tipo_Cambio[$/U$S]))</f>
        <v>22</v>
      </c>
      <c r="AH93" s="703">
        <f>SUMPRODUCT((Producción_Agricola[[#This Row],[Mes Económico]]=Tipo_Cambio[Mes])*(Producción_Agricola[[#This Row],[Año Económico]]=Tipo_Cambio[Año])*(Tipo_Cambio[Actualización]))</f>
        <v>1</v>
      </c>
      <c r="AI93" s="705">
        <f>IF(ISNUMBER(Producción_Agricola[[#This Row],[Fecha Financiero]])=TRUE,MONTH(Producción_Agricola[[#This Row],[Fecha Financiero]]),0)</f>
        <v>5</v>
      </c>
      <c r="AJ93" s="705">
        <f>IF(ISNUMBER(Producción_Agricola[[#This Row],[Fecha Financiero]])=TRUE,YEAR(Producción_Agricola[[#This Row],[Fecha Financiero]]),0)</f>
        <v>2019</v>
      </c>
      <c r="AK93" s="706">
        <f>SUMPRODUCT((Producción_Agricola[[#This Row],[Mes Financiero]]=Tipo_Cambio[Mes])*(Producción_Agricola[[#This Row],[Año Financiero]]=Tipo_Cambio[Año])*(Tipo_Cambio[$/U$S]))</f>
        <v>24.301686759046497</v>
      </c>
      <c r="AL93" s="706">
        <f>SUMPRODUCT((Producción_Agricola[[#This Row],[Mes Financiero]]=Tipo_Cambio[Mes])*(Producción_Agricola[[#This Row],[Año Financiero]]=Tipo_Cambio[Año])*(Tipo_Cambio[Actualización]))</f>
        <v>1.2189944199947573</v>
      </c>
      <c r="AM93" s="702">
        <f>IFERROR(Producción_Agricola[[#This Row],[Económico $Corrientes]]/Producción_Agricola[[#This Row],[Superficie]],0)</f>
        <v>0</v>
      </c>
      <c r="AN93" s="706">
        <f>IFERROR(Producción_Agricola[[#This Row],[Económico $Constantes]]/Producción_Agricola[[#This Row],[Superficie]],0)</f>
        <v>0</v>
      </c>
      <c r="AO93" s="706">
        <f>IFERROR(Producción_Agricola[[#This Row],[Económico U$S Dólares]]/Producción_Agricola[[#This Row],[Superficie]],0)</f>
        <v>0</v>
      </c>
      <c r="AP93" s="707" t="str">
        <f>IF(Económico!$F$4=0,0,Producción_Agricola[[#This Row],[Centro de Costo]])</f>
        <v>Campo 1</v>
      </c>
      <c r="AQ93" s="512" t="s">
        <v>380</v>
      </c>
      <c r="AR93" s="513"/>
      <c r="AS93"/>
    </row>
    <row r="94" spans="2:45" x14ac:dyDescent="0.25">
      <c r="D94" s="478">
        <f t="shared" si="24"/>
        <v>43311</v>
      </c>
      <c r="E94" s="478">
        <v>43586</v>
      </c>
      <c r="F94" s="668" t="str">
        <f t="shared" si="21"/>
        <v>2018-2019</v>
      </c>
      <c r="G94" s="669" t="str">
        <f t="shared" si="22"/>
        <v>Campo 1</v>
      </c>
      <c r="H94" s="669" t="str">
        <f t="shared" si="20"/>
        <v>Girasol</v>
      </c>
      <c r="I94" s="670" t="str">
        <f>IFERROR(INDEX(Tabla8[],MATCH(Producción_Agricola[[#This Row],[Unidad de Negocio]],Tabla8[Unidades de Negocio],0),2),0)</f>
        <v>Girasol</v>
      </c>
      <c r="J94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94" s="481" t="s">
        <v>17</v>
      </c>
      <c r="L94" s="482" t="s">
        <v>205</v>
      </c>
      <c r="M94" s="483">
        <v>0</v>
      </c>
      <c r="N94" s="484" t="s">
        <v>388</v>
      </c>
      <c r="O94" s="690">
        <f>Producción_Agricola[[#This Row],[Superficie]]*Producción_Agricola[[#This Row],[Cantidad]]</f>
        <v>0</v>
      </c>
      <c r="P94" s="482">
        <v>8</v>
      </c>
      <c r="Q94" s="484" t="s">
        <v>3</v>
      </c>
      <c r="R94" s="485">
        <v>0.06</v>
      </c>
      <c r="S94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94" s="695">
        <f>IFERROR(Producción_Agricola[[#This Row],[Económico $Corrientes]]/Producción_Agricola[[#This Row],[Indexación Económico]],0)</f>
        <v>0</v>
      </c>
      <c r="U94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9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94" s="695">
        <f>IFERROR(Producción_Agricola[[#This Row],[Financiero $Corrientes]]/Producción_Agricola[[#This Row],[Indexación Financiero]],0)</f>
        <v>0</v>
      </c>
      <c r="X9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9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94" s="699">
        <f>IFERROR(Producción_Agricola[[#This Row],[Intereses $Corrientes]]/Producción_Agricola[[#This Row],[Indexación Financiero]],0)</f>
        <v>0</v>
      </c>
      <c r="AA9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94" s="701" t="str">
        <f>IFERROR(INDEX(Produccion_Agricola_Cuentas[],MATCH(Producción_Agricola[[#This Row],[Cuenta Contable]],Produccion_Agricola_Cuentas[Cuenta Contable],0),2),0)</f>
        <v>Egreso</v>
      </c>
      <c r="AC94" s="702" t="str">
        <f>IFERROR(INDEX(Tabla9[],MATCH(Producción_Agricola[[#This Row],[Movimiento]],Tabla9[Movimientos],0),2),0)</f>
        <v>Si</v>
      </c>
      <c r="AD94" s="703" t="str">
        <f>IFERROR(INDEX(Tabla9[],MATCH(Producción_Agricola[[#This Row],[Movimiento]],Tabla9[Movimientos],0),3),0)</f>
        <v>(-)</v>
      </c>
      <c r="AE94" s="698">
        <f>IF(Producción_Agricola[[#This Row],[Fecha Económico]]=0,0,MONTH(Producción_Agricola[[#This Row],[Fecha Económico]]))</f>
        <v>7</v>
      </c>
      <c r="AF94" s="699">
        <f>IF(Producción_Agricola[[#This Row],[Fecha Económico]]=0,0,YEAR(Producción_Agricola[[#This Row],[Fecha Económico]]))</f>
        <v>2018</v>
      </c>
      <c r="AG94" s="704">
        <f>SUMPRODUCT((Producción_Agricola[[#This Row],[Mes Económico]]=Tipo_Cambio[Mes])*(Producción_Agricola[[#This Row],[Año Económico]]=Tipo_Cambio[Año])*(Tipo_Cambio[$/U$S]))</f>
        <v>22</v>
      </c>
      <c r="AH94" s="703">
        <f>SUMPRODUCT((Producción_Agricola[[#This Row],[Mes Económico]]=Tipo_Cambio[Mes])*(Producción_Agricola[[#This Row],[Año Económico]]=Tipo_Cambio[Año])*(Tipo_Cambio[Actualización]))</f>
        <v>1</v>
      </c>
      <c r="AI94" s="705">
        <f>IF(ISNUMBER(Producción_Agricola[[#This Row],[Fecha Financiero]])=TRUE,MONTH(Producción_Agricola[[#This Row],[Fecha Financiero]]),0)</f>
        <v>5</v>
      </c>
      <c r="AJ94" s="705">
        <f>IF(ISNUMBER(Producción_Agricola[[#This Row],[Fecha Financiero]])=TRUE,YEAR(Producción_Agricola[[#This Row],[Fecha Financiero]]),0)</f>
        <v>2019</v>
      </c>
      <c r="AK94" s="706">
        <f>SUMPRODUCT((Producción_Agricola[[#This Row],[Mes Financiero]]=Tipo_Cambio[Mes])*(Producción_Agricola[[#This Row],[Año Financiero]]=Tipo_Cambio[Año])*(Tipo_Cambio[$/U$S]))</f>
        <v>24.301686759046497</v>
      </c>
      <c r="AL94" s="706">
        <f>SUMPRODUCT((Producción_Agricola[[#This Row],[Mes Financiero]]=Tipo_Cambio[Mes])*(Producción_Agricola[[#This Row],[Año Financiero]]=Tipo_Cambio[Año])*(Tipo_Cambio[Actualización]))</f>
        <v>1.2189944199947573</v>
      </c>
      <c r="AM94" s="702">
        <f>IFERROR(Producción_Agricola[[#This Row],[Económico $Corrientes]]/Producción_Agricola[[#This Row],[Superficie]],0)</f>
        <v>0</v>
      </c>
      <c r="AN94" s="706">
        <f>IFERROR(Producción_Agricola[[#This Row],[Económico $Constantes]]/Producción_Agricola[[#This Row],[Superficie]],0)</f>
        <v>0</v>
      </c>
      <c r="AO94" s="706">
        <f>IFERROR(Producción_Agricola[[#This Row],[Económico U$S Dólares]]/Producción_Agricola[[#This Row],[Superficie]],0)</f>
        <v>0</v>
      </c>
      <c r="AP94" s="707" t="str">
        <f>IF(Económico!$F$4=0,0,Producción_Agricola[[#This Row],[Centro de Costo]])</f>
        <v>Campo 1</v>
      </c>
      <c r="AQ94" s="512" t="s">
        <v>380</v>
      </c>
      <c r="AR94" s="513"/>
      <c r="AS94"/>
    </row>
    <row r="95" spans="2:45" x14ac:dyDescent="0.25">
      <c r="D95" s="478">
        <f t="shared" si="24"/>
        <v>43311</v>
      </c>
      <c r="E95" s="478">
        <v>43586</v>
      </c>
      <c r="F95" s="668" t="str">
        <f t="shared" si="21"/>
        <v>2018-2019</v>
      </c>
      <c r="G95" s="669" t="str">
        <f t="shared" si="22"/>
        <v>Campo 1</v>
      </c>
      <c r="H95" s="669" t="str">
        <f t="shared" si="20"/>
        <v>Girasol</v>
      </c>
      <c r="I95" s="670" t="str">
        <f>IFERROR(INDEX(Tabla8[],MATCH(Producción_Agricola[[#This Row],[Unidad de Negocio]],Tabla8[Unidades de Negocio],0),2),0)</f>
        <v>Girasol</v>
      </c>
      <c r="J95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95" s="481" t="s">
        <v>24</v>
      </c>
      <c r="L95" s="482" t="s">
        <v>363</v>
      </c>
      <c r="M95" s="483">
        <v>0</v>
      </c>
      <c r="N95" s="484" t="s">
        <v>387</v>
      </c>
      <c r="O95" s="690">
        <f>Producción_Agricola[[#This Row],[Superficie]]*Producción_Agricola[[#This Row],[Cantidad]]</f>
        <v>0</v>
      </c>
      <c r="P95" s="482">
        <v>18</v>
      </c>
      <c r="Q95" s="484" t="s">
        <v>3</v>
      </c>
      <c r="R95" s="485">
        <v>0.06</v>
      </c>
      <c r="S95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95" s="695">
        <f>IFERROR(Producción_Agricola[[#This Row],[Económico $Corrientes]]/Producción_Agricola[[#This Row],[Indexación Económico]],0)</f>
        <v>0</v>
      </c>
      <c r="U95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9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95" s="695">
        <f>IFERROR(Producción_Agricola[[#This Row],[Financiero $Corrientes]]/Producción_Agricola[[#This Row],[Indexación Financiero]],0)</f>
        <v>0</v>
      </c>
      <c r="X9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9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95" s="699">
        <f>IFERROR(Producción_Agricola[[#This Row],[Intereses $Corrientes]]/Producción_Agricola[[#This Row],[Indexación Financiero]],0)</f>
        <v>0</v>
      </c>
      <c r="AA9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95" s="701" t="str">
        <f>IFERROR(INDEX(Produccion_Agricola_Cuentas[],MATCH(Producción_Agricola[[#This Row],[Cuenta Contable]],Produccion_Agricola_Cuentas[Cuenta Contable],0),2),0)</f>
        <v>Egreso</v>
      </c>
      <c r="AC95" s="702" t="str">
        <f>IFERROR(INDEX(Tabla9[],MATCH(Producción_Agricola[[#This Row],[Movimiento]],Tabla9[Movimientos],0),2),0)</f>
        <v>Si</v>
      </c>
      <c r="AD95" s="703" t="str">
        <f>IFERROR(INDEX(Tabla9[],MATCH(Producción_Agricola[[#This Row],[Movimiento]],Tabla9[Movimientos],0),3),0)</f>
        <v>(-)</v>
      </c>
      <c r="AE95" s="698">
        <f>IF(Producción_Agricola[[#This Row],[Fecha Económico]]=0,0,MONTH(Producción_Agricola[[#This Row],[Fecha Económico]]))</f>
        <v>7</v>
      </c>
      <c r="AF95" s="699">
        <f>IF(Producción_Agricola[[#This Row],[Fecha Económico]]=0,0,YEAR(Producción_Agricola[[#This Row],[Fecha Económico]]))</f>
        <v>2018</v>
      </c>
      <c r="AG95" s="704">
        <f>SUMPRODUCT((Producción_Agricola[[#This Row],[Mes Económico]]=Tipo_Cambio[Mes])*(Producción_Agricola[[#This Row],[Año Económico]]=Tipo_Cambio[Año])*(Tipo_Cambio[$/U$S]))</f>
        <v>22</v>
      </c>
      <c r="AH95" s="703">
        <f>SUMPRODUCT((Producción_Agricola[[#This Row],[Mes Económico]]=Tipo_Cambio[Mes])*(Producción_Agricola[[#This Row],[Año Económico]]=Tipo_Cambio[Año])*(Tipo_Cambio[Actualización]))</f>
        <v>1</v>
      </c>
      <c r="AI95" s="705">
        <f>IF(ISNUMBER(Producción_Agricola[[#This Row],[Fecha Financiero]])=TRUE,MONTH(Producción_Agricola[[#This Row],[Fecha Financiero]]),0)</f>
        <v>5</v>
      </c>
      <c r="AJ95" s="705">
        <f>IF(ISNUMBER(Producción_Agricola[[#This Row],[Fecha Financiero]])=TRUE,YEAR(Producción_Agricola[[#This Row],[Fecha Financiero]]),0)</f>
        <v>2019</v>
      </c>
      <c r="AK95" s="706">
        <f>SUMPRODUCT((Producción_Agricola[[#This Row],[Mes Financiero]]=Tipo_Cambio[Mes])*(Producción_Agricola[[#This Row],[Año Financiero]]=Tipo_Cambio[Año])*(Tipo_Cambio[$/U$S]))</f>
        <v>24.301686759046497</v>
      </c>
      <c r="AL95" s="706">
        <f>SUMPRODUCT((Producción_Agricola[[#This Row],[Mes Financiero]]=Tipo_Cambio[Mes])*(Producción_Agricola[[#This Row],[Año Financiero]]=Tipo_Cambio[Año])*(Tipo_Cambio[Actualización]))</f>
        <v>1.2189944199947573</v>
      </c>
      <c r="AM95" s="702">
        <f>IFERROR(Producción_Agricola[[#This Row],[Económico $Corrientes]]/Producción_Agricola[[#This Row],[Superficie]],0)</f>
        <v>0</v>
      </c>
      <c r="AN95" s="706">
        <f>IFERROR(Producción_Agricola[[#This Row],[Económico $Constantes]]/Producción_Agricola[[#This Row],[Superficie]],0)</f>
        <v>0</v>
      </c>
      <c r="AO95" s="706">
        <f>IFERROR(Producción_Agricola[[#This Row],[Económico U$S Dólares]]/Producción_Agricola[[#This Row],[Superficie]],0)</f>
        <v>0</v>
      </c>
      <c r="AP95" s="707" t="str">
        <f>IF(Económico!$F$4=0,0,Producción_Agricola[[#This Row],[Centro de Costo]])</f>
        <v>Campo 1</v>
      </c>
      <c r="AQ95" s="512" t="s">
        <v>380</v>
      </c>
      <c r="AR95" s="513"/>
      <c r="AS95"/>
    </row>
    <row r="96" spans="2:45" x14ac:dyDescent="0.25">
      <c r="D96" s="478">
        <f>D92+50</f>
        <v>43361</v>
      </c>
      <c r="E96" s="478">
        <f>Producción_Agricola[[#This Row],[Fecha Económico]]+30</f>
        <v>43391</v>
      </c>
      <c r="F96" s="668" t="str">
        <f t="shared" si="21"/>
        <v>2018-2019</v>
      </c>
      <c r="G96" s="669" t="str">
        <f t="shared" si="22"/>
        <v>Campo 1</v>
      </c>
      <c r="H96" s="669" t="str">
        <f t="shared" si="20"/>
        <v>Girasol</v>
      </c>
      <c r="I96" s="670" t="str">
        <f>IFERROR(INDEX(Tabla8[],MATCH(Producción_Agricola[[#This Row],[Unidad de Negocio]],Tabla8[Unidades de Negocio],0),2),0)</f>
        <v>Girasol</v>
      </c>
      <c r="J96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96" s="481" t="s">
        <v>25</v>
      </c>
      <c r="L96" s="482" t="s">
        <v>219</v>
      </c>
      <c r="M96" s="483">
        <v>0</v>
      </c>
      <c r="N96" s="484" t="s">
        <v>389</v>
      </c>
      <c r="O96" s="690">
        <f>Producción_Agricola[[#This Row],[Superficie]]*Producción_Agricola[[#This Row],[Cantidad]]</f>
        <v>0</v>
      </c>
      <c r="P96" s="482">
        <v>120</v>
      </c>
      <c r="Q96" s="484" t="s">
        <v>48</v>
      </c>
      <c r="R96" s="485">
        <v>0</v>
      </c>
      <c r="S96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96" s="695">
        <f>IFERROR(Producción_Agricola[[#This Row],[Económico $Corrientes]]/Producción_Agricola[[#This Row],[Indexación Económico]],0)</f>
        <v>0</v>
      </c>
      <c r="U9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9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96" s="695">
        <f>IFERROR(Producción_Agricola[[#This Row],[Financiero $Corrientes]]/Producción_Agricola[[#This Row],[Indexación Financiero]],0)</f>
        <v>0</v>
      </c>
      <c r="X9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9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96" s="699">
        <f>IFERROR(Producción_Agricola[[#This Row],[Intereses $Corrientes]]/Producción_Agricola[[#This Row],[Indexación Financiero]],0)</f>
        <v>0</v>
      </c>
      <c r="AA9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96" s="701" t="str">
        <f>IFERROR(INDEX(Produccion_Agricola_Cuentas[],MATCH(Producción_Agricola[[#This Row],[Cuenta Contable]],Produccion_Agricola_Cuentas[Cuenta Contable],0),2),0)</f>
        <v>Egreso</v>
      </c>
      <c r="AC96" s="702" t="str">
        <f>IFERROR(INDEX(Tabla9[],MATCH(Producción_Agricola[[#This Row],[Movimiento]],Tabla9[Movimientos],0),2),0)</f>
        <v>Si</v>
      </c>
      <c r="AD96" s="703" t="str">
        <f>IFERROR(INDEX(Tabla9[],MATCH(Producción_Agricola[[#This Row],[Movimiento]],Tabla9[Movimientos],0),3),0)</f>
        <v>(-)</v>
      </c>
      <c r="AE96" s="698">
        <f>IF(Producción_Agricola[[#This Row],[Fecha Económico]]=0,0,MONTH(Producción_Agricola[[#This Row],[Fecha Económico]]))</f>
        <v>9</v>
      </c>
      <c r="AF96" s="699">
        <f>IF(Producción_Agricola[[#This Row],[Fecha Económico]]=0,0,YEAR(Producción_Agricola[[#This Row],[Fecha Económico]]))</f>
        <v>2018</v>
      </c>
      <c r="AG96" s="704">
        <f>SUMPRODUCT((Producción_Agricola[[#This Row],[Mes Económico]]=Tipo_Cambio[Mes])*(Producción_Agricola[[#This Row],[Año Económico]]=Tipo_Cambio[Año])*(Tipo_Cambio[$/U$S]))</f>
        <v>22.4422</v>
      </c>
      <c r="AH96" s="703">
        <f>SUMPRODUCT((Producción_Agricola[[#This Row],[Mes Económico]]=Tipo_Cambio[Mes])*(Producción_Agricola[[#This Row],[Año Económico]]=Tipo_Cambio[Año])*(Tipo_Cambio[Actualización]))</f>
        <v>1.0404</v>
      </c>
      <c r="AI96" s="705">
        <f>IF(ISNUMBER(Producción_Agricola[[#This Row],[Fecha Financiero]])=TRUE,MONTH(Producción_Agricola[[#This Row],[Fecha Financiero]]),0)</f>
        <v>10</v>
      </c>
      <c r="AJ96" s="705">
        <f>IF(ISNUMBER(Producción_Agricola[[#This Row],[Fecha Financiero]])=TRUE,YEAR(Producción_Agricola[[#This Row],[Fecha Financiero]]),0)</f>
        <v>2018</v>
      </c>
      <c r="AK96" s="706">
        <f>SUMPRODUCT((Producción_Agricola[[#This Row],[Mes Financiero]]=Tipo_Cambio[Mes])*(Producción_Agricola[[#This Row],[Año Financiero]]=Tipo_Cambio[Año])*(Tipo_Cambio[$/U$S]))</f>
        <v>22.666622</v>
      </c>
      <c r="AL96" s="706">
        <f>SUMPRODUCT((Producción_Agricola[[#This Row],[Mes Financiero]]=Tipo_Cambio[Mes])*(Producción_Agricola[[#This Row],[Año Financiero]]=Tipo_Cambio[Año])*(Tipo_Cambio[Actualización]))</f>
        <v>1.0612079999999999</v>
      </c>
      <c r="AM96" s="702">
        <f>IFERROR(Producción_Agricola[[#This Row],[Económico $Corrientes]]/Producción_Agricola[[#This Row],[Superficie]],0)</f>
        <v>0</v>
      </c>
      <c r="AN96" s="706">
        <f>IFERROR(Producción_Agricola[[#This Row],[Económico $Constantes]]/Producción_Agricola[[#This Row],[Superficie]],0)</f>
        <v>0</v>
      </c>
      <c r="AO96" s="706">
        <f>IFERROR(Producción_Agricola[[#This Row],[Económico U$S Dólares]]/Producción_Agricola[[#This Row],[Superficie]],0)</f>
        <v>0</v>
      </c>
      <c r="AP96" s="707" t="str">
        <f>IF(Económico!$F$4=0,0,Producción_Agricola[[#This Row],[Centro de Costo]])</f>
        <v>Campo 1</v>
      </c>
      <c r="AQ96" s="512" t="s">
        <v>379</v>
      </c>
      <c r="AR96" s="513"/>
      <c r="AS96"/>
    </row>
    <row r="97" spans="4:45" x14ac:dyDescent="0.25">
      <c r="D97" s="478">
        <f>D96</f>
        <v>43361</v>
      </c>
      <c r="E97" s="478">
        <v>43586</v>
      </c>
      <c r="F97" s="668" t="str">
        <f t="shared" si="21"/>
        <v>2018-2019</v>
      </c>
      <c r="G97" s="669" t="str">
        <f t="shared" si="22"/>
        <v>Campo 1</v>
      </c>
      <c r="H97" s="669" t="str">
        <f t="shared" si="20"/>
        <v>Girasol</v>
      </c>
      <c r="I97" s="670" t="str">
        <f>IFERROR(INDEX(Tabla8[],MATCH(Producción_Agricola[[#This Row],[Unidad de Negocio]],Tabla8[Unidades de Negocio],0),2),0)</f>
        <v>Girasol</v>
      </c>
      <c r="J97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97" s="481" t="s">
        <v>17</v>
      </c>
      <c r="L97" s="482" t="s">
        <v>50</v>
      </c>
      <c r="M97" s="483">
        <v>0</v>
      </c>
      <c r="N97" s="484" t="s">
        <v>387</v>
      </c>
      <c r="O97" s="690">
        <f>Producción_Agricola[[#This Row],[Superficie]]*Producción_Agricola[[#This Row],[Cantidad]]</f>
        <v>0</v>
      </c>
      <c r="P97" s="482">
        <v>3</v>
      </c>
      <c r="Q97" s="484" t="s">
        <v>3</v>
      </c>
      <c r="R97" s="485">
        <v>0.06</v>
      </c>
      <c r="S97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97" s="695">
        <f>IFERROR(Producción_Agricola[[#This Row],[Económico $Corrientes]]/Producción_Agricola[[#This Row],[Indexación Económico]],0)</f>
        <v>0</v>
      </c>
      <c r="U9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9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97" s="695">
        <f>IFERROR(Producción_Agricola[[#This Row],[Financiero $Corrientes]]/Producción_Agricola[[#This Row],[Indexación Financiero]],0)</f>
        <v>0</v>
      </c>
      <c r="X9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9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97" s="699">
        <f>IFERROR(Producción_Agricola[[#This Row],[Intereses $Corrientes]]/Producción_Agricola[[#This Row],[Indexación Financiero]],0)</f>
        <v>0</v>
      </c>
      <c r="AA9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97" s="701" t="str">
        <f>IFERROR(INDEX(Produccion_Agricola_Cuentas[],MATCH(Producción_Agricola[[#This Row],[Cuenta Contable]],Produccion_Agricola_Cuentas[Cuenta Contable],0),2),0)</f>
        <v>Egreso</v>
      </c>
      <c r="AC97" s="702" t="str">
        <f>IFERROR(INDEX(Tabla9[],MATCH(Producción_Agricola[[#This Row],[Movimiento]],Tabla9[Movimientos],0),2),0)</f>
        <v>Si</v>
      </c>
      <c r="AD97" s="703" t="str">
        <f>IFERROR(INDEX(Tabla9[],MATCH(Producción_Agricola[[#This Row],[Movimiento]],Tabla9[Movimientos],0),3),0)</f>
        <v>(-)</v>
      </c>
      <c r="AE97" s="698">
        <f>IF(Producción_Agricola[[#This Row],[Fecha Económico]]=0,0,MONTH(Producción_Agricola[[#This Row],[Fecha Económico]]))</f>
        <v>9</v>
      </c>
      <c r="AF97" s="699">
        <f>IF(Producción_Agricola[[#This Row],[Fecha Económico]]=0,0,YEAR(Producción_Agricola[[#This Row],[Fecha Económico]]))</f>
        <v>2018</v>
      </c>
      <c r="AG97" s="704">
        <f>SUMPRODUCT((Producción_Agricola[[#This Row],[Mes Económico]]=Tipo_Cambio[Mes])*(Producción_Agricola[[#This Row],[Año Económico]]=Tipo_Cambio[Año])*(Tipo_Cambio[$/U$S]))</f>
        <v>22.4422</v>
      </c>
      <c r="AH97" s="703">
        <f>SUMPRODUCT((Producción_Agricola[[#This Row],[Mes Económico]]=Tipo_Cambio[Mes])*(Producción_Agricola[[#This Row],[Año Económico]]=Tipo_Cambio[Año])*(Tipo_Cambio[Actualización]))</f>
        <v>1.0404</v>
      </c>
      <c r="AI97" s="705">
        <f>IF(ISNUMBER(Producción_Agricola[[#This Row],[Fecha Financiero]])=TRUE,MONTH(Producción_Agricola[[#This Row],[Fecha Financiero]]),0)</f>
        <v>5</v>
      </c>
      <c r="AJ97" s="705">
        <f>IF(ISNUMBER(Producción_Agricola[[#This Row],[Fecha Financiero]])=TRUE,YEAR(Producción_Agricola[[#This Row],[Fecha Financiero]]),0)</f>
        <v>2019</v>
      </c>
      <c r="AK97" s="706">
        <f>SUMPRODUCT((Producción_Agricola[[#This Row],[Mes Financiero]]=Tipo_Cambio[Mes])*(Producción_Agricola[[#This Row],[Año Financiero]]=Tipo_Cambio[Año])*(Tipo_Cambio[$/U$S]))</f>
        <v>24.301686759046497</v>
      </c>
      <c r="AL97" s="706">
        <f>SUMPRODUCT((Producción_Agricola[[#This Row],[Mes Financiero]]=Tipo_Cambio[Mes])*(Producción_Agricola[[#This Row],[Año Financiero]]=Tipo_Cambio[Año])*(Tipo_Cambio[Actualización]))</f>
        <v>1.2189944199947573</v>
      </c>
      <c r="AM97" s="702">
        <f>IFERROR(Producción_Agricola[[#This Row],[Económico $Corrientes]]/Producción_Agricola[[#This Row],[Superficie]],0)</f>
        <v>0</v>
      </c>
      <c r="AN97" s="706">
        <f>IFERROR(Producción_Agricola[[#This Row],[Económico $Constantes]]/Producción_Agricola[[#This Row],[Superficie]],0)</f>
        <v>0</v>
      </c>
      <c r="AO97" s="706">
        <f>IFERROR(Producción_Agricola[[#This Row],[Económico U$S Dólares]]/Producción_Agricola[[#This Row],[Superficie]],0)</f>
        <v>0</v>
      </c>
      <c r="AP97" s="707" t="str">
        <f>IF(Económico!$F$4=0,0,Producción_Agricola[[#This Row],[Centro de Costo]])</f>
        <v>Campo 1</v>
      </c>
      <c r="AQ97" s="512" t="s">
        <v>379</v>
      </c>
      <c r="AR97" s="513"/>
      <c r="AS97"/>
    </row>
    <row r="98" spans="4:45" x14ac:dyDescent="0.25">
      <c r="D98" s="478">
        <f t="shared" ref="D98:D100" si="25">D97</f>
        <v>43361</v>
      </c>
      <c r="E98" s="478">
        <v>43586</v>
      </c>
      <c r="F98" s="668" t="str">
        <f t="shared" si="21"/>
        <v>2018-2019</v>
      </c>
      <c r="G98" s="669" t="str">
        <f t="shared" si="22"/>
        <v>Campo 1</v>
      </c>
      <c r="H98" s="669" t="str">
        <f t="shared" si="20"/>
        <v>Girasol</v>
      </c>
      <c r="I98" s="670" t="str">
        <f>IFERROR(INDEX(Tabla8[],MATCH(Producción_Agricola[[#This Row],[Unidad de Negocio]],Tabla8[Unidades de Negocio],0),2),0)</f>
        <v>Girasol</v>
      </c>
      <c r="J98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98" s="481" t="s">
        <v>17</v>
      </c>
      <c r="L98" s="482" t="s">
        <v>205</v>
      </c>
      <c r="M98" s="483">
        <v>0</v>
      </c>
      <c r="N98" s="484" t="s">
        <v>387</v>
      </c>
      <c r="O98" s="690">
        <f>Producción_Agricola[[#This Row],[Superficie]]*Producción_Agricola[[#This Row],[Cantidad]]</f>
        <v>0</v>
      </c>
      <c r="P98" s="482">
        <v>7</v>
      </c>
      <c r="Q98" s="484" t="s">
        <v>3</v>
      </c>
      <c r="R98" s="485">
        <v>0.06</v>
      </c>
      <c r="S98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98" s="695">
        <f>IFERROR(Producción_Agricola[[#This Row],[Económico $Corrientes]]/Producción_Agricola[[#This Row],[Indexación Económico]],0)</f>
        <v>0</v>
      </c>
      <c r="U9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9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98" s="695">
        <f>IFERROR(Producción_Agricola[[#This Row],[Financiero $Corrientes]]/Producción_Agricola[[#This Row],[Indexación Financiero]],0)</f>
        <v>0</v>
      </c>
      <c r="X9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9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98" s="699">
        <f>IFERROR(Producción_Agricola[[#This Row],[Intereses $Corrientes]]/Producción_Agricola[[#This Row],[Indexación Financiero]],0)</f>
        <v>0</v>
      </c>
      <c r="AA9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98" s="701" t="str">
        <f>IFERROR(INDEX(Produccion_Agricola_Cuentas[],MATCH(Producción_Agricola[[#This Row],[Cuenta Contable]],Produccion_Agricola_Cuentas[Cuenta Contable],0),2),0)</f>
        <v>Egreso</v>
      </c>
      <c r="AC98" s="702" t="str">
        <f>IFERROR(INDEX(Tabla9[],MATCH(Producción_Agricola[[#This Row],[Movimiento]],Tabla9[Movimientos],0),2),0)</f>
        <v>Si</v>
      </c>
      <c r="AD98" s="703" t="str">
        <f>IFERROR(INDEX(Tabla9[],MATCH(Producción_Agricola[[#This Row],[Movimiento]],Tabla9[Movimientos],0),3),0)</f>
        <v>(-)</v>
      </c>
      <c r="AE98" s="698">
        <f>IF(Producción_Agricola[[#This Row],[Fecha Económico]]=0,0,MONTH(Producción_Agricola[[#This Row],[Fecha Económico]]))</f>
        <v>9</v>
      </c>
      <c r="AF98" s="699">
        <f>IF(Producción_Agricola[[#This Row],[Fecha Económico]]=0,0,YEAR(Producción_Agricola[[#This Row],[Fecha Económico]]))</f>
        <v>2018</v>
      </c>
      <c r="AG98" s="704">
        <f>SUMPRODUCT((Producción_Agricola[[#This Row],[Mes Económico]]=Tipo_Cambio[Mes])*(Producción_Agricola[[#This Row],[Año Económico]]=Tipo_Cambio[Año])*(Tipo_Cambio[$/U$S]))</f>
        <v>22.4422</v>
      </c>
      <c r="AH98" s="703">
        <f>SUMPRODUCT((Producción_Agricola[[#This Row],[Mes Económico]]=Tipo_Cambio[Mes])*(Producción_Agricola[[#This Row],[Año Económico]]=Tipo_Cambio[Año])*(Tipo_Cambio[Actualización]))</f>
        <v>1.0404</v>
      </c>
      <c r="AI98" s="705">
        <f>IF(ISNUMBER(Producción_Agricola[[#This Row],[Fecha Financiero]])=TRUE,MONTH(Producción_Agricola[[#This Row],[Fecha Financiero]]),0)</f>
        <v>5</v>
      </c>
      <c r="AJ98" s="705">
        <f>IF(ISNUMBER(Producción_Agricola[[#This Row],[Fecha Financiero]])=TRUE,YEAR(Producción_Agricola[[#This Row],[Fecha Financiero]]),0)</f>
        <v>2019</v>
      </c>
      <c r="AK98" s="706">
        <f>SUMPRODUCT((Producción_Agricola[[#This Row],[Mes Financiero]]=Tipo_Cambio[Mes])*(Producción_Agricola[[#This Row],[Año Financiero]]=Tipo_Cambio[Año])*(Tipo_Cambio[$/U$S]))</f>
        <v>24.301686759046497</v>
      </c>
      <c r="AL98" s="706">
        <f>SUMPRODUCT((Producción_Agricola[[#This Row],[Mes Financiero]]=Tipo_Cambio[Mes])*(Producción_Agricola[[#This Row],[Año Financiero]]=Tipo_Cambio[Año])*(Tipo_Cambio[Actualización]))</f>
        <v>1.2189944199947573</v>
      </c>
      <c r="AM98" s="702">
        <f>IFERROR(Producción_Agricola[[#This Row],[Económico $Corrientes]]/Producción_Agricola[[#This Row],[Superficie]],0)</f>
        <v>0</v>
      </c>
      <c r="AN98" s="706">
        <f>IFERROR(Producción_Agricola[[#This Row],[Económico $Constantes]]/Producción_Agricola[[#This Row],[Superficie]],0)</f>
        <v>0</v>
      </c>
      <c r="AO98" s="706">
        <f>IFERROR(Producción_Agricola[[#This Row],[Económico U$S Dólares]]/Producción_Agricola[[#This Row],[Superficie]],0)</f>
        <v>0</v>
      </c>
      <c r="AP98" s="707" t="str">
        <f>IF(Económico!$F$4=0,0,Producción_Agricola[[#This Row],[Centro de Costo]])</f>
        <v>Campo 1</v>
      </c>
      <c r="AQ98" s="512" t="s">
        <v>379</v>
      </c>
      <c r="AR98" s="513"/>
      <c r="AS98"/>
    </row>
    <row r="99" spans="4:45" x14ac:dyDescent="0.25">
      <c r="D99" s="478">
        <f t="shared" si="25"/>
        <v>43361</v>
      </c>
      <c r="E99" s="478">
        <v>43586</v>
      </c>
      <c r="F99" s="668" t="str">
        <f t="shared" si="21"/>
        <v>2018-2019</v>
      </c>
      <c r="G99" s="669" t="str">
        <f t="shared" si="22"/>
        <v>Campo 1</v>
      </c>
      <c r="H99" s="669" t="str">
        <f t="shared" si="20"/>
        <v>Girasol</v>
      </c>
      <c r="I99" s="670" t="str">
        <f>IFERROR(INDEX(Tabla8[],MATCH(Producción_Agricola[[#This Row],[Unidad de Negocio]],Tabla8[Unidades de Negocio],0),2),0)</f>
        <v>Girasol</v>
      </c>
      <c r="J99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99" s="481" t="s">
        <v>17</v>
      </c>
      <c r="L99" s="482" t="s">
        <v>51</v>
      </c>
      <c r="M99" s="483">
        <v>0</v>
      </c>
      <c r="N99" s="484" t="s">
        <v>387</v>
      </c>
      <c r="O99" s="690">
        <f>Producción_Agricola[[#This Row],[Superficie]]*Producción_Agricola[[#This Row],[Cantidad]]</f>
        <v>0</v>
      </c>
      <c r="P99" s="482">
        <v>8</v>
      </c>
      <c r="Q99" s="484" t="s">
        <v>3</v>
      </c>
      <c r="R99" s="485">
        <v>0.06</v>
      </c>
      <c r="S99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99" s="695">
        <f>IFERROR(Producción_Agricola[[#This Row],[Económico $Corrientes]]/Producción_Agricola[[#This Row],[Indexación Económico]],0)</f>
        <v>0</v>
      </c>
      <c r="U9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9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99" s="695">
        <f>IFERROR(Producción_Agricola[[#This Row],[Financiero $Corrientes]]/Producción_Agricola[[#This Row],[Indexación Financiero]],0)</f>
        <v>0</v>
      </c>
      <c r="X9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9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99" s="699">
        <f>IFERROR(Producción_Agricola[[#This Row],[Intereses $Corrientes]]/Producción_Agricola[[#This Row],[Indexación Financiero]],0)</f>
        <v>0</v>
      </c>
      <c r="AA9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99" s="701" t="str">
        <f>IFERROR(INDEX(Produccion_Agricola_Cuentas[],MATCH(Producción_Agricola[[#This Row],[Cuenta Contable]],Produccion_Agricola_Cuentas[Cuenta Contable],0),2),0)</f>
        <v>Egreso</v>
      </c>
      <c r="AC99" s="702" t="str">
        <f>IFERROR(INDEX(Tabla9[],MATCH(Producción_Agricola[[#This Row],[Movimiento]],Tabla9[Movimientos],0),2),0)</f>
        <v>Si</v>
      </c>
      <c r="AD99" s="703" t="str">
        <f>IFERROR(INDEX(Tabla9[],MATCH(Producción_Agricola[[#This Row],[Movimiento]],Tabla9[Movimientos],0),3),0)</f>
        <v>(-)</v>
      </c>
      <c r="AE99" s="698">
        <f>IF(Producción_Agricola[[#This Row],[Fecha Económico]]=0,0,MONTH(Producción_Agricola[[#This Row],[Fecha Económico]]))</f>
        <v>9</v>
      </c>
      <c r="AF99" s="699">
        <f>IF(Producción_Agricola[[#This Row],[Fecha Económico]]=0,0,YEAR(Producción_Agricola[[#This Row],[Fecha Económico]]))</f>
        <v>2018</v>
      </c>
      <c r="AG99" s="704">
        <f>SUMPRODUCT((Producción_Agricola[[#This Row],[Mes Económico]]=Tipo_Cambio[Mes])*(Producción_Agricola[[#This Row],[Año Económico]]=Tipo_Cambio[Año])*(Tipo_Cambio[$/U$S]))</f>
        <v>22.4422</v>
      </c>
      <c r="AH99" s="703">
        <f>SUMPRODUCT((Producción_Agricola[[#This Row],[Mes Económico]]=Tipo_Cambio[Mes])*(Producción_Agricola[[#This Row],[Año Económico]]=Tipo_Cambio[Año])*(Tipo_Cambio[Actualización]))</f>
        <v>1.0404</v>
      </c>
      <c r="AI99" s="705">
        <f>IF(ISNUMBER(Producción_Agricola[[#This Row],[Fecha Financiero]])=TRUE,MONTH(Producción_Agricola[[#This Row],[Fecha Financiero]]),0)</f>
        <v>5</v>
      </c>
      <c r="AJ99" s="705">
        <f>IF(ISNUMBER(Producción_Agricola[[#This Row],[Fecha Financiero]])=TRUE,YEAR(Producción_Agricola[[#This Row],[Fecha Financiero]]),0)</f>
        <v>2019</v>
      </c>
      <c r="AK99" s="706">
        <f>SUMPRODUCT((Producción_Agricola[[#This Row],[Mes Financiero]]=Tipo_Cambio[Mes])*(Producción_Agricola[[#This Row],[Año Financiero]]=Tipo_Cambio[Año])*(Tipo_Cambio[$/U$S]))</f>
        <v>24.301686759046497</v>
      </c>
      <c r="AL99" s="706">
        <f>SUMPRODUCT((Producción_Agricola[[#This Row],[Mes Financiero]]=Tipo_Cambio[Mes])*(Producción_Agricola[[#This Row],[Año Financiero]]=Tipo_Cambio[Año])*(Tipo_Cambio[Actualización]))</f>
        <v>1.2189944199947573</v>
      </c>
      <c r="AM99" s="702">
        <f>IFERROR(Producción_Agricola[[#This Row],[Económico $Corrientes]]/Producción_Agricola[[#This Row],[Superficie]],0)</f>
        <v>0</v>
      </c>
      <c r="AN99" s="706">
        <f>IFERROR(Producción_Agricola[[#This Row],[Económico $Constantes]]/Producción_Agricola[[#This Row],[Superficie]],0)</f>
        <v>0</v>
      </c>
      <c r="AO99" s="706">
        <f>IFERROR(Producción_Agricola[[#This Row],[Económico U$S Dólares]]/Producción_Agricola[[#This Row],[Superficie]],0)</f>
        <v>0</v>
      </c>
      <c r="AP99" s="707" t="str">
        <f>IF(Económico!$F$4=0,0,Producción_Agricola[[#This Row],[Centro de Costo]])</f>
        <v>Campo 1</v>
      </c>
      <c r="AQ99" s="512" t="s">
        <v>379</v>
      </c>
      <c r="AR99" s="513"/>
      <c r="AS99"/>
    </row>
    <row r="100" spans="4:45" x14ac:dyDescent="0.25">
      <c r="D100" s="478">
        <f t="shared" si="25"/>
        <v>43361</v>
      </c>
      <c r="E100" s="478">
        <v>43586</v>
      </c>
      <c r="F100" s="668" t="str">
        <f t="shared" si="21"/>
        <v>2018-2019</v>
      </c>
      <c r="G100" s="669" t="str">
        <f t="shared" si="22"/>
        <v>Campo 1</v>
      </c>
      <c r="H100" s="669" t="str">
        <f t="shared" si="20"/>
        <v>Girasol</v>
      </c>
      <c r="I100" s="670" t="str">
        <f>IFERROR(INDEX(Tabla8[],MATCH(Producción_Agricola[[#This Row],[Unidad de Negocio]],Tabla8[Unidades de Negocio],0),2),0)</f>
        <v>Girasol</v>
      </c>
      <c r="J100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00" s="481" t="s">
        <v>22</v>
      </c>
      <c r="L100" s="482" t="s">
        <v>365</v>
      </c>
      <c r="M100" s="483">
        <v>0</v>
      </c>
      <c r="N100" s="484" t="s">
        <v>387</v>
      </c>
      <c r="O100" s="690">
        <f>Producción_Agricola[[#This Row],[Superficie]]*Producción_Agricola[[#This Row],[Cantidad]]</f>
        <v>0</v>
      </c>
      <c r="P100" s="482">
        <v>10</v>
      </c>
      <c r="Q100" s="484" t="s">
        <v>3</v>
      </c>
      <c r="R100" s="485">
        <v>0.06</v>
      </c>
      <c r="S100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00" s="695">
        <f>IFERROR(Producción_Agricola[[#This Row],[Económico $Corrientes]]/Producción_Agricola[[#This Row],[Indexación Económico]],0)</f>
        <v>0</v>
      </c>
      <c r="U10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0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00" s="695">
        <f>IFERROR(Producción_Agricola[[#This Row],[Financiero $Corrientes]]/Producción_Agricola[[#This Row],[Indexación Financiero]],0)</f>
        <v>0</v>
      </c>
      <c r="X10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0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00" s="699">
        <f>IFERROR(Producción_Agricola[[#This Row],[Intereses $Corrientes]]/Producción_Agricola[[#This Row],[Indexación Financiero]],0)</f>
        <v>0</v>
      </c>
      <c r="AA10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00" s="701" t="str">
        <f>IFERROR(INDEX(Produccion_Agricola_Cuentas[],MATCH(Producción_Agricola[[#This Row],[Cuenta Contable]],Produccion_Agricola_Cuentas[Cuenta Contable],0),2),0)</f>
        <v>Egreso</v>
      </c>
      <c r="AC100" s="702" t="str">
        <f>IFERROR(INDEX(Tabla9[],MATCH(Producción_Agricola[[#This Row],[Movimiento]],Tabla9[Movimientos],0),2),0)</f>
        <v>Si</v>
      </c>
      <c r="AD100" s="703" t="str">
        <f>IFERROR(INDEX(Tabla9[],MATCH(Producción_Agricola[[#This Row],[Movimiento]],Tabla9[Movimientos],0),3),0)</f>
        <v>(-)</v>
      </c>
      <c r="AE100" s="698">
        <f>IF(Producción_Agricola[[#This Row],[Fecha Económico]]=0,0,MONTH(Producción_Agricola[[#This Row],[Fecha Económico]]))</f>
        <v>9</v>
      </c>
      <c r="AF100" s="699">
        <f>IF(Producción_Agricola[[#This Row],[Fecha Económico]]=0,0,YEAR(Producción_Agricola[[#This Row],[Fecha Económico]]))</f>
        <v>2018</v>
      </c>
      <c r="AG100" s="704">
        <f>SUMPRODUCT((Producción_Agricola[[#This Row],[Mes Económico]]=Tipo_Cambio[Mes])*(Producción_Agricola[[#This Row],[Año Económico]]=Tipo_Cambio[Año])*(Tipo_Cambio[$/U$S]))</f>
        <v>22.4422</v>
      </c>
      <c r="AH100" s="703">
        <f>SUMPRODUCT((Producción_Agricola[[#This Row],[Mes Económico]]=Tipo_Cambio[Mes])*(Producción_Agricola[[#This Row],[Año Económico]]=Tipo_Cambio[Año])*(Tipo_Cambio[Actualización]))</f>
        <v>1.0404</v>
      </c>
      <c r="AI100" s="705">
        <f>IF(ISNUMBER(Producción_Agricola[[#This Row],[Fecha Financiero]])=TRUE,MONTH(Producción_Agricola[[#This Row],[Fecha Financiero]]),0)</f>
        <v>5</v>
      </c>
      <c r="AJ100" s="705">
        <f>IF(ISNUMBER(Producción_Agricola[[#This Row],[Fecha Financiero]])=TRUE,YEAR(Producción_Agricola[[#This Row],[Fecha Financiero]]),0)</f>
        <v>2019</v>
      </c>
      <c r="AK100" s="706">
        <f>SUMPRODUCT((Producción_Agricola[[#This Row],[Mes Financiero]]=Tipo_Cambio[Mes])*(Producción_Agricola[[#This Row],[Año Financiero]]=Tipo_Cambio[Año])*(Tipo_Cambio[$/U$S]))</f>
        <v>24.301686759046497</v>
      </c>
      <c r="AL100" s="706">
        <f>SUMPRODUCT((Producción_Agricola[[#This Row],[Mes Financiero]]=Tipo_Cambio[Mes])*(Producción_Agricola[[#This Row],[Año Financiero]]=Tipo_Cambio[Año])*(Tipo_Cambio[Actualización]))</f>
        <v>1.2189944199947573</v>
      </c>
      <c r="AM100" s="702">
        <f>IFERROR(Producción_Agricola[[#This Row],[Económico $Corrientes]]/Producción_Agricola[[#This Row],[Superficie]],0)</f>
        <v>0</v>
      </c>
      <c r="AN100" s="706">
        <f>IFERROR(Producción_Agricola[[#This Row],[Económico $Constantes]]/Producción_Agricola[[#This Row],[Superficie]],0)</f>
        <v>0</v>
      </c>
      <c r="AO100" s="706">
        <f>IFERROR(Producción_Agricola[[#This Row],[Económico U$S Dólares]]/Producción_Agricola[[#This Row],[Superficie]],0)</f>
        <v>0</v>
      </c>
      <c r="AP100" s="707" t="str">
        <f>IF(Económico!$F$4=0,0,Producción_Agricola[[#This Row],[Centro de Costo]])</f>
        <v>Campo 1</v>
      </c>
      <c r="AQ100" s="512" t="s">
        <v>379</v>
      </c>
      <c r="AR100" s="513"/>
      <c r="AS100"/>
    </row>
    <row r="101" spans="4:45" x14ac:dyDescent="0.25">
      <c r="D101" s="478">
        <f>D99</f>
        <v>43361</v>
      </c>
      <c r="E101" s="478">
        <v>43586</v>
      </c>
      <c r="F101" s="668" t="str">
        <f t="shared" si="21"/>
        <v>2018-2019</v>
      </c>
      <c r="G101" s="669" t="str">
        <f t="shared" si="22"/>
        <v>Campo 1</v>
      </c>
      <c r="H101" s="669" t="str">
        <f t="shared" si="20"/>
        <v>Girasol</v>
      </c>
      <c r="I101" s="670" t="str">
        <f>IFERROR(INDEX(Tabla8[],MATCH(Producción_Agricola[[#This Row],[Unidad de Negocio]],Tabla8[Unidades de Negocio],0),2),0)</f>
        <v>Girasol</v>
      </c>
      <c r="J101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01" s="481" t="s">
        <v>24</v>
      </c>
      <c r="L101" s="482" t="s">
        <v>363</v>
      </c>
      <c r="M101" s="483">
        <v>0</v>
      </c>
      <c r="N101" s="484" t="s">
        <v>387</v>
      </c>
      <c r="O101" s="690">
        <f>Producción_Agricola[[#This Row],[Superficie]]*Producción_Agricola[[#This Row],[Cantidad]]</f>
        <v>0</v>
      </c>
      <c r="P101" s="482">
        <v>18</v>
      </c>
      <c r="Q101" s="484" t="s">
        <v>3</v>
      </c>
      <c r="R101" s="485">
        <v>0.06</v>
      </c>
      <c r="S101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01" s="695">
        <f>IFERROR(Producción_Agricola[[#This Row],[Económico $Corrientes]]/Producción_Agricola[[#This Row],[Indexación Económico]],0)</f>
        <v>0</v>
      </c>
      <c r="U10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0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01" s="695">
        <f>IFERROR(Producción_Agricola[[#This Row],[Financiero $Corrientes]]/Producción_Agricola[[#This Row],[Indexación Financiero]],0)</f>
        <v>0</v>
      </c>
      <c r="X10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0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01" s="699">
        <f>IFERROR(Producción_Agricola[[#This Row],[Intereses $Corrientes]]/Producción_Agricola[[#This Row],[Indexación Financiero]],0)</f>
        <v>0</v>
      </c>
      <c r="AA10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01" s="701" t="str">
        <f>IFERROR(INDEX(Produccion_Agricola_Cuentas[],MATCH(Producción_Agricola[[#This Row],[Cuenta Contable]],Produccion_Agricola_Cuentas[Cuenta Contable],0),2),0)</f>
        <v>Egreso</v>
      </c>
      <c r="AC101" s="702" t="str">
        <f>IFERROR(INDEX(Tabla9[],MATCH(Producción_Agricola[[#This Row],[Movimiento]],Tabla9[Movimientos],0),2),0)</f>
        <v>Si</v>
      </c>
      <c r="AD101" s="703" t="str">
        <f>IFERROR(INDEX(Tabla9[],MATCH(Producción_Agricola[[#This Row],[Movimiento]],Tabla9[Movimientos],0),3),0)</f>
        <v>(-)</v>
      </c>
      <c r="AE101" s="698">
        <f>IF(Producción_Agricola[[#This Row],[Fecha Económico]]=0,0,MONTH(Producción_Agricola[[#This Row],[Fecha Económico]]))</f>
        <v>9</v>
      </c>
      <c r="AF101" s="699">
        <f>IF(Producción_Agricola[[#This Row],[Fecha Económico]]=0,0,YEAR(Producción_Agricola[[#This Row],[Fecha Económico]]))</f>
        <v>2018</v>
      </c>
      <c r="AG101" s="704">
        <f>SUMPRODUCT((Producción_Agricola[[#This Row],[Mes Económico]]=Tipo_Cambio[Mes])*(Producción_Agricola[[#This Row],[Año Económico]]=Tipo_Cambio[Año])*(Tipo_Cambio[$/U$S]))</f>
        <v>22.4422</v>
      </c>
      <c r="AH101" s="703">
        <f>SUMPRODUCT((Producción_Agricola[[#This Row],[Mes Económico]]=Tipo_Cambio[Mes])*(Producción_Agricola[[#This Row],[Año Económico]]=Tipo_Cambio[Año])*(Tipo_Cambio[Actualización]))</f>
        <v>1.0404</v>
      </c>
      <c r="AI101" s="705">
        <f>IF(ISNUMBER(Producción_Agricola[[#This Row],[Fecha Financiero]])=TRUE,MONTH(Producción_Agricola[[#This Row],[Fecha Financiero]]),0)</f>
        <v>5</v>
      </c>
      <c r="AJ101" s="705">
        <f>IF(ISNUMBER(Producción_Agricola[[#This Row],[Fecha Financiero]])=TRUE,YEAR(Producción_Agricola[[#This Row],[Fecha Financiero]]),0)</f>
        <v>2019</v>
      </c>
      <c r="AK101" s="706">
        <f>SUMPRODUCT((Producción_Agricola[[#This Row],[Mes Financiero]]=Tipo_Cambio[Mes])*(Producción_Agricola[[#This Row],[Año Financiero]]=Tipo_Cambio[Año])*(Tipo_Cambio[$/U$S]))</f>
        <v>24.301686759046497</v>
      </c>
      <c r="AL101" s="706">
        <f>SUMPRODUCT((Producción_Agricola[[#This Row],[Mes Financiero]]=Tipo_Cambio[Mes])*(Producción_Agricola[[#This Row],[Año Financiero]]=Tipo_Cambio[Año])*(Tipo_Cambio[Actualización]))</f>
        <v>1.2189944199947573</v>
      </c>
      <c r="AM101" s="702">
        <f>IFERROR(Producción_Agricola[[#This Row],[Económico $Corrientes]]/Producción_Agricola[[#This Row],[Superficie]],0)</f>
        <v>0</v>
      </c>
      <c r="AN101" s="706">
        <f>IFERROR(Producción_Agricola[[#This Row],[Económico $Constantes]]/Producción_Agricola[[#This Row],[Superficie]],0)</f>
        <v>0</v>
      </c>
      <c r="AO101" s="706">
        <f>IFERROR(Producción_Agricola[[#This Row],[Económico U$S Dólares]]/Producción_Agricola[[#This Row],[Superficie]],0)</f>
        <v>0</v>
      </c>
      <c r="AP101" s="707" t="str">
        <f>IF(Económico!$F$4=0,0,Producción_Agricola[[#This Row],[Centro de Costo]])</f>
        <v>Campo 1</v>
      </c>
      <c r="AQ101" s="512" t="s">
        <v>379</v>
      </c>
      <c r="AR101" s="513"/>
      <c r="AS101"/>
    </row>
    <row r="102" spans="4:45" x14ac:dyDescent="0.25">
      <c r="D102" s="478">
        <f>D85-220</f>
        <v>43366</v>
      </c>
      <c r="E102" s="478">
        <f>Producción_Agricola[[#This Row],[Fecha Económico]]+30</f>
        <v>43396</v>
      </c>
      <c r="F102" s="668" t="str">
        <f t="shared" si="21"/>
        <v>2018-2019</v>
      </c>
      <c r="G102" s="669" t="str">
        <f t="shared" si="22"/>
        <v>Campo 1</v>
      </c>
      <c r="H102" s="669" t="str">
        <f t="shared" si="20"/>
        <v>Girasol</v>
      </c>
      <c r="I102" s="670" t="str">
        <f>IFERROR(INDEX(Tabla8[],MATCH(Producción_Agricola[[#This Row],[Unidad de Negocio]],Tabla8[Unidades de Negocio],0),2),0)</f>
        <v>Girasol</v>
      </c>
      <c r="J102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02" s="481" t="s">
        <v>25</v>
      </c>
      <c r="L102" s="482" t="s">
        <v>30</v>
      </c>
      <c r="M102" s="483">
        <v>0</v>
      </c>
      <c r="N102" s="484" t="s">
        <v>389</v>
      </c>
      <c r="O102" s="690">
        <f>Producción_Agricola[[#This Row],[Superficie]]*Producción_Agricola[[#This Row],[Cantidad]]</f>
        <v>0</v>
      </c>
      <c r="P102" s="482">
        <v>800</v>
      </c>
      <c r="Q102" s="484" t="s">
        <v>48</v>
      </c>
      <c r="R102" s="485">
        <v>0</v>
      </c>
      <c r="S102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02" s="695">
        <f>IFERROR(Producción_Agricola[[#This Row],[Económico $Corrientes]]/Producción_Agricola[[#This Row],[Indexación Económico]],0)</f>
        <v>0</v>
      </c>
      <c r="U102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0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02" s="695">
        <f>IFERROR(Producción_Agricola[[#This Row],[Financiero $Corrientes]]/Producción_Agricola[[#This Row],[Indexación Financiero]],0)</f>
        <v>0</v>
      </c>
      <c r="X10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0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02" s="699">
        <f>IFERROR(Producción_Agricola[[#This Row],[Intereses $Corrientes]]/Producción_Agricola[[#This Row],[Indexación Financiero]],0)</f>
        <v>0</v>
      </c>
      <c r="AA10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02" s="701" t="str">
        <f>IFERROR(INDEX(Produccion_Agricola_Cuentas[],MATCH(Producción_Agricola[[#This Row],[Cuenta Contable]],Produccion_Agricola_Cuentas[Cuenta Contable],0),2),0)</f>
        <v>Egreso</v>
      </c>
      <c r="AC102" s="702" t="str">
        <f>IFERROR(INDEX(Tabla9[],MATCH(Producción_Agricola[[#This Row],[Movimiento]],Tabla9[Movimientos],0),2),0)</f>
        <v>Si</v>
      </c>
      <c r="AD102" s="703" t="str">
        <f>IFERROR(INDEX(Tabla9[],MATCH(Producción_Agricola[[#This Row],[Movimiento]],Tabla9[Movimientos],0),3),0)</f>
        <v>(-)</v>
      </c>
      <c r="AE102" s="698">
        <f>IF(Producción_Agricola[[#This Row],[Fecha Económico]]=0,0,MONTH(Producción_Agricola[[#This Row],[Fecha Económico]]))</f>
        <v>9</v>
      </c>
      <c r="AF102" s="699">
        <f>IF(Producción_Agricola[[#This Row],[Fecha Económico]]=0,0,YEAR(Producción_Agricola[[#This Row],[Fecha Económico]]))</f>
        <v>2018</v>
      </c>
      <c r="AG102" s="704">
        <f>SUMPRODUCT((Producción_Agricola[[#This Row],[Mes Económico]]=Tipo_Cambio[Mes])*(Producción_Agricola[[#This Row],[Año Económico]]=Tipo_Cambio[Año])*(Tipo_Cambio[$/U$S]))</f>
        <v>22.4422</v>
      </c>
      <c r="AH102" s="703">
        <f>SUMPRODUCT((Producción_Agricola[[#This Row],[Mes Económico]]=Tipo_Cambio[Mes])*(Producción_Agricola[[#This Row],[Año Económico]]=Tipo_Cambio[Año])*(Tipo_Cambio[Actualización]))</f>
        <v>1.0404</v>
      </c>
      <c r="AI102" s="705">
        <f>IF(ISNUMBER(Producción_Agricola[[#This Row],[Fecha Financiero]])=TRUE,MONTH(Producción_Agricola[[#This Row],[Fecha Financiero]]),0)</f>
        <v>10</v>
      </c>
      <c r="AJ102" s="705">
        <f>IF(ISNUMBER(Producción_Agricola[[#This Row],[Fecha Financiero]])=TRUE,YEAR(Producción_Agricola[[#This Row],[Fecha Financiero]]),0)</f>
        <v>2018</v>
      </c>
      <c r="AK102" s="706">
        <f>SUMPRODUCT((Producción_Agricola[[#This Row],[Mes Financiero]]=Tipo_Cambio[Mes])*(Producción_Agricola[[#This Row],[Año Financiero]]=Tipo_Cambio[Año])*(Tipo_Cambio[$/U$S]))</f>
        <v>22.666622</v>
      </c>
      <c r="AL102" s="706">
        <f>SUMPRODUCT((Producción_Agricola[[#This Row],[Mes Financiero]]=Tipo_Cambio[Mes])*(Producción_Agricola[[#This Row],[Año Financiero]]=Tipo_Cambio[Año])*(Tipo_Cambio[Actualización]))</f>
        <v>1.0612079999999999</v>
      </c>
      <c r="AM102" s="702">
        <f>IFERROR(Producción_Agricola[[#This Row],[Económico $Corrientes]]/Producción_Agricola[[#This Row],[Superficie]],0)</f>
        <v>0</v>
      </c>
      <c r="AN102" s="706">
        <f>IFERROR(Producción_Agricola[[#This Row],[Económico $Constantes]]/Producción_Agricola[[#This Row],[Superficie]],0)</f>
        <v>0</v>
      </c>
      <c r="AO102" s="706">
        <f>IFERROR(Producción_Agricola[[#This Row],[Económico U$S Dólares]]/Producción_Agricola[[#This Row],[Superficie]],0)</f>
        <v>0</v>
      </c>
      <c r="AP102" s="707" t="str">
        <f>IF(Económico!$F$4=0,0,Producción_Agricola[[#This Row],[Centro de Costo]])</f>
        <v>Campo 1</v>
      </c>
      <c r="AQ102" s="512" t="s">
        <v>30</v>
      </c>
      <c r="AR102" s="513"/>
      <c r="AS102"/>
    </row>
    <row r="103" spans="4:45" x14ac:dyDescent="0.25">
      <c r="D103" s="478">
        <f>D102</f>
        <v>43366</v>
      </c>
      <c r="E103" s="478">
        <v>43586</v>
      </c>
      <c r="F103" s="668" t="str">
        <f t="shared" si="21"/>
        <v>2018-2019</v>
      </c>
      <c r="G103" s="669" t="str">
        <f t="shared" si="22"/>
        <v>Campo 1</v>
      </c>
      <c r="H103" s="669" t="str">
        <f t="shared" si="20"/>
        <v>Girasol</v>
      </c>
      <c r="I103" s="670" t="str">
        <f>IFERROR(INDEX(Tabla8[],MATCH(Producción_Agricola[[#This Row],[Unidad de Negocio]],Tabla8[Unidades de Negocio],0),2),0)</f>
        <v>Girasol</v>
      </c>
      <c r="J103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03" s="481" t="s">
        <v>18</v>
      </c>
      <c r="L103" s="482" t="s">
        <v>364</v>
      </c>
      <c r="M103" s="483">
        <v>0</v>
      </c>
      <c r="N103" s="484" t="s">
        <v>390</v>
      </c>
      <c r="O103" s="690">
        <f>Producción_Agricola[[#This Row],[Superficie]]*Producción_Agricola[[#This Row],[Cantidad]]</f>
        <v>0</v>
      </c>
      <c r="P103" s="482">
        <v>220</v>
      </c>
      <c r="Q103" s="484" t="s">
        <v>3</v>
      </c>
      <c r="R103" s="485">
        <v>0.06</v>
      </c>
      <c r="S103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03" s="695">
        <f>IFERROR(Producción_Agricola[[#This Row],[Económico $Corrientes]]/Producción_Agricola[[#This Row],[Indexación Económico]],0)</f>
        <v>0</v>
      </c>
      <c r="U103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0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03" s="695">
        <f>IFERROR(Producción_Agricola[[#This Row],[Financiero $Corrientes]]/Producción_Agricola[[#This Row],[Indexación Financiero]],0)</f>
        <v>0</v>
      </c>
      <c r="X10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0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03" s="699">
        <f>IFERROR(Producción_Agricola[[#This Row],[Intereses $Corrientes]]/Producción_Agricola[[#This Row],[Indexación Financiero]],0)</f>
        <v>0</v>
      </c>
      <c r="AA10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03" s="701" t="str">
        <f>IFERROR(INDEX(Produccion_Agricola_Cuentas[],MATCH(Producción_Agricola[[#This Row],[Cuenta Contable]],Produccion_Agricola_Cuentas[Cuenta Contable],0),2),0)</f>
        <v>Egreso</v>
      </c>
      <c r="AC103" s="702" t="str">
        <f>IFERROR(INDEX(Tabla9[],MATCH(Producción_Agricola[[#This Row],[Movimiento]],Tabla9[Movimientos],0),2),0)</f>
        <v>Si</v>
      </c>
      <c r="AD103" s="703" t="str">
        <f>IFERROR(INDEX(Tabla9[],MATCH(Producción_Agricola[[#This Row],[Movimiento]],Tabla9[Movimientos],0),3),0)</f>
        <v>(-)</v>
      </c>
      <c r="AE103" s="698">
        <f>IF(Producción_Agricola[[#This Row],[Fecha Económico]]=0,0,MONTH(Producción_Agricola[[#This Row],[Fecha Económico]]))</f>
        <v>9</v>
      </c>
      <c r="AF103" s="699">
        <f>IF(Producción_Agricola[[#This Row],[Fecha Económico]]=0,0,YEAR(Producción_Agricola[[#This Row],[Fecha Económico]]))</f>
        <v>2018</v>
      </c>
      <c r="AG103" s="704">
        <f>SUMPRODUCT((Producción_Agricola[[#This Row],[Mes Económico]]=Tipo_Cambio[Mes])*(Producción_Agricola[[#This Row],[Año Económico]]=Tipo_Cambio[Año])*(Tipo_Cambio[$/U$S]))</f>
        <v>22.4422</v>
      </c>
      <c r="AH103" s="703">
        <f>SUMPRODUCT((Producción_Agricola[[#This Row],[Mes Económico]]=Tipo_Cambio[Mes])*(Producción_Agricola[[#This Row],[Año Económico]]=Tipo_Cambio[Año])*(Tipo_Cambio[Actualización]))</f>
        <v>1.0404</v>
      </c>
      <c r="AI103" s="705">
        <f>IF(ISNUMBER(Producción_Agricola[[#This Row],[Fecha Financiero]])=TRUE,MONTH(Producción_Agricola[[#This Row],[Fecha Financiero]]),0)</f>
        <v>5</v>
      </c>
      <c r="AJ103" s="705">
        <f>IF(ISNUMBER(Producción_Agricola[[#This Row],[Fecha Financiero]])=TRUE,YEAR(Producción_Agricola[[#This Row],[Fecha Financiero]]),0)</f>
        <v>2019</v>
      </c>
      <c r="AK103" s="706">
        <f>SUMPRODUCT((Producción_Agricola[[#This Row],[Mes Financiero]]=Tipo_Cambio[Mes])*(Producción_Agricola[[#This Row],[Año Financiero]]=Tipo_Cambio[Año])*(Tipo_Cambio[$/U$S]))</f>
        <v>24.301686759046497</v>
      </c>
      <c r="AL103" s="706">
        <f>SUMPRODUCT((Producción_Agricola[[#This Row],[Mes Financiero]]=Tipo_Cambio[Mes])*(Producción_Agricola[[#This Row],[Año Financiero]]=Tipo_Cambio[Año])*(Tipo_Cambio[Actualización]))</f>
        <v>1.2189944199947573</v>
      </c>
      <c r="AM103" s="702">
        <f>IFERROR(Producción_Agricola[[#This Row],[Económico $Corrientes]]/Producción_Agricola[[#This Row],[Superficie]],0)</f>
        <v>0</v>
      </c>
      <c r="AN103" s="706">
        <f>IFERROR(Producción_Agricola[[#This Row],[Económico $Constantes]]/Producción_Agricola[[#This Row],[Superficie]],0)</f>
        <v>0</v>
      </c>
      <c r="AO103" s="706">
        <f>IFERROR(Producción_Agricola[[#This Row],[Económico U$S Dólares]]/Producción_Agricola[[#This Row],[Superficie]],0)</f>
        <v>0</v>
      </c>
      <c r="AP103" s="707" t="str">
        <f>IF(Económico!$F$4=0,0,Producción_Agricola[[#This Row],[Centro de Costo]])</f>
        <v>Campo 1</v>
      </c>
      <c r="AQ103" s="512" t="s">
        <v>30</v>
      </c>
      <c r="AR103" s="513"/>
      <c r="AS103"/>
    </row>
    <row r="104" spans="4:45" x14ac:dyDescent="0.25">
      <c r="D104" s="478">
        <f t="shared" ref="D104:D105" si="26">D103</f>
        <v>43366</v>
      </c>
      <c r="E104" s="478">
        <f>Producción_Agricola[[#This Row],[Fecha Económico]]+30</f>
        <v>43396</v>
      </c>
      <c r="F104" s="668" t="str">
        <f t="shared" si="21"/>
        <v>2018-2019</v>
      </c>
      <c r="G104" s="669" t="str">
        <f t="shared" si="22"/>
        <v>Campo 1</v>
      </c>
      <c r="H104" s="669" t="str">
        <f t="shared" si="20"/>
        <v>Girasol</v>
      </c>
      <c r="I104" s="670" t="str">
        <f>IFERROR(INDEX(Tabla8[],MATCH(Producción_Agricola[[#This Row],[Unidad de Negocio]],Tabla8[Unidades de Negocio],0),2),0)</f>
        <v>Girasol</v>
      </c>
      <c r="J104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04" s="481" t="s">
        <v>19</v>
      </c>
      <c r="L104" s="482" t="s">
        <v>28</v>
      </c>
      <c r="M104" s="483">
        <v>0</v>
      </c>
      <c r="N104" s="484" t="s">
        <v>388</v>
      </c>
      <c r="O104" s="690">
        <f>Producción_Agricola[[#This Row],[Superficie]]*Producción_Agricola[[#This Row],[Cantidad]]</f>
        <v>0</v>
      </c>
      <c r="P104" s="482">
        <v>0.6</v>
      </c>
      <c r="Q104" s="484" t="s">
        <v>3</v>
      </c>
      <c r="R104" s="485">
        <v>0</v>
      </c>
      <c r="S104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04" s="695">
        <f>IFERROR(Producción_Agricola[[#This Row],[Económico $Corrientes]]/Producción_Agricola[[#This Row],[Indexación Económico]],0)</f>
        <v>0</v>
      </c>
      <c r="U104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0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04" s="695">
        <f>IFERROR(Producción_Agricola[[#This Row],[Financiero $Corrientes]]/Producción_Agricola[[#This Row],[Indexación Financiero]],0)</f>
        <v>0</v>
      </c>
      <c r="X10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0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04" s="699">
        <f>IFERROR(Producción_Agricola[[#This Row],[Intereses $Corrientes]]/Producción_Agricola[[#This Row],[Indexación Financiero]],0)</f>
        <v>0</v>
      </c>
      <c r="AA10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04" s="701" t="str">
        <f>IFERROR(INDEX(Produccion_Agricola_Cuentas[],MATCH(Producción_Agricola[[#This Row],[Cuenta Contable]],Produccion_Agricola_Cuentas[Cuenta Contable],0),2),0)</f>
        <v>Egreso</v>
      </c>
      <c r="AC104" s="702" t="str">
        <f>IFERROR(INDEX(Tabla9[],MATCH(Producción_Agricola[[#This Row],[Movimiento]],Tabla9[Movimientos],0),2),0)</f>
        <v>Si</v>
      </c>
      <c r="AD104" s="703" t="str">
        <f>IFERROR(INDEX(Tabla9[],MATCH(Producción_Agricola[[#This Row],[Movimiento]],Tabla9[Movimientos],0),3),0)</f>
        <v>(-)</v>
      </c>
      <c r="AE104" s="698">
        <f>IF(Producción_Agricola[[#This Row],[Fecha Económico]]=0,0,MONTH(Producción_Agricola[[#This Row],[Fecha Económico]]))</f>
        <v>9</v>
      </c>
      <c r="AF104" s="699">
        <f>IF(Producción_Agricola[[#This Row],[Fecha Económico]]=0,0,YEAR(Producción_Agricola[[#This Row],[Fecha Económico]]))</f>
        <v>2018</v>
      </c>
      <c r="AG104" s="704">
        <f>SUMPRODUCT((Producción_Agricola[[#This Row],[Mes Económico]]=Tipo_Cambio[Mes])*(Producción_Agricola[[#This Row],[Año Económico]]=Tipo_Cambio[Año])*(Tipo_Cambio[$/U$S]))</f>
        <v>22.4422</v>
      </c>
      <c r="AH104" s="703">
        <f>SUMPRODUCT((Producción_Agricola[[#This Row],[Mes Económico]]=Tipo_Cambio[Mes])*(Producción_Agricola[[#This Row],[Año Económico]]=Tipo_Cambio[Año])*(Tipo_Cambio[Actualización]))</f>
        <v>1.0404</v>
      </c>
      <c r="AI104" s="705">
        <f>IF(ISNUMBER(Producción_Agricola[[#This Row],[Fecha Financiero]])=TRUE,MONTH(Producción_Agricola[[#This Row],[Fecha Financiero]]),0)</f>
        <v>10</v>
      </c>
      <c r="AJ104" s="705">
        <f>IF(ISNUMBER(Producción_Agricola[[#This Row],[Fecha Financiero]])=TRUE,YEAR(Producción_Agricola[[#This Row],[Fecha Financiero]]),0)</f>
        <v>2018</v>
      </c>
      <c r="AK104" s="706">
        <f>SUMPRODUCT((Producción_Agricola[[#This Row],[Mes Financiero]]=Tipo_Cambio[Mes])*(Producción_Agricola[[#This Row],[Año Financiero]]=Tipo_Cambio[Año])*(Tipo_Cambio[$/U$S]))</f>
        <v>22.666622</v>
      </c>
      <c r="AL104" s="706">
        <f>SUMPRODUCT((Producción_Agricola[[#This Row],[Mes Financiero]]=Tipo_Cambio[Mes])*(Producción_Agricola[[#This Row],[Año Financiero]]=Tipo_Cambio[Año])*(Tipo_Cambio[Actualización]))</f>
        <v>1.0612079999999999</v>
      </c>
      <c r="AM104" s="702">
        <f>IFERROR(Producción_Agricola[[#This Row],[Económico $Corrientes]]/Producción_Agricola[[#This Row],[Superficie]],0)</f>
        <v>0</v>
      </c>
      <c r="AN104" s="706">
        <f>IFERROR(Producción_Agricola[[#This Row],[Económico $Constantes]]/Producción_Agricola[[#This Row],[Superficie]],0)</f>
        <v>0</v>
      </c>
      <c r="AO104" s="706">
        <f>IFERROR(Producción_Agricola[[#This Row],[Económico U$S Dólares]]/Producción_Agricola[[#This Row],[Superficie]],0)</f>
        <v>0</v>
      </c>
      <c r="AP104" s="707" t="str">
        <f>IF(Económico!$F$4=0,0,Producción_Agricola[[#This Row],[Centro de Costo]])</f>
        <v>Campo 1</v>
      </c>
      <c r="AQ104" s="512" t="s">
        <v>30</v>
      </c>
      <c r="AR104" s="513"/>
      <c r="AS104"/>
    </row>
    <row r="105" spans="4:45" x14ac:dyDescent="0.25">
      <c r="D105" s="478">
        <f t="shared" si="26"/>
        <v>43366</v>
      </c>
      <c r="E105" s="478">
        <f>Producción_Agricola[[#This Row],[Fecha Económico]]+30</f>
        <v>43396</v>
      </c>
      <c r="F105" s="668" t="str">
        <f t="shared" si="21"/>
        <v>2018-2019</v>
      </c>
      <c r="G105" s="669" t="str">
        <f t="shared" si="22"/>
        <v>Campo 1</v>
      </c>
      <c r="H105" s="669" t="str">
        <f t="shared" si="20"/>
        <v>Girasol</v>
      </c>
      <c r="I105" s="670" t="str">
        <f>IFERROR(INDEX(Tabla8[],MATCH(Producción_Agricola[[#This Row],[Unidad de Negocio]],Tabla8[Unidades de Negocio],0),2),0)</f>
        <v>Girasol</v>
      </c>
      <c r="J105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05" s="481" t="s">
        <v>19</v>
      </c>
      <c r="L105" s="482" t="s">
        <v>29</v>
      </c>
      <c r="M105" s="483">
        <v>0</v>
      </c>
      <c r="N105" s="484" t="s">
        <v>388</v>
      </c>
      <c r="O105" s="690">
        <f>Producción_Agricola[[#This Row],[Superficie]]*Producción_Agricola[[#This Row],[Cantidad]]</f>
        <v>0</v>
      </c>
      <c r="P105" s="482">
        <v>0.45</v>
      </c>
      <c r="Q105" s="484" t="s">
        <v>3</v>
      </c>
      <c r="R105" s="485">
        <v>0</v>
      </c>
      <c r="S105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05" s="695">
        <f>IFERROR(Producción_Agricola[[#This Row],[Económico $Corrientes]]/Producción_Agricola[[#This Row],[Indexación Económico]],0)</f>
        <v>0</v>
      </c>
      <c r="U105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0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05" s="695">
        <f>IFERROR(Producción_Agricola[[#This Row],[Financiero $Corrientes]]/Producción_Agricola[[#This Row],[Indexación Financiero]],0)</f>
        <v>0</v>
      </c>
      <c r="X10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0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05" s="699">
        <f>IFERROR(Producción_Agricola[[#This Row],[Intereses $Corrientes]]/Producción_Agricola[[#This Row],[Indexación Financiero]],0)</f>
        <v>0</v>
      </c>
      <c r="AA10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05" s="701" t="str">
        <f>IFERROR(INDEX(Produccion_Agricola_Cuentas[],MATCH(Producción_Agricola[[#This Row],[Cuenta Contable]],Produccion_Agricola_Cuentas[Cuenta Contable],0),2),0)</f>
        <v>Egreso</v>
      </c>
      <c r="AC105" s="702" t="str">
        <f>IFERROR(INDEX(Tabla9[],MATCH(Producción_Agricola[[#This Row],[Movimiento]],Tabla9[Movimientos],0),2),0)</f>
        <v>Si</v>
      </c>
      <c r="AD105" s="703" t="str">
        <f>IFERROR(INDEX(Tabla9[],MATCH(Producción_Agricola[[#This Row],[Movimiento]],Tabla9[Movimientos],0),3),0)</f>
        <v>(-)</v>
      </c>
      <c r="AE105" s="698">
        <f>IF(Producción_Agricola[[#This Row],[Fecha Económico]]=0,0,MONTH(Producción_Agricola[[#This Row],[Fecha Económico]]))</f>
        <v>9</v>
      </c>
      <c r="AF105" s="699">
        <f>IF(Producción_Agricola[[#This Row],[Fecha Económico]]=0,0,YEAR(Producción_Agricola[[#This Row],[Fecha Económico]]))</f>
        <v>2018</v>
      </c>
      <c r="AG105" s="704">
        <f>SUMPRODUCT((Producción_Agricola[[#This Row],[Mes Económico]]=Tipo_Cambio[Mes])*(Producción_Agricola[[#This Row],[Año Económico]]=Tipo_Cambio[Año])*(Tipo_Cambio[$/U$S]))</f>
        <v>22.4422</v>
      </c>
      <c r="AH105" s="703">
        <f>SUMPRODUCT((Producción_Agricola[[#This Row],[Mes Económico]]=Tipo_Cambio[Mes])*(Producción_Agricola[[#This Row],[Año Económico]]=Tipo_Cambio[Año])*(Tipo_Cambio[Actualización]))</f>
        <v>1.0404</v>
      </c>
      <c r="AI105" s="705">
        <f>IF(ISNUMBER(Producción_Agricola[[#This Row],[Fecha Financiero]])=TRUE,MONTH(Producción_Agricola[[#This Row],[Fecha Financiero]]),0)</f>
        <v>10</v>
      </c>
      <c r="AJ105" s="705">
        <f>IF(ISNUMBER(Producción_Agricola[[#This Row],[Fecha Financiero]])=TRUE,YEAR(Producción_Agricola[[#This Row],[Fecha Financiero]]),0)</f>
        <v>2018</v>
      </c>
      <c r="AK105" s="706">
        <f>SUMPRODUCT((Producción_Agricola[[#This Row],[Mes Financiero]]=Tipo_Cambio[Mes])*(Producción_Agricola[[#This Row],[Año Financiero]]=Tipo_Cambio[Año])*(Tipo_Cambio[$/U$S]))</f>
        <v>22.666622</v>
      </c>
      <c r="AL105" s="706">
        <f>SUMPRODUCT((Producción_Agricola[[#This Row],[Mes Financiero]]=Tipo_Cambio[Mes])*(Producción_Agricola[[#This Row],[Año Financiero]]=Tipo_Cambio[Año])*(Tipo_Cambio[Actualización]))</f>
        <v>1.0612079999999999</v>
      </c>
      <c r="AM105" s="702">
        <f>IFERROR(Producción_Agricola[[#This Row],[Económico $Corrientes]]/Producción_Agricola[[#This Row],[Superficie]],0)</f>
        <v>0</v>
      </c>
      <c r="AN105" s="706">
        <f>IFERROR(Producción_Agricola[[#This Row],[Económico $Constantes]]/Producción_Agricola[[#This Row],[Superficie]],0)</f>
        <v>0</v>
      </c>
      <c r="AO105" s="706">
        <f>IFERROR(Producción_Agricola[[#This Row],[Económico U$S Dólares]]/Producción_Agricola[[#This Row],[Superficie]],0)</f>
        <v>0</v>
      </c>
      <c r="AP105" s="707" t="str">
        <f>IF(Económico!$F$4=0,0,Producción_Agricola[[#This Row],[Centro de Costo]])</f>
        <v>Campo 1</v>
      </c>
      <c r="AQ105" s="512" t="s">
        <v>30</v>
      </c>
      <c r="AR105" s="513"/>
      <c r="AS105"/>
    </row>
    <row r="106" spans="4:45" x14ac:dyDescent="0.25">
      <c r="D106" s="478">
        <f>D102+30</f>
        <v>43396</v>
      </c>
      <c r="E106" s="478">
        <f>Producción_Agricola[[#This Row],[Fecha Económico]]+30</f>
        <v>43426</v>
      </c>
      <c r="F106" s="668" t="str">
        <f t="shared" si="21"/>
        <v>2018-2019</v>
      </c>
      <c r="G106" s="669" t="str">
        <f t="shared" si="22"/>
        <v>Campo 1</v>
      </c>
      <c r="H106" s="669" t="str">
        <f t="shared" si="20"/>
        <v>Girasol</v>
      </c>
      <c r="I106" s="670" t="str">
        <f>IFERROR(INDEX(Tabla8[],MATCH(Producción_Agricola[[#This Row],[Unidad de Negocio]],Tabla8[Unidades de Negocio],0),2),0)</f>
        <v>Girasol</v>
      </c>
      <c r="J106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06" s="481" t="s">
        <v>25</v>
      </c>
      <c r="L106" s="482" t="s">
        <v>367</v>
      </c>
      <c r="M106" s="483">
        <v>0</v>
      </c>
      <c r="N106" s="484" t="s">
        <v>389</v>
      </c>
      <c r="O106" s="690">
        <f>Producción_Agricola[[#This Row],[Superficie]]*Producción_Agricola[[#This Row],[Cantidad]]</f>
        <v>0</v>
      </c>
      <c r="P106" s="482">
        <v>150</v>
      </c>
      <c r="Q106" s="484" t="s">
        <v>48</v>
      </c>
      <c r="R106" s="485">
        <v>0.06</v>
      </c>
      <c r="S106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06" s="695">
        <f>IFERROR(Producción_Agricola[[#This Row],[Económico $Corrientes]]/Producción_Agricola[[#This Row],[Indexación Económico]],0)</f>
        <v>0</v>
      </c>
      <c r="U10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0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06" s="695">
        <f>IFERROR(Producción_Agricola[[#This Row],[Financiero $Corrientes]]/Producción_Agricola[[#This Row],[Indexación Financiero]],0)</f>
        <v>0</v>
      </c>
      <c r="X10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0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06" s="699">
        <f>IFERROR(Producción_Agricola[[#This Row],[Intereses $Corrientes]]/Producción_Agricola[[#This Row],[Indexación Financiero]],0)</f>
        <v>0</v>
      </c>
      <c r="AA10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06" s="701" t="str">
        <f>IFERROR(INDEX(Produccion_Agricola_Cuentas[],MATCH(Producción_Agricola[[#This Row],[Cuenta Contable]],Produccion_Agricola_Cuentas[Cuenta Contable],0),2),0)</f>
        <v>Egreso</v>
      </c>
      <c r="AC106" s="702" t="str">
        <f>IFERROR(INDEX(Tabla9[],MATCH(Producción_Agricola[[#This Row],[Movimiento]],Tabla9[Movimientos],0),2),0)</f>
        <v>Si</v>
      </c>
      <c r="AD106" s="703" t="str">
        <f>IFERROR(INDEX(Tabla9[],MATCH(Producción_Agricola[[#This Row],[Movimiento]],Tabla9[Movimientos],0),3),0)</f>
        <v>(-)</v>
      </c>
      <c r="AE106" s="698">
        <f>IF(Producción_Agricola[[#This Row],[Fecha Económico]]=0,0,MONTH(Producción_Agricola[[#This Row],[Fecha Económico]]))</f>
        <v>10</v>
      </c>
      <c r="AF106" s="699">
        <f>IF(Producción_Agricola[[#This Row],[Fecha Económico]]=0,0,YEAR(Producción_Agricola[[#This Row],[Fecha Económico]]))</f>
        <v>2018</v>
      </c>
      <c r="AG106" s="704">
        <f>SUMPRODUCT((Producción_Agricola[[#This Row],[Mes Económico]]=Tipo_Cambio[Mes])*(Producción_Agricola[[#This Row],[Año Económico]]=Tipo_Cambio[Año])*(Tipo_Cambio[$/U$S]))</f>
        <v>22.666622</v>
      </c>
      <c r="AH106" s="703">
        <f>SUMPRODUCT((Producción_Agricola[[#This Row],[Mes Económico]]=Tipo_Cambio[Mes])*(Producción_Agricola[[#This Row],[Año Económico]]=Tipo_Cambio[Año])*(Tipo_Cambio[Actualización]))</f>
        <v>1.0612079999999999</v>
      </c>
      <c r="AI106" s="705">
        <f>IF(ISNUMBER(Producción_Agricola[[#This Row],[Fecha Financiero]])=TRUE,MONTH(Producción_Agricola[[#This Row],[Fecha Financiero]]),0)</f>
        <v>11</v>
      </c>
      <c r="AJ106" s="705">
        <f>IF(ISNUMBER(Producción_Agricola[[#This Row],[Fecha Financiero]])=TRUE,YEAR(Producción_Agricola[[#This Row],[Fecha Financiero]]),0)</f>
        <v>2018</v>
      </c>
      <c r="AK106" s="706">
        <f>SUMPRODUCT((Producción_Agricola[[#This Row],[Mes Financiero]]=Tipo_Cambio[Mes])*(Producción_Agricola[[#This Row],[Año Financiero]]=Tipo_Cambio[Año])*(Tipo_Cambio[$/U$S]))</f>
        <v>22.893288219999999</v>
      </c>
      <c r="AL106" s="706">
        <f>SUMPRODUCT((Producción_Agricola[[#This Row],[Mes Financiero]]=Tipo_Cambio[Mes])*(Producción_Agricola[[#This Row],[Año Financiero]]=Tipo_Cambio[Año])*(Tipo_Cambio[Actualización]))</f>
        <v>1.08243216</v>
      </c>
      <c r="AM106" s="702">
        <f>IFERROR(Producción_Agricola[[#This Row],[Económico $Corrientes]]/Producción_Agricola[[#This Row],[Superficie]],0)</f>
        <v>0</v>
      </c>
      <c r="AN106" s="706">
        <f>IFERROR(Producción_Agricola[[#This Row],[Económico $Constantes]]/Producción_Agricola[[#This Row],[Superficie]],0)</f>
        <v>0</v>
      </c>
      <c r="AO106" s="706">
        <f>IFERROR(Producción_Agricola[[#This Row],[Económico U$S Dólares]]/Producción_Agricola[[#This Row],[Superficie]],0)</f>
        <v>0</v>
      </c>
      <c r="AP106" s="707" t="str">
        <f>IF(Económico!$F$4=0,0,Producción_Agricola[[#This Row],[Centro de Costo]])</f>
        <v>Campo 1</v>
      </c>
      <c r="AQ106" s="512" t="s">
        <v>367</v>
      </c>
      <c r="AR106" s="513"/>
      <c r="AS106"/>
    </row>
    <row r="107" spans="4:45" x14ac:dyDescent="0.25">
      <c r="D107" s="478">
        <f>D106</f>
        <v>43396</v>
      </c>
      <c r="E107" s="478">
        <f>Producción_Agricola[[#This Row],[Fecha Económico]]+30</f>
        <v>43426</v>
      </c>
      <c r="F107" s="668" t="str">
        <f t="shared" si="21"/>
        <v>2018-2019</v>
      </c>
      <c r="G107" s="669" t="str">
        <f t="shared" si="22"/>
        <v>Campo 1</v>
      </c>
      <c r="H107" s="669" t="str">
        <f t="shared" si="20"/>
        <v>Girasol</v>
      </c>
      <c r="I107" s="671" t="str">
        <f>IFERROR(INDEX(Tabla8[],MATCH(Producción_Agricola[[#This Row],[Unidad de Negocio]],Tabla8[Unidades de Negocio],0),2),0)</f>
        <v>Girasol</v>
      </c>
      <c r="J10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07" s="481" t="s">
        <v>19</v>
      </c>
      <c r="L107" s="482" t="s">
        <v>368</v>
      </c>
      <c r="M107" s="483">
        <v>0</v>
      </c>
      <c r="N107" s="484" t="s">
        <v>387</v>
      </c>
      <c r="O107" s="690">
        <f>Producción_Agricola[[#This Row],[Superficie]]*Producción_Agricola[[#This Row],[Cantidad]]</f>
        <v>0</v>
      </c>
      <c r="P107" s="482">
        <v>0.35</v>
      </c>
      <c r="Q107" s="484" t="s">
        <v>3</v>
      </c>
      <c r="R107" s="485">
        <v>0</v>
      </c>
      <c r="S10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07" s="695">
        <f>IFERROR(Producción_Agricola[[#This Row],[Económico $Corrientes]]/Producción_Agricola[[#This Row],[Indexación Económico]],0)</f>
        <v>0</v>
      </c>
      <c r="U10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0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07" s="695">
        <f>IFERROR(Producción_Agricola[[#This Row],[Financiero $Corrientes]]/Producción_Agricola[[#This Row],[Indexación Financiero]],0)</f>
        <v>0</v>
      </c>
      <c r="X10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0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07" s="699">
        <f>IFERROR(Producción_Agricola[[#This Row],[Intereses $Corrientes]]/Producción_Agricola[[#This Row],[Indexación Financiero]],0)</f>
        <v>0</v>
      </c>
      <c r="AA10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07" s="701" t="str">
        <f>IFERROR(INDEX(Produccion_Agricola_Cuentas[],MATCH(Producción_Agricola[[#This Row],[Cuenta Contable]],Produccion_Agricola_Cuentas[Cuenta Contable],0),2),0)</f>
        <v>Egreso</v>
      </c>
      <c r="AC107" s="702" t="str">
        <f>IFERROR(INDEX(Tabla9[],MATCH(Producción_Agricola[[#This Row],[Movimiento]],Tabla9[Movimientos],0),2),0)</f>
        <v>Si</v>
      </c>
      <c r="AD107" s="703" t="str">
        <f>IFERROR(INDEX(Tabla9[],MATCH(Producción_Agricola[[#This Row],[Movimiento]],Tabla9[Movimientos],0),3),0)</f>
        <v>(-)</v>
      </c>
      <c r="AE107" s="698">
        <f>IF(Producción_Agricola[[#This Row],[Fecha Económico]]=0,0,MONTH(Producción_Agricola[[#This Row],[Fecha Económico]]))</f>
        <v>10</v>
      </c>
      <c r="AF107" s="699">
        <f>IF(Producción_Agricola[[#This Row],[Fecha Económico]]=0,0,YEAR(Producción_Agricola[[#This Row],[Fecha Económico]]))</f>
        <v>2018</v>
      </c>
      <c r="AG107" s="704">
        <f>SUMPRODUCT((Producción_Agricola[[#This Row],[Mes Económico]]=Tipo_Cambio[Mes])*(Producción_Agricola[[#This Row],[Año Económico]]=Tipo_Cambio[Año])*(Tipo_Cambio[$/U$S]))</f>
        <v>22.666622</v>
      </c>
      <c r="AH107" s="703">
        <f>SUMPRODUCT((Producción_Agricola[[#This Row],[Mes Económico]]=Tipo_Cambio[Mes])*(Producción_Agricola[[#This Row],[Año Económico]]=Tipo_Cambio[Año])*(Tipo_Cambio[Actualización]))</f>
        <v>1.0612079999999999</v>
      </c>
      <c r="AI107" s="705">
        <f>IF(ISNUMBER(Producción_Agricola[[#This Row],[Fecha Financiero]])=TRUE,MONTH(Producción_Agricola[[#This Row],[Fecha Financiero]]),0)</f>
        <v>11</v>
      </c>
      <c r="AJ107" s="705">
        <f>IF(ISNUMBER(Producción_Agricola[[#This Row],[Fecha Financiero]])=TRUE,YEAR(Producción_Agricola[[#This Row],[Fecha Financiero]]),0)</f>
        <v>2018</v>
      </c>
      <c r="AK107" s="706">
        <f>SUMPRODUCT((Producción_Agricola[[#This Row],[Mes Financiero]]=Tipo_Cambio[Mes])*(Producción_Agricola[[#This Row],[Año Financiero]]=Tipo_Cambio[Año])*(Tipo_Cambio[$/U$S]))</f>
        <v>22.893288219999999</v>
      </c>
      <c r="AL107" s="706">
        <f>SUMPRODUCT((Producción_Agricola[[#This Row],[Mes Financiero]]=Tipo_Cambio[Mes])*(Producción_Agricola[[#This Row],[Año Financiero]]=Tipo_Cambio[Año])*(Tipo_Cambio[Actualización]))</f>
        <v>1.08243216</v>
      </c>
      <c r="AM107" s="709">
        <f>IFERROR(Producción_Agricola[[#This Row],[Económico $Corrientes]]/Producción_Agricola[[#This Row],[Superficie]],0)</f>
        <v>0</v>
      </c>
      <c r="AN107" s="710">
        <f>IFERROR(Producción_Agricola[[#This Row],[Económico $Constantes]]/Producción_Agricola[[#This Row],[Superficie]],0)</f>
        <v>0</v>
      </c>
      <c r="AO107" s="710">
        <f>IFERROR(Producción_Agricola[[#This Row],[Económico U$S Dólares]]/Producción_Agricola[[#This Row],[Superficie]],0)</f>
        <v>0</v>
      </c>
      <c r="AP107" s="711" t="str">
        <f>IF(Económico!$F$4=0,0,Producción_Agricola[[#This Row],[Centro de Costo]])</f>
        <v>Campo 1</v>
      </c>
      <c r="AQ107" s="512" t="s">
        <v>367</v>
      </c>
      <c r="AR107" s="513"/>
      <c r="AS107"/>
    </row>
    <row r="108" spans="4:45" x14ac:dyDescent="0.25">
      <c r="D108" s="478">
        <f>D103+60</f>
        <v>43426</v>
      </c>
      <c r="E108" s="478">
        <f>Producción_Agricola[[#This Row],[Fecha Económico]]+30</f>
        <v>43456</v>
      </c>
      <c r="F108" s="668" t="str">
        <f t="shared" si="21"/>
        <v>2018-2019</v>
      </c>
      <c r="G108" s="669" t="str">
        <f t="shared" si="22"/>
        <v>Campo 1</v>
      </c>
      <c r="H108" s="669" t="str">
        <f t="shared" si="20"/>
        <v>Girasol</v>
      </c>
      <c r="I108" s="670" t="str">
        <f>IFERROR(INDEX(Tabla8[],MATCH(Producción_Agricola[[#This Row],[Unidad de Negocio]],Tabla8[Unidades de Negocio],0),2),0)</f>
        <v>Girasol</v>
      </c>
      <c r="J108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08" s="481" t="s">
        <v>25</v>
      </c>
      <c r="L108" s="482" t="s">
        <v>219</v>
      </c>
      <c r="M108" s="483">
        <v>0</v>
      </c>
      <c r="N108" s="484" t="s">
        <v>389</v>
      </c>
      <c r="O108" s="690">
        <f>Producción_Agricola[[#This Row],[Superficie]]*Producción_Agricola[[#This Row],[Cantidad]]</f>
        <v>0</v>
      </c>
      <c r="P108" s="482">
        <v>120</v>
      </c>
      <c r="Q108" s="484" t="s">
        <v>48</v>
      </c>
      <c r="R108" s="485">
        <v>0</v>
      </c>
      <c r="S108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08" s="695">
        <f>IFERROR(Producción_Agricola[[#This Row],[Económico $Corrientes]]/Producción_Agricola[[#This Row],[Indexación Económico]],0)</f>
        <v>0</v>
      </c>
      <c r="U10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0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08" s="695">
        <f>IFERROR(Producción_Agricola[[#This Row],[Financiero $Corrientes]]/Producción_Agricola[[#This Row],[Indexación Financiero]],0)</f>
        <v>0</v>
      </c>
      <c r="X10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0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08" s="699">
        <f>IFERROR(Producción_Agricola[[#This Row],[Intereses $Corrientes]]/Producción_Agricola[[#This Row],[Indexación Financiero]],0)</f>
        <v>0</v>
      </c>
      <c r="AA10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08" s="701" t="str">
        <f>IFERROR(INDEX(Produccion_Agricola_Cuentas[],MATCH(Producción_Agricola[[#This Row],[Cuenta Contable]],Produccion_Agricola_Cuentas[Cuenta Contable],0),2),0)</f>
        <v>Egreso</v>
      </c>
      <c r="AC108" s="702" t="str">
        <f>IFERROR(INDEX(Tabla9[],MATCH(Producción_Agricola[[#This Row],[Movimiento]],Tabla9[Movimientos],0),2),0)</f>
        <v>Si</v>
      </c>
      <c r="AD108" s="703" t="str">
        <f>IFERROR(INDEX(Tabla9[],MATCH(Producción_Agricola[[#This Row],[Movimiento]],Tabla9[Movimientos],0),3),0)</f>
        <v>(-)</v>
      </c>
      <c r="AE108" s="698">
        <f>IF(Producción_Agricola[[#This Row],[Fecha Económico]]=0,0,MONTH(Producción_Agricola[[#This Row],[Fecha Económico]]))</f>
        <v>11</v>
      </c>
      <c r="AF108" s="699">
        <f>IF(Producción_Agricola[[#This Row],[Fecha Económico]]=0,0,YEAR(Producción_Agricola[[#This Row],[Fecha Económico]]))</f>
        <v>2018</v>
      </c>
      <c r="AG108" s="704">
        <f>SUMPRODUCT((Producción_Agricola[[#This Row],[Mes Económico]]=Tipo_Cambio[Mes])*(Producción_Agricola[[#This Row],[Año Económico]]=Tipo_Cambio[Año])*(Tipo_Cambio[$/U$S]))</f>
        <v>22.893288219999999</v>
      </c>
      <c r="AH108" s="703">
        <f>SUMPRODUCT((Producción_Agricola[[#This Row],[Mes Económico]]=Tipo_Cambio[Mes])*(Producción_Agricola[[#This Row],[Año Económico]]=Tipo_Cambio[Año])*(Tipo_Cambio[Actualización]))</f>
        <v>1.08243216</v>
      </c>
      <c r="AI108" s="705">
        <f>IF(ISNUMBER(Producción_Agricola[[#This Row],[Fecha Financiero]])=TRUE,MONTH(Producción_Agricola[[#This Row],[Fecha Financiero]]),0)</f>
        <v>12</v>
      </c>
      <c r="AJ108" s="705">
        <f>IF(ISNUMBER(Producción_Agricola[[#This Row],[Fecha Financiero]])=TRUE,YEAR(Producción_Agricola[[#This Row],[Fecha Financiero]]),0)</f>
        <v>2018</v>
      </c>
      <c r="AK108" s="706">
        <f>SUMPRODUCT((Producción_Agricola[[#This Row],[Mes Financiero]]=Tipo_Cambio[Mes])*(Producción_Agricola[[#This Row],[Año Financiero]]=Tipo_Cambio[Año])*(Tipo_Cambio[$/U$S]))</f>
        <v>23.122221102199997</v>
      </c>
      <c r="AL108" s="706">
        <f>SUMPRODUCT((Producción_Agricola[[#This Row],[Mes Financiero]]=Tipo_Cambio[Mes])*(Producción_Agricola[[#This Row],[Año Financiero]]=Tipo_Cambio[Año])*(Tipo_Cambio[Actualización]))</f>
        <v>1.1040808032</v>
      </c>
      <c r="AM108" s="702">
        <f>IFERROR(Producción_Agricola[[#This Row],[Económico $Corrientes]]/Producción_Agricola[[#This Row],[Superficie]],0)</f>
        <v>0</v>
      </c>
      <c r="AN108" s="706">
        <f>IFERROR(Producción_Agricola[[#This Row],[Económico $Constantes]]/Producción_Agricola[[#This Row],[Superficie]],0)</f>
        <v>0</v>
      </c>
      <c r="AO108" s="706">
        <f>IFERROR(Producción_Agricola[[#This Row],[Económico U$S Dólares]]/Producción_Agricola[[#This Row],[Superficie]],0)</f>
        <v>0</v>
      </c>
      <c r="AP108" s="707" t="str">
        <f>IF(Económico!$F$4=0,0,Producción_Agricola[[#This Row],[Centro de Costo]])</f>
        <v>Campo 1</v>
      </c>
      <c r="AQ108" s="512" t="s">
        <v>381</v>
      </c>
      <c r="AR108" s="513"/>
      <c r="AS108"/>
    </row>
    <row r="109" spans="4:45" x14ac:dyDescent="0.25">
      <c r="D109" s="478">
        <f>D108</f>
        <v>43426</v>
      </c>
      <c r="E109" s="478">
        <v>43586</v>
      </c>
      <c r="F109" s="668" t="str">
        <f t="shared" si="21"/>
        <v>2018-2019</v>
      </c>
      <c r="G109" s="669" t="str">
        <f t="shared" si="22"/>
        <v>Campo 1</v>
      </c>
      <c r="H109" s="669" t="str">
        <f t="shared" si="20"/>
        <v>Girasol</v>
      </c>
      <c r="I109" s="670" t="str">
        <f>IFERROR(INDEX(Tabla8[],MATCH(Producción_Agricola[[#This Row],[Unidad de Negocio]],Tabla8[Unidades de Negocio],0),2),0)</f>
        <v>Girasol</v>
      </c>
      <c r="J109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09" s="481" t="s">
        <v>17</v>
      </c>
      <c r="L109" s="482" t="s">
        <v>50</v>
      </c>
      <c r="M109" s="483">
        <v>0</v>
      </c>
      <c r="N109" s="484" t="s">
        <v>387</v>
      </c>
      <c r="O109" s="690">
        <f>Producción_Agricola[[#This Row],[Superficie]]*Producción_Agricola[[#This Row],[Cantidad]]</f>
        <v>0</v>
      </c>
      <c r="P109" s="482">
        <v>3</v>
      </c>
      <c r="Q109" s="484" t="s">
        <v>3</v>
      </c>
      <c r="R109" s="485">
        <v>0.06</v>
      </c>
      <c r="S109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09" s="695">
        <f>IFERROR(Producción_Agricola[[#This Row],[Económico $Corrientes]]/Producción_Agricola[[#This Row],[Indexación Económico]],0)</f>
        <v>0</v>
      </c>
      <c r="U10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0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09" s="695">
        <f>IFERROR(Producción_Agricola[[#This Row],[Financiero $Corrientes]]/Producción_Agricola[[#This Row],[Indexación Financiero]],0)</f>
        <v>0</v>
      </c>
      <c r="X10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0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09" s="699">
        <f>IFERROR(Producción_Agricola[[#This Row],[Intereses $Corrientes]]/Producción_Agricola[[#This Row],[Indexación Financiero]],0)</f>
        <v>0</v>
      </c>
      <c r="AA10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09" s="701" t="str">
        <f>IFERROR(INDEX(Produccion_Agricola_Cuentas[],MATCH(Producción_Agricola[[#This Row],[Cuenta Contable]],Produccion_Agricola_Cuentas[Cuenta Contable],0),2),0)</f>
        <v>Egreso</v>
      </c>
      <c r="AC109" s="702" t="str">
        <f>IFERROR(INDEX(Tabla9[],MATCH(Producción_Agricola[[#This Row],[Movimiento]],Tabla9[Movimientos],0),2),0)</f>
        <v>Si</v>
      </c>
      <c r="AD109" s="703" t="str">
        <f>IFERROR(INDEX(Tabla9[],MATCH(Producción_Agricola[[#This Row],[Movimiento]],Tabla9[Movimientos],0),3),0)</f>
        <v>(-)</v>
      </c>
      <c r="AE109" s="698">
        <f>IF(Producción_Agricola[[#This Row],[Fecha Económico]]=0,0,MONTH(Producción_Agricola[[#This Row],[Fecha Económico]]))</f>
        <v>11</v>
      </c>
      <c r="AF109" s="699">
        <f>IF(Producción_Agricola[[#This Row],[Fecha Económico]]=0,0,YEAR(Producción_Agricola[[#This Row],[Fecha Económico]]))</f>
        <v>2018</v>
      </c>
      <c r="AG109" s="704">
        <f>SUMPRODUCT((Producción_Agricola[[#This Row],[Mes Económico]]=Tipo_Cambio[Mes])*(Producción_Agricola[[#This Row],[Año Económico]]=Tipo_Cambio[Año])*(Tipo_Cambio[$/U$S]))</f>
        <v>22.893288219999999</v>
      </c>
      <c r="AH109" s="703">
        <f>SUMPRODUCT((Producción_Agricola[[#This Row],[Mes Económico]]=Tipo_Cambio[Mes])*(Producción_Agricola[[#This Row],[Año Económico]]=Tipo_Cambio[Año])*(Tipo_Cambio[Actualización]))</f>
        <v>1.08243216</v>
      </c>
      <c r="AI109" s="705">
        <f>IF(ISNUMBER(Producción_Agricola[[#This Row],[Fecha Financiero]])=TRUE,MONTH(Producción_Agricola[[#This Row],[Fecha Financiero]]),0)</f>
        <v>5</v>
      </c>
      <c r="AJ109" s="705">
        <f>IF(ISNUMBER(Producción_Agricola[[#This Row],[Fecha Financiero]])=TRUE,YEAR(Producción_Agricola[[#This Row],[Fecha Financiero]]),0)</f>
        <v>2019</v>
      </c>
      <c r="AK109" s="706">
        <f>SUMPRODUCT((Producción_Agricola[[#This Row],[Mes Financiero]]=Tipo_Cambio[Mes])*(Producción_Agricola[[#This Row],[Año Financiero]]=Tipo_Cambio[Año])*(Tipo_Cambio[$/U$S]))</f>
        <v>24.301686759046497</v>
      </c>
      <c r="AL109" s="706">
        <f>SUMPRODUCT((Producción_Agricola[[#This Row],[Mes Financiero]]=Tipo_Cambio[Mes])*(Producción_Agricola[[#This Row],[Año Financiero]]=Tipo_Cambio[Año])*(Tipo_Cambio[Actualización]))</f>
        <v>1.2189944199947573</v>
      </c>
      <c r="AM109" s="702">
        <f>IFERROR(Producción_Agricola[[#This Row],[Económico $Corrientes]]/Producción_Agricola[[#This Row],[Superficie]],0)</f>
        <v>0</v>
      </c>
      <c r="AN109" s="706">
        <f>IFERROR(Producción_Agricola[[#This Row],[Económico $Constantes]]/Producción_Agricola[[#This Row],[Superficie]],0)</f>
        <v>0</v>
      </c>
      <c r="AO109" s="706">
        <f>IFERROR(Producción_Agricola[[#This Row],[Económico U$S Dólares]]/Producción_Agricola[[#This Row],[Superficie]],0)</f>
        <v>0</v>
      </c>
      <c r="AP109" s="707" t="str">
        <f>IF(Económico!$F$4=0,0,Producción_Agricola[[#This Row],[Centro de Costo]])</f>
        <v>Campo 1</v>
      </c>
      <c r="AQ109" s="512" t="s">
        <v>381</v>
      </c>
      <c r="AR109" s="513"/>
      <c r="AS109"/>
    </row>
    <row r="110" spans="4:45" x14ac:dyDescent="0.25">
      <c r="D110" s="478">
        <f t="shared" ref="D110:D111" si="27">D109</f>
        <v>43426</v>
      </c>
      <c r="E110" s="478">
        <v>43586</v>
      </c>
      <c r="F110" s="668" t="str">
        <f t="shared" si="21"/>
        <v>2018-2019</v>
      </c>
      <c r="G110" s="669" t="str">
        <f t="shared" si="22"/>
        <v>Campo 1</v>
      </c>
      <c r="H110" s="669" t="str">
        <f t="shared" si="20"/>
        <v>Girasol</v>
      </c>
      <c r="I110" s="670" t="str">
        <f>IFERROR(INDEX(Tabla8[],MATCH(Producción_Agricola[[#This Row],[Unidad de Negocio]],Tabla8[Unidades de Negocio],0),2),0)</f>
        <v>Girasol</v>
      </c>
      <c r="J110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10" s="481" t="s">
        <v>17</v>
      </c>
      <c r="L110" s="482" t="s">
        <v>49</v>
      </c>
      <c r="M110" s="483">
        <v>0</v>
      </c>
      <c r="N110" s="484" t="s">
        <v>387</v>
      </c>
      <c r="O110" s="690">
        <f>Producción_Agricola[[#This Row],[Superficie]]*Producción_Agricola[[#This Row],[Cantidad]]</f>
        <v>0</v>
      </c>
      <c r="P110" s="482">
        <v>7</v>
      </c>
      <c r="Q110" s="484" t="s">
        <v>3</v>
      </c>
      <c r="R110" s="485">
        <v>0.06</v>
      </c>
      <c r="S110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10" s="695">
        <f>IFERROR(Producción_Agricola[[#This Row],[Económico $Corrientes]]/Producción_Agricola[[#This Row],[Indexación Económico]],0)</f>
        <v>0</v>
      </c>
      <c r="U11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1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10" s="695">
        <f>IFERROR(Producción_Agricola[[#This Row],[Financiero $Corrientes]]/Producción_Agricola[[#This Row],[Indexación Financiero]],0)</f>
        <v>0</v>
      </c>
      <c r="X11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1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10" s="699">
        <f>IFERROR(Producción_Agricola[[#This Row],[Intereses $Corrientes]]/Producción_Agricola[[#This Row],[Indexación Financiero]],0)</f>
        <v>0</v>
      </c>
      <c r="AA11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10" s="701" t="str">
        <f>IFERROR(INDEX(Produccion_Agricola_Cuentas[],MATCH(Producción_Agricola[[#This Row],[Cuenta Contable]],Produccion_Agricola_Cuentas[Cuenta Contable],0),2),0)</f>
        <v>Egreso</v>
      </c>
      <c r="AC110" s="702" t="str">
        <f>IFERROR(INDEX(Tabla9[],MATCH(Producción_Agricola[[#This Row],[Movimiento]],Tabla9[Movimientos],0),2),0)</f>
        <v>Si</v>
      </c>
      <c r="AD110" s="703" t="str">
        <f>IFERROR(INDEX(Tabla9[],MATCH(Producción_Agricola[[#This Row],[Movimiento]],Tabla9[Movimientos],0),3),0)</f>
        <v>(-)</v>
      </c>
      <c r="AE110" s="698">
        <f>IF(Producción_Agricola[[#This Row],[Fecha Económico]]=0,0,MONTH(Producción_Agricola[[#This Row],[Fecha Económico]]))</f>
        <v>11</v>
      </c>
      <c r="AF110" s="699">
        <f>IF(Producción_Agricola[[#This Row],[Fecha Económico]]=0,0,YEAR(Producción_Agricola[[#This Row],[Fecha Económico]]))</f>
        <v>2018</v>
      </c>
      <c r="AG110" s="704">
        <f>SUMPRODUCT((Producción_Agricola[[#This Row],[Mes Económico]]=Tipo_Cambio[Mes])*(Producción_Agricola[[#This Row],[Año Económico]]=Tipo_Cambio[Año])*(Tipo_Cambio[$/U$S]))</f>
        <v>22.893288219999999</v>
      </c>
      <c r="AH110" s="703">
        <f>SUMPRODUCT((Producción_Agricola[[#This Row],[Mes Económico]]=Tipo_Cambio[Mes])*(Producción_Agricola[[#This Row],[Año Económico]]=Tipo_Cambio[Año])*(Tipo_Cambio[Actualización]))</f>
        <v>1.08243216</v>
      </c>
      <c r="AI110" s="705">
        <f>IF(ISNUMBER(Producción_Agricola[[#This Row],[Fecha Financiero]])=TRUE,MONTH(Producción_Agricola[[#This Row],[Fecha Financiero]]),0)</f>
        <v>5</v>
      </c>
      <c r="AJ110" s="705">
        <f>IF(ISNUMBER(Producción_Agricola[[#This Row],[Fecha Financiero]])=TRUE,YEAR(Producción_Agricola[[#This Row],[Fecha Financiero]]),0)</f>
        <v>2019</v>
      </c>
      <c r="AK110" s="706">
        <f>SUMPRODUCT((Producción_Agricola[[#This Row],[Mes Financiero]]=Tipo_Cambio[Mes])*(Producción_Agricola[[#This Row],[Año Financiero]]=Tipo_Cambio[Año])*(Tipo_Cambio[$/U$S]))</f>
        <v>24.301686759046497</v>
      </c>
      <c r="AL110" s="706">
        <f>SUMPRODUCT((Producción_Agricola[[#This Row],[Mes Financiero]]=Tipo_Cambio[Mes])*(Producción_Agricola[[#This Row],[Año Financiero]]=Tipo_Cambio[Año])*(Tipo_Cambio[Actualización]))</f>
        <v>1.2189944199947573</v>
      </c>
      <c r="AM110" s="702">
        <f>IFERROR(Producción_Agricola[[#This Row],[Económico $Corrientes]]/Producción_Agricola[[#This Row],[Superficie]],0)</f>
        <v>0</v>
      </c>
      <c r="AN110" s="706">
        <f>IFERROR(Producción_Agricola[[#This Row],[Económico $Constantes]]/Producción_Agricola[[#This Row],[Superficie]],0)</f>
        <v>0</v>
      </c>
      <c r="AO110" s="706">
        <f>IFERROR(Producción_Agricola[[#This Row],[Económico U$S Dólares]]/Producción_Agricola[[#This Row],[Superficie]],0)</f>
        <v>0</v>
      </c>
      <c r="AP110" s="707" t="str">
        <f>IF(Económico!$F$4=0,0,Producción_Agricola[[#This Row],[Centro de Costo]])</f>
        <v>Campo 1</v>
      </c>
      <c r="AQ110" s="512" t="s">
        <v>381</v>
      </c>
      <c r="AR110" s="513"/>
      <c r="AS110"/>
    </row>
    <row r="111" spans="4:45" x14ac:dyDescent="0.25">
      <c r="D111" s="478">
        <f t="shared" si="27"/>
        <v>43426</v>
      </c>
      <c r="E111" s="478">
        <v>43586</v>
      </c>
      <c r="F111" s="668" t="str">
        <f t="shared" si="21"/>
        <v>2018-2019</v>
      </c>
      <c r="G111" s="669" t="str">
        <f t="shared" si="22"/>
        <v>Campo 1</v>
      </c>
      <c r="H111" s="669" t="str">
        <f t="shared" si="20"/>
        <v>Girasol</v>
      </c>
      <c r="I111" s="670" t="str">
        <f>IFERROR(INDEX(Tabla8[],MATCH(Producción_Agricola[[#This Row],[Unidad de Negocio]],Tabla8[Unidades de Negocio],0),2),0)</f>
        <v>Girasol</v>
      </c>
      <c r="J111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11" s="481" t="s">
        <v>24</v>
      </c>
      <c r="L111" s="482" t="s">
        <v>363</v>
      </c>
      <c r="M111" s="483">
        <v>0</v>
      </c>
      <c r="N111" s="484" t="s">
        <v>387</v>
      </c>
      <c r="O111" s="690">
        <f>Producción_Agricola[[#This Row],[Superficie]]*Producción_Agricola[[#This Row],[Cantidad]]</f>
        <v>0</v>
      </c>
      <c r="P111" s="482">
        <v>18</v>
      </c>
      <c r="Q111" s="484" t="s">
        <v>3</v>
      </c>
      <c r="R111" s="485">
        <v>0.06</v>
      </c>
      <c r="S111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11" s="695">
        <f>IFERROR(Producción_Agricola[[#This Row],[Económico $Corrientes]]/Producción_Agricola[[#This Row],[Indexación Económico]],0)</f>
        <v>0</v>
      </c>
      <c r="U11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1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11" s="695">
        <f>IFERROR(Producción_Agricola[[#This Row],[Financiero $Corrientes]]/Producción_Agricola[[#This Row],[Indexación Financiero]],0)</f>
        <v>0</v>
      </c>
      <c r="X11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1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11" s="699">
        <f>IFERROR(Producción_Agricola[[#This Row],[Intereses $Corrientes]]/Producción_Agricola[[#This Row],[Indexación Financiero]],0)</f>
        <v>0</v>
      </c>
      <c r="AA11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11" s="701" t="str">
        <f>IFERROR(INDEX(Produccion_Agricola_Cuentas[],MATCH(Producción_Agricola[[#This Row],[Cuenta Contable]],Produccion_Agricola_Cuentas[Cuenta Contable],0),2),0)</f>
        <v>Egreso</v>
      </c>
      <c r="AC111" s="702" t="str">
        <f>IFERROR(INDEX(Tabla9[],MATCH(Producción_Agricola[[#This Row],[Movimiento]],Tabla9[Movimientos],0),2),0)</f>
        <v>Si</v>
      </c>
      <c r="AD111" s="703" t="str">
        <f>IFERROR(INDEX(Tabla9[],MATCH(Producción_Agricola[[#This Row],[Movimiento]],Tabla9[Movimientos],0),3),0)</f>
        <v>(-)</v>
      </c>
      <c r="AE111" s="698">
        <f>IF(Producción_Agricola[[#This Row],[Fecha Económico]]=0,0,MONTH(Producción_Agricola[[#This Row],[Fecha Económico]]))</f>
        <v>11</v>
      </c>
      <c r="AF111" s="699">
        <f>IF(Producción_Agricola[[#This Row],[Fecha Económico]]=0,0,YEAR(Producción_Agricola[[#This Row],[Fecha Económico]]))</f>
        <v>2018</v>
      </c>
      <c r="AG111" s="704">
        <f>SUMPRODUCT((Producción_Agricola[[#This Row],[Mes Económico]]=Tipo_Cambio[Mes])*(Producción_Agricola[[#This Row],[Año Económico]]=Tipo_Cambio[Año])*(Tipo_Cambio[$/U$S]))</f>
        <v>22.893288219999999</v>
      </c>
      <c r="AH111" s="703">
        <f>SUMPRODUCT((Producción_Agricola[[#This Row],[Mes Económico]]=Tipo_Cambio[Mes])*(Producción_Agricola[[#This Row],[Año Económico]]=Tipo_Cambio[Año])*(Tipo_Cambio[Actualización]))</f>
        <v>1.08243216</v>
      </c>
      <c r="AI111" s="705">
        <f>IF(ISNUMBER(Producción_Agricola[[#This Row],[Fecha Financiero]])=TRUE,MONTH(Producción_Agricola[[#This Row],[Fecha Financiero]]),0)</f>
        <v>5</v>
      </c>
      <c r="AJ111" s="705">
        <f>IF(ISNUMBER(Producción_Agricola[[#This Row],[Fecha Financiero]])=TRUE,YEAR(Producción_Agricola[[#This Row],[Fecha Financiero]]),0)</f>
        <v>2019</v>
      </c>
      <c r="AK111" s="706">
        <f>SUMPRODUCT((Producción_Agricola[[#This Row],[Mes Financiero]]=Tipo_Cambio[Mes])*(Producción_Agricola[[#This Row],[Año Financiero]]=Tipo_Cambio[Año])*(Tipo_Cambio[$/U$S]))</f>
        <v>24.301686759046497</v>
      </c>
      <c r="AL111" s="706">
        <f>SUMPRODUCT((Producción_Agricola[[#This Row],[Mes Financiero]]=Tipo_Cambio[Mes])*(Producción_Agricola[[#This Row],[Año Financiero]]=Tipo_Cambio[Año])*(Tipo_Cambio[Actualización]))</f>
        <v>1.2189944199947573</v>
      </c>
      <c r="AM111" s="702">
        <f>IFERROR(Producción_Agricola[[#This Row],[Económico $Corrientes]]/Producción_Agricola[[#This Row],[Superficie]],0)</f>
        <v>0</v>
      </c>
      <c r="AN111" s="706">
        <f>IFERROR(Producción_Agricola[[#This Row],[Económico $Constantes]]/Producción_Agricola[[#This Row],[Superficie]],0)</f>
        <v>0</v>
      </c>
      <c r="AO111" s="706">
        <f>IFERROR(Producción_Agricola[[#This Row],[Económico U$S Dólares]]/Producción_Agricola[[#This Row],[Superficie]],0)</f>
        <v>0</v>
      </c>
      <c r="AP111" s="707" t="str">
        <f>IF(Económico!$F$4=0,0,Producción_Agricola[[#This Row],[Centro de Costo]])</f>
        <v>Campo 1</v>
      </c>
      <c r="AQ111" s="512" t="s">
        <v>381</v>
      </c>
      <c r="AR111" s="513"/>
      <c r="AS111"/>
    </row>
    <row r="112" spans="4:45" x14ac:dyDescent="0.25">
      <c r="D112" s="478">
        <f>D108+80</f>
        <v>43506</v>
      </c>
      <c r="E112" s="478">
        <f>Producción_Agricola[[#This Row],[Fecha Económico]]+30</f>
        <v>43536</v>
      </c>
      <c r="F112" s="668" t="str">
        <f t="shared" si="21"/>
        <v>2018-2019</v>
      </c>
      <c r="G112" s="669" t="str">
        <f t="shared" si="22"/>
        <v>Campo 1</v>
      </c>
      <c r="H112" s="669" t="str">
        <f t="shared" si="20"/>
        <v>Girasol</v>
      </c>
      <c r="I112" s="670" t="str">
        <f>IFERROR(INDEX(Tabla8[],MATCH(Producción_Agricola[[#This Row],[Unidad de Negocio]],Tabla8[Unidades de Negocio],0),2),0)</f>
        <v>Girasol</v>
      </c>
      <c r="J112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12" s="481" t="s">
        <v>25</v>
      </c>
      <c r="L112" s="482" t="s">
        <v>385</v>
      </c>
      <c r="M112" s="483">
        <v>0</v>
      </c>
      <c r="N112" s="484" t="s">
        <v>389</v>
      </c>
      <c r="O112" s="690">
        <f>Producción_Agricola[[#This Row],[Superficie]]*Producción_Agricola[[#This Row],[Cantidad]]</f>
        <v>0</v>
      </c>
      <c r="P112" s="482">
        <v>11</v>
      </c>
      <c r="Q112" s="484" t="s">
        <v>3</v>
      </c>
      <c r="R112" s="485">
        <v>0</v>
      </c>
      <c r="S112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12" s="695">
        <f>IFERROR(Producción_Agricola[[#This Row],[Económico $Corrientes]]/Producción_Agricola[[#This Row],[Indexación Económico]],0)</f>
        <v>0</v>
      </c>
      <c r="U112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1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12" s="695">
        <f>IFERROR(Producción_Agricola[[#This Row],[Financiero $Corrientes]]/Producción_Agricola[[#This Row],[Indexación Financiero]],0)</f>
        <v>0</v>
      </c>
      <c r="X11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1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12" s="699">
        <f>IFERROR(Producción_Agricola[[#This Row],[Intereses $Corrientes]]/Producción_Agricola[[#This Row],[Indexación Financiero]],0)</f>
        <v>0</v>
      </c>
      <c r="AA11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12" s="701" t="str">
        <f>IFERROR(INDEX(Produccion_Agricola_Cuentas[],MATCH(Producción_Agricola[[#This Row],[Cuenta Contable]],Produccion_Agricola_Cuentas[Cuenta Contable],0),2),0)</f>
        <v>Egreso</v>
      </c>
      <c r="AC112" s="702" t="str">
        <f>IFERROR(INDEX(Tabla9[],MATCH(Producción_Agricola[[#This Row],[Movimiento]],Tabla9[Movimientos],0),2),0)</f>
        <v>Si</v>
      </c>
      <c r="AD112" s="703" t="str">
        <f>IFERROR(INDEX(Tabla9[],MATCH(Producción_Agricola[[#This Row],[Movimiento]],Tabla9[Movimientos],0),3),0)</f>
        <v>(-)</v>
      </c>
      <c r="AE112" s="698">
        <f>IF(Producción_Agricola[[#This Row],[Fecha Económico]]=0,0,MONTH(Producción_Agricola[[#This Row],[Fecha Económico]]))</f>
        <v>2</v>
      </c>
      <c r="AF112" s="699">
        <f>IF(Producción_Agricola[[#This Row],[Fecha Económico]]=0,0,YEAR(Producción_Agricola[[#This Row],[Fecha Económico]]))</f>
        <v>2019</v>
      </c>
      <c r="AG112" s="704">
        <f>SUMPRODUCT((Producción_Agricola[[#This Row],[Mes Económico]]=Tipo_Cambio[Mes])*(Producción_Agricola[[#This Row],[Año Económico]]=Tipo_Cambio[Año])*(Tipo_Cambio[$/U$S]))</f>
        <v>23.586977746354219</v>
      </c>
      <c r="AH112" s="703">
        <f>SUMPRODUCT((Producción_Agricola[[#This Row],[Mes Económico]]=Tipo_Cambio[Mes])*(Producción_Agricola[[#This Row],[Año Económico]]=Tipo_Cambio[Año])*(Tipo_Cambio[Actualización]))</f>
        <v>1.14868566764928</v>
      </c>
      <c r="AI112" s="705">
        <f>IF(ISNUMBER(Producción_Agricola[[#This Row],[Fecha Financiero]])=TRUE,MONTH(Producción_Agricola[[#This Row],[Fecha Financiero]]),0)</f>
        <v>3</v>
      </c>
      <c r="AJ112" s="705">
        <f>IF(ISNUMBER(Producción_Agricola[[#This Row],[Fecha Financiero]])=TRUE,YEAR(Producción_Agricola[[#This Row],[Fecha Financiero]]),0)</f>
        <v>2019</v>
      </c>
      <c r="AK112" s="706">
        <f>SUMPRODUCT((Producción_Agricola[[#This Row],[Mes Financiero]]=Tipo_Cambio[Mes])*(Producción_Agricola[[#This Row],[Año Financiero]]=Tipo_Cambio[Año])*(Tipo_Cambio[$/U$S]))</f>
        <v>23.82284752381776</v>
      </c>
      <c r="AL112" s="706">
        <f>SUMPRODUCT((Producción_Agricola[[#This Row],[Mes Financiero]]=Tipo_Cambio[Mes])*(Producción_Agricola[[#This Row],[Año Financiero]]=Tipo_Cambio[Año])*(Tipo_Cambio[Actualización]))</f>
        <v>1.1716593810022657</v>
      </c>
      <c r="AM112" s="702">
        <f>IFERROR(Producción_Agricola[[#This Row],[Económico $Corrientes]]/Producción_Agricola[[#This Row],[Superficie]],0)</f>
        <v>0</v>
      </c>
      <c r="AN112" s="706">
        <f>IFERROR(Producción_Agricola[[#This Row],[Económico $Constantes]]/Producción_Agricola[[#This Row],[Superficie]],0)</f>
        <v>0</v>
      </c>
      <c r="AO112" s="706">
        <f>IFERROR(Producción_Agricola[[#This Row],[Económico U$S Dólares]]/Producción_Agricola[[#This Row],[Superficie]],0)</f>
        <v>0</v>
      </c>
      <c r="AP112" s="707" t="str">
        <f>IF(Económico!$F$4=0,0,Producción_Agricola[[#This Row],[Centro de Costo]])</f>
        <v>Campo 1</v>
      </c>
      <c r="AQ112" s="512" t="s">
        <v>366</v>
      </c>
      <c r="AR112" s="513"/>
      <c r="AS112"/>
    </row>
    <row r="113" spans="1:45" x14ac:dyDescent="0.25">
      <c r="D113" s="478">
        <f>D112</f>
        <v>43506</v>
      </c>
      <c r="E113" s="478">
        <v>43586</v>
      </c>
      <c r="F113" s="668" t="str">
        <f t="shared" si="21"/>
        <v>2018-2019</v>
      </c>
      <c r="G113" s="669" t="str">
        <f t="shared" si="22"/>
        <v>Campo 1</v>
      </c>
      <c r="H113" s="669" t="str">
        <f t="shared" si="20"/>
        <v>Girasol</v>
      </c>
      <c r="I113" s="670" t="str">
        <f>IFERROR(INDEX(Tabla8[],MATCH(Producción_Agricola[[#This Row],[Unidad de Negocio]],Tabla8[Unidades de Negocio],0),2),0)</f>
        <v>Girasol</v>
      </c>
      <c r="J113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13" s="481" t="s">
        <v>23</v>
      </c>
      <c r="L113" s="482" t="s">
        <v>366</v>
      </c>
      <c r="M113" s="483">
        <v>0</v>
      </c>
      <c r="N113" s="484" t="s">
        <v>387</v>
      </c>
      <c r="O113" s="690">
        <f>Producción_Agricola[[#This Row],[Superficie]]*Producción_Agricola[[#This Row],[Cantidad]]</f>
        <v>0</v>
      </c>
      <c r="P113" s="482">
        <v>60</v>
      </c>
      <c r="Q113" s="484" t="s">
        <v>3</v>
      </c>
      <c r="R113" s="485">
        <v>0.06</v>
      </c>
      <c r="S113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13" s="695">
        <f>IFERROR(Producción_Agricola[[#This Row],[Económico $Corrientes]]/Producción_Agricola[[#This Row],[Indexación Económico]],0)</f>
        <v>0</v>
      </c>
      <c r="U113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1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13" s="695">
        <f>IFERROR(Producción_Agricola[[#This Row],[Financiero $Corrientes]]/Producción_Agricola[[#This Row],[Indexación Financiero]],0)</f>
        <v>0</v>
      </c>
      <c r="X11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1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13" s="699">
        <f>IFERROR(Producción_Agricola[[#This Row],[Intereses $Corrientes]]/Producción_Agricola[[#This Row],[Indexación Financiero]],0)</f>
        <v>0</v>
      </c>
      <c r="AA11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13" s="701" t="str">
        <f>IFERROR(INDEX(Produccion_Agricola_Cuentas[],MATCH(Producción_Agricola[[#This Row],[Cuenta Contable]],Produccion_Agricola_Cuentas[Cuenta Contable],0),2),0)</f>
        <v>Egreso</v>
      </c>
      <c r="AC113" s="702" t="str">
        <f>IFERROR(INDEX(Tabla9[],MATCH(Producción_Agricola[[#This Row],[Movimiento]],Tabla9[Movimientos],0),2),0)</f>
        <v>Si</v>
      </c>
      <c r="AD113" s="703" t="str">
        <f>IFERROR(INDEX(Tabla9[],MATCH(Producción_Agricola[[#This Row],[Movimiento]],Tabla9[Movimientos],0),3),0)</f>
        <v>(-)</v>
      </c>
      <c r="AE113" s="698">
        <f>IF(Producción_Agricola[[#This Row],[Fecha Económico]]=0,0,MONTH(Producción_Agricola[[#This Row],[Fecha Económico]]))</f>
        <v>2</v>
      </c>
      <c r="AF113" s="699">
        <f>IF(Producción_Agricola[[#This Row],[Fecha Económico]]=0,0,YEAR(Producción_Agricola[[#This Row],[Fecha Económico]]))</f>
        <v>2019</v>
      </c>
      <c r="AG113" s="704">
        <f>SUMPRODUCT((Producción_Agricola[[#This Row],[Mes Económico]]=Tipo_Cambio[Mes])*(Producción_Agricola[[#This Row],[Año Económico]]=Tipo_Cambio[Año])*(Tipo_Cambio[$/U$S]))</f>
        <v>23.586977746354219</v>
      </c>
      <c r="AH113" s="703">
        <f>SUMPRODUCT((Producción_Agricola[[#This Row],[Mes Económico]]=Tipo_Cambio[Mes])*(Producción_Agricola[[#This Row],[Año Económico]]=Tipo_Cambio[Año])*(Tipo_Cambio[Actualización]))</f>
        <v>1.14868566764928</v>
      </c>
      <c r="AI113" s="705">
        <f>IF(ISNUMBER(Producción_Agricola[[#This Row],[Fecha Financiero]])=TRUE,MONTH(Producción_Agricola[[#This Row],[Fecha Financiero]]),0)</f>
        <v>5</v>
      </c>
      <c r="AJ113" s="705">
        <f>IF(ISNUMBER(Producción_Agricola[[#This Row],[Fecha Financiero]])=TRUE,YEAR(Producción_Agricola[[#This Row],[Fecha Financiero]]),0)</f>
        <v>2019</v>
      </c>
      <c r="AK113" s="706">
        <f>SUMPRODUCT((Producción_Agricola[[#This Row],[Mes Financiero]]=Tipo_Cambio[Mes])*(Producción_Agricola[[#This Row],[Año Financiero]]=Tipo_Cambio[Año])*(Tipo_Cambio[$/U$S]))</f>
        <v>24.301686759046497</v>
      </c>
      <c r="AL113" s="706">
        <f>SUMPRODUCT((Producción_Agricola[[#This Row],[Mes Financiero]]=Tipo_Cambio[Mes])*(Producción_Agricola[[#This Row],[Año Financiero]]=Tipo_Cambio[Año])*(Tipo_Cambio[Actualización]))</f>
        <v>1.2189944199947573</v>
      </c>
      <c r="AM113" s="702">
        <f>IFERROR(Producción_Agricola[[#This Row],[Económico $Corrientes]]/Producción_Agricola[[#This Row],[Superficie]],0)</f>
        <v>0</v>
      </c>
      <c r="AN113" s="706">
        <f>IFERROR(Producción_Agricola[[#This Row],[Económico $Constantes]]/Producción_Agricola[[#This Row],[Superficie]],0)</f>
        <v>0</v>
      </c>
      <c r="AO113" s="706">
        <f>IFERROR(Producción_Agricola[[#This Row],[Económico U$S Dólares]]/Producción_Agricola[[#This Row],[Superficie]],0)</f>
        <v>0</v>
      </c>
      <c r="AP113" s="707" t="str">
        <f>IF(Económico!$F$4=0,0,Producción_Agricola[[#This Row],[Centro de Costo]])</f>
        <v>Campo 1</v>
      </c>
      <c r="AQ113" s="512" t="s">
        <v>366</v>
      </c>
      <c r="AR113" s="513"/>
      <c r="AS113"/>
    </row>
    <row r="114" spans="1:45" x14ac:dyDescent="0.25">
      <c r="D114" s="478">
        <f t="shared" ref="D114:D115" si="28">D113</f>
        <v>43506</v>
      </c>
      <c r="E114" s="478">
        <v>43586</v>
      </c>
      <c r="F114" s="668" t="str">
        <f t="shared" si="21"/>
        <v>2018-2019</v>
      </c>
      <c r="G114" s="669" t="str">
        <f t="shared" si="22"/>
        <v>Campo 1</v>
      </c>
      <c r="H114" s="669" t="str">
        <f t="shared" si="20"/>
        <v>Girasol</v>
      </c>
      <c r="I114" s="670" t="str">
        <f>IFERROR(INDEX(Tabla8[],MATCH(Producción_Agricola[[#This Row],[Unidad de Negocio]],Tabla8[Unidades de Negocio],0),2),0)</f>
        <v>Girasol</v>
      </c>
      <c r="J114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14" s="481" t="s">
        <v>22</v>
      </c>
      <c r="L114" s="482" t="s">
        <v>365</v>
      </c>
      <c r="M114" s="483">
        <v>0</v>
      </c>
      <c r="N114" s="484" t="s">
        <v>387</v>
      </c>
      <c r="O114" s="690">
        <f>Producción_Agricola[[#This Row],[Superficie]]*Producción_Agricola[[#This Row],[Cantidad]]</f>
        <v>0</v>
      </c>
      <c r="P114" s="482">
        <v>10</v>
      </c>
      <c r="Q114" s="484" t="s">
        <v>3</v>
      </c>
      <c r="R114" s="485">
        <v>0.06</v>
      </c>
      <c r="S114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14" s="695">
        <f>IFERROR(Producción_Agricola[[#This Row],[Económico $Corrientes]]/Producción_Agricola[[#This Row],[Indexación Económico]],0)</f>
        <v>0</v>
      </c>
      <c r="U114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1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14" s="695">
        <f>IFERROR(Producción_Agricola[[#This Row],[Financiero $Corrientes]]/Producción_Agricola[[#This Row],[Indexación Financiero]],0)</f>
        <v>0</v>
      </c>
      <c r="X11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1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14" s="699">
        <f>IFERROR(Producción_Agricola[[#This Row],[Intereses $Corrientes]]/Producción_Agricola[[#This Row],[Indexación Financiero]],0)</f>
        <v>0</v>
      </c>
      <c r="AA11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14" s="701" t="str">
        <f>IFERROR(INDEX(Produccion_Agricola_Cuentas[],MATCH(Producción_Agricola[[#This Row],[Cuenta Contable]],Produccion_Agricola_Cuentas[Cuenta Contable],0),2),0)</f>
        <v>Egreso</v>
      </c>
      <c r="AC114" s="702" t="str">
        <f>IFERROR(INDEX(Tabla9[],MATCH(Producción_Agricola[[#This Row],[Movimiento]],Tabla9[Movimientos],0),2),0)</f>
        <v>Si</v>
      </c>
      <c r="AD114" s="703" t="str">
        <f>IFERROR(INDEX(Tabla9[],MATCH(Producción_Agricola[[#This Row],[Movimiento]],Tabla9[Movimientos],0),3),0)</f>
        <v>(-)</v>
      </c>
      <c r="AE114" s="698">
        <f>IF(Producción_Agricola[[#This Row],[Fecha Económico]]=0,0,MONTH(Producción_Agricola[[#This Row],[Fecha Económico]]))</f>
        <v>2</v>
      </c>
      <c r="AF114" s="699">
        <f>IF(Producción_Agricola[[#This Row],[Fecha Económico]]=0,0,YEAR(Producción_Agricola[[#This Row],[Fecha Económico]]))</f>
        <v>2019</v>
      </c>
      <c r="AG114" s="704">
        <f>SUMPRODUCT((Producción_Agricola[[#This Row],[Mes Económico]]=Tipo_Cambio[Mes])*(Producción_Agricola[[#This Row],[Año Económico]]=Tipo_Cambio[Año])*(Tipo_Cambio[$/U$S]))</f>
        <v>23.586977746354219</v>
      </c>
      <c r="AH114" s="703">
        <f>SUMPRODUCT((Producción_Agricola[[#This Row],[Mes Económico]]=Tipo_Cambio[Mes])*(Producción_Agricola[[#This Row],[Año Económico]]=Tipo_Cambio[Año])*(Tipo_Cambio[Actualización]))</f>
        <v>1.14868566764928</v>
      </c>
      <c r="AI114" s="705">
        <f>IF(ISNUMBER(Producción_Agricola[[#This Row],[Fecha Financiero]])=TRUE,MONTH(Producción_Agricola[[#This Row],[Fecha Financiero]]),0)</f>
        <v>5</v>
      </c>
      <c r="AJ114" s="705">
        <f>IF(ISNUMBER(Producción_Agricola[[#This Row],[Fecha Financiero]])=TRUE,YEAR(Producción_Agricola[[#This Row],[Fecha Financiero]]),0)</f>
        <v>2019</v>
      </c>
      <c r="AK114" s="706">
        <f>SUMPRODUCT((Producción_Agricola[[#This Row],[Mes Financiero]]=Tipo_Cambio[Mes])*(Producción_Agricola[[#This Row],[Año Financiero]]=Tipo_Cambio[Año])*(Tipo_Cambio[$/U$S]))</f>
        <v>24.301686759046497</v>
      </c>
      <c r="AL114" s="706">
        <f>SUMPRODUCT((Producción_Agricola[[#This Row],[Mes Financiero]]=Tipo_Cambio[Mes])*(Producción_Agricola[[#This Row],[Año Financiero]]=Tipo_Cambio[Año])*(Tipo_Cambio[Actualización]))</f>
        <v>1.2189944199947573</v>
      </c>
      <c r="AM114" s="702">
        <f>IFERROR(Producción_Agricola[[#This Row],[Económico $Corrientes]]/Producción_Agricola[[#This Row],[Superficie]],0)</f>
        <v>0</v>
      </c>
      <c r="AN114" s="706">
        <f>IFERROR(Producción_Agricola[[#This Row],[Económico $Constantes]]/Producción_Agricola[[#This Row],[Superficie]],0)</f>
        <v>0</v>
      </c>
      <c r="AO114" s="706">
        <f>IFERROR(Producción_Agricola[[#This Row],[Económico U$S Dólares]]/Producción_Agricola[[#This Row],[Superficie]],0)</f>
        <v>0</v>
      </c>
      <c r="AP114" s="707" t="str">
        <f>IF(Económico!$F$4=0,0,Producción_Agricola[[#This Row],[Centro de Costo]])</f>
        <v>Campo 1</v>
      </c>
      <c r="AQ114" s="512" t="s">
        <v>366</v>
      </c>
      <c r="AR114" s="513"/>
      <c r="AS114"/>
    </row>
    <row r="115" spans="1:45" s="19" customFormat="1" x14ac:dyDescent="0.25">
      <c r="A115" s="489"/>
      <c r="B115" s="489"/>
      <c r="C115" s="489"/>
      <c r="D115" s="478">
        <f t="shared" si="28"/>
        <v>43506</v>
      </c>
      <c r="E115" s="478">
        <v>43586</v>
      </c>
      <c r="F115" s="668" t="str">
        <f t="shared" si="21"/>
        <v>2018-2019</v>
      </c>
      <c r="G115" s="673" t="str">
        <f t="shared" si="22"/>
        <v>Campo 1</v>
      </c>
      <c r="H115" s="673" t="str">
        <f t="shared" si="20"/>
        <v>Girasol</v>
      </c>
      <c r="I115" s="674" t="str">
        <f>IFERROR(INDEX(Tabla8[],MATCH(Producción_Agricola[[#This Row],[Unidad de Negocio]],Tabla8[Unidades de Negocio],0),2),0)</f>
        <v>Girasol</v>
      </c>
      <c r="J115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15" s="491" t="s">
        <v>24</v>
      </c>
      <c r="L115" s="482" t="s">
        <v>363</v>
      </c>
      <c r="M115" s="483">
        <v>0</v>
      </c>
      <c r="N115" s="484" t="s">
        <v>387</v>
      </c>
      <c r="O115" s="690">
        <f>Producción_Agricola[[#This Row],[Superficie]]*Producción_Agricola[[#This Row],[Cantidad]]</f>
        <v>0</v>
      </c>
      <c r="P115" s="482">
        <v>18</v>
      </c>
      <c r="Q115" s="484" t="s">
        <v>3</v>
      </c>
      <c r="R115" s="485">
        <v>0.06</v>
      </c>
      <c r="S115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15" s="695">
        <f>IFERROR(Producción_Agricola[[#This Row],[Económico $Corrientes]]/Producción_Agricola[[#This Row],[Indexación Económico]],0)</f>
        <v>0</v>
      </c>
      <c r="U115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1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15" s="695">
        <f>IFERROR(Producción_Agricola[[#This Row],[Financiero $Corrientes]]/Producción_Agricola[[#This Row],[Indexación Financiero]],0)</f>
        <v>0</v>
      </c>
      <c r="X11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1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15" s="699">
        <f>IFERROR(Producción_Agricola[[#This Row],[Intereses $Corrientes]]/Producción_Agricola[[#This Row],[Indexación Financiero]],0)</f>
        <v>0</v>
      </c>
      <c r="AA11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15" s="701" t="str">
        <f>IFERROR(INDEX(Produccion_Agricola_Cuentas[],MATCH(Producción_Agricola[[#This Row],[Cuenta Contable]],Produccion_Agricola_Cuentas[Cuenta Contable],0),2),0)</f>
        <v>Egreso</v>
      </c>
      <c r="AC115" s="702" t="str">
        <f>IFERROR(INDEX(Tabla9[],MATCH(Producción_Agricola[[#This Row],[Movimiento]],Tabla9[Movimientos],0),2),0)</f>
        <v>Si</v>
      </c>
      <c r="AD115" s="703" t="str">
        <f>IFERROR(INDEX(Tabla9[],MATCH(Producción_Agricola[[#This Row],[Movimiento]],Tabla9[Movimientos],0),3),0)</f>
        <v>(-)</v>
      </c>
      <c r="AE115" s="698">
        <f>IF(Producción_Agricola[[#This Row],[Fecha Económico]]=0,0,MONTH(Producción_Agricola[[#This Row],[Fecha Económico]]))</f>
        <v>2</v>
      </c>
      <c r="AF115" s="699">
        <f>IF(Producción_Agricola[[#This Row],[Fecha Económico]]=0,0,YEAR(Producción_Agricola[[#This Row],[Fecha Económico]]))</f>
        <v>2019</v>
      </c>
      <c r="AG115" s="704">
        <f>SUMPRODUCT((Producción_Agricola[[#This Row],[Mes Económico]]=Tipo_Cambio[Mes])*(Producción_Agricola[[#This Row],[Año Económico]]=Tipo_Cambio[Año])*(Tipo_Cambio[$/U$S]))</f>
        <v>23.586977746354219</v>
      </c>
      <c r="AH115" s="703">
        <f>SUMPRODUCT((Producción_Agricola[[#This Row],[Mes Económico]]=Tipo_Cambio[Mes])*(Producción_Agricola[[#This Row],[Año Económico]]=Tipo_Cambio[Año])*(Tipo_Cambio[Actualización]))</f>
        <v>1.14868566764928</v>
      </c>
      <c r="AI115" s="699">
        <f>IF(ISNUMBER(Producción_Agricola[[#This Row],[Fecha Financiero]])=TRUE,MONTH(Producción_Agricola[[#This Row],[Fecha Financiero]]),0)</f>
        <v>5</v>
      </c>
      <c r="AJ115" s="699">
        <f>IF(ISNUMBER(Producción_Agricola[[#This Row],[Fecha Financiero]])=TRUE,YEAR(Producción_Agricola[[#This Row],[Fecha Financiero]]),0)</f>
        <v>2019</v>
      </c>
      <c r="AK115" s="704">
        <f>SUMPRODUCT((Producción_Agricola[[#This Row],[Mes Financiero]]=Tipo_Cambio[Mes])*(Producción_Agricola[[#This Row],[Año Financiero]]=Tipo_Cambio[Año])*(Tipo_Cambio[$/U$S]))</f>
        <v>24.301686759046497</v>
      </c>
      <c r="AL115" s="704">
        <f>SUMPRODUCT((Producción_Agricola[[#This Row],[Mes Financiero]]=Tipo_Cambio[Mes])*(Producción_Agricola[[#This Row],[Año Financiero]]=Tipo_Cambio[Año])*(Tipo_Cambio[Actualización]))</f>
        <v>1.2189944199947573</v>
      </c>
      <c r="AM115" s="702">
        <f>IFERROR(Producción_Agricola[[#This Row],[Económico $Corrientes]]/Producción_Agricola[[#This Row],[Superficie]],0)</f>
        <v>0</v>
      </c>
      <c r="AN115" s="704">
        <f>IFERROR(Producción_Agricola[[#This Row],[Económico $Constantes]]/Producción_Agricola[[#This Row],[Superficie]],0)</f>
        <v>0</v>
      </c>
      <c r="AO115" s="704">
        <f>IFERROR(Producción_Agricola[[#This Row],[Económico U$S Dólares]]/Producción_Agricola[[#This Row],[Superficie]],0)</f>
        <v>0</v>
      </c>
      <c r="AP115" s="707" t="str">
        <f>IF(Económico!$F$4=0,0,Producción_Agricola[[#This Row],[Centro de Costo]])</f>
        <v>Campo 1</v>
      </c>
      <c r="AQ115" s="512" t="s">
        <v>366</v>
      </c>
      <c r="AR115" s="514"/>
    </row>
    <row r="116" spans="1:45" s="19" customFormat="1" x14ac:dyDescent="0.25">
      <c r="A116" s="489"/>
      <c r="B116" s="489"/>
      <c r="C116" s="489"/>
      <c r="D116" s="478">
        <f>D85-150</f>
        <v>43436</v>
      </c>
      <c r="E116" s="478">
        <f>Producción_Agricola[[#This Row],[Fecha Económico]]</f>
        <v>43436</v>
      </c>
      <c r="F116" s="668" t="str">
        <f t="shared" si="21"/>
        <v>2018-2019</v>
      </c>
      <c r="G116" s="673" t="str">
        <f t="shared" si="22"/>
        <v>Campo 1</v>
      </c>
      <c r="H116" s="673" t="str">
        <f t="shared" si="20"/>
        <v>Girasol</v>
      </c>
      <c r="I116" s="675" t="str">
        <f>IFERROR(INDEX(Tabla8[],MATCH(Producción_Agricola[[#This Row],[Unidad de Negocio]],Tabla8[Unidades de Negocio],0),2),0)</f>
        <v>Girasol</v>
      </c>
      <c r="J11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16" s="491" t="s">
        <v>53</v>
      </c>
      <c r="L116" s="482" t="s">
        <v>53</v>
      </c>
      <c r="M116" s="483">
        <v>0</v>
      </c>
      <c r="N116" s="484" t="s">
        <v>389</v>
      </c>
      <c r="O116" s="690">
        <f>Producción_Agricola[[#This Row],[Superficie]]*Producción_Agricola[[#This Row],[Cantidad]]</f>
        <v>0</v>
      </c>
      <c r="P116" s="482">
        <v>60</v>
      </c>
      <c r="Q116" s="484" t="s">
        <v>3</v>
      </c>
      <c r="R116" s="485"/>
      <c r="S11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16" s="695">
        <f>IFERROR(Producción_Agricola[[#This Row],[Económico $Corrientes]]/Producción_Agricola[[#This Row],[Indexación Económico]],0)</f>
        <v>0</v>
      </c>
      <c r="U11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1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16" s="695">
        <f>IFERROR(Producción_Agricola[[#This Row],[Financiero $Corrientes]]/Producción_Agricola[[#This Row],[Indexación Financiero]],0)</f>
        <v>0</v>
      </c>
      <c r="X11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1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16" s="699">
        <f>IFERROR(Producción_Agricola[[#This Row],[Intereses $Corrientes]]/Producción_Agricola[[#This Row],[Indexación Financiero]],0)</f>
        <v>0</v>
      </c>
      <c r="AA11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16" s="701" t="str">
        <f>IFERROR(INDEX(Produccion_Agricola_Cuentas[],MATCH(Producción_Agricola[[#This Row],[Cuenta Contable]],Produccion_Agricola_Cuentas[Cuenta Contable],0),2),0)</f>
        <v>Egreso</v>
      </c>
      <c r="AC116" s="702" t="str">
        <f>IFERROR(INDEX(Tabla9[],MATCH(Producción_Agricola[[#This Row],[Movimiento]],Tabla9[Movimientos],0),2),0)</f>
        <v>Si</v>
      </c>
      <c r="AD116" s="703" t="str">
        <f>IFERROR(INDEX(Tabla9[],MATCH(Producción_Agricola[[#This Row],[Movimiento]],Tabla9[Movimientos],0),3),0)</f>
        <v>(-)</v>
      </c>
      <c r="AE116" s="698">
        <f>IF(Producción_Agricola[[#This Row],[Fecha Económico]]=0,0,MONTH(Producción_Agricola[[#This Row],[Fecha Económico]]))</f>
        <v>12</v>
      </c>
      <c r="AF116" s="699">
        <f>IF(Producción_Agricola[[#This Row],[Fecha Económico]]=0,0,YEAR(Producción_Agricola[[#This Row],[Fecha Económico]]))</f>
        <v>2018</v>
      </c>
      <c r="AG116" s="704">
        <f>SUMPRODUCT((Producción_Agricola[[#This Row],[Mes Económico]]=Tipo_Cambio[Mes])*(Producción_Agricola[[#This Row],[Año Económico]]=Tipo_Cambio[Año])*(Tipo_Cambio[$/U$S]))</f>
        <v>23.122221102199997</v>
      </c>
      <c r="AH116" s="703">
        <f>SUMPRODUCT((Producción_Agricola[[#This Row],[Mes Económico]]=Tipo_Cambio[Mes])*(Producción_Agricola[[#This Row],[Año Económico]]=Tipo_Cambio[Año])*(Tipo_Cambio[Actualización]))</f>
        <v>1.1040808032</v>
      </c>
      <c r="AI116" s="699">
        <f>IF(ISNUMBER(Producción_Agricola[[#This Row],[Fecha Financiero]])=TRUE,MONTH(Producción_Agricola[[#This Row],[Fecha Financiero]]),0)</f>
        <v>12</v>
      </c>
      <c r="AJ116" s="699">
        <f>IF(ISNUMBER(Producción_Agricola[[#This Row],[Fecha Financiero]])=TRUE,YEAR(Producción_Agricola[[#This Row],[Fecha Financiero]]),0)</f>
        <v>2018</v>
      </c>
      <c r="AK116" s="704">
        <f>SUMPRODUCT((Producción_Agricola[[#This Row],[Mes Financiero]]=Tipo_Cambio[Mes])*(Producción_Agricola[[#This Row],[Año Financiero]]=Tipo_Cambio[Año])*(Tipo_Cambio[$/U$S]))</f>
        <v>23.122221102199997</v>
      </c>
      <c r="AL116" s="704">
        <f>SUMPRODUCT((Producción_Agricola[[#This Row],[Mes Financiero]]=Tipo_Cambio[Mes])*(Producción_Agricola[[#This Row],[Año Financiero]]=Tipo_Cambio[Año])*(Tipo_Cambio[Actualización]))</f>
        <v>1.1040808032</v>
      </c>
      <c r="AM116" s="709">
        <f>IFERROR(Producción_Agricola[[#This Row],[Económico $Corrientes]]/Producción_Agricola[[#This Row],[Superficie]],0)</f>
        <v>0</v>
      </c>
      <c r="AN116" s="712">
        <f>IFERROR(Producción_Agricola[[#This Row],[Económico $Constantes]]/Producción_Agricola[[#This Row],[Superficie]],0)</f>
        <v>0</v>
      </c>
      <c r="AO116" s="712">
        <f>IFERROR(Producción_Agricola[[#This Row],[Económico U$S Dólares]]/Producción_Agricola[[#This Row],[Superficie]],0)</f>
        <v>0</v>
      </c>
      <c r="AP116" s="711" t="str">
        <f>IF(Económico!$F$4=0,0,Producción_Agricola[[#This Row],[Centro de Costo]])</f>
        <v>Campo 1</v>
      </c>
      <c r="AQ116" s="512" t="s">
        <v>53</v>
      </c>
      <c r="AR116" s="514"/>
    </row>
    <row r="117" spans="1:45" x14ac:dyDescent="0.25">
      <c r="D117" s="478">
        <f>D85-300</f>
        <v>43286</v>
      </c>
      <c r="E117" s="478">
        <f>Producción_Agricola[[#This Row],[Fecha Económico]]</f>
        <v>43286</v>
      </c>
      <c r="F117" s="668" t="str">
        <f t="shared" si="21"/>
        <v>2018-2019</v>
      </c>
      <c r="G117" s="673" t="str">
        <f t="shared" si="22"/>
        <v>Campo 1</v>
      </c>
      <c r="H117" s="673" t="str">
        <f t="shared" si="20"/>
        <v>Girasol</v>
      </c>
      <c r="I117" s="675" t="str">
        <f>IFERROR(INDEX(Tabla8[],MATCH(Producción_Agricola[[#This Row],[Unidad de Negocio]],Tabla8[Unidades de Negocio],0),2),0)</f>
        <v>Girasol</v>
      </c>
      <c r="J11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17" s="491" t="s">
        <v>56</v>
      </c>
      <c r="L117" s="482" t="s">
        <v>373</v>
      </c>
      <c r="M117" s="483">
        <v>0</v>
      </c>
      <c r="N117" s="484" t="s">
        <v>377</v>
      </c>
      <c r="O117" s="690">
        <f>Producción_Agricola[[#This Row],[Superficie]]*Producción_Agricola[[#This Row],[Cantidad]]</f>
        <v>0</v>
      </c>
      <c r="P117" s="482">
        <v>280</v>
      </c>
      <c r="Q117" s="484" t="s">
        <v>3</v>
      </c>
      <c r="R117" s="485"/>
      <c r="S11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17" s="695">
        <f>IFERROR(Producción_Agricola[[#This Row],[Económico $Corrientes]]/Producción_Agricola[[#This Row],[Indexación Económico]],0)</f>
        <v>0</v>
      </c>
      <c r="U11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1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17" s="695">
        <f>IFERROR(Producción_Agricola[[#This Row],[Financiero $Corrientes]]/Producción_Agricola[[#This Row],[Indexación Financiero]],0)</f>
        <v>0</v>
      </c>
      <c r="X11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1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17" s="699">
        <f>IFERROR(Producción_Agricola[[#This Row],[Intereses $Corrientes]]/Producción_Agricola[[#This Row],[Indexación Financiero]],0)</f>
        <v>0</v>
      </c>
      <c r="AA11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17" s="701" t="str">
        <f>IFERROR(INDEX(Produccion_Agricola_Cuentas[],MATCH(Producción_Agricola[[#This Row],[Cuenta Contable]],Produccion_Agricola_Cuentas[Cuenta Contable],0),2),0)</f>
        <v>Egreso</v>
      </c>
      <c r="AC117" s="702" t="str">
        <f>IFERROR(INDEX(Tabla9[],MATCH(Producción_Agricola[[#This Row],[Movimiento]],Tabla9[Movimientos],0),2),0)</f>
        <v>Si</v>
      </c>
      <c r="AD117" s="703" t="str">
        <f>IFERROR(INDEX(Tabla9[],MATCH(Producción_Agricola[[#This Row],[Movimiento]],Tabla9[Movimientos],0),3),0)</f>
        <v>(-)</v>
      </c>
      <c r="AE117" s="698">
        <f>IF(Producción_Agricola[[#This Row],[Fecha Económico]]=0,0,MONTH(Producción_Agricola[[#This Row],[Fecha Económico]]))</f>
        <v>7</v>
      </c>
      <c r="AF117" s="699">
        <f>IF(Producción_Agricola[[#This Row],[Fecha Económico]]=0,0,YEAR(Producción_Agricola[[#This Row],[Fecha Económico]]))</f>
        <v>2018</v>
      </c>
      <c r="AG117" s="704">
        <f>SUMPRODUCT((Producción_Agricola[[#This Row],[Mes Económico]]=Tipo_Cambio[Mes])*(Producción_Agricola[[#This Row],[Año Económico]]=Tipo_Cambio[Año])*(Tipo_Cambio[$/U$S]))</f>
        <v>22</v>
      </c>
      <c r="AH117" s="703">
        <f>SUMPRODUCT((Producción_Agricola[[#This Row],[Mes Económico]]=Tipo_Cambio[Mes])*(Producción_Agricola[[#This Row],[Año Económico]]=Tipo_Cambio[Año])*(Tipo_Cambio[Actualización]))</f>
        <v>1</v>
      </c>
      <c r="AI117" s="705">
        <f>IF(ISNUMBER(Producción_Agricola[[#This Row],[Fecha Financiero]])=TRUE,MONTH(Producción_Agricola[[#This Row],[Fecha Financiero]]),0)</f>
        <v>7</v>
      </c>
      <c r="AJ117" s="705">
        <f>IF(ISNUMBER(Producción_Agricola[[#This Row],[Fecha Financiero]])=TRUE,YEAR(Producción_Agricola[[#This Row],[Fecha Financiero]]),0)</f>
        <v>2018</v>
      </c>
      <c r="AK117" s="706">
        <f>SUMPRODUCT((Producción_Agricola[[#This Row],[Mes Financiero]]=Tipo_Cambio[Mes])*(Producción_Agricola[[#This Row],[Año Financiero]]=Tipo_Cambio[Año])*(Tipo_Cambio[$/U$S]))</f>
        <v>22</v>
      </c>
      <c r="AL117" s="706">
        <f>SUMPRODUCT((Producción_Agricola[[#This Row],[Mes Financiero]]=Tipo_Cambio[Mes])*(Producción_Agricola[[#This Row],[Año Financiero]]=Tipo_Cambio[Año])*(Tipo_Cambio[Actualización]))</f>
        <v>1</v>
      </c>
      <c r="AM117" s="709">
        <f>IFERROR(Producción_Agricola[[#This Row],[Económico $Corrientes]]/Producción_Agricola[[#This Row],[Superficie]],0)</f>
        <v>0</v>
      </c>
      <c r="AN117" s="710">
        <f>IFERROR(Producción_Agricola[[#This Row],[Económico $Constantes]]/Producción_Agricola[[#This Row],[Superficie]],0)</f>
        <v>0</v>
      </c>
      <c r="AO117" s="710">
        <f>IFERROR(Producción_Agricola[[#This Row],[Económico U$S Dólares]]/Producción_Agricola[[#This Row],[Superficie]],0)</f>
        <v>0</v>
      </c>
      <c r="AP117" s="711" t="str">
        <f>IF(Económico!$F$4=0,0,Producción_Agricola[[#This Row],[Centro de Costo]])</f>
        <v>Campo 1</v>
      </c>
      <c r="AQ117" s="512" t="s">
        <v>56</v>
      </c>
      <c r="AR117" s="513"/>
      <c r="AS117"/>
    </row>
    <row r="118" spans="1:45" x14ac:dyDescent="0.25">
      <c r="D118" s="478">
        <f>D117+90</f>
        <v>43376</v>
      </c>
      <c r="E118" s="478">
        <f>Producción_Agricola[[#This Row],[Fecha Económico]]</f>
        <v>43376</v>
      </c>
      <c r="F118" s="668" t="str">
        <f t="shared" si="21"/>
        <v>2018-2019</v>
      </c>
      <c r="G118" s="673" t="str">
        <f t="shared" si="22"/>
        <v>Campo 1</v>
      </c>
      <c r="H118" s="673" t="str">
        <f t="shared" si="20"/>
        <v>Girasol</v>
      </c>
      <c r="I118" s="675" t="str">
        <f>IFERROR(INDEX(Tabla8[],MATCH(Producción_Agricola[[#This Row],[Unidad de Negocio]],Tabla8[Unidades de Negocio],0),2),0)</f>
        <v>Girasol</v>
      </c>
      <c r="J11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18" s="491" t="s">
        <v>56</v>
      </c>
      <c r="L118" s="482" t="s">
        <v>374</v>
      </c>
      <c r="M118" s="483">
        <v>0</v>
      </c>
      <c r="N118" s="484" t="s">
        <v>377</v>
      </c>
      <c r="O118" s="690">
        <f>Producción_Agricola[[#This Row],[Superficie]]*Producción_Agricola[[#This Row],[Cantidad]]</f>
        <v>0</v>
      </c>
      <c r="P118" s="482">
        <v>280</v>
      </c>
      <c r="Q118" s="484" t="s">
        <v>3</v>
      </c>
      <c r="R118" s="485"/>
      <c r="S11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18" s="695">
        <f>IFERROR(Producción_Agricola[[#This Row],[Económico $Corrientes]]/Producción_Agricola[[#This Row],[Indexación Económico]],0)</f>
        <v>0</v>
      </c>
      <c r="U11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1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18" s="695">
        <f>IFERROR(Producción_Agricola[[#This Row],[Financiero $Corrientes]]/Producción_Agricola[[#This Row],[Indexación Financiero]],0)</f>
        <v>0</v>
      </c>
      <c r="X11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1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18" s="699">
        <f>IFERROR(Producción_Agricola[[#This Row],[Intereses $Corrientes]]/Producción_Agricola[[#This Row],[Indexación Financiero]],0)</f>
        <v>0</v>
      </c>
      <c r="AA11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18" s="701" t="str">
        <f>IFERROR(INDEX(Produccion_Agricola_Cuentas[],MATCH(Producción_Agricola[[#This Row],[Cuenta Contable]],Produccion_Agricola_Cuentas[Cuenta Contable],0),2),0)</f>
        <v>Egreso</v>
      </c>
      <c r="AC118" s="702" t="str">
        <f>IFERROR(INDEX(Tabla9[],MATCH(Producción_Agricola[[#This Row],[Movimiento]],Tabla9[Movimientos],0),2),0)</f>
        <v>Si</v>
      </c>
      <c r="AD118" s="703" t="str">
        <f>IFERROR(INDEX(Tabla9[],MATCH(Producción_Agricola[[#This Row],[Movimiento]],Tabla9[Movimientos],0),3),0)</f>
        <v>(-)</v>
      </c>
      <c r="AE118" s="698">
        <f>IF(Producción_Agricola[[#This Row],[Fecha Económico]]=0,0,MONTH(Producción_Agricola[[#This Row],[Fecha Económico]]))</f>
        <v>10</v>
      </c>
      <c r="AF118" s="699">
        <f>IF(Producción_Agricola[[#This Row],[Fecha Económico]]=0,0,YEAR(Producción_Agricola[[#This Row],[Fecha Económico]]))</f>
        <v>2018</v>
      </c>
      <c r="AG118" s="704">
        <f>SUMPRODUCT((Producción_Agricola[[#This Row],[Mes Económico]]=Tipo_Cambio[Mes])*(Producción_Agricola[[#This Row],[Año Económico]]=Tipo_Cambio[Año])*(Tipo_Cambio[$/U$S]))</f>
        <v>22.666622</v>
      </c>
      <c r="AH118" s="703">
        <f>SUMPRODUCT((Producción_Agricola[[#This Row],[Mes Económico]]=Tipo_Cambio[Mes])*(Producción_Agricola[[#This Row],[Año Económico]]=Tipo_Cambio[Año])*(Tipo_Cambio[Actualización]))</f>
        <v>1.0612079999999999</v>
      </c>
      <c r="AI118" s="699">
        <f>IF(ISNUMBER(Producción_Agricola[[#This Row],[Fecha Financiero]])=TRUE,MONTH(Producción_Agricola[[#This Row],[Fecha Financiero]]),0)</f>
        <v>10</v>
      </c>
      <c r="AJ118" s="699">
        <f>IF(ISNUMBER(Producción_Agricola[[#This Row],[Fecha Financiero]])=TRUE,YEAR(Producción_Agricola[[#This Row],[Fecha Financiero]]),0)</f>
        <v>2018</v>
      </c>
      <c r="AK118" s="704">
        <f>SUMPRODUCT((Producción_Agricola[[#This Row],[Mes Financiero]]=Tipo_Cambio[Mes])*(Producción_Agricola[[#This Row],[Año Financiero]]=Tipo_Cambio[Año])*(Tipo_Cambio[$/U$S]))</f>
        <v>22.666622</v>
      </c>
      <c r="AL118" s="704">
        <f>SUMPRODUCT((Producción_Agricola[[#This Row],[Mes Financiero]]=Tipo_Cambio[Mes])*(Producción_Agricola[[#This Row],[Año Financiero]]=Tipo_Cambio[Año])*(Tipo_Cambio[Actualización]))</f>
        <v>1.0612079999999999</v>
      </c>
      <c r="AM118" s="709">
        <f>IFERROR(Producción_Agricola[[#This Row],[Económico $Corrientes]]/Producción_Agricola[[#This Row],[Superficie]],0)</f>
        <v>0</v>
      </c>
      <c r="AN118" s="712">
        <f>IFERROR(Producción_Agricola[[#This Row],[Económico $Constantes]]/Producción_Agricola[[#This Row],[Superficie]],0)</f>
        <v>0</v>
      </c>
      <c r="AO118" s="712">
        <f>IFERROR(Producción_Agricola[[#This Row],[Económico U$S Dólares]]/Producción_Agricola[[#This Row],[Superficie]],0)</f>
        <v>0</v>
      </c>
      <c r="AP118" s="711" t="str">
        <f>IF(Económico!$F$4=0,0,Producción_Agricola[[#This Row],[Centro de Costo]])</f>
        <v>Campo 1</v>
      </c>
      <c r="AQ118" s="512" t="s">
        <v>56</v>
      </c>
      <c r="AR118" s="513"/>
      <c r="AS118"/>
    </row>
    <row r="119" spans="1:45" x14ac:dyDescent="0.25">
      <c r="D119" s="478">
        <f>D118+90</f>
        <v>43466</v>
      </c>
      <c r="E119" s="478">
        <f>Producción_Agricola[[#This Row],[Fecha Económico]]</f>
        <v>43466</v>
      </c>
      <c r="F119" s="668" t="str">
        <f t="shared" si="21"/>
        <v>2018-2019</v>
      </c>
      <c r="G119" s="673" t="str">
        <f t="shared" si="22"/>
        <v>Campo 1</v>
      </c>
      <c r="H119" s="673" t="str">
        <f t="shared" si="20"/>
        <v>Girasol</v>
      </c>
      <c r="I119" s="675" t="str">
        <f>IFERROR(INDEX(Tabla8[],MATCH(Producción_Agricola[[#This Row],[Unidad de Negocio]],Tabla8[Unidades de Negocio],0),2),0)</f>
        <v>Girasol</v>
      </c>
      <c r="J11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19" s="491" t="s">
        <v>56</v>
      </c>
      <c r="L119" s="482" t="s">
        <v>375</v>
      </c>
      <c r="M119" s="483">
        <v>0</v>
      </c>
      <c r="N119" s="484" t="s">
        <v>377</v>
      </c>
      <c r="O119" s="690">
        <f>Producción_Agricola[[#This Row],[Superficie]]*Producción_Agricola[[#This Row],[Cantidad]]</f>
        <v>0</v>
      </c>
      <c r="P119" s="482">
        <v>280</v>
      </c>
      <c r="Q119" s="484" t="s">
        <v>3</v>
      </c>
      <c r="R119" s="485"/>
      <c r="S11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19" s="695">
        <f>IFERROR(Producción_Agricola[[#This Row],[Económico $Corrientes]]/Producción_Agricola[[#This Row],[Indexación Económico]],0)</f>
        <v>0</v>
      </c>
      <c r="U11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1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19" s="695">
        <f>IFERROR(Producción_Agricola[[#This Row],[Financiero $Corrientes]]/Producción_Agricola[[#This Row],[Indexación Financiero]],0)</f>
        <v>0</v>
      </c>
      <c r="X11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1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19" s="699">
        <f>IFERROR(Producción_Agricola[[#This Row],[Intereses $Corrientes]]/Producción_Agricola[[#This Row],[Indexación Financiero]],0)</f>
        <v>0</v>
      </c>
      <c r="AA11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19" s="701" t="str">
        <f>IFERROR(INDEX(Produccion_Agricola_Cuentas[],MATCH(Producción_Agricola[[#This Row],[Cuenta Contable]],Produccion_Agricola_Cuentas[Cuenta Contable],0),2),0)</f>
        <v>Egreso</v>
      </c>
      <c r="AC119" s="702" t="str">
        <f>IFERROR(INDEX(Tabla9[],MATCH(Producción_Agricola[[#This Row],[Movimiento]],Tabla9[Movimientos],0),2),0)</f>
        <v>Si</v>
      </c>
      <c r="AD119" s="703" t="str">
        <f>IFERROR(INDEX(Tabla9[],MATCH(Producción_Agricola[[#This Row],[Movimiento]],Tabla9[Movimientos],0),3),0)</f>
        <v>(-)</v>
      </c>
      <c r="AE119" s="698">
        <f>IF(Producción_Agricola[[#This Row],[Fecha Económico]]=0,0,MONTH(Producción_Agricola[[#This Row],[Fecha Económico]]))</f>
        <v>1</v>
      </c>
      <c r="AF119" s="699">
        <f>IF(Producción_Agricola[[#This Row],[Fecha Económico]]=0,0,YEAR(Producción_Agricola[[#This Row],[Fecha Económico]]))</f>
        <v>2019</v>
      </c>
      <c r="AG119" s="704">
        <f>SUMPRODUCT((Producción_Agricola[[#This Row],[Mes Económico]]=Tipo_Cambio[Mes])*(Producción_Agricola[[#This Row],[Año Económico]]=Tipo_Cambio[Año])*(Tipo_Cambio[$/U$S]))</f>
        <v>23.353443313221998</v>
      </c>
      <c r="AH119" s="703">
        <f>SUMPRODUCT((Producción_Agricola[[#This Row],[Mes Económico]]=Tipo_Cambio[Mes])*(Producción_Agricola[[#This Row],[Año Económico]]=Tipo_Cambio[Año])*(Tipo_Cambio[Actualización]))</f>
        <v>1.1261624192640001</v>
      </c>
      <c r="AI119" s="699">
        <f>IF(ISNUMBER(Producción_Agricola[[#This Row],[Fecha Financiero]])=TRUE,MONTH(Producción_Agricola[[#This Row],[Fecha Financiero]]),0)</f>
        <v>1</v>
      </c>
      <c r="AJ119" s="699">
        <f>IF(ISNUMBER(Producción_Agricola[[#This Row],[Fecha Financiero]])=TRUE,YEAR(Producción_Agricola[[#This Row],[Fecha Financiero]]),0)</f>
        <v>2019</v>
      </c>
      <c r="AK119" s="704">
        <f>SUMPRODUCT((Producción_Agricola[[#This Row],[Mes Financiero]]=Tipo_Cambio[Mes])*(Producción_Agricola[[#This Row],[Año Financiero]]=Tipo_Cambio[Año])*(Tipo_Cambio[$/U$S]))</f>
        <v>23.353443313221998</v>
      </c>
      <c r="AL119" s="704">
        <f>SUMPRODUCT((Producción_Agricola[[#This Row],[Mes Financiero]]=Tipo_Cambio[Mes])*(Producción_Agricola[[#This Row],[Año Financiero]]=Tipo_Cambio[Año])*(Tipo_Cambio[Actualización]))</f>
        <v>1.1261624192640001</v>
      </c>
      <c r="AM119" s="709">
        <f>IFERROR(Producción_Agricola[[#This Row],[Económico $Corrientes]]/Producción_Agricola[[#This Row],[Superficie]],0)</f>
        <v>0</v>
      </c>
      <c r="AN119" s="712">
        <f>IFERROR(Producción_Agricola[[#This Row],[Económico $Constantes]]/Producción_Agricola[[#This Row],[Superficie]],0)</f>
        <v>0</v>
      </c>
      <c r="AO119" s="712">
        <f>IFERROR(Producción_Agricola[[#This Row],[Económico U$S Dólares]]/Producción_Agricola[[#This Row],[Superficie]],0)</f>
        <v>0</v>
      </c>
      <c r="AP119" s="711" t="str">
        <f>IF(Económico!$F$4=0,0,Producción_Agricola[[#This Row],[Centro de Costo]])</f>
        <v>Campo 1</v>
      </c>
      <c r="AQ119" s="512" t="s">
        <v>56</v>
      </c>
      <c r="AR119" s="513"/>
      <c r="AS119"/>
    </row>
    <row r="120" spans="1:45" x14ac:dyDescent="0.25">
      <c r="D120" s="478">
        <f>D119+90</f>
        <v>43556</v>
      </c>
      <c r="E120" s="478">
        <f>Producción_Agricola[[#This Row],[Fecha Económico]]</f>
        <v>43556</v>
      </c>
      <c r="F120" s="668" t="str">
        <f t="shared" si="21"/>
        <v>2018-2019</v>
      </c>
      <c r="G120" s="673" t="str">
        <f t="shared" si="22"/>
        <v>Campo 1</v>
      </c>
      <c r="H120" s="673" t="str">
        <f t="shared" si="20"/>
        <v>Girasol</v>
      </c>
      <c r="I120" s="675" t="str">
        <f>IFERROR(INDEX(Tabla8[],MATCH(Producción_Agricola[[#This Row],[Unidad de Negocio]],Tabla8[Unidades de Negocio],0),2),0)</f>
        <v>Girasol</v>
      </c>
      <c r="J12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20" s="491" t="s">
        <v>56</v>
      </c>
      <c r="L120" s="482" t="s">
        <v>375</v>
      </c>
      <c r="M120" s="483">
        <v>0</v>
      </c>
      <c r="N120" s="484" t="s">
        <v>377</v>
      </c>
      <c r="O120" s="690">
        <f>Producción_Agricola[[#This Row],[Superficie]]*Producción_Agricola[[#This Row],[Cantidad]]</f>
        <v>0</v>
      </c>
      <c r="P120" s="482">
        <v>280</v>
      </c>
      <c r="Q120" s="484" t="s">
        <v>3</v>
      </c>
      <c r="R120" s="485"/>
      <c r="S12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20" s="695">
        <f>IFERROR(Producción_Agricola[[#This Row],[Económico $Corrientes]]/Producción_Agricola[[#This Row],[Indexación Económico]],0)</f>
        <v>0</v>
      </c>
      <c r="U12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2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20" s="695">
        <f>IFERROR(Producción_Agricola[[#This Row],[Financiero $Corrientes]]/Producción_Agricola[[#This Row],[Indexación Financiero]],0)</f>
        <v>0</v>
      </c>
      <c r="X12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2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20" s="699">
        <f>IFERROR(Producción_Agricola[[#This Row],[Intereses $Corrientes]]/Producción_Agricola[[#This Row],[Indexación Financiero]],0)</f>
        <v>0</v>
      </c>
      <c r="AA12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20" s="701" t="str">
        <f>IFERROR(INDEX(Produccion_Agricola_Cuentas[],MATCH(Producción_Agricola[[#This Row],[Cuenta Contable]],Produccion_Agricola_Cuentas[Cuenta Contable],0),2),0)</f>
        <v>Egreso</v>
      </c>
      <c r="AC120" s="702" t="str">
        <f>IFERROR(INDEX(Tabla9[],MATCH(Producción_Agricola[[#This Row],[Movimiento]],Tabla9[Movimientos],0),2),0)</f>
        <v>Si</v>
      </c>
      <c r="AD120" s="703" t="str">
        <f>IFERROR(INDEX(Tabla9[],MATCH(Producción_Agricola[[#This Row],[Movimiento]],Tabla9[Movimientos],0),3),0)</f>
        <v>(-)</v>
      </c>
      <c r="AE120" s="698">
        <f>IF(Producción_Agricola[[#This Row],[Fecha Económico]]=0,0,MONTH(Producción_Agricola[[#This Row],[Fecha Económico]]))</f>
        <v>4</v>
      </c>
      <c r="AF120" s="699">
        <f>IF(Producción_Agricola[[#This Row],[Fecha Económico]]=0,0,YEAR(Producción_Agricola[[#This Row],[Fecha Económico]]))</f>
        <v>2019</v>
      </c>
      <c r="AG120" s="704">
        <f>SUMPRODUCT((Producción_Agricola[[#This Row],[Mes Económico]]=Tipo_Cambio[Mes])*(Producción_Agricola[[#This Row],[Año Económico]]=Tipo_Cambio[Año])*(Tipo_Cambio[$/U$S]))</f>
        <v>24.061075999055937</v>
      </c>
      <c r="AH120" s="703">
        <f>SUMPRODUCT((Producción_Agricola[[#This Row],[Mes Económico]]=Tipo_Cambio[Mes])*(Producción_Agricola[[#This Row],[Año Económico]]=Tipo_Cambio[Año])*(Tipo_Cambio[Actualización]))</f>
        <v>1.1950925686223111</v>
      </c>
      <c r="AI120" s="699">
        <f>IF(ISNUMBER(Producción_Agricola[[#This Row],[Fecha Financiero]])=TRUE,MONTH(Producción_Agricola[[#This Row],[Fecha Financiero]]),0)</f>
        <v>4</v>
      </c>
      <c r="AJ120" s="699">
        <f>IF(ISNUMBER(Producción_Agricola[[#This Row],[Fecha Financiero]])=TRUE,YEAR(Producción_Agricola[[#This Row],[Fecha Financiero]]),0)</f>
        <v>2019</v>
      </c>
      <c r="AK120" s="704">
        <f>SUMPRODUCT((Producción_Agricola[[#This Row],[Mes Financiero]]=Tipo_Cambio[Mes])*(Producción_Agricola[[#This Row],[Año Financiero]]=Tipo_Cambio[Año])*(Tipo_Cambio[$/U$S]))</f>
        <v>24.061075999055937</v>
      </c>
      <c r="AL120" s="704">
        <f>SUMPRODUCT((Producción_Agricola[[#This Row],[Mes Financiero]]=Tipo_Cambio[Mes])*(Producción_Agricola[[#This Row],[Año Financiero]]=Tipo_Cambio[Año])*(Tipo_Cambio[Actualización]))</f>
        <v>1.1950925686223111</v>
      </c>
      <c r="AM120" s="709">
        <f>IFERROR(Producción_Agricola[[#This Row],[Económico $Corrientes]]/Producción_Agricola[[#This Row],[Superficie]],0)</f>
        <v>0</v>
      </c>
      <c r="AN120" s="712">
        <f>IFERROR(Producción_Agricola[[#This Row],[Económico $Constantes]]/Producción_Agricola[[#This Row],[Superficie]],0)</f>
        <v>0</v>
      </c>
      <c r="AO120" s="712">
        <f>IFERROR(Producción_Agricola[[#This Row],[Económico U$S Dólares]]/Producción_Agricola[[#This Row],[Superficie]],0)</f>
        <v>0</v>
      </c>
      <c r="AP120" s="711" t="str">
        <f>IF(Económico!$F$4=0,0,Producción_Agricola[[#This Row],[Centro de Costo]])</f>
        <v>Campo 1</v>
      </c>
      <c r="AQ120" s="512" t="s">
        <v>56</v>
      </c>
      <c r="AR120" s="513"/>
      <c r="AS120"/>
    </row>
    <row r="121" spans="1:45" s="19" customFormat="1" x14ac:dyDescent="0.25">
      <c r="A121" s="489"/>
      <c r="B121" s="489"/>
      <c r="C121" s="489"/>
      <c r="D121" s="478">
        <f>D119+90</f>
        <v>43556</v>
      </c>
      <c r="E121" s="493"/>
      <c r="F121" s="668" t="str">
        <f t="shared" si="21"/>
        <v>2018-2019</v>
      </c>
      <c r="G121" s="673" t="str">
        <f t="shared" si="22"/>
        <v>Campo 1</v>
      </c>
      <c r="H121" s="673" t="str">
        <f t="shared" si="20"/>
        <v>Girasol</v>
      </c>
      <c r="I121" s="675" t="str">
        <f>IFERROR(INDEX(Tabla8[],MATCH(Producción_Agricola[[#This Row],[Unidad de Negocio]],Tabla8[Unidades de Negocio],0),2),0)</f>
        <v>Girasol</v>
      </c>
      <c r="J12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21" s="491" t="s">
        <v>57</v>
      </c>
      <c r="L121" s="482"/>
      <c r="M121" s="483">
        <v>0</v>
      </c>
      <c r="N121" s="484" t="s">
        <v>377</v>
      </c>
      <c r="O121" s="690">
        <f>Producción_Agricola[[#This Row],[Superficie]]*Producción_Agricola[[#This Row],[Cantidad]]</f>
        <v>0</v>
      </c>
      <c r="P121" s="482">
        <v>280</v>
      </c>
      <c r="Q121" s="484" t="s">
        <v>3</v>
      </c>
      <c r="R121" s="485"/>
      <c r="S12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21" s="695">
        <f>IFERROR(Producción_Agricola[[#This Row],[Económico $Corrientes]]/Producción_Agricola[[#This Row],[Indexación Económico]],0)</f>
        <v>0</v>
      </c>
      <c r="U12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2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21" s="695">
        <f>IFERROR(Producción_Agricola[[#This Row],[Financiero $Corrientes]]/Producción_Agricola[[#This Row],[Indexación Financiero]],0)</f>
        <v>0</v>
      </c>
      <c r="X12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2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21" s="699">
        <f>IFERROR(Producción_Agricola[[#This Row],[Intereses $Corrientes]]/Producción_Agricola[[#This Row],[Indexación Financiero]],0)</f>
        <v>0</v>
      </c>
      <c r="AA12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21" s="701" t="str">
        <f>IFERROR(INDEX(Produccion_Agricola_Cuentas[],MATCH(Producción_Agricola[[#This Row],[Cuenta Contable]],Produccion_Agricola_Cuentas[Cuenta Contable],0),2),0)</f>
        <v>Egreso Cesión</v>
      </c>
      <c r="AC121" s="702" t="str">
        <f>IFERROR(INDEX(Tabla9[],MATCH(Producción_Agricola[[#This Row],[Movimiento]],Tabla9[Movimientos],0),2),0)</f>
        <v>No</v>
      </c>
      <c r="AD121" s="703" t="str">
        <f>IFERROR(INDEX(Tabla9[],MATCH(Producción_Agricola[[#This Row],[Movimiento]],Tabla9[Movimientos],0),3),0)</f>
        <v>(-)</v>
      </c>
      <c r="AE121" s="698">
        <f>IF(Producción_Agricola[[#This Row],[Fecha Económico]]=0,0,MONTH(Producción_Agricola[[#This Row],[Fecha Económico]]))</f>
        <v>4</v>
      </c>
      <c r="AF121" s="699">
        <f>IF(Producción_Agricola[[#This Row],[Fecha Económico]]=0,0,YEAR(Producción_Agricola[[#This Row],[Fecha Económico]]))</f>
        <v>2019</v>
      </c>
      <c r="AG121" s="704">
        <f>SUMPRODUCT((Producción_Agricola[[#This Row],[Mes Económico]]=Tipo_Cambio[Mes])*(Producción_Agricola[[#This Row],[Año Económico]]=Tipo_Cambio[Año])*(Tipo_Cambio[$/U$S]))</f>
        <v>24.061075999055937</v>
      </c>
      <c r="AH121" s="703">
        <f>SUMPRODUCT((Producción_Agricola[[#This Row],[Mes Económico]]=Tipo_Cambio[Mes])*(Producción_Agricola[[#This Row],[Año Económico]]=Tipo_Cambio[Año])*(Tipo_Cambio[Actualización]))</f>
        <v>1.1950925686223111</v>
      </c>
      <c r="AI121" s="699">
        <f>IF(ISNUMBER(Producción_Agricola[[#This Row],[Fecha Financiero]])=TRUE,MONTH(Producción_Agricola[[#This Row],[Fecha Financiero]]),0)</f>
        <v>0</v>
      </c>
      <c r="AJ121" s="699">
        <f>IF(ISNUMBER(Producción_Agricola[[#This Row],[Fecha Financiero]])=TRUE,YEAR(Producción_Agricola[[#This Row],[Fecha Financiero]]),0)</f>
        <v>0</v>
      </c>
      <c r="AK121" s="704">
        <f>SUMPRODUCT((Producción_Agricola[[#This Row],[Mes Financiero]]=Tipo_Cambio[Mes])*(Producción_Agricola[[#This Row],[Año Financiero]]=Tipo_Cambio[Año])*(Tipo_Cambio[$/U$S]))</f>
        <v>0</v>
      </c>
      <c r="AL121" s="704">
        <f>SUMPRODUCT((Producción_Agricola[[#This Row],[Mes Financiero]]=Tipo_Cambio[Mes])*(Producción_Agricola[[#This Row],[Año Financiero]]=Tipo_Cambio[Año])*(Tipo_Cambio[Actualización]))</f>
        <v>0</v>
      </c>
      <c r="AM121" s="709">
        <f>IFERROR(Producción_Agricola[[#This Row],[Económico $Corrientes]]/Producción_Agricola[[#This Row],[Superficie]],0)</f>
        <v>0</v>
      </c>
      <c r="AN121" s="712">
        <f>IFERROR(Producción_Agricola[[#This Row],[Económico $Constantes]]/Producción_Agricola[[#This Row],[Superficie]],0)</f>
        <v>0</v>
      </c>
      <c r="AO121" s="712">
        <f>IFERROR(Producción_Agricola[[#This Row],[Económico U$S Dólares]]/Producción_Agricola[[#This Row],[Superficie]],0)</f>
        <v>0</v>
      </c>
      <c r="AP121" s="711" t="str">
        <f>IF(Económico!$F$4=0,0,Producción_Agricola[[#This Row],[Centro de Costo]])</f>
        <v>Campo 1</v>
      </c>
      <c r="AQ121" s="512" t="s">
        <v>56</v>
      </c>
      <c r="AR121" s="515" t="s">
        <v>386</v>
      </c>
    </row>
    <row r="122" spans="1:45" x14ac:dyDescent="0.25">
      <c r="D122" s="478"/>
      <c r="E122" s="478"/>
      <c r="F122" s="668" t="str">
        <f t="shared" si="21"/>
        <v>2018-2019</v>
      </c>
      <c r="G122" s="673" t="str">
        <f t="shared" si="22"/>
        <v>Campo 1</v>
      </c>
      <c r="H122" s="673" t="str">
        <f t="shared" si="20"/>
        <v>Girasol</v>
      </c>
      <c r="I122" s="675" t="str">
        <f>IFERROR(INDEX(Tabla8[],MATCH(Producción_Agricola[[#This Row],[Unidad de Negocio]],Tabla8[Unidades de Negocio],0),2),0)</f>
        <v>Girasol</v>
      </c>
      <c r="J12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22" s="492"/>
      <c r="L122" s="482"/>
      <c r="M122" s="483"/>
      <c r="N122" s="484"/>
      <c r="O122" s="690">
        <f>Producción_Agricola[[#This Row],[Superficie]]*Producción_Agricola[[#This Row],[Cantidad]]</f>
        <v>0</v>
      </c>
      <c r="P122" s="482"/>
      <c r="Q122" s="484"/>
      <c r="R122" s="485"/>
      <c r="S12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22" s="695">
        <f>IFERROR(Producción_Agricola[[#This Row],[Económico $Corrientes]]/Producción_Agricola[[#This Row],[Indexación Económico]],0)</f>
        <v>0</v>
      </c>
      <c r="U12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2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22" s="695">
        <f>IFERROR(Producción_Agricola[[#This Row],[Financiero $Corrientes]]/Producción_Agricola[[#This Row],[Indexación Financiero]],0)</f>
        <v>0</v>
      </c>
      <c r="X12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2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22" s="699">
        <f>IFERROR(Producción_Agricola[[#This Row],[Intereses $Corrientes]]/Producción_Agricola[[#This Row],[Indexación Financiero]],0)</f>
        <v>0</v>
      </c>
      <c r="AA12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22" s="701">
        <f>IFERROR(INDEX(Produccion_Agricola_Cuentas[],MATCH(Producción_Agricola[[#This Row],[Cuenta Contable]],Produccion_Agricola_Cuentas[Cuenta Contable],0),2),0)</f>
        <v>0</v>
      </c>
      <c r="AC122" s="702">
        <f>IFERROR(INDEX(Tabla9[],MATCH(Producción_Agricola[[#This Row],[Movimiento]],Tabla9[Movimientos],0),2),0)</f>
        <v>0</v>
      </c>
      <c r="AD122" s="703">
        <f>IFERROR(INDEX(Tabla9[],MATCH(Producción_Agricola[[#This Row],[Movimiento]],Tabla9[Movimientos],0),3),0)</f>
        <v>0</v>
      </c>
      <c r="AE122" s="698">
        <f>IF(Producción_Agricola[[#This Row],[Fecha Económico]]=0,0,MONTH(Producción_Agricola[[#This Row],[Fecha Económico]]))</f>
        <v>0</v>
      </c>
      <c r="AF122" s="699">
        <f>IF(Producción_Agricola[[#This Row],[Fecha Económico]]=0,0,YEAR(Producción_Agricola[[#This Row],[Fecha Económico]]))</f>
        <v>0</v>
      </c>
      <c r="AG122" s="704">
        <f>SUMPRODUCT((Producción_Agricola[[#This Row],[Mes Económico]]=Tipo_Cambio[Mes])*(Producción_Agricola[[#This Row],[Año Económico]]=Tipo_Cambio[Año])*(Tipo_Cambio[$/U$S]))</f>
        <v>0</v>
      </c>
      <c r="AH122" s="703">
        <f>SUMPRODUCT((Producción_Agricola[[#This Row],[Mes Económico]]=Tipo_Cambio[Mes])*(Producción_Agricola[[#This Row],[Año Económico]]=Tipo_Cambio[Año])*(Tipo_Cambio[Actualización]))</f>
        <v>0</v>
      </c>
      <c r="AI122" s="699">
        <f>IF(ISNUMBER(Producción_Agricola[[#This Row],[Fecha Financiero]])=TRUE,MONTH(Producción_Agricola[[#This Row],[Fecha Financiero]]),0)</f>
        <v>0</v>
      </c>
      <c r="AJ122" s="699">
        <f>IF(ISNUMBER(Producción_Agricola[[#This Row],[Fecha Financiero]])=TRUE,YEAR(Producción_Agricola[[#This Row],[Fecha Financiero]]),0)</f>
        <v>0</v>
      </c>
      <c r="AK122" s="704">
        <f>SUMPRODUCT((Producción_Agricola[[#This Row],[Mes Financiero]]=Tipo_Cambio[Mes])*(Producción_Agricola[[#This Row],[Año Financiero]]=Tipo_Cambio[Año])*(Tipo_Cambio[$/U$S]))</f>
        <v>0</v>
      </c>
      <c r="AL122" s="704">
        <f>SUMPRODUCT((Producción_Agricola[[#This Row],[Mes Financiero]]=Tipo_Cambio[Mes])*(Producción_Agricola[[#This Row],[Año Financiero]]=Tipo_Cambio[Año])*(Tipo_Cambio[Actualización]))</f>
        <v>0</v>
      </c>
      <c r="AM122" s="709">
        <f>IFERROR(Producción_Agricola[[#This Row],[Económico $Corrientes]]/Producción_Agricola[[#This Row],[Superficie]],0)</f>
        <v>0</v>
      </c>
      <c r="AN122" s="712">
        <f>IFERROR(Producción_Agricola[[#This Row],[Económico $Constantes]]/Producción_Agricola[[#This Row],[Superficie]],0)</f>
        <v>0</v>
      </c>
      <c r="AO122" s="712">
        <f>IFERROR(Producción_Agricola[[#This Row],[Económico U$S Dólares]]/Producción_Agricola[[#This Row],[Superficie]],0)</f>
        <v>0</v>
      </c>
      <c r="AP122" s="711" t="str">
        <f>IF(Económico!$F$4=0,0,Producción_Agricola[[#This Row],[Centro de Costo]])</f>
        <v>Campo 1</v>
      </c>
      <c r="AQ122" s="512"/>
      <c r="AR122" s="515"/>
      <c r="AS122"/>
    </row>
    <row r="123" spans="1:45" x14ac:dyDescent="0.25">
      <c r="D123" s="478"/>
      <c r="E123" s="478"/>
      <c r="F123" s="668" t="str">
        <f t="shared" si="21"/>
        <v>2018-2019</v>
      </c>
      <c r="G123" s="673" t="str">
        <f t="shared" si="22"/>
        <v>Campo 1</v>
      </c>
      <c r="H123" s="673" t="str">
        <f t="shared" si="20"/>
        <v>Girasol</v>
      </c>
      <c r="I123" s="675" t="str">
        <f>IFERROR(INDEX(Tabla8[],MATCH(Producción_Agricola[[#This Row],[Unidad de Negocio]],Tabla8[Unidades de Negocio],0),2),0)</f>
        <v>Girasol</v>
      </c>
      <c r="J12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23" s="492"/>
      <c r="L123" s="482"/>
      <c r="M123" s="483"/>
      <c r="N123" s="484"/>
      <c r="O123" s="690">
        <f>Producción_Agricola[[#This Row],[Superficie]]*Producción_Agricola[[#This Row],[Cantidad]]</f>
        <v>0</v>
      </c>
      <c r="P123" s="482"/>
      <c r="Q123" s="484"/>
      <c r="R123" s="485"/>
      <c r="S12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23" s="695">
        <f>IFERROR(Producción_Agricola[[#This Row],[Económico $Corrientes]]/Producción_Agricola[[#This Row],[Indexación Económico]],0)</f>
        <v>0</v>
      </c>
      <c r="U12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2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23" s="695">
        <f>IFERROR(Producción_Agricola[[#This Row],[Financiero $Corrientes]]/Producción_Agricola[[#This Row],[Indexación Financiero]],0)</f>
        <v>0</v>
      </c>
      <c r="X12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2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23" s="699">
        <f>IFERROR(Producción_Agricola[[#This Row],[Intereses $Corrientes]]/Producción_Agricola[[#This Row],[Indexación Financiero]],0)</f>
        <v>0</v>
      </c>
      <c r="AA12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23" s="701">
        <f>IFERROR(INDEX(Produccion_Agricola_Cuentas[],MATCH(Producción_Agricola[[#This Row],[Cuenta Contable]],Produccion_Agricola_Cuentas[Cuenta Contable],0),2),0)</f>
        <v>0</v>
      </c>
      <c r="AC123" s="702">
        <f>IFERROR(INDEX(Tabla9[],MATCH(Producción_Agricola[[#This Row],[Movimiento]],Tabla9[Movimientos],0),2),0)</f>
        <v>0</v>
      </c>
      <c r="AD123" s="703">
        <f>IFERROR(INDEX(Tabla9[],MATCH(Producción_Agricola[[#This Row],[Movimiento]],Tabla9[Movimientos],0),3),0)</f>
        <v>0</v>
      </c>
      <c r="AE123" s="698">
        <f>IF(Producción_Agricola[[#This Row],[Fecha Económico]]=0,0,MONTH(Producción_Agricola[[#This Row],[Fecha Económico]]))</f>
        <v>0</v>
      </c>
      <c r="AF123" s="699">
        <f>IF(Producción_Agricola[[#This Row],[Fecha Económico]]=0,0,YEAR(Producción_Agricola[[#This Row],[Fecha Económico]]))</f>
        <v>0</v>
      </c>
      <c r="AG123" s="704">
        <f>SUMPRODUCT((Producción_Agricola[[#This Row],[Mes Económico]]=Tipo_Cambio[Mes])*(Producción_Agricola[[#This Row],[Año Económico]]=Tipo_Cambio[Año])*(Tipo_Cambio[$/U$S]))</f>
        <v>0</v>
      </c>
      <c r="AH123" s="703">
        <f>SUMPRODUCT((Producción_Agricola[[#This Row],[Mes Económico]]=Tipo_Cambio[Mes])*(Producción_Agricola[[#This Row],[Año Económico]]=Tipo_Cambio[Año])*(Tipo_Cambio[Actualización]))</f>
        <v>0</v>
      </c>
      <c r="AI123" s="699">
        <f>IF(ISNUMBER(Producción_Agricola[[#This Row],[Fecha Financiero]])=TRUE,MONTH(Producción_Agricola[[#This Row],[Fecha Financiero]]),0)</f>
        <v>0</v>
      </c>
      <c r="AJ123" s="699">
        <f>IF(ISNUMBER(Producción_Agricola[[#This Row],[Fecha Financiero]])=TRUE,YEAR(Producción_Agricola[[#This Row],[Fecha Financiero]]),0)</f>
        <v>0</v>
      </c>
      <c r="AK123" s="704">
        <f>SUMPRODUCT((Producción_Agricola[[#This Row],[Mes Financiero]]=Tipo_Cambio[Mes])*(Producción_Agricola[[#This Row],[Año Financiero]]=Tipo_Cambio[Año])*(Tipo_Cambio[$/U$S]))</f>
        <v>0</v>
      </c>
      <c r="AL123" s="704">
        <f>SUMPRODUCT((Producción_Agricola[[#This Row],[Mes Financiero]]=Tipo_Cambio[Mes])*(Producción_Agricola[[#This Row],[Año Financiero]]=Tipo_Cambio[Año])*(Tipo_Cambio[Actualización]))</f>
        <v>0</v>
      </c>
      <c r="AM123" s="709">
        <f>IFERROR(Producción_Agricola[[#This Row],[Económico $Corrientes]]/Producción_Agricola[[#This Row],[Superficie]],0)</f>
        <v>0</v>
      </c>
      <c r="AN123" s="712">
        <f>IFERROR(Producción_Agricola[[#This Row],[Económico $Constantes]]/Producción_Agricola[[#This Row],[Superficie]],0)</f>
        <v>0</v>
      </c>
      <c r="AO123" s="712">
        <f>IFERROR(Producción_Agricola[[#This Row],[Económico U$S Dólares]]/Producción_Agricola[[#This Row],[Superficie]],0)</f>
        <v>0</v>
      </c>
      <c r="AP123" s="711" t="str">
        <f>IF(Económico!$F$4=0,0,Producción_Agricola[[#This Row],[Centro de Costo]])</f>
        <v>Campo 1</v>
      </c>
      <c r="AQ123" s="512"/>
      <c r="AR123" s="515"/>
      <c r="AS123"/>
    </row>
    <row r="124" spans="1:45" ht="15.75" thickBot="1" x14ac:dyDescent="0.3">
      <c r="B124" s="494" t="s">
        <v>101</v>
      </c>
      <c r="D124" s="478"/>
      <c r="E124" s="478"/>
      <c r="F124" s="668" t="str">
        <f t="shared" si="21"/>
        <v>2018-2019</v>
      </c>
      <c r="G124" s="673" t="str">
        <f t="shared" si="22"/>
        <v>Campo 1</v>
      </c>
      <c r="H124" s="673" t="str">
        <f t="shared" si="20"/>
        <v>Girasol</v>
      </c>
      <c r="I124" s="675" t="str">
        <f>IFERROR(INDEX(Tabla8[],MATCH(Producción_Agricola[[#This Row],[Unidad de Negocio]],Tabla8[Unidades de Negocio],0),2),0)</f>
        <v>Girasol</v>
      </c>
      <c r="J12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120</v>
      </c>
      <c r="K124" s="492"/>
      <c r="L124" s="482"/>
      <c r="M124" s="483"/>
      <c r="N124" s="484"/>
      <c r="O124" s="690">
        <f>Producción_Agricola[[#This Row],[Superficie]]*Producción_Agricola[[#This Row],[Cantidad]]</f>
        <v>0</v>
      </c>
      <c r="P124" s="482"/>
      <c r="Q124" s="484"/>
      <c r="R124" s="485"/>
      <c r="S12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24" s="695">
        <f>IFERROR(Producción_Agricola[[#This Row],[Económico $Corrientes]]/Producción_Agricola[[#This Row],[Indexación Económico]],0)</f>
        <v>0</v>
      </c>
      <c r="U12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2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24" s="695">
        <f>IFERROR(Producción_Agricola[[#This Row],[Financiero $Corrientes]]/Producción_Agricola[[#This Row],[Indexación Financiero]],0)</f>
        <v>0</v>
      </c>
      <c r="X12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2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24" s="699">
        <f>IFERROR(Producción_Agricola[[#This Row],[Intereses $Corrientes]]/Producción_Agricola[[#This Row],[Indexación Financiero]],0)</f>
        <v>0</v>
      </c>
      <c r="AA12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24" s="701">
        <f>IFERROR(INDEX(Produccion_Agricola_Cuentas[],MATCH(Producción_Agricola[[#This Row],[Cuenta Contable]],Produccion_Agricola_Cuentas[Cuenta Contable],0),2),0)</f>
        <v>0</v>
      </c>
      <c r="AC124" s="702">
        <f>IFERROR(INDEX(Tabla9[],MATCH(Producción_Agricola[[#This Row],[Movimiento]],Tabla9[Movimientos],0),2),0)</f>
        <v>0</v>
      </c>
      <c r="AD124" s="703">
        <f>IFERROR(INDEX(Tabla9[],MATCH(Producción_Agricola[[#This Row],[Movimiento]],Tabla9[Movimientos],0),3),0)</f>
        <v>0</v>
      </c>
      <c r="AE124" s="698">
        <f>IF(Producción_Agricola[[#This Row],[Fecha Económico]]=0,0,MONTH(Producción_Agricola[[#This Row],[Fecha Económico]]))</f>
        <v>0</v>
      </c>
      <c r="AF124" s="699">
        <f>IF(Producción_Agricola[[#This Row],[Fecha Económico]]=0,0,YEAR(Producción_Agricola[[#This Row],[Fecha Económico]]))</f>
        <v>0</v>
      </c>
      <c r="AG124" s="704">
        <f>SUMPRODUCT((Producción_Agricola[[#This Row],[Mes Económico]]=Tipo_Cambio[Mes])*(Producción_Agricola[[#This Row],[Año Económico]]=Tipo_Cambio[Año])*(Tipo_Cambio[$/U$S]))</f>
        <v>0</v>
      </c>
      <c r="AH124" s="703">
        <f>SUMPRODUCT((Producción_Agricola[[#This Row],[Mes Económico]]=Tipo_Cambio[Mes])*(Producción_Agricola[[#This Row],[Año Económico]]=Tipo_Cambio[Año])*(Tipo_Cambio[Actualización]))</f>
        <v>0</v>
      </c>
      <c r="AI124" s="699">
        <f>IF(ISNUMBER(Producción_Agricola[[#This Row],[Fecha Financiero]])=TRUE,MONTH(Producción_Agricola[[#This Row],[Fecha Financiero]]),0)</f>
        <v>0</v>
      </c>
      <c r="AJ124" s="699">
        <f>IF(ISNUMBER(Producción_Agricola[[#This Row],[Fecha Financiero]])=TRUE,YEAR(Producción_Agricola[[#This Row],[Fecha Financiero]]),0)</f>
        <v>0</v>
      </c>
      <c r="AK124" s="704">
        <f>SUMPRODUCT((Producción_Agricola[[#This Row],[Mes Financiero]]=Tipo_Cambio[Mes])*(Producción_Agricola[[#This Row],[Año Financiero]]=Tipo_Cambio[Año])*(Tipo_Cambio[$/U$S]))</f>
        <v>0</v>
      </c>
      <c r="AL124" s="704">
        <f>SUMPRODUCT((Producción_Agricola[[#This Row],[Mes Financiero]]=Tipo_Cambio[Mes])*(Producción_Agricola[[#This Row],[Año Financiero]]=Tipo_Cambio[Año])*(Tipo_Cambio[Actualización]))</f>
        <v>0</v>
      </c>
      <c r="AM124" s="709">
        <f>IFERROR(Producción_Agricola[[#This Row],[Económico $Corrientes]]/Producción_Agricola[[#This Row],[Superficie]],0)</f>
        <v>0</v>
      </c>
      <c r="AN124" s="712">
        <f>IFERROR(Producción_Agricola[[#This Row],[Económico $Constantes]]/Producción_Agricola[[#This Row],[Superficie]],0)</f>
        <v>0</v>
      </c>
      <c r="AO124" s="712">
        <f>IFERROR(Producción_Agricola[[#This Row],[Económico U$S Dólares]]/Producción_Agricola[[#This Row],[Superficie]],0)</f>
        <v>0</v>
      </c>
      <c r="AP124" s="711" t="str">
        <f>IF(Económico!$F$4=0,0,Producción_Agricola[[#This Row],[Centro de Costo]])</f>
        <v>Campo 1</v>
      </c>
      <c r="AQ124" s="512"/>
      <c r="AR124" s="515"/>
      <c r="AS124"/>
    </row>
    <row r="125" spans="1:45" ht="15.75" thickTop="1" x14ac:dyDescent="0.25">
      <c r="B125" s="477" t="s">
        <v>455</v>
      </c>
      <c r="D125" s="495">
        <v>43586</v>
      </c>
      <c r="E125" s="495"/>
      <c r="F125" s="676" t="str">
        <f>+$B$126</f>
        <v>2018-2019</v>
      </c>
      <c r="G125" s="677" t="str">
        <f>+$B$127</f>
        <v>Campo 1</v>
      </c>
      <c r="H125" s="677" t="str">
        <f>+$B$128</f>
        <v>Soja de Primera</v>
      </c>
      <c r="I125" s="678" t="str">
        <f>IFERROR(INDEX(Tabla8[],MATCH(Producción_Agricola[[#This Row],[Unidad de Negocio]],Tabla8[Unidades de Negocio],0),2),0)</f>
        <v>Soja</v>
      </c>
      <c r="J125" s="679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25" s="496" t="s">
        <v>77</v>
      </c>
      <c r="L125" s="497" t="s">
        <v>35</v>
      </c>
      <c r="M125" s="498">
        <v>0</v>
      </c>
      <c r="N125" s="499" t="s">
        <v>377</v>
      </c>
      <c r="O125" s="691">
        <f>Producción_Agricola[[#This Row],[Superficie]]*Producción_Agricola[[#This Row],[Cantidad]]</f>
        <v>0</v>
      </c>
      <c r="P125" s="497">
        <v>120</v>
      </c>
      <c r="Q125" s="499" t="s">
        <v>3</v>
      </c>
      <c r="R125" s="500"/>
      <c r="S125" s="714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25" s="714">
        <f>IFERROR(Producción_Agricola[[#This Row],[Económico $Corrientes]]/Producción_Agricola[[#This Row],[Indexación Económico]],0)</f>
        <v>0</v>
      </c>
      <c r="U125" s="714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25" s="715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25" s="714">
        <f>IFERROR(Producción_Agricola[[#This Row],[Financiero $Corrientes]]/Producción_Agricola[[#This Row],[Indexación Financiero]],0)</f>
        <v>0</v>
      </c>
      <c r="X125" s="716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25" s="717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25" s="718">
        <f>IFERROR(Producción_Agricola[[#This Row],[Intereses $Corrientes]]/Producción_Agricola[[#This Row],[Indexación Financiero]],0)</f>
        <v>0</v>
      </c>
      <c r="AA125" s="719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25" s="720" t="str">
        <f>IFERROR(INDEX(Produccion_Agricola_Cuentas[],MATCH(Producción_Agricola[[#This Row],[Cuenta Contable]],Produccion_Agricola_Cuentas[Cuenta Contable],0),2),0)</f>
        <v>Ingreso Cesión</v>
      </c>
      <c r="AC125" s="721" t="str">
        <f>IFERROR(INDEX(Tabla9[],MATCH(Producción_Agricola[[#This Row],[Movimiento]],Tabla9[Movimientos],0),2),0)</f>
        <v>No</v>
      </c>
      <c r="AD125" s="722" t="str">
        <f>IFERROR(INDEX(Tabla9[],MATCH(Producción_Agricola[[#This Row],[Movimiento]],Tabla9[Movimientos],0),3),0)</f>
        <v>(+)</v>
      </c>
      <c r="AE125" s="717">
        <f>IF(Producción_Agricola[[#This Row],[Fecha Económico]]=0,0,MONTH(Producción_Agricola[[#This Row],[Fecha Económico]]))</f>
        <v>5</v>
      </c>
      <c r="AF125" s="718">
        <f>IF(Producción_Agricola[[#This Row],[Fecha Económico]]=0,0,YEAR(Producción_Agricola[[#This Row],[Fecha Económico]]))</f>
        <v>2019</v>
      </c>
      <c r="AG125" s="723">
        <f>SUMPRODUCT((Producción_Agricola[[#This Row],[Mes Económico]]=Tipo_Cambio[Mes])*(Producción_Agricola[[#This Row],[Año Económico]]=Tipo_Cambio[Año])*(Tipo_Cambio[$/U$S]))</f>
        <v>24.301686759046497</v>
      </c>
      <c r="AH125" s="722">
        <f>SUMPRODUCT((Producción_Agricola[[#This Row],[Mes Económico]]=Tipo_Cambio[Mes])*(Producción_Agricola[[#This Row],[Año Económico]]=Tipo_Cambio[Año])*(Tipo_Cambio[Actualización]))</f>
        <v>1.2189944199947573</v>
      </c>
      <c r="AI125" s="718">
        <f>IF(ISNUMBER(Producción_Agricola[[#This Row],[Fecha Financiero]])=TRUE,MONTH(Producción_Agricola[[#This Row],[Fecha Financiero]]),0)</f>
        <v>0</v>
      </c>
      <c r="AJ125" s="718">
        <f>IF(ISNUMBER(Producción_Agricola[[#This Row],[Fecha Financiero]])=TRUE,YEAR(Producción_Agricola[[#This Row],[Fecha Financiero]]),0)</f>
        <v>0</v>
      </c>
      <c r="AK125" s="723">
        <f>SUMPRODUCT((Producción_Agricola[[#This Row],[Mes Financiero]]=Tipo_Cambio[Mes])*(Producción_Agricola[[#This Row],[Año Financiero]]=Tipo_Cambio[Año])*(Tipo_Cambio[$/U$S]))</f>
        <v>0</v>
      </c>
      <c r="AL125" s="723">
        <f>SUMPRODUCT((Producción_Agricola[[#This Row],[Mes Financiero]]=Tipo_Cambio[Mes])*(Producción_Agricola[[#This Row],[Año Financiero]]=Tipo_Cambio[Año])*(Tipo_Cambio[Actualización]))</f>
        <v>0</v>
      </c>
      <c r="AM125" s="721">
        <f>IFERROR(Producción_Agricola[[#This Row],[Económico $Corrientes]]/Producción_Agricola[[#This Row],[Superficie]],0)</f>
        <v>0</v>
      </c>
      <c r="AN125" s="723">
        <f>IFERROR(Producción_Agricola[[#This Row],[Económico $Constantes]]/Producción_Agricola[[#This Row],[Superficie]],0)</f>
        <v>0</v>
      </c>
      <c r="AO125" s="723">
        <f>IFERROR(Producción_Agricola[[#This Row],[Económico U$S Dólares]]/Producción_Agricola[[#This Row],[Superficie]],0)</f>
        <v>0</v>
      </c>
      <c r="AP125" s="724" t="str">
        <f>IF(Económico!$F$4=0,0,Producción_Agricola[[#This Row],[Centro de Costo]])</f>
        <v>Campo 1</v>
      </c>
      <c r="AQ125" s="516" t="s">
        <v>382</v>
      </c>
      <c r="AR125" s="517" t="s">
        <v>383</v>
      </c>
      <c r="AS125"/>
    </row>
    <row r="126" spans="1:45" x14ac:dyDescent="0.25">
      <c r="B126" s="486" t="s">
        <v>11</v>
      </c>
      <c r="D126" s="478">
        <f>D125</f>
        <v>43586</v>
      </c>
      <c r="E126" s="478">
        <v>43617</v>
      </c>
      <c r="F126" s="668" t="str">
        <f>+F125</f>
        <v>2018-2019</v>
      </c>
      <c r="G126" s="669" t="str">
        <f>+G125</f>
        <v>Campo 1</v>
      </c>
      <c r="H126" s="669" t="str">
        <f>+H125</f>
        <v>Soja de Primera</v>
      </c>
      <c r="I126" s="670" t="str">
        <f>IFERROR(INDEX(Tabla8[],MATCH(Producción_Agricola[[#This Row],[Unidad de Negocio]],Tabla8[Unidades de Negocio],0),2),0)</f>
        <v>Soja</v>
      </c>
      <c r="J126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26" s="481" t="s">
        <v>43</v>
      </c>
      <c r="L126" s="482" t="s">
        <v>43</v>
      </c>
      <c r="M126" s="483">
        <v>0</v>
      </c>
      <c r="N126" s="484" t="s">
        <v>389</v>
      </c>
      <c r="O126" s="690">
        <f>Producción_Agricola[[#This Row],[Superficie]]*Producción_Agricola[[#This Row],[Cantidad]]</f>
        <v>0</v>
      </c>
      <c r="P126" s="482">
        <v>90</v>
      </c>
      <c r="Q126" s="484" t="s">
        <v>3</v>
      </c>
      <c r="R126" s="485">
        <v>0</v>
      </c>
      <c r="S126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26" s="695">
        <f>IFERROR(Producción_Agricola[[#This Row],[Económico $Corrientes]]/Producción_Agricola[[#This Row],[Indexación Económico]],0)</f>
        <v>0</v>
      </c>
      <c r="U12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2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26" s="695">
        <f>IFERROR(Producción_Agricola[[#This Row],[Financiero $Corrientes]]/Producción_Agricola[[#This Row],[Indexación Financiero]],0)</f>
        <v>0</v>
      </c>
      <c r="X12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2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26" s="699">
        <f>IFERROR(Producción_Agricola[[#This Row],[Intereses $Corrientes]]/Producción_Agricola[[#This Row],[Indexación Financiero]],0)</f>
        <v>0</v>
      </c>
      <c r="AA12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26" s="701" t="str">
        <f>IFERROR(INDEX(Produccion_Agricola_Cuentas[],MATCH(Producción_Agricola[[#This Row],[Cuenta Contable]],Produccion_Agricola_Cuentas[Cuenta Contable],0),2),0)</f>
        <v>Egreso</v>
      </c>
      <c r="AC126" s="702" t="str">
        <f>IFERROR(INDEX(Tabla9[],MATCH(Producción_Agricola[[#This Row],[Movimiento]],Tabla9[Movimientos],0),2),0)</f>
        <v>Si</v>
      </c>
      <c r="AD126" s="703" t="str">
        <f>IFERROR(INDEX(Tabla9[],MATCH(Producción_Agricola[[#This Row],[Movimiento]],Tabla9[Movimientos],0),3),0)</f>
        <v>(-)</v>
      </c>
      <c r="AE126" s="698">
        <f>IF(Producción_Agricola[[#This Row],[Fecha Económico]]=0,0,MONTH(Producción_Agricola[[#This Row],[Fecha Económico]]))</f>
        <v>5</v>
      </c>
      <c r="AF126" s="699">
        <f>IF(Producción_Agricola[[#This Row],[Fecha Económico]]=0,0,YEAR(Producción_Agricola[[#This Row],[Fecha Económico]]))</f>
        <v>2019</v>
      </c>
      <c r="AG126" s="704">
        <f>SUMPRODUCT((Producción_Agricola[[#This Row],[Mes Económico]]=Tipo_Cambio[Mes])*(Producción_Agricola[[#This Row],[Año Económico]]=Tipo_Cambio[Año])*(Tipo_Cambio[$/U$S]))</f>
        <v>24.301686759046497</v>
      </c>
      <c r="AH126" s="703">
        <f>SUMPRODUCT((Producción_Agricola[[#This Row],[Mes Económico]]=Tipo_Cambio[Mes])*(Producción_Agricola[[#This Row],[Año Económico]]=Tipo_Cambio[Año])*(Tipo_Cambio[Actualización]))</f>
        <v>1.2189944199947573</v>
      </c>
      <c r="AI126" s="705">
        <f>IF(ISNUMBER(Producción_Agricola[[#This Row],[Fecha Financiero]])=TRUE,MONTH(Producción_Agricola[[#This Row],[Fecha Financiero]]),0)</f>
        <v>6</v>
      </c>
      <c r="AJ126" s="705">
        <f>IF(ISNUMBER(Producción_Agricola[[#This Row],[Fecha Financiero]])=TRUE,YEAR(Producción_Agricola[[#This Row],[Fecha Financiero]]),0)</f>
        <v>2019</v>
      </c>
      <c r="AK126" s="706">
        <f>SUMPRODUCT((Producción_Agricola[[#This Row],[Mes Financiero]]=Tipo_Cambio[Mes])*(Producción_Agricola[[#This Row],[Año Financiero]]=Tipo_Cambio[Año])*(Tipo_Cambio[$/U$S]))</f>
        <v>24.544703626636963</v>
      </c>
      <c r="AL126" s="706">
        <f>SUMPRODUCT((Producción_Agricola[[#This Row],[Mes Financiero]]=Tipo_Cambio[Mes])*(Producción_Agricola[[#This Row],[Año Financiero]]=Tipo_Cambio[Año])*(Tipo_Cambio[Actualización]))</f>
        <v>1.2433743083946525</v>
      </c>
      <c r="AM126" s="702">
        <f>IFERROR(Producción_Agricola[[#This Row],[Económico $Corrientes]]/Producción_Agricola[[#This Row],[Superficie]],0)</f>
        <v>0</v>
      </c>
      <c r="AN126" s="706">
        <f>IFERROR(Producción_Agricola[[#This Row],[Económico $Constantes]]/Producción_Agricola[[#This Row],[Superficie]],0)</f>
        <v>0</v>
      </c>
      <c r="AO126" s="706">
        <f>IFERROR(Producción_Agricola[[#This Row],[Económico U$S Dólares]]/Producción_Agricola[[#This Row],[Superficie]],0)</f>
        <v>0</v>
      </c>
      <c r="AP126" s="707" t="str">
        <f>IF(Económico!$F$4=0,0,Producción_Agricola[[#This Row],[Centro de Costo]])</f>
        <v>Campo 1</v>
      </c>
      <c r="AQ126" s="512" t="s">
        <v>43</v>
      </c>
      <c r="AR126" s="513"/>
      <c r="AS126"/>
    </row>
    <row r="127" spans="1:45" x14ac:dyDescent="0.25">
      <c r="B127" s="486" t="s">
        <v>2</v>
      </c>
      <c r="D127" s="478">
        <f>D125-320</f>
        <v>43266</v>
      </c>
      <c r="E127" s="478">
        <f>Producción_Agricola[[#This Row],[Fecha Económico]]+30</f>
        <v>43296</v>
      </c>
      <c r="F127" s="668" t="str">
        <f>F126</f>
        <v>2018-2019</v>
      </c>
      <c r="G127" s="669" t="str">
        <f t="shared" ref="G127:G164" si="29">G126</f>
        <v>Campo 1</v>
      </c>
      <c r="H127" s="669" t="str">
        <f>H126</f>
        <v>Soja de Primera</v>
      </c>
      <c r="I127" s="670" t="str">
        <f>IFERROR(INDEX(Tabla8[],MATCH(Producción_Agricola[[#This Row],[Unidad de Negocio]],Tabla8[Unidades de Negocio],0),2),0)</f>
        <v>Soja</v>
      </c>
      <c r="J127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27" s="481" t="s">
        <v>25</v>
      </c>
      <c r="L127" s="482" t="s">
        <v>219</v>
      </c>
      <c r="M127" s="483">
        <v>0</v>
      </c>
      <c r="N127" s="484" t="s">
        <v>389</v>
      </c>
      <c r="O127" s="690">
        <f>Producción_Agricola[[#This Row],[Superficie]]*Producción_Agricola[[#This Row],[Cantidad]]</f>
        <v>0</v>
      </c>
      <c r="P127" s="482">
        <v>120</v>
      </c>
      <c r="Q127" s="484" t="s">
        <v>48</v>
      </c>
      <c r="R127" s="485">
        <v>0</v>
      </c>
      <c r="S127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27" s="695">
        <f>IFERROR(Producción_Agricola[[#This Row],[Económico $Corrientes]]/Producción_Agricola[[#This Row],[Indexación Económico]],0)</f>
        <v>0</v>
      </c>
      <c r="U12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2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27" s="695">
        <f>IFERROR(Producción_Agricola[[#This Row],[Financiero $Corrientes]]/Producción_Agricola[[#This Row],[Indexación Financiero]],0)</f>
        <v>0</v>
      </c>
      <c r="X12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2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27" s="699">
        <f>IFERROR(Producción_Agricola[[#This Row],[Intereses $Corrientes]]/Producción_Agricola[[#This Row],[Indexación Financiero]],0)</f>
        <v>0</v>
      </c>
      <c r="AA12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27" s="701" t="str">
        <f>IFERROR(INDEX(Produccion_Agricola_Cuentas[],MATCH(Producción_Agricola[[#This Row],[Cuenta Contable]],Produccion_Agricola_Cuentas[Cuenta Contable],0),2),0)</f>
        <v>Egreso</v>
      </c>
      <c r="AC127" s="702" t="str">
        <f>IFERROR(INDEX(Tabla9[],MATCH(Producción_Agricola[[#This Row],[Movimiento]],Tabla9[Movimientos],0),2),0)</f>
        <v>Si</v>
      </c>
      <c r="AD127" s="703" t="str">
        <f>IFERROR(INDEX(Tabla9[],MATCH(Producción_Agricola[[#This Row],[Movimiento]],Tabla9[Movimientos],0),3),0)</f>
        <v>(-)</v>
      </c>
      <c r="AE127" s="698">
        <f>IF(Producción_Agricola[[#This Row],[Fecha Económico]]=0,0,MONTH(Producción_Agricola[[#This Row],[Fecha Económico]]))</f>
        <v>6</v>
      </c>
      <c r="AF127" s="699">
        <f>IF(Producción_Agricola[[#This Row],[Fecha Económico]]=0,0,YEAR(Producción_Agricola[[#This Row],[Fecha Económico]]))</f>
        <v>2018</v>
      </c>
      <c r="AG127" s="704">
        <f>SUMPRODUCT((Producción_Agricola[[#This Row],[Mes Económico]]=Tipo_Cambio[Mes])*(Producción_Agricola[[#This Row],[Año Económico]]=Tipo_Cambio[Año])*(Tipo_Cambio[$/U$S]))</f>
        <v>0</v>
      </c>
      <c r="AH127" s="703">
        <f>SUMPRODUCT((Producción_Agricola[[#This Row],[Mes Económico]]=Tipo_Cambio[Mes])*(Producción_Agricola[[#This Row],[Año Económico]]=Tipo_Cambio[Año])*(Tipo_Cambio[Actualización]))</f>
        <v>0</v>
      </c>
      <c r="AI127" s="705">
        <f>IF(ISNUMBER(Producción_Agricola[[#This Row],[Fecha Financiero]])=TRUE,MONTH(Producción_Agricola[[#This Row],[Fecha Financiero]]),0)</f>
        <v>7</v>
      </c>
      <c r="AJ127" s="705">
        <f>IF(ISNUMBER(Producción_Agricola[[#This Row],[Fecha Financiero]])=TRUE,YEAR(Producción_Agricola[[#This Row],[Fecha Financiero]]),0)</f>
        <v>2018</v>
      </c>
      <c r="AK127" s="706">
        <f>SUMPRODUCT((Producción_Agricola[[#This Row],[Mes Financiero]]=Tipo_Cambio[Mes])*(Producción_Agricola[[#This Row],[Año Financiero]]=Tipo_Cambio[Año])*(Tipo_Cambio[$/U$S]))</f>
        <v>22</v>
      </c>
      <c r="AL127" s="706">
        <f>SUMPRODUCT((Producción_Agricola[[#This Row],[Mes Financiero]]=Tipo_Cambio[Mes])*(Producción_Agricola[[#This Row],[Año Financiero]]=Tipo_Cambio[Año])*(Tipo_Cambio[Actualización]))</f>
        <v>1</v>
      </c>
      <c r="AM127" s="702">
        <f>IFERROR(Producción_Agricola[[#This Row],[Económico $Corrientes]]/Producción_Agricola[[#This Row],[Superficie]],0)</f>
        <v>0</v>
      </c>
      <c r="AN127" s="706">
        <f>IFERROR(Producción_Agricola[[#This Row],[Económico $Constantes]]/Producción_Agricola[[#This Row],[Superficie]],0)</f>
        <v>0</v>
      </c>
      <c r="AO127" s="706">
        <f>IFERROR(Producción_Agricola[[#This Row],[Económico U$S Dólares]]/Producción_Agricola[[#This Row],[Superficie]],0)</f>
        <v>0</v>
      </c>
      <c r="AP127" s="707" t="str">
        <f>IF(Económico!$F$4=0,0,Producción_Agricola[[#This Row],[Centro de Costo]])</f>
        <v>Campo 1</v>
      </c>
      <c r="AQ127" s="512" t="s">
        <v>378</v>
      </c>
      <c r="AR127" s="513"/>
      <c r="AS127"/>
    </row>
    <row r="128" spans="1:45" x14ac:dyDescent="0.25">
      <c r="B128" s="486" t="s">
        <v>245</v>
      </c>
      <c r="D128" s="478">
        <f>D127</f>
        <v>43266</v>
      </c>
      <c r="E128" s="478">
        <v>43586</v>
      </c>
      <c r="F128" s="668" t="str">
        <f t="shared" ref="F128:F164" si="30">F127</f>
        <v>2018-2019</v>
      </c>
      <c r="G128" s="669" t="str">
        <f t="shared" si="29"/>
        <v>Campo 1</v>
      </c>
      <c r="H128" s="669" t="str">
        <f t="shared" ref="H128:H164" si="31">H127</f>
        <v>Soja de Primera</v>
      </c>
      <c r="I128" s="670" t="str">
        <f>IFERROR(INDEX(Tabla8[],MATCH(Producción_Agricola[[#This Row],[Unidad de Negocio]],Tabla8[Unidades de Negocio],0),2),0)</f>
        <v>Soja</v>
      </c>
      <c r="J128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28" s="481" t="s">
        <v>17</v>
      </c>
      <c r="L128" s="482" t="s">
        <v>50</v>
      </c>
      <c r="M128" s="483">
        <v>0</v>
      </c>
      <c r="N128" s="484" t="s">
        <v>387</v>
      </c>
      <c r="O128" s="690">
        <f>Producción_Agricola[[#This Row],[Superficie]]*Producción_Agricola[[#This Row],[Cantidad]]</f>
        <v>0</v>
      </c>
      <c r="P128" s="482">
        <v>3</v>
      </c>
      <c r="Q128" s="484" t="s">
        <v>3</v>
      </c>
      <c r="R128" s="485">
        <v>0.06</v>
      </c>
      <c r="S128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28" s="695">
        <f>IFERROR(Producción_Agricola[[#This Row],[Económico $Corrientes]]/Producción_Agricola[[#This Row],[Indexación Económico]],0)</f>
        <v>0</v>
      </c>
      <c r="U12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2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28" s="695">
        <f>IFERROR(Producción_Agricola[[#This Row],[Financiero $Corrientes]]/Producción_Agricola[[#This Row],[Indexación Financiero]],0)</f>
        <v>0</v>
      </c>
      <c r="X12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2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28" s="699">
        <f>IFERROR(Producción_Agricola[[#This Row],[Intereses $Corrientes]]/Producción_Agricola[[#This Row],[Indexación Financiero]],0)</f>
        <v>0</v>
      </c>
      <c r="AA12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28" s="701" t="str">
        <f>IFERROR(INDEX(Produccion_Agricola_Cuentas[],MATCH(Producción_Agricola[[#This Row],[Cuenta Contable]],Produccion_Agricola_Cuentas[Cuenta Contable],0),2),0)</f>
        <v>Egreso</v>
      </c>
      <c r="AC128" s="702" t="str">
        <f>IFERROR(INDEX(Tabla9[],MATCH(Producción_Agricola[[#This Row],[Movimiento]],Tabla9[Movimientos],0),2),0)</f>
        <v>Si</v>
      </c>
      <c r="AD128" s="703" t="str">
        <f>IFERROR(INDEX(Tabla9[],MATCH(Producción_Agricola[[#This Row],[Movimiento]],Tabla9[Movimientos],0),3),0)</f>
        <v>(-)</v>
      </c>
      <c r="AE128" s="698">
        <f>IF(Producción_Agricola[[#This Row],[Fecha Económico]]=0,0,MONTH(Producción_Agricola[[#This Row],[Fecha Económico]]))</f>
        <v>6</v>
      </c>
      <c r="AF128" s="699">
        <f>IF(Producción_Agricola[[#This Row],[Fecha Económico]]=0,0,YEAR(Producción_Agricola[[#This Row],[Fecha Económico]]))</f>
        <v>2018</v>
      </c>
      <c r="AG128" s="704">
        <f>SUMPRODUCT((Producción_Agricola[[#This Row],[Mes Económico]]=Tipo_Cambio[Mes])*(Producción_Agricola[[#This Row],[Año Económico]]=Tipo_Cambio[Año])*(Tipo_Cambio[$/U$S]))</f>
        <v>0</v>
      </c>
      <c r="AH128" s="703">
        <f>SUMPRODUCT((Producción_Agricola[[#This Row],[Mes Económico]]=Tipo_Cambio[Mes])*(Producción_Agricola[[#This Row],[Año Económico]]=Tipo_Cambio[Año])*(Tipo_Cambio[Actualización]))</f>
        <v>0</v>
      </c>
      <c r="AI128" s="705">
        <f>IF(ISNUMBER(Producción_Agricola[[#This Row],[Fecha Financiero]])=TRUE,MONTH(Producción_Agricola[[#This Row],[Fecha Financiero]]),0)</f>
        <v>5</v>
      </c>
      <c r="AJ128" s="705">
        <f>IF(ISNUMBER(Producción_Agricola[[#This Row],[Fecha Financiero]])=TRUE,YEAR(Producción_Agricola[[#This Row],[Fecha Financiero]]),0)</f>
        <v>2019</v>
      </c>
      <c r="AK128" s="706">
        <f>SUMPRODUCT((Producción_Agricola[[#This Row],[Mes Financiero]]=Tipo_Cambio[Mes])*(Producción_Agricola[[#This Row],[Año Financiero]]=Tipo_Cambio[Año])*(Tipo_Cambio[$/U$S]))</f>
        <v>24.301686759046497</v>
      </c>
      <c r="AL128" s="706">
        <f>SUMPRODUCT((Producción_Agricola[[#This Row],[Mes Financiero]]=Tipo_Cambio[Mes])*(Producción_Agricola[[#This Row],[Año Financiero]]=Tipo_Cambio[Año])*(Tipo_Cambio[Actualización]))</f>
        <v>1.2189944199947573</v>
      </c>
      <c r="AM128" s="702">
        <f>IFERROR(Producción_Agricola[[#This Row],[Económico $Corrientes]]/Producción_Agricola[[#This Row],[Superficie]],0)</f>
        <v>0</v>
      </c>
      <c r="AN128" s="706">
        <f>IFERROR(Producción_Agricola[[#This Row],[Económico $Constantes]]/Producción_Agricola[[#This Row],[Superficie]],0)</f>
        <v>0</v>
      </c>
      <c r="AO128" s="706">
        <f>IFERROR(Producción_Agricola[[#This Row],[Económico U$S Dólares]]/Producción_Agricola[[#This Row],[Superficie]],0)</f>
        <v>0</v>
      </c>
      <c r="AP128" s="707" t="str">
        <f>IF(Económico!$F$4=0,0,Producción_Agricola[[#This Row],[Centro de Costo]])</f>
        <v>Campo 1</v>
      </c>
      <c r="AQ128" s="512" t="s">
        <v>378</v>
      </c>
      <c r="AR128" s="513"/>
      <c r="AS128"/>
    </row>
    <row r="129" spans="2:45" x14ac:dyDescent="0.25">
      <c r="B129" s="487">
        <f>$J$125</f>
        <v>110</v>
      </c>
      <c r="D129" s="478">
        <f t="shared" ref="D129:D130" si="32">D128</f>
        <v>43266</v>
      </c>
      <c r="E129" s="478">
        <v>43586</v>
      </c>
      <c r="F129" s="668" t="str">
        <f t="shared" si="30"/>
        <v>2018-2019</v>
      </c>
      <c r="G129" s="669" t="str">
        <f t="shared" si="29"/>
        <v>Campo 1</v>
      </c>
      <c r="H129" s="669" t="str">
        <f t="shared" si="31"/>
        <v>Soja de Primera</v>
      </c>
      <c r="I129" s="670" t="str">
        <f>IFERROR(INDEX(Tabla8[],MATCH(Producción_Agricola[[#This Row],[Unidad de Negocio]],Tabla8[Unidades de Negocio],0),2),0)</f>
        <v>Soja</v>
      </c>
      <c r="J129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29" s="481" t="s">
        <v>17</v>
      </c>
      <c r="L129" s="482" t="s">
        <v>49</v>
      </c>
      <c r="M129" s="483">
        <v>0</v>
      </c>
      <c r="N129" s="484" t="s">
        <v>387</v>
      </c>
      <c r="O129" s="690">
        <f>Producción_Agricola[[#This Row],[Superficie]]*Producción_Agricola[[#This Row],[Cantidad]]</f>
        <v>0</v>
      </c>
      <c r="P129" s="482">
        <v>7</v>
      </c>
      <c r="Q129" s="484" t="s">
        <v>3</v>
      </c>
      <c r="R129" s="485">
        <v>0.06</v>
      </c>
      <c r="S129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29" s="695">
        <f>IFERROR(Producción_Agricola[[#This Row],[Económico $Corrientes]]/Producción_Agricola[[#This Row],[Indexación Económico]],0)</f>
        <v>0</v>
      </c>
      <c r="U12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2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29" s="695">
        <f>IFERROR(Producción_Agricola[[#This Row],[Financiero $Corrientes]]/Producción_Agricola[[#This Row],[Indexación Financiero]],0)</f>
        <v>0</v>
      </c>
      <c r="X12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2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29" s="699">
        <f>IFERROR(Producción_Agricola[[#This Row],[Intereses $Corrientes]]/Producción_Agricola[[#This Row],[Indexación Financiero]],0)</f>
        <v>0</v>
      </c>
      <c r="AA12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29" s="701" t="str">
        <f>IFERROR(INDEX(Produccion_Agricola_Cuentas[],MATCH(Producción_Agricola[[#This Row],[Cuenta Contable]],Produccion_Agricola_Cuentas[Cuenta Contable],0),2),0)</f>
        <v>Egreso</v>
      </c>
      <c r="AC129" s="702" t="str">
        <f>IFERROR(INDEX(Tabla9[],MATCH(Producción_Agricola[[#This Row],[Movimiento]],Tabla9[Movimientos],0),2),0)</f>
        <v>Si</v>
      </c>
      <c r="AD129" s="703" t="str">
        <f>IFERROR(INDEX(Tabla9[],MATCH(Producción_Agricola[[#This Row],[Movimiento]],Tabla9[Movimientos],0),3),0)</f>
        <v>(-)</v>
      </c>
      <c r="AE129" s="698">
        <f>IF(Producción_Agricola[[#This Row],[Fecha Económico]]=0,0,MONTH(Producción_Agricola[[#This Row],[Fecha Económico]]))</f>
        <v>6</v>
      </c>
      <c r="AF129" s="699">
        <f>IF(Producción_Agricola[[#This Row],[Fecha Económico]]=0,0,YEAR(Producción_Agricola[[#This Row],[Fecha Económico]]))</f>
        <v>2018</v>
      </c>
      <c r="AG129" s="704">
        <f>SUMPRODUCT((Producción_Agricola[[#This Row],[Mes Económico]]=Tipo_Cambio[Mes])*(Producción_Agricola[[#This Row],[Año Económico]]=Tipo_Cambio[Año])*(Tipo_Cambio[$/U$S]))</f>
        <v>0</v>
      </c>
      <c r="AH129" s="703">
        <f>SUMPRODUCT((Producción_Agricola[[#This Row],[Mes Económico]]=Tipo_Cambio[Mes])*(Producción_Agricola[[#This Row],[Año Económico]]=Tipo_Cambio[Año])*(Tipo_Cambio[Actualización]))</f>
        <v>0</v>
      </c>
      <c r="AI129" s="705">
        <f>IF(ISNUMBER(Producción_Agricola[[#This Row],[Fecha Financiero]])=TRUE,MONTH(Producción_Agricola[[#This Row],[Fecha Financiero]]),0)</f>
        <v>5</v>
      </c>
      <c r="AJ129" s="705">
        <f>IF(ISNUMBER(Producción_Agricola[[#This Row],[Fecha Financiero]])=TRUE,YEAR(Producción_Agricola[[#This Row],[Fecha Financiero]]),0)</f>
        <v>2019</v>
      </c>
      <c r="AK129" s="706">
        <f>SUMPRODUCT((Producción_Agricola[[#This Row],[Mes Financiero]]=Tipo_Cambio[Mes])*(Producción_Agricola[[#This Row],[Año Financiero]]=Tipo_Cambio[Año])*(Tipo_Cambio[$/U$S]))</f>
        <v>24.301686759046497</v>
      </c>
      <c r="AL129" s="706">
        <f>SUMPRODUCT((Producción_Agricola[[#This Row],[Mes Financiero]]=Tipo_Cambio[Mes])*(Producción_Agricola[[#This Row],[Año Financiero]]=Tipo_Cambio[Año])*(Tipo_Cambio[Actualización]))</f>
        <v>1.2189944199947573</v>
      </c>
      <c r="AM129" s="702">
        <f>IFERROR(Producción_Agricola[[#This Row],[Económico $Corrientes]]/Producción_Agricola[[#This Row],[Superficie]],0)</f>
        <v>0</v>
      </c>
      <c r="AN129" s="706">
        <f>IFERROR(Producción_Agricola[[#This Row],[Económico $Constantes]]/Producción_Agricola[[#This Row],[Superficie]],0)</f>
        <v>0</v>
      </c>
      <c r="AO129" s="706">
        <f>IFERROR(Producción_Agricola[[#This Row],[Económico U$S Dólares]]/Producción_Agricola[[#This Row],[Superficie]],0)</f>
        <v>0</v>
      </c>
      <c r="AP129" s="707" t="str">
        <f>IF(Económico!$F$4=0,0,Producción_Agricola[[#This Row],[Centro de Costo]])</f>
        <v>Campo 1</v>
      </c>
      <c r="AQ129" s="512" t="s">
        <v>378</v>
      </c>
      <c r="AR129" s="513"/>
      <c r="AS129"/>
    </row>
    <row r="130" spans="2:45" x14ac:dyDescent="0.25">
      <c r="D130" s="478">
        <f t="shared" si="32"/>
        <v>43266</v>
      </c>
      <c r="E130" s="478">
        <v>43586</v>
      </c>
      <c r="F130" s="668" t="str">
        <f t="shared" si="30"/>
        <v>2018-2019</v>
      </c>
      <c r="G130" s="669" t="str">
        <f t="shared" si="29"/>
        <v>Campo 1</v>
      </c>
      <c r="H130" s="669" t="str">
        <f t="shared" si="31"/>
        <v>Soja de Primera</v>
      </c>
      <c r="I130" s="670" t="str">
        <f>IFERROR(INDEX(Tabla8[],MATCH(Producción_Agricola[[#This Row],[Unidad de Negocio]],Tabla8[Unidades de Negocio],0),2),0)</f>
        <v>Soja</v>
      </c>
      <c r="J130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30" s="481" t="s">
        <v>24</v>
      </c>
      <c r="L130" s="482" t="s">
        <v>363</v>
      </c>
      <c r="M130" s="483">
        <v>0</v>
      </c>
      <c r="N130" s="484" t="s">
        <v>387</v>
      </c>
      <c r="O130" s="690">
        <f>Producción_Agricola[[#This Row],[Superficie]]*Producción_Agricola[[#This Row],[Cantidad]]</f>
        <v>0</v>
      </c>
      <c r="P130" s="482">
        <v>18</v>
      </c>
      <c r="Q130" s="484" t="s">
        <v>3</v>
      </c>
      <c r="R130" s="485">
        <v>0.06</v>
      </c>
      <c r="S130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30" s="695">
        <f>IFERROR(Producción_Agricola[[#This Row],[Económico $Corrientes]]/Producción_Agricola[[#This Row],[Indexación Económico]],0)</f>
        <v>0</v>
      </c>
      <c r="U13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3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30" s="695">
        <f>IFERROR(Producción_Agricola[[#This Row],[Financiero $Corrientes]]/Producción_Agricola[[#This Row],[Indexación Financiero]],0)</f>
        <v>0</v>
      </c>
      <c r="X13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3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30" s="699">
        <f>IFERROR(Producción_Agricola[[#This Row],[Intereses $Corrientes]]/Producción_Agricola[[#This Row],[Indexación Financiero]],0)</f>
        <v>0</v>
      </c>
      <c r="AA13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30" s="701" t="str">
        <f>IFERROR(INDEX(Produccion_Agricola_Cuentas[],MATCH(Producción_Agricola[[#This Row],[Cuenta Contable]],Produccion_Agricola_Cuentas[Cuenta Contable],0),2),0)</f>
        <v>Egreso</v>
      </c>
      <c r="AC130" s="702" t="str">
        <f>IFERROR(INDEX(Tabla9[],MATCH(Producción_Agricola[[#This Row],[Movimiento]],Tabla9[Movimientos],0),2),0)</f>
        <v>Si</v>
      </c>
      <c r="AD130" s="703" t="str">
        <f>IFERROR(INDEX(Tabla9[],MATCH(Producción_Agricola[[#This Row],[Movimiento]],Tabla9[Movimientos],0),3),0)</f>
        <v>(-)</v>
      </c>
      <c r="AE130" s="698">
        <f>IF(Producción_Agricola[[#This Row],[Fecha Económico]]=0,0,MONTH(Producción_Agricola[[#This Row],[Fecha Económico]]))</f>
        <v>6</v>
      </c>
      <c r="AF130" s="699">
        <f>IF(Producción_Agricola[[#This Row],[Fecha Económico]]=0,0,YEAR(Producción_Agricola[[#This Row],[Fecha Económico]]))</f>
        <v>2018</v>
      </c>
      <c r="AG130" s="704">
        <f>SUMPRODUCT((Producción_Agricola[[#This Row],[Mes Económico]]=Tipo_Cambio[Mes])*(Producción_Agricola[[#This Row],[Año Económico]]=Tipo_Cambio[Año])*(Tipo_Cambio[$/U$S]))</f>
        <v>0</v>
      </c>
      <c r="AH130" s="703">
        <f>SUMPRODUCT((Producción_Agricola[[#This Row],[Mes Económico]]=Tipo_Cambio[Mes])*(Producción_Agricola[[#This Row],[Año Económico]]=Tipo_Cambio[Año])*(Tipo_Cambio[Actualización]))</f>
        <v>0</v>
      </c>
      <c r="AI130" s="705">
        <f>IF(ISNUMBER(Producción_Agricola[[#This Row],[Fecha Financiero]])=TRUE,MONTH(Producción_Agricola[[#This Row],[Fecha Financiero]]),0)</f>
        <v>5</v>
      </c>
      <c r="AJ130" s="705">
        <f>IF(ISNUMBER(Producción_Agricola[[#This Row],[Fecha Financiero]])=TRUE,YEAR(Producción_Agricola[[#This Row],[Fecha Financiero]]),0)</f>
        <v>2019</v>
      </c>
      <c r="AK130" s="706">
        <f>SUMPRODUCT((Producción_Agricola[[#This Row],[Mes Financiero]]=Tipo_Cambio[Mes])*(Producción_Agricola[[#This Row],[Año Financiero]]=Tipo_Cambio[Año])*(Tipo_Cambio[$/U$S]))</f>
        <v>24.301686759046497</v>
      </c>
      <c r="AL130" s="706">
        <f>SUMPRODUCT((Producción_Agricola[[#This Row],[Mes Financiero]]=Tipo_Cambio[Mes])*(Producción_Agricola[[#This Row],[Año Financiero]]=Tipo_Cambio[Año])*(Tipo_Cambio[Actualización]))</f>
        <v>1.2189944199947573</v>
      </c>
      <c r="AM130" s="702">
        <f>IFERROR(Producción_Agricola[[#This Row],[Económico $Corrientes]]/Producción_Agricola[[#This Row],[Superficie]],0)</f>
        <v>0</v>
      </c>
      <c r="AN130" s="706">
        <f>IFERROR(Producción_Agricola[[#This Row],[Económico $Constantes]]/Producción_Agricola[[#This Row],[Superficie]],0)</f>
        <v>0</v>
      </c>
      <c r="AO130" s="706">
        <f>IFERROR(Producción_Agricola[[#This Row],[Económico U$S Dólares]]/Producción_Agricola[[#This Row],[Superficie]],0)</f>
        <v>0</v>
      </c>
      <c r="AP130" s="707" t="str">
        <f>IF(Económico!$F$4=0,0,Producción_Agricola[[#This Row],[Centro de Costo]])</f>
        <v>Campo 1</v>
      </c>
      <c r="AQ130" s="512" t="s">
        <v>378</v>
      </c>
      <c r="AR130" s="513"/>
      <c r="AS130"/>
    </row>
    <row r="131" spans="2:45" x14ac:dyDescent="0.25">
      <c r="D131" s="478">
        <f>D127+45</f>
        <v>43311</v>
      </c>
      <c r="E131" s="478">
        <f>Producción_Agricola[[#This Row],[Fecha Económico]]+30</f>
        <v>43341</v>
      </c>
      <c r="F131" s="668" t="str">
        <f t="shared" si="30"/>
        <v>2018-2019</v>
      </c>
      <c r="G131" s="669" t="str">
        <f t="shared" si="29"/>
        <v>Campo 1</v>
      </c>
      <c r="H131" s="669" t="str">
        <f t="shared" si="31"/>
        <v>Soja de Primera</v>
      </c>
      <c r="I131" s="670" t="str">
        <f>IFERROR(INDEX(Tabla8[],MATCH(Producción_Agricola[[#This Row],[Unidad de Negocio]],Tabla8[Unidades de Negocio],0),2),0)</f>
        <v>Soja</v>
      </c>
      <c r="J131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31" s="481" t="s">
        <v>25</v>
      </c>
      <c r="L131" s="482" t="s">
        <v>219</v>
      </c>
      <c r="M131" s="483">
        <v>0</v>
      </c>
      <c r="N131" s="484" t="s">
        <v>389</v>
      </c>
      <c r="O131" s="690">
        <f>Producción_Agricola[[#This Row],[Superficie]]*Producción_Agricola[[#This Row],[Cantidad]]</f>
        <v>0</v>
      </c>
      <c r="P131" s="482">
        <v>120</v>
      </c>
      <c r="Q131" s="484" t="s">
        <v>48</v>
      </c>
      <c r="R131" s="485">
        <v>0</v>
      </c>
      <c r="S131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31" s="695">
        <f>IFERROR(Producción_Agricola[[#This Row],[Económico $Corrientes]]/Producción_Agricola[[#This Row],[Indexación Económico]],0)</f>
        <v>0</v>
      </c>
      <c r="U13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3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31" s="695">
        <f>IFERROR(Producción_Agricola[[#This Row],[Financiero $Corrientes]]/Producción_Agricola[[#This Row],[Indexación Financiero]],0)</f>
        <v>0</v>
      </c>
      <c r="X13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3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31" s="699">
        <f>IFERROR(Producción_Agricola[[#This Row],[Intereses $Corrientes]]/Producción_Agricola[[#This Row],[Indexación Financiero]],0)</f>
        <v>0</v>
      </c>
      <c r="AA13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31" s="701" t="str">
        <f>IFERROR(INDEX(Produccion_Agricola_Cuentas[],MATCH(Producción_Agricola[[#This Row],[Cuenta Contable]],Produccion_Agricola_Cuentas[Cuenta Contable],0),2),0)</f>
        <v>Egreso</v>
      </c>
      <c r="AC131" s="702" t="str">
        <f>IFERROR(INDEX(Tabla9[],MATCH(Producción_Agricola[[#This Row],[Movimiento]],Tabla9[Movimientos],0),2),0)</f>
        <v>Si</v>
      </c>
      <c r="AD131" s="703" t="str">
        <f>IFERROR(INDEX(Tabla9[],MATCH(Producción_Agricola[[#This Row],[Movimiento]],Tabla9[Movimientos],0),3),0)</f>
        <v>(-)</v>
      </c>
      <c r="AE131" s="698">
        <f>IF(Producción_Agricola[[#This Row],[Fecha Económico]]=0,0,MONTH(Producción_Agricola[[#This Row],[Fecha Económico]]))</f>
        <v>7</v>
      </c>
      <c r="AF131" s="699">
        <f>IF(Producción_Agricola[[#This Row],[Fecha Económico]]=0,0,YEAR(Producción_Agricola[[#This Row],[Fecha Económico]]))</f>
        <v>2018</v>
      </c>
      <c r="AG131" s="704">
        <f>SUMPRODUCT((Producción_Agricola[[#This Row],[Mes Económico]]=Tipo_Cambio[Mes])*(Producción_Agricola[[#This Row],[Año Económico]]=Tipo_Cambio[Año])*(Tipo_Cambio[$/U$S]))</f>
        <v>22</v>
      </c>
      <c r="AH131" s="703">
        <f>SUMPRODUCT((Producción_Agricola[[#This Row],[Mes Económico]]=Tipo_Cambio[Mes])*(Producción_Agricola[[#This Row],[Año Económico]]=Tipo_Cambio[Año])*(Tipo_Cambio[Actualización]))</f>
        <v>1</v>
      </c>
      <c r="AI131" s="705">
        <f>IF(ISNUMBER(Producción_Agricola[[#This Row],[Fecha Financiero]])=TRUE,MONTH(Producción_Agricola[[#This Row],[Fecha Financiero]]),0)</f>
        <v>8</v>
      </c>
      <c r="AJ131" s="705">
        <f>IF(ISNUMBER(Producción_Agricola[[#This Row],[Fecha Financiero]])=TRUE,YEAR(Producción_Agricola[[#This Row],[Fecha Financiero]]),0)</f>
        <v>2018</v>
      </c>
      <c r="AK131" s="706">
        <f>SUMPRODUCT((Producción_Agricola[[#This Row],[Mes Financiero]]=Tipo_Cambio[Mes])*(Producción_Agricola[[#This Row],[Año Financiero]]=Tipo_Cambio[Año])*(Tipo_Cambio[$/U$S]))</f>
        <v>22.22</v>
      </c>
      <c r="AL131" s="706">
        <f>SUMPRODUCT((Producción_Agricola[[#This Row],[Mes Financiero]]=Tipo_Cambio[Mes])*(Producción_Agricola[[#This Row],[Año Financiero]]=Tipo_Cambio[Año])*(Tipo_Cambio[Actualización]))</f>
        <v>1.02</v>
      </c>
      <c r="AM131" s="702">
        <f>IFERROR(Producción_Agricola[[#This Row],[Económico $Corrientes]]/Producción_Agricola[[#This Row],[Superficie]],0)</f>
        <v>0</v>
      </c>
      <c r="AN131" s="706">
        <f>IFERROR(Producción_Agricola[[#This Row],[Económico $Constantes]]/Producción_Agricola[[#This Row],[Superficie]],0)</f>
        <v>0</v>
      </c>
      <c r="AO131" s="706">
        <f>IFERROR(Producción_Agricola[[#This Row],[Económico U$S Dólares]]/Producción_Agricola[[#This Row],[Superficie]],0)</f>
        <v>0</v>
      </c>
      <c r="AP131" s="707" t="str">
        <f>IF(Económico!$F$4=0,0,Producción_Agricola[[#This Row],[Centro de Costo]])</f>
        <v>Campo 1</v>
      </c>
      <c r="AQ131" s="512" t="s">
        <v>380</v>
      </c>
      <c r="AR131" s="513"/>
      <c r="AS131"/>
    </row>
    <row r="132" spans="2:45" x14ac:dyDescent="0.25">
      <c r="D132" s="478">
        <f>D131</f>
        <v>43311</v>
      </c>
      <c r="E132" s="478">
        <v>43586</v>
      </c>
      <c r="F132" s="668" t="str">
        <f t="shared" si="30"/>
        <v>2018-2019</v>
      </c>
      <c r="G132" s="669" t="str">
        <f t="shared" si="29"/>
        <v>Campo 1</v>
      </c>
      <c r="H132" s="669" t="str">
        <f t="shared" si="31"/>
        <v>Soja de Primera</v>
      </c>
      <c r="I132" s="670" t="str">
        <f>IFERROR(INDEX(Tabla8[],MATCH(Producción_Agricola[[#This Row],[Unidad de Negocio]],Tabla8[Unidades de Negocio],0),2),0)</f>
        <v>Soja</v>
      </c>
      <c r="J132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32" s="481" t="s">
        <v>17</v>
      </c>
      <c r="L132" s="482" t="s">
        <v>50</v>
      </c>
      <c r="M132" s="483">
        <v>0</v>
      </c>
      <c r="N132" s="484" t="s">
        <v>387</v>
      </c>
      <c r="O132" s="690">
        <f>Producción_Agricola[[#This Row],[Superficie]]*Producción_Agricola[[#This Row],[Cantidad]]</f>
        <v>0</v>
      </c>
      <c r="P132" s="482">
        <v>3</v>
      </c>
      <c r="Q132" s="484" t="s">
        <v>3</v>
      </c>
      <c r="R132" s="485">
        <v>0.06</v>
      </c>
      <c r="S132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32" s="695">
        <f>IFERROR(Producción_Agricola[[#This Row],[Económico $Corrientes]]/Producción_Agricola[[#This Row],[Indexación Económico]],0)</f>
        <v>0</v>
      </c>
      <c r="U132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3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32" s="695">
        <f>IFERROR(Producción_Agricola[[#This Row],[Financiero $Corrientes]]/Producción_Agricola[[#This Row],[Indexación Financiero]],0)</f>
        <v>0</v>
      </c>
      <c r="X13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3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32" s="699">
        <f>IFERROR(Producción_Agricola[[#This Row],[Intereses $Corrientes]]/Producción_Agricola[[#This Row],[Indexación Financiero]],0)</f>
        <v>0</v>
      </c>
      <c r="AA13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32" s="701" t="str">
        <f>IFERROR(INDEX(Produccion_Agricola_Cuentas[],MATCH(Producción_Agricola[[#This Row],[Cuenta Contable]],Produccion_Agricola_Cuentas[Cuenta Contable],0),2),0)</f>
        <v>Egreso</v>
      </c>
      <c r="AC132" s="702" t="str">
        <f>IFERROR(INDEX(Tabla9[],MATCH(Producción_Agricola[[#This Row],[Movimiento]],Tabla9[Movimientos],0),2),0)</f>
        <v>Si</v>
      </c>
      <c r="AD132" s="703" t="str">
        <f>IFERROR(INDEX(Tabla9[],MATCH(Producción_Agricola[[#This Row],[Movimiento]],Tabla9[Movimientos],0),3),0)</f>
        <v>(-)</v>
      </c>
      <c r="AE132" s="698">
        <f>IF(Producción_Agricola[[#This Row],[Fecha Económico]]=0,0,MONTH(Producción_Agricola[[#This Row],[Fecha Económico]]))</f>
        <v>7</v>
      </c>
      <c r="AF132" s="699">
        <f>IF(Producción_Agricola[[#This Row],[Fecha Económico]]=0,0,YEAR(Producción_Agricola[[#This Row],[Fecha Económico]]))</f>
        <v>2018</v>
      </c>
      <c r="AG132" s="704">
        <f>SUMPRODUCT((Producción_Agricola[[#This Row],[Mes Económico]]=Tipo_Cambio[Mes])*(Producción_Agricola[[#This Row],[Año Económico]]=Tipo_Cambio[Año])*(Tipo_Cambio[$/U$S]))</f>
        <v>22</v>
      </c>
      <c r="AH132" s="703">
        <f>SUMPRODUCT((Producción_Agricola[[#This Row],[Mes Económico]]=Tipo_Cambio[Mes])*(Producción_Agricola[[#This Row],[Año Económico]]=Tipo_Cambio[Año])*(Tipo_Cambio[Actualización]))</f>
        <v>1</v>
      </c>
      <c r="AI132" s="705">
        <f>IF(ISNUMBER(Producción_Agricola[[#This Row],[Fecha Financiero]])=TRUE,MONTH(Producción_Agricola[[#This Row],[Fecha Financiero]]),0)</f>
        <v>5</v>
      </c>
      <c r="AJ132" s="705">
        <f>IF(ISNUMBER(Producción_Agricola[[#This Row],[Fecha Financiero]])=TRUE,YEAR(Producción_Agricola[[#This Row],[Fecha Financiero]]),0)</f>
        <v>2019</v>
      </c>
      <c r="AK132" s="706">
        <f>SUMPRODUCT((Producción_Agricola[[#This Row],[Mes Financiero]]=Tipo_Cambio[Mes])*(Producción_Agricola[[#This Row],[Año Financiero]]=Tipo_Cambio[Año])*(Tipo_Cambio[$/U$S]))</f>
        <v>24.301686759046497</v>
      </c>
      <c r="AL132" s="706">
        <f>SUMPRODUCT((Producción_Agricola[[#This Row],[Mes Financiero]]=Tipo_Cambio[Mes])*(Producción_Agricola[[#This Row],[Año Financiero]]=Tipo_Cambio[Año])*(Tipo_Cambio[Actualización]))</f>
        <v>1.2189944199947573</v>
      </c>
      <c r="AM132" s="702">
        <f>IFERROR(Producción_Agricola[[#This Row],[Económico $Corrientes]]/Producción_Agricola[[#This Row],[Superficie]],0)</f>
        <v>0</v>
      </c>
      <c r="AN132" s="706">
        <f>IFERROR(Producción_Agricola[[#This Row],[Económico $Constantes]]/Producción_Agricola[[#This Row],[Superficie]],0)</f>
        <v>0</v>
      </c>
      <c r="AO132" s="706">
        <f>IFERROR(Producción_Agricola[[#This Row],[Económico U$S Dólares]]/Producción_Agricola[[#This Row],[Superficie]],0)</f>
        <v>0</v>
      </c>
      <c r="AP132" s="707" t="str">
        <f>IF(Económico!$F$4=0,0,Producción_Agricola[[#This Row],[Centro de Costo]])</f>
        <v>Campo 1</v>
      </c>
      <c r="AQ132" s="512" t="s">
        <v>380</v>
      </c>
      <c r="AR132" s="513"/>
      <c r="AS132"/>
    </row>
    <row r="133" spans="2:45" x14ac:dyDescent="0.25">
      <c r="D133" s="478">
        <f t="shared" ref="D133:D135" si="33">D132</f>
        <v>43311</v>
      </c>
      <c r="E133" s="478">
        <v>43586</v>
      </c>
      <c r="F133" s="668" t="str">
        <f t="shared" si="30"/>
        <v>2018-2019</v>
      </c>
      <c r="G133" s="669" t="str">
        <f t="shared" si="29"/>
        <v>Campo 1</v>
      </c>
      <c r="H133" s="669" t="str">
        <f t="shared" si="31"/>
        <v>Soja de Primera</v>
      </c>
      <c r="I133" s="670" t="str">
        <f>IFERROR(INDEX(Tabla8[],MATCH(Producción_Agricola[[#This Row],[Unidad de Negocio]],Tabla8[Unidades de Negocio],0),2),0)</f>
        <v>Soja</v>
      </c>
      <c r="J133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33" s="481" t="s">
        <v>17</v>
      </c>
      <c r="L133" s="482" t="s">
        <v>49</v>
      </c>
      <c r="M133" s="483">
        <v>0</v>
      </c>
      <c r="N133" s="484" t="s">
        <v>387</v>
      </c>
      <c r="O133" s="690">
        <f>Producción_Agricola[[#This Row],[Superficie]]*Producción_Agricola[[#This Row],[Cantidad]]</f>
        <v>0</v>
      </c>
      <c r="P133" s="482">
        <v>7</v>
      </c>
      <c r="Q133" s="484" t="s">
        <v>3</v>
      </c>
      <c r="R133" s="485">
        <v>0.06</v>
      </c>
      <c r="S133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33" s="695">
        <f>IFERROR(Producción_Agricola[[#This Row],[Económico $Corrientes]]/Producción_Agricola[[#This Row],[Indexación Económico]],0)</f>
        <v>0</v>
      </c>
      <c r="U133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3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33" s="695">
        <f>IFERROR(Producción_Agricola[[#This Row],[Financiero $Corrientes]]/Producción_Agricola[[#This Row],[Indexación Financiero]],0)</f>
        <v>0</v>
      </c>
      <c r="X13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3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33" s="699">
        <f>IFERROR(Producción_Agricola[[#This Row],[Intereses $Corrientes]]/Producción_Agricola[[#This Row],[Indexación Financiero]],0)</f>
        <v>0</v>
      </c>
      <c r="AA13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33" s="701" t="str">
        <f>IFERROR(INDEX(Produccion_Agricola_Cuentas[],MATCH(Producción_Agricola[[#This Row],[Cuenta Contable]],Produccion_Agricola_Cuentas[Cuenta Contable],0),2),0)</f>
        <v>Egreso</v>
      </c>
      <c r="AC133" s="702" t="str">
        <f>IFERROR(INDEX(Tabla9[],MATCH(Producción_Agricola[[#This Row],[Movimiento]],Tabla9[Movimientos],0),2),0)</f>
        <v>Si</v>
      </c>
      <c r="AD133" s="703" t="str">
        <f>IFERROR(INDEX(Tabla9[],MATCH(Producción_Agricola[[#This Row],[Movimiento]],Tabla9[Movimientos],0),3),0)</f>
        <v>(-)</v>
      </c>
      <c r="AE133" s="698">
        <f>IF(Producción_Agricola[[#This Row],[Fecha Económico]]=0,0,MONTH(Producción_Agricola[[#This Row],[Fecha Económico]]))</f>
        <v>7</v>
      </c>
      <c r="AF133" s="699">
        <f>IF(Producción_Agricola[[#This Row],[Fecha Económico]]=0,0,YEAR(Producción_Agricola[[#This Row],[Fecha Económico]]))</f>
        <v>2018</v>
      </c>
      <c r="AG133" s="704">
        <f>SUMPRODUCT((Producción_Agricola[[#This Row],[Mes Económico]]=Tipo_Cambio[Mes])*(Producción_Agricola[[#This Row],[Año Económico]]=Tipo_Cambio[Año])*(Tipo_Cambio[$/U$S]))</f>
        <v>22</v>
      </c>
      <c r="AH133" s="703">
        <f>SUMPRODUCT((Producción_Agricola[[#This Row],[Mes Económico]]=Tipo_Cambio[Mes])*(Producción_Agricola[[#This Row],[Año Económico]]=Tipo_Cambio[Año])*(Tipo_Cambio[Actualización]))</f>
        <v>1</v>
      </c>
      <c r="AI133" s="705">
        <f>IF(ISNUMBER(Producción_Agricola[[#This Row],[Fecha Financiero]])=TRUE,MONTH(Producción_Agricola[[#This Row],[Fecha Financiero]]),0)</f>
        <v>5</v>
      </c>
      <c r="AJ133" s="705">
        <f>IF(ISNUMBER(Producción_Agricola[[#This Row],[Fecha Financiero]])=TRUE,YEAR(Producción_Agricola[[#This Row],[Fecha Financiero]]),0)</f>
        <v>2019</v>
      </c>
      <c r="AK133" s="706">
        <f>SUMPRODUCT((Producción_Agricola[[#This Row],[Mes Financiero]]=Tipo_Cambio[Mes])*(Producción_Agricola[[#This Row],[Año Financiero]]=Tipo_Cambio[Año])*(Tipo_Cambio[$/U$S]))</f>
        <v>24.301686759046497</v>
      </c>
      <c r="AL133" s="706">
        <f>SUMPRODUCT((Producción_Agricola[[#This Row],[Mes Financiero]]=Tipo_Cambio[Mes])*(Producción_Agricola[[#This Row],[Año Financiero]]=Tipo_Cambio[Año])*(Tipo_Cambio[Actualización]))</f>
        <v>1.2189944199947573</v>
      </c>
      <c r="AM133" s="702">
        <f>IFERROR(Producción_Agricola[[#This Row],[Económico $Corrientes]]/Producción_Agricola[[#This Row],[Superficie]],0)</f>
        <v>0</v>
      </c>
      <c r="AN133" s="706">
        <f>IFERROR(Producción_Agricola[[#This Row],[Económico $Constantes]]/Producción_Agricola[[#This Row],[Superficie]],0)</f>
        <v>0</v>
      </c>
      <c r="AO133" s="706">
        <f>IFERROR(Producción_Agricola[[#This Row],[Económico U$S Dólares]]/Producción_Agricola[[#This Row],[Superficie]],0)</f>
        <v>0</v>
      </c>
      <c r="AP133" s="707" t="str">
        <f>IF(Económico!$F$4=0,0,Producción_Agricola[[#This Row],[Centro de Costo]])</f>
        <v>Campo 1</v>
      </c>
      <c r="AQ133" s="512" t="s">
        <v>380</v>
      </c>
      <c r="AR133" s="513"/>
      <c r="AS133"/>
    </row>
    <row r="134" spans="2:45" x14ac:dyDescent="0.25">
      <c r="D134" s="478">
        <f t="shared" si="33"/>
        <v>43311</v>
      </c>
      <c r="E134" s="478">
        <v>43586</v>
      </c>
      <c r="F134" s="668" t="str">
        <f t="shared" si="30"/>
        <v>2018-2019</v>
      </c>
      <c r="G134" s="669" t="str">
        <f t="shared" si="29"/>
        <v>Campo 1</v>
      </c>
      <c r="H134" s="669" t="str">
        <f t="shared" si="31"/>
        <v>Soja de Primera</v>
      </c>
      <c r="I134" s="670" t="str">
        <f>IFERROR(INDEX(Tabla8[],MATCH(Producción_Agricola[[#This Row],[Unidad de Negocio]],Tabla8[Unidades de Negocio],0),2),0)</f>
        <v>Soja</v>
      </c>
      <c r="J134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34" s="481" t="s">
        <v>17</v>
      </c>
      <c r="L134" s="482" t="s">
        <v>205</v>
      </c>
      <c r="M134" s="483">
        <v>0</v>
      </c>
      <c r="N134" s="484" t="s">
        <v>388</v>
      </c>
      <c r="O134" s="690">
        <f>Producción_Agricola[[#This Row],[Superficie]]*Producción_Agricola[[#This Row],[Cantidad]]</f>
        <v>0</v>
      </c>
      <c r="P134" s="482">
        <v>8</v>
      </c>
      <c r="Q134" s="484" t="s">
        <v>3</v>
      </c>
      <c r="R134" s="485">
        <v>0.06</v>
      </c>
      <c r="S134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34" s="695">
        <f>IFERROR(Producción_Agricola[[#This Row],[Económico $Corrientes]]/Producción_Agricola[[#This Row],[Indexación Económico]],0)</f>
        <v>0</v>
      </c>
      <c r="U134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3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34" s="695">
        <f>IFERROR(Producción_Agricola[[#This Row],[Financiero $Corrientes]]/Producción_Agricola[[#This Row],[Indexación Financiero]],0)</f>
        <v>0</v>
      </c>
      <c r="X13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3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34" s="699">
        <f>IFERROR(Producción_Agricola[[#This Row],[Intereses $Corrientes]]/Producción_Agricola[[#This Row],[Indexación Financiero]],0)</f>
        <v>0</v>
      </c>
      <c r="AA13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34" s="701" t="str">
        <f>IFERROR(INDEX(Produccion_Agricola_Cuentas[],MATCH(Producción_Agricola[[#This Row],[Cuenta Contable]],Produccion_Agricola_Cuentas[Cuenta Contable],0),2),0)</f>
        <v>Egreso</v>
      </c>
      <c r="AC134" s="702" t="str">
        <f>IFERROR(INDEX(Tabla9[],MATCH(Producción_Agricola[[#This Row],[Movimiento]],Tabla9[Movimientos],0),2),0)</f>
        <v>Si</v>
      </c>
      <c r="AD134" s="703" t="str">
        <f>IFERROR(INDEX(Tabla9[],MATCH(Producción_Agricola[[#This Row],[Movimiento]],Tabla9[Movimientos],0),3),0)</f>
        <v>(-)</v>
      </c>
      <c r="AE134" s="698">
        <f>IF(Producción_Agricola[[#This Row],[Fecha Económico]]=0,0,MONTH(Producción_Agricola[[#This Row],[Fecha Económico]]))</f>
        <v>7</v>
      </c>
      <c r="AF134" s="699">
        <f>IF(Producción_Agricola[[#This Row],[Fecha Económico]]=0,0,YEAR(Producción_Agricola[[#This Row],[Fecha Económico]]))</f>
        <v>2018</v>
      </c>
      <c r="AG134" s="704">
        <f>SUMPRODUCT((Producción_Agricola[[#This Row],[Mes Económico]]=Tipo_Cambio[Mes])*(Producción_Agricola[[#This Row],[Año Económico]]=Tipo_Cambio[Año])*(Tipo_Cambio[$/U$S]))</f>
        <v>22</v>
      </c>
      <c r="AH134" s="703">
        <f>SUMPRODUCT((Producción_Agricola[[#This Row],[Mes Económico]]=Tipo_Cambio[Mes])*(Producción_Agricola[[#This Row],[Año Económico]]=Tipo_Cambio[Año])*(Tipo_Cambio[Actualización]))</f>
        <v>1</v>
      </c>
      <c r="AI134" s="705">
        <f>IF(ISNUMBER(Producción_Agricola[[#This Row],[Fecha Financiero]])=TRUE,MONTH(Producción_Agricola[[#This Row],[Fecha Financiero]]),0)</f>
        <v>5</v>
      </c>
      <c r="AJ134" s="705">
        <f>IF(ISNUMBER(Producción_Agricola[[#This Row],[Fecha Financiero]])=TRUE,YEAR(Producción_Agricola[[#This Row],[Fecha Financiero]]),0)</f>
        <v>2019</v>
      </c>
      <c r="AK134" s="706">
        <f>SUMPRODUCT((Producción_Agricola[[#This Row],[Mes Financiero]]=Tipo_Cambio[Mes])*(Producción_Agricola[[#This Row],[Año Financiero]]=Tipo_Cambio[Año])*(Tipo_Cambio[$/U$S]))</f>
        <v>24.301686759046497</v>
      </c>
      <c r="AL134" s="706">
        <f>SUMPRODUCT((Producción_Agricola[[#This Row],[Mes Financiero]]=Tipo_Cambio[Mes])*(Producción_Agricola[[#This Row],[Año Financiero]]=Tipo_Cambio[Año])*(Tipo_Cambio[Actualización]))</f>
        <v>1.2189944199947573</v>
      </c>
      <c r="AM134" s="702">
        <f>IFERROR(Producción_Agricola[[#This Row],[Económico $Corrientes]]/Producción_Agricola[[#This Row],[Superficie]],0)</f>
        <v>0</v>
      </c>
      <c r="AN134" s="706">
        <f>IFERROR(Producción_Agricola[[#This Row],[Económico $Constantes]]/Producción_Agricola[[#This Row],[Superficie]],0)</f>
        <v>0</v>
      </c>
      <c r="AO134" s="706">
        <f>IFERROR(Producción_Agricola[[#This Row],[Económico U$S Dólares]]/Producción_Agricola[[#This Row],[Superficie]],0)</f>
        <v>0</v>
      </c>
      <c r="AP134" s="707" t="str">
        <f>IF(Económico!$F$4=0,0,Producción_Agricola[[#This Row],[Centro de Costo]])</f>
        <v>Campo 1</v>
      </c>
      <c r="AQ134" s="512" t="s">
        <v>380</v>
      </c>
      <c r="AR134" s="513"/>
      <c r="AS134"/>
    </row>
    <row r="135" spans="2:45" x14ac:dyDescent="0.25">
      <c r="D135" s="478">
        <f t="shared" si="33"/>
        <v>43311</v>
      </c>
      <c r="E135" s="478">
        <v>43586</v>
      </c>
      <c r="F135" s="668" t="str">
        <f t="shared" si="30"/>
        <v>2018-2019</v>
      </c>
      <c r="G135" s="669" t="str">
        <f t="shared" si="29"/>
        <v>Campo 1</v>
      </c>
      <c r="H135" s="669" t="str">
        <f t="shared" si="31"/>
        <v>Soja de Primera</v>
      </c>
      <c r="I135" s="670" t="str">
        <f>IFERROR(INDEX(Tabla8[],MATCH(Producción_Agricola[[#This Row],[Unidad de Negocio]],Tabla8[Unidades de Negocio],0),2),0)</f>
        <v>Soja</v>
      </c>
      <c r="J135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35" s="481" t="s">
        <v>24</v>
      </c>
      <c r="L135" s="482" t="s">
        <v>363</v>
      </c>
      <c r="M135" s="483">
        <v>0</v>
      </c>
      <c r="N135" s="484" t="s">
        <v>387</v>
      </c>
      <c r="O135" s="690">
        <f>Producción_Agricola[[#This Row],[Superficie]]*Producción_Agricola[[#This Row],[Cantidad]]</f>
        <v>0</v>
      </c>
      <c r="P135" s="482">
        <v>18</v>
      </c>
      <c r="Q135" s="484" t="s">
        <v>3</v>
      </c>
      <c r="R135" s="485">
        <v>0.06</v>
      </c>
      <c r="S135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35" s="695">
        <f>IFERROR(Producción_Agricola[[#This Row],[Económico $Corrientes]]/Producción_Agricola[[#This Row],[Indexación Económico]],0)</f>
        <v>0</v>
      </c>
      <c r="U135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3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35" s="695">
        <f>IFERROR(Producción_Agricola[[#This Row],[Financiero $Corrientes]]/Producción_Agricola[[#This Row],[Indexación Financiero]],0)</f>
        <v>0</v>
      </c>
      <c r="X13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3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35" s="699">
        <f>IFERROR(Producción_Agricola[[#This Row],[Intereses $Corrientes]]/Producción_Agricola[[#This Row],[Indexación Financiero]],0)</f>
        <v>0</v>
      </c>
      <c r="AA13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35" s="701" t="str">
        <f>IFERROR(INDEX(Produccion_Agricola_Cuentas[],MATCH(Producción_Agricola[[#This Row],[Cuenta Contable]],Produccion_Agricola_Cuentas[Cuenta Contable],0),2),0)</f>
        <v>Egreso</v>
      </c>
      <c r="AC135" s="702" t="str">
        <f>IFERROR(INDEX(Tabla9[],MATCH(Producción_Agricola[[#This Row],[Movimiento]],Tabla9[Movimientos],0),2),0)</f>
        <v>Si</v>
      </c>
      <c r="AD135" s="703" t="str">
        <f>IFERROR(INDEX(Tabla9[],MATCH(Producción_Agricola[[#This Row],[Movimiento]],Tabla9[Movimientos],0),3),0)</f>
        <v>(-)</v>
      </c>
      <c r="AE135" s="698">
        <f>IF(Producción_Agricola[[#This Row],[Fecha Económico]]=0,0,MONTH(Producción_Agricola[[#This Row],[Fecha Económico]]))</f>
        <v>7</v>
      </c>
      <c r="AF135" s="699">
        <f>IF(Producción_Agricola[[#This Row],[Fecha Económico]]=0,0,YEAR(Producción_Agricola[[#This Row],[Fecha Económico]]))</f>
        <v>2018</v>
      </c>
      <c r="AG135" s="704">
        <f>SUMPRODUCT((Producción_Agricola[[#This Row],[Mes Económico]]=Tipo_Cambio[Mes])*(Producción_Agricola[[#This Row],[Año Económico]]=Tipo_Cambio[Año])*(Tipo_Cambio[$/U$S]))</f>
        <v>22</v>
      </c>
      <c r="AH135" s="703">
        <f>SUMPRODUCT((Producción_Agricola[[#This Row],[Mes Económico]]=Tipo_Cambio[Mes])*(Producción_Agricola[[#This Row],[Año Económico]]=Tipo_Cambio[Año])*(Tipo_Cambio[Actualización]))</f>
        <v>1</v>
      </c>
      <c r="AI135" s="705">
        <f>IF(ISNUMBER(Producción_Agricola[[#This Row],[Fecha Financiero]])=TRUE,MONTH(Producción_Agricola[[#This Row],[Fecha Financiero]]),0)</f>
        <v>5</v>
      </c>
      <c r="AJ135" s="705">
        <f>IF(ISNUMBER(Producción_Agricola[[#This Row],[Fecha Financiero]])=TRUE,YEAR(Producción_Agricola[[#This Row],[Fecha Financiero]]),0)</f>
        <v>2019</v>
      </c>
      <c r="AK135" s="706">
        <f>SUMPRODUCT((Producción_Agricola[[#This Row],[Mes Financiero]]=Tipo_Cambio[Mes])*(Producción_Agricola[[#This Row],[Año Financiero]]=Tipo_Cambio[Año])*(Tipo_Cambio[$/U$S]))</f>
        <v>24.301686759046497</v>
      </c>
      <c r="AL135" s="706">
        <f>SUMPRODUCT((Producción_Agricola[[#This Row],[Mes Financiero]]=Tipo_Cambio[Mes])*(Producción_Agricola[[#This Row],[Año Financiero]]=Tipo_Cambio[Año])*(Tipo_Cambio[Actualización]))</f>
        <v>1.2189944199947573</v>
      </c>
      <c r="AM135" s="702">
        <f>IFERROR(Producción_Agricola[[#This Row],[Económico $Corrientes]]/Producción_Agricola[[#This Row],[Superficie]],0)</f>
        <v>0</v>
      </c>
      <c r="AN135" s="706">
        <f>IFERROR(Producción_Agricola[[#This Row],[Económico $Constantes]]/Producción_Agricola[[#This Row],[Superficie]],0)</f>
        <v>0</v>
      </c>
      <c r="AO135" s="706">
        <f>IFERROR(Producción_Agricola[[#This Row],[Económico U$S Dólares]]/Producción_Agricola[[#This Row],[Superficie]],0)</f>
        <v>0</v>
      </c>
      <c r="AP135" s="707" t="str">
        <f>IF(Económico!$F$4=0,0,Producción_Agricola[[#This Row],[Centro de Costo]])</f>
        <v>Campo 1</v>
      </c>
      <c r="AQ135" s="512" t="s">
        <v>380</v>
      </c>
      <c r="AR135" s="513"/>
      <c r="AS135"/>
    </row>
    <row r="136" spans="2:45" x14ac:dyDescent="0.25">
      <c r="D136" s="478">
        <f>D132+50</f>
        <v>43361</v>
      </c>
      <c r="E136" s="478">
        <f>Producción_Agricola[[#This Row],[Fecha Económico]]+30</f>
        <v>43391</v>
      </c>
      <c r="F136" s="668" t="str">
        <f t="shared" si="30"/>
        <v>2018-2019</v>
      </c>
      <c r="G136" s="669" t="str">
        <f t="shared" si="29"/>
        <v>Campo 1</v>
      </c>
      <c r="H136" s="669" t="str">
        <f t="shared" si="31"/>
        <v>Soja de Primera</v>
      </c>
      <c r="I136" s="670" t="str">
        <f>IFERROR(INDEX(Tabla8[],MATCH(Producción_Agricola[[#This Row],[Unidad de Negocio]],Tabla8[Unidades de Negocio],0),2),0)</f>
        <v>Soja</v>
      </c>
      <c r="J136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36" s="481" t="s">
        <v>25</v>
      </c>
      <c r="L136" s="482" t="s">
        <v>219</v>
      </c>
      <c r="M136" s="483">
        <v>0</v>
      </c>
      <c r="N136" s="484" t="s">
        <v>389</v>
      </c>
      <c r="O136" s="690">
        <f>Producción_Agricola[[#This Row],[Superficie]]*Producción_Agricola[[#This Row],[Cantidad]]</f>
        <v>0</v>
      </c>
      <c r="P136" s="482">
        <v>120</v>
      </c>
      <c r="Q136" s="484" t="s">
        <v>48</v>
      </c>
      <c r="R136" s="485">
        <v>0</v>
      </c>
      <c r="S136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36" s="695">
        <f>IFERROR(Producción_Agricola[[#This Row],[Económico $Corrientes]]/Producción_Agricola[[#This Row],[Indexación Económico]],0)</f>
        <v>0</v>
      </c>
      <c r="U13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3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36" s="695">
        <f>IFERROR(Producción_Agricola[[#This Row],[Financiero $Corrientes]]/Producción_Agricola[[#This Row],[Indexación Financiero]],0)</f>
        <v>0</v>
      </c>
      <c r="X13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3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36" s="699">
        <f>IFERROR(Producción_Agricola[[#This Row],[Intereses $Corrientes]]/Producción_Agricola[[#This Row],[Indexación Financiero]],0)</f>
        <v>0</v>
      </c>
      <c r="AA13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36" s="701" t="str">
        <f>IFERROR(INDEX(Produccion_Agricola_Cuentas[],MATCH(Producción_Agricola[[#This Row],[Cuenta Contable]],Produccion_Agricola_Cuentas[Cuenta Contable],0),2),0)</f>
        <v>Egreso</v>
      </c>
      <c r="AC136" s="702" t="str">
        <f>IFERROR(INDEX(Tabla9[],MATCH(Producción_Agricola[[#This Row],[Movimiento]],Tabla9[Movimientos],0),2),0)</f>
        <v>Si</v>
      </c>
      <c r="AD136" s="703" t="str">
        <f>IFERROR(INDEX(Tabla9[],MATCH(Producción_Agricola[[#This Row],[Movimiento]],Tabla9[Movimientos],0),3),0)</f>
        <v>(-)</v>
      </c>
      <c r="AE136" s="698">
        <f>IF(Producción_Agricola[[#This Row],[Fecha Económico]]=0,0,MONTH(Producción_Agricola[[#This Row],[Fecha Económico]]))</f>
        <v>9</v>
      </c>
      <c r="AF136" s="699">
        <f>IF(Producción_Agricola[[#This Row],[Fecha Económico]]=0,0,YEAR(Producción_Agricola[[#This Row],[Fecha Económico]]))</f>
        <v>2018</v>
      </c>
      <c r="AG136" s="704">
        <f>SUMPRODUCT((Producción_Agricola[[#This Row],[Mes Económico]]=Tipo_Cambio[Mes])*(Producción_Agricola[[#This Row],[Año Económico]]=Tipo_Cambio[Año])*(Tipo_Cambio[$/U$S]))</f>
        <v>22.4422</v>
      </c>
      <c r="AH136" s="703">
        <f>SUMPRODUCT((Producción_Agricola[[#This Row],[Mes Económico]]=Tipo_Cambio[Mes])*(Producción_Agricola[[#This Row],[Año Económico]]=Tipo_Cambio[Año])*(Tipo_Cambio[Actualización]))</f>
        <v>1.0404</v>
      </c>
      <c r="AI136" s="705">
        <f>IF(ISNUMBER(Producción_Agricola[[#This Row],[Fecha Financiero]])=TRUE,MONTH(Producción_Agricola[[#This Row],[Fecha Financiero]]),0)</f>
        <v>10</v>
      </c>
      <c r="AJ136" s="705">
        <f>IF(ISNUMBER(Producción_Agricola[[#This Row],[Fecha Financiero]])=TRUE,YEAR(Producción_Agricola[[#This Row],[Fecha Financiero]]),0)</f>
        <v>2018</v>
      </c>
      <c r="AK136" s="706">
        <f>SUMPRODUCT((Producción_Agricola[[#This Row],[Mes Financiero]]=Tipo_Cambio[Mes])*(Producción_Agricola[[#This Row],[Año Financiero]]=Tipo_Cambio[Año])*(Tipo_Cambio[$/U$S]))</f>
        <v>22.666622</v>
      </c>
      <c r="AL136" s="706">
        <f>SUMPRODUCT((Producción_Agricola[[#This Row],[Mes Financiero]]=Tipo_Cambio[Mes])*(Producción_Agricola[[#This Row],[Año Financiero]]=Tipo_Cambio[Año])*(Tipo_Cambio[Actualización]))</f>
        <v>1.0612079999999999</v>
      </c>
      <c r="AM136" s="702">
        <f>IFERROR(Producción_Agricola[[#This Row],[Económico $Corrientes]]/Producción_Agricola[[#This Row],[Superficie]],0)</f>
        <v>0</v>
      </c>
      <c r="AN136" s="706">
        <f>IFERROR(Producción_Agricola[[#This Row],[Económico $Constantes]]/Producción_Agricola[[#This Row],[Superficie]],0)</f>
        <v>0</v>
      </c>
      <c r="AO136" s="706">
        <f>IFERROR(Producción_Agricola[[#This Row],[Económico U$S Dólares]]/Producción_Agricola[[#This Row],[Superficie]],0)</f>
        <v>0</v>
      </c>
      <c r="AP136" s="707" t="str">
        <f>IF(Económico!$F$4=0,0,Producción_Agricola[[#This Row],[Centro de Costo]])</f>
        <v>Campo 1</v>
      </c>
      <c r="AQ136" s="512" t="s">
        <v>379</v>
      </c>
      <c r="AR136" s="513"/>
      <c r="AS136"/>
    </row>
    <row r="137" spans="2:45" x14ac:dyDescent="0.25">
      <c r="D137" s="478">
        <f>D136</f>
        <v>43361</v>
      </c>
      <c r="E137" s="478">
        <v>43586</v>
      </c>
      <c r="F137" s="668" t="str">
        <f t="shared" si="30"/>
        <v>2018-2019</v>
      </c>
      <c r="G137" s="669" t="str">
        <f t="shared" si="29"/>
        <v>Campo 1</v>
      </c>
      <c r="H137" s="669" t="str">
        <f t="shared" si="31"/>
        <v>Soja de Primera</v>
      </c>
      <c r="I137" s="670" t="str">
        <f>IFERROR(INDEX(Tabla8[],MATCH(Producción_Agricola[[#This Row],[Unidad de Negocio]],Tabla8[Unidades de Negocio],0),2),0)</f>
        <v>Soja</v>
      </c>
      <c r="J137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37" s="481" t="s">
        <v>17</v>
      </c>
      <c r="L137" s="482" t="s">
        <v>50</v>
      </c>
      <c r="M137" s="483">
        <v>0</v>
      </c>
      <c r="N137" s="484" t="s">
        <v>387</v>
      </c>
      <c r="O137" s="690">
        <f>Producción_Agricola[[#This Row],[Superficie]]*Producción_Agricola[[#This Row],[Cantidad]]</f>
        <v>0</v>
      </c>
      <c r="P137" s="482">
        <v>3</v>
      </c>
      <c r="Q137" s="484" t="s">
        <v>3</v>
      </c>
      <c r="R137" s="485">
        <v>0.06</v>
      </c>
      <c r="S137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37" s="695">
        <f>IFERROR(Producción_Agricola[[#This Row],[Económico $Corrientes]]/Producción_Agricola[[#This Row],[Indexación Económico]],0)</f>
        <v>0</v>
      </c>
      <c r="U13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3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37" s="695">
        <f>IFERROR(Producción_Agricola[[#This Row],[Financiero $Corrientes]]/Producción_Agricola[[#This Row],[Indexación Financiero]],0)</f>
        <v>0</v>
      </c>
      <c r="X13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3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37" s="699">
        <f>IFERROR(Producción_Agricola[[#This Row],[Intereses $Corrientes]]/Producción_Agricola[[#This Row],[Indexación Financiero]],0)</f>
        <v>0</v>
      </c>
      <c r="AA13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37" s="701" t="str">
        <f>IFERROR(INDEX(Produccion_Agricola_Cuentas[],MATCH(Producción_Agricola[[#This Row],[Cuenta Contable]],Produccion_Agricola_Cuentas[Cuenta Contable],0),2),0)</f>
        <v>Egreso</v>
      </c>
      <c r="AC137" s="702" t="str">
        <f>IFERROR(INDEX(Tabla9[],MATCH(Producción_Agricola[[#This Row],[Movimiento]],Tabla9[Movimientos],0),2),0)</f>
        <v>Si</v>
      </c>
      <c r="AD137" s="703" t="str">
        <f>IFERROR(INDEX(Tabla9[],MATCH(Producción_Agricola[[#This Row],[Movimiento]],Tabla9[Movimientos],0),3),0)</f>
        <v>(-)</v>
      </c>
      <c r="AE137" s="698">
        <f>IF(Producción_Agricola[[#This Row],[Fecha Económico]]=0,0,MONTH(Producción_Agricola[[#This Row],[Fecha Económico]]))</f>
        <v>9</v>
      </c>
      <c r="AF137" s="699">
        <f>IF(Producción_Agricola[[#This Row],[Fecha Económico]]=0,0,YEAR(Producción_Agricola[[#This Row],[Fecha Económico]]))</f>
        <v>2018</v>
      </c>
      <c r="AG137" s="704">
        <f>SUMPRODUCT((Producción_Agricola[[#This Row],[Mes Económico]]=Tipo_Cambio[Mes])*(Producción_Agricola[[#This Row],[Año Económico]]=Tipo_Cambio[Año])*(Tipo_Cambio[$/U$S]))</f>
        <v>22.4422</v>
      </c>
      <c r="AH137" s="703">
        <f>SUMPRODUCT((Producción_Agricola[[#This Row],[Mes Económico]]=Tipo_Cambio[Mes])*(Producción_Agricola[[#This Row],[Año Económico]]=Tipo_Cambio[Año])*(Tipo_Cambio[Actualización]))</f>
        <v>1.0404</v>
      </c>
      <c r="AI137" s="705">
        <f>IF(ISNUMBER(Producción_Agricola[[#This Row],[Fecha Financiero]])=TRUE,MONTH(Producción_Agricola[[#This Row],[Fecha Financiero]]),0)</f>
        <v>5</v>
      </c>
      <c r="AJ137" s="705">
        <f>IF(ISNUMBER(Producción_Agricola[[#This Row],[Fecha Financiero]])=TRUE,YEAR(Producción_Agricola[[#This Row],[Fecha Financiero]]),0)</f>
        <v>2019</v>
      </c>
      <c r="AK137" s="706">
        <f>SUMPRODUCT((Producción_Agricola[[#This Row],[Mes Financiero]]=Tipo_Cambio[Mes])*(Producción_Agricola[[#This Row],[Año Financiero]]=Tipo_Cambio[Año])*(Tipo_Cambio[$/U$S]))</f>
        <v>24.301686759046497</v>
      </c>
      <c r="AL137" s="706">
        <f>SUMPRODUCT((Producción_Agricola[[#This Row],[Mes Financiero]]=Tipo_Cambio[Mes])*(Producción_Agricola[[#This Row],[Año Financiero]]=Tipo_Cambio[Año])*(Tipo_Cambio[Actualización]))</f>
        <v>1.2189944199947573</v>
      </c>
      <c r="AM137" s="702">
        <f>IFERROR(Producción_Agricola[[#This Row],[Económico $Corrientes]]/Producción_Agricola[[#This Row],[Superficie]],0)</f>
        <v>0</v>
      </c>
      <c r="AN137" s="706">
        <f>IFERROR(Producción_Agricola[[#This Row],[Económico $Constantes]]/Producción_Agricola[[#This Row],[Superficie]],0)</f>
        <v>0</v>
      </c>
      <c r="AO137" s="706">
        <f>IFERROR(Producción_Agricola[[#This Row],[Económico U$S Dólares]]/Producción_Agricola[[#This Row],[Superficie]],0)</f>
        <v>0</v>
      </c>
      <c r="AP137" s="707" t="str">
        <f>IF(Económico!$F$4=0,0,Producción_Agricola[[#This Row],[Centro de Costo]])</f>
        <v>Campo 1</v>
      </c>
      <c r="AQ137" s="512" t="s">
        <v>379</v>
      </c>
      <c r="AR137" s="513"/>
      <c r="AS137"/>
    </row>
    <row r="138" spans="2:45" x14ac:dyDescent="0.25">
      <c r="D138" s="478">
        <f t="shared" ref="D138:D140" si="34">D137</f>
        <v>43361</v>
      </c>
      <c r="E138" s="478">
        <v>43586</v>
      </c>
      <c r="F138" s="668" t="str">
        <f t="shared" si="30"/>
        <v>2018-2019</v>
      </c>
      <c r="G138" s="669" t="str">
        <f t="shared" si="29"/>
        <v>Campo 1</v>
      </c>
      <c r="H138" s="669" t="str">
        <f t="shared" si="31"/>
        <v>Soja de Primera</v>
      </c>
      <c r="I138" s="670" t="str">
        <f>IFERROR(INDEX(Tabla8[],MATCH(Producción_Agricola[[#This Row],[Unidad de Negocio]],Tabla8[Unidades de Negocio],0),2),0)</f>
        <v>Soja</v>
      </c>
      <c r="J138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38" s="481" t="s">
        <v>17</v>
      </c>
      <c r="L138" s="482" t="s">
        <v>205</v>
      </c>
      <c r="M138" s="483">
        <v>0</v>
      </c>
      <c r="N138" s="484" t="s">
        <v>387</v>
      </c>
      <c r="O138" s="690">
        <f>Producción_Agricola[[#This Row],[Superficie]]*Producción_Agricola[[#This Row],[Cantidad]]</f>
        <v>0</v>
      </c>
      <c r="P138" s="482">
        <v>7</v>
      </c>
      <c r="Q138" s="484" t="s">
        <v>3</v>
      </c>
      <c r="R138" s="485">
        <v>0.06</v>
      </c>
      <c r="S138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38" s="695">
        <f>IFERROR(Producción_Agricola[[#This Row],[Económico $Corrientes]]/Producción_Agricola[[#This Row],[Indexación Económico]],0)</f>
        <v>0</v>
      </c>
      <c r="U13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3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38" s="695">
        <f>IFERROR(Producción_Agricola[[#This Row],[Financiero $Corrientes]]/Producción_Agricola[[#This Row],[Indexación Financiero]],0)</f>
        <v>0</v>
      </c>
      <c r="X13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3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38" s="699">
        <f>IFERROR(Producción_Agricola[[#This Row],[Intereses $Corrientes]]/Producción_Agricola[[#This Row],[Indexación Financiero]],0)</f>
        <v>0</v>
      </c>
      <c r="AA13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38" s="701" t="str">
        <f>IFERROR(INDEX(Produccion_Agricola_Cuentas[],MATCH(Producción_Agricola[[#This Row],[Cuenta Contable]],Produccion_Agricola_Cuentas[Cuenta Contable],0),2),0)</f>
        <v>Egreso</v>
      </c>
      <c r="AC138" s="702" t="str">
        <f>IFERROR(INDEX(Tabla9[],MATCH(Producción_Agricola[[#This Row],[Movimiento]],Tabla9[Movimientos],0),2),0)</f>
        <v>Si</v>
      </c>
      <c r="AD138" s="703" t="str">
        <f>IFERROR(INDEX(Tabla9[],MATCH(Producción_Agricola[[#This Row],[Movimiento]],Tabla9[Movimientos],0),3),0)</f>
        <v>(-)</v>
      </c>
      <c r="AE138" s="698">
        <f>IF(Producción_Agricola[[#This Row],[Fecha Económico]]=0,0,MONTH(Producción_Agricola[[#This Row],[Fecha Económico]]))</f>
        <v>9</v>
      </c>
      <c r="AF138" s="699">
        <f>IF(Producción_Agricola[[#This Row],[Fecha Económico]]=0,0,YEAR(Producción_Agricola[[#This Row],[Fecha Económico]]))</f>
        <v>2018</v>
      </c>
      <c r="AG138" s="704">
        <f>SUMPRODUCT((Producción_Agricola[[#This Row],[Mes Económico]]=Tipo_Cambio[Mes])*(Producción_Agricola[[#This Row],[Año Económico]]=Tipo_Cambio[Año])*(Tipo_Cambio[$/U$S]))</f>
        <v>22.4422</v>
      </c>
      <c r="AH138" s="703">
        <f>SUMPRODUCT((Producción_Agricola[[#This Row],[Mes Económico]]=Tipo_Cambio[Mes])*(Producción_Agricola[[#This Row],[Año Económico]]=Tipo_Cambio[Año])*(Tipo_Cambio[Actualización]))</f>
        <v>1.0404</v>
      </c>
      <c r="AI138" s="705">
        <f>IF(ISNUMBER(Producción_Agricola[[#This Row],[Fecha Financiero]])=TRUE,MONTH(Producción_Agricola[[#This Row],[Fecha Financiero]]),0)</f>
        <v>5</v>
      </c>
      <c r="AJ138" s="705">
        <f>IF(ISNUMBER(Producción_Agricola[[#This Row],[Fecha Financiero]])=TRUE,YEAR(Producción_Agricola[[#This Row],[Fecha Financiero]]),0)</f>
        <v>2019</v>
      </c>
      <c r="AK138" s="706">
        <f>SUMPRODUCT((Producción_Agricola[[#This Row],[Mes Financiero]]=Tipo_Cambio[Mes])*(Producción_Agricola[[#This Row],[Año Financiero]]=Tipo_Cambio[Año])*(Tipo_Cambio[$/U$S]))</f>
        <v>24.301686759046497</v>
      </c>
      <c r="AL138" s="706">
        <f>SUMPRODUCT((Producción_Agricola[[#This Row],[Mes Financiero]]=Tipo_Cambio[Mes])*(Producción_Agricola[[#This Row],[Año Financiero]]=Tipo_Cambio[Año])*(Tipo_Cambio[Actualización]))</f>
        <v>1.2189944199947573</v>
      </c>
      <c r="AM138" s="702">
        <f>IFERROR(Producción_Agricola[[#This Row],[Económico $Corrientes]]/Producción_Agricola[[#This Row],[Superficie]],0)</f>
        <v>0</v>
      </c>
      <c r="AN138" s="706">
        <f>IFERROR(Producción_Agricola[[#This Row],[Económico $Constantes]]/Producción_Agricola[[#This Row],[Superficie]],0)</f>
        <v>0</v>
      </c>
      <c r="AO138" s="706">
        <f>IFERROR(Producción_Agricola[[#This Row],[Económico U$S Dólares]]/Producción_Agricola[[#This Row],[Superficie]],0)</f>
        <v>0</v>
      </c>
      <c r="AP138" s="707" t="str">
        <f>IF(Económico!$F$4=0,0,Producción_Agricola[[#This Row],[Centro de Costo]])</f>
        <v>Campo 1</v>
      </c>
      <c r="AQ138" s="512" t="s">
        <v>379</v>
      </c>
      <c r="AR138" s="513"/>
      <c r="AS138"/>
    </row>
    <row r="139" spans="2:45" x14ac:dyDescent="0.25">
      <c r="D139" s="478">
        <f t="shared" si="34"/>
        <v>43361</v>
      </c>
      <c r="E139" s="478">
        <v>43586</v>
      </c>
      <c r="F139" s="668" t="str">
        <f t="shared" si="30"/>
        <v>2018-2019</v>
      </c>
      <c r="G139" s="669" t="str">
        <f t="shared" si="29"/>
        <v>Campo 1</v>
      </c>
      <c r="H139" s="669" t="str">
        <f t="shared" si="31"/>
        <v>Soja de Primera</v>
      </c>
      <c r="I139" s="670" t="str">
        <f>IFERROR(INDEX(Tabla8[],MATCH(Producción_Agricola[[#This Row],[Unidad de Negocio]],Tabla8[Unidades de Negocio],0),2),0)</f>
        <v>Soja</v>
      </c>
      <c r="J139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39" s="481" t="s">
        <v>17</v>
      </c>
      <c r="L139" s="482" t="s">
        <v>51</v>
      </c>
      <c r="M139" s="483">
        <v>0</v>
      </c>
      <c r="N139" s="484" t="s">
        <v>387</v>
      </c>
      <c r="O139" s="690">
        <f>Producción_Agricola[[#This Row],[Superficie]]*Producción_Agricola[[#This Row],[Cantidad]]</f>
        <v>0</v>
      </c>
      <c r="P139" s="482">
        <v>8</v>
      </c>
      <c r="Q139" s="484" t="s">
        <v>3</v>
      </c>
      <c r="R139" s="485">
        <v>0.06</v>
      </c>
      <c r="S139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39" s="695">
        <f>IFERROR(Producción_Agricola[[#This Row],[Económico $Corrientes]]/Producción_Agricola[[#This Row],[Indexación Económico]],0)</f>
        <v>0</v>
      </c>
      <c r="U13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3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39" s="695">
        <f>IFERROR(Producción_Agricola[[#This Row],[Financiero $Corrientes]]/Producción_Agricola[[#This Row],[Indexación Financiero]],0)</f>
        <v>0</v>
      </c>
      <c r="X13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3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39" s="699">
        <f>IFERROR(Producción_Agricola[[#This Row],[Intereses $Corrientes]]/Producción_Agricola[[#This Row],[Indexación Financiero]],0)</f>
        <v>0</v>
      </c>
      <c r="AA13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39" s="701" t="str">
        <f>IFERROR(INDEX(Produccion_Agricola_Cuentas[],MATCH(Producción_Agricola[[#This Row],[Cuenta Contable]],Produccion_Agricola_Cuentas[Cuenta Contable],0),2),0)</f>
        <v>Egreso</v>
      </c>
      <c r="AC139" s="702" t="str">
        <f>IFERROR(INDEX(Tabla9[],MATCH(Producción_Agricola[[#This Row],[Movimiento]],Tabla9[Movimientos],0),2),0)</f>
        <v>Si</v>
      </c>
      <c r="AD139" s="703" t="str">
        <f>IFERROR(INDEX(Tabla9[],MATCH(Producción_Agricola[[#This Row],[Movimiento]],Tabla9[Movimientos],0),3),0)</f>
        <v>(-)</v>
      </c>
      <c r="AE139" s="698">
        <f>IF(Producción_Agricola[[#This Row],[Fecha Económico]]=0,0,MONTH(Producción_Agricola[[#This Row],[Fecha Económico]]))</f>
        <v>9</v>
      </c>
      <c r="AF139" s="699">
        <f>IF(Producción_Agricola[[#This Row],[Fecha Económico]]=0,0,YEAR(Producción_Agricola[[#This Row],[Fecha Económico]]))</f>
        <v>2018</v>
      </c>
      <c r="AG139" s="704">
        <f>SUMPRODUCT((Producción_Agricola[[#This Row],[Mes Económico]]=Tipo_Cambio[Mes])*(Producción_Agricola[[#This Row],[Año Económico]]=Tipo_Cambio[Año])*(Tipo_Cambio[$/U$S]))</f>
        <v>22.4422</v>
      </c>
      <c r="AH139" s="703">
        <f>SUMPRODUCT((Producción_Agricola[[#This Row],[Mes Económico]]=Tipo_Cambio[Mes])*(Producción_Agricola[[#This Row],[Año Económico]]=Tipo_Cambio[Año])*(Tipo_Cambio[Actualización]))</f>
        <v>1.0404</v>
      </c>
      <c r="AI139" s="705">
        <f>IF(ISNUMBER(Producción_Agricola[[#This Row],[Fecha Financiero]])=TRUE,MONTH(Producción_Agricola[[#This Row],[Fecha Financiero]]),0)</f>
        <v>5</v>
      </c>
      <c r="AJ139" s="705">
        <f>IF(ISNUMBER(Producción_Agricola[[#This Row],[Fecha Financiero]])=TRUE,YEAR(Producción_Agricola[[#This Row],[Fecha Financiero]]),0)</f>
        <v>2019</v>
      </c>
      <c r="AK139" s="706">
        <f>SUMPRODUCT((Producción_Agricola[[#This Row],[Mes Financiero]]=Tipo_Cambio[Mes])*(Producción_Agricola[[#This Row],[Año Financiero]]=Tipo_Cambio[Año])*(Tipo_Cambio[$/U$S]))</f>
        <v>24.301686759046497</v>
      </c>
      <c r="AL139" s="706">
        <f>SUMPRODUCT((Producción_Agricola[[#This Row],[Mes Financiero]]=Tipo_Cambio[Mes])*(Producción_Agricola[[#This Row],[Año Financiero]]=Tipo_Cambio[Año])*(Tipo_Cambio[Actualización]))</f>
        <v>1.2189944199947573</v>
      </c>
      <c r="AM139" s="702">
        <f>IFERROR(Producción_Agricola[[#This Row],[Económico $Corrientes]]/Producción_Agricola[[#This Row],[Superficie]],0)</f>
        <v>0</v>
      </c>
      <c r="AN139" s="706">
        <f>IFERROR(Producción_Agricola[[#This Row],[Económico $Constantes]]/Producción_Agricola[[#This Row],[Superficie]],0)</f>
        <v>0</v>
      </c>
      <c r="AO139" s="706">
        <f>IFERROR(Producción_Agricola[[#This Row],[Económico U$S Dólares]]/Producción_Agricola[[#This Row],[Superficie]],0)</f>
        <v>0</v>
      </c>
      <c r="AP139" s="707" t="str">
        <f>IF(Económico!$F$4=0,0,Producción_Agricola[[#This Row],[Centro de Costo]])</f>
        <v>Campo 1</v>
      </c>
      <c r="AQ139" s="512" t="s">
        <v>379</v>
      </c>
      <c r="AR139" s="513"/>
      <c r="AS139"/>
    </row>
    <row r="140" spans="2:45" x14ac:dyDescent="0.25">
      <c r="D140" s="478">
        <f t="shared" si="34"/>
        <v>43361</v>
      </c>
      <c r="E140" s="478">
        <v>43586</v>
      </c>
      <c r="F140" s="668" t="str">
        <f t="shared" si="30"/>
        <v>2018-2019</v>
      </c>
      <c r="G140" s="669" t="str">
        <f t="shared" si="29"/>
        <v>Campo 1</v>
      </c>
      <c r="H140" s="669" t="str">
        <f t="shared" si="31"/>
        <v>Soja de Primera</v>
      </c>
      <c r="I140" s="670" t="str">
        <f>IFERROR(INDEX(Tabla8[],MATCH(Producción_Agricola[[#This Row],[Unidad de Negocio]],Tabla8[Unidades de Negocio],0),2),0)</f>
        <v>Soja</v>
      </c>
      <c r="J140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40" s="481" t="s">
        <v>22</v>
      </c>
      <c r="L140" s="482" t="s">
        <v>365</v>
      </c>
      <c r="M140" s="483">
        <v>0</v>
      </c>
      <c r="N140" s="484" t="s">
        <v>387</v>
      </c>
      <c r="O140" s="690">
        <f>Producción_Agricola[[#This Row],[Superficie]]*Producción_Agricola[[#This Row],[Cantidad]]</f>
        <v>0</v>
      </c>
      <c r="P140" s="482">
        <v>10</v>
      </c>
      <c r="Q140" s="484" t="s">
        <v>3</v>
      </c>
      <c r="R140" s="485">
        <v>0.06</v>
      </c>
      <c r="S140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40" s="695">
        <f>IFERROR(Producción_Agricola[[#This Row],[Económico $Corrientes]]/Producción_Agricola[[#This Row],[Indexación Económico]],0)</f>
        <v>0</v>
      </c>
      <c r="U14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4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40" s="695">
        <f>IFERROR(Producción_Agricola[[#This Row],[Financiero $Corrientes]]/Producción_Agricola[[#This Row],[Indexación Financiero]],0)</f>
        <v>0</v>
      </c>
      <c r="X14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4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40" s="699">
        <f>IFERROR(Producción_Agricola[[#This Row],[Intereses $Corrientes]]/Producción_Agricola[[#This Row],[Indexación Financiero]],0)</f>
        <v>0</v>
      </c>
      <c r="AA14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40" s="701" t="str">
        <f>IFERROR(INDEX(Produccion_Agricola_Cuentas[],MATCH(Producción_Agricola[[#This Row],[Cuenta Contable]],Produccion_Agricola_Cuentas[Cuenta Contable],0),2),0)</f>
        <v>Egreso</v>
      </c>
      <c r="AC140" s="702" t="str">
        <f>IFERROR(INDEX(Tabla9[],MATCH(Producción_Agricola[[#This Row],[Movimiento]],Tabla9[Movimientos],0),2),0)</f>
        <v>Si</v>
      </c>
      <c r="AD140" s="703" t="str">
        <f>IFERROR(INDEX(Tabla9[],MATCH(Producción_Agricola[[#This Row],[Movimiento]],Tabla9[Movimientos],0),3),0)</f>
        <v>(-)</v>
      </c>
      <c r="AE140" s="698">
        <f>IF(Producción_Agricola[[#This Row],[Fecha Económico]]=0,0,MONTH(Producción_Agricola[[#This Row],[Fecha Económico]]))</f>
        <v>9</v>
      </c>
      <c r="AF140" s="699">
        <f>IF(Producción_Agricola[[#This Row],[Fecha Económico]]=0,0,YEAR(Producción_Agricola[[#This Row],[Fecha Económico]]))</f>
        <v>2018</v>
      </c>
      <c r="AG140" s="704">
        <f>SUMPRODUCT((Producción_Agricola[[#This Row],[Mes Económico]]=Tipo_Cambio[Mes])*(Producción_Agricola[[#This Row],[Año Económico]]=Tipo_Cambio[Año])*(Tipo_Cambio[$/U$S]))</f>
        <v>22.4422</v>
      </c>
      <c r="AH140" s="703">
        <f>SUMPRODUCT((Producción_Agricola[[#This Row],[Mes Económico]]=Tipo_Cambio[Mes])*(Producción_Agricola[[#This Row],[Año Económico]]=Tipo_Cambio[Año])*(Tipo_Cambio[Actualización]))</f>
        <v>1.0404</v>
      </c>
      <c r="AI140" s="705">
        <f>IF(ISNUMBER(Producción_Agricola[[#This Row],[Fecha Financiero]])=TRUE,MONTH(Producción_Agricola[[#This Row],[Fecha Financiero]]),0)</f>
        <v>5</v>
      </c>
      <c r="AJ140" s="705">
        <f>IF(ISNUMBER(Producción_Agricola[[#This Row],[Fecha Financiero]])=TRUE,YEAR(Producción_Agricola[[#This Row],[Fecha Financiero]]),0)</f>
        <v>2019</v>
      </c>
      <c r="AK140" s="706">
        <f>SUMPRODUCT((Producción_Agricola[[#This Row],[Mes Financiero]]=Tipo_Cambio[Mes])*(Producción_Agricola[[#This Row],[Año Financiero]]=Tipo_Cambio[Año])*(Tipo_Cambio[$/U$S]))</f>
        <v>24.301686759046497</v>
      </c>
      <c r="AL140" s="706">
        <f>SUMPRODUCT((Producción_Agricola[[#This Row],[Mes Financiero]]=Tipo_Cambio[Mes])*(Producción_Agricola[[#This Row],[Año Financiero]]=Tipo_Cambio[Año])*(Tipo_Cambio[Actualización]))</f>
        <v>1.2189944199947573</v>
      </c>
      <c r="AM140" s="702">
        <f>IFERROR(Producción_Agricola[[#This Row],[Económico $Corrientes]]/Producción_Agricola[[#This Row],[Superficie]],0)</f>
        <v>0</v>
      </c>
      <c r="AN140" s="706">
        <f>IFERROR(Producción_Agricola[[#This Row],[Económico $Constantes]]/Producción_Agricola[[#This Row],[Superficie]],0)</f>
        <v>0</v>
      </c>
      <c r="AO140" s="706">
        <f>IFERROR(Producción_Agricola[[#This Row],[Económico U$S Dólares]]/Producción_Agricola[[#This Row],[Superficie]],0)</f>
        <v>0</v>
      </c>
      <c r="AP140" s="707" t="str">
        <f>IF(Económico!$F$4=0,0,Producción_Agricola[[#This Row],[Centro de Costo]])</f>
        <v>Campo 1</v>
      </c>
      <c r="AQ140" s="512" t="s">
        <v>379</v>
      </c>
      <c r="AR140" s="513"/>
      <c r="AS140"/>
    </row>
    <row r="141" spans="2:45" x14ac:dyDescent="0.25">
      <c r="D141" s="478">
        <f>D139</f>
        <v>43361</v>
      </c>
      <c r="E141" s="478">
        <v>43586</v>
      </c>
      <c r="F141" s="668" t="str">
        <f t="shared" si="30"/>
        <v>2018-2019</v>
      </c>
      <c r="G141" s="669" t="str">
        <f t="shared" si="29"/>
        <v>Campo 1</v>
      </c>
      <c r="H141" s="669" t="str">
        <f t="shared" si="31"/>
        <v>Soja de Primera</v>
      </c>
      <c r="I141" s="670" t="str">
        <f>IFERROR(INDEX(Tabla8[],MATCH(Producción_Agricola[[#This Row],[Unidad de Negocio]],Tabla8[Unidades de Negocio],0),2),0)</f>
        <v>Soja</v>
      </c>
      <c r="J141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41" s="481" t="s">
        <v>24</v>
      </c>
      <c r="L141" s="482" t="s">
        <v>363</v>
      </c>
      <c r="M141" s="483">
        <v>0</v>
      </c>
      <c r="N141" s="484" t="s">
        <v>387</v>
      </c>
      <c r="O141" s="690">
        <f>Producción_Agricola[[#This Row],[Superficie]]*Producción_Agricola[[#This Row],[Cantidad]]</f>
        <v>0</v>
      </c>
      <c r="P141" s="482">
        <v>18</v>
      </c>
      <c r="Q141" s="484" t="s">
        <v>3</v>
      </c>
      <c r="R141" s="485">
        <v>0.06</v>
      </c>
      <c r="S141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41" s="695">
        <f>IFERROR(Producción_Agricola[[#This Row],[Económico $Corrientes]]/Producción_Agricola[[#This Row],[Indexación Económico]],0)</f>
        <v>0</v>
      </c>
      <c r="U14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4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41" s="695">
        <f>IFERROR(Producción_Agricola[[#This Row],[Financiero $Corrientes]]/Producción_Agricola[[#This Row],[Indexación Financiero]],0)</f>
        <v>0</v>
      </c>
      <c r="X14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4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41" s="699">
        <f>IFERROR(Producción_Agricola[[#This Row],[Intereses $Corrientes]]/Producción_Agricola[[#This Row],[Indexación Financiero]],0)</f>
        <v>0</v>
      </c>
      <c r="AA14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41" s="701" t="str">
        <f>IFERROR(INDEX(Produccion_Agricola_Cuentas[],MATCH(Producción_Agricola[[#This Row],[Cuenta Contable]],Produccion_Agricola_Cuentas[Cuenta Contable],0),2),0)</f>
        <v>Egreso</v>
      </c>
      <c r="AC141" s="702" t="str">
        <f>IFERROR(INDEX(Tabla9[],MATCH(Producción_Agricola[[#This Row],[Movimiento]],Tabla9[Movimientos],0),2),0)</f>
        <v>Si</v>
      </c>
      <c r="AD141" s="703" t="str">
        <f>IFERROR(INDEX(Tabla9[],MATCH(Producción_Agricola[[#This Row],[Movimiento]],Tabla9[Movimientos],0),3),0)</f>
        <v>(-)</v>
      </c>
      <c r="AE141" s="698">
        <f>IF(Producción_Agricola[[#This Row],[Fecha Económico]]=0,0,MONTH(Producción_Agricola[[#This Row],[Fecha Económico]]))</f>
        <v>9</v>
      </c>
      <c r="AF141" s="699">
        <f>IF(Producción_Agricola[[#This Row],[Fecha Económico]]=0,0,YEAR(Producción_Agricola[[#This Row],[Fecha Económico]]))</f>
        <v>2018</v>
      </c>
      <c r="AG141" s="704">
        <f>SUMPRODUCT((Producción_Agricola[[#This Row],[Mes Económico]]=Tipo_Cambio[Mes])*(Producción_Agricola[[#This Row],[Año Económico]]=Tipo_Cambio[Año])*(Tipo_Cambio[$/U$S]))</f>
        <v>22.4422</v>
      </c>
      <c r="AH141" s="703">
        <f>SUMPRODUCT((Producción_Agricola[[#This Row],[Mes Económico]]=Tipo_Cambio[Mes])*(Producción_Agricola[[#This Row],[Año Económico]]=Tipo_Cambio[Año])*(Tipo_Cambio[Actualización]))</f>
        <v>1.0404</v>
      </c>
      <c r="AI141" s="705">
        <f>IF(ISNUMBER(Producción_Agricola[[#This Row],[Fecha Financiero]])=TRUE,MONTH(Producción_Agricola[[#This Row],[Fecha Financiero]]),0)</f>
        <v>5</v>
      </c>
      <c r="AJ141" s="705">
        <f>IF(ISNUMBER(Producción_Agricola[[#This Row],[Fecha Financiero]])=TRUE,YEAR(Producción_Agricola[[#This Row],[Fecha Financiero]]),0)</f>
        <v>2019</v>
      </c>
      <c r="AK141" s="706">
        <f>SUMPRODUCT((Producción_Agricola[[#This Row],[Mes Financiero]]=Tipo_Cambio[Mes])*(Producción_Agricola[[#This Row],[Año Financiero]]=Tipo_Cambio[Año])*(Tipo_Cambio[$/U$S]))</f>
        <v>24.301686759046497</v>
      </c>
      <c r="AL141" s="706">
        <f>SUMPRODUCT((Producción_Agricola[[#This Row],[Mes Financiero]]=Tipo_Cambio[Mes])*(Producción_Agricola[[#This Row],[Año Financiero]]=Tipo_Cambio[Año])*(Tipo_Cambio[Actualización]))</f>
        <v>1.2189944199947573</v>
      </c>
      <c r="AM141" s="702">
        <f>IFERROR(Producción_Agricola[[#This Row],[Económico $Corrientes]]/Producción_Agricola[[#This Row],[Superficie]],0)</f>
        <v>0</v>
      </c>
      <c r="AN141" s="706">
        <f>IFERROR(Producción_Agricola[[#This Row],[Económico $Constantes]]/Producción_Agricola[[#This Row],[Superficie]],0)</f>
        <v>0</v>
      </c>
      <c r="AO141" s="706">
        <f>IFERROR(Producción_Agricola[[#This Row],[Económico U$S Dólares]]/Producción_Agricola[[#This Row],[Superficie]],0)</f>
        <v>0</v>
      </c>
      <c r="AP141" s="707" t="str">
        <f>IF(Económico!$F$4=0,0,Producción_Agricola[[#This Row],[Centro de Costo]])</f>
        <v>Campo 1</v>
      </c>
      <c r="AQ141" s="512" t="s">
        <v>379</v>
      </c>
      <c r="AR141" s="513"/>
      <c r="AS141"/>
    </row>
    <row r="142" spans="2:45" x14ac:dyDescent="0.25">
      <c r="D142" s="478">
        <f>D125-220</f>
        <v>43366</v>
      </c>
      <c r="E142" s="478">
        <f>Producción_Agricola[[#This Row],[Fecha Económico]]+30</f>
        <v>43396</v>
      </c>
      <c r="F142" s="668" t="str">
        <f t="shared" si="30"/>
        <v>2018-2019</v>
      </c>
      <c r="G142" s="669" t="str">
        <f t="shared" si="29"/>
        <v>Campo 1</v>
      </c>
      <c r="H142" s="669" t="str">
        <f t="shared" si="31"/>
        <v>Soja de Primera</v>
      </c>
      <c r="I142" s="670" t="str">
        <f>IFERROR(INDEX(Tabla8[],MATCH(Producción_Agricola[[#This Row],[Unidad de Negocio]],Tabla8[Unidades de Negocio],0),2),0)</f>
        <v>Soja</v>
      </c>
      <c r="J142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42" s="481" t="s">
        <v>25</v>
      </c>
      <c r="L142" s="482" t="s">
        <v>30</v>
      </c>
      <c r="M142" s="483">
        <v>0</v>
      </c>
      <c r="N142" s="484" t="s">
        <v>389</v>
      </c>
      <c r="O142" s="690">
        <f>Producción_Agricola[[#This Row],[Superficie]]*Producción_Agricola[[#This Row],[Cantidad]]</f>
        <v>0</v>
      </c>
      <c r="P142" s="482">
        <v>800</v>
      </c>
      <c r="Q142" s="484" t="s">
        <v>48</v>
      </c>
      <c r="R142" s="485">
        <v>0</v>
      </c>
      <c r="S142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42" s="695">
        <f>IFERROR(Producción_Agricola[[#This Row],[Económico $Corrientes]]/Producción_Agricola[[#This Row],[Indexación Económico]],0)</f>
        <v>0</v>
      </c>
      <c r="U142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4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42" s="695">
        <f>IFERROR(Producción_Agricola[[#This Row],[Financiero $Corrientes]]/Producción_Agricola[[#This Row],[Indexación Financiero]],0)</f>
        <v>0</v>
      </c>
      <c r="X14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4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42" s="699">
        <f>IFERROR(Producción_Agricola[[#This Row],[Intereses $Corrientes]]/Producción_Agricola[[#This Row],[Indexación Financiero]],0)</f>
        <v>0</v>
      </c>
      <c r="AA14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42" s="701" t="str">
        <f>IFERROR(INDEX(Produccion_Agricola_Cuentas[],MATCH(Producción_Agricola[[#This Row],[Cuenta Contable]],Produccion_Agricola_Cuentas[Cuenta Contable],0),2),0)</f>
        <v>Egreso</v>
      </c>
      <c r="AC142" s="702" t="str">
        <f>IFERROR(INDEX(Tabla9[],MATCH(Producción_Agricola[[#This Row],[Movimiento]],Tabla9[Movimientos],0),2),0)</f>
        <v>Si</v>
      </c>
      <c r="AD142" s="703" t="str">
        <f>IFERROR(INDEX(Tabla9[],MATCH(Producción_Agricola[[#This Row],[Movimiento]],Tabla9[Movimientos],0),3),0)</f>
        <v>(-)</v>
      </c>
      <c r="AE142" s="698">
        <f>IF(Producción_Agricola[[#This Row],[Fecha Económico]]=0,0,MONTH(Producción_Agricola[[#This Row],[Fecha Económico]]))</f>
        <v>9</v>
      </c>
      <c r="AF142" s="699">
        <f>IF(Producción_Agricola[[#This Row],[Fecha Económico]]=0,0,YEAR(Producción_Agricola[[#This Row],[Fecha Económico]]))</f>
        <v>2018</v>
      </c>
      <c r="AG142" s="704">
        <f>SUMPRODUCT((Producción_Agricola[[#This Row],[Mes Económico]]=Tipo_Cambio[Mes])*(Producción_Agricola[[#This Row],[Año Económico]]=Tipo_Cambio[Año])*(Tipo_Cambio[$/U$S]))</f>
        <v>22.4422</v>
      </c>
      <c r="AH142" s="703">
        <f>SUMPRODUCT((Producción_Agricola[[#This Row],[Mes Económico]]=Tipo_Cambio[Mes])*(Producción_Agricola[[#This Row],[Año Económico]]=Tipo_Cambio[Año])*(Tipo_Cambio[Actualización]))</f>
        <v>1.0404</v>
      </c>
      <c r="AI142" s="705">
        <f>IF(ISNUMBER(Producción_Agricola[[#This Row],[Fecha Financiero]])=TRUE,MONTH(Producción_Agricola[[#This Row],[Fecha Financiero]]),0)</f>
        <v>10</v>
      </c>
      <c r="AJ142" s="705">
        <f>IF(ISNUMBER(Producción_Agricola[[#This Row],[Fecha Financiero]])=TRUE,YEAR(Producción_Agricola[[#This Row],[Fecha Financiero]]),0)</f>
        <v>2018</v>
      </c>
      <c r="AK142" s="706">
        <f>SUMPRODUCT((Producción_Agricola[[#This Row],[Mes Financiero]]=Tipo_Cambio[Mes])*(Producción_Agricola[[#This Row],[Año Financiero]]=Tipo_Cambio[Año])*(Tipo_Cambio[$/U$S]))</f>
        <v>22.666622</v>
      </c>
      <c r="AL142" s="706">
        <f>SUMPRODUCT((Producción_Agricola[[#This Row],[Mes Financiero]]=Tipo_Cambio[Mes])*(Producción_Agricola[[#This Row],[Año Financiero]]=Tipo_Cambio[Año])*(Tipo_Cambio[Actualización]))</f>
        <v>1.0612079999999999</v>
      </c>
      <c r="AM142" s="702">
        <f>IFERROR(Producción_Agricola[[#This Row],[Económico $Corrientes]]/Producción_Agricola[[#This Row],[Superficie]],0)</f>
        <v>0</v>
      </c>
      <c r="AN142" s="706">
        <f>IFERROR(Producción_Agricola[[#This Row],[Económico $Constantes]]/Producción_Agricola[[#This Row],[Superficie]],0)</f>
        <v>0</v>
      </c>
      <c r="AO142" s="706">
        <f>IFERROR(Producción_Agricola[[#This Row],[Económico U$S Dólares]]/Producción_Agricola[[#This Row],[Superficie]],0)</f>
        <v>0</v>
      </c>
      <c r="AP142" s="707" t="str">
        <f>IF(Económico!$F$4=0,0,Producción_Agricola[[#This Row],[Centro de Costo]])</f>
        <v>Campo 1</v>
      </c>
      <c r="AQ142" s="512" t="s">
        <v>30</v>
      </c>
      <c r="AR142" s="513"/>
      <c r="AS142"/>
    </row>
    <row r="143" spans="2:45" x14ac:dyDescent="0.25">
      <c r="D143" s="478">
        <f>D142</f>
        <v>43366</v>
      </c>
      <c r="E143" s="478">
        <v>43586</v>
      </c>
      <c r="F143" s="668" t="str">
        <f t="shared" si="30"/>
        <v>2018-2019</v>
      </c>
      <c r="G143" s="669" t="str">
        <f t="shared" si="29"/>
        <v>Campo 1</v>
      </c>
      <c r="H143" s="669" t="str">
        <f t="shared" si="31"/>
        <v>Soja de Primera</v>
      </c>
      <c r="I143" s="670" t="str">
        <f>IFERROR(INDEX(Tabla8[],MATCH(Producción_Agricola[[#This Row],[Unidad de Negocio]],Tabla8[Unidades de Negocio],0),2),0)</f>
        <v>Soja</v>
      </c>
      <c r="J143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43" s="481" t="s">
        <v>18</v>
      </c>
      <c r="L143" s="482" t="s">
        <v>364</v>
      </c>
      <c r="M143" s="483">
        <v>0</v>
      </c>
      <c r="N143" s="484" t="s">
        <v>390</v>
      </c>
      <c r="O143" s="690">
        <f>Producción_Agricola[[#This Row],[Superficie]]*Producción_Agricola[[#This Row],[Cantidad]]</f>
        <v>0</v>
      </c>
      <c r="P143" s="482">
        <v>220</v>
      </c>
      <c r="Q143" s="484" t="s">
        <v>3</v>
      </c>
      <c r="R143" s="485">
        <v>0.06</v>
      </c>
      <c r="S143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43" s="695">
        <f>IFERROR(Producción_Agricola[[#This Row],[Económico $Corrientes]]/Producción_Agricola[[#This Row],[Indexación Económico]],0)</f>
        <v>0</v>
      </c>
      <c r="U143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4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43" s="695">
        <f>IFERROR(Producción_Agricola[[#This Row],[Financiero $Corrientes]]/Producción_Agricola[[#This Row],[Indexación Financiero]],0)</f>
        <v>0</v>
      </c>
      <c r="X14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4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43" s="699">
        <f>IFERROR(Producción_Agricola[[#This Row],[Intereses $Corrientes]]/Producción_Agricola[[#This Row],[Indexación Financiero]],0)</f>
        <v>0</v>
      </c>
      <c r="AA14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43" s="701" t="str">
        <f>IFERROR(INDEX(Produccion_Agricola_Cuentas[],MATCH(Producción_Agricola[[#This Row],[Cuenta Contable]],Produccion_Agricola_Cuentas[Cuenta Contable],0),2),0)</f>
        <v>Egreso</v>
      </c>
      <c r="AC143" s="702" t="str">
        <f>IFERROR(INDEX(Tabla9[],MATCH(Producción_Agricola[[#This Row],[Movimiento]],Tabla9[Movimientos],0),2),0)</f>
        <v>Si</v>
      </c>
      <c r="AD143" s="703" t="str">
        <f>IFERROR(INDEX(Tabla9[],MATCH(Producción_Agricola[[#This Row],[Movimiento]],Tabla9[Movimientos],0),3),0)</f>
        <v>(-)</v>
      </c>
      <c r="AE143" s="698">
        <f>IF(Producción_Agricola[[#This Row],[Fecha Económico]]=0,0,MONTH(Producción_Agricola[[#This Row],[Fecha Económico]]))</f>
        <v>9</v>
      </c>
      <c r="AF143" s="699">
        <f>IF(Producción_Agricola[[#This Row],[Fecha Económico]]=0,0,YEAR(Producción_Agricola[[#This Row],[Fecha Económico]]))</f>
        <v>2018</v>
      </c>
      <c r="AG143" s="704">
        <f>SUMPRODUCT((Producción_Agricola[[#This Row],[Mes Económico]]=Tipo_Cambio[Mes])*(Producción_Agricola[[#This Row],[Año Económico]]=Tipo_Cambio[Año])*(Tipo_Cambio[$/U$S]))</f>
        <v>22.4422</v>
      </c>
      <c r="AH143" s="703">
        <f>SUMPRODUCT((Producción_Agricola[[#This Row],[Mes Económico]]=Tipo_Cambio[Mes])*(Producción_Agricola[[#This Row],[Año Económico]]=Tipo_Cambio[Año])*(Tipo_Cambio[Actualización]))</f>
        <v>1.0404</v>
      </c>
      <c r="AI143" s="705">
        <f>IF(ISNUMBER(Producción_Agricola[[#This Row],[Fecha Financiero]])=TRUE,MONTH(Producción_Agricola[[#This Row],[Fecha Financiero]]),0)</f>
        <v>5</v>
      </c>
      <c r="AJ143" s="705">
        <f>IF(ISNUMBER(Producción_Agricola[[#This Row],[Fecha Financiero]])=TRUE,YEAR(Producción_Agricola[[#This Row],[Fecha Financiero]]),0)</f>
        <v>2019</v>
      </c>
      <c r="AK143" s="706">
        <f>SUMPRODUCT((Producción_Agricola[[#This Row],[Mes Financiero]]=Tipo_Cambio[Mes])*(Producción_Agricola[[#This Row],[Año Financiero]]=Tipo_Cambio[Año])*(Tipo_Cambio[$/U$S]))</f>
        <v>24.301686759046497</v>
      </c>
      <c r="AL143" s="706">
        <f>SUMPRODUCT((Producción_Agricola[[#This Row],[Mes Financiero]]=Tipo_Cambio[Mes])*(Producción_Agricola[[#This Row],[Año Financiero]]=Tipo_Cambio[Año])*(Tipo_Cambio[Actualización]))</f>
        <v>1.2189944199947573</v>
      </c>
      <c r="AM143" s="702">
        <f>IFERROR(Producción_Agricola[[#This Row],[Económico $Corrientes]]/Producción_Agricola[[#This Row],[Superficie]],0)</f>
        <v>0</v>
      </c>
      <c r="AN143" s="706">
        <f>IFERROR(Producción_Agricola[[#This Row],[Económico $Constantes]]/Producción_Agricola[[#This Row],[Superficie]],0)</f>
        <v>0</v>
      </c>
      <c r="AO143" s="706">
        <f>IFERROR(Producción_Agricola[[#This Row],[Económico U$S Dólares]]/Producción_Agricola[[#This Row],[Superficie]],0)</f>
        <v>0</v>
      </c>
      <c r="AP143" s="707" t="str">
        <f>IF(Económico!$F$4=0,0,Producción_Agricola[[#This Row],[Centro de Costo]])</f>
        <v>Campo 1</v>
      </c>
      <c r="AQ143" s="512" t="s">
        <v>30</v>
      </c>
      <c r="AR143" s="513"/>
      <c r="AS143"/>
    </row>
    <row r="144" spans="2:45" x14ac:dyDescent="0.25">
      <c r="D144" s="478">
        <f t="shared" ref="D144:D145" si="35">D143</f>
        <v>43366</v>
      </c>
      <c r="E144" s="478">
        <f>Producción_Agricola[[#This Row],[Fecha Económico]]+30</f>
        <v>43396</v>
      </c>
      <c r="F144" s="668" t="str">
        <f t="shared" si="30"/>
        <v>2018-2019</v>
      </c>
      <c r="G144" s="669" t="str">
        <f t="shared" si="29"/>
        <v>Campo 1</v>
      </c>
      <c r="H144" s="669" t="str">
        <f t="shared" si="31"/>
        <v>Soja de Primera</v>
      </c>
      <c r="I144" s="670" t="str">
        <f>IFERROR(INDEX(Tabla8[],MATCH(Producción_Agricola[[#This Row],[Unidad de Negocio]],Tabla8[Unidades de Negocio],0),2),0)</f>
        <v>Soja</v>
      </c>
      <c r="J144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44" s="481" t="s">
        <v>19</v>
      </c>
      <c r="L144" s="482" t="s">
        <v>28</v>
      </c>
      <c r="M144" s="483">
        <v>0</v>
      </c>
      <c r="N144" s="484" t="s">
        <v>388</v>
      </c>
      <c r="O144" s="690">
        <f>Producción_Agricola[[#This Row],[Superficie]]*Producción_Agricola[[#This Row],[Cantidad]]</f>
        <v>0</v>
      </c>
      <c r="P144" s="482">
        <v>0.6</v>
      </c>
      <c r="Q144" s="484" t="s">
        <v>3</v>
      </c>
      <c r="R144" s="485">
        <v>0</v>
      </c>
      <c r="S144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44" s="695">
        <f>IFERROR(Producción_Agricola[[#This Row],[Económico $Corrientes]]/Producción_Agricola[[#This Row],[Indexación Económico]],0)</f>
        <v>0</v>
      </c>
      <c r="U144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4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44" s="695">
        <f>IFERROR(Producción_Agricola[[#This Row],[Financiero $Corrientes]]/Producción_Agricola[[#This Row],[Indexación Financiero]],0)</f>
        <v>0</v>
      </c>
      <c r="X14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4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44" s="699">
        <f>IFERROR(Producción_Agricola[[#This Row],[Intereses $Corrientes]]/Producción_Agricola[[#This Row],[Indexación Financiero]],0)</f>
        <v>0</v>
      </c>
      <c r="AA14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44" s="701" t="str">
        <f>IFERROR(INDEX(Produccion_Agricola_Cuentas[],MATCH(Producción_Agricola[[#This Row],[Cuenta Contable]],Produccion_Agricola_Cuentas[Cuenta Contable],0),2),0)</f>
        <v>Egreso</v>
      </c>
      <c r="AC144" s="702" t="str">
        <f>IFERROR(INDEX(Tabla9[],MATCH(Producción_Agricola[[#This Row],[Movimiento]],Tabla9[Movimientos],0),2),0)</f>
        <v>Si</v>
      </c>
      <c r="AD144" s="703" t="str">
        <f>IFERROR(INDEX(Tabla9[],MATCH(Producción_Agricola[[#This Row],[Movimiento]],Tabla9[Movimientos],0),3),0)</f>
        <v>(-)</v>
      </c>
      <c r="AE144" s="698">
        <f>IF(Producción_Agricola[[#This Row],[Fecha Económico]]=0,0,MONTH(Producción_Agricola[[#This Row],[Fecha Económico]]))</f>
        <v>9</v>
      </c>
      <c r="AF144" s="699">
        <f>IF(Producción_Agricola[[#This Row],[Fecha Económico]]=0,0,YEAR(Producción_Agricola[[#This Row],[Fecha Económico]]))</f>
        <v>2018</v>
      </c>
      <c r="AG144" s="704">
        <f>SUMPRODUCT((Producción_Agricola[[#This Row],[Mes Económico]]=Tipo_Cambio[Mes])*(Producción_Agricola[[#This Row],[Año Económico]]=Tipo_Cambio[Año])*(Tipo_Cambio[$/U$S]))</f>
        <v>22.4422</v>
      </c>
      <c r="AH144" s="703">
        <f>SUMPRODUCT((Producción_Agricola[[#This Row],[Mes Económico]]=Tipo_Cambio[Mes])*(Producción_Agricola[[#This Row],[Año Económico]]=Tipo_Cambio[Año])*(Tipo_Cambio[Actualización]))</f>
        <v>1.0404</v>
      </c>
      <c r="AI144" s="705">
        <f>IF(ISNUMBER(Producción_Agricola[[#This Row],[Fecha Financiero]])=TRUE,MONTH(Producción_Agricola[[#This Row],[Fecha Financiero]]),0)</f>
        <v>10</v>
      </c>
      <c r="AJ144" s="705">
        <f>IF(ISNUMBER(Producción_Agricola[[#This Row],[Fecha Financiero]])=TRUE,YEAR(Producción_Agricola[[#This Row],[Fecha Financiero]]),0)</f>
        <v>2018</v>
      </c>
      <c r="AK144" s="706">
        <f>SUMPRODUCT((Producción_Agricola[[#This Row],[Mes Financiero]]=Tipo_Cambio[Mes])*(Producción_Agricola[[#This Row],[Año Financiero]]=Tipo_Cambio[Año])*(Tipo_Cambio[$/U$S]))</f>
        <v>22.666622</v>
      </c>
      <c r="AL144" s="706">
        <f>SUMPRODUCT((Producción_Agricola[[#This Row],[Mes Financiero]]=Tipo_Cambio[Mes])*(Producción_Agricola[[#This Row],[Año Financiero]]=Tipo_Cambio[Año])*(Tipo_Cambio[Actualización]))</f>
        <v>1.0612079999999999</v>
      </c>
      <c r="AM144" s="702">
        <f>IFERROR(Producción_Agricola[[#This Row],[Económico $Corrientes]]/Producción_Agricola[[#This Row],[Superficie]],0)</f>
        <v>0</v>
      </c>
      <c r="AN144" s="706">
        <f>IFERROR(Producción_Agricola[[#This Row],[Económico $Constantes]]/Producción_Agricola[[#This Row],[Superficie]],0)</f>
        <v>0</v>
      </c>
      <c r="AO144" s="706">
        <f>IFERROR(Producción_Agricola[[#This Row],[Económico U$S Dólares]]/Producción_Agricola[[#This Row],[Superficie]],0)</f>
        <v>0</v>
      </c>
      <c r="AP144" s="707" t="str">
        <f>IF(Económico!$F$4=0,0,Producción_Agricola[[#This Row],[Centro de Costo]])</f>
        <v>Campo 1</v>
      </c>
      <c r="AQ144" s="512" t="s">
        <v>30</v>
      </c>
      <c r="AR144" s="513"/>
      <c r="AS144"/>
    </row>
    <row r="145" spans="1:45" x14ac:dyDescent="0.25">
      <c r="D145" s="478">
        <f t="shared" si="35"/>
        <v>43366</v>
      </c>
      <c r="E145" s="478">
        <f>Producción_Agricola[[#This Row],[Fecha Económico]]+30</f>
        <v>43396</v>
      </c>
      <c r="F145" s="668" t="str">
        <f t="shared" si="30"/>
        <v>2018-2019</v>
      </c>
      <c r="G145" s="669" t="str">
        <f t="shared" si="29"/>
        <v>Campo 1</v>
      </c>
      <c r="H145" s="669" t="str">
        <f t="shared" si="31"/>
        <v>Soja de Primera</v>
      </c>
      <c r="I145" s="670" t="str">
        <f>IFERROR(INDEX(Tabla8[],MATCH(Producción_Agricola[[#This Row],[Unidad de Negocio]],Tabla8[Unidades de Negocio],0),2),0)</f>
        <v>Soja</v>
      </c>
      <c r="J145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45" s="481" t="s">
        <v>19</v>
      </c>
      <c r="L145" s="482" t="s">
        <v>29</v>
      </c>
      <c r="M145" s="483">
        <v>0</v>
      </c>
      <c r="N145" s="484" t="s">
        <v>388</v>
      </c>
      <c r="O145" s="690">
        <f>Producción_Agricola[[#This Row],[Superficie]]*Producción_Agricola[[#This Row],[Cantidad]]</f>
        <v>0</v>
      </c>
      <c r="P145" s="482">
        <v>0.45</v>
      </c>
      <c r="Q145" s="484" t="s">
        <v>3</v>
      </c>
      <c r="R145" s="485">
        <v>0</v>
      </c>
      <c r="S145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45" s="695">
        <f>IFERROR(Producción_Agricola[[#This Row],[Económico $Corrientes]]/Producción_Agricola[[#This Row],[Indexación Económico]],0)</f>
        <v>0</v>
      </c>
      <c r="U145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4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45" s="695">
        <f>IFERROR(Producción_Agricola[[#This Row],[Financiero $Corrientes]]/Producción_Agricola[[#This Row],[Indexación Financiero]],0)</f>
        <v>0</v>
      </c>
      <c r="X14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4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45" s="699">
        <f>IFERROR(Producción_Agricola[[#This Row],[Intereses $Corrientes]]/Producción_Agricola[[#This Row],[Indexación Financiero]],0)</f>
        <v>0</v>
      </c>
      <c r="AA14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45" s="701" t="str">
        <f>IFERROR(INDEX(Produccion_Agricola_Cuentas[],MATCH(Producción_Agricola[[#This Row],[Cuenta Contable]],Produccion_Agricola_Cuentas[Cuenta Contable],0),2),0)</f>
        <v>Egreso</v>
      </c>
      <c r="AC145" s="702" t="str">
        <f>IFERROR(INDEX(Tabla9[],MATCH(Producción_Agricola[[#This Row],[Movimiento]],Tabla9[Movimientos],0),2),0)</f>
        <v>Si</v>
      </c>
      <c r="AD145" s="703" t="str">
        <f>IFERROR(INDEX(Tabla9[],MATCH(Producción_Agricola[[#This Row],[Movimiento]],Tabla9[Movimientos],0),3),0)</f>
        <v>(-)</v>
      </c>
      <c r="AE145" s="698">
        <f>IF(Producción_Agricola[[#This Row],[Fecha Económico]]=0,0,MONTH(Producción_Agricola[[#This Row],[Fecha Económico]]))</f>
        <v>9</v>
      </c>
      <c r="AF145" s="699">
        <f>IF(Producción_Agricola[[#This Row],[Fecha Económico]]=0,0,YEAR(Producción_Agricola[[#This Row],[Fecha Económico]]))</f>
        <v>2018</v>
      </c>
      <c r="AG145" s="704">
        <f>SUMPRODUCT((Producción_Agricola[[#This Row],[Mes Económico]]=Tipo_Cambio[Mes])*(Producción_Agricola[[#This Row],[Año Económico]]=Tipo_Cambio[Año])*(Tipo_Cambio[$/U$S]))</f>
        <v>22.4422</v>
      </c>
      <c r="AH145" s="703">
        <f>SUMPRODUCT((Producción_Agricola[[#This Row],[Mes Económico]]=Tipo_Cambio[Mes])*(Producción_Agricola[[#This Row],[Año Económico]]=Tipo_Cambio[Año])*(Tipo_Cambio[Actualización]))</f>
        <v>1.0404</v>
      </c>
      <c r="AI145" s="705">
        <f>IF(ISNUMBER(Producción_Agricola[[#This Row],[Fecha Financiero]])=TRUE,MONTH(Producción_Agricola[[#This Row],[Fecha Financiero]]),0)</f>
        <v>10</v>
      </c>
      <c r="AJ145" s="705">
        <f>IF(ISNUMBER(Producción_Agricola[[#This Row],[Fecha Financiero]])=TRUE,YEAR(Producción_Agricola[[#This Row],[Fecha Financiero]]),0)</f>
        <v>2018</v>
      </c>
      <c r="AK145" s="706">
        <f>SUMPRODUCT((Producción_Agricola[[#This Row],[Mes Financiero]]=Tipo_Cambio[Mes])*(Producción_Agricola[[#This Row],[Año Financiero]]=Tipo_Cambio[Año])*(Tipo_Cambio[$/U$S]))</f>
        <v>22.666622</v>
      </c>
      <c r="AL145" s="706">
        <f>SUMPRODUCT((Producción_Agricola[[#This Row],[Mes Financiero]]=Tipo_Cambio[Mes])*(Producción_Agricola[[#This Row],[Año Financiero]]=Tipo_Cambio[Año])*(Tipo_Cambio[Actualización]))</f>
        <v>1.0612079999999999</v>
      </c>
      <c r="AM145" s="702">
        <f>IFERROR(Producción_Agricola[[#This Row],[Económico $Corrientes]]/Producción_Agricola[[#This Row],[Superficie]],0)</f>
        <v>0</v>
      </c>
      <c r="AN145" s="706">
        <f>IFERROR(Producción_Agricola[[#This Row],[Económico $Constantes]]/Producción_Agricola[[#This Row],[Superficie]],0)</f>
        <v>0</v>
      </c>
      <c r="AO145" s="706">
        <f>IFERROR(Producción_Agricola[[#This Row],[Económico U$S Dólares]]/Producción_Agricola[[#This Row],[Superficie]],0)</f>
        <v>0</v>
      </c>
      <c r="AP145" s="707" t="str">
        <f>IF(Económico!$F$4=0,0,Producción_Agricola[[#This Row],[Centro de Costo]])</f>
        <v>Campo 1</v>
      </c>
      <c r="AQ145" s="512" t="s">
        <v>30</v>
      </c>
      <c r="AR145" s="513"/>
      <c r="AS145"/>
    </row>
    <row r="146" spans="1:45" x14ac:dyDescent="0.25">
      <c r="D146" s="478">
        <f>D142+30</f>
        <v>43396</v>
      </c>
      <c r="E146" s="478">
        <f>Producción_Agricola[[#This Row],[Fecha Económico]]+30</f>
        <v>43426</v>
      </c>
      <c r="F146" s="668" t="str">
        <f t="shared" si="30"/>
        <v>2018-2019</v>
      </c>
      <c r="G146" s="669" t="str">
        <f t="shared" si="29"/>
        <v>Campo 1</v>
      </c>
      <c r="H146" s="669" t="str">
        <f t="shared" si="31"/>
        <v>Soja de Primera</v>
      </c>
      <c r="I146" s="670" t="str">
        <f>IFERROR(INDEX(Tabla8[],MATCH(Producción_Agricola[[#This Row],[Unidad de Negocio]],Tabla8[Unidades de Negocio],0),2),0)</f>
        <v>Soja</v>
      </c>
      <c r="J146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46" s="481" t="s">
        <v>25</v>
      </c>
      <c r="L146" s="482" t="s">
        <v>367</v>
      </c>
      <c r="M146" s="483">
        <v>0</v>
      </c>
      <c r="N146" s="484" t="s">
        <v>389</v>
      </c>
      <c r="O146" s="690">
        <f>Producción_Agricola[[#This Row],[Superficie]]*Producción_Agricola[[#This Row],[Cantidad]]</f>
        <v>0</v>
      </c>
      <c r="P146" s="482">
        <v>150</v>
      </c>
      <c r="Q146" s="484" t="s">
        <v>48</v>
      </c>
      <c r="R146" s="485">
        <v>0.06</v>
      </c>
      <c r="S146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46" s="695">
        <f>IFERROR(Producción_Agricola[[#This Row],[Económico $Corrientes]]/Producción_Agricola[[#This Row],[Indexación Económico]],0)</f>
        <v>0</v>
      </c>
      <c r="U14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4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46" s="695">
        <f>IFERROR(Producción_Agricola[[#This Row],[Financiero $Corrientes]]/Producción_Agricola[[#This Row],[Indexación Financiero]],0)</f>
        <v>0</v>
      </c>
      <c r="X14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4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46" s="699">
        <f>IFERROR(Producción_Agricola[[#This Row],[Intereses $Corrientes]]/Producción_Agricola[[#This Row],[Indexación Financiero]],0)</f>
        <v>0</v>
      </c>
      <c r="AA14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46" s="701" t="str">
        <f>IFERROR(INDEX(Produccion_Agricola_Cuentas[],MATCH(Producción_Agricola[[#This Row],[Cuenta Contable]],Produccion_Agricola_Cuentas[Cuenta Contable],0),2),0)</f>
        <v>Egreso</v>
      </c>
      <c r="AC146" s="702" t="str">
        <f>IFERROR(INDEX(Tabla9[],MATCH(Producción_Agricola[[#This Row],[Movimiento]],Tabla9[Movimientos],0),2),0)</f>
        <v>Si</v>
      </c>
      <c r="AD146" s="703" t="str">
        <f>IFERROR(INDEX(Tabla9[],MATCH(Producción_Agricola[[#This Row],[Movimiento]],Tabla9[Movimientos],0),3),0)</f>
        <v>(-)</v>
      </c>
      <c r="AE146" s="698">
        <f>IF(Producción_Agricola[[#This Row],[Fecha Económico]]=0,0,MONTH(Producción_Agricola[[#This Row],[Fecha Económico]]))</f>
        <v>10</v>
      </c>
      <c r="AF146" s="699">
        <f>IF(Producción_Agricola[[#This Row],[Fecha Económico]]=0,0,YEAR(Producción_Agricola[[#This Row],[Fecha Económico]]))</f>
        <v>2018</v>
      </c>
      <c r="AG146" s="704">
        <f>SUMPRODUCT((Producción_Agricola[[#This Row],[Mes Económico]]=Tipo_Cambio[Mes])*(Producción_Agricola[[#This Row],[Año Económico]]=Tipo_Cambio[Año])*(Tipo_Cambio[$/U$S]))</f>
        <v>22.666622</v>
      </c>
      <c r="AH146" s="703">
        <f>SUMPRODUCT((Producción_Agricola[[#This Row],[Mes Económico]]=Tipo_Cambio[Mes])*(Producción_Agricola[[#This Row],[Año Económico]]=Tipo_Cambio[Año])*(Tipo_Cambio[Actualización]))</f>
        <v>1.0612079999999999</v>
      </c>
      <c r="AI146" s="705">
        <f>IF(ISNUMBER(Producción_Agricola[[#This Row],[Fecha Financiero]])=TRUE,MONTH(Producción_Agricola[[#This Row],[Fecha Financiero]]),0)</f>
        <v>11</v>
      </c>
      <c r="AJ146" s="705">
        <f>IF(ISNUMBER(Producción_Agricola[[#This Row],[Fecha Financiero]])=TRUE,YEAR(Producción_Agricola[[#This Row],[Fecha Financiero]]),0)</f>
        <v>2018</v>
      </c>
      <c r="AK146" s="706">
        <f>SUMPRODUCT((Producción_Agricola[[#This Row],[Mes Financiero]]=Tipo_Cambio[Mes])*(Producción_Agricola[[#This Row],[Año Financiero]]=Tipo_Cambio[Año])*(Tipo_Cambio[$/U$S]))</f>
        <v>22.893288219999999</v>
      </c>
      <c r="AL146" s="706">
        <f>SUMPRODUCT((Producción_Agricola[[#This Row],[Mes Financiero]]=Tipo_Cambio[Mes])*(Producción_Agricola[[#This Row],[Año Financiero]]=Tipo_Cambio[Año])*(Tipo_Cambio[Actualización]))</f>
        <v>1.08243216</v>
      </c>
      <c r="AM146" s="702">
        <f>IFERROR(Producción_Agricola[[#This Row],[Económico $Corrientes]]/Producción_Agricola[[#This Row],[Superficie]],0)</f>
        <v>0</v>
      </c>
      <c r="AN146" s="706">
        <f>IFERROR(Producción_Agricola[[#This Row],[Económico $Constantes]]/Producción_Agricola[[#This Row],[Superficie]],0)</f>
        <v>0</v>
      </c>
      <c r="AO146" s="706">
        <f>IFERROR(Producción_Agricola[[#This Row],[Económico U$S Dólares]]/Producción_Agricola[[#This Row],[Superficie]],0)</f>
        <v>0</v>
      </c>
      <c r="AP146" s="707" t="str">
        <f>IF(Económico!$F$4=0,0,Producción_Agricola[[#This Row],[Centro de Costo]])</f>
        <v>Campo 1</v>
      </c>
      <c r="AQ146" s="512" t="s">
        <v>367</v>
      </c>
      <c r="AR146" s="513"/>
      <c r="AS146"/>
    </row>
    <row r="147" spans="1:45" x14ac:dyDescent="0.25">
      <c r="D147" s="478">
        <f>D146</f>
        <v>43396</v>
      </c>
      <c r="E147" s="478">
        <f>Producción_Agricola[[#This Row],[Fecha Económico]]+30</f>
        <v>43426</v>
      </c>
      <c r="F147" s="668" t="str">
        <f t="shared" si="30"/>
        <v>2018-2019</v>
      </c>
      <c r="G147" s="669" t="str">
        <f t="shared" si="29"/>
        <v>Campo 1</v>
      </c>
      <c r="H147" s="669" t="str">
        <f t="shared" si="31"/>
        <v>Soja de Primera</v>
      </c>
      <c r="I147" s="671" t="str">
        <f>IFERROR(INDEX(Tabla8[],MATCH(Producción_Agricola[[#This Row],[Unidad de Negocio]],Tabla8[Unidades de Negocio],0),2),0)</f>
        <v>Soja</v>
      </c>
      <c r="J14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47" s="481" t="s">
        <v>19</v>
      </c>
      <c r="L147" s="482" t="s">
        <v>368</v>
      </c>
      <c r="M147" s="483">
        <v>0</v>
      </c>
      <c r="N147" s="484" t="s">
        <v>387</v>
      </c>
      <c r="O147" s="690">
        <f>Producción_Agricola[[#This Row],[Superficie]]*Producción_Agricola[[#This Row],[Cantidad]]</f>
        <v>0</v>
      </c>
      <c r="P147" s="482">
        <v>0.35</v>
      </c>
      <c r="Q147" s="484" t="s">
        <v>3</v>
      </c>
      <c r="R147" s="485">
        <v>0</v>
      </c>
      <c r="S14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47" s="695">
        <f>IFERROR(Producción_Agricola[[#This Row],[Económico $Corrientes]]/Producción_Agricola[[#This Row],[Indexación Económico]],0)</f>
        <v>0</v>
      </c>
      <c r="U14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4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47" s="695">
        <f>IFERROR(Producción_Agricola[[#This Row],[Financiero $Corrientes]]/Producción_Agricola[[#This Row],[Indexación Financiero]],0)</f>
        <v>0</v>
      </c>
      <c r="X14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4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47" s="699">
        <f>IFERROR(Producción_Agricola[[#This Row],[Intereses $Corrientes]]/Producción_Agricola[[#This Row],[Indexación Financiero]],0)</f>
        <v>0</v>
      </c>
      <c r="AA14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47" s="701" t="str">
        <f>IFERROR(INDEX(Produccion_Agricola_Cuentas[],MATCH(Producción_Agricola[[#This Row],[Cuenta Contable]],Produccion_Agricola_Cuentas[Cuenta Contable],0),2),0)</f>
        <v>Egreso</v>
      </c>
      <c r="AC147" s="702" t="str">
        <f>IFERROR(INDEX(Tabla9[],MATCH(Producción_Agricola[[#This Row],[Movimiento]],Tabla9[Movimientos],0),2),0)</f>
        <v>Si</v>
      </c>
      <c r="AD147" s="703" t="str">
        <f>IFERROR(INDEX(Tabla9[],MATCH(Producción_Agricola[[#This Row],[Movimiento]],Tabla9[Movimientos],0),3),0)</f>
        <v>(-)</v>
      </c>
      <c r="AE147" s="698">
        <f>IF(Producción_Agricola[[#This Row],[Fecha Económico]]=0,0,MONTH(Producción_Agricola[[#This Row],[Fecha Económico]]))</f>
        <v>10</v>
      </c>
      <c r="AF147" s="699">
        <f>IF(Producción_Agricola[[#This Row],[Fecha Económico]]=0,0,YEAR(Producción_Agricola[[#This Row],[Fecha Económico]]))</f>
        <v>2018</v>
      </c>
      <c r="AG147" s="704">
        <f>SUMPRODUCT((Producción_Agricola[[#This Row],[Mes Económico]]=Tipo_Cambio[Mes])*(Producción_Agricola[[#This Row],[Año Económico]]=Tipo_Cambio[Año])*(Tipo_Cambio[$/U$S]))</f>
        <v>22.666622</v>
      </c>
      <c r="AH147" s="703">
        <f>SUMPRODUCT((Producción_Agricola[[#This Row],[Mes Económico]]=Tipo_Cambio[Mes])*(Producción_Agricola[[#This Row],[Año Económico]]=Tipo_Cambio[Año])*(Tipo_Cambio[Actualización]))</f>
        <v>1.0612079999999999</v>
      </c>
      <c r="AI147" s="705">
        <f>IF(ISNUMBER(Producción_Agricola[[#This Row],[Fecha Financiero]])=TRUE,MONTH(Producción_Agricola[[#This Row],[Fecha Financiero]]),0)</f>
        <v>11</v>
      </c>
      <c r="AJ147" s="705">
        <f>IF(ISNUMBER(Producción_Agricola[[#This Row],[Fecha Financiero]])=TRUE,YEAR(Producción_Agricola[[#This Row],[Fecha Financiero]]),0)</f>
        <v>2018</v>
      </c>
      <c r="AK147" s="706">
        <f>SUMPRODUCT((Producción_Agricola[[#This Row],[Mes Financiero]]=Tipo_Cambio[Mes])*(Producción_Agricola[[#This Row],[Año Financiero]]=Tipo_Cambio[Año])*(Tipo_Cambio[$/U$S]))</f>
        <v>22.893288219999999</v>
      </c>
      <c r="AL147" s="706">
        <f>SUMPRODUCT((Producción_Agricola[[#This Row],[Mes Financiero]]=Tipo_Cambio[Mes])*(Producción_Agricola[[#This Row],[Año Financiero]]=Tipo_Cambio[Año])*(Tipo_Cambio[Actualización]))</f>
        <v>1.08243216</v>
      </c>
      <c r="AM147" s="709">
        <f>IFERROR(Producción_Agricola[[#This Row],[Económico $Corrientes]]/Producción_Agricola[[#This Row],[Superficie]],0)</f>
        <v>0</v>
      </c>
      <c r="AN147" s="710">
        <f>IFERROR(Producción_Agricola[[#This Row],[Económico $Constantes]]/Producción_Agricola[[#This Row],[Superficie]],0)</f>
        <v>0</v>
      </c>
      <c r="AO147" s="710">
        <f>IFERROR(Producción_Agricola[[#This Row],[Económico U$S Dólares]]/Producción_Agricola[[#This Row],[Superficie]],0)</f>
        <v>0</v>
      </c>
      <c r="AP147" s="711" t="str">
        <f>IF(Económico!$F$4=0,0,Producción_Agricola[[#This Row],[Centro de Costo]])</f>
        <v>Campo 1</v>
      </c>
      <c r="AQ147" s="512" t="s">
        <v>367</v>
      </c>
      <c r="AR147" s="513"/>
      <c r="AS147"/>
    </row>
    <row r="148" spans="1:45" x14ac:dyDescent="0.25">
      <c r="D148" s="478">
        <f>D143+60</f>
        <v>43426</v>
      </c>
      <c r="E148" s="478">
        <f>Producción_Agricola[[#This Row],[Fecha Económico]]+30</f>
        <v>43456</v>
      </c>
      <c r="F148" s="668" t="str">
        <f t="shared" si="30"/>
        <v>2018-2019</v>
      </c>
      <c r="G148" s="669" t="str">
        <f t="shared" si="29"/>
        <v>Campo 1</v>
      </c>
      <c r="H148" s="669" t="str">
        <f t="shared" si="31"/>
        <v>Soja de Primera</v>
      </c>
      <c r="I148" s="670" t="str">
        <f>IFERROR(INDEX(Tabla8[],MATCH(Producción_Agricola[[#This Row],[Unidad de Negocio]],Tabla8[Unidades de Negocio],0),2),0)</f>
        <v>Soja</v>
      </c>
      <c r="J148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48" s="481" t="s">
        <v>25</v>
      </c>
      <c r="L148" s="482" t="s">
        <v>219</v>
      </c>
      <c r="M148" s="483">
        <v>0</v>
      </c>
      <c r="N148" s="484" t="s">
        <v>389</v>
      </c>
      <c r="O148" s="690">
        <f>Producción_Agricola[[#This Row],[Superficie]]*Producción_Agricola[[#This Row],[Cantidad]]</f>
        <v>0</v>
      </c>
      <c r="P148" s="482">
        <v>120</v>
      </c>
      <c r="Q148" s="484" t="s">
        <v>48</v>
      </c>
      <c r="R148" s="485">
        <v>0</v>
      </c>
      <c r="S148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48" s="695">
        <f>IFERROR(Producción_Agricola[[#This Row],[Económico $Corrientes]]/Producción_Agricola[[#This Row],[Indexación Económico]],0)</f>
        <v>0</v>
      </c>
      <c r="U14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4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48" s="695">
        <f>IFERROR(Producción_Agricola[[#This Row],[Financiero $Corrientes]]/Producción_Agricola[[#This Row],[Indexación Financiero]],0)</f>
        <v>0</v>
      </c>
      <c r="X14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4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48" s="699">
        <f>IFERROR(Producción_Agricola[[#This Row],[Intereses $Corrientes]]/Producción_Agricola[[#This Row],[Indexación Financiero]],0)</f>
        <v>0</v>
      </c>
      <c r="AA14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48" s="701" t="str">
        <f>IFERROR(INDEX(Produccion_Agricola_Cuentas[],MATCH(Producción_Agricola[[#This Row],[Cuenta Contable]],Produccion_Agricola_Cuentas[Cuenta Contable],0),2),0)</f>
        <v>Egreso</v>
      </c>
      <c r="AC148" s="702" t="str">
        <f>IFERROR(INDEX(Tabla9[],MATCH(Producción_Agricola[[#This Row],[Movimiento]],Tabla9[Movimientos],0),2),0)</f>
        <v>Si</v>
      </c>
      <c r="AD148" s="703" t="str">
        <f>IFERROR(INDEX(Tabla9[],MATCH(Producción_Agricola[[#This Row],[Movimiento]],Tabla9[Movimientos],0),3),0)</f>
        <v>(-)</v>
      </c>
      <c r="AE148" s="698">
        <f>IF(Producción_Agricola[[#This Row],[Fecha Económico]]=0,0,MONTH(Producción_Agricola[[#This Row],[Fecha Económico]]))</f>
        <v>11</v>
      </c>
      <c r="AF148" s="699">
        <f>IF(Producción_Agricola[[#This Row],[Fecha Económico]]=0,0,YEAR(Producción_Agricola[[#This Row],[Fecha Económico]]))</f>
        <v>2018</v>
      </c>
      <c r="AG148" s="704">
        <f>SUMPRODUCT((Producción_Agricola[[#This Row],[Mes Económico]]=Tipo_Cambio[Mes])*(Producción_Agricola[[#This Row],[Año Económico]]=Tipo_Cambio[Año])*(Tipo_Cambio[$/U$S]))</f>
        <v>22.893288219999999</v>
      </c>
      <c r="AH148" s="703">
        <f>SUMPRODUCT((Producción_Agricola[[#This Row],[Mes Económico]]=Tipo_Cambio[Mes])*(Producción_Agricola[[#This Row],[Año Económico]]=Tipo_Cambio[Año])*(Tipo_Cambio[Actualización]))</f>
        <v>1.08243216</v>
      </c>
      <c r="AI148" s="705">
        <f>IF(ISNUMBER(Producción_Agricola[[#This Row],[Fecha Financiero]])=TRUE,MONTH(Producción_Agricola[[#This Row],[Fecha Financiero]]),0)</f>
        <v>12</v>
      </c>
      <c r="AJ148" s="705">
        <f>IF(ISNUMBER(Producción_Agricola[[#This Row],[Fecha Financiero]])=TRUE,YEAR(Producción_Agricola[[#This Row],[Fecha Financiero]]),0)</f>
        <v>2018</v>
      </c>
      <c r="AK148" s="706">
        <f>SUMPRODUCT((Producción_Agricola[[#This Row],[Mes Financiero]]=Tipo_Cambio[Mes])*(Producción_Agricola[[#This Row],[Año Financiero]]=Tipo_Cambio[Año])*(Tipo_Cambio[$/U$S]))</f>
        <v>23.122221102199997</v>
      </c>
      <c r="AL148" s="706">
        <f>SUMPRODUCT((Producción_Agricola[[#This Row],[Mes Financiero]]=Tipo_Cambio[Mes])*(Producción_Agricola[[#This Row],[Año Financiero]]=Tipo_Cambio[Año])*(Tipo_Cambio[Actualización]))</f>
        <v>1.1040808032</v>
      </c>
      <c r="AM148" s="702">
        <f>IFERROR(Producción_Agricola[[#This Row],[Económico $Corrientes]]/Producción_Agricola[[#This Row],[Superficie]],0)</f>
        <v>0</v>
      </c>
      <c r="AN148" s="706">
        <f>IFERROR(Producción_Agricola[[#This Row],[Económico $Constantes]]/Producción_Agricola[[#This Row],[Superficie]],0)</f>
        <v>0</v>
      </c>
      <c r="AO148" s="706">
        <f>IFERROR(Producción_Agricola[[#This Row],[Económico U$S Dólares]]/Producción_Agricola[[#This Row],[Superficie]],0)</f>
        <v>0</v>
      </c>
      <c r="AP148" s="707" t="str">
        <f>IF(Económico!$F$4=0,0,Producción_Agricola[[#This Row],[Centro de Costo]])</f>
        <v>Campo 1</v>
      </c>
      <c r="AQ148" s="512" t="s">
        <v>381</v>
      </c>
      <c r="AR148" s="513"/>
      <c r="AS148"/>
    </row>
    <row r="149" spans="1:45" x14ac:dyDescent="0.25">
      <c r="D149" s="478">
        <f>D148</f>
        <v>43426</v>
      </c>
      <c r="E149" s="478">
        <v>43586</v>
      </c>
      <c r="F149" s="668" t="str">
        <f t="shared" si="30"/>
        <v>2018-2019</v>
      </c>
      <c r="G149" s="669" t="str">
        <f t="shared" si="29"/>
        <v>Campo 1</v>
      </c>
      <c r="H149" s="669" t="str">
        <f t="shared" si="31"/>
        <v>Soja de Primera</v>
      </c>
      <c r="I149" s="670" t="str">
        <f>IFERROR(INDEX(Tabla8[],MATCH(Producción_Agricola[[#This Row],[Unidad de Negocio]],Tabla8[Unidades de Negocio],0),2),0)</f>
        <v>Soja</v>
      </c>
      <c r="J149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49" s="481" t="s">
        <v>17</v>
      </c>
      <c r="L149" s="482" t="s">
        <v>50</v>
      </c>
      <c r="M149" s="483">
        <v>0</v>
      </c>
      <c r="N149" s="484" t="s">
        <v>387</v>
      </c>
      <c r="O149" s="690">
        <f>Producción_Agricola[[#This Row],[Superficie]]*Producción_Agricola[[#This Row],[Cantidad]]</f>
        <v>0</v>
      </c>
      <c r="P149" s="482">
        <v>3</v>
      </c>
      <c r="Q149" s="484" t="s">
        <v>3</v>
      </c>
      <c r="R149" s="485">
        <v>0.06</v>
      </c>
      <c r="S149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49" s="695">
        <f>IFERROR(Producción_Agricola[[#This Row],[Económico $Corrientes]]/Producción_Agricola[[#This Row],[Indexación Económico]],0)</f>
        <v>0</v>
      </c>
      <c r="U14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4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49" s="695">
        <f>IFERROR(Producción_Agricola[[#This Row],[Financiero $Corrientes]]/Producción_Agricola[[#This Row],[Indexación Financiero]],0)</f>
        <v>0</v>
      </c>
      <c r="X14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4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49" s="699">
        <f>IFERROR(Producción_Agricola[[#This Row],[Intereses $Corrientes]]/Producción_Agricola[[#This Row],[Indexación Financiero]],0)</f>
        <v>0</v>
      </c>
      <c r="AA14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49" s="701" t="str">
        <f>IFERROR(INDEX(Produccion_Agricola_Cuentas[],MATCH(Producción_Agricola[[#This Row],[Cuenta Contable]],Produccion_Agricola_Cuentas[Cuenta Contable],0),2),0)</f>
        <v>Egreso</v>
      </c>
      <c r="AC149" s="702" t="str">
        <f>IFERROR(INDEX(Tabla9[],MATCH(Producción_Agricola[[#This Row],[Movimiento]],Tabla9[Movimientos],0),2),0)</f>
        <v>Si</v>
      </c>
      <c r="AD149" s="703" t="str">
        <f>IFERROR(INDEX(Tabla9[],MATCH(Producción_Agricola[[#This Row],[Movimiento]],Tabla9[Movimientos],0),3),0)</f>
        <v>(-)</v>
      </c>
      <c r="AE149" s="698">
        <f>IF(Producción_Agricola[[#This Row],[Fecha Económico]]=0,0,MONTH(Producción_Agricola[[#This Row],[Fecha Económico]]))</f>
        <v>11</v>
      </c>
      <c r="AF149" s="699">
        <f>IF(Producción_Agricola[[#This Row],[Fecha Económico]]=0,0,YEAR(Producción_Agricola[[#This Row],[Fecha Económico]]))</f>
        <v>2018</v>
      </c>
      <c r="AG149" s="704">
        <f>SUMPRODUCT((Producción_Agricola[[#This Row],[Mes Económico]]=Tipo_Cambio[Mes])*(Producción_Agricola[[#This Row],[Año Económico]]=Tipo_Cambio[Año])*(Tipo_Cambio[$/U$S]))</f>
        <v>22.893288219999999</v>
      </c>
      <c r="AH149" s="703">
        <f>SUMPRODUCT((Producción_Agricola[[#This Row],[Mes Económico]]=Tipo_Cambio[Mes])*(Producción_Agricola[[#This Row],[Año Económico]]=Tipo_Cambio[Año])*(Tipo_Cambio[Actualización]))</f>
        <v>1.08243216</v>
      </c>
      <c r="AI149" s="705">
        <f>IF(ISNUMBER(Producción_Agricola[[#This Row],[Fecha Financiero]])=TRUE,MONTH(Producción_Agricola[[#This Row],[Fecha Financiero]]),0)</f>
        <v>5</v>
      </c>
      <c r="AJ149" s="705">
        <f>IF(ISNUMBER(Producción_Agricola[[#This Row],[Fecha Financiero]])=TRUE,YEAR(Producción_Agricola[[#This Row],[Fecha Financiero]]),0)</f>
        <v>2019</v>
      </c>
      <c r="AK149" s="706">
        <f>SUMPRODUCT((Producción_Agricola[[#This Row],[Mes Financiero]]=Tipo_Cambio[Mes])*(Producción_Agricola[[#This Row],[Año Financiero]]=Tipo_Cambio[Año])*(Tipo_Cambio[$/U$S]))</f>
        <v>24.301686759046497</v>
      </c>
      <c r="AL149" s="706">
        <f>SUMPRODUCT((Producción_Agricola[[#This Row],[Mes Financiero]]=Tipo_Cambio[Mes])*(Producción_Agricola[[#This Row],[Año Financiero]]=Tipo_Cambio[Año])*(Tipo_Cambio[Actualización]))</f>
        <v>1.2189944199947573</v>
      </c>
      <c r="AM149" s="702">
        <f>IFERROR(Producción_Agricola[[#This Row],[Económico $Corrientes]]/Producción_Agricola[[#This Row],[Superficie]],0)</f>
        <v>0</v>
      </c>
      <c r="AN149" s="706">
        <f>IFERROR(Producción_Agricola[[#This Row],[Económico $Constantes]]/Producción_Agricola[[#This Row],[Superficie]],0)</f>
        <v>0</v>
      </c>
      <c r="AO149" s="706">
        <f>IFERROR(Producción_Agricola[[#This Row],[Económico U$S Dólares]]/Producción_Agricola[[#This Row],[Superficie]],0)</f>
        <v>0</v>
      </c>
      <c r="AP149" s="707" t="str">
        <f>IF(Económico!$F$4=0,0,Producción_Agricola[[#This Row],[Centro de Costo]])</f>
        <v>Campo 1</v>
      </c>
      <c r="AQ149" s="512" t="s">
        <v>381</v>
      </c>
      <c r="AR149" s="513"/>
      <c r="AS149"/>
    </row>
    <row r="150" spans="1:45" x14ac:dyDescent="0.25">
      <c r="D150" s="478">
        <f t="shared" ref="D150:D151" si="36">D149</f>
        <v>43426</v>
      </c>
      <c r="E150" s="478">
        <v>43586</v>
      </c>
      <c r="F150" s="668" t="str">
        <f t="shared" si="30"/>
        <v>2018-2019</v>
      </c>
      <c r="G150" s="669" t="str">
        <f t="shared" si="29"/>
        <v>Campo 1</v>
      </c>
      <c r="H150" s="669" t="str">
        <f t="shared" si="31"/>
        <v>Soja de Primera</v>
      </c>
      <c r="I150" s="670" t="str">
        <f>IFERROR(INDEX(Tabla8[],MATCH(Producción_Agricola[[#This Row],[Unidad de Negocio]],Tabla8[Unidades de Negocio],0),2),0)</f>
        <v>Soja</v>
      </c>
      <c r="J150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50" s="481" t="s">
        <v>17</v>
      </c>
      <c r="L150" s="482" t="s">
        <v>49</v>
      </c>
      <c r="M150" s="483">
        <v>0</v>
      </c>
      <c r="N150" s="484" t="s">
        <v>387</v>
      </c>
      <c r="O150" s="690">
        <f>Producción_Agricola[[#This Row],[Superficie]]*Producción_Agricola[[#This Row],[Cantidad]]</f>
        <v>0</v>
      </c>
      <c r="P150" s="482">
        <v>7</v>
      </c>
      <c r="Q150" s="484" t="s">
        <v>3</v>
      </c>
      <c r="R150" s="485">
        <v>0.06</v>
      </c>
      <c r="S150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50" s="695">
        <f>IFERROR(Producción_Agricola[[#This Row],[Económico $Corrientes]]/Producción_Agricola[[#This Row],[Indexación Económico]],0)</f>
        <v>0</v>
      </c>
      <c r="U15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5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50" s="695">
        <f>IFERROR(Producción_Agricola[[#This Row],[Financiero $Corrientes]]/Producción_Agricola[[#This Row],[Indexación Financiero]],0)</f>
        <v>0</v>
      </c>
      <c r="X15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5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50" s="699">
        <f>IFERROR(Producción_Agricola[[#This Row],[Intereses $Corrientes]]/Producción_Agricola[[#This Row],[Indexación Financiero]],0)</f>
        <v>0</v>
      </c>
      <c r="AA15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50" s="701" t="str">
        <f>IFERROR(INDEX(Produccion_Agricola_Cuentas[],MATCH(Producción_Agricola[[#This Row],[Cuenta Contable]],Produccion_Agricola_Cuentas[Cuenta Contable],0),2),0)</f>
        <v>Egreso</v>
      </c>
      <c r="AC150" s="702" t="str">
        <f>IFERROR(INDEX(Tabla9[],MATCH(Producción_Agricola[[#This Row],[Movimiento]],Tabla9[Movimientos],0),2),0)</f>
        <v>Si</v>
      </c>
      <c r="AD150" s="703" t="str">
        <f>IFERROR(INDEX(Tabla9[],MATCH(Producción_Agricola[[#This Row],[Movimiento]],Tabla9[Movimientos],0),3),0)</f>
        <v>(-)</v>
      </c>
      <c r="AE150" s="698">
        <f>IF(Producción_Agricola[[#This Row],[Fecha Económico]]=0,0,MONTH(Producción_Agricola[[#This Row],[Fecha Económico]]))</f>
        <v>11</v>
      </c>
      <c r="AF150" s="699">
        <f>IF(Producción_Agricola[[#This Row],[Fecha Económico]]=0,0,YEAR(Producción_Agricola[[#This Row],[Fecha Económico]]))</f>
        <v>2018</v>
      </c>
      <c r="AG150" s="704">
        <f>SUMPRODUCT((Producción_Agricola[[#This Row],[Mes Económico]]=Tipo_Cambio[Mes])*(Producción_Agricola[[#This Row],[Año Económico]]=Tipo_Cambio[Año])*(Tipo_Cambio[$/U$S]))</f>
        <v>22.893288219999999</v>
      </c>
      <c r="AH150" s="703">
        <f>SUMPRODUCT((Producción_Agricola[[#This Row],[Mes Económico]]=Tipo_Cambio[Mes])*(Producción_Agricola[[#This Row],[Año Económico]]=Tipo_Cambio[Año])*(Tipo_Cambio[Actualización]))</f>
        <v>1.08243216</v>
      </c>
      <c r="AI150" s="705">
        <f>IF(ISNUMBER(Producción_Agricola[[#This Row],[Fecha Financiero]])=TRUE,MONTH(Producción_Agricola[[#This Row],[Fecha Financiero]]),0)</f>
        <v>5</v>
      </c>
      <c r="AJ150" s="705">
        <f>IF(ISNUMBER(Producción_Agricola[[#This Row],[Fecha Financiero]])=TRUE,YEAR(Producción_Agricola[[#This Row],[Fecha Financiero]]),0)</f>
        <v>2019</v>
      </c>
      <c r="AK150" s="706">
        <f>SUMPRODUCT((Producción_Agricola[[#This Row],[Mes Financiero]]=Tipo_Cambio[Mes])*(Producción_Agricola[[#This Row],[Año Financiero]]=Tipo_Cambio[Año])*(Tipo_Cambio[$/U$S]))</f>
        <v>24.301686759046497</v>
      </c>
      <c r="AL150" s="706">
        <f>SUMPRODUCT((Producción_Agricola[[#This Row],[Mes Financiero]]=Tipo_Cambio[Mes])*(Producción_Agricola[[#This Row],[Año Financiero]]=Tipo_Cambio[Año])*(Tipo_Cambio[Actualización]))</f>
        <v>1.2189944199947573</v>
      </c>
      <c r="AM150" s="702">
        <f>IFERROR(Producción_Agricola[[#This Row],[Económico $Corrientes]]/Producción_Agricola[[#This Row],[Superficie]],0)</f>
        <v>0</v>
      </c>
      <c r="AN150" s="706">
        <f>IFERROR(Producción_Agricola[[#This Row],[Económico $Constantes]]/Producción_Agricola[[#This Row],[Superficie]],0)</f>
        <v>0</v>
      </c>
      <c r="AO150" s="706">
        <f>IFERROR(Producción_Agricola[[#This Row],[Económico U$S Dólares]]/Producción_Agricola[[#This Row],[Superficie]],0)</f>
        <v>0</v>
      </c>
      <c r="AP150" s="707" t="str">
        <f>IF(Económico!$F$4=0,0,Producción_Agricola[[#This Row],[Centro de Costo]])</f>
        <v>Campo 1</v>
      </c>
      <c r="AQ150" s="512" t="s">
        <v>381</v>
      </c>
      <c r="AR150" s="513"/>
      <c r="AS150"/>
    </row>
    <row r="151" spans="1:45" x14ac:dyDescent="0.25">
      <c r="D151" s="478">
        <f t="shared" si="36"/>
        <v>43426</v>
      </c>
      <c r="E151" s="478">
        <v>43586</v>
      </c>
      <c r="F151" s="668" t="str">
        <f t="shared" si="30"/>
        <v>2018-2019</v>
      </c>
      <c r="G151" s="669" t="str">
        <f t="shared" si="29"/>
        <v>Campo 1</v>
      </c>
      <c r="H151" s="669" t="str">
        <f t="shared" si="31"/>
        <v>Soja de Primera</v>
      </c>
      <c r="I151" s="670" t="str">
        <f>IFERROR(INDEX(Tabla8[],MATCH(Producción_Agricola[[#This Row],[Unidad de Negocio]],Tabla8[Unidades de Negocio],0),2),0)</f>
        <v>Soja</v>
      </c>
      <c r="J151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51" s="481" t="s">
        <v>24</v>
      </c>
      <c r="L151" s="482" t="s">
        <v>363</v>
      </c>
      <c r="M151" s="483">
        <v>0</v>
      </c>
      <c r="N151" s="484" t="s">
        <v>387</v>
      </c>
      <c r="O151" s="690">
        <f>Producción_Agricola[[#This Row],[Superficie]]*Producción_Agricola[[#This Row],[Cantidad]]</f>
        <v>0</v>
      </c>
      <c r="P151" s="482">
        <v>18</v>
      </c>
      <c r="Q151" s="484" t="s">
        <v>3</v>
      </c>
      <c r="R151" s="485">
        <v>0.06</v>
      </c>
      <c r="S151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51" s="695">
        <f>IFERROR(Producción_Agricola[[#This Row],[Económico $Corrientes]]/Producción_Agricola[[#This Row],[Indexación Económico]],0)</f>
        <v>0</v>
      </c>
      <c r="U15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5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51" s="695">
        <f>IFERROR(Producción_Agricola[[#This Row],[Financiero $Corrientes]]/Producción_Agricola[[#This Row],[Indexación Financiero]],0)</f>
        <v>0</v>
      </c>
      <c r="X15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5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51" s="699">
        <f>IFERROR(Producción_Agricola[[#This Row],[Intereses $Corrientes]]/Producción_Agricola[[#This Row],[Indexación Financiero]],0)</f>
        <v>0</v>
      </c>
      <c r="AA15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51" s="701" t="str">
        <f>IFERROR(INDEX(Produccion_Agricola_Cuentas[],MATCH(Producción_Agricola[[#This Row],[Cuenta Contable]],Produccion_Agricola_Cuentas[Cuenta Contable],0),2),0)</f>
        <v>Egreso</v>
      </c>
      <c r="AC151" s="702" t="str">
        <f>IFERROR(INDEX(Tabla9[],MATCH(Producción_Agricola[[#This Row],[Movimiento]],Tabla9[Movimientos],0),2),0)</f>
        <v>Si</v>
      </c>
      <c r="AD151" s="703" t="str">
        <f>IFERROR(INDEX(Tabla9[],MATCH(Producción_Agricola[[#This Row],[Movimiento]],Tabla9[Movimientos],0),3),0)</f>
        <v>(-)</v>
      </c>
      <c r="AE151" s="698">
        <f>IF(Producción_Agricola[[#This Row],[Fecha Económico]]=0,0,MONTH(Producción_Agricola[[#This Row],[Fecha Económico]]))</f>
        <v>11</v>
      </c>
      <c r="AF151" s="699">
        <f>IF(Producción_Agricola[[#This Row],[Fecha Económico]]=0,0,YEAR(Producción_Agricola[[#This Row],[Fecha Económico]]))</f>
        <v>2018</v>
      </c>
      <c r="AG151" s="704">
        <f>SUMPRODUCT((Producción_Agricola[[#This Row],[Mes Económico]]=Tipo_Cambio[Mes])*(Producción_Agricola[[#This Row],[Año Económico]]=Tipo_Cambio[Año])*(Tipo_Cambio[$/U$S]))</f>
        <v>22.893288219999999</v>
      </c>
      <c r="AH151" s="703">
        <f>SUMPRODUCT((Producción_Agricola[[#This Row],[Mes Económico]]=Tipo_Cambio[Mes])*(Producción_Agricola[[#This Row],[Año Económico]]=Tipo_Cambio[Año])*(Tipo_Cambio[Actualización]))</f>
        <v>1.08243216</v>
      </c>
      <c r="AI151" s="705">
        <f>IF(ISNUMBER(Producción_Agricola[[#This Row],[Fecha Financiero]])=TRUE,MONTH(Producción_Agricola[[#This Row],[Fecha Financiero]]),0)</f>
        <v>5</v>
      </c>
      <c r="AJ151" s="705">
        <f>IF(ISNUMBER(Producción_Agricola[[#This Row],[Fecha Financiero]])=TRUE,YEAR(Producción_Agricola[[#This Row],[Fecha Financiero]]),0)</f>
        <v>2019</v>
      </c>
      <c r="AK151" s="706">
        <f>SUMPRODUCT((Producción_Agricola[[#This Row],[Mes Financiero]]=Tipo_Cambio[Mes])*(Producción_Agricola[[#This Row],[Año Financiero]]=Tipo_Cambio[Año])*(Tipo_Cambio[$/U$S]))</f>
        <v>24.301686759046497</v>
      </c>
      <c r="AL151" s="706">
        <f>SUMPRODUCT((Producción_Agricola[[#This Row],[Mes Financiero]]=Tipo_Cambio[Mes])*(Producción_Agricola[[#This Row],[Año Financiero]]=Tipo_Cambio[Año])*(Tipo_Cambio[Actualización]))</f>
        <v>1.2189944199947573</v>
      </c>
      <c r="AM151" s="702">
        <f>IFERROR(Producción_Agricola[[#This Row],[Económico $Corrientes]]/Producción_Agricola[[#This Row],[Superficie]],0)</f>
        <v>0</v>
      </c>
      <c r="AN151" s="706">
        <f>IFERROR(Producción_Agricola[[#This Row],[Económico $Constantes]]/Producción_Agricola[[#This Row],[Superficie]],0)</f>
        <v>0</v>
      </c>
      <c r="AO151" s="706">
        <f>IFERROR(Producción_Agricola[[#This Row],[Económico U$S Dólares]]/Producción_Agricola[[#This Row],[Superficie]],0)</f>
        <v>0</v>
      </c>
      <c r="AP151" s="707" t="str">
        <f>IF(Económico!$F$4=0,0,Producción_Agricola[[#This Row],[Centro de Costo]])</f>
        <v>Campo 1</v>
      </c>
      <c r="AQ151" s="512" t="s">
        <v>381</v>
      </c>
      <c r="AR151" s="513"/>
      <c r="AS151"/>
    </row>
    <row r="152" spans="1:45" x14ac:dyDescent="0.25">
      <c r="D152" s="478">
        <f>D148+80</f>
        <v>43506</v>
      </c>
      <c r="E152" s="478">
        <f>Producción_Agricola[[#This Row],[Fecha Económico]]+30</f>
        <v>43536</v>
      </c>
      <c r="F152" s="668" t="str">
        <f t="shared" si="30"/>
        <v>2018-2019</v>
      </c>
      <c r="G152" s="669" t="str">
        <f t="shared" si="29"/>
        <v>Campo 1</v>
      </c>
      <c r="H152" s="669" t="str">
        <f t="shared" si="31"/>
        <v>Soja de Primera</v>
      </c>
      <c r="I152" s="670" t="str">
        <f>IFERROR(INDEX(Tabla8[],MATCH(Producción_Agricola[[#This Row],[Unidad de Negocio]],Tabla8[Unidades de Negocio],0),2),0)</f>
        <v>Soja</v>
      </c>
      <c r="J152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52" s="481" t="s">
        <v>25</v>
      </c>
      <c r="L152" s="482" t="s">
        <v>385</v>
      </c>
      <c r="M152" s="483">
        <v>0</v>
      </c>
      <c r="N152" s="484" t="s">
        <v>389</v>
      </c>
      <c r="O152" s="690">
        <f>Producción_Agricola[[#This Row],[Superficie]]*Producción_Agricola[[#This Row],[Cantidad]]</f>
        <v>0</v>
      </c>
      <c r="P152" s="482">
        <v>11</v>
      </c>
      <c r="Q152" s="484" t="s">
        <v>3</v>
      </c>
      <c r="R152" s="485">
        <v>0</v>
      </c>
      <c r="S152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52" s="695">
        <f>IFERROR(Producción_Agricola[[#This Row],[Económico $Corrientes]]/Producción_Agricola[[#This Row],[Indexación Económico]],0)</f>
        <v>0</v>
      </c>
      <c r="U152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5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52" s="695">
        <f>IFERROR(Producción_Agricola[[#This Row],[Financiero $Corrientes]]/Producción_Agricola[[#This Row],[Indexación Financiero]],0)</f>
        <v>0</v>
      </c>
      <c r="X15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5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52" s="699">
        <f>IFERROR(Producción_Agricola[[#This Row],[Intereses $Corrientes]]/Producción_Agricola[[#This Row],[Indexación Financiero]],0)</f>
        <v>0</v>
      </c>
      <c r="AA15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52" s="701" t="str">
        <f>IFERROR(INDEX(Produccion_Agricola_Cuentas[],MATCH(Producción_Agricola[[#This Row],[Cuenta Contable]],Produccion_Agricola_Cuentas[Cuenta Contable],0),2),0)</f>
        <v>Egreso</v>
      </c>
      <c r="AC152" s="702" t="str">
        <f>IFERROR(INDEX(Tabla9[],MATCH(Producción_Agricola[[#This Row],[Movimiento]],Tabla9[Movimientos],0),2),0)</f>
        <v>Si</v>
      </c>
      <c r="AD152" s="703" t="str">
        <f>IFERROR(INDEX(Tabla9[],MATCH(Producción_Agricola[[#This Row],[Movimiento]],Tabla9[Movimientos],0),3),0)</f>
        <v>(-)</v>
      </c>
      <c r="AE152" s="698">
        <f>IF(Producción_Agricola[[#This Row],[Fecha Económico]]=0,0,MONTH(Producción_Agricola[[#This Row],[Fecha Económico]]))</f>
        <v>2</v>
      </c>
      <c r="AF152" s="699">
        <f>IF(Producción_Agricola[[#This Row],[Fecha Económico]]=0,0,YEAR(Producción_Agricola[[#This Row],[Fecha Económico]]))</f>
        <v>2019</v>
      </c>
      <c r="AG152" s="704">
        <f>SUMPRODUCT((Producción_Agricola[[#This Row],[Mes Económico]]=Tipo_Cambio[Mes])*(Producción_Agricola[[#This Row],[Año Económico]]=Tipo_Cambio[Año])*(Tipo_Cambio[$/U$S]))</f>
        <v>23.586977746354219</v>
      </c>
      <c r="AH152" s="703">
        <f>SUMPRODUCT((Producción_Agricola[[#This Row],[Mes Económico]]=Tipo_Cambio[Mes])*(Producción_Agricola[[#This Row],[Año Económico]]=Tipo_Cambio[Año])*(Tipo_Cambio[Actualización]))</f>
        <v>1.14868566764928</v>
      </c>
      <c r="AI152" s="705">
        <f>IF(ISNUMBER(Producción_Agricola[[#This Row],[Fecha Financiero]])=TRUE,MONTH(Producción_Agricola[[#This Row],[Fecha Financiero]]),0)</f>
        <v>3</v>
      </c>
      <c r="AJ152" s="705">
        <f>IF(ISNUMBER(Producción_Agricola[[#This Row],[Fecha Financiero]])=TRUE,YEAR(Producción_Agricola[[#This Row],[Fecha Financiero]]),0)</f>
        <v>2019</v>
      </c>
      <c r="AK152" s="706">
        <f>SUMPRODUCT((Producción_Agricola[[#This Row],[Mes Financiero]]=Tipo_Cambio[Mes])*(Producción_Agricola[[#This Row],[Año Financiero]]=Tipo_Cambio[Año])*(Tipo_Cambio[$/U$S]))</f>
        <v>23.82284752381776</v>
      </c>
      <c r="AL152" s="706">
        <f>SUMPRODUCT((Producción_Agricola[[#This Row],[Mes Financiero]]=Tipo_Cambio[Mes])*(Producción_Agricola[[#This Row],[Año Financiero]]=Tipo_Cambio[Año])*(Tipo_Cambio[Actualización]))</f>
        <v>1.1716593810022657</v>
      </c>
      <c r="AM152" s="702">
        <f>IFERROR(Producción_Agricola[[#This Row],[Económico $Corrientes]]/Producción_Agricola[[#This Row],[Superficie]],0)</f>
        <v>0</v>
      </c>
      <c r="AN152" s="706">
        <f>IFERROR(Producción_Agricola[[#This Row],[Económico $Constantes]]/Producción_Agricola[[#This Row],[Superficie]],0)</f>
        <v>0</v>
      </c>
      <c r="AO152" s="706">
        <f>IFERROR(Producción_Agricola[[#This Row],[Económico U$S Dólares]]/Producción_Agricola[[#This Row],[Superficie]],0)</f>
        <v>0</v>
      </c>
      <c r="AP152" s="707" t="str">
        <f>IF(Económico!$F$4=0,0,Producción_Agricola[[#This Row],[Centro de Costo]])</f>
        <v>Campo 1</v>
      </c>
      <c r="AQ152" s="512" t="s">
        <v>366</v>
      </c>
      <c r="AR152" s="513"/>
      <c r="AS152"/>
    </row>
    <row r="153" spans="1:45" x14ac:dyDescent="0.25">
      <c r="D153" s="478">
        <f>D152</f>
        <v>43506</v>
      </c>
      <c r="E153" s="478">
        <v>43586</v>
      </c>
      <c r="F153" s="668" t="str">
        <f t="shared" si="30"/>
        <v>2018-2019</v>
      </c>
      <c r="G153" s="669" t="str">
        <f t="shared" si="29"/>
        <v>Campo 1</v>
      </c>
      <c r="H153" s="669" t="str">
        <f t="shared" si="31"/>
        <v>Soja de Primera</v>
      </c>
      <c r="I153" s="670" t="str">
        <f>IFERROR(INDEX(Tabla8[],MATCH(Producción_Agricola[[#This Row],[Unidad de Negocio]],Tabla8[Unidades de Negocio],0),2),0)</f>
        <v>Soja</v>
      </c>
      <c r="J153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53" s="481" t="s">
        <v>23</v>
      </c>
      <c r="L153" s="482" t="s">
        <v>366</v>
      </c>
      <c r="M153" s="483">
        <v>0</v>
      </c>
      <c r="N153" s="484" t="s">
        <v>387</v>
      </c>
      <c r="O153" s="690">
        <f>Producción_Agricola[[#This Row],[Superficie]]*Producción_Agricola[[#This Row],[Cantidad]]</f>
        <v>0</v>
      </c>
      <c r="P153" s="482">
        <v>60</v>
      </c>
      <c r="Q153" s="484" t="s">
        <v>3</v>
      </c>
      <c r="R153" s="485">
        <v>0.06</v>
      </c>
      <c r="S153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53" s="695">
        <f>IFERROR(Producción_Agricola[[#This Row],[Económico $Corrientes]]/Producción_Agricola[[#This Row],[Indexación Económico]],0)</f>
        <v>0</v>
      </c>
      <c r="U153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5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53" s="695">
        <f>IFERROR(Producción_Agricola[[#This Row],[Financiero $Corrientes]]/Producción_Agricola[[#This Row],[Indexación Financiero]],0)</f>
        <v>0</v>
      </c>
      <c r="X15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5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53" s="699">
        <f>IFERROR(Producción_Agricola[[#This Row],[Intereses $Corrientes]]/Producción_Agricola[[#This Row],[Indexación Financiero]],0)</f>
        <v>0</v>
      </c>
      <c r="AA15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53" s="701" t="str">
        <f>IFERROR(INDEX(Produccion_Agricola_Cuentas[],MATCH(Producción_Agricola[[#This Row],[Cuenta Contable]],Produccion_Agricola_Cuentas[Cuenta Contable],0),2),0)</f>
        <v>Egreso</v>
      </c>
      <c r="AC153" s="702" t="str">
        <f>IFERROR(INDEX(Tabla9[],MATCH(Producción_Agricola[[#This Row],[Movimiento]],Tabla9[Movimientos],0),2),0)</f>
        <v>Si</v>
      </c>
      <c r="AD153" s="703" t="str">
        <f>IFERROR(INDEX(Tabla9[],MATCH(Producción_Agricola[[#This Row],[Movimiento]],Tabla9[Movimientos],0),3),0)</f>
        <v>(-)</v>
      </c>
      <c r="AE153" s="698">
        <f>IF(Producción_Agricola[[#This Row],[Fecha Económico]]=0,0,MONTH(Producción_Agricola[[#This Row],[Fecha Económico]]))</f>
        <v>2</v>
      </c>
      <c r="AF153" s="699">
        <f>IF(Producción_Agricola[[#This Row],[Fecha Económico]]=0,0,YEAR(Producción_Agricola[[#This Row],[Fecha Económico]]))</f>
        <v>2019</v>
      </c>
      <c r="AG153" s="704">
        <f>SUMPRODUCT((Producción_Agricola[[#This Row],[Mes Económico]]=Tipo_Cambio[Mes])*(Producción_Agricola[[#This Row],[Año Económico]]=Tipo_Cambio[Año])*(Tipo_Cambio[$/U$S]))</f>
        <v>23.586977746354219</v>
      </c>
      <c r="AH153" s="703">
        <f>SUMPRODUCT((Producción_Agricola[[#This Row],[Mes Económico]]=Tipo_Cambio[Mes])*(Producción_Agricola[[#This Row],[Año Económico]]=Tipo_Cambio[Año])*(Tipo_Cambio[Actualización]))</f>
        <v>1.14868566764928</v>
      </c>
      <c r="AI153" s="705">
        <f>IF(ISNUMBER(Producción_Agricola[[#This Row],[Fecha Financiero]])=TRUE,MONTH(Producción_Agricola[[#This Row],[Fecha Financiero]]),0)</f>
        <v>5</v>
      </c>
      <c r="AJ153" s="705">
        <f>IF(ISNUMBER(Producción_Agricola[[#This Row],[Fecha Financiero]])=TRUE,YEAR(Producción_Agricola[[#This Row],[Fecha Financiero]]),0)</f>
        <v>2019</v>
      </c>
      <c r="AK153" s="706">
        <f>SUMPRODUCT((Producción_Agricola[[#This Row],[Mes Financiero]]=Tipo_Cambio[Mes])*(Producción_Agricola[[#This Row],[Año Financiero]]=Tipo_Cambio[Año])*(Tipo_Cambio[$/U$S]))</f>
        <v>24.301686759046497</v>
      </c>
      <c r="AL153" s="706">
        <f>SUMPRODUCT((Producción_Agricola[[#This Row],[Mes Financiero]]=Tipo_Cambio[Mes])*(Producción_Agricola[[#This Row],[Año Financiero]]=Tipo_Cambio[Año])*(Tipo_Cambio[Actualización]))</f>
        <v>1.2189944199947573</v>
      </c>
      <c r="AM153" s="702">
        <f>IFERROR(Producción_Agricola[[#This Row],[Económico $Corrientes]]/Producción_Agricola[[#This Row],[Superficie]],0)</f>
        <v>0</v>
      </c>
      <c r="AN153" s="706">
        <f>IFERROR(Producción_Agricola[[#This Row],[Económico $Constantes]]/Producción_Agricola[[#This Row],[Superficie]],0)</f>
        <v>0</v>
      </c>
      <c r="AO153" s="706">
        <f>IFERROR(Producción_Agricola[[#This Row],[Económico U$S Dólares]]/Producción_Agricola[[#This Row],[Superficie]],0)</f>
        <v>0</v>
      </c>
      <c r="AP153" s="707" t="str">
        <f>IF(Económico!$F$4=0,0,Producción_Agricola[[#This Row],[Centro de Costo]])</f>
        <v>Campo 1</v>
      </c>
      <c r="AQ153" s="512" t="s">
        <v>366</v>
      </c>
      <c r="AR153" s="513"/>
      <c r="AS153"/>
    </row>
    <row r="154" spans="1:45" x14ac:dyDescent="0.25">
      <c r="D154" s="478">
        <f t="shared" ref="D154:D155" si="37">D153</f>
        <v>43506</v>
      </c>
      <c r="E154" s="478">
        <v>43586</v>
      </c>
      <c r="F154" s="668" t="str">
        <f t="shared" si="30"/>
        <v>2018-2019</v>
      </c>
      <c r="G154" s="669" t="str">
        <f t="shared" si="29"/>
        <v>Campo 1</v>
      </c>
      <c r="H154" s="669" t="str">
        <f t="shared" si="31"/>
        <v>Soja de Primera</v>
      </c>
      <c r="I154" s="670" t="str">
        <f>IFERROR(INDEX(Tabla8[],MATCH(Producción_Agricola[[#This Row],[Unidad de Negocio]],Tabla8[Unidades de Negocio],0),2),0)</f>
        <v>Soja</v>
      </c>
      <c r="J154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54" s="481" t="s">
        <v>22</v>
      </c>
      <c r="L154" s="482" t="s">
        <v>365</v>
      </c>
      <c r="M154" s="483">
        <v>0</v>
      </c>
      <c r="N154" s="484" t="s">
        <v>387</v>
      </c>
      <c r="O154" s="690">
        <f>Producción_Agricola[[#This Row],[Superficie]]*Producción_Agricola[[#This Row],[Cantidad]]</f>
        <v>0</v>
      </c>
      <c r="P154" s="482">
        <v>10</v>
      </c>
      <c r="Q154" s="484" t="s">
        <v>3</v>
      </c>
      <c r="R154" s="485">
        <v>0.06</v>
      </c>
      <c r="S154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54" s="695">
        <f>IFERROR(Producción_Agricola[[#This Row],[Económico $Corrientes]]/Producción_Agricola[[#This Row],[Indexación Económico]],0)</f>
        <v>0</v>
      </c>
      <c r="U154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5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54" s="695">
        <f>IFERROR(Producción_Agricola[[#This Row],[Financiero $Corrientes]]/Producción_Agricola[[#This Row],[Indexación Financiero]],0)</f>
        <v>0</v>
      </c>
      <c r="X15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5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54" s="699">
        <f>IFERROR(Producción_Agricola[[#This Row],[Intereses $Corrientes]]/Producción_Agricola[[#This Row],[Indexación Financiero]],0)</f>
        <v>0</v>
      </c>
      <c r="AA15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54" s="701" t="str">
        <f>IFERROR(INDEX(Produccion_Agricola_Cuentas[],MATCH(Producción_Agricola[[#This Row],[Cuenta Contable]],Produccion_Agricola_Cuentas[Cuenta Contable],0),2),0)</f>
        <v>Egreso</v>
      </c>
      <c r="AC154" s="702" t="str">
        <f>IFERROR(INDEX(Tabla9[],MATCH(Producción_Agricola[[#This Row],[Movimiento]],Tabla9[Movimientos],0),2),0)</f>
        <v>Si</v>
      </c>
      <c r="AD154" s="703" t="str">
        <f>IFERROR(INDEX(Tabla9[],MATCH(Producción_Agricola[[#This Row],[Movimiento]],Tabla9[Movimientos],0),3),0)</f>
        <v>(-)</v>
      </c>
      <c r="AE154" s="698">
        <f>IF(Producción_Agricola[[#This Row],[Fecha Económico]]=0,0,MONTH(Producción_Agricola[[#This Row],[Fecha Económico]]))</f>
        <v>2</v>
      </c>
      <c r="AF154" s="699">
        <f>IF(Producción_Agricola[[#This Row],[Fecha Económico]]=0,0,YEAR(Producción_Agricola[[#This Row],[Fecha Económico]]))</f>
        <v>2019</v>
      </c>
      <c r="AG154" s="704">
        <f>SUMPRODUCT((Producción_Agricola[[#This Row],[Mes Económico]]=Tipo_Cambio[Mes])*(Producción_Agricola[[#This Row],[Año Económico]]=Tipo_Cambio[Año])*(Tipo_Cambio[$/U$S]))</f>
        <v>23.586977746354219</v>
      </c>
      <c r="AH154" s="703">
        <f>SUMPRODUCT((Producción_Agricola[[#This Row],[Mes Económico]]=Tipo_Cambio[Mes])*(Producción_Agricola[[#This Row],[Año Económico]]=Tipo_Cambio[Año])*(Tipo_Cambio[Actualización]))</f>
        <v>1.14868566764928</v>
      </c>
      <c r="AI154" s="705">
        <f>IF(ISNUMBER(Producción_Agricola[[#This Row],[Fecha Financiero]])=TRUE,MONTH(Producción_Agricola[[#This Row],[Fecha Financiero]]),0)</f>
        <v>5</v>
      </c>
      <c r="AJ154" s="705">
        <f>IF(ISNUMBER(Producción_Agricola[[#This Row],[Fecha Financiero]])=TRUE,YEAR(Producción_Agricola[[#This Row],[Fecha Financiero]]),0)</f>
        <v>2019</v>
      </c>
      <c r="AK154" s="706">
        <f>SUMPRODUCT((Producción_Agricola[[#This Row],[Mes Financiero]]=Tipo_Cambio[Mes])*(Producción_Agricola[[#This Row],[Año Financiero]]=Tipo_Cambio[Año])*(Tipo_Cambio[$/U$S]))</f>
        <v>24.301686759046497</v>
      </c>
      <c r="AL154" s="706">
        <f>SUMPRODUCT((Producción_Agricola[[#This Row],[Mes Financiero]]=Tipo_Cambio[Mes])*(Producción_Agricola[[#This Row],[Año Financiero]]=Tipo_Cambio[Año])*(Tipo_Cambio[Actualización]))</f>
        <v>1.2189944199947573</v>
      </c>
      <c r="AM154" s="702">
        <f>IFERROR(Producción_Agricola[[#This Row],[Económico $Corrientes]]/Producción_Agricola[[#This Row],[Superficie]],0)</f>
        <v>0</v>
      </c>
      <c r="AN154" s="706">
        <f>IFERROR(Producción_Agricola[[#This Row],[Económico $Constantes]]/Producción_Agricola[[#This Row],[Superficie]],0)</f>
        <v>0</v>
      </c>
      <c r="AO154" s="706">
        <f>IFERROR(Producción_Agricola[[#This Row],[Económico U$S Dólares]]/Producción_Agricola[[#This Row],[Superficie]],0)</f>
        <v>0</v>
      </c>
      <c r="AP154" s="707" t="str">
        <f>IF(Económico!$F$4=0,0,Producción_Agricola[[#This Row],[Centro de Costo]])</f>
        <v>Campo 1</v>
      </c>
      <c r="AQ154" s="512" t="s">
        <v>366</v>
      </c>
      <c r="AR154" s="513"/>
      <c r="AS154"/>
    </row>
    <row r="155" spans="1:45" s="19" customFormat="1" x14ac:dyDescent="0.25">
      <c r="A155" s="489"/>
      <c r="B155" s="489"/>
      <c r="C155" s="489"/>
      <c r="D155" s="478">
        <f t="shared" si="37"/>
        <v>43506</v>
      </c>
      <c r="E155" s="478">
        <v>43586</v>
      </c>
      <c r="F155" s="668" t="str">
        <f t="shared" si="30"/>
        <v>2018-2019</v>
      </c>
      <c r="G155" s="673" t="str">
        <f t="shared" si="29"/>
        <v>Campo 1</v>
      </c>
      <c r="H155" s="673" t="str">
        <f t="shared" si="31"/>
        <v>Soja de Primera</v>
      </c>
      <c r="I155" s="674" t="str">
        <f>IFERROR(INDEX(Tabla8[],MATCH(Producción_Agricola[[#This Row],[Unidad de Negocio]],Tabla8[Unidades de Negocio],0),2),0)</f>
        <v>Soja</v>
      </c>
      <c r="J155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55" s="491" t="s">
        <v>24</v>
      </c>
      <c r="L155" s="482" t="s">
        <v>363</v>
      </c>
      <c r="M155" s="483">
        <v>0</v>
      </c>
      <c r="N155" s="484" t="s">
        <v>387</v>
      </c>
      <c r="O155" s="690">
        <f>Producción_Agricola[[#This Row],[Superficie]]*Producción_Agricola[[#This Row],[Cantidad]]</f>
        <v>0</v>
      </c>
      <c r="P155" s="482">
        <v>18</v>
      </c>
      <c r="Q155" s="484" t="s">
        <v>3</v>
      </c>
      <c r="R155" s="485">
        <v>0.06</v>
      </c>
      <c r="S155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55" s="695">
        <f>IFERROR(Producción_Agricola[[#This Row],[Económico $Corrientes]]/Producción_Agricola[[#This Row],[Indexación Económico]],0)</f>
        <v>0</v>
      </c>
      <c r="U155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5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55" s="695">
        <f>IFERROR(Producción_Agricola[[#This Row],[Financiero $Corrientes]]/Producción_Agricola[[#This Row],[Indexación Financiero]],0)</f>
        <v>0</v>
      </c>
      <c r="X15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5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55" s="699">
        <f>IFERROR(Producción_Agricola[[#This Row],[Intereses $Corrientes]]/Producción_Agricola[[#This Row],[Indexación Financiero]],0)</f>
        <v>0</v>
      </c>
      <c r="AA15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55" s="701" t="str">
        <f>IFERROR(INDEX(Produccion_Agricola_Cuentas[],MATCH(Producción_Agricola[[#This Row],[Cuenta Contable]],Produccion_Agricola_Cuentas[Cuenta Contable],0),2),0)</f>
        <v>Egreso</v>
      </c>
      <c r="AC155" s="702" t="str">
        <f>IFERROR(INDEX(Tabla9[],MATCH(Producción_Agricola[[#This Row],[Movimiento]],Tabla9[Movimientos],0),2),0)</f>
        <v>Si</v>
      </c>
      <c r="AD155" s="703" t="str">
        <f>IFERROR(INDEX(Tabla9[],MATCH(Producción_Agricola[[#This Row],[Movimiento]],Tabla9[Movimientos],0),3),0)</f>
        <v>(-)</v>
      </c>
      <c r="AE155" s="698">
        <f>IF(Producción_Agricola[[#This Row],[Fecha Económico]]=0,0,MONTH(Producción_Agricola[[#This Row],[Fecha Económico]]))</f>
        <v>2</v>
      </c>
      <c r="AF155" s="699">
        <f>IF(Producción_Agricola[[#This Row],[Fecha Económico]]=0,0,YEAR(Producción_Agricola[[#This Row],[Fecha Económico]]))</f>
        <v>2019</v>
      </c>
      <c r="AG155" s="704">
        <f>SUMPRODUCT((Producción_Agricola[[#This Row],[Mes Económico]]=Tipo_Cambio[Mes])*(Producción_Agricola[[#This Row],[Año Económico]]=Tipo_Cambio[Año])*(Tipo_Cambio[$/U$S]))</f>
        <v>23.586977746354219</v>
      </c>
      <c r="AH155" s="703">
        <f>SUMPRODUCT((Producción_Agricola[[#This Row],[Mes Económico]]=Tipo_Cambio[Mes])*(Producción_Agricola[[#This Row],[Año Económico]]=Tipo_Cambio[Año])*(Tipo_Cambio[Actualización]))</f>
        <v>1.14868566764928</v>
      </c>
      <c r="AI155" s="699">
        <f>IF(ISNUMBER(Producción_Agricola[[#This Row],[Fecha Financiero]])=TRUE,MONTH(Producción_Agricola[[#This Row],[Fecha Financiero]]),0)</f>
        <v>5</v>
      </c>
      <c r="AJ155" s="699">
        <f>IF(ISNUMBER(Producción_Agricola[[#This Row],[Fecha Financiero]])=TRUE,YEAR(Producción_Agricola[[#This Row],[Fecha Financiero]]),0)</f>
        <v>2019</v>
      </c>
      <c r="AK155" s="704">
        <f>SUMPRODUCT((Producción_Agricola[[#This Row],[Mes Financiero]]=Tipo_Cambio[Mes])*(Producción_Agricola[[#This Row],[Año Financiero]]=Tipo_Cambio[Año])*(Tipo_Cambio[$/U$S]))</f>
        <v>24.301686759046497</v>
      </c>
      <c r="AL155" s="704">
        <f>SUMPRODUCT((Producción_Agricola[[#This Row],[Mes Financiero]]=Tipo_Cambio[Mes])*(Producción_Agricola[[#This Row],[Año Financiero]]=Tipo_Cambio[Año])*(Tipo_Cambio[Actualización]))</f>
        <v>1.2189944199947573</v>
      </c>
      <c r="AM155" s="702">
        <f>IFERROR(Producción_Agricola[[#This Row],[Económico $Corrientes]]/Producción_Agricola[[#This Row],[Superficie]],0)</f>
        <v>0</v>
      </c>
      <c r="AN155" s="704">
        <f>IFERROR(Producción_Agricola[[#This Row],[Económico $Constantes]]/Producción_Agricola[[#This Row],[Superficie]],0)</f>
        <v>0</v>
      </c>
      <c r="AO155" s="704">
        <f>IFERROR(Producción_Agricola[[#This Row],[Económico U$S Dólares]]/Producción_Agricola[[#This Row],[Superficie]],0)</f>
        <v>0</v>
      </c>
      <c r="AP155" s="707" t="str">
        <f>IF(Económico!$F$4=0,0,Producción_Agricola[[#This Row],[Centro de Costo]])</f>
        <v>Campo 1</v>
      </c>
      <c r="AQ155" s="512" t="s">
        <v>366</v>
      </c>
      <c r="AR155" s="514"/>
    </row>
    <row r="156" spans="1:45" s="19" customFormat="1" x14ac:dyDescent="0.25">
      <c r="A156" s="489"/>
      <c r="B156" s="489"/>
      <c r="C156" s="489"/>
      <c r="D156" s="478">
        <f>D125-150</f>
        <v>43436</v>
      </c>
      <c r="E156" s="478">
        <f>Producción_Agricola[[#This Row],[Fecha Económico]]</f>
        <v>43436</v>
      </c>
      <c r="F156" s="668" t="str">
        <f t="shared" si="30"/>
        <v>2018-2019</v>
      </c>
      <c r="G156" s="673" t="str">
        <f t="shared" si="29"/>
        <v>Campo 1</v>
      </c>
      <c r="H156" s="673" t="str">
        <f t="shared" si="31"/>
        <v>Soja de Primera</v>
      </c>
      <c r="I156" s="675" t="str">
        <f>IFERROR(INDEX(Tabla8[],MATCH(Producción_Agricola[[#This Row],[Unidad de Negocio]],Tabla8[Unidades de Negocio],0),2),0)</f>
        <v>Soja</v>
      </c>
      <c r="J15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56" s="491" t="s">
        <v>53</v>
      </c>
      <c r="L156" s="482" t="s">
        <v>53</v>
      </c>
      <c r="M156" s="483">
        <v>0</v>
      </c>
      <c r="N156" s="484" t="s">
        <v>389</v>
      </c>
      <c r="O156" s="690">
        <f>Producción_Agricola[[#This Row],[Superficie]]*Producción_Agricola[[#This Row],[Cantidad]]</f>
        <v>0</v>
      </c>
      <c r="P156" s="482">
        <v>60</v>
      </c>
      <c r="Q156" s="484" t="s">
        <v>3</v>
      </c>
      <c r="R156" s="485"/>
      <c r="S15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56" s="695">
        <f>IFERROR(Producción_Agricola[[#This Row],[Económico $Corrientes]]/Producción_Agricola[[#This Row],[Indexación Económico]],0)</f>
        <v>0</v>
      </c>
      <c r="U15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5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56" s="695">
        <f>IFERROR(Producción_Agricola[[#This Row],[Financiero $Corrientes]]/Producción_Agricola[[#This Row],[Indexación Financiero]],0)</f>
        <v>0</v>
      </c>
      <c r="X15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5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56" s="699">
        <f>IFERROR(Producción_Agricola[[#This Row],[Intereses $Corrientes]]/Producción_Agricola[[#This Row],[Indexación Financiero]],0)</f>
        <v>0</v>
      </c>
      <c r="AA15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56" s="701" t="str">
        <f>IFERROR(INDEX(Produccion_Agricola_Cuentas[],MATCH(Producción_Agricola[[#This Row],[Cuenta Contable]],Produccion_Agricola_Cuentas[Cuenta Contable],0),2),0)</f>
        <v>Egreso</v>
      </c>
      <c r="AC156" s="702" t="str">
        <f>IFERROR(INDEX(Tabla9[],MATCH(Producción_Agricola[[#This Row],[Movimiento]],Tabla9[Movimientos],0),2),0)</f>
        <v>Si</v>
      </c>
      <c r="AD156" s="703" t="str">
        <f>IFERROR(INDEX(Tabla9[],MATCH(Producción_Agricola[[#This Row],[Movimiento]],Tabla9[Movimientos],0),3),0)</f>
        <v>(-)</v>
      </c>
      <c r="AE156" s="698">
        <f>IF(Producción_Agricola[[#This Row],[Fecha Económico]]=0,0,MONTH(Producción_Agricola[[#This Row],[Fecha Económico]]))</f>
        <v>12</v>
      </c>
      <c r="AF156" s="699">
        <f>IF(Producción_Agricola[[#This Row],[Fecha Económico]]=0,0,YEAR(Producción_Agricola[[#This Row],[Fecha Económico]]))</f>
        <v>2018</v>
      </c>
      <c r="AG156" s="704">
        <f>SUMPRODUCT((Producción_Agricola[[#This Row],[Mes Económico]]=Tipo_Cambio[Mes])*(Producción_Agricola[[#This Row],[Año Económico]]=Tipo_Cambio[Año])*(Tipo_Cambio[$/U$S]))</f>
        <v>23.122221102199997</v>
      </c>
      <c r="AH156" s="703">
        <f>SUMPRODUCT((Producción_Agricola[[#This Row],[Mes Económico]]=Tipo_Cambio[Mes])*(Producción_Agricola[[#This Row],[Año Económico]]=Tipo_Cambio[Año])*(Tipo_Cambio[Actualización]))</f>
        <v>1.1040808032</v>
      </c>
      <c r="AI156" s="699">
        <f>IF(ISNUMBER(Producción_Agricola[[#This Row],[Fecha Financiero]])=TRUE,MONTH(Producción_Agricola[[#This Row],[Fecha Financiero]]),0)</f>
        <v>12</v>
      </c>
      <c r="AJ156" s="699">
        <f>IF(ISNUMBER(Producción_Agricola[[#This Row],[Fecha Financiero]])=TRUE,YEAR(Producción_Agricola[[#This Row],[Fecha Financiero]]),0)</f>
        <v>2018</v>
      </c>
      <c r="AK156" s="704">
        <f>SUMPRODUCT((Producción_Agricola[[#This Row],[Mes Financiero]]=Tipo_Cambio[Mes])*(Producción_Agricola[[#This Row],[Año Financiero]]=Tipo_Cambio[Año])*(Tipo_Cambio[$/U$S]))</f>
        <v>23.122221102199997</v>
      </c>
      <c r="AL156" s="704">
        <f>SUMPRODUCT((Producción_Agricola[[#This Row],[Mes Financiero]]=Tipo_Cambio[Mes])*(Producción_Agricola[[#This Row],[Año Financiero]]=Tipo_Cambio[Año])*(Tipo_Cambio[Actualización]))</f>
        <v>1.1040808032</v>
      </c>
      <c r="AM156" s="709">
        <f>IFERROR(Producción_Agricola[[#This Row],[Económico $Corrientes]]/Producción_Agricola[[#This Row],[Superficie]],0)</f>
        <v>0</v>
      </c>
      <c r="AN156" s="712">
        <f>IFERROR(Producción_Agricola[[#This Row],[Económico $Constantes]]/Producción_Agricola[[#This Row],[Superficie]],0)</f>
        <v>0</v>
      </c>
      <c r="AO156" s="712">
        <f>IFERROR(Producción_Agricola[[#This Row],[Económico U$S Dólares]]/Producción_Agricola[[#This Row],[Superficie]],0)</f>
        <v>0</v>
      </c>
      <c r="AP156" s="711" t="str">
        <f>IF(Económico!$F$4=0,0,Producción_Agricola[[#This Row],[Centro de Costo]])</f>
        <v>Campo 1</v>
      </c>
      <c r="AQ156" s="512" t="s">
        <v>53</v>
      </c>
      <c r="AR156" s="514"/>
    </row>
    <row r="157" spans="1:45" x14ac:dyDescent="0.25">
      <c r="D157" s="478">
        <f>D125-300</f>
        <v>43286</v>
      </c>
      <c r="E157" s="478">
        <f>Producción_Agricola[[#This Row],[Fecha Económico]]</f>
        <v>43286</v>
      </c>
      <c r="F157" s="668" t="str">
        <f t="shared" si="30"/>
        <v>2018-2019</v>
      </c>
      <c r="G157" s="673" t="str">
        <f t="shared" si="29"/>
        <v>Campo 1</v>
      </c>
      <c r="H157" s="673" t="str">
        <f t="shared" si="31"/>
        <v>Soja de Primera</v>
      </c>
      <c r="I157" s="675" t="str">
        <f>IFERROR(INDEX(Tabla8[],MATCH(Producción_Agricola[[#This Row],[Unidad de Negocio]],Tabla8[Unidades de Negocio],0),2),0)</f>
        <v>Soja</v>
      </c>
      <c r="J15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57" s="491" t="s">
        <v>56</v>
      </c>
      <c r="L157" s="482" t="s">
        <v>373</v>
      </c>
      <c r="M157" s="483">
        <v>0</v>
      </c>
      <c r="N157" s="484" t="s">
        <v>377</v>
      </c>
      <c r="O157" s="690">
        <f>Producción_Agricola[[#This Row],[Superficie]]*Producción_Agricola[[#This Row],[Cantidad]]</f>
        <v>0</v>
      </c>
      <c r="P157" s="482">
        <v>280</v>
      </c>
      <c r="Q157" s="484" t="s">
        <v>3</v>
      </c>
      <c r="R157" s="485"/>
      <c r="S15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57" s="695">
        <f>IFERROR(Producción_Agricola[[#This Row],[Económico $Corrientes]]/Producción_Agricola[[#This Row],[Indexación Económico]],0)</f>
        <v>0</v>
      </c>
      <c r="U15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5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57" s="695">
        <f>IFERROR(Producción_Agricola[[#This Row],[Financiero $Corrientes]]/Producción_Agricola[[#This Row],[Indexación Financiero]],0)</f>
        <v>0</v>
      </c>
      <c r="X15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5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57" s="699">
        <f>IFERROR(Producción_Agricola[[#This Row],[Intereses $Corrientes]]/Producción_Agricola[[#This Row],[Indexación Financiero]],0)</f>
        <v>0</v>
      </c>
      <c r="AA15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57" s="701" t="str">
        <f>IFERROR(INDEX(Produccion_Agricola_Cuentas[],MATCH(Producción_Agricola[[#This Row],[Cuenta Contable]],Produccion_Agricola_Cuentas[Cuenta Contable],0),2),0)</f>
        <v>Egreso</v>
      </c>
      <c r="AC157" s="702" t="str">
        <f>IFERROR(INDEX(Tabla9[],MATCH(Producción_Agricola[[#This Row],[Movimiento]],Tabla9[Movimientos],0),2),0)</f>
        <v>Si</v>
      </c>
      <c r="AD157" s="703" t="str">
        <f>IFERROR(INDEX(Tabla9[],MATCH(Producción_Agricola[[#This Row],[Movimiento]],Tabla9[Movimientos],0),3),0)</f>
        <v>(-)</v>
      </c>
      <c r="AE157" s="698">
        <f>IF(Producción_Agricola[[#This Row],[Fecha Económico]]=0,0,MONTH(Producción_Agricola[[#This Row],[Fecha Económico]]))</f>
        <v>7</v>
      </c>
      <c r="AF157" s="699">
        <f>IF(Producción_Agricola[[#This Row],[Fecha Económico]]=0,0,YEAR(Producción_Agricola[[#This Row],[Fecha Económico]]))</f>
        <v>2018</v>
      </c>
      <c r="AG157" s="704">
        <f>SUMPRODUCT((Producción_Agricola[[#This Row],[Mes Económico]]=Tipo_Cambio[Mes])*(Producción_Agricola[[#This Row],[Año Económico]]=Tipo_Cambio[Año])*(Tipo_Cambio[$/U$S]))</f>
        <v>22</v>
      </c>
      <c r="AH157" s="703">
        <f>SUMPRODUCT((Producción_Agricola[[#This Row],[Mes Económico]]=Tipo_Cambio[Mes])*(Producción_Agricola[[#This Row],[Año Económico]]=Tipo_Cambio[Año])*(Tipo_Cambio[Actualización]))</f>
        <v>1</v>
      </c>
      <c r="AI157" s="705">
        <f>IF(ISNUMBER(Producción_Agricola[[#This Row],[Fecha Financiero]])=TRUE,MONTH(Producción_Agricola[[#This Row],[Fecha Financiero]]),0)</f>
        <v>7</v>
      </c>
      <c r="AJ157" s="705">
        <f>IF(ISNUMBER(Producción_Agricola[[#This Row],[Fecha Financiero]])=TRUE,YEAR(Producción_Agricola[[#This Row],[Fecha Financiero]]),0)</f>
        <v>2018</v>
      </c>
      <c r="AK157" s="706">
        <f>SUMPRODUCT((Producción_Agricola[[#This Row],[Mes Financiero]]=Tipo_Cambio[Mes])*(Producción_Agricola[[#This Row],[Año Financiero]]=Tipo_Cambio[Año])*(Tipo_Cambio[$/U$S]))</f>
        <v>22</v>
      </c>
      <c r="AL157" s="706">
        <f>SUMPRODUCT((Producción_Agricola[[#This Row],[Mes Financiero]]=Tipo_Cambio[Mes])*(Producción_Agricola[[#This Row],[Año Financiero]]=Tipo_Cambio[Año])*(Tipo_Cambio[Actualización]))</f>
        <v>1</v>
      </c>
      <c r="AM157" s="709">
        <f>IFERROR(Producción_Agricola[[#This Row],[Económico $Corrientes]]/Producción_Agricola[[#This Row],[Superficie]],0)</f>
        <v>0</v>
      </c>
      <c r="AN157" s="710">
        <f>IFERROR(Producción_Agricola[[#This Row],[Económico $Constantes]]/Producción_Agricola[[#This Row],[Superficie]],0)</f>
        <v>0</v>
      </c>
      <c r="AO157" s="710">
        <f>IFERROR(Producción_Agricola[[#This Row],[Económico U$S Dólares]]/Producción_Agricola[[#This Row],[Superficie]],0)</f>
        <v>0</v>
      </c>
      <c r="AP157" s="711" t="str">
        <f>IF(Económico!$F$4=0,0,Producción_Agricola[[#This Row],[Centro de Costo]])</f>
        <v>Campo 1</v>
      </c>
      <c r="AQ157" s="512" t="s">
        <v>56</v>
      </c>
      <c r="AR157" s="513"/>
      <c r="AS157"/>
    </row>
    <row r="158" spans="1:45" x14ac:dyDescent="0.25">
      <c r="D158" s="478">
        <f>D157+90</f>
        <v>43376</v>
      </c>
      <c r="E158" s="478">
        <f>Producción_Agricola[[#This Row],[Fecha Económico]]</f>
        <v>43376</v>
      </c>
      <c r="F158" s="668" t="str">
        <f t="shared" si="30"/>
        <v>2018-2019</v>
      </c>
      <c r="G158" s="673" t="str">
        <f t="shared" si="29"/>
        <v>Campo 1</v>
      </c>
      <c r="H158" s="673" t="str">
        <f t="shared" si="31"/>
        <v>Soja de Primera</v>
      </c>
      <c r="I158" s="675" t="str">
        <f>IFERROR(INDEX(Tabla8[],MATCH(Producción_Agricola[[#This Row],[Unidad de Negocio]],Tabla8[Unidades de Negocio],0),2),0)</f>
        <v>Soja</v>
      </c>
      <c r="J15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58" s="491" t="s">
        <v>56</v>
      </c>
      <c r="L158" s="482" t="s">
        <v>374</v>
      </c>
      <c r="M158" s="483">
        <v>0</v>
      </c>
      <c r="N158" s="484" t="s">
        <v>377</v>
      </c>
      <c r="O158" s="690">
        <f>Producción_Agricola[[#This Row],[Superficie]]*Producción_Agricola[[#This Row],[Cantidad]]</f>
        <v>0</v>
      </c>
      <c r="P158" s="482">
        <v>280</v>
      </c>
      <c r="Q158" s="484" t="s">
        <v>3</v>
      </c>
      <c r="R158" s="485"/>
      <c r="S15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58" s="695">
        <f>IFERROR(Producción_Agricola[[#This Row],[Económico $Corrientes]]/Producción_Agricola[[#This Row],[Indexación Económico]],0)</f>
        <v>0</v>
      </c>
      <c r="U15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5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58" s="695">
        <f>IFERROR(Producción_Agricola[[#This Row],[Financiero $Corrientes]]/Producción_Agricola[[#This Row],[Indexación Financiero]],0)</f>
        <v>0</v>
      </c>
      <c r="X15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5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58" s="699">
        <f>IFERROR(Producción_Agricola[[#This Row],[Intereses $Corrientes]]/Producción_Agricola[[#This Row],[Indexación Financiero]],0)</f>
        <v>0</v>
      </c>
      <c r="AA15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58" s="701" t="str">
        <f>IFERROR(INDEX(Produccion_Agricola_Cuentas[],MATCH(Producción_Agricola[[#This Row],[Cuenta Contable]],Produccion_Agricola_Cuentas[Cuenta Contable],0),2),0)</f>
        <v>Egreso</v>
      </c>
      <c r="AC158" s="702" t="str">
        <f>IFERROR(INDEX(Tabla9[],MATCH(Producción_Agricola[[#This Row],[Movimiento]],Tabla9[Movimientos],0),2),0)</f>
        <v>Si</v>
      </c>
      <c r="AD158" s="703" t="str">
        <f>IFERROR(INDEX(Tabla9[],MATCH(Producción_Agricola[[#This Row],[Movimiento]],Tabla9[Movimientos],0),3),0)</f>
        <v>(-)</v>
      </c>
      <c r="AE158" s="698">
        <f>IF(Producción_Agricola[[#This Row],[Fecha Económico]]=0,0,MONTH(Producción_Agricola[[#This Row],[Fecha Económico]]))</f>
        <v>10</v>
      </c>
      <c r="AF158" s="699">
        <f>IF(Producción_Agricola[[#This Row],[Fecha Económico]]=0,0,YEAR(Producción_Agricola[[#This Row],[Fecha Económico]]))</f>
        <v>2018</v>
      </c>
      <c r="AG158" s="704">
        <f>SUMPRODUCT((Producción_Agricola[[#This Row],[Mes Económico]]=Tipo_Cambio[Mes])*(Producción_Agricola[[#This Row],[Año Económico]]=Tipo_Cambio[Año])*(Tipo_Cambio[$/U$S]))</f>
        <v>22.666622</v>
      </c>
      <c r="AH158" s="703">
        <f>SUMPRODUCT((Producción_Agricola[[#This Row],[Mes Económico]]=Tipo_Cambio[Mes])*(Producción_Agricola[[#This Row],[Año Económico]]=Tipo_Cambio[Año])*(Tipo_Cambio[Actualización]))</f>
        <v>1.0612079999999999</v>
      </c>
      <c r="AI158" s="699">
        <f>IF(ISNUMBER(Producción_Agricola[[#This Row],[Fecha Financiero]])=TRUE,MONTH(Producción_Agricola[[#This Row],[Fecha Financiero]]),0)</f>
        <v>10</v>
      </c>
      <c r="AJ158" s="699">
        <f>IF(ISNUMBER(Producción_Agricola[[#This Row],[Fecha Financiero]])=TRUE,YEAR(Producción_Agricola[[#This Row],[Fecha Financiero]]),0)</f>
        <v>2018</v>
      </c>
      <c r="AK158" s="704">
        <f>SUMPRODUCT((Producción_Agricola[[#This Row],[Mes Financiero]]=Tipo_Cambio[Mes])*(Producción_Agricola[[#This Row],[Año Financiero]]=Tipo_Cambio[Año])*(Tipo_Cambio[$/U$S]))</f>
        <v>22.666622</v>
      </c>
      <c r="AL158" s="704">
        <f>SUMPRODUCT((Producción_Agricola[[#This Row],[Mes Financiero]]=Tipo_Cambio[Mes])*(Producción_Agricola[[#This Row],[Año Financiero]]=Tipo_Cambio[Año])*(Tipo_Cambio[Actualización]))</f>
        <v>1.0612079999999999</v>
      </c>
      <c r="AM158" s="709">
        <f>IFERROR(Producción_Agricola[[#This Row],[Económico $Corrientes]]/Producción_Agricola[[#This Row],[Superficie]],0)</f>
        <v>0</v>
      </c>
      <c r="AN158" s="712">
        <f>IFERROR(Producción_Agricola[[#This Row],[Económico $Constantes]]/Producción_Agricola[[#This Row],[Superficie]],0)</f>
        <v>0</v>
      </c>
      <c r="AO158" s="712">
        <f>IFERROR(Producción_Agricola[[#This Row],[Económico U$S Dólares]]/Producción_Agricola[[#This Row],[Superficie]],0)</f>
        <v>0</v>
      </c>
      <c r="AP158" s="711" t="str">
        <f>IF(Económico!$F$4=0,0,Producción_Agricola[[#This Row],[Centro de Costo]])</f>
        <v>Campo 1</v>
      </c>
      <c r="AQ158" s="512" t="s">
        <v>56</v>
      </c>
      <c r="AR158" s="513"/>
      <c r="AS158"/>
    </row>
    <row r="159" spans="1:45" x14ac:dyDescent="0.25">
      <c r="D159" s="478">
        <f>D158+90</f>
        <v>43466</v>
      </c>
      <c r="E159" s="478">
        <f>Producción_Agricola[[#This Row],[Fecha Económico]]</f>
        <v>43466</v>
      </c>
      <c r="F159" s="668" t="str">
        <f t="shared" si="30"/>
        <v>2018-2019</v>
      </c>
      <c r="G159" s="673" t="str">
        <f t="shared" si="29"/>
        <v>Campo 1</v>
      </c>
      <c r="H159" s="673" t="str">
        <f t="shared" si="31"/>
        <v>Soja de Primera</v>
      </c>
      <c r="I159" s="675" t="str">
        <f>IFERROR(INDEX(Tabla8[],MATCH(Producción_Agricola[[#This Row],[Unidad de Negocio]],Tabla8[Unidades de Negocio],0),2),0)</f>
        <v>Soja</v>
      </c>
      <c r="J15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59" s="491" t="s">
        <v>56</v>
      </c>
      <c r="L159" s="482" t="s">
        <v>375</v>
      </c>
      <c r="M159" s="483">
        <v>0</v>
      </c>
      <c r="N159" s="484" t="s">
        <v>377</v>
      </c>
      <c r="O159" s="690">
        <f>Producción_Agricola[[#This Row],[Superficie]]*Producción_Agricola[[#This Row],[Cantidad]]</f>
        <v>0</v>
      </c>
      <c r="P159" s="482">
        <v>280</v>
      </c>
      <c r="Q159" s="484" t="s">
        <v>3</v>
      </c>
      <c r="R159" s="485"/>
      <c r="S15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59" s="695">
        <f>IFERROR(Producción_Agricola[[#This Row],[Económico $Corrientes]]/Producción_Agricola[[#This Row],[Indexación Económico]],0)</f>
        <v>0</v>
      </c>
      <c r="U15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5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59" s="695">
        <f>IFERROR(Producción_Agricola[[#This Row],[Financiero $Corrientes]]/Producción_Agricola[[#This Row],[Indexación Financiero]],0)</f>
        <v>0</v>
      </c>
      <c r="X15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5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59" s="699">
        <f>IFERROR(Producción_Agricola[[#This Row],[Intereses $Corrientes]]/Producción_Agricola[[#This Row],[Indexación Financiero]],0)</f>
        <v>0</v>
      </c>
      <c r="AA15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59" s="701" t="str">
        <f>IFERROR(INDEX(Produccion_Agricola_Cuentas[],MATCH(Producción_Agricola[[#This Row],[Cuenta Contable]],Produccion_Agricola_Cuentas[Cuenta Contable],0),2),0)</f>
        <v>Egreso</v>
      </c>
      <c r="AC159" s="702" t="str">
        <f>IFERROR(INDEX(Tabla9[],MATCH(Producción_Agricola[[#This Row],[Movimiento]],Tabla9[Movimientos],0),2),0)</f>
        <v>Si</v>
      </c>
      <c r="AD159" s="703" t="str">
        <f>IFERROR(INDEX(Tabla9[],MATCH(Producción_Agricola[[#This Row],[Movimiento]],Tabla9[Movimientos],0),3),0)</f>
        <v>(-)</v>
      </c>
      <c r="AE159" s="698">
        <f>IF(Producción_Agricola[[#This Row],[Fecha Económico]]=0,0,MONTH(Producción_Agricola[[#This Row],[Fecha Económico]]))</f>
        <v>1</v>
      </c>
      <c r="AF159" s="699">
        <f>IF(Producción_Agricola[[#This Row],[Fecha Económico]]=0,0,YEAR(Producción_Agricola[[#This Row],[Fecha Económico]]))</f>
        <v>2019</v>
      </c>
      <c r="AG159" s="704">
        <f>SUMPRODUCT((Producción_Agricola[[#This Row],[Mes Económico]]=Tipo_Cambio[Mes])*(Producción_Agricola[[#This Row],[Año Económico]]=Tipo_Cambio[Año])*(Tipo_Cambio[$/U$S]))</f>
        <v>23.353443313221998</v>
      </c>
      <c r="AH159" s="703">
        <f>SUMPRODUCT((Producción_Agricola[[#This Row],[Mes Económico]]=Tipo_Cambio[Mes])*(Producción_Agricola[[#This Row],[Año Económico]]=Tipo_Cambio[Año])*(Tipo_Cambio[Actualización]))</f>
        <v>1.1261624192640001</v>
      </c>
      <c r="AI159" s="699">
        <f>IF(ISNUMBER(Producción_Agricola[[#This Row],[Fecha Financiero]])=TRUE,MONTH(Producción_Agricola[[#This Row],[Fecha Financiero]]),0)</f>
        <v>1</v>
      </c>
      <c r="AJ159" s="699">
        <f>IF(ISNUMBER(Producción_Agricola[[#This Row],[Fecha Financiero]])=TRUE,YEAR(Producción_Agricola[[#This Row],[Fecha Financiero]]),0)</f>
        <v>2019</v>
      </c>
      <c r="AK159" s="704">
        <f>SUMPRODUCT((Producción_Agricola[[#This Row],[Mes Financiero]]=Tipo_Cambio[Mes])*(Producción_Agricola[[#This Row],[Año Financiero]]=Tipo_Cambio[Año])*(Tipo_Cambio[$/U$S]))</f>
        <v>23.353443313221998</v>
      </c>
      <c r="AL159" s="704">
        <f>SUMPRODUCT((Producción_Agricola[[#This Row],[Mes Financiero]]=Tipo_Cambio[Mes])*(Producción_Agricola[[#This Row],[Año Financiero]]=Tipo_Cambio[Año])*(Tipo_Cambio[Actualización]))</f>
        <v>1.1261624192640001</v>
      </c>
      <c r="AM159" s="709">
        <f>IFERROR(Producción_Agricola[[#This Row],[Económico $Corrientes]]/Producción_Agricola[[#This Row],[Superficie]],0)</f>
        <v>0</v>
      </c>
      <c r="AN159" s="712">
        <f>IFERROR(Producción_Agricola[[#This Row],[Económico $Constantes]]/Producción_Agricola[[#This Row],[Superficie]],0)</f>
        <v>0</v>
      </c>
      <c r="AO159" s="712">
        <f>IFERROR(Producción_Agricola[[#This Row],[Económico U$S Dólares]]/Producción_Agricola[[#This Row],[Superficie]],0)</f>
        <v>0</v>
      </c>
      <c r="AP159" s="711" t="str">
        <f>IF(Económico!$F$4=0,0,Producción_Agricola[[#This Row],[Centro de Costo]])</f>
        <v>Campo 1</v>
      </c>
      <c r="AQ159" s="512" t="s">
        <v>56</v>
      </c>
      <c r="AR159" s="513"/>
      <c r="AS159"/>
    </row>
    <row r="160" spans="1:45" x14ac:dyDescent="0.25">
      <c r="D160" s="478">
        <f>D159+90</f>
        <v>43556</v>
      </c>
      <c r="E160" s="478">
        <f>Producción_Agricola[[#This Row],[Fecha Económico]]</f>
        <v>43556</v>
      </c>
      <c r="F160" s="668" t="str">
        <f t="shared" si="30"/>
        <v>2018-2019</v>
      </c>
      <c r="G160" s="673" t="str">
        <f t="shared" si="29"/>
        <v>Campo 1</v>
      </c>
      <c r="H160" s="673" t="str">
        <f t="shared" si="31"/>
        <v>Soja de Primera</v>
      </c>
      <c r="I160" s="675" t="str">
        <f>IFERROR(INDEX(Tabla8[],MATCH(Producción_Agricola[[#This Row],[Unidad de Negocio]],Tabla8[Unidades de Negocio],0),2),0)</f>
        <v>Soja</v>
      </c>
      <c r="J16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60" s="491" t="s">
        <v>56</v>
      </c>
      <c r="L160" s="482" t="s">
        <v>375</v>
      </c>
      <c r="M160" s="483">
        <v>0</v>
      </c>
      <c r="N160" s="484" t="s">
        <v>377</v>
      </c>
      <c r="O160" s="690">
        <f>Producción_Agricola[[#This Row],[Superficie]]*Producción_Agricola[[#This Row],[Cantidad]]</f>
        <v>0</v>
      </c>
      <c r="P160" s="482">
        <v>280</v>
      </c>
      <c r="Q160" s="484" t="s">
        <v>3</v>
      </c>
      <c r="R160" s="485"/>
      <c r="S16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60" s="695">
        <f>IFERROR(Producción_Agricola[[#This Row],[Económico $Corrientes]]/Producción_Agricola[[#This Row],[Indexación Económico]],0)</f>
        <v>0</v>
      </c>
      <c r="U16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6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60" s="695">
        <f>IFERROR(Producción_Agricola[[#This Row],[Financiero $Corrientes]]/Producción_Agricola[[#This Row],[Indexación Financiero]],0)</f>
        <v>0</v>
      </c>
      <c r="X16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6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60" s="699">
        <f>IFERROR(Producción_Agricola[[#This Row],[Intereses $Corrientes]]/Producción_Agricola[[#This Row],[Indexación Financiero]],0)</f>
        <v>0</v>
      </c>
      <c r="AA16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60" s="701" t="str">
        <f>IFERROR(INDEX(Produccion_Agricola_Cuentas[],MATCH(Producción_Agricola[[#This Row],[Cuenta Contable]],Produccion_Agricola_Cuentas[Cuenta Contable],0),2),0)</f>
        <v>Egreso</v>
      </c>
      <c r="AC160" s="702" t="str">
        <f>IFERROR(INDEX(Tabla9[],MATCH(Producción_Agricola[[#This Row],[Movimiento]],Tabla9[Movimientos],0),2),0)</f>
        <v>Si</v>
      </c>
      <c r="AD160" s="703" t="str">
        <f>IFERROR(INDEX(Tabla9[],MATCH(Producción_Agricola[[#This Row],[Movimiento]],Tabla9[Movimientos],0),3),0)</f>
        <v>(-)</v>
      </c>
      <c r="AE160" s="698">
        <f>IF(Producción_Agricola[[#This Row],[Fecha Económico]]=0,0,MONTH(Producción_Agricola[[#This Row],[Fecha Económico]]))</f>
        <v>4</v>
      </c>
      <c r="AF160" s="699">
        <f>IF(Producción_Agricola[[#This Row],[Fecha Económico]]=0,0,YEAR(Producción_Agricola[[#This Row],[Fecha Económico]]))</f>
        <v>2019</v>
      </c>
      <c r="AG160" s="704">
        <f>SUMPRODUCT((Producción_Agricola[[#This Row],[Mes Económico]]=Tipo_Cambio[Mes])*(Producción_Agricola[[#This Row],[Año Económico]]=Tipo_Cambio[Año])*(Tipo_Cambio[$/U$S]))</f>
        <v>24.061075999055937</v>
      </c>
      <c r="AH160" s="703">
        <f>SUMPRODUCT((Producción_Agricola[[#This Row],[Mes Económico]]=Tipo_Cambio[Mes])*(Producción_Agricola[[#This Row],[Año Económico]]=Tipo_Cambio[Año])*(Tipo_Cambio[Actualización]))</f>
        <v>1.1950925686223111</v>
      </c>
      <c r="AI160" s="699">
        <f>IF(ISNUMBER(Producción_Agricola[[#This Row],[Fecha Financiero]])=TRUE,MONTH(Producción_Agricola[[#This Row],[Fecha Financiero]]),0)</f>
        <v>4</v>
      </c>
      <c r="AJ160" s="699">
        <f>IF(ISNUMBER(Producción_Agricola[[#This Row],[Fecha Financiero]])=TRUE,YEAR(Producción_Agricola[[#This Row],[Fecha Financiero]]),0)</f>
        <v>2019</v>
      </c>
      <c r="AK160" s="704">
        <f>SUMPRODUCT((Producción_Agricola[[#This Row],[Mes Financiero]]=Tipo_Cambio[Mes])*(Producción_Agricola[[#This Row],[Año Financiero]]=Tipo_Cambio[Año])*(Tipo_Cambio[$/U$S]))</f>
        <v>24.061075999055937</v>
      </c>
      <c r="AL160" s="704">
        <f>SUMPRODUCT((Producción_Agricola[[#This Row],[Mes Financiero]]=Tipo_Cambio[Mes])*(Producción_Agricola[[#This Row],[Año Financiero]]=Tipo_Cambio[Año])*(Tipo_Cambio[Actualización]))</f>
        <v>1.1950925686223111</v>
      </c>
      <c r="AM160" s="709">
        <f>IFERROR(Producción_Agricola[[#This Row],[Económico $Corrientes]]/Producción_Agricola[[#This Row],[Superficie]],0)</f>
        <v>0</v>
      </c>
      <c r="AN160" s="712">
        <f>IFERROR(Producción_Agricola[[#This Row],[Económico $Constantes]]/Producción_Agricola[[#This Row],[Superficie]],0)</f>
        <v>0</v>
      </c>
      <c r="AO160" s="712">
        <f>IFERROR(Producción_Agricola[[#This Row],[Económico U$S Dólares]]/Producción_Agricola[[#This Row],[Superficie]],0)</f>
        <v>0</v>
      </c>
      <c r="AP160" s="711" t="str">
        <f>IF(Económico!$F$4=0,0,Producción_Agricola[[#This Row],[Centro de Costo]])</f>
        <v>Campo 1</v>
      </c>
      <c r="AQ160" s="512" t="s">
        <v>56</v>
      </c>
      <c r="AR160" s="513"/>
      <c r="AS160"/>
    </row>
    <row r="161" spans="1:45" s="19" customFormat="1" x14ac:dyDescent="0.25">
      <c r="A161" s="489"/>
      <c r="B161" s="489"/>
      <c r="C161" s="489"/>
      <c r="D161" s="478">
        <f>D159+90</f>
        <v>43556</v>
      </c>
      <c r="E161" s="493"/>
      <c r="F161" s="668" t="str">
        <f t="shared" si="30"/>
        <v>2018-2019</v>
      </c>
      <c r="G161" s="673" t="str">
        <f t="shared" si="29"/>
        <v>Campo 1</v>
      </c>
      <c r="H161" s="673" t="str">
        <f t="shared" si="31"/>
        <v>Soja de Primera</v>
      </c>
      <c r="I161" s="675" t="str">
        <f>IFERROR(INDEX(Tabla8[],MATCH(Producción_Agricola[[#This Row],[Unidad de Negocio]],Tabla8[Unidades de Negocio],0),2),0)</f>
        <v>Soja</v>
      </c>
      <c r="J16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61" s="491" t="s">
        <v>57</v>
      </c>
      <c r="L161" s="482"/>
      <c r="M161" s="483">
        <v>0</v>
      </c>
      <c r="N161" s="484" t="s">
        <v>377</v>
      </c>
      <c r="O161" s="690">
        <f>Producción_Agricola[[#This Row],[Superficie]]*Producción_Agricola[[#This Row],[Cantidad]]</f>
        <v>0</v>
      </c>
      <c r="P161" s="482">
        <v>280</v>
      </c>
      <c r="Q161" s="484" t="s">
        <v>3</v>
      </c>
      <c r="R161" s="485"/>
      <c r="S16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61" s="695">
        <f>IFERROR(Producción_Agricola[[#This Row],[Económico $Corrientes]]/Producción_Agricola[[#This Row],[Indexación Económico]],0)</f>
        <v>0</v>
      </c>
      <c r="U16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6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61" s="695">
        <f>IFERROR(Producción_Agricola[[#This Row],[Financiero $Corrientes]]/Producción_Agricola[[#This Row],[Indexación Financiero]],0)</f>
        <v>0</v>
      </c>
      <c r="X16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6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61" s="699">
        <f>IFERROR(Producción_Agricola[[#This Row],[Intereses $Corrientes]]/Producción_Agricola[[#This Row],[Indexación Financiero]],0)</f>
        <v>0</v>
      </c>
      <c r="AA16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61" s="701" t="str">
        <f>IFERROR(INDEX(Produccion_Agricola_Cuentas[],MATCH(Producción_Agricola[[#This Row],[Cuenta Contable]],Produccion_Agricola_Cuentas[Cuenta Contable],0),2),0)</f>
        <v>Egreso Cesión</v>
      </c>
      <c r="AC161" s="702" t="str">
        <f>IFERROR(INDEX(Tabla9[],MATCH(Producción_Agricola[[#This Row],[Movimiento]],Tabla9[Movimientos],0),2),0)</f>
        <v>No</v>
      </c>
      <c r="AD161" s="703" t="str">
        <f>IFERROR(INDEX(Tabla9[],MATCH(Producción_Agricola[[#This Row],[Movimiento]],Tabla9[Movimientos],0),3),0)</f>
        <v>(-)</v>
      </c>
      <c r="AE161" s="698">
        <f>IF(Producción_Agricola[[#This Row],[Fecha Económico]]=0,0,MONTH(Producción_Agricola[[#This Row],[Fecha Económico]]))</f>
        <v>4</v>
      </c>
      <c r="AF161" s="699">
        <f>IF(Producción_Agricola[[#This Row],[Fecha Económico]]=0,0,YEAR(Producción_Agricola[[#This Row],[Fecha Económico]]))</f>
        <v>2019</v>
      </c>
      <c r="AG161" s="704">
        <f>SUMPRODUCT((Producción_Agricola[[#This Row],[Mes Económico]]=Tipo_Cambio[Mes])*(Producción_Agricola[[#This Row],[Año Económico]]=Tipo_Cambio[Año])*(Tipo_Cambio[$/U$S]))</f>
        <v>24.061075999055937</v>
      </c>
      <c r="AH161" s="703">
        <f>SUMPRODUCT((Producción_Agricola[[#This Row],[Mes Económico]]=Tipo_Cambio[Mes])*(Producción_Agricola[[#This Row],[Año Económico]]=Tipo_Cambio[Año])*(Tipo_Cambio[Actualización]))</f>
        <v>1.1950925686223111</v>
      </c>
      <c r="AI161" s="699">
        <f>IF(ISNUMBER(Producción_Agricola[[#This Row],[Fecha Financiero]])=TRUE,MONTH(Producción_Agricola[[#This Row],[Fecha Financiero]]),0)</f>
        <v>0</v>
      </c>
      <c r="AJ161" s="699">
        <f>IF(ISNUMBER(Producción_Agricola[[#This Row],[Fecha Financiero]])=TRUE,YEAR(Producción_Agricola[[#This Row],[Fecha Financiero]]),0)</f>
        <v>0</v>
      </c>
      <c r="AK161" s="704">
        <f>SUMPRODUCT((Producción_Agricola[[#This Row],[Mes Financiero]]=Tipo_Cambio[Mes])*(Producción_Agricola[[#This Row],[Año Financiero]]=Tipo_Cambio[Año])*(Tipo_Cambio[$/U$S]))</f>
        <v>0</v>
      </c>
      <c r="AL161" s="704">
        <f>SUMPRODUCT((Producción_Agricola[[#This Row],[Mes Financiero]]=Tipo_Cambio[Mes])*(Producción_Agricola[[#This Row],[Año Financiero]]=Tipo_Cambio[Año])*(Tipo_Cambio[Actualización]))</f>
        <v>0</v>
      </c>
      <c r="AM161" s="709">
        <f>IFERROR(Producción_Agricola[[#This Row],[Económico $Corrientes]]/Producción_Agricola[[#This Row],[Superficie]],0)</f>
        <v>0</v>
      </c>
      <c r="AN161" s="712">
        <f>IFERROR(Producción_Agricola[[#This Row],[Económico $Constantes]]/Producción_Agricola[[#This Row],[Superficie]],0)</f>
        <v>0</v>
      </c>
      <c r="AO161" s="712">
        <f>IFERROR(Producción_Agricola[[#This Row],[Económico U$S Dólares]]/Producción_Agricola[[#This Row],[Superficie]],0)</f>
        <v>0</v>
      </c>
      <c r="AP161" s="711" t="str">
        <f>IF(Económico!$F$4=0,0,Producción_Agricola[[#This Row],[Centro de Costo]])</f>
        <v>Campo 1</v>
      </c>
      <c r="AQ161" s="512" t="s">
        <v>56</v>
      </c>
      <c r="AR161" s="515" t="s">
        <v>386</v>
      </c>
    </row>
    <row r="162" spans="1:45" x14ac:dyDescent="0.25">
      <c r="D162" s="478"/>
      <c r="E162" s="478"/>
      <c r="F162" s="668" t="str">
        <f t="shared" si="30"/>
        <v>2018-2019</v>
      </c>
      <c r="G162" s="673" t="str">
        <f t="shared" si="29"/>
        <v>Campo 1</v>
      </c>
      <c r="H162" s="673" t="str">
        <f t="shared" si="31"/>
        <v>Soja de Primera</v>
      </c>
      <c r="I162" s="675" t="str">
        <f>IFERROR(INDEX(Tabla8[],MATCH(Producción_Agricola[[#This Row],[Unidad de Negocio]],Tabla8[Unidades de Negocio],0),2),0)</f>
        <v>Soja</v>
      </c>
      <c r="J16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62" s="492"/>
      <c r="L162" s="482"/>
      <c r="M162" s="483"/>
      <c r="N162" s="484"/>
      <c r="O162" s="690">
        <f>Producción_Agricola[[#This Row],[Superficie]]*Producción_Agricola[[#This Row],[Cantidad]]</f>
        <v>0</v>
      </c>
      <c r="P162" s="482"/>
      <c r="Q162" s="484"/>
      <c r="R162" s="485"/>
      <c r="S16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62" s="695">
        <f>IFERROR(Producción_Agricola[[#This Row],[Económico $Corrientes]]/Producción_Agricola[[#This Row],[Indexación Económico]],0)</f>
        <v>0</v>
      </c>
      <c r="U16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6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62" s="695">
        <f>IFERROR(Producción_Agricola[[#This Row],[Financiero $Corrientes]]/Producción_Agricola[[#This Row],[Indexación Financiero]],0)</f>
        <v>0</v>
      </c>
      <c r="X16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6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62" s="699">
        <f>IFERROR(Producción_Agricola[[#This Row],[Intereses $Corrientes]]/Producción_Agricola[[#This Row],[Indexación Financiero]],0)</f>
        <v>0</v>
      </c>
      <c r="AA16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62" s="701">
        <f>IFERROR(INDEX(Produccion_Agricola_Cuentas[],MATCH(Producción_Agricola[[#This Row],[Cuenta Contable]],Produccion_Agricola_Cuentas[Cuenta Contable],0),2),0)</f>
        <v>0</v>
      </c>
      <c r="AC162" s="702">
        <f>IFERROR(INDEX(Tabla9[],MATCH(Producción_Agricola[[#This Row],[Movimiento]],Tabla9[Movimientos],0),2),0)</f>
        <v>0</v>
      </c>
      <c r="AD162" s="703">
        <f>IFERROR(INDEX(Tabla9[],MATCH(Producción_Agricola[[#This Row],[Movimiento]],Tabla9[Movimientos],0),3),0)</f>
        <v>0</v>
      </c>
      <c r="AE162" s="698">
        <f>IF(Producción_Agricola[[#This Row],[Fecha Económico]]=0,0,MONTH(Producción_Agricola[[#This Row],[Fecha Económico]]))</f>
        <v>0</v>
      </c>
      <c r="AF162" s="699">
        <f>IF(Producción_Agricola[[#This Row],[Fecha Económico]]=0,0,YEAR(Producción_Agricola[[#This Row],[Fecha Económico]]))</f>
        <v>0</v>
      </c>
      <c r="AG162" s="704">
        <f>SUMPRODUCT((Producción_Agricola[[#This Row],[Mes Económico]]=Tipo_Cambio[Mes])*(Producción_Agricola[[#This Row],[Año Económico]]=Tipo_Cambio[Año])*(Tipo_Cambio[$/U$S]))</f>
        <v>0</v>
      </c>
      <c r="AH162" s="703">
        <f>SUMPRODUCT((Producción_Agricola[[#This Row],[Mes Económico]]=Tipo_Cambio[Mes])*(Producción_Agricola[[#This Row],[Año Económico]]=Tipo_Cambio[Año])*(Tipo_Cambio[Actualización]))</f>
        <v>0</v>
      </c>
      <c r="AI162" s="699">
        <f>IF(ISNUMBER(Producción_Agricola[[#This Row],[Fecha Financiero]])=TRUE,MONTH(Producción_Agricola[[#This Row],[Fecha Financiero]]),0)</f>
        <v>0</v>
      </c>
      <c r="AJ162" s="699">
        <f>IF(ISNUMBER(Producción_Agricola[[#This Row],[Fecha Financiero]])=TRUE,YEAR(Producción_Agricola[[#This Row],[Fecha Financiero]]),0)</f>
        <v>0</v>
      </c>
      <c r="AK162" s="704">
        <f>SUMPRODUCT((Producción_Agricola[[#This Row],[Mes Financiero]]=Tipo_Cambio[Mes])*(Producción_Agricola[[#This Row],[Año Financiero]]=Tipo_Cambio[Año])*(Tipo_Cambio[$/U$S]))</f>
        <v>0</v>
      </c>
      <c r="AL162" s="704">
        <f>SUMPRODUCT((Producción_Agricola[[#This Row],[Mes Financiero]]=Tipo_Cambio[Mes])*(Producción_Agricola[[#This Row],[Año Financiero]]=Tipo_Cambio[Año])*(Tipo_Cambio[Actualización]))</f>
        <v>0</v>
      </c>
      <c r="AM162" s="709">
        <f>IFERROR(Producción_Agricola[[#This Row],[Económico $Corrientes]]/Producción_Agricola[[#This Row],[Superficie]],0)</f>
        <v>0</v>
      </c>
      <c r="AN162" s="712">
        <f>IFERROR(Producción_Agricola[[#This Row],[Económico $Constantes]]/Producción_Agricola[[#This Row],[Superficie]],0)</f>
        <v>0</v>
      </c>
      <c r="AO162" s="712">
        <f>IFERROR(Producción_Agricola[[#This Row],[Económico U$S Dólares]]/Producción_Agricola[[#This Row],[Superficie]],0)</f>
        <v>0</v>
      </c>
      <c r="AP162" s="711" t="str">
        <f>IF(Económico!$F$4=0,0,Producción_Agricola[[#This Row],[Centro de Costo]])</f>
        <v>Campo 1</v>
      </c>
      <c r="AQ162" s="512"/>
      <c r="AR162" s="515"/>
      <c r="AS162"/>
    </row>
    <row r="163" spans="1:45" x14ac:dyDescent="0.25">
      <c r="D163" s="478"/>
      <c r="E163" s="478"/>
      <c r="F163" s="668" t="str">
        <f t="shared" si="30"/>
        <v>2018-2019</v>
      </c>
      <c r="G163" s="673" t="str">
        <f t="shared" si="29"/>
        <v>Campo 1</v>
      </c>
      <c r="H163" s="673" t="str">
        <f t="shared" si="31"/>
        <v>Soja de Primera</v>
      </c>
      <c r="I163" s="675" t="str">
        <f>IFERROR(INDEX(Tabla8[],MATCH(Producción_Agricola[[#This Row],[Unidad de Negocio]],Tabla8[Unidades de Negocio],0),2),0)</f>
        <v>Soja</v>
      </c>
      <c r="J16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63" s="492"/>
      <c r="L163" s="482"/>
      <c r="M163" s="483"/>
      <c r="N163" s="484"/>
      <c r="O163" s="690">
        <f>Producción_Agricola[[#This Row],[Superficie]]*Producción_Agricola[[#This Row],[Cantidad]]</f>
        <v>0</v>
      </c>
      <c r="P163" s="482"/>
      <c r="Q163" s="484"/>
      <c r="R163" s="485"/>
      <c r="S16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63" s="695">
        <f>IFERROR(Producción_Agricola[[#This Row],[Económico $Corrientes]]/Producción_Agricola[[#This Row],[Indexación Económico]],0)</f>
        <v>0</v>
      </c>
      <c r="U16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6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63" s="695">
        <f>IFERROR(Producción_Agricola[[#This Row],[Financiero $Corrientes]]/Producción_Agricola[[#This Row],[Indexación Financiero]],0)</f>
        <v>0</v>
      </c>
      <c r="X16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6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63" s="699">
        <f>IFERROR(Producción_Agricola[[#This Row],[Intereses $Corrientes]]/Producción_Agricola[[#This Row],[Indexación Financiero]],0)</f>
        <v>0</v>
      </c>
      <c r="AA16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63" s="701">
        <f>IFERROR(INDEX(Produccion_Agricola_Cuentas[],MATCH(Producción_Agricola[[#This Row],[Cuenta Contable]],Produccion_Agricola_Cuentas[Cuenta Contable],0),2),0)</f>
        <v>0</v>
      </c>
      <c r="AC163" s="702">
        <f>IFERROR(INDEX(Tabla9[],MATCH(Producción_Agricola[[#This Row],[Movimiento]],Tabla9[Movimientos],0),2),0)</f>
        <v>0</v>
      </c>
      <c r="AD163" s="703">
        <f>IFERROR(INDEX(Tabla9[],MATCH(Producción_Agricola[[#This Row],[Movimiento]],Tabla9[Movimientos],0),3),0)</f>
        <v>0</v>
      </c>
      <c r="AE163" s="698">
        <f>IF(Producción_Agricola[[#This Row],[Fecha Económico]]=0,0,MONTH(Producción_Agricola[[#This Row],[Fecha Económico]]))</f>
        <v>0</v>
      </c>
      <c r="AF163" s="699">
        <f>IF(Producción_Agricola[[#This Row],[Fecha Económico]]=0,0,YEAR(Producción_Agricola[[#This Row],[Fecha Económico]]))</f>
        <v>0</v>
      </c>
      <c r="AG163" s="704">
        <f>SUMPRODUCT((Producción_Agricola[[#This Row],[Mes Económico]]=Tipo_Cambio[Mes])*(Producción_Agricola[[#This Row],[Año Económico]]=Tipo_Cambio[Año])*(Tipo_Cambio[$/U$S]))</f>
        <v>0</v>
      </c>
      <c r="AH163" s="703">
        <f>SUMPRODUCT((Producción_Agricola[[#This Row],[Mes Económico]]=Tipo_Cambio[Mes])*(Producción_Agricola[[#This Row],[Año Económico]]=Tipo_Cambio[Año])*(Tipo_Cambio[Actualización]))</f>
        <v>0</v>
      </c>
      <c r="AI163" s="699">
        <f>IF(ISNUMBER(Producción_Agricola[[#This Row],[Fecha Financiero]])=TRUE,MONTH(Producción_Agricola[[#This Row],[Fecha Financiero]]),0)</f>
        <v>0</v>
      </c>
      <c r="AJ163" s="699">
        <f>IF(ISNUMBER(Producción_Agricola[[#This Row],[Fecha Financiero]])=TRUE,YEAR(Producción_Agricola[[#This Row],[Fecha Financiero]]),0)</f>
        <v>0</v>
      </c>
      <c r="AK163" s="704">
        <f>SUMPRODUCT((Producción_Agricola[[#This Row],[Mes Financiero]]=Tipo_Cambio[Mes])*(Producción_Agricola[[#This Row],[Año Financiero]]=Tipo_Cambio[Año])*(Tipo_Cambio[$/U$S]))</f>
        <v>0</v>
      </c>
      <c r="AL163" s="704">
        <f>SUMPRODUCT((Producción_Agricola[[#This Row],[Mes Financiero]]=Tipo_Cambio[Mes])*(Producción_Agricola[[#This Row],[Año Financiero]]=Tipo_Cambio[Año])*(Tipo_Cambio[Actualización]))</f>
        <v>0</v>
      </c>
      <c r="AM163" s="709">
        <f>IFERROR(Producción_Agricola[[#This Row],[Económico $Corrientes]]/Producción_Agricola[[#This Row],[Superficie]],0)</f>
        <v>0</v>
      </c>
      <c r="AN163" s="712">
        <f>IFERROR(Producción_Agricola[[#This Row],[Económico $Constantes]]/Producción_Agricola[[#This Row],[Superficie]],0)</f>
        <v>0</v>
      </c>
      <c r="AO163" s="712">
        <f>IFERROR(Producción_Agricola[[#This Row],[Económico U$S Dólares]]/Producción_Agricola[[#This Row],[Superficie]],0)</f>
        <v>0</v>
      </c>
      <c r="AP163" s="711" t="str">
        <f>IF(Económico!$F$4=0,0,Producción_Agricola[[#This Row],[Centro de Costo]])</f>
        <v>Campo 1</v>
      </c>
      <c r="AQ163" s="512"/>
      <c r="AR163" s="515"/>
      <c r="AS163"/>
    </row>
    <row r="164" spans="1:45" ht="15.75" thickBot="1" x14ac:dyDescent="0.3">
      <c r="B164" s="494" t="s">
        <v>101</v>
      </c>
      <c r="D164" s="478"/>
      <c r="E164" s="478"/>
      <c r="F164" s="668" t="str">
        <f t="shared" si="30"/>
        <v>2018-2019</v>
      </c>
      <c r="G164" s="673" t="str">
        <f t="shared" si="29"/>
        <v>Campo 1</v>
      </c>
      <c r="H164" s="673" t="str">
        <f t="shared" si="31"/>
        <v>Soja de Primera</v>
      </c>
      <c r="I164" s="675" t="str">
        <f>IFERROR(INDEX(Tabla8[],MATCH(Producción_Agricola[[#This Row],[Unidad de Negocio]],Tabla8[Unidades de Negocio],0),2),0)</f>
        <v>Soja</v>
      </c>
      <c r="J16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64" s="492"/>
      <c r="L164" s="482"/>
      <c r="M164" s="483"/>
      <c r="N164" s="484"/>
      <c r="O164" s="690">
        <f>Producción_Agricola[[#This Row],[Superficie]]*Producción_Agricola[[#This Row],[Cantidad]]</f>
        <v>0</v>
      </c>
      <c r="P164" s="482"/>
      <c r="Q164" s="484"/>
      <c r="R164" s="485"/>
      <c r="S16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64" s="695">
        <f>IFERROR(Producción_Agricola[[#This Row],[Económico $Corrientes]]/Producción_Agricola[[#This Row],[Indexación Económico]],0)</f>
        <v>0</v>
      </c>
      <c r="U16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6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64" s="695">
        <f>IFERROR(Producción_Agricola[[#This Row],[Financiero $Corrientes]]/Producción_Agricola[[#This Row],[Indexación Financiero]],0)</f>
        <v>0</v>
      </c>
      <c r="X16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6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64" s="699">
        <f>IFERROR(Producción_Agricola[[#This Row],[Intereses $Corrientes]]/Producción_Agricola[[#This Row],[Indexación Financiero]],0)</f>
        <v>0</v>
      </c>
      <c r="AA16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64" s="701">
        <f>IFERROR(INDEX(Produccion_Agricola_Cuentas[],MATCH(Producción_Agricola[[#This Row],[Cuenta Contable]],Produccion_Agricola_Cuentas[Cuenta Contable],0),2),0)</f>
        <v>0</v>
      </c>
      <c r="AC164" s="702">
        <f>IFERROR(INDEX(Tabla9[],MATCH(Producción_Agricola[[#This Row],[Movimiento]],Tabla9[Movimientos],0),2),0)</f>
        <v>0</v>
      </c>
      <c r="AD164" s="703">
        <f>IFERROR(INDEX(Tabla9[],MATCH(Producción_Agricola[[#This Row],[Movimiento]],Tabla9[Movimientos],0),3),0)</f>
        <v>0</v>
      </c>
      <c r="AE164" s="698">
        <f>IF(Producción_Agricola[[#This Row],[Fecha Económico]]=0,0,MONTH(Producción_Agricola[[#This Row],[Fecha Económico]]))</f>
        <v>0</v>
      </c>
      <c r="AF164" s="699">
        <f>IF(Producción_Agricola[[#This Row],[Fecha Económico]]=0,0,YEAR(Producción_Agricola[[#This Row],[Fecha Económico]]))</f>
        <v>0</v>
      </c>
      <c r="AG164" s="704">
        <f>SUMPRODUCT((Producción_Agricola[[#This Row],[Mes Económico]]=Tipo_Cambio[Mes])*(Producción_Agricola[[#This Row],[Año Económico]]=Tipo_Cambio[Año])*(Tipo_Cambio[$/U$S]))</f>
        <v>0</v>
      </c>
      <c r="AH164" s="703">
        <f>SUMPRODUCT((Producción_Agricola[[#This Row],[Mes Económico]]=Tipo_Cambio[Mes])*(Producción_Agricola[[#This Row],[Año Económico]]=Tipo_Cambio[Año])*(Tipo_Cambio[Actualización]))</f>
        <v>0</v>
      </c>
      <c r="AI164" s="699">
        <f>IF(ISNUMBER(Producción_Agricola[[#This Row],[Fecha Financiero]])=TRUE,MONTH(Producción_Agricola[[#This Row],[Fecha Financiero]]),0)</f>
        <v>0</v>
      </c>
      <c r="AJ164" s="699">
        <f>IF(ISNUMBER(Producción_Agricola[[#This Row],[Fecha Financiero]])=TRUE,YEAR(Producción_Agricola[[#This Row],[Fecha Financiero]]),0)</f>
        <v>0</v>
      </c>
      <c r="AK164" s="704">
        <f>SUMPRODUCT((Producción_Agricola[[#This Row],[Mes Financiero]]=Tipo_Cambio[Mes])*(Producción_Agricola[[#This Row],[Año Financiero]]=Tipo_Cambio[Año])*(Tipo_Cambio[$/U$S]))</f>
        <v>0</v>
      </c>
      <c r="AL164" s="704">
        <f>SUMPRODUCT((Producción_Agricola[[#This Row],[Mes Financiero]]=Tipo_Cambio[Mes])*(Producción_Agricola[[#This Row],[Año Financiero]]=Tipo_Cambio[Año])*(Tipo_Cambio[Actualización]))</f>
        <v>0</v>
      </c>
      <c r="AM164" s="709">
        <f>IFERROR(Producción_Agricola[[#This Row],[Económico $Corrientes]]/Producción_Agricola[[#This Row],[Superficie]],0)</f>
        <v>0</v>
      </c>
      <c r="AN164" s="712">
        <f>IFERROR(Producción_Agricola[[#This Row],[Económico $Constantes]]/Producción_Agricola[[#This Row],[Superficie]],0)</f>
        <v>0</v>
      </c>
      <c r="AO164" s="712">
        <f>IFERROR(Producción_Agricola[[#This Row],[Económico U$S Dólares]]/Producción_Agricola[[#This Row],[Superficie]],0)</f>
        <v>0</v>
      </c>
      <c r="AP164" s="711" t="str">
        <f>IF(Económico!$F$4=0,0,Producción_Agricola[[#This Row],[Centro de Costo]])</f>
        <v>Campo 1</v>
      </c>
      <c r="AQ164" s="512"/>
      <c r="AR164" s="515"/>
      <c r="AS164"/>
    </row>
    <row r="165" spans="1:45" ht="15.75" thickTop="1" x14ac:dyDescent="0.25">
      <c r="B165" s="477" t="s">
        <v>456</v>
      </c>
      <c r="D165" s="495">
        <v>43586</v>
      </c>
      <c r="E165" s="495"/>
      <c r="F165" s="679" t="str">
        <f>+$B$166</f>
        <v>2018-2019</v>
      </c>
      <c r="G165" s="680" t="str">
        <f>$B$167</f>
        <v>Campo 1</v>
      </c>
      <c r="H165" s="680" t="str">
        <f>$B$168</f>
        <v>Soja de Primera</v>
      </c>
      <c r="I165" s="678" t="str">
        <f>IFERROR(INDEX(Tabla8[],MATCH(Producción_Agricola[[#This Row],[Unidad de Negocio]],Tabla8[Unidades de Negocio],0),2),0)</f>
        <v>Soja</v>
      </c>
      <c r="J165" s="679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65" s="496" t="s">
        <v>77</v>
      </c>
      <c r="L165" s="497" t="s">
        <v>81</v>
      </c>
      <c r="M165" s="498">
        <v>0</v>
      </c>
      <c r="N165" s="499" t="s">
        <v>377</v>
      </c>
      <c r="O165" s="691">
        <f>Producción_Agricola[[#This Row],[Superficie]]*Producción_Agricola[[#This Row],[Cantidad]]</f>
        <v>0</v>
      </c>
      <c r="P165" s="497">
        <v>230</v>
      </c>
      <c r="Q165" s="499" t="s">
        <v>3</v>
      </c>
      <c r="R165" s="500"/>
      <c r="S165" s="714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65" s="714">
        <f>IFERROR(Producción_Agricola[[#This Row],[Económico $Corrientes]]/Producción_Agricola[[#This Row],[Indexación Económico]],0)</f>
        <v>0</v>
      </c>
      <c r="U165" s="714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65" s="715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65" s="714">
        <f>IFERROR(Producción_Agricola[[#This Row],[Financiero $Corrientes]]/Producción_Agricola[[#This Row],[Indexación Financiero]],0)</f>
        <v>0</v>
      </c>
      <c r="X165" s="716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65" s="717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65" s="718">
        <f>IFERROR(Producción_Agricola[[#This Row],[Intereses $Corrientes]]/Producción_Agricola[[#This Row],[Indexación Financiero]],0)</f>
        <v>0</v>
      </c>
      <c r="AA165" s="719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65" s="720" t="str">
        <f>IFERROR(INDEX(Produccion_Agricola_Cuentas[],MATCH(Producción_Agricola[[#This Row],[Cuenta Contable]],Produccion_Agricola_Cuentas[Cuenta Contable],0),2),0)</f>
        <v>Ingreso Cesión</v>
      </c>
      <c r="AC165" s="721" t="str">
        <f>IFERROR(INDEX(Tabla9[],MATCH(Producción_Agricola[[#This Row],[Movimiento]],Tabla9[Movimientos],0),2),0)</f>
        <v>No</v>
      </c>
      <c r="AD165" s="722" t="str">
        <f>IFERROR(INDEX(Tabla9[],MATCH(Producción_Agricola[[#This Row],[Movimiento]],Tabla9[Movimientos],0),3),0)</f>
        <v>(+)</v>
      </c>
      <c r="AE165" s="717">
        <f>IF(Producción_Agricola[[#This Row],[Fecha Económico]]=0,0,MONTH(Producción_Agricola[[#This Row],[Fecha Económico]]))</f>
        <v>5</v>
      </c>
      <c r="AF165" s="718">
        <f>IF(Producción_Agricola[[#This Row],[Fecha Económico]]=0,0,YEAR(Producción_Agricola[[#This Row],[Fecha Económico]]))</f>
        <v>2019</v>
      </c>
      <c r="AG165" s="723">
        <f>SUMPRODUCT((Producción_Agricola[[#This Row],[Mes Económico]]=Tipo_Cambio[Mes])*(Producción_Agricola[[#This Row],[Año Económico]]=Tipo_Cambio[Año])*(Tipo_Cambio[$/U$S]))</f>
        <v>24.301686759046497</v>
      </c>
      <c r="AH165" s="722">
        <f>SUMPRODUCT((Producción_Agricola[[#This Row],[Mes Económico]]=Tipo_Cambio[Mes])*(Producción_Agricola[[#This Row],[Año Económico]]=Tipo_Cambio[Año])*(Tipo_Cambio[Actualización]))</f>
        <v>1.2189944199947573</v>
      </c>
      <c r="AI165" s="718">
        <f>IF(ISNUMBER(Producción_Agricola[[#This Row],[Fecha Financiero]])=TRUE,MONTH(Producción_Agricola[[#This Row],[Fecha Financiero]]),0)</f>
        <v>0</v>
      </c>
      <c r="AJ165" s="718">
        <f>IF(ISNUMBER(Producción_Agricola[[#This Row],[Fecha Financiero]])=TRUE,YEAR(Producción_Agricola[[#This Row],[Fecha Financiero]]),0)</f>
        <v>0</v>
      </c>
      <c r="AK165" s="723">
        <f>SUMPRODUCT((Producción_Agricola[[#This Row],[Mes Financiero]]=Tipo_Cambio[Mes])*(Producción_Agricola[[#This Row],[Año Financiero]]=Tipo_Cambio[Año])*(Tipo_Cambio[$/U$S]))</f>
        <v>0</v>
      </c>
      <c r="AL165" s="723">
        <f>SUMPRODUCT((Producción_Agricola[[#This Row],[Mes Financiero]]=Tipo_Cambio[Mes])*(Producción_Agricola[[#This Row],[Año Financiero]]=Tipo_Cambio[Año])*(Tipo_Cambio[Actualización]))</f>
        <v>0</v>
      </c>
      <c r="AM165" s="721">
        <f>IFERROR(Producción_Agricola[[#This Row],[Económico $Corrientes]]/Producción_Agricola[[#This Row],[Superficie]],0)</f>
        <v>0</v>
      </c>
      <c r="AN165" s="723">
        <f>IFERROR(Producción_Agricola[[#This Row],[Económico $Constantes]]/Producción_Agricola[[#This Row],[Superficie]],0)</f>
        <v>0</v>
      </c>
      <c r="AO165" s="723">
        <f>IFERROR(Producción_Agricola[[#This Row],[Económico U$S Dólares]]/Producción_Agricola[[#This Row],[Superficie]],0)</f>
        <v>0</v>
      </c>
      <c r="AP165" s="724" t="str">
        <f>IF(Económico!$F$4=0,0,Producción_Agricola[[#This Row],[Centro de Costo]])</f>
        <v>Campo 1</v>
      </c>
      <c r="AQ165" s="516" t="s">
        <v>382</v>
      </c>
      <c r="AR165" s="517" t="s">
        <v>383</v>
      </c>
      <c r="AS165"/>
    </row>
    <row r="166" spans="1:45" x14ac:dyDescent="0.25">
      <c r="B166" s="501" t="s">
        <v>11</v>
      </c>
      <c r="D166" s="478">
        <f>D165</f>
        <v>43586</v>
      </c>
      <c r="E166" s="478">
        <v>43617</v>
      </c>
      <c r="F166" s="668" t="str">
        <f>+F165</f>
        <v>2018-2019</v>
      </c>
      <c r="G166" s="669" t="str">
        <f t="shared" ref="G166:G201" si="38">$B$167</f>
        <v>Campo 1</v>
      </c>
      <c r="H166" s="669" t="str">
        <f t="shared" ref="H166:H201" si="39">$B$168</f>
        <v>Soja de Primera</v>
      </c>
      <c r="I166" s="670" t="str">
        <f>IFERROR(INDEX(Tabla8[],MATCH(Producción_Agricola[[#This Row],[Unidad de Negocio]],Tabla8[Unidades de Negocio],0),2),0)</f>
        <v>Soja</v>
      </c>
      <c r="J166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66" s="481" t="s">
        <v>43</v>
      </c>
      <c r="L166" s="482" t="s">
        <v>43</v>
      </c>
      <c r="M166" s="483">
        <v>0</v>
      </c>
      <c r="N166" s="484" t="s">
        <v>389</v>
      </c>
      <c r="O166" s="690">
        <f>Producción_Agricola[[#This Row],[Superficie]]*Producción_Agricola[[#This Row],[Cantidad]]</f>
        <v>0</v>
      </c>
      <c r="P166" s="482">
        <v>70</v>
      </c>
      <c r="Q166" s="484" t="s">
        <v>3</v>
      </c>
      <c r="R166" s="485">
        <v>0</v>
      </c>
      <c r="S166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66" s="695">
        <f>IFERROR(Producción_Agricola[[#This Row],[Económico $Corrientes]]/Producción_Agricola[[#This Row],[Indexación Económico]],0)</f>
        <v>0</v>
      </c>
      <c r="U16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6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66" s="695">
        <f>IFERROR(Producción_Agricola[[#This Row],[Financiero $Corrientes]]/Producción_Agricola[[#This Row],[Indexación Financiero]],0)</f>
        <v>0</v>
      </c>
      <c r="X16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6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66" s="699">
        <f>IFERROR(Producción_Agricola[[#This Row],[Intereses $Corrientes]]/Producción_Agricola[[#This Row],[Indexación Financiero]],0)</f>
        <v>0</v>
      </c>
      <c r="AA16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66" s="701" t="str">
        <f>IFERROR(INDEX(Produccion_Agricola_Cuentas[],MATCH(Producción_Agricola[[#This Row],[Cuenta Contable]],Produccion_Agricola_Cuentas[Cuenta Contable],0),2),0)</f>
        <v>Egreso</v>
      </c>
      <c r="AC166" s="702" t="str">
        <f>IFERROR(INDEX(Tabla9[],MATCH(Producción_Agricola[[#This Row],[Movimiento]],Tabla9[Movimientos],0),2),0)</f>
        <v>Si</v>
      </c>
      <c r="AD166" s="703" t="str">
        <f>IFERROR(INDEX(Tabla9[],MATCH(Producción_Agricola[[#This Row],[Movimiento]],Tabla9[Movimientos],0),3),0)</f>
        <v>(-)</v>
      </c>
      <c r="AE166" s="698">
        <f>IF(Producción_Agricola[[#This Row],[Fecha Económico]]=0,0,MONTH(Producción_Agricola[[#This Row],[Fecha Económico]]))</f>
        <v>5</v>
      </c>
      <c r="AF166" s="699">
        <f>IF(Producción_Agricola[[#This Row],[Fecha Económico]]=0,0,YEAR(Producción_Agricola[[#This Row],[Fecha Económico]]))</f>
        <v>2019</v>
      </c>
      <c r="AG166" s="704">
        <f>SUMPRODUCT((Producción_Agricola[[#This Row],[Mes Económico]]=Tipo_Cambio[Mes])*(Producción_Agricola[[#This Row],[Año Económico]]=Tipo_Cambio[Año])*(Tipo_Cambio[$/U$S]))</f>
        <v>24.301686759046497</v>
      </c>
      <c r="AH166" s="703">
        <f>SUMPRODUCT((Producción_Agricola[[#This Row],[Mes Económico]]=Tipo_Cambio[Mes])*(Producción_Agricola[[#This Row],[Año Económico]]=Tipo_Cambio[Año])*(Tipo_Cambio[Actualización]))</f>
        <v>1.2189944199947573</v>
      </c>
      <c r="AI166" s="705">
        <f>IF(ISNUMBER(Producción_Agricola[[#This Row],[Fecha Financiero]])=TRUE,MONTH(Producción_Agricola[[#This Row],[Fecha Financiero]]),0)</f>
        <v>6</v>
      </c>
      <c r="AJ166" s="705">
        <f>IF(ISNUMBER(Producción_Agricola[[#This Row],[Fecha Financiero]])=TRUE,YEAR(Producción_Agricola[[#This Row],[Fecha Financiero]]),0)</f>
        <v>2019</v>
      </c>
      <c r="AK166" s="706">
        <f>SUMPRODUCT((Producción_Agricola[[#This Row],[Mes Financiero]]=Tipo_Cambio[Mes])*(Producción_Agricola[[#This Row],[Año Financiero]]=Tipo_Cambio[Año])*(Tipo_Cambio[$/U$S]))</f>
        <v>24.544703626636963</v>
      </c>
      <c r="AL166" s="706">
        <f>SUMPRODUCT((Producción_Agricola[[#This Row],[Mes Financiero]]=Tipo_Cambio[Mes])*(Producción_Agricola[[#This Row],[Año Financiero]]=Tipo_Cambio[Año])*(Tipo_Cambio[Actualización]))</f>
        <v>1.2433743083946525</v>
      </c>
      <c r="AM166" s="702">
        <f>IFERROR(Producción_Agricola[[#This Row],[Económico $Corrientes]]/Producción_Agricola[[#This Row],[Superficie]],0)</f>
        <v>0</v>
      </c>
      <c r="AN166" s="706">
        <f>IFERROR(Producción_Agricola[[#This Row],[Económico $Constantes]]/Producción_Agricola[[#This Row],[Superficie]],0)</f>
        <v>0</v>
      </c>
      <c r="AO166" s="706">
        <f>IFERROR(Producción_Agricola[[#This Row],[Económico U$S Dólares]]/Producción_Agricola[[#This Row],[Superficie]],0)</f>
        <v>0</v>
      </c>
      <c r="AP166" s="707" t="str">
        <f>IF(Económico!$F$4=0,0,Producción_Agricola[[#This Row],[Centro de Costo]])</f>
        <v>Campo 1</v>
      </c>
      <c r="AQ166" s="512" t="s">
        <v>43</v>
      </c>
      <c r="AR166" s="513"/>
      <c r="AS166"/>
    </row>
    <row r="167" spans="1:45" x14ac:dyDescent="0.25">
      <c r="B167" s="486" t="s">
        <v>2</v>
      </c>
      <c r="D167" s="478">
        <f>D165-320</f>
        <v>43266</v>
      </c>
      <c r="E167" s="478">
        <f>Producción_Agricola[[#This Row],[Fecha Económico]]+30</f>
        <v>43296</v>
      </c>
      <c r="F167" s="668" t="str">
        <f t="shared" ref="F167:F201" si="40">+F166</f>
        <v>2018-2019</v>
      </c>
      <c r="G167" s="669" t="str">
        <f t="shared" si="38"/>
        <v>Campo 1</v>
      </c>
      <c r="H167" s="669" t="str">
        <f t="shared" si="39"/>
        <v>Soja de Primera</v>
      </c>
      <c r="I167" s="670" t="str">
        <f>IFERROR(INDEX(Tabla8[],MATCH(Producción_Agricola[[#This Row],[Unidad de Negocio]],Tabla8[Unidades de Negocio],0),2),0)</f>
        <v>Soja</v>
      </c>
      <c r="J167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67" s="481" t="s">
        <v>25</v>
      </c>
      <c r="L167" s="482" t="s">
        <v>219</v>
      </c>
      <c r="M167" s="483">
        <v>0</v>
      </c>
      <c r="N167" s="484" t="s">
        <v>389</v>
      </c>
      <c r="O167" s="690">
        <f>Producción_Agricola[[#This Row],[Superficie]]*Producción_Agricola[[#This Row],[Cantidad]]</f>
        <v>0</v>
      </c>
      <c r="P167" s="482">
        <v>120</v>
      </c>
      <c r="Q167" s="484" t="s">
        <v>48</v>
      </c>
      <c r="R167" s="485">
        <v>0</v>
      </c>
      <c r="S167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67" s="695">
        <f>IFERROR(Producción_Agricola[[#This Row],[Económico $Corrientes]]/Producción_Agricola[[#This Row],[Indexación Económico]],0)</f>
        <v>0</v>
      </c>
      <c r="U16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6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67" s="695">
        <f>IFERROR(Producción_Agricola[[#This Row],[Financiero $Corrientes]]/Producción_Agricola[[#This Row],[Indexación Financiero]],0)</f>
        <v>0</v>
      </c>
      <c r="X16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6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67" s="699">
        <f>IFERROR(Producción_Agricola[[#This Row],[Intereses $Corrientes]]/Producción_Agricola[[#This Row],[Indexación Financiero]],0)</f>
        <v>0</v>
      </c>
      <c r="AA16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67" s="701" t="str">
        <f>IFERROR(INDEX(Produccion_Agricola_Cuentas[],MATCH(Producción_Agricola[[#This Row],[Cuenta Contable]],Produccion_Agricola_Cuentas[Cuenta Contable],0),2),0)</f>
        <v>Egreso</v>
      </c>
      <c r="AC167" s="702" t="str">
        <f>IFERROR(INDEX(Tabla9[],MATCH(Producción_Agricola[[#This Row],[Movimiento]],Tabla9[Movimientos],0),2),0)</f>
        <v>Si</v>
      </c>
      <c r="AD167" s="703" t="str">
        <f>IFERROR(INDEX(Tabla9[],MATCH(Producción_Agricola[[#This Row],[Movimiento]],Tabla9[Movimientos],0),3),0)</f>
        <v>(-)</v>
      </c>
      <c r="AE167" s="698">
        <f>IF(Producción_Agricola[[#This Row],[Fecha Económico]]=0,0,MONTH(Producción_Agricola[[#This Row],[Fecha Económico]]))</f>
        <v>6</v>
      </c>
      <c r="AF167" s="699">
        <f>IF(Producción_Agricola[[#This Row],[Fecha Económico]]=0,0,YEAR(Producción_Agricola[[#This Row],[Fecha Económico]]))</f>
        <v>2018</v>
      </c>
      <c r="AG167" s="704">
        <f>SUMPRODUCT((Producción_Agricola[[#This Row],[Mes Económico]]=Tipo_Cambio[Mes])*(Producción_Agricola[[#This Row],[Año Económico]]=Tipo_Cambio[Año])*(Tipo_Cambio[$/U$S]))</f>
        <v>0</v>
      </c>
      <c r="AH167" s="703">
        <f>SUMPRODUCT((Producción_Agricola[[#This Row],[Mes Económico]]=Tipo_Cambio[Mes])*(Producción_Agricola[[#This Row],[Año Económico]]=Tipo_Cambio[Año])*(Tipo_Cambio[Actualización]))</f>
        <v>0</v>
      </c>
      <c r="AI167" s="705">
        <f>IF(ISNUMBER(Producción_Agricola[[#This Row],[Fecha Financiero]])=TRUE,MONTH(Producción_Agricola[[#This Row],[Fecha Financiero]]),0)</f>
        <v>7</v>
      </c>
      <c r="AJ167" s="705">
        <f>IF(ISNUMBER(Producción_Agricola[[#This Row],[Fecha Financiero]])=TRUE,YEAR(Producción_Agricola[[#This Row],[Fecha Financiero]]),0)</f>
        <v>2018</v>
      </c>
      <c r="AK167" s="706">
        <f>SUMPRODUCT((Producción_Agricola[[#This Row],[Mes Financiero]]=Tipo_Cambio[Mes])*(Producción_Agricola[[#This Row],[Año Financiero]]=Tipo_Cambio[Año])*(Tipo_Cambio[$/U$S]))</f>
        <v>22</v>
      </c>
      <c r="AL167" s="706">
        <f>SUMPRODUCT((Producción_Agricola[[#This Row],[Mes Financiero]]=Tipo_Cambio[Mes])*(Producción_Agricola[[#This Row],[Año Financiero]]=Tipo_Cambio[Año])*(Tipo_Cambio[Actualización]))</f>
        <v>1</v>
      </c>
      <c r="AM167" s="702">
        <f>IFERROR(Producción_Agricola[[#This Row],[Económico $Corrientes]]/Producción_Agricola[[#This Row],[Superficie]],0)</f>
        <v>0</v>
      </c>
      <c r="AN167" s="706">
        <f>IFERROR(Producción_Agricola[[#This Row],[Económico $Constantes]]/Producción_Agricola[[#This Row],[Superficie]],0)</f>
        <v>0</v>
      </c>
      <c r="AO167" s="706">
        <f>IFERROR(Producción_Agricola[[#This Row],[Económico U$S Dólares]]/Producción_Agricola[[#This Row],[Superficie]],0)</f>
        <v>0</v>
      </c>
      <c r="AP167" s="707" t="str">
        <f>IF(Económico!$F$4=0,0,Producción_Agricola[[#This Row],[Centro de Costo]])</f>
        <v>Campo 1</v>
      </c>
      <c r="AQ167" s="512" t="s">
        <v>378</v>
      </c>
      <c r="AR167" s="513"/>
      <c r="AS167"/>
    </row>
    <row r="168" spans="1:45" x14ac:dyDescent="0.25">
      <c r="B168" s="486" t="s">
        <v>245</v>
      </c>
      <c r="D168" s="478">
        <f>D167</f>
        <v>43266</v>
      </c>
      <c r="E168" s="478">
        <v>43586</v>
      </c>
      <c r="F168" s="668" t="str">
        <f t="shared" si="40"/>
        <v>2018-2019</v>
      </c>
      <c r="G168" s="669" t="str">
        <f t="shared" si="38"/>
        <v>Campo 1</v>
      </c>
      <c r="H168" s="669" t="str">
        <f t="shared" si="39"/>
        <v>Soja de Primera</v>
      </c>
      <c r="I168" s="670" t="str">
        <f>IFERROR(INDEX(Tabla8[],MATCH(Producción_Agricola[[#This Row],[Unidad de Negocio]],Tabla8[Unidades de Negocio],0),2),0)</f>
        <v>Soja</v>
      </c>
      <c r="J168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68" s="481" t="s">
        <v>17</v>
      </c>
      <c r="L168" s="482" t="s">
        <v>50</v>
      </c>
      <c r="M168" s="483">
        <v>0</v>
      </c>
      <c r="N168" s="484" t="s">
        <v>387</v>
      </c>
      <c r="O168" s="690">
        <f>Producción_Agricola[[#This Row],[Superficie]]*Producción_Agricola[[#This Row],[Cantidad]]</f>
        <v>0</v>
      </c>
      <c r="P168" s="482">
        <v>3</v>
      </c>
      <c r="Q168" s="484" t="s">
        <v>3</v>
      </c>
      <c r="R168" s="485">
        <v>0.06</v>
      </c>
      <c r="S168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68" s="695">
        <f>IFERROR(Producción_Agricola[[#This Row],[Económico $Corrientes]]/Producción_Agricola[[#This Row],[Indexación Económico]],0)</f>
        <v>0</v>
      </c>
      <c r="U16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6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68" s="695">
        <f>IFERROR(Producción_Agricola[[#This Row],[Financiero $Corrientes]]/Producción_Agricola[[#This Row],[Indexación Financiero]],0)</f>
        <v>0</v>
      </c>
      <c r="X16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6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68" s="699">
        <f>IFERROR(Producción_Agricola[[#This Row],[Intereses $Corrientes]]/Producción_Agricola[[#This Row],[Indexación Financiero]],0)</f>
        <v>0</v>
      </c>
      <c r="AA16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68" s="701" t="str">
        <f>IFERROR(INDEX(Produccion_Agricola_Cuentas[],MATCH(Producción_Agricola[[#This Row],[Cuenta Contable]],Produccion_Agricola_Cuentas[Cuenta Contable],0),2),0)</f>
        <v>Egreso</v>
      </c>
      <c r="AC168" s="702" t="str">
        <f>IFERROR(INDEX(Tabla9[],MATCH(Producción_Agricola[[#This Row],[Movimiento]],Tabla9[Movimientos],0),2),0)</f>
        <v>Si</v>
      </c>
      <c r="AD168" s="703" t="str">
        <f>IFERROR(INDEX(Tabla9[],MATCH(Producción_Agricola[[#This Row],[Movimiento]],Tabla9[Movimientos],0),3),0)</f>
        <v>(-)</v>
      </c>
      <c r="AE168" s="698">
        <f>IF(Producción_Agricola[[#This Row],[Fecha Económico]]=0,0,MONTH(Producción_Agricola[[#This Row],[Fecha Económico]]))</f>
        <v>6</v>
      </c>
      <c r="AF168" s="699">
        <f>IF(Producción_Agricola[[#This Row],[Fecha Económico]]=0,0,YEAR(Producción_Agricola[[#This Row],[Fecha Económico]]))</f>
        <v>2018</v>
      </c>
      <c r="AG168" s="704">
        <f>SUMPRODUCT((Producción_Agricola[[#This Row],[Mes Económico]]=Tipo_Cambio[Mes])*(Producción_Agricola[[#This Row],[Año Económico]]=Tipo_Cambio[Año])*(Tipo_Cambio[$/U$S]))</f>
        <v>0</v>
      </c>
      <c r="AH168" s="703">
        <f>SUMPRODUCT((Producción_Agricola[[#This Row],[Mes Económico]]=Tipo_Cambio[Mes])*(Producción_Agricola[[#This Row],[Año Económico]]=Tipo_Cambio[Año])*(Tipo_Cambio[Actualización]))</f>
        <v>0</v>
      </c>
      <c r="AI168" s="705">
        <f>IF(ISNUMBER(Producción_Agricola[[#This Row],[Fecha Financiero]])=TRUE,MONTH(Producción_Agricola[[#This Row],[Fecha Financiero]]),0)</f>
        <v>5</v>
      </c>
      <c r="AJ168" s="705">
        <f>IF(ISNUMBER(Producción_Agricola[[#This Row],[Fecha Financiero]])=TRUE,YEAR(Producción_Agricola[[#This Row],[Fecha Financiero]]),0)</f>
        <v>2019</v>
      </c>
      <c r="AK168" s="706">
        <f>SUMPRODUCT((Producción_Agricola[[#This Row],[Mes Financiero]]=Tipo_Cambio[Mes])*(Producción_Agricola[[#This Row],[Año Financiero]]=Tipo_Cambio[Año])*(Tipo_Cambio[$/U$S]))</f>
        <v>24.301686759046497</v>
      </c>
      <c r="AL168" s="706">
        <f>SUMPRODUCT((Producción_Agricola[[#This Row],[Mes Financiero]]=Tipo_Cambio[Mes])*(Producción_Agricola[[#This Row],[Año Financiero]]=Tipo_Cambio[Año])*(Tipo_Cambio[Actualización]))</f>
        <v>1.2189944199947573</v>
      </c>
      <c r="AM168" s="702">
        <f>IFERROR(Producción_Agricola[[#This Row],[Económico $Corrientes]]/Producción_Agricola[[#This Row],[Superficie]],0)</f>
        <v>0</v>
      </c>
      <c r="AN168" s="706">
        <f>IFERROR(Producción_Agricola[[#This Row],[Económico $Constantes]]/Producción_Agricola[[#This Row],[Superficie]],0)</f>
        <v>0</v>
      </c>
      <c r="AO168" s="706">
        <f>IFERROR(Producción_Agricola[[#This Row],[Económico U$S Dólares]]/Producción_Agricola[[#This Row],[Superficie]],0)</f>
        <v>0</v>
      </c>
      <c r="AP168" s="707" t="str">
        <f>IF(Económico!$F$4=0,0,Producción_Agricola[[#This Row],[Centro de Costo]])</f>
        <v>Campo 1</v>
      </c>
      <c r="AQ168" s="512" t="s">
        <v>378</v>
      </c>
      <c r="AR168" s="513"/>
      <c r="AS168"/>
    </row>
    <row r="169" spans="1:45" x14ac:dyDescent="0.25">
      <c r="B169" s="487">
        <f>$J$165</f>
        <v>110</v>
      </c>
      <c r="D169" s="478">
        <f t="shared" ref="D169:D170" si="41">D168</f>
        <v>43266</v>
      </c>
      <c r="E169" s="478">
        <v>43586</v>
      </c>
      <c r="F169" s="668" t="str">
        <f t="shared" si="40"/>
        <v>2018-2019</v>
      </c>
      <c r="G169" s="669" t="str">
        <f t="shared" si="38"/>
        <v>Campo 1</v>
      </c>
      <c r="H169" s="669" t="str">
        <f t="shared" si="39"/>
        <v>Soja de Primera</v>
      </c>
      <c r="I169" s="670" t="str">
        <f>IFERROR(INDEX(Tabla8[],MATCH(Producción_Agricola[[#This Row],[Unidad de Negocio]],Tabla8[Unidades de Negocio],0),2),0)</f>
        <v>Soja</v>
      </c>
      <c r="J169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69" s="481" t="s">
        <v>17</v>
      </c>
      <c r="L169" s="482" t="s">
        <v>49</v>
      </c>
      <c r="M169" s="483">
        <v>0</v>
      </c>
      <c r="N169" s="484" t="s">
        <v>387</v>
      </c>
      <c r="O169" s="690">
        <f>Producción_Agricola[[#This Row],[Superficie]]*Producción_Agricola[[#This Row],[Cantidad]]</f>
        <v>0</v>
      </c>
      <c r="P169" s="482">
        <v>7</v>
      </c>
      <c r="Q169" s="484" t="s">
        <v>3</v>
      </c>
      <c r="R169" s="485">
        <v>0.06</v>
      </c>
      <c r="S169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69" s="695">
        <f>IFERROR(Producción_Agricola[[#This Row],[Económico $Corrientes]]/Producción_Agricola[[#This Row],[Indexación Económico]],0)</f>
        <v>0</v>
      </c>
      <c r="U16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6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69" s="695">
        <f>IFERROR(Producción_Agricola[[#This Row],[Financiero $Corrientes]]/Producción_Agricola[[#This Row],[Indexación Financiero]],0)</f>
        <v>0</v>
      </c>
      <c r="X16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6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69" s="699">
        <f>IFERROR(Producción_Agricola[[#This Row],[Intereses $Corrientes]]/Producción_Agricola[[#This Row],[Indexación Financiero]],0)</f>
        <v>0</v>
      </c>
      <c r="AA16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69" s="701" t="str">
        <f>IFERROR(INDEX(Produccion_Agricola_Cuentas[],MATCH(Producción_Agricola[[#This Row],[Cuenta Contable]],Produccion_Agricola_Cuentas[Cuenta Contable],0),2),0)</f>
        <v>Egreso</v>
      </c>
      <c r="AC169" s="702" t="str">
        <f>IFERROR(INDEX(Tabla9[],MATCH(Producción_Agricola[[#This Row],[Movimiento]],Tabla9[Movimientos],0),2),0)</f>
        <v>Si</v>
      </c>
      <c r="AD169" s="703" t="str">
        <f>IFERROR(INDEX(Tabla9[],MATCH(Producción_Agricola[[#This Row],[Movimiento]],Tabla9[Movimientos],0),3),0)</f>
        <v>(-)</v>
      </c>
      <c r="AE169" s="698">
        <f>IF(Producción_Agricola[[#This Row],[Fecha Económico]]=0,0,MONTH(Producción_Agricola[[#This Row],[Fecha Económico]]))</f>
        <v>6</v>
      </c>
      <c r="AF169" s="699">
        <f>IF(Producción_Agricola[[#This Row],[Fecha Económico]]=0,0,YEAR(Producción_Agricola[[#This Row],[Fecha Económico]]))</f>
        <v>2018</v>
      </c>
      <c r="AG169" s="704">
        <f>SUMPRODUCT((Producción_Agricola[[#This Row],[Mes Económico]]=Tipo_Cambio[Mes])*(Producción_Agricola[[#This Row],[Año Económico]]=Tipo_Cambio[Año])*(Tipo_Cambio[$/U$S]))</f>
        <v>0</v>
      </c>
      <c r="AH169" s="703">
        <f>SUMPRODUCT((Producción_Agricola[[#This Row],[Mes Económico]]=Tipo_Cambio[Mes])*(Producción_Agricola[[#This Row],[Año Económico]]=Tipo_Cambio[Año])*(Tipo_Cambio[Actualización]))</f>
        <v>0</v>
      </c>
      <c r="AI169" s="705">
        <f>IF(ISNUMBER(Producción_Agricola[[#This Row],[Fecha Financiero]])=TRUE,MONTH(Producción_Agricola[[#This Row],[Fecha Financiero]]),0)</f>
        <v>5</v>
      </c>
      <c r="AJ169" s="705">
        <f>IF(ISNUMBER(Producción_Agricola[[#This Row],[Fecha Financiero]])=TRUE,YEAR(Producción_Agricola[[#This Row],[Fecha Financiero]]),0)</f>
        <v>2019</v>
      </c>
      <c r="AK169" s="706">
        <f>SUMPRODUCT((Producción_Agricola[[#This Row],[Mes Financiero]]=Tipo_Cambio[Mes])*(Producción_Agricola[[#This Row],[Año Financiero]]=Tipo_Cambio[Año])*(Tipo_Cambio[$/U$S]))</f>
        <v>24.301686759046497</v>
      </c>
      <c r="AL169" s="706">
        <f>SUMPRODUCT((Producción_Agricola[[#This Row],[Mes Financiero]]=Tipo_Cambio[Mes])*(Producción_Agricola[[#This Row],[Año Financiero]]=Tipo_Cambio[Año])*(Tipo_Cambio[Actualización]))</f>
        <v>1.2189944199947573</v>
      </c>
      <c r="AM169" s="702">
        <f>IFERROR(Producción_Agricola[[#This Row],[Económico $Corrientes]]/Producción_Agricola[[#This Row],[Superficie]],0)</f>
        <v>0</v>
      </c>
      <c r="AN169" s="706">
        <f>IFERROR(Producción_Agricola[[#This Row],[Económico $Constantes]]/Producción_Agricola[[#This Row],[Superficie]],0)</f>
        <v>0</v>
      </c>
      <c r="AO169" s="706">
        <f>IFERROR(Producción_Agricola[[#This Row],[Económico U$S Dólares]]/Producción_Agricola[[#This Row],[Superficie]],0)</f>
        <v>0</v>
      </c>
      <c r="AP169" s="707" t="str">
        <f>IF(Económico!$F$4=0,0,Producción_Agricola[[#This Row],[Centro de Costo]])</f>
        <v>Campo 1</v>
      </c>
      <c r="AQ169" s="512" t="s">
        <v>378</v>
      </c>
      <c r="AR169" s="513"/>
      <c r="AS169"/>
    </row>
    <row r="170" spans="1:45" x14ac:dyDescent="0.25">
      <c r="D170" s="478">
        <f t="shared" si="41"/>
        <v>43266</v>
      </c>
      <c r="E170" s="478">
        <v>43586</v>
      </c>
      <c r="F170" s="668" t="str">
        <f t="shared" si="40"/>
        <v>2018-2019</v>
      </c>
      <c r="G170" s="669" t="str">
        <f t="shared" si="38"/>
        <v>Campo 1</v>
      </c>
      <c r="H170" s="669" t="str">
        <f t="shared" si="39"/>
        <v>Soja de Primera</v>
      </c>
      <c r="I170" s="670" t="str">
        <f>IFERROR(INDEX(Tabla8[],MATCH(Producción_Agricola[[#This Row],[Unidad de Negocio]],Tabla8[Unidades de Negocio],0),2),0)</f>
        <v>Soja</v>
      </c>
      <c r="J170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70" s="481" t="s">
        <v>24</v>
      </c>
      <c r="L170" s="482" t="s">
        <v>363</v>
      </c>
      <c r="M170" s="483">
        <v>0</v>
      </c>
      <c r="N170" s="484" t="s">
        <v>387</v>
      </c>
      <c r="O170" s="690">
        <f>Producción_Agricola[[#This Row],[Superficie]]*Producción_Agricola[[#This Row],[Cantidad]]</f>
        <v>0</v>
      </c>
      <c r="P170" s="482">
        <v>18</v>
      </c>
      <c r="Q170" s="484" t="s">
        <v>3</v>
      </c>
      <c r="R170" s="485">
        <v>0.06</v>
      </c>
      <c r="S170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70" s="695">
        <f>IFERROR(Producción_Agricola[[#This Row],[Económico $Corrientes]]/Producción_Agricola[[#This Row],[Indexación Económico]],0)</f>
        <v>0</v>
      </c>
      <c r="U17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7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70" s="695">
        <f>IFERROR(Producción_Agricola[[#This Row],[Financiero $Corrientes]]/Producción_Agricola[[#This Row],[Indexación Financiero]],0)</f>
        <v>0</v>
      </c>
      <c r="X17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7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70" s="699">
        <f>IFERROR(Producción_Agricola[[#This Row],[Intereses $Corrientes]]/Producción_Agricola[[#This Row],[Indexación Financiero]],0)</f>
        <v>0</v>
      </c>
      <c r="AA17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70" s="701" t="str">
        <f>IFERROR(INDEX(Produccion_Agricola_Cuentas[],MATCH(Producción_Agricola[[#This Row],[Cuenta Contable]],Produccion_Agricola_Cuentas[Cuenta Contable],0),2),0)</f>
        <v>Egreso</v>
      </c>
      <c r="AC170" s="702" t="str">
        <f>IFERROR(INDEX(Tabla9[],MATCH(Producción_Agricola[[#This Row],[Movimiento]],Tabla9[Movimientos],0),2),0)</f>
        <v>Si</v>
      </c>
      <c r="AD170" s="703" t="str">
        <f>IFERROR(INDEX(Tabla9[],MATCH(Producción_Agricola[[#This Row],[Movimiento]],Tabla9[Movimientos],0),3),0)</f>
        <v>(-)</v>
      </c>
      <c r="AE170" s="698">
        <f>IF(Producción_Agricola[[#This Row],[Fecha Económico]]=0,0,MONTH(Producción_Agricola[[#This Row],[Fecha Económico]]))</f>
        <v>6</v>
      </c>
      <c r="AF170" s="699">
        <f>IF(Producción_Agricola[[#This Row],[Fecha Económico]]=0,0,YEAR(Producción_Agricola[[#This Row],[Fecha Económico]]))</f>
        <v>2018</v>
      </c>
      <c r="AG170" s="704">
        <f>SUMPRODUCT((Producción_Agricola[[#This Row],[Mes Económico]]=Tipo_Cambio[Mes])*(Producción_Agricola[[#This Row],[Año Económico]]=Tipo_Cambio[Año])*(Tipo_Cambio[$/U$S]))</f>
        <v>0</v>
      </c>
      <c r="AH170" s="703">
        <f>SUMPRODUCT((Producción_Agricola[[#This Row],[Mes Económico]]=Tipo_Cambio[Mes])*(Producción_Agricola[[#This Row],[Año Económico]]=Tipo_Cambio[Año])*(Tipo_Cambio[Actualización]))</f>
        <v>0</v>
      </c>
      <c r="AI170" s="705">
        <f>IF(ISNUMBER(Producción_Agricola[[#This Row],[Fecha Financiero]])=TRUE,MONTH(Producción_Agricola[[#This Row],[Fecha Financiero]]),0)</f>
        <v>5</v>
      </c>
      <c r="AJ170" s="705">
        <f>IF(ISNUMBER(Producción_Agricola[[#This Row],[Fecha Financiero]])=TRUE,YEAR(Producción_Agricola[[#This Row],[Fecha Financiero]]),0)</f>
        <v>2019</v>
      </c>
      <c r="AK170" s="706">
        <f>SUMPRODUCT((Producción_Agricola[[#This Row],[Mes Financiero]]=Tipo_Cambio[Mes])*(Producción_Agricola[[#This Row],[Año Financiero]]=Tipo_Cambio[Año])*(Tipo_Cambio[$/U$S]))</f>
        <v>24.301686759046497</v>
      </c>
      <c r="AL170" s="706">
        <f>SUMPRODUCT((Producción_Agricola[[#This Row],[Mes Financiero]]=Tipo_Cambio[Mes])*(Producción_Agricola[[#This Row],[Año Financiero]]=Tipo_Cambio[Año])*(Tipo_Cambio[Actualización]))</f>
        <v>1.2189944199947573</v>
      </c>
      <c r="AM170" s="702">
        <f>IFERROR(Producción_Agricola[[#This Row],[Económico $Corrientes]]/Producción_Agricola[[#This Row],[Superficie]],0)</f>
        <v>0</v>
      </c>
      <c r="AN170" s="706">
        <f>IFERROR(Producción_Agricola[[#This Row],[Económico $Constantes]]/Producción_Agricola[[#This Row],[Superficie]],0)</f>
        <v>0</v>
      </c>
      <c r="AO170" s="706">
        <f>IFERROR(Producción_Agricola[[#This Row],[Económico U$S Dólares]]/Producción_Agricola[[#This Row],[Superficie]],0)</f>
        <v>0</v>
      </c>
      <c r="AP170" s="707" t="str">
        <f>IF(Económico!$F$4=0,0,Producción_Agricola[[#This Row],[Centro de Costo]])</f>
        <v>Campo 1</v>
      </c>
      <c r="AQ170" s="512" t="s">
        <v>378</v>
      </c>
      <c r="AR170" s="513"/>
      <c r="AS170"/>
    </row>
    <row r="171" spans="1:45" x14ac:dyDescent="0.25">
      <c r="D171" s="478">
        <f>D167+45</f>
        <v>43311</v>
      </c>
      <c r="E171" s="478">
        <f>Producción_Agricola[[#This Row],[Fecha Económico]]+30</f>
        <v>43341</v>
      </c>
      <c r="F171" s="668" t="str">
        <f t="shared" si="40"/>
        <v>2018-2019</v>
      </c>
      <c r="G171" s="669" t="str">
        <f t="shared" si="38"/>
        <v>Campo 1</v>
      </c>
      <c r="H171" s="669" t="str">
        <f t="shared" si="39"/>
        <v>Soja de Primera</v>
      </c>
      <c r="I171" s="670" t="str">
        <f>IFERROR(INDEX(Tabla8[],MATCH(Producción_Agricola[[#This Row],[Unidad de Negocio]],Tabla8[Unidades de Negocio],0),2),0)</f>
        <v>Soja</v>
      </c>
      <c r="J171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71" s="481" t="s">
        <v>25</v>
      </c>
      <c r="L171" s="482" t="s">
        <v>219</v>
      </c>
      <c r="M171" s="483">
        <v>0</v>
      </c>
      <c r="N171" s="484" t="s">
        <v>389</v>
      </c>
      <c r="O171" s="690">
        <f>Producción_Agricola[[#This Row],[Superficie]]*Producción_Agricola[[#This Row],[Cantidad]]</f>
        <v>0</v>
      </c>
      <c r="P171" s="482">
        <v>120</v>
      </c>
      <c r="Q171" s="484" t="s">
        <v>48</v>
      </c>
      <c r="R171" s="485">
        <v>0</v>
      </c>
      <c r="S171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71" s="695">
        <f>IFERROR(Producción_Agricola[[#This Row],[Económico $Corrientes]]/Producción_Agricola[[#This Row],[Indexación Económico]],0)</f>
        <v>0</v>
      </c>
      <c r="U17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7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71" s="695">
        <f>IFERROR(Producción_Agricola[[#This Row],[Financiero $Corrientes]]/Producción_Agricola[[#This Row],[Indexación Financiero]],0)</f>
        <v>0</v>
      </c>
      <c r="X17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7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71" s="699">
        <f>IFERROR(Producción_Agricola[[#This Row],[Intereses $Corrientes]]/Producción_Agricola[[#This Row],[Indexación Financiero]],0)</f>
        <v>0</v>
      </c>
      <c r="AA17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71" s="701" t="str">
        <f>IFERROR(INDEX(Produccion_Agricola_Cuentas[],MATCH(Producción_Agricola[[#This Row],[Cuenta Contable]],Produccion_Agricola_Cuentas[Cuenta Contable],0),2),0)</f>
        <v>Egreso</v>
      </c>
      <c r="AC171" s="702" t="str">
        <f>IFERROR(INDEX(Tabla9[],MATCH(Producción_Agricola[[#This Row],[Movimiento]],Tabla9[Movimientos],0),2),0)</f>
        <v>Si</v>
      </c>
      <c r="AD171" s="703" t="str">
        <f>IFERROR(INDEX(Tabla9[],MATCH(Producción_Agricola[[#This Row],[Movimiento]],Tabla9[Movimientos],0),3),0)</f>
        <v>(-)</v>
      </c>
      <c r="AE171" s="698">
        <f>IF(Producción_Agricola[[#This Row],[Fecha Económico]]=0,0,MONTH(Producción_Agricola[[#This Row],[Fecha Económico]]))</f>
        <v>7</v>
      </c>
      <c r="AF171" s="699">
        <f>IF(Producción_Agricola[[#This Row],[Fecha Económico]]=0,0,YEAR(Producción_Agricola[[#This Row],[Fecha Económico]]))</f>
        <v>2018</v>
      </c>
      <c r="AG171" s="704">
        <f>SUMPRODUCT((Producción_Agricola[[#This Row],[Mes Económico]]=Tipo_Cambio[Mes])*(Producción_Agricola[[#This Row],[Año Económico]]=Tipo_Cambio[Año])*(Tipo_Cambio[$/U$S]))</f>
        <v>22</v>
      </c>
      <c r="AH171" s="703">
        <f>SUMPRODUCT((Producción_Agricola[[#This Row],[Mes Económico]]=Tipo_Cambio[Mes])*(Producción_Agricola[[#This Row],[Año Económico]]=Tipo_Cambio[Año])*(Tipo_Cambio[Actualización]))</f>
        <v>1</v>
      </c>
      <c r="AI171" s="705">
        <f>IF(ISNUMBER(Producción_Agricola[[#This Row],[Fecha Financiero]])=TRUE,MONTH(Producción_Agricola[[#This Row],[Fecha Financiero]]),0)</f>
        <v>8</v>
      </c>
      <c r="AJ171" s="705">
        <f>IF(ISNUMBER(Producción_Agricola[[#This Row],[Fecha Financiero]])=TRUE,YEAR(Producción_Agricola[[#This Row],[Fecha Financiero]]),0)</f>
        <v>2018</v>
      </c>
      <c r="AK171" s="706">
        <f>SUMPRODUCT((Producción_Agricola[[#This Row],[Mes Financiero]]=Tipo_Cambio[Mes])*(Producción_Agricola[[#This Row],[Año Financiero]]=Tipo_Cambio[Año])*(Tipo_Cambio[$/U$S]))</f>
        <v>22.22</v>
      </c>
      <c r="AL171" s="706">
        <f>SUMPRODUCT((Producción_Agricola[[#This Row],[Mes Financiero]]=Tipo_Cambio[Mes])*(Producción_Agricola[[#This Row],[Año Financiero]]=Tipo_Cambio[Año])*(Tipo_Cambio[Actualización]))</f>
        <v>1.02</v>
      </c>
      <c r="AM171" s="702">
        <f>IFERROR(Producción_Agricola[[#This Row],[Económico $Corrientes]]/Producción_Agricola[[#This Row],[Superficie]],0)</f>
        <v>0</v>
      </c>
      <c r="AN171" s="706">
        <f>IFERROR(Producción_Agricola[[#This Row],[Económico $Constantes]]/Producción_Agricola[[#This Row],[Superficie]],0)</f>
        <v>0</v>
      </c>
      <c r="AO171" s="706">
        <f>IFERROR(Producción_Agricola[[#This Row],[Económico U$S Dólares]]/Producción_Agricola[[#This Row],[Superficie]],0)</f>
        <v>0</v>
      </c>
      <c r="AP171" s="707" t="str">
        <f>IF(Económico!$F$4=0,0,Producción_Agricola[[#This Row],[Centro de Costo]])</f>
        <v>Campo 1</v>
      </c>
      <c r="AQ171" s="512" t="s">
        <v>380</v>
      </c>
      <c r="AR171" s="513"/>
      <c r="AS171"/>
    </row>
    <row r="172" spans="1:45" x14ac:dyDescent="0.25">
      <c r="D172" s="478">
        <f>D171</f>
        <v>43311</v>
      </c>
      <c r="E172" s="478">
        <v>43586</v>
      </c>
      <c r="F172" s="668" t="str">
        <f t="shared" si="40"/>
        <v>2018-2019</v>
      </c>
      <c r="G172" s="669" t="str">
        <f t="shared" si="38"/>
        <v>Campo 1</v>
      </c>
      <c r="H172" s="669" t="str">
        <f t="shared" si="39"/>
        <v>Soja de Primera</v>
      </c>
      <c r="I172" s="670" t="str">
        <f>IFERROR(INDEX(Tabla8[],MATCH(Producción_Agricola[[#This Row],[Unidad de Negocio]],Tabla8[Unidades de Negocio],0),2),0)</f>
        <v>Soja</v>
      </c>
      <c r="J172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72" s="481" t="s">
        <v>17</v>
      </c>
      <c r="L172" s="482" t="s">
        <v>50</v>
      </c>
      <c r="M172" s="483">
        <v>0</v>
      </c>
      <c r="N172" s="484" t="s">
        <v>387</v>
      </c>
      <c r="O172" s="690">
        <f>Producción_Agricola[[#This Row],[Superficie]]*Producción_Agricola[[#This Row],[Cantidad]]</f>
        <v>0</v>
      </c>
      <c r="P172" s="482">
        <v>3</v>
      </c>
      <c r="Q172" s="484" t="s">
        <v>3</v>
      </c>
      <c r="R172" s="485">
        <v>0.06</v>
      </c>
      <c r="S172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72" s="695">
        <f>IFERROR(Producción_Agricola[[#This Row],[Económico $Corrientes]]/Producción_Agricola[[#This Row],[Indexación Económico]],0)</f>
        <v>0</v>
      </c>
      <c r="U172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7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72" s="695">
        <f>IFERROR(Producción_Agricola[[#This Row],[Financiero $Corrientes]]/Producción_Agricola[[#This Row],[Indexación Financiero]],0)</f>
        <v>0</v>
      </c>
      <c r="X17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7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72" s="699">
        <f>IFERROR(Producción_Agricola[[#This Row],[Intereses $Corrientes]]/Producción_Agricola[[#This Row],[Indexación Financiero]],0)</f>
        <v>0</v>
      </c>
      <c r="AA17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72" s="701" t="str">
        <f>IFERROR(INDEX(Produccion_Agricola_Cuentas[],MATCH(Producción_Agricola[[#This Row],[Cuenta Contable]],Produccion_Agricola_Cuentas[Cuenta Contable],0),2),0)</f>
        <v>Egreso</v>
      </c>
      <c r="AC172" s="702" t="str">
        <f>IFERROR(INDEX(Tabla9[],MATCH(Producción_Agricola[[#This Row],[Movimiento]],Tabla9[Movimientos],0),2),0)</f>
        <v>Si</v>
      </c>
      <c r="AD172" s="703" t="str">
        <f>IFERROR(INDEX(Tabla9[],MATCH(Producción_Agricola[[#This Row],[Movimiento]],Tabla9[Movimientos],0),3),0)</f>
        <v>(-)</v>
      </c>
      <c r="AE172" s="698">
        <f>IF(Producción_Agricola[[#This Row],[Fecha Económico]]=0,0,MONTH(Producción_Agricola[[#This Row],[Fecha Económico]]))</f>
        <v>7</v>
      </c>
      <c r="AF172" s="699">
        <f>IF(Producción_Agricola[[#This Row],[Fecha Económico]]=0,0,YEAR(Producción_Agricola[[#This Row],[Fecha Económico]]))</f>
        <v>2018</v>
      </c>
      <c r="AG172" s="704">
        <f>SUMPRODUCT((Producción_Agricola[[#This Row],[Mes Económico]]=Tipo_Cambio[Mes])*(Producción_Agricola[[#This Row],[Año Económico]]=Tipo_Cambio[Año])*(Tipo_Cambio[$/U$S]))</f>
        <v>22</v>
      </c>
      <c r="AH172" s="703">
        <f>SUMPRODUCT((Producción_Agricola[[#This Row],[Mes Económico]]=Tipo_Cambio[Mes])*(Producción_Agricola[[#This Row],[Año Económico]]=Tipo_Cambio[Año])*(Tipo_Cambio[Actualización]))</f>
        <v>1</v>
      </c>
      <c r="AI172" s="705">
        <f>IF(ISNUMBER(Producción_Agricola[[#This Row],[Fecha Financiero]])=TRUE,MONTH(Producción_Agricola[[#This Row],[Fecha Financiero]]),0)</f>
        <v>5</v>
      </c>
      <c r="AJ172" s="705">
        <f>IF(ISNUMBER(Producción_Agricola[[#This Row],[Fecha Financiero]])=TRUE,YEAR(Producción_Agricola[[#This Row],[Fecha Financiero]]),0)</f>
        <v>2019</v>
      </c>
      <c r="AK172" s="706">
        <f>SUMPRODUCT((Producción_Agricola[[#This Row],[Mes Financiero]]=Tipo_Cambio[Mes])*(Producción_Agricola[[#This Row],[Año Financiero]]=Tipo_Cambio[Año])*(Tipo_Cambio[$/U$S]))</f>
        <v>24.301686759046497</v>
      </c>
      <c r="AL172" s="706">
        <f>SUMPRODUCT((Producción_Agricola[[#This Row],[Mes Financiero]]=Tipo_Cambio[Mes])*(Producción_Agricola[[#This Row],[Año Financiero]]=Tipo_Cambio[Año])*(Tipo_Cambio[Actualización]))</f>
        <v>1.2189944199947573</v>
      </c>
      <c r="AM172" s="702">
        <f>IFERROR(Producción_Agricola[[#This Row],[Económico $Corrientes]]/Producción_Agricola[[#This Row],[Superficie]],0)</f>
        <v>0</v>
      </c>
      <c r="AN172" s="706">
        <f>IFERROR(Producción_Agricola[[#This Row],[Económico $Constantes]]/Producción_Agricola[[#This Row],[Superficie]],0)</f>
        <v>0</v>
      </c>
      <c r="AO172" s="706">
        <f>IFERROR(Producción_Agricola[[#This Row],[Económico U$S Dólares]]/Producción_Agricola[[#This Row],[Superficie]],0)</f>
        <v>0</v>
      </c>
      <c r="AP172" s="707" t="str">
        <f>IF(Económico!$F$4=0,0,Producción_Agricola[[#This Row],[Centro de Costo]])</f>
        <v>Campo 1</v>
      </c>
      <c r="AQ172" s="512" t="s">
        <v>380</v>
      </c>
      <c r="AR172" s="513"/>
      <c r="AS172"/>
    </row>
    <row r="173" spans="1:45" x14ac:dyDescent="0.25">
      <c r="D173" s="478">
        <f t="shared" ref="D173:D175" si="42">D172</f>
        <v>43311</v>
      </c>
      <c r="E173" s="478">
        <v>43586</v>
      </c>
      <c r="F173" s="668" t="str">
        <f t="shared" si="40"/>
        <v>2018-2019</v>
      </c>
      <c r="G173" s="669" t="str">
        <f t="shared" si="38"/>
        <v>Campo 1</v>
      </c>
      <c r="H173" s="669" t="str">
        <f t="shared" si="39"/>
        <v>Soja de Primera</v>
      </c>
      <c r="I173" s="670" t="str">
        <f>IFERROR(INDEX(Tabla8[],MATCH(Producción_Agricola[[#This Row],[Unidad de Negocio]],Tabla8[Unidades de Negocio],0),2),0)</f>
        <v>Soja</v>
      </c>
      <c r="J173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73" s="481" t="s">
        <v>17</v>
      </c>
      <c r="L173" s="482" t="s">
        <v>49</v>
      </c>
      <c r="M173" s="483">
        <v>0</v>
      </c>
      <c r="N173" s="484" t="s">
        <v>387</v>
      </c>
      <c r="O173" s="690">
        <f>Producción_Agricola[[#This Row],[Superficie]]*Producción_Agricola[[#This Row],[Cantidad]]</f>
        <v>0</v>
      </c>
      <c r="P173" s="482">
        <v>7</v>
      </c>
      <c r="Q173" s="484" t="s">
        <v>3</v>
      </c>
      <c r="R173" s="485">
        <v>0.06</v>
      </c>
      <c r="S173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73" s="695">
        <f>IFERROR(Producción_Agricola[[#This Row],[Económico $Corrientes]]/Producción_Agricola[[#This Row],[Indexación Económico]],0)</f>
        <v>0</v>
      </c>
      <c r="U173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7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73" s="695">
        <f>IFERROR(Producción_Agricola[[#This Row],[Financiero $Corrientes]]/Producción_Agricola[[#This Row],[Indexación Financiero]],0)</f>
        <v>0</v>
      </c>
      <c r="X17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7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73" s="699">
        <f>IFERROR(Producción_Agricola[[#This Row],[Intereses $Corrientes]]/Producción_Agricola[[#This Row],[Indexación Financiero]],0)</f>
        <v>0</v>
      </c>
      <c r="AA17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73" s="701" t="str">
        <f>IFERROR(INDEX(Produccion_Agricola_Cuentas[],MATCH(Producción_Agricola[[#This Row],[Cuenta Contable]],Produccion_Agricola_Cuentas[Cuenta Contable],0),2),0)</f>
        <v>Egreso</v>
      </c>
      <c r="AC173" s="702" t="str">
        <f>IFERROR(INDEX(Tabla9[],MATCH(Producción_Agricola[[#This Row],[Movimiento]],Tabla9[Movimientos],0),2),0)</f>
        <v>Si</v>
      </c>
      <c r="AD173" s="703" t="str">
        <f>IFERROR(INDEX(Tabla9[],MATCH(Producción_Agricola[[#This Row],[Movimiento]],Tabla9[Movimientos],0),3),0)</f>
        <v>(-)</v>
      </c>
      <c r="AE173" s="698">
        <f>IF(Producción_Agricola[[#This Row],[Fecha Económico]]=0,0,MONTH(Producción_Agricola[[#This Row],[Fecha Económico]]))</f>
        <v>7</v>
      </c>
      <c r="AF173" s="699">
        <f>IF(Producción_Agricola[[#This Row],[Fecha Económico]]=0,0,YEAR(Producción_Agricola[[#This Row],[Fecha Económico]]))</f>
        <v>2018</v>
      </c>
      <c r="AG173" s="704">
        <f>SUMPRODUCT((Producción_Agricola[[#This Row],[Mes Económico]]=Tipo_Cambio[Mes])*(Producción_Agricola[[#This Row],[Año Económico]]=Tipo_Cambio[Año])*(Tipo_Cambio[$/U$S]))</f>
        <v>22</v>
      </c>
      <c r="AH173" s="703">
        <f>SUMPRODUCT((Producción_Agricola[[#This Row],[Mes Económico]]=Tipo_Cambio[Mes])*(Producción_Agricola[[#This Row],[Año Económico]]=Tipo_Cambio[Año])*(Tipo_Cambio[Actualización]))</f>
        <v>1</v>
      </c>
      <c r="AI173" s="705">
        <f>IF(ISNUMBER(Producción_Agricola[[#This Row],[Fecha Financiero]])=TRUE,MONTH(Producción_Agricola[[#This Row],[Fecha Financiero]]),0)</f>
        <v>5</v>
      </c>
      <c r="AJ173" s="705">
        <f>IF(ISNUMBER(Producción_Agricola[[#This Row],[Fecha Financiero]])=TRUE,YEAR(Producción_Agricola[[#This Row],[Fecha Financiero]]),0)</f>
        <v>2019</v>
      </c>
      <c r="AK173" s="706">
        <f>SUMPRODUCT((Producción_Agricola[[#This Row],[Mes Financiero]]=Tipo_Cambio[Mes])*(Producción_Agricola[[#This Row],[Año Financiero]]=Tipo_Cambio[Año])*(Tipo_Cambio[$/U$S]))</f>
        <v>24.301686759046497</v>
      </c>
      <c r="AL173" s="706">
        <f>SUMPRODUCT((Producción_Agricola[[#This Row],[Mes Financiero]]=Tipo_Cambio[Mes])*(Producción_Agricola[[#This Row],[Año Financiero]]=Tipo_Cambio[Año])*(Tipo_Cambio[Actualización]))</f>
        <v>1.2189944199947573</v>
      </c>
      <c r="AM173" s="702">
        <f>IFERROR(Producción_Agricola[[#This Row],[Económico $Corrientes]]/Producción_Agricola[[#This Row],[Superficie]],0)</f>
        <v>0</v>
      </c>
      <c r="AN173" s="706">
        <f>IFERROR(Producción_Agricola[[#This Row],[Económico $Constantes]]/Producción_Agricola[[#This Row],[Superficie]],0)</f>
        <v>0</v>
      </c>
      <c r="AO173" s="706">
        <f>IFERROR(Producción_Agricola[[#This Row],[Económico U$S Dólares]]/Producción_Agricola[[#This Row],[Superficie]],0)</f>
        <v>0</v>
      </c>
      <c r="AP173" s="707" t="str">
        <f>IF(Económico!$F$4=0,0,Producción_Agricola[[#This Row],[Centro de Costo]])</f>
        <v>Campo 1</v>
      </c>
      <c r="AQ173" s="512" t="s">
        <v>380</v>
      </c>
      <c r="AR173" s="513"/>
      <c r="AS173"/>
    </row>
    <row r="174" spans="1:45" x14ac:dyDescent="0.25">
      <c r="D174" s="478">
        <f t="shared" si="42"/>
        <v>43311</v>
      </c>
      <c r="E174" s="478">
        <v>43586</v>
      </c>
      <c r="F174" s="668" t="str">
        <f t="shared" si="40"/>
        <v>2018-2019</v>
      </c>
      <c r="G174" s="669" t="str">
        <f t="shared" si="38"/>
        <v>Campo 1</v>
      </c>
      <c r="H174" s="669" t="str">
        <f t="shared" si="39"/>
        <v>Soja de Primera</v>
      </c>
      <c r="I174" s="670" t="str">
        <f>IFERROR(INDEX(Tabla8[],MATCH(Producción_Agricola[[#This Row],[Unidad de Negocio]],Tabla8[Unidades de Negocio],0),2),0)</f>
        <v>Soja</v>
      </c>
      <c r="J174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74" s="481" t="s">
        <v>17</v>
      </c>
      <c r="L174" s="482" t="s">
        <v>205</v>
      </c>
      <c r="M174" s="483">
        <v>0</v>
      </c>
      <c r="N174" s="484" t="s">
        <v>388</v>
      </c>
      <c r="O174" s="690">
        <f>Producción_Agricola[[#This Row],[Superficie]]*Producción_Agricola[[#This Row],[Cantidad]]</f>
        <v>0</v>
      </c>
      <c r="P174" s="482">
        <v>8</v>
      </c>
      <c r="Q174" s="484" t="s">
        <v>3</v>
      </c>
      <c r="R174" s="485">
        <v>0.06</v>
      </c>
      <c r="S174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74" s="695">
        <f>IFERROR(Producción_Agricola[[#This Row],[Económico $Corrientes]]/Producción_Agricola[[#This Row],[Indexación Económico]],0)</f>
        <v>0</v>
      </c>
      <c r="U174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7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74" s="695">
        <f>IFERROR(Producción_Agricola[[#This Row],[Financiero $Corrientes]]/Producción_Agricola[[#This Row],[Indexación Financiero]],0)</f>
        <v>0</v>
      </c>
      <c r="X17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7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74" s="699">
        <f>IFERROR(Producción_Agricola[[#This Row],[Intereses $Corrientes]]/Producción_Agricola[[#This Row],[Indexación Financiero]],0)</f>
        <v>0</v>
      </c>
      <c r="AA17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74" s="701" t="str">
        <f>IFERROR(INDEX(Produccion_Agricola_Cuentas[],MATCH(Producción_Agricola[[#This Row],[Cuenta Contable]],Produccion_Agricola_Cuentas[Cuenta Contable],0),2),0)</f>
        <v>Egreso</v>
      </c>
      <c r="AC174" s="702" t="str">
        <f>IFERROR(INDEX(Tabla9[],MATCH(Producción_Agricola[[#This Row],[Movimiento]],Tabla9[Movimientos],0),2),0)</f>
        <v>Si</v>
      </c>
      <c r="AD174" s="703" t="str">
        <f>IFERROR(INDEX(Tabla9[],MATCH(Producción_Agricola[[#This Row],[Movimiento]],Tabla9[Movimientos],0),3),0)</f>
        <v>(-)</v>
      </c>
      <c r="AE174" s="698">
        <f>IF(Producción_Agricola[[#This Row],[Fecha Económico]]=0,0,MONTH(Producción_Agricola[[#This Row],[Fecha Económico]]))</f>
        <v>7</v>
      </c>
      <c r="AF174" s="699">
        <f>IF(Producción_Agricola[[#This Row],[Fecha Económico]]=0,0,YEAR(Producción_Agricola[[#This Row],[Fecha Económico]]))</f>
        <v>2018</v>
      </c>
      <c r="AG174" s="704">
        <f>SUMPRODUCT((Producción_Agricola[[#This Row],[Mes Económico]]=Tipo_Cambio[Mes])*(Producción_Agricola[[#This Row],[Año Económico]]=Tipo_Cambio[Año])*(Tipo_Cambio[$/U$S]))</f>
        <v>22</v>
      </c>
      <c r="AH174" s="703">
        <f>SUMPRODUCT((Producción_Agricola[[#This Row],[Mes Económico]]=Tipo_Cambio[Mes])*(Producción_Agricola[[#This Row],[Año Económico]]=Tipo_Cambio[Año])*(Tipo_Cambio[Actualización]))</f>
        <v>1</v>
      </c>
      <c r="AI174" s="705">
        <f>IF(ISNUMBER(Producción_Agricola[[#This Row],[Fecha Financiero]])=TRUE,MONTH(Producción_Agricola[[#This Row],[Fecha Financiero]]),0)</f>
        <v>5</v>
      </c>
      <c r="AJ174" s="705">
        <f>IF(ISNUMBER(Producción_Agricola[[#This Row],[Fecha Financiero]])=TRUE,YEAR(Producción_Agricola[[#This Row],[Fecha Financiero]]),0)</f>
        <v>2019</v>
      </c>
      <c r="AK174" s="706">
        <f>SUMPRODUCT((Producción_Agricola[[#This Row],[Mes Financiero]]=Tipo_Cambio[Mes])*(Producción_Agricola[[#This Row],[Año Financiero]]=Tipo_Cambio[Año])*(Tipo_Cambio[$/U$S]))</f>
        <v>24.301686759046497</v>
      </c>
      <c r="AL174" s="706">
        <f>SUMPRODUCT((Producción_Agricola[[#This Row],[Mes Financiero]]=Tipo_Cambio[Mes])*(Producción_Agricola[[#This Row],[Año Financiero]]=Tipo_Cambio[Año])*(Tipo_Cambio[Actualización]))</f>
        <v>1.2189944199947573</v>
      </c>
      <c r="AM174" s="702">
        <f>IFERROR(Producción_Agricola[[#This Row],[Económico $Corrientes]]/Producción_Agricola[[#This Row],[Superficie]],0)</f>
        <v>0</v>
      </c>
      <c r="AN174" s="706">
        <f>IFERROR(Producción_Agricola[[#This Row],[Económico $Constantes]]/Producción_Agricola[[#This Row],[Superficie]],0)</f>
        <v>0</v>
      </c>
      <c r="AO174" s="706">
        <f>IFERROR(Producción_Agricola[[#This Row],[Económico U$S Dólares]]/Producción_Agricola[[#This Row],[Superficie]],0)</f>
        <v>0</v>
      </c>
      <c r="AP174" s="707" t="str">
        <f>IF(Económico!$F$4=0,0,Producción_Agricola[[#This Row],[Centro de Costo]])</f>
        <v>Campo 1</v>
      </c>
      <c r="AQ174" s="512" t="s">
        <v>380</v>
      </c>
      <c r="AR174" s="513"/>
      <c r="AS174"/>
    </row>
    <row r="175" spans="1:45" x14ac:dyDescent="0.25">
      <c r="D175" s="478">
        <f t="shared" si="42"/>
        <v>43311</v>
      </c>
      <c r="E175" s="478">
        <v>43586</v>
      </c>
      <c r="F175" s="668" t="str">
        <f t="shared" si="40"/>
        <v>2018-2019</v>
      </c>
      <c r="G175" s="669" t="str">
        <f t="shared" si="38"/>
        <v>Campo 1</v>
      </c>
      <c r="H175" s="669" t="str">
        <f t="shared" si="39"/>
        <v>Soja de Primera</v>
      </c>
      <c r="I175" s="670" t="str">
        <f>IFERROR(INDEX(Tabla8[],MATCH(Producción_Agricola[[#This Row],[Unidad de Negocio]],Tabla8[Unidades de Negocio],0),2),0)</f>
        <v>Soja</v>
      </c>
      <c r="J175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75" s="481" t="s">
        <v>24</v>
      </c>
      <c r="L175" s="482" t="s">
        <v>363</v>
      </c>
      <c r="M175" s="483">
        <v>0</v>
      </c>
      <c r="N175" s="484" t="s">
        <v>387</v>
      </c>
      <c r="O175" s="690">
        <f>Producción_Agricola[[#This Row],[Superficie]]*Producción_Agricola[[#This Row],[Cantidad]]</f>
        <v>0</v>
      </c>
      <c r="P175" s="482">
        <v>18</v>
      </c>
      <c r="Q175" s="484" t="s">
        <v>3</v>
      </c>
      <c r="R175" s="485">
        <v>0.06</v>
      </c>
      <c r="S175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75" s="695">
        <f>IFERROR(Producción_Agricola[[#This Row],[Económico $Corrientes]]/Producción_Agricola[[#This Row],[Indexación Económico]],0)</f>
        <v>0</v>
      </c>
      <c r="U175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7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75" s="695">
        <f>IFERROR(Producción_Agricola[[#This Row],[Financiero $Corrientes]]/Producción_Agricola[[#This Row],[Indexación Financiero]],0)</f>
        <v>0</v>
      </c>
      <c r="X17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7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75" s="699">
        <f>IFERROR(Producción_Agricola[[#This Row],[Intereses $Corrientes]]/Producción_Agricola[[#This Row],[Indexación Financiero]],0)</f>
        <v>0</v>
      </c>
      <c r="AA17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75" s="701" t="str">
        <f>IFERROR(INDEX(Produccion_Agricola_Cuentas[],MATCH(Producción_Agricola[[#This Row],[Cuenta Contable]],Produccion_Agricola_Cuentas[Cuenta Contable],0),2),0)</f>
        <v>Egreso</v>
      </c>
      <c r="AC175" s="702" t="str">
        <f>IFERROR(INDEX(Tabla9[],MATCH(Producción_Agricola[[#This Row],[Movimiento]],Tabla9[Movimientos],0),2),0)</f>
        <v>Si</v>
      </c>
      <c r="AD175" s="703" t="str">
        <f>IFERROR(INDEX(Tabla9[],MATCH(Producción_Agricola[[#This Row],[Movimiento]],Tabla9[Movimientos],0),3),0)</f>
        <v>(-)</v>
      </c>
      <c r="AE175" s="698">
        <f>IF(Producción_Agricola[[#This Row],[Fecha Económico]]=0,0,MONTH(Producción_Agricola[[#This Row],[Fecha Económico]]))</f>
        <v>7</v>
      </c>
      <c r="AF175" s="699">
        <f>IF(Producción_Agricola[[#This Row],[Fecha Económico]]=0,0,YEAR(Producción_Agricola[[#This Row],[Fecha Económico]]))</f>
        <v>2018</v>
      </c>
      <c r="AG175" s="704">
        <f>SUMPRODUCT((Producción_Agricola[[#This Row],[Mes Económico]]=Tipo_Cambio[Mes])*(Producción_Agricola[[#This Row],[Año Económico]]=Tipo_Cambio[Año])*(Tipo_Cambio[$/U$S]))</f>
        <v>22</v>
      </c>
      <c r="AH175" s="703">
        <f>SUMPRODUCT((Producción_Agricola[[#This Row],[Mes Económico]]=Tipo_Cambio[Mes])*(Producción_Agricola[[#This Row],[Año Económico]]=Tipo_Cambio[Año])*(Tipo_Cambio[Actualización]))</f>
        <v>1</v>
      </c>
      <c r="AI175" s="705">
        <f>IF(ISNUMBER(Producción_Agricola[[#This Row],[Fecha Financiero]])=TRUE,MONTH(Producción_Agricola[[#This Row],[Fecha Financiero]]),0)</f>
        <v>5</v>
      </c>
      <c r="AJ175" s="705">
        <f>IF(ISNUMBER(Producción_Agricola[[#This Row],[Fecha Financiero]])=TRUE,YEAR(Producción_Agricola[[#This Row],[Fecha Financiero]]),0)</f>
        <v>2019</v>
      </c>
      <c r="AK175" s="706">
        <f>SUMPRODUCT((Producción_Agricola[[#This Row],[Mes Financiero]]=Tipo_Cambio[Mes])*(Producción_Agricola[[#This Row],[Año Financiero]]=Tipo_Cambio[Año])*(Tipo_Cambio[$/U$S]))</f>
        <v>24.301686759046497</v>
      </c>
      <c r="AL175" s="706">
        <f>SUMPRODUCT((Producción_Agricola[[#This Row],[Mes Financiero]]=Tipo_Cambio[Mes])*(Producción_Agricola[[#This Row],[Año Financiero]]=Tipo_Cambio[Año])*(Tipo_Cambio[Actualización]))</f>
        <v>1.2189944199947573</v>
      </c>
      <c r="AM175" s="702">
        <f>IFERROR(Producción_Agricola[[#This Row],[Económico $Corrientes]]/Producción_Agricola[[#This Row],[Superficie]],0)</f>
        <v>0</v>
      </c>
      <c r="AN175" s="706">
        <f>IFERROR(Producción_Agricola[[#This Row],[Económico $Constantes]]/Producción_Agricola[[#This Row],[Superficie]],0)</f>
        <v>0</v>
      </c>
      <c r="AO175" s="706">
        <f>IFERROR(Producción_Agricola[[#This Row],[Económico U$S Dólares]]/Producción_Agricola[[#This Row],[Superficie]],0)</f>
        <v>0</v>
      </c>
      <c r="AP175" s="707" t="str">
        <f>IF(Económico!$F$4=0,0,Producción_Agricola[[#This Row],[Centro de Costo]])</f>
        <v>Campo 1</v>
      </c>
      <c r="AQ175" s="512" t="s">
        <v>380</v>
      </c>
      <c r="AR175" s="513"/>
      <c r="AS175"/>
    </row>
    <row r="176" spans="1:45" x14ac:dyDescent="0.25">
      <c r="D176" s="478">
        <f>D172+50</f>
        <v>43361</v>
      </c>
      <c r="E176" s="478">
        <f>Producción_Agricola[[#This Row],[Fecha Económico]]+30</f>
        <v>43391</v>
      </c>
      <c r="F176" s="668" t="str">
        <f t="shared" si="40"/>
        <v>2018-2019</v>
      </c>
      <c r="G176" s="669" t="str">
        <f t="shared" si="38"/>
        <v>Campo 1</v>
      </c>
      <c r="H176" s="669" t="str">
        <f t="shared" si="39"/>
        <v>Soja de Primera</v>
      </c>
      <c r="I176" s="670" t="str">
        <f>IFERROR(INDEX(Tabla8[],MATCH(Producción_Agricola[[#This Row],[Unidad de Negocio]],Tabla8[Unidades de Negocio],0),2),0)</f>
        <v>Soja</v>
      </c>
      <c r="J176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76" s="481" t="s">
        <v>25</v>
      </c>
      <c r="L176" s="482" t="s">
        <v>219</v>
      </c>
      <c r="M176" s="483">
        <v>0</v>
      </c>
      <c r="N176" s="484" t="s">
        <v>389</v>
      </c>
      <c r="O176" s="690">
        <f>Producción_Agricola[[#This Row],[Superficie]]*Producción_Agricola[[#This Row],[Cantidad]]</f>
        <v>0</v>
      </c>
      <c r="P176" s="482">
        <v>120</v>
      </c>
      <c r="Q176" s="484" t="s">
        <v>48</v>
      </c>
      <c r="R176" s="485">
        <v>0</v>
      </c>
      <c r="S176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76" s="695">
        <f>IFERROR(Producción_Agricola[[#This Row],[Económico $Corrientes]]/Producción_Agricola[[#This Row],[Indexación Económico]],0)</f>
        <v>0</v>
      </c>
      <c r="U17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7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76" s="695">
        <f>IFERROR(Producción_Agricola[[#This Row],[Financiero $Corrientes]]/Producción_Agricola[[#This Row],[Indexación Financiero]],0)</f>
        <v>0</v>
      </c>
      <c r="X17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7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76" s="699">
        <f>IFERROR(Producción_Agricola[[#This Row],[Intereses $Corrientes]]/Producción_Agricola[[#This Row],[Indexación Financiero]],0)</f>
        <v>0</v>
      </c>
      <c r="AA17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76" s="701" t="str">
        <f>IFERROR(INDEX(Produccion_Agricola_Cuentas[],MATCH(Producción_Agricola[[#This Row],[Cuenta Contable]],Produccion_Agricola_Cuentas[Cuenta Contable],0),2),0)</f>
        <v>Egreso</v>
      </c>
      <c r="AC176" s="702" t="str">
        <f>IFERROR(INDEX(Tabla9[],MATCH(Producción_Agricola[[#This Row],[Movimiento]],Tabla9[Movimientos],0),2),0)</f>
        <v>Si</v>
      </c>
      <c r="AD176" s="703" t="str">
        <f>IFERROR(INDEX(Tabla9[],MATCH(Producción_Agricola[[#This Row],[Movimiento]],Tabla9[Movimientos],0),3),0)</f>
        <v>(-)</v>
      </c>
      <c r="AE176" s="698">
        <f>IF(Producción_Agricola[[#This Row],[Fecha Económico]]=0,0,MONTH(Producción_Agricola[[#This Row],[Fecha Económico]]))</f>
        <v>9</v>
      </c>
      <c r="AF176" s="699">
        <f>IF(Producción_Agricola[[#This Row],[Fecha Económico]]=0,0,YEAR(Producción_Agricola[[#This Row],[Fecha Económico]]))</f>
        <v>2018</v>
      </c>
      <c r="AG176" s="704">
        <f>SUMPRODUCT((Producción_Agricola[[#This Row],[Mes Económico]]=Tipo_Cambio[Mes])*(Producción_Agricola[[#This Row],[Año Económico]]=Tipo_Cambio[Año])*(Tipo_Cambio[$/U$S]))</f>
        <v>22.4422</v>
      </c>
      <c r="AH176" s="703">
        <f>SUMPRODUCT((Producción_Agricola[[#This Row],[Mes Económico]]=Tipo_Cambio[Mes])*(Producción_Agricola[[#This Row],[Año Económico]]=Tipo_Cambio[Año])*(Tipo_Cambio[Actualización]))</f>
        <v>1.0404</v>
      </c>
      <c r="AI176" s="705">
        <f>IF(ISNUMBER(Producción_Agricola[[#This Row],[Fecha Financiero]])=TRUE,MONTH(Producción_Agricola[[#This Row],[Fecha Financiero]]),0)</f>
        <v>10</v>
      </c>
      <c r="AJ176" s="705">
        <f>IF(ISNUMBER(Producción_Agricola[[#This Row],[Fecha Financiero]])=TRUE,YEAR(Producción_Agricola[[#This Row],[Fecha Financiero]]),0)</f>
        <v>2018</v>
      </c>
      <c r="AK176" s="706">
        <f>SUMPRODUCT((Producción_Agricola[[#This Row],[Mes Financiero]]=Tipo_Cambio[Mes])*(Producción_Agricola[[#This Row],[Año Financiero]]=Tipo_Cambio[Año])*(Tipo_Cambio[$/U$S]))</f>
        <v>22.666622</v>
      </c>
      <c r="AL176" s="706">
        <f>SUMPRODUCT((Producción_Agricola[[#This Row],[Mes Financiero]]=Tipo_Cambio[Mes])*(Producción_Agricola[[#This Row],[Año Financiero]]=Tipo_Cambio[Año])*(Tipo_Cambio[Actualización]))</f>
        <v>1.0612079999999999</v>
      </c>
      <c r="AM176" s="702">
        <f>IFERROR(Producción_Agricola[[#This Row],[Económico $Corrientes]]/Producción_Agricola[[#This Row],[Superficie]],0)</f>
        <v>0</v>
      </c>
      <c r="AN176" s="706">
        <f>IFERROR(Producción_Agricola[[#This Row],[Económico $Constantes]]/Producción_Agricola[[#This Row],[Superficie]],0)</f>
        <v>0</v>
      </c>
      <c r="AO176" s="706">
        <f>IFERROR(Producción_Agricola[[#This Row],[Económico U$S Dólares]]/Producción_Agricola[[#This Row],[Superficie]],0)</f>
        <v>0</v>
      </c>
      <c r="AP176" s="707" t="str">
        <f>IF(Económico!$F$4=0,0,Producción_Agricola[[#This Row],[Centro de Costo]])</f>
        <v>Campo 1</v>
      </c>
      <c r="AQ176" s="512" t="s">
        <v>379</v>
      </c>
      <c r="AR176" s="513"/>
      <c r="AS176"/>
    </row>
    <row r="177" spans="1:45" x14ac:dyDescent="0.25">
      <c r="D177" s="478">
        <f>D176</f>
        <v>43361</v>
      </c>
      <c r="E177" s="478">
        <v>43586</v>
      </c>
      <c r="F177" s="668" t="str">
        <f t="shared" si="40"/>
        <v>2018-2019</v>
      </c>
      <c r="G177" s="669" t="str">
        <f t="shared" si="38"/>
        <v>Campo 1</v>
      </c>
      <c r="H177" s="669" t="str">
        <f t="shared" si="39"/>
        <v>Soja de Primera</v>
      </c>
      <c r="I177" s="670" t="str">
        <f>IFERROR(INDEX(Tabla8[],MATCH(Producción_Agricola[[#This Row],[Unidad de Negocio]],Tabla8[Unidades de Negocio],0),2),0)</f>
        <v>Soja</v>
      </c>
      <c r="J177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77" s="481" t="s">
        <v>17</v>
      </c>
      <c r="L177" s="482" t="s">
        <v>50</v>
      </c>
      <c r="M177" s="483">
        <v>0</v>
      </c>
      <c r="N177" s="484" t="s">
        <v>387</v>
      </c>
      <c r="O177" s="690">
        <f>Producción_Agricola[[#This Row],[Superficie]]*Producción_Agricola[[#This Row],[Cantidad]]</f>
        <v>0</v>
      </c>
      <c r="P177" s="482">
        <v>3</v>
      </c>
      <c r="Q177" s="484" t="s">
        <v>3</v>
      </c>
      <c r="R177" s="485">
        <v>0.06</v>
      </c>
      <c r="S177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77" s="695">
        <f>IFERROR(Producción_Agricola[[#This Row],[Económico $Corrientes]]/Producción_Agricola[[#This Row],[Indexación Económico]],0)</f>
        <v>0</v>
      </c>
      <c r="U17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7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77" s="695">
        <f>IFERROR(Producción_Agricola[[#This Row],[Financiero $Corrientes]]/Producción_Agricola[[#This Row],[Indexación Financiero]],0)</f>
        <v>0</v>
      </c>
      <c r="X17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7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77" s="699">
        <f>IFERROR(Producción_Agricola[[#This Row],[Intereses $Corrientes]]/Producción_Agricola[[#This Row],[Indexación Financiero]],0)</f>
        <v>0</v>
      </c>
      <c r="AA17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77" s="701" t="str">
        <f>IFERROR(INDEX(Produccion_Agricola_Cuentas[],MATCH(Producción_Agricola[[#This Row],[Cuenta Contable]],Produccion_Agricola_Cuentas[Cuenta Contable],0),2),0)</f>
        <v>Egreso</v>
      </c>
      <c r="AC177" s="702" t="str">
        <f>IFERROR(INDEX(Tabla9[],MATCH(Producción_Agricola[[#This Row],[Movimiento]],Tabla9[Movimientos],0),2),0)</f>
        <v>Si</v>
      </c>
      <c r="AD177" s="703" t="str">
        <f>IFERROR(INDEX(Tabla9[],MATCH(Producción_Agricola[[#This Row],[Movimiento]],Tabla9[Movimientos],0),3),0)</f>
        <v>(-)</v>
      </c>
      <c r="AE177" s="698">
        <f>IF(Producción_Agricola[[#This Row],[Fecha Económico]]=0,0,MONTH(Producción_Agricola[[#This Row],[Fecha Económico]]))</f>
        <v>9</v>
      </c>
      <c r="AF177" s="699">
        <f>IF(Producción_Agricola[[#This Row],[Fecha Económico]]=0,0,YEAR(Producción_Agricola[[#This Row],[Fecha Económico]]))</f>
        <v>2018</v>
      </c>
      <c r="AG177" s="704">
        <f>SUMPRODUCT((Producción_Agricola[[#This Row],[Mes Económico]]=Tipo_Cambio[Mes])*(Producción_Agricola[[#This Row],[Año Económico]]=Tipo_Cambio[Año])*(Tipo_Cambio[$/U$S]))</f>
        <v>22.4422</v>
      </c>
      <c r="AH177" s="703">
        <f>SUMPRODUCT((Producción_Agricola[[#This Row],[Mes Económico]]=Tipo_Cambio[Mes])*(Producción_Agricola[[#This Row],[Año Económico]]=Tipo_Cambio[Año])*(Tipo_Cambio[Actualización]))</f>
        <v>1.0404</v>
      </c>
      <c r="AI177" s="705">
        <f>IF(ISNUMBER(Producción_Agricola[[#This Row],[Fecha Financiero]])=TRUE,MONTH(Producción_Agricola[[#This Row],[Fecha Financiero]]),0)</f>
        <v>5</v>
      </c>
      <c r="AJ177" s="705">
        <f>IF(ISNUMBER(Producción_Agricola[[#This Row],[Fecha Financiero]])=TRUE,YEAR(Producción_Agricola[[#This Row],[Fecha Financiero]]),0)</f>
        <v>2019</v>
      </c>
      <c r="AK177" s="706">
        <f>SUMPRODUCT((Producción_Agricola[[#This Row],[Mes Financiero]]=Tipo_Cambio[Mes])*(Producción_Agricola[[#This Row],[Año Financiero]]=Tipo_Cambio[Año])*(Tipo_Cambio[$/U$S]))</f>
        <v>24.301686759046497</v>
      </c>
      <c r="AL177" s="706">
        <f>SUMPRODUCT((Producción_Agricola[[#This Row],[Mes Financiero]]=Tipo_Cambio[Mes])*(Producción_Agricola[[#This Row],[Año Financiero]]=Tipo_Cambio[Año])*(Tipo_Cambio[Actualización]))</f>
        <v>1.2189944199947573</v>
      </c>
      <c r="AM177" s="702">
        <f>IFERROR(Producción_Agricola[[#This Row],[Económico $Corrientes]]/Producción_Agricola[[#This Row],[Superficie]],0)</f>
        <v>0</v>
      </c>
      <c r="AN177" s="706">
        <f>IFERROR(Producción_Agricola[[#This Row],[Económico $Constantes]]/Producción_Agricola[[#This Row],[Superficie]],0)</f>
        <v>0</v>
      </c>
      <c r="AO177" s="706">
        <f>IFERROR(Producción_Agricola[[#This Row],[Económico U$S Dólares]]/Producción_Agricola[[#This Row],[Superficie]],0)</f>
        <v>0</v>
      </c>
      <c r="AP177" s="707" t="str">
        <f>IF(Económico!$F$4=0,0,Producción_Agricola[[#This Row],[Centro de Costo]])</f>
        <v>Campo 1</v>
      </c>
      <c r="AQ177" s="512" t="s">
        <v>379</v>
      </c>
      <c r="AR177" s="513"/>
      <c r="AS177"/>
    </row>
    <row r="178" spans="1:45" x14ac:dyDescent="0.25">
      <c r="D178" s="478">
        <f>D177</f>
        <v>43361</v>
      </c>
      <c r="E178" s="478">
        <v>43586</v>
      </c>
      <c r="F178" s="668" t="str">
        <f t="shared" si="40"/>
        <v>2018-2019</v>
      </c>
      <c r="G178" s="669" t="str">
        <f t="shared" si="38"/>
        <v>Campo 1</v>
      </c>
      <c r="H178" s="669" t="str">
        <f t="shared" si="39"/>
        <v>Soja de Primera</v>
      </c>
      <c r="I178" s="670" t="str">
        <f>IFERROR(INDEX(Tabla8[],MATCH(Producción_Agricola[[#This Row],[Unidad de Negocio]],Tabla8[Unidades de Negocio],0),2),0)</f>
        <v>Soja</v>
      </c>
      <c r="J178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78" s="481" t="s">
        <v>17</v>
      </c>
      <c r="L178" s="482" t="s">
        <v>392</v>
      </c>
      <c r="M178" s="483">
        <v>0</v>
      </c>
      <c r="N178" s="484" t="s">
        <v>387</v>
      </c>
      <c r="O178" s="690">
        <f>Producción_Agricola[[#This Row],[Superficie]]*Producción_Agricola[[#This Row],[Cantidad]]</f>
        <v>0</v>
      </c>
      <c r="P178" s="482">
        <v>7</v>
      </c>
      <c r="Q178" s="484" t="s">
        <v>3</v>
      </c>
      <c r="R178" s="485">
        <v>0.06</v>
      </c>
      <c r="S178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78" s="695">
        <f>IFERROR(Producción_Agricola[[#This Row],[Económico $Corrientes]]/Producción_Agricola[[#This Row],[Indexación Económico]],0)</f>
        <v>0</v>
      </c>
      <c r="U17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7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78" s="695">
        <f>IFERROR(Producción_Agricola[[#This Row],[Financiero $Corrientes]]/Producción_Agricola[[#This Row],[Indexación Financiero]],0)</f>
        <v>0</v>
      </c>
      <c r="X17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7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78" s="699">
        <f>IFERROR(Producción_Agricola[[#This Row],[Intereses $Corrientes]]/Producción_Agricola[[#This Row],[Indexación Financiero]],0)</f>
        <v>0</v>
      </c>
      <c r="AA17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78" s="701" t="str">
        <f>IFERROR(INDEX(Produccion_Agricola_Cuentas[],MATCH(Producción_Agricola[[#This Row],[Cuenta Contable]],Produccion_Agricola_Cuentas[Cuenta Contable],0),2),0)</f>
        <v>Egreso</v>
      </c>
      <c r="AC178" s="702" t="str">
        <f>IFERROR(INDEX(Tabla9[],MATCH(Producción_Agricola[[#This Row],[Movimiento]],Tabla9[Movimientos],0),2),0)</f>
        <v>Si</v>
      </c>
      <c r="AD178" s="703" t="str">
        <f>IFERROR(INDEX(Tabla9[],MATCH(Producción_Agricola[[#This Row],[Movimiento]],Tabla9[Movimientos],0),3),0)</f>
        <v>(-)</v>
      </c>
      <c r="AE178" s="698">
        <f>IF(Producción_Agricola[[#This Row],[Fecha Económico]]=0,0,MONTH(Producción_Agricola[[#This Row],[Fecha Económico]]))</f>
        <v>9</v>
      </c>
      <c r="AF178" s="699">
        <f>IF(Producción_Agricola[[#This Row],[Fecha Económico]]=0,0,YEAR(Producción_Agricola[[#This Row],[Fecha Económico]]))</f>
        <v>2018</v>
      </c>
      <c r="AG178" s="704">
        <f>SUMPRODUCT((Producción_Agricola[[#This Row],[Mes Económico]]=Tipo_Cambio[Mes])*(Producción_Agricola[[#This Row],[Año Económico]]=Tipo_Cambio[Año])*(Tipo_Cambio[$/U$S]))</f>
        <v>22.4422</v>
      </c>
      <c r="AH178" s="703">
        <f>SUMPRODUCT((Producción_Agricola[[#This Row],[Mes Económico]]=Tipo_Cambio[Mes])*(Producción_Agricola[[#This Row],[Año Económico]]=Tipo_Cambio[Año])*(Tipo_Cambio[Actualización]))</f>
        <v>1.0404</v>
      </c>
      <c r="AI178" s="705">
        <f>IF(ISNUMBER(Producción_Agricola[[#This Row],[Fecha Financiero]])=TRUE,MONTH(Producción_Agricola[[#This Row],[Fecha Financiero]]),0)</f>
        <v>5</v>
      </c>
      <c r="AJ178" s="705">
        <f>IF(ISNUMBER(Producción_Agricola[[#This Row],[Fecha Financiero]])=TRUE,YEAR(Producción_Agricola[[#This Row],[Fecha Financiero]]),0)</f>
        <v>2019</v>
      </c>
      <c r="AK178" s="706">
        <f>SUMPRODUCT((Producción_Agricola[[#This Row],[Mes Financiero]]=Tipo_Cambio[Mes])*(Producción_Agricola[[#This Row],[Año Financiero]]=Tipo_Cambio[Año])*(Tipo_Cambio[$/U$S]))</f>
        <v>24.301686759046497</v>
      </c>
      <c r="AL178" s="706">
        <f>SUMPRODUCT((Producción_Agricola[[#This Row],[Mes Financiero]]=Tipo_Cambio[Mes])*(Producción_Agricola[[#This Row],[Año Financiero]]=Tipo_Cambio[Año])*(Tipo_Cambio[Actualización]))</f>
        <v>1.2189944199947573</v>
      </c>
      <c r="AM178" s="702">
        <f>IFERROR(Producción_Agricola[[#This Row],[Económico $Corrientes]]/Producción_Agricola[[#This Row],[Superficie]],0)</f>
        <v>0</v>
      </c>
      <c r="AN178" s="706">
        <f>IFERROR(Producción_Agricola[[#This Row],[Económico $Constantes]]/Producción_Agricola[[#This Row],[Superficie]],0)</f>
        <v>0</v>
      </c>
      <c r="AO178" s="706">
        <f>IFERROR(Producción_Agricola[[#This Row],[Económico U$S Dólares]]/Producción_Agricola[[#This Row],[Superficie]],0)</f>
        <v>0</v>
      </c>
      <c r="AP178" s="707" t="str">
        <f>IF(Económico!$F$4=0,0,Producción_Agricola[[#This Row],[Centro de Costo]])</f>
        <v>Campo 1</v>
      </c>
      <c r="AQ178" s="512" t="s">
        <v>379</v>
      </c>
      <c r="AR178" s="513"/>
      <c r="AS178"/>
    </row>
    <row r="179" spans="1:45" x14ac:dyDescent="0.25">
      <c r="D179" s="478">
        <f t="shared" ref="D179:D180" si="43">D178</f>
        <v>43361</v>
      </c>
      <c r="E179" s="478">
        <v>43586</v>
      </c>
      <c r="F179" s="668" t="str">
        <f t="shared" si="40"/>
        <v>2018-2019</v>
      </c>
      <c r="G179" s="669" t="str">
        <f t="shared" si="38"/>
        <v>Campo 1</v>
      </c>
      <c r="H179" s="669" t="str">
        <f t="shared" si="39"/>
        <v>Soja de Primera</v>
      </c>
      <c r="I179" s="670" t="str">
        <f>IFERROR(INDEX(Tabla8[],MATCH(Producción_Agricola[[#This Row],[Unidad de Negocio]],Tabla8[Unidades de Negocio],0),2),0)</f>
        <v>Soja</v>
      </c>
      <c r="J179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79" s="481" t="s">
        <v>17</v>
      </c>
      <c r="L179" s="482"/>
      <c r="M179" s="483">
        <v>0</v>
      </c>
      <c r="N179" s="484" t="s">
        <v>387</v>
      </c>
      <c r="O179" s="690">
        <f>Producción_Agricola[[#This Row],[Superficie]]*Producción_Agricola[[#This Row],[Cantidad]]</f>
        <v>0</v>
      </c>
      <c r="P179" s="482">
        <v>8</v>
      </c>
      <c r="Q179" s="484" t="s">
        <v>3</v>
      </c>
      <c r="R179" s="485">
        <v>0.06</v>
      </c>
      <c r="S179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79" s="695">
        <f>IFERROR(Producción_Agricola[[#This Row],[Económico $Corrientes]]/Producción_Agricola[[#This Row],[Indexación Económico]],0)</f>
        <v>0</v>
      </c>
      <c r="U17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7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79" s="695">
        <f>IFERROR(Producción_Agricola[[#This Row],[Financiero $Corrientes]]/Producción_Agricola[[#This Row],[Indexación Financiero]],0)</f>
        <v>0</v>
      </c>
      <c r="X17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7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79" s="699">
        <f>IFERROR(Producción_Agricola[[#This Row],[Intereses $Corrientes]]/Producción_Agricola[[#This Row],[Indexación Financiero]],0)</f>
        <v>0</v>
      </c>
      <c r="AA17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79" s="701" t="str">
        <f>IFERROR(INDEX(Produccion_Agricola_Cuentas[],MATCH(Producción_Agricola[[#This Row],[Cuenta Contable]],Produccion_Agricola_Cuentas[Cuenta Contable],0),2),0)</f>
        <v>Egreso</v>
      </c>
      <c r="AC179" s="702" t="str">
        <f>IFERROR(INDEX(Tabla9[],MATCH(Producción_Agricola[[#This Row],[Movimiento]],Tabla9[Movimientos],0),2),0)</f>
        <v>Si</v>
      </c>
      <c r="AD179" s="703" t="str">
        <f>IFERROR(INDEX(Tabla9[],MATCH(Producción_Agricola[[#This Row],[Movimiento]],Tabla9[Movimientos],0),3),0)</f>
        <v>(-)</v>
      </c>
      <c r="AE179" s="698">
        <f>IF(Producción_Agricola[[#This Row],[Fecha Económico]]=0,0,MONTH(Producción_Agricola[[#This Row],[Fecha Económico]]))</f>
        <v>9</v>
      </c>
      <c r="AF179" s="699">
        <f>IF(Producción_Agricola[[#This Row],[Fecha Económico]]=0,0,YEAR(Producción_Agricola[[#This Row],[Fecha Económico]]))</f>
        <v>2018</v>
      </c>
      <c r="AG179" s="704">
        <f>SUMPRODUCT((Producción_Agricola[[#This Row],[Mes Económico]]=Tipo_Cambio[Mes])*(Producción_Agricola[[#This Row],[Año Económico]]=Tipo_Cambio[Año])*(Tipo_Cambio[$/U$S]))</f>
        <v>22.4422</v>
      </c>
      <c r="AH179" s="703">
        <f>SUMPRODUCT((Producción_Agricola[[#This Row],[Mes Económico]]=Tipo_Cambio[Mes])*(Producción_Agricola[[#This Row],[Año Económico]]=Tipo_Cambio[Año])*(Tipo_Cambio[Actualización]))</f>
        <v>1.0404</v>
      </c>
      <c r="AI179" s="705">
        <f>IF(ISNUMBER(Producción_Agricola[[#This Row],[Fecha Financiero]])=TRUE,MONTH(Producción_Agricola[[#This Row],[Fecha Financiero]]),0)</f>
        <v>5</v>
      </c>
      <c r="AJ179" s="705">
        <f>IF(ISNUMBER(Producción_Agricola[[#This Row],[Fecha Financiero]])=TRUE,YEAR(Producción_Agricola[[#This Row],[Fecha Financiero]]),0)</f>
        <v>2019</v>
      </c>
      <c r="AK179" s="706">
        <f>SUMPRODUCT((Producción_Agricola[[#This Row],[Mes Financiero]]=Tipo_Cambio[Mes])*(Producción_Agricola[[#This Row],[Año Financiero]]=Tipo_Cambio[Año])*(Tipo_Cambio[$/U$S]))</f>
        <v>24.301686759046497</v>
      </c>
      <c r="AL179" s="706">
        <f>SUMPRODUCT((Producción_Agricola[[#This Row],[Mes Financiero]]=Tipo_Cambio[Mes])*(Producción_Agricola[[#This Row],[Año Financiero]]=Tipo_Cambio[Año])*(Tipo_Cambio[Actualización]))</f>
        <v>1.2189944199947573</v>
      </c>
      <c r="AM179" s="702">
        <f>IFERROR(Producción_Agricola[[#This Row],[Económico $Corrientes]]/Producción_Agricola[[#This Row],[Superficie]],0)</f>
        <v>0</v>
      </c>
      <c r="AN179" s="706">
        <f>IFERROR(Producción_Agricola[[#This Row],[Económico $Constantes]]/Producción_Agricola[[#This Row],[Superficie]],0)</f>
        <v>0</v>
      </c>
      <c r="AO179" s="706">
        <f>IFERROR(Producción_Agricola[[#This Row],[Económico U$S Dólares]]/Producción_Agricola[[#This Row],[Superficie]],0)</f>
        <v>0</v>
      </c>
      <c r="AP179" s="707" t="str">
        <f>IF(Económico!$F$4=0,0,Producción_Agricola[[#This Row],[Centro de Costo]])</f>
        <v>Campo 1</v>
      </c>
      <c r="AQ179" s="512" t="s">
        <v>379</v>
      </c>
      <c r="AR179" s="513"/>
      <c r="AS179"/>
    </row>
    <row r="180" spans="1:45" x14ac:dyDescent="0.25">
      <c r="D180" s="478">
        <f t="shared" si="43"/>
        <v>43361</v>
      </c>
      <c r="E180" s="478">
        <v>43586</v>
      </c>
      <c r="F180" s="668" t="str">
        <f t="shared" si="40"/>
        <v>2018-2019</v>
      </c>
      <c r="G180" s="669" t="str">
        <f t="shared" si="38"/>
        <v>Campo 1</v>
      </c>
      <c r="H180" s="669" t="str">
        <f t="shared" si="39"/>
        <v>Soja de Primera</v>
      </c>
      <c r="I180" s="670" t="str">
        <f>IFERROR(INDEX(Tabla8[],MATCH(Producción_Agricola[[#This Row],[Unidad de Negocio]],Tabla8[Unidades de Negocio],0),2),0)</f>
        <v>Soja</v>
      </c>
      <c r="J180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80" s="481" t="s">
        <v>22</v>
      </c>
      <c r="L180" s="482" t="s">
        <v>365</v>
      </c>
      <c r="M180" s="483">
        <v>0</v>
      </c>
      <c r="N180" s="484" t="s">
        <v>387</v>
      </c>
      <c r="O180" s="690">
        <f>Producción_Agricola[[#This Row],[Superficie]]*Producción_Agricola[[#This Row],[Cantidad]]</f>
        <v>0</v>
      </c>
      <c r="P180" s="482">
        <v>10</v>
      </c>
      <c r="Q180" s="484" t="s">
        <v>3</v>
      </c>
      <c r="R180" s="485">
        <v>0.06</v>
      </c>
      <c r="S180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80" s="695">
        <f>IFERROR(Producción_Agricola[[#This Row],[Económico $Corrientes]]/Producción_Agricola[[#This Row],[Indexación Económico]],0)</f>
        <v>0</v>
      </c>
      <c r="U18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8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80" s="695">
        <f>IFERROR(Producción_Agricola[[#This Row],[Financiero $Corrientes]]/Producción_Agricola[[#This Row],[Indexación Financiero]],0)</f>
        <v>0</v>
      </c>
      <c r="X18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8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80" s="699">
        <f>IFERROR(Producción_Agricola[[#This Row],[Intereses $Corrientes]]/Producción_Agricola[[#This Row],[Indexación Financiero]],0)</f>
        <v>0</v>
      </c>
      <c r="AA18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80" s="701" t="str">
        <f>IFERROR(INDEX(Produccion_Agricola_Cuentas[],MATCH(Producción_Agricola[[#This Row],[Cuenta Contable]],Produccion_Agricola_Cuentas[Cuenta Contable],0),2),0)</f>
        <v>Egreso</v>
      </c>
      <c r="AC180" s="702" t="str">
        <f>IFERROR(INDEX(Tabla9[],MATCH(Producción_Agricola[[#This Row],[Movimiento]],Tabla9[Movimientos],0),2),0)</f>
        <v>Si</v>
      </c>
      <c r="AD180" s="703" t="str">
        <f>IFERROR(INDEX(Tabla9[],MATCH(Producción_Agricola[[#This Row],[Movimiento]],Tabla9[Movimientos],0),3),0)</f>
        <v>(-)</v>
      </c>
      <c r="AE180" s="698">
        <f>IF(Producción_Agricola[[#This Row],[Fecha Económico]]=0,0,MONTH(Producción_Agricola[[#This Row],[Fecha Económico]]))</f>
        <v>9</v>
      </c>
      <c r="AF180" s="699">
        <f>IF(Producción_Agricola[[#This Row],[Fecha Económico]]=0,0,YEAR(Producción_Agricola[[#This Row],[Fecha Económico]]))</f>
        <v>2018</v>
      </c>
      <c r="AG180" s="704">
        <f>SUMPRODUCT((Producción_Agricola[[#This Row],[Mes Económico]]=Tipo_Cambio[Mes])*(Producción_Agricola[[#This Row],[Año Económico]]=Tipo_Cambio[Año])*(Tipo_Cambio[$/U$S]))</f>
        <v>22.4422</v>
      </c>
      <c r="AH180" s="703">
        <f>SUMPRODUCT((Producción_Agricola[[#This Row],[Mes Económico]]=Tipo_Cambio[Mes])*(Producción_Agricola[[#This Row],[Año Económico]]=Tipo_Cambio[Año])*(Tipo_Cambio[Actualización]))</f>
        <v>1.0404</v>
      </c>
      <c r="AI180" s="705">
        <f>IF(ISNUMBER(Producción_Agricola[[#This Row],[Fecha Financiero]])=TRUE,MONTH(Producción_Agricola[[#This Row],[Fecha Financiero]]),0)</f>
        <v>5</v>
      </c>
      <c r="AJ180" s="705">
        <f>IF(ISNUMBER(Producción_Agricola[[#This Row],[Fecha Financiero]])=TRUE,YEAR(Producción_Agricola[[#This Row],[Fecha Financiero]]),0)</f>
        <v>2019</v>
      </c>
      <c r="AK180" s="706">
        <f>SUMPRODUCT((Producción_Agricola[[#This Row],[Mes Financiero]]=Tipo_Cambio[Mes])*(Producción_Agricola[[#This Row],[Año Financiero]]=Tipo_Cambio[Año])*(Tipo_Cambio[$/U$S]))</f>
        <v>24.301686759046497</v>
      </c>
      <c r="AL180" s="706">
        <f>SUMPRODUCT((Producción_Agricola[[#This Row],[Mes Financiero]]=Tipo_Cambio[Mes])*(Producción_Agricola[[#This Row],[Año Financiero]]=Tipo_Cambio[Año])*(Tipo_Cambio[Actualización]))</f>
        <v>1.2189944199947573</v>
      </c>
      <c r="AM180" s="702">
        <f>IFERROR(Producción_Agricola[[#This Row],[Económico $Corrientes]]/Producción_Agricola[[#This Row],[Superficie]],0)</f>
        <v>0</v>
      </c>
      <c r="AN180" s="706">
        <f>IFERROR(Producción_Agricola[[#This Row],[Económico $Constantes]]/Producción_Agricola[[#This Row],[Superficie]],0)</f>
        <v>0</v>
      </c>
      <c r="AO180" s="706">
        <f>IFERROR(Producción_Agricola[[#This Row],[Económico U$S Dólares]]/Producción_Agricola[[#This Row],[Superficie]],0)</f>
        <v>0</v>
      </c>
      <c r="AP180" s="707" t="str">
        <f>IF(Económico!$F$4=0,0,Producción_Agricola[[#This Row],[Centro de Costo]])</f>
        <v>Campo 1</v>
      </c>
      <c r="AQ180" s="512" t="s">
        <v>379</v>
      </c>
      <c r="AR180" s="513"/>
      <c r="AS180"/>
    </row>
    <row r="181" spans="1:45" x14ac:dyDescent="0.25">
      <c r="D181" s="478">
        <f>D179</f>
        <v>43361</v>
      </c>
      <c r="E181" s="478">
        <v>43586</v>
      </c>
      <c r="F181" s="668" t="str">
        <f t="shared" si="40"/>
        <v>2018-2019</v>
      </c>
      <c r="G181" s="669" t="str">
        <f t="shared" si="38"/>
        <v>Campo 1</v>
      </c>
      <c r="H181" s="669" t="str">
        <f t="shared" si="39"/>
        <v>Soja de Primera</v>
      </c>
      <c r="I181" s="670" t="str">
        <f>IFERROR(INDEX(Tabla8[],MATCH(Producción_Agricola[[#This Row],[Unidad de Negocio]],Tabla8[Unidades de Negocio],0),2),0)</f>
        <v>Soja</v>
      </c>
      <c r="J181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81" s="481" t="s">
        <v>24</v>
      </c>
      <c r="L181" s="482" t="s">
        <v>363</v>
      </c>
      <c r="M181" s="483">
        <v>0</v>
      </c>
      <c r="N181" s="484" t="s">
        <v>387</v>
      </c>
      <c r="O181" s="690">
        <f>Producción_Agricola[[#This Row],[Superficie]]*Producción_Agricola[[#This Row],[Cantidad]]</f>
        <v>0</v>
      </c>
      <c r="P181" s="482">
        <v>18</v>
      </c>
      <c r="Q181" s="484" t="s">
        <v>3</v>
      </c>
      <c r="R181" s="485">
        <v>0.06</v>
      </c>
      <c r="S181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81" s="695">
        <f>IFERROR(Producción_Agricola[[#This Row],[Económico $Corrientes]]/Producción_Agricola[[#This Row],[Indexación Económico]],0)</f>
        <v>0</v>
      </c>
      <c r="U18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8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81" s="695">
        <f>IFERROR(Producción_Agricola[[#This Row],[Financiero $Corrientes]]/Producción_Agricola[[#This Row],[Indexación Financiero]],0)</f>
        <v>0</v>
      </c>
      <c r="X18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8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81" s="699">
        <f>IFERROR(Producción_Agricola[[#This Row],[Intereses $Corrientes]]/Producción_Agricola[[#This Row],[Indexación Financiero]],0)</f>
        <v>0</v>
      </c>
      <c r="AA18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81" s="701" t="str">
        <f>IFERROR(INDEX(Produccion_Agricola_Cuentas[],MATCH(Producción_Agricola[[#This Row],[Cuenta Contable]],Produccion_Agricola_Cuentas[Cuenta Contable],0),2),0)</f>
        <v>Egreso</v>
      </c>
      <c r="AC181" s="702" t="str">
        <f>IFERROR(INDEX(Tabla9[],MATCH(Producción_Agricola[[#This Row],[Movimiento]],Tabla9[Movimientos],0),2),0)</f>
        <v>Si</v>
      </c>
      <c r="AD181" s="703" t="str">
        <f>IFERROR(INDEX(Tabla9[],MATCH(Producción_Agricola[[#This Row],[Movimiento]],Tabla9[Movimientos],0),3),0)</f>
        <v>(-)</v>
      </c>
      <c r="AE181" s="698">
        <f>IF(Producción_Agricola[[#This Row],[Fecha Económico]]=0,0,MONTH(Producción_Agricola[[#This Row],[Fecha Económico]]))</f>
        <v>9</v>
      </c>
      <c r="AF181" s="699">
        <f>IF(Producción_Agricola[[#This Row],[Fecha Económico]]=0,0,YEAR(Producción_Agricola[[#This Row],[Fecha Económico]]))</f>
        <v>2018</v>
      </c>
      <c r="AG181" s="704">
        <f>SUMPRODUCT((Producción_Agricola[[#This Row],[Mes Económico]]=Tipo_Cambio[Mes])*(Producción_Agricola[[#This Row],[Año Económico]]=Tipo_Cambio[Año])*(Tipo_Cambio[$/U$S]))</f>
        <v>22.4422</v>
      </c>
      <c r="AH181" s="703">
        <f>SUMPRODUCT((Producción_Agricola[[#This Row],[Mes Económico]]=Tipo_Cambio[Mes])*(Producción_Agricola[[#This Row],[Año Económico]]=Tipo_Cambio[Año])*(Tipo_Cambio[Actualización]))</f>
        <v>1.0404</v>
      </c>
      <c r="AI181" s="705">
        <f>IF(ISNUMBER(Producción_Agricola[[#This Row],[Fecha Financiero]])=TRUE,MONTH(Producción_Agricola[[#This Row],[Fecha Financiero]]),0)</f>
        <v>5</v>
      </c>
      <c r="AJ181" s="705">
        <f>IF(ISNUMBER(Producción_Agricola[[#This Row],[Fecha Financiero]])=TRUE,YEAR(Producción_Agricola[[#This Row],[Fecha Financiero]]),0)</f>
        <v>2019</v>
      </c>
      <c r="AK181" s="706">
        <f>SUMPRODUCT((Producción_Agricola[[#This Row],[Mes Financiero]]=Tipo_Cambio[Mes])*(Producción_Agricola[[#This Row],[Año Financiero]]=Tipo_Cambio[Año])*(Tipo_Cambio[$/U$S]))</f>
        <v>24.301686759046497</v>
      </c>
      <c r="AL181" s="706">
        <f>SUMPRODUCT((Producción_Agricola[[#This Row],[Mes Financiero]]=Tipo_Cambio[Mes])*(Producción_Agricola[[#This Row],[Año Financiero]]=Tipo_Cambio[Año])*(Tipo_Cambio[Actualización]))</f>
        <v>1.2189944199947573</v>
      </c>
      <c r="AM181" s="702">
        <f>IFERROR(Producción_Agricola[[#This Row],[Económico $Corrientes]]/Producción_Agricola[[#This Row],[Superficie]],0)</f>
        <v>0</v>
      </c>
      <c r="AN181" s="706">
        <f>IFERROR(Producción_Agricola[[#This Row],[Económico $Constantes]]/Producción_Agricola[[#This Row],[Superficie]],0)</f>
        <v>0</v>
      </c>
      <c r="AO181" s="706">
        <f>IFERROR(Producción_Agricola[[#This Row],[Económico U$S Dólares]]/Producción_Agricola[[#This Row],[Superficie]],0)</f>
        <v>0</v>
      </c>
      <c r="AP181" s="707" t="str">
        <f>IF(Económico!$F$4=0,0,Producción_Agricola[[#This Row],[Centro de Costo]])</f>
        <v>Campo 1</v>
      </c>
      <c r="AQ181" s="512" t="s">
        <v>379</v>
      </c>
      <c r="AR181" s="513"/>
      <c r="AS181"/>
    </row>
    <row r="182" spans="1:45" x14ac:dyDescent="0.25">
      <c r="D182" s="478">
        <f>D165-180</f>
        <v>43406</v>
      </c>
      <c r="E182" s="478">
        <f>Producción_Agricola[[#This Row],[Fecha Económico]]+30</f>
        <v>43436</v>
      </c>
      <c r="F182" s="668" t="str">
        <f t="shared" si="40"/>
        <v>2018-2019</v>
      </c>
      <c r="G182" s="669" t="str">
        <f t="shared" si="38"/>
        <v>Campo 1</v>
      </c>
      <c r="H182" s="669" t="str">
        <f t="shared" si="39"/>
        <v>Soja de Primera</v>
      </c>
      <c r="I182" s="670" t="str">
        <f>IFERROR(INDEX(Tabla8[],MATCH(Producción_Agricola[[#This Row],[Unidad de Negocio]],Tabla8[Unidades de Negocio],0),2),0)</f>
        <v>Soja</v>
      </c>
      <c r="J182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82" s="481" t="s">
        <v>25</v>
      </c>
      <c r="L182" s="482" t="s">
        <v>30</v>
      </c>
      <c r="M182" s="483">
        <v>0</v>
      </c>
      <c r="N182" s="484" t="s">
        <v>389</v>
      </c>
      <c r="O182" s="690">
        <f>Producción_Agricola[[#This Row],[Superficie]]*Producción_Agricola[[#This Row],[Cantidad]]</f>
        <v>0</v>
      </c>
      <c r="P182" s="482">
        <v>800</v>
      </c>
      <c r="Q182" s="484" t="s">
        <v>48</v>
      </c>
      <c r="R182" s="485">
        <v>0</v>
      </c>
      <c r="S182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82" s="695">
        <f>IFERROR(Producción_Agricola[[#This Row],[Económico $Corrientes]]/Producción_Agricola[[#This Row],[Indexación Económico]],0)</f>
        <v>0</v>
      </c>
      <c r="U182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8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82" s="695">
        <f>IFERROR(Producción_Agricola[[#This Row],[Financiero $Corrientes]]/Producción_Agricola[[#This Row],[Indexación Financiero]],0)</f>
        <v>0</v>
      </c>
      <c r="X18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8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82" s="699">
        <f>IFERROR(Producción_Agricola[[#This Row],[Intereses $Corrientes]]/Producción_Agricola[[#This Row],[Indexación Financiero]],0)</f>
        <v>0</v>
      </c>
      <c r="AA18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82" s="701" t="str">
        <f>IFERROR(INDEX(Produccion_Agricola_Cuentas[],MATCH(Producción_Agricola[[#This Row],[Cuenta Contable]],Produccion_Agricola_Cuentas[Cuenta Contable],0),2),0)</f>
        <v>Egreso</v>
      </c>
      <c r="AC182" s="702" t="str">
        <f>IFERROR(INDEX(Tabla9[],MATCH(Producción_Agricola[[#This Row],[Movimiento]],Tabla9[Movimientos],0),2),0)</f>
        <v>Si</v>
      </c>
      <c r="AD182" s="703" t="str">
        <f>IFERROR(INDEX(Tabla9[],MATCH(Producción_Agricola[[#This Row],[Movimiento]],Tabla9[Movimientos],0),3),0)</f>
        <v>(-)</v>
      </c>
      <c r="AE182" s="698">
        <f>IF(Producción_Agricola[[#This Row],[Fecha Económico]]=0,0,MONTH(Producción_Agricola[[#This Row],[Fecha Económico]]))</f>
        <v>11</v>
      </c>
      <c r="AF182" s="699">
        <f>IF(Producción_Agricola[[#This Row],[Fecha Económico]]=0,0,YEAR(Producción_Agricola[[#This Row],[Fecha Económico]]))</f>
        <v>2018</v>
      </c>
      <c r="AG182" s="704">
        <f>SUMPRODUCT((Producción_Agricola[[#This Row],[Mes Económico]]=Tipo_Cambio[Mes])*(Producción_Agricola[[#This Row],[Año Económico]]=Tipo_Cambio[Año])*(Tipo_Cambio[$/U$S]))</f>
        <v>22.893288219999999</v>
      </c>
      <c r="AH182" s="703">
        <f>SUMPRODUCT((Producción_Agricola[[#This Row],[Mes Económico]]=Tipo_Cambio[Mes])*(Producción_Agricola[[#This Row],[Año Económico]]=Tipo_Cambio[Año])*(Tipo_Cambio[Actualización]))</f>
        <v>1.08243216</v>
      </c>
      <c r="AI182" s="705">
        <f>IF(ISNUMBER(Producción_Agricola[[#This Row],[Fecha Financiero]])=TRUE,MONTH(Producción_Agricola[[#This Row],[Fecha Financiero]]),0)</f>
        <v>12</v>
      </c>
      <c r="AJ182" s="705">
        <f>IF(ISNUMBER(Producción_Agricola[[#This Row],[Fecha Financiero]])=TRUE,YEAR(Producción_Agricola[[#This Row],[Fecha Financiero]]),0)</f>
        <v>2018</v>
      </c>
      <c r="AK182" s="706">
        <f>SUMPRODUCT((Producción_Agricola[[#This Row],[Mes Financiero]]=Tipo_Cambio[Mes])*(Producción_Agricola[[#This Row],[Año Financiero]]=Tipo_Cambio[Año])*(Tipo_Cambio[$/U$S]))</f>
        <v>23.122221102199997</v>
      </c>
      <c r="AL182" s="706">
        <f>SUMPRODUCT((Producción_Agricola[[#This Row],[Mes Financiero]]=Tipo_Cambio[Mes])*(Producción_Agricola[[#This Row],[Año Financiero]]=Tipo_Cambio[Año])*(Tipo_Cambio[Actualización]))</f>
        <v>1.1040808032</v>
      </c>
      <c r="AM182" s="702">
        <f>IFERROR(Producción_Agricola[[#This Row],[Económico $Corrientes]]/Producción_Agricola[[#This Row],[Superficie]],0)</f>
        <v>0</v>
      </c>
      <c r="AN182" s="706">
        <f>IFERROR(Producción_Agricola[[#This Row],[Económico $Constantes]]/Producción_Agricola[[#This Row],[Superficie]],0)</f>
        <v>0</v>
      </c>
      <c r="AO182" s="706">
        <f>IFERROR(Producción_Agricola[[#This Row],[Económico U$S Dólares]]/Producción_Agricola[[#This Row],[Superficie]],0)</f>
        <v>0</v>
      </c>
      <c r="AP182" s="707" t="str">
        <f>IF(Económico!$F$4=0,0,Producción_Agricola[[#This Row],[Centro de Costo]])</f>
        <v>Campo 1</v>
      </c>
      <c r="AQ182" s="512" t="s">
        <v>30</v>
      </c>
      <c r="AR182" s="513"/>
      <c r="AS182"/>
    </row>
    <row r="183" spans="1:45" x14ac:dyDescent="0.25">
      <c r="D183" s="478">
        <f>D182</f>
        <v>43406</v>
      </c>
      <c r="E183" s="478">
        <v>43586</v>
      </c>
      <c r="F183" s="668" t="str">
        <f t="shared" si="40"/>
        <v>2018-2019</v>
      </c>
      <c r="G183" s="669" t="str">
        <f t="shared" si="38"/>
        <v>Campo 1</v>
      </c>
      <c r="H183" s="669" t="str">
        <f t="shared" si="39"/>
        <v>Soja de Primera</v>
      </c>
      <c r="I183" s="670" t="str">
        <f>IFERROR(INDEX(Tabla8[],MATCH(Producción_Agricola[[#This Row],[Unidad de Negocio]],Tabla8[Unidades de Negocio],0),2),0)</f>
        <v>Soja</v>
      </c>
      <c r="J183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83" s="481" t="s">
        <v>18</v>
      </c>
      <c r="L183" s="482" t="s">
        <v>391</v>
      </c>
      <c r="M183" s="483">
        <v>0</v>
      </c>
      <c r="N183" s="484" t="s">
        <v>388</v>
      </c>
      <c r="O183" s="690">
        <f>Producción_Agricola[[#This Row],[Superficie]]*Producción_Agricola[[#This Row],[Cantidad]]</f>
        <v>0</v>
      </c>
      <c r="P183" s="482">
        <v>0.6</v>
      </c>
      <c r="Q183" s="484" t="s">
        <v>3</v>
      </c>
      <c r="R183" s="485">
        <v>0.06</v>
      </c>
      <c r="S183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83" s="695">
        <f>IFERROR(Producción_Agricola[[#This Row],[Económico $Corrientes]]/Producción_Agricola[[#This Row],[Indexación Económico]],0)</f>
        <v>0</v>
      </c>
      <c r="U183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8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83" s="695">
        <f>IFERROR(Producción_Agricola[[#This Row],[Financiero $Corrientes]]/Producción_Agricola[[#This Row],[Indexación Financiero]],0)</f>
        <v>0</v>
      </c>
      <c r="X18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8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83" s="699">
        <f>IFERROR(Producción_Agricola[[#This Row],[Intereses $Corrientes]]/Producción_Agricola[[#This Row],[Indexación Financiero]],0)</f>
        <v>0</v>
      </c>
      <c r="AA18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83" s="701" t="str">
        <f>IFERROR(INDEX(Produccion_Agricola_Cuentas[],MATCH(Producción_Agricola[[#This Row],[Cuenta Contable]],Produccion_Agricola_Cuentas[Cuenta Contable],0),2),0)</f>
        <v>Egreso</v>
      </c>
      <c r="AC183" s="702" t="str">
        <f>IFERROR(INDEX(Tabla9[],MATCH(Producción_Agricola[[#This Row],[Movimiento]],Tabla9[Movimientos],0),2),0)</f>
        <v>Si</v>
      </c>
      <c r="AD183" s="703" t="str">
        <f>IFERROR(INDEX(Tabla9[],MATCH(Producción_Agricola[[#This Row],[Movimiento]],Tabla9[Movimientos],0),3),0)</f>
        <v>(-)</v>
      </c>
      <c r="AE183" s="698">
        <f>IF(Producción_Agricola[[#This Row],[Fecha Económico]]=0,0,MONTH(Producción_Agricola[[#This Row],[Fecha Económico]]))</f>
        <v>11</v>
      </c>
      <c r="AF183" s="699">
        <f>IF(Producción_Agricola[[#This Row],[Fecha Económico]]=0,0,YEAR(Producción_Agricola[[#This Row],[Fecha Económico]]))</f>
        <v>2018</v>
      </c>
      <c r="AG183" s="704">
        <f>SUMPRODUCT((Producción_Agricola[[#This Row],[Mes Económico]]=Tipo_Cambio[Mes])*(Producción_Agricola[[#This Row],[Año Económico]]=Tipo_Cambio[Año])*(Tipo_Cambio[$/U$S]))</f>
        <v>22.893288219999999</v>
      </c>
      <c r="AH183" s="703">
        <f>SUMPRODUCT((Producción_Agricola[[#This Row],[Mes Económico]]=Tipo_Cambio[Mes])*(Producción_Agricola[[#This Row],[Año Económico]]=Tipo_Cambio[Año])*(Tipo_Cambio[Actualización]))</f>
        <v>1.08243216</v>
      </c>
      <c r="AI183" s="705">
        <f>IF(ISNUMBER(Producción_Agricola[[#This Row],[Fecha Financiero]])=TRUE,MONTH(Producción_Agricola[[#This Row],[Fecha Financiero]]),0)</f>
        <v>5</v>
      </c>
      <c r="AJ183" s="705">
        <f>IF(ISNUMBER(Producción_Agricola[[#This Row],[Fecha Financiero]])=TRUE,YEAR(Producción_Agricola[[#This Row],[Fecha Financiero]]),0)</f>
        <v>2019</v>
      </c>
      <c r="AK183" s="706">
        <f>SUMPRODUCT((Producción_Agricola[[#This Row],[Mes Financiero]]=Tipo_Cambio[Mes])*(Producción_Agricola[[#This Row],[Año Financiero]]=Tipo_Cambio[Año])*(Tipo_Cambio[$/U$S]))</f>
        <v>24.301686759046497</v>
      </c>
      <c r="AL183" s="706">
        <f>SUMPRODUCT((Producción_Agricola[[#This Row],[Mes Financiero]]=Tipo_Cambio[Mes])*(Producción_Agricola[[#This Row],[Año Financiero]]=Tipo_Cambio[Año])*(Tipo_Cambio[Actualización]))</f>
        <v>1.2189944199947573</v>
      </c>
      <c r="AM183" s="702">
        <f>IFERROR(Producción_Agricola[[#This Row],[Económico $Corrientes]]/Producción_Agricola[[#This Row],[Superficie]],0)</f>
        <v>0</v>
      </c>
      <c r="AN183" s="706">
        <f>IFERROR(Producción_Agricola[[#This Row],[Económico $Constantes]]/Producción_Agricola[[#This Row],[Superficie]],0)</f>
        <v>0</v>
      </c>
      <c r="AO183" s="706">
        <f>IFERROR(Producción_Agricola[[#This Row],[Económico U$S Dólares]]/Producción_Agricola[[#This Row],[Superficie]],0)</f>
        <v>0</v>
      </c>
      <c r="AP183" s="707" t="str">
        <f>IF(Económico!$F$4=0,0,Producción_Agricola[[#This Row],[Centro de Costo]])</f>
        <v>Campo 1</v>
      </c>
      <c r="AQ183" s="512" t="s">
        <v>30</v>
      </c>
      <c r="AR183" s="513"/>
      <c r="AS183"/>
    </row>
    <row r="184" spans="1:45" x14ac:dyDescent="0.25">
      <c r="D184" s="478">
        <f t="shared" ref="D184" si="44">D183</f>
        <v>43406</v>
      </c>
      <c r="E184" s="478">
        <f>Producción_Agricola[[#This Row],[Fecha Económico]]+30</f>
        <v>43436</v>
      </c>
      <c r="F184" s="668" t="str">
        <f t="shared" si="40"/>
        <v>2018-2019</v>
      </c>
      <c r="G184" s="669" t="str">
        <f t="shared" si="38"/>
        <v>Campo 1</v>
      </c>
      <c r="H184" s="669" t="str">
        <f t="shared" si="39"/>
        <v>Soja de Primera</v>
      </c>
      <c r="I184" s="670" t="str">
        <f>IFERROR(INDEX(Tabla8[],MATCH(Producción_Agricola[[#This Row],[Unidad de Negocio]],Tabla8[Unidades de Negocio],0),2),0)</f>
        <v>Soja</v>
      </c>
      <c r="J184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84" s="481" t="s">
        <v>19</v>
      </c>
      <c r="L184" s="482" t="s">
        <v>28</v>
      </c>
      <c r="M184" s="483">
        <v>0</v>
      </c>
      <c r="N184" s="484" t="s">
        <v>388</v>
      </c>
      <c r="O184" s="690">
        <f>Producción_Agricola[[#This Row],[Superficie]]*Producción_Agricola[[#This Row],[Cantidad]]</f>
        <v>0</v>
      </c>
      <c r="P184" s="482">
        <v>0.6</v>
      </c>
      <c r="Q184" s="484" t="s">
        <v>3</v>
      </c>
      <c r="R184" s="485">
        <v>0</v>
      </c>
      <c r="S184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84" s="695">
        <f>IFERROR(Producción_Agricola[[#This Row],[Económico $Corrientes]]/Producción_Agricola[[#This Row],[Indexación Económico]],0)</f>
        <v>0</v>
      </c>
      <c r="U184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8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84" s="695">
        <f>IFERROR(Producción_Agricola[[#This Row],[Financiero $Corrientes]]/Producción_Agricola[[#This Row],[Indexación Financiero]],0)</f>
        <v>0</v>
      </c>
      <c r="X18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8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84" s="699">
        <f>IFERROR(Producción_Agricola[[#This Row],[Intereses $Corrientes]]/Producción_Agricola[[#This Row],[Indexación Financiero]],0)</f>
        <v>0</v>
      </c>
      <c r="AA18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84" s="701" t="str">
        <f>IFERROR(INDEX(Produccion_Agricola_Cuentas[],MATCH(Producción_Agricola[[#This Row],[Cuenta Contable]],Produccion_Agricola_Cuentas[Cuenta Contable],0),2),0)</f>
        <v>Egreso</v>
      </c>
      <c r="AC184" s="702" t="str">
        <f>IFERROR(INDEX(Tabla9[],MATCH(Producción_Agricola[[#This Row],[Movimiento]],Tabla9[Movimientos],0),2),0)</f>
        <v>Si</v>
      </c>
      <c r="AD184" s="703" t="str">
        <f>IFERROR(INDEX(Tabla9[],MATCH(Producción_Agricola[[#This Row],[Movimiento]],Tabla9[Movimientos],0),3),0)</f>
        <v>(-)</v>
      </c>
      <c r="AE184" s="698">
        <f>IF(Producción_Agricola[[#This Row],[Fecha Económico]]=0,0,MONTH(Producción_Agricola[[#This Row],[Fecha Económico]]))</f>
        <v>11</v>
      </c>
      <c r="AF184" s="699">
        <f>IF(Producción_Agricola[[#This Row],[Fecha Económico]]=0,0,YEAR(Producción_Agricola[[#This Row],[Fecha Económico]]))</f>
        <v>2018</v>
      </c>
      <c r="AG184" s="704">
        <f>SUMPRODUCT((Producción_Agricola[[#This Row],[Mes Económico]]=Tipo_Cambio[Mes])*(Producción_Agricola[[#This Row],[Año Económico]]=Tipo_Cambio[Año])*(Tipo_Cambio[$/U$S]))</f>
        <v>22.893288219999999</v>
      </c>
      <c r="AH184" s="703">
        <f>SUMPRODUCT((Producción_Agricola[[#This Row],[Mes Económico]]=Tipo_Cambio[Mes])*(Producción_Agricola[[#This Row],[Año Económico]]=Tipo_Cambio[Año])*(Tipo_Cambio[Actualización]))</f>
        <v>1.08243216</v>
      </c>
      <c r="AI184" s="705">
        <f>IF(ISNUMBER(Producción_Agricola[[#This Row],[Fecha Financiero]])=TRUE,MONTH(Producción_Agricola[[#This Row],[Fecha Financiero]]),0)</f>
        <v>12</v>
      </c>
      <c r="AJ184" s="705">
        <f>IF(ISNUMBER(Producción_Agricola[[#This Row],[Fecha Financiero]])=TRUE,YEAR(Producción_Agricola[[#This Row],[Fecha Financiero]]),0)</f>
        <v>2018</v>
      </c>
      <c r="AK184" s="706">
        <f>SUMPRODUCT((Producción_Agricola[[#This Row],[Mes Financiero]]=Tipo_Cambio[Mes])*(Producción_Agricola[[#This Row],[Año Financiero]]=Tipo_Cambio[Año])*(Tipo_Cambio[$/U$S]))</f>
        <v>23.122221102199997</v>
      </c>
      <c r="AL184" s="706">
        <f>SUMPRODUCT((Producción_Agricola[[#This Row],[Mes Financiero]]=Tipo_Cambio[Mes])*(Producción_Agricola[[#This Row],[Año Financiero]]=Tipo_Cambio[Año])*(Tipo_Cambio[Actualización]))</f>
        <v>1.1040808032</v>
      </c>
      <c r="AM184" s="702">
        <f>IFERROR(Producción_Agricola[[#This Row],[Económico $Corrientes]]/Producción_Agricola[[#This Row],[Superficie]],0)</f>
        <v>0</v>
      </c>
      <c r="AN184" s="706">
        <f>IFERROR(Producción_Agricola[[#This Row],[Económico $Constantes]]/Producción_Agricola[[#This Row],[Superficie]],0)</f>
        <v>0</v>
      </c>
      <c r="AO184" s="706">
        <f>IFERROR(Producción_Agricola[[#This Row],[Económico U$S Dólares]]/Producción_Agricola[[#This Row],[Superficie]],0)</f>
        <v>0</v>
      </c>
      <c r="AP184" s="707" t="str">
        <f>IF(Económico!$F$4=0,0,Producción_Agricola[[#This Row],[Centro de Costo]])</f>
        <v>Campo 1</v>
      </c>
      <c r="AQ184" s="512" t="s">
        <v>30</v>
      </c>
      <c r="AR184" s="513"/>
      <c r="AS184"/>
    </row>
    <row r="185" spans="1:45" x14ac:dyDescent="0.25">
      <c r="D185" s="478">
        <f>D183+60</f>
        <v>43466</v>
      </c>
      <c r="E185" s="478">
        <f>Producción_Agricola[[#This Row],[Fecha Económico]]+30</f>
        <v>43496</v>
      </c>
      <c r="F185" s="668" t="str">
        <f t="shared" si="40"/>
        <v>2018-2019</v>
      </c>
      <c r="G185" s="669" t="str">
        <f t="shared" si="38"/>
        <v>Campo 1</v>
      </c>
      <c r="H185" s="669" t="str">
        <f t="shared" si="39"/>
        <v>Soja de Primera</v>
      </c>
      <c r="I185" s="670" t="str">
        <f>IFERROR(INDEX(Tabla8[],MATCH(Producción_Agricola[[#This Row],[Unidad de Negocio]],Tabla8[Unidades de Negocio],0),2),0)</f>
        <v>Soja</v>
      </c>
      <c r="J185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85" s="481" t="s">
        <v>25</v>
      </c>
      <c r="L185" s="482" t="s">
        <v>219</v>
      </c>
      <c r="M185" s="483">
        <v>0</v>
      </c>
      <c r="N185" s="484" t="s">
        <v>389</v>
      </c>
      <c r="O185" s="690">
        <f>Producción_Agricola[[#This Row],[Superficie]]*Producción_Agricola[[#This Row],[Cantidad]]</f>
        <v>0</v>
      </c>
      <c r="P185" s="482">
        <v>120</v>
      </c>
      <c r="Q185" s="484" t="s">
        <v>48</v>
      </c>
      <c r="R185" s="485">
        <v>0</v>
      </c>
      <c r="S185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85" s="695">
        <f>IFERROR(Producción_Agricola[[#This Row],[Económico $Corrientes]]/Producción_Agricola[[#This Row],[Indexación Económico]],0)</f>
        <v>0</v>
      </c>
      <c r="U185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8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85" s="695">
        <f>IFERROR(Producción_Agricola[[#This Row],[Financiero $Corrientes]]/Producción_Agricola[[#This Row],[Indexación Financiero]],0)</f>
        <v>0</v>
      </c>
      <c r="X18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8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85" s="699">
        <f>IFERROR(Producción_Agricola[[#This Row],[Intereses $Corrientes]]/Producción_Agricola[[#This Row],[Indexación Financiero]],0)</f>
        <v>0</v>
      </c>
      <c r="AA18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85" s="701" t="str">
        <f>IFERROR(INDEX(Produccion_Agricola_Cuentas[],MATCH(Producción_Agricola[[#This Row],[Cuenta Contable]],Produccion_Agricola_Cuentas[Cuenta Contable],0),2),0)</f>
        <v>Egreso</v>
      </c>
      <c r="AC185" s="702" t="str">
        <f>IFERROR(INDEX(Tabla9[],MATCH(Producción_Agricola[[#This Row],[Movimiento]],Tabla9[Movimientos],0),2),0)</f>
        <v>Si</v>
      </c>
      <c r="AD185" s="703" t="str">
        <f>IFERROR(INDEX(Tabla9[],MATCH(Producción_Agricola[[#This Row],[Movimiento]],Tabla9[Movimientos],0),3),0)</f>
        <v>(-)</v>
      </c>
      <c r="AE185" s="698">
        <f>IF(Producción_Agricola[[#This Row],[Fecha Económico]]=0,0,MONTH(Producción_Agricola[[#This Row],[Fecha Económico]]))</f>
        <v>1</v>
      </c>
      <c r="AF185" s="699">
        <f>IF(Producción_Agricola[[#This Row],[Fecha Económico]]=0,0,YEAR(Producción_Agricola[[#This Row],[Fecha Económico]]))</f>
        <v>2019</v>
      </c>
      <c r="AG185" s="704">
        <f>SUMPRODUCT((Producción_Agricola[[#This Row],[Mes Económico]]=Tipo_Cambio[Mes])*(Producción_Agricola[[#This Row],[Año Económico]]=Tipo_Cambio[Año])*(Tipo_Cambio[$/U$S]))</f>
        <v>23.353443313221998</v>
      </c>
      <c r="AH185" s="703">
        <f>SUMPRODUCT((Producción_Agricola[[#This Row],[Mes Económico]]=Tipo_Cambio[Mes])*(Producción_Agricola[[#This Row],[Año Económico]]=Tipo_Cambio[Año])*(Tipo_Cambio[Actualización]))</f>
        <v>1.1261624192640001</v>
      </c>
      <c r="AI185" s="705">
        <f>IF(ISNUMBER(Producción_Agricola[[#This Row],[Fecha Financiero]])=TRUE,MONTH(Producción_Agricola[[#This Row],[Fecha Financiero]]),0)</f>
        <v>1</v>
      </c>
      <c r="AJ185" s="705">
        <f>IF(ISNUMBER(Producción_Agricola[[#This Row],[Fecha Financiero]])=TRUE,YEAR(Producción_Agricola[[#This Row],[Fecha Financiero]]),0)</f>
        <v>2019</v>
      </c>
      <c r="AK185" s="706">
        <f>SUMPRODUCT((Producción_Agricola[[#This Row],[Mes Financiero]]=Tipo_Cambio[Mes])*(Producción_Agricola[[#This Row],[Año Financiero]]=Tipo_Cambio[Año])*(Tipo_Cambio[$/U$S]))</f>
        <v>23.353443313221998</v>
      </c>
      <c r="AL185" s="706">
        <f>SUMPRODUCT((Producción_Agricola[[#This Row],[Mes Financiero]]=Tipo_Cambio[Mes])*(Producción_Agricola[[#This Row],[Año Financiero]]=Tipo_Cambio[Año])*(Tipo_Cambio[Actualización]))</f>
        <v>1.1261624192640001</v>
      </c>
      <c r="AM185" s="702">
        <f>IFERROR(Producción_Agricola[[#This Row],[Económico $Corrientes]]/Producción_Agricola[[#This Row],[Superficie]],0)</f>
        <v>0</v>
      </c>
      <c r="AN185" s="706">
        <f>IFERROR(Producción_Agricola[[#This Row],[Económico $Constantes]]/Producción_Agricola[[#This Row],[Superficie]],0)</f>
        <v>0</v>
      </c>
      <c r="AO185" s="706">
        <f>IFERROR(Producción_Agricola[[#This Row],[Económico U$S Dólares]]/Producción_Agricola[[#This Row],[Superficie]],0)</f>
        <v>0</v>
      </c>
      <c r="AP185" s="707" t="str">
        <f>IF(Económico!$F$4=0,0,Producción_Agricola[[#This Row],[Centro de Costo]])</f>
        <v>Campo 1</v>
      </c>
      <c r="AQ185" s="512" t="s">
        <v>381</v>
      </c>
      <c r="AR185" s="513"/>
      <c r="AS185"/>
    </row>
    <row r="186" spans="1:45" x14ac:dyDescent="0.25">
      <c r="D186" s="478">
        <f>D185</f>
        <v>43466</v>
      </c>
      <c r="E186" s="478">
        <v>43586</v>
      </c>
      <c r="F186" s="668" t="str">
        <f t="shared" si="40"/>
        <v>2018-2019</v>
      </c>
      <c r="G186" s="669" t="str">
        <f t="shared" si="38"/>
        <v>Campo 1</v>
      </c>
      <c r="H186" s="669" t="str">
        <f t="shared" si="39"/>
        <v>Soja de Primera</v>
      </c>
      <c r="I186" s="670" t="str">
        <f>IFERROR(INDEX(Tabla8[],MATCH(Producción_Agricola[[#This Row],[Unidad de Negocio]],Tabla8[Unidades de Negocio],0),2),0)</f>
        <v>Soja</v>
      </c>
      <c r="J186" s="66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86" s="481" t="s">
        <v>17</v>
      </c>
      <c r="L186" s="482" t="s">
        <v>50</v>
      </c>
      <c r="M186" s="483">
        <v>0</v>
      </c>
      <c r="N186" s="484" t="s">
        <v>387</v>
      </c>
      <c r="O186" s="690">
        <f>Producción_Agricola[[#This Row],[Superficie]]*Producción_Agricola[[#This Row],[Cantidad]]</f>
        <v>0</v>
      </c>
      <c r="P186" s="482">
        <v>3</v>
      </c>
      <c r="Q186" s="484" t="s">
        <v>3</v>
      </c>
      <c r="R186" s="485">
        <v>0.06</v>
      </c>
      <c r="S186" s="69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86" s="695">
        <f>IFERROR(Producción_Agricola[[#This Row],[Económico $Corrientes]]/Producción_Agricola[[#This Row],[Indexación Económico]],0)</f>
        <v>0</v>
      </c>
      <c r="U18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8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86" s="695">
        <f>IFERROR(Producción_Agricola[[#This Row],[Financiero $Corrientes]]/Producción_Agricola[[#This Row],[Indexación Financiero]],0)</f>
        <v>0</v>
      </c>
      <c r="X18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8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86" s="699">
        <f>IFERROR(Producción_Agricola[[#This Row],[Intereses $Corrientes]]/Producción_Agricola[[#This Row],[Indexación Financiero]],0)</f>
        <v>0</v>
      </c>
      <c r="AA18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86" s="701" t="str">
        <f>IFERROR(INDEX(Produccion_Agricola_Cuentas[],MATCH(Producción_Agricola[[#This Row],[Cuenta Contable]],Produccion_Agricola_Cuentas[Cuenta Contable],0),2),0)</f>
        <v>Egreso</v>
      </c>
      <c r="AC186" s="702" t="str">
        <f>IFERROR(INDEX(Tabla9[],MATCH(Producción_Agricola[[#This Row],[Movimiento]],Tabla9[Movimientos],0),2),0)</f>
        <v>Si</v>
      </c>
      <c r="AD186" s="703" t="str">
        <f>IFERROR(INDEX(Tabla9[],MATCH(Producción_Agricola[[#This Row],[Movimiento]],Tabla9[Movimientos],0),3),0)</f>
        <v>(-)</v>
      </c>
      <c r="AE186" s="698">
        <f>IF(Producción_Agricola[[#This Row],[Fecha Económico]]=0,0,MONTH(Producción_Agricola[[#This Row],[Fecha Económico]]))</f>
        <v>1</v>
      </c>
      <c r="AF186" s="699">
        <f>IF(Producción_Agricola[[#This Row],[Fecha Económico]]=0,0,YEAR(Producción_Agricola[[#This Row],[Fecha Económico]]))</f>
        <v>2019</v>
      </c>
      <c r="AG186" s="704">
        <f>SUMPRODUCT((Producción_Agricola[[#This Row],[Mes Económico]]=Tipo_Cambio[Mes])*(Producción_Agricola[[#This Row],[Año Económico]]=Tipo_Cambio[Año])*(Tipo_Cambio[$/U$S]))</f>
        <v>23.353443313221998</v>
      </c>
      <c r="AH186" s="703">
        <f>SUMPRODUCT((Producción_Agricola[[#This Row],[Mes Económico]]=Tipo_Cambio[Mes])*(Producción_Agricola[[#This Row],[Año Económico]]=Tipo_Cambio[Año])*(Tipo_Cambio[Actualización]))</f>
        <v>1.1261624192640001</v>
      </c>
      <c r="AI186" s="705">
        <f>IF(ISNUMBER(Producción_Agricola[[#This Row],[Fecha Financiero]])=TRUE,MONTH(Producción_Agricola[[#This Row],[Fecha Financiero]]),0)</f>
        <v>5</v>
      </c>
      <c r="AJ186" s="705">
        <f>IF(ISNUMBER(Producción_Agricola[[#This Row],[Fecha Financiero]])=TRUE,YEAR(Producción_Agricola[[#This Row],[Fecha Financiero]]),0)</f>
        <v>2019</v>
      </c>
      <c r="AK186" s="706">
        <f>SUMPRODUCT((Producción_Agricola[[#This Row],[Mes Financiero]]=Tipo_Cambio[Mes])*(Producción_Agricola[[#This Row],[Año Financiero]]=Tipo_Cambio[Año])*(Tipo_Cambio[$/U$S]))</f>
        <v>24.301686759046497</v>
      </c>
      <c r="AL186" s="706">
        <f>SUMPRODUCT((Producción_Agricola[[#This Row],[Mes Financiero]]=Tipo_Cambio[Mes])*(Producción_Agricola[[#This Row],[Año Financiero]]=Tipo_Cambio[Año])*(Tipo_Cambio[Actualización]))</f>
        <v>1.2189944199947573</v>
      </c>
      <c r="AM186" s="702">
        <f>IFERROR(Producción_Agricola[[#This Row],[Económico $Corrientes]]/Producción_Agricola[[#This Row],[Superficie]],0)</f>
        <v>0</v>
      </c>
      <c r="AN186" s="706">
        <f>IFERROR(Producción_Agricola[[#This Row],[Económico $Constantes]]/Producción_Agricola[[#This Row],[Superficie]],0)</f>
        <v>0</v>
      </c>
      <c r="AO186" s="706">
        <f>IFERROR(Producción_Agricola[[#This Row],[Económico U$S Dólares]]/Producción_Agricola[[#This Row],[Superficie]],0)</f>
        <v>0</v>
      </c>
      <c r="AP186" s="707" t="str">
        <f>IF(Económico!$F$4=0,0,Producción_Agricola[[#This Row],[Centro de Costo]])</f>
        <v>Campo 1</v>
      </c>
      <c r="AQ186" s="512" t="s">
        <v>381</v>
      </c>
      <c r="AR186" s="513"/>
      <c r="AS186"/>
    </row>
    <row r="187" spans="1:45" x14ac:dyDescent="0.25">
      <c r="D187" s="478">
        <f t="shared" ref="D187:D188" si="45">D186</f>
        <v>43466</v>
      </c>
      <c r="E187" s="478">
        <v>43586</v>
      </c>
      <c r="F187" s="668" t="str">
        <f t="shared" si="40"/>
        <v>2018-2019</v>
      </c>
      <c r="G187" s="669" t="str">
        <f t="shared" si="38"/>
        <v>Campo 1</v>
      </c>
      <c r="H187" s="669" t="str">
        <f t="shared" si="39"/>
        <v>Soja de Primera</v>
      </c>
      <c r="I187" s="671" t="str">
        <f>IFERROR(INDEX(Tabla8[],MATCH(Producción_Agricola[[#This Row],[Unidad de Negocio]],Tabla8[Unidades de Negocio],0),2),0)</f>
        <v>Soja</v>
      </c>
      <c r="J18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87" s="481" t="s">
        <v>17</v>
      </c>
      <c r="L187" s="482"/>
      <c r="M187" s="483">
        <v>0</v>
      </c>
      <c r="N187" s="484" t="s">
        <v>387</v>
      </c>
      <c r="O187" s="690">
        <f>Producción_Agricola[[#This Row],[Superficie]]*Producción_Agricola[[#This Row],[Cantidad]]</f>
        <v>0</v>
      </c>
      <c r="P187" s="482">
        <v>7</v>
      </c>
      <c r="Q187" s="484" t="s">
        <v>3</v>
      </c>
      <c r="R187" s="485">
        <v>0.06</v>
      </c>
      <c r="S18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87" s="695">
        <f>IFERROR(Producción_Agricola[[#This Row],[Económico $Corrientes]]/Producción_Agricola[[#This Row],[Indexación Económico]],0)</f>
        <v>0</v>
      </c>
      <c r="U18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8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87" s="695">
        <f>IFERROR(Producción_Agricola[[#This Row],[Financiero $Corrientes]]/Producción_Agricola[[#This Row],[Indexación Financiero]],0)</f>
        <v>0</v>
      </c>
      <c r="X18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8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87" s="699">
        <f>IFERROR(Producción_Agricola[[#This Row],[Intereses $Corrientes]]/Producción_Agricola[[#This Row],[Indexación Financiero]],0)</f>
        <v>0</v>
      </c>
      <c r="AA18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87" s="701" t="str">
        <f>IFERROR(INDEX(Produccion_Agricola_Cuentas[],MATCH(Producción_Agricola[[#This Row],[Cuenta Contable]],Produccion_Agricola_Cuentas[Cuenta Contable],0),2),0)</f>
        <v>Egreso</v>
      </c>
      <c r="AC187" s="702" t="str">
        <f>IFERROR(INDEX(Tabla9[],MATCH(Producción_Agricola[[#This Row],[Movimiento]],Tabla9[Movimientos],0),2),0)</f>
        <v>Si</v>
      </c>
      <c r="AD187" s="703" t="str">
        <f>IFERROR(INDEX(Tabla9[],MATCH(Producción_Agricola[[#This Row],[Movimiento]],Tabla9[Movimientos],0),3),0)</f>
        <v>(-)</v>
      </c>
      <c r="AE187" s="698">
        <f>IF(Producción_Agricola[[#This Row],[Fecha Económico]]=0,0,MONTH(Producción_Agricola[[#This Row],[Fecha Económico]]))</f>
        <v>1</v>
      </c>
      <c r="AF187" s="699">
        <f>IF(Producción_Agricola[[#This Row],[Fecha Económico]]=0,0,YEAR(Producción_Agricola[[#This Row],[Fecha Económico]]))</f>
        <v>2019</v>
      </c>
      <c r="AG187" s="704">
        <f>SUMPRODUCT((Producción_Agricola[[#This Row],[Mes Económico]]=Tipo_Cambio[Mes])*(Producción_Agricola[[#This Row],[Año Económico]]=Tipo_Cambio[Año])*(Tipo_Cambio[$/U$S]))</f>
        <v>23.353443313221998</v>
      </c>
      <c r="AH187" s="703">
        <f>SUMPRODUCT((Producción_Agricola[[#This Row],[Mes Económico]]=Tipo_Cambio[Mes])*(Producción_Agricola[[#This Row],[Año Económico]]=Tipo_Cambio[Año])*(Tipo_Cambio[Actualización]))</f>
        <v>1.1261624192640001</v>
      </c>
      <c r="AI187" s="705">
        <f>IF(ISNUMBER(Producción_Agricola[[#This Row],[Fecha Financiero]])=TRUE,MONTH(Producción_Agricola[[#This Row],[Fecha Financiero]]),0)</f>
        <v>5</v>
      </c>
      <c r="AJ187" s="705">
        <f>IF(ISNUMBER(Producción_Agricola[[#This Row],[Fecha Financiero]])=TRUE,YEAR(Producción_Agricola[[#This Row],[Fecha Financiero]]),0)</f>
        <v>2019</v>
      </c>
      <c r="AK187" s="706">
        <f>SUMPRODUCT((Producción_Agricola[[#This Row],[Mes Financiero]]=Tipo_Cambio[Mes])*(Producción_Agricola[[#This Row],[Año Financiero]]=Tipo_Cambio[Año])*(Tipo_Cambio[$/U$S]))</f>
        <v>24.301686759046497</v>
      </c>
      <c r="AL187" s="706">
        <f>SUMPRODUCT((Producción_Agricola[[#This Row],[Mes Financiero]]=Tipo_Cambio[Mes])*(Producción_Agricola[[#This Row],[Año Financiero]]=Tipo_Cambio[Año])*(Tipo_Cambio[Actualización]))</f>
        <v>1.2189944199947573</v>
      </c>
      <c r="AM187" s="709">
        <f>IFERROR(Producción_Agricola[[#This Row],[Económico $Corrientes]]/Producción_Agricola[[#This Row],[Superficie]],0)</f>
        <v>0</v>
      </c>
      <c r="AN187" s="710">
        <f>IFERROR(Producción_Agricola[[#This Row],[Económico $Constantes]]/Producción_Agricola[[#This Row],[Superficie]],0)</f>
        <v>0</v>
      </c>
      <c r="AO187" s="710">
        <f>IFERROR(Producción_Agricola[[#This Row],[Económico U$S Dólares]]/Producción_Agricola[[#This Row],[Superficie]],0)</f>
        <v>0</v>
      </c>
      <c r="AP187" s="711" t="str">
        <f>IF(Económico!$F$4=0,0,Producción_Agricola[[#This Row],[Centro de Costo]])</f>
        <v>Campo 1</v>
      </c>
      <c r="AQ187" s="512" t="s">
        <v>381</v>
      </c>
      <c r="AR187" s="513"/>
      <c r="AS187"/>
    </row>
    <row r="188" spans="1:45" x14ac:dyDescent="0.25">
      <c r="D188" s="478">
        <f t="shared" si="45"/>
        <v>43466</v>
      </c>
      <c r="E188" s="478">
        <v>43586</v>
      </c>
      <c r="F188" s="668" t="str">
        <f t="shared" si="40"/>
        <v>2018-2019</v>
      </c>
      <c r="G188" s="669" t="str">
        <f t="shared" si="38"/>
        <v>Campo 1</v>
      </c>
      <c r="H188" s="669" t="str">
        <f t="shared" si="39"/>
        <v>Soja de Primera</v>
      </c>
      <c r="I188" s="671" t="str">
        <f>IFERROR(INDEX(Tabla8[],MATCH(Producción_Agricola[[#This Row],[Unidad de Negocio]],Tabla8[Unidades de Negocio],0),2),0)</f>
        <v>Soja</v>
      </c>
      <c r="J18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88" s="481" t="s">
        <v>17</v>
      </c>
      <c r="L188" s="482" t="s">
        <v>363</v>
      </c>
      <c r="M188" s="483">
        <v>0</v>
      </c>
      <c r="N188" s="484" t="s">
        <v>387</v>
      </c>
      <c r="O188" s="690">
        <f>Producción_Agricola[[#This Row],[Superficie]]*Producción_Agricola[[#This Row],[Cantidad]]</f>
        <v>0</v>
      </c>
      <c r="P188" s="482">
        <v>18</v>
      </c>
      <c r="Q188" s="484" t="s">
        <v>3</v>
      </c>
      <c r="R188" s="485">
        <v>0.06</v>
      </c>
      <c r="S18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88" s="695">
        <f>IFERROR(Producción_Agricola[[#This Row],[Económico $Corrientes]]/Producción_Agricola[[#This Row],[Indexación Económico]],0)</f>
        <v>0</v>
      </c>
      <c r="U18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8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88" s="695">
        <f>IFERROR(Producción_Agricola[[#This Row],[Financiero $Corrientes]]/Producción_Agricola[[#This Row],[Indexación Financiero]],0)</f>
        <v>0</v>
      </c>
      <c r="X18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8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88" s="699">
        <f>IFERROR(Producción_Agricola[[#This Row],[Intereses $Corrientes]]/Producción_Agricola[[#This Row],[Indexación Financiero]],0)</f>
        <v>0</v>
      </c>
      <c r="AA18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88" s="701" t="str">
        <f>IFERROR(INDEX(Produccion_Agricola_Cuentas[],MATCH(Producción_Agricola[[#This Row],[Cuenta Contable]],Produccion_Agricola_Cuentas[Cuenta Contable],0),2),0)</f>
        <v>Egreso</v>
      </c>
      <c r="AC188" s="702" t="str">
        <f>IFERROR(INDEX(Tabla9[],MATCH(Producción_Agricola[[#This Row],[Movimiento]],Tabla9[Movimientos],0),2),0)</f>
        <v>Si</v>
      </c>
      <c r="AD188" s="703" t="str">
        <f>IFERROR(INDEX(Tabla9[],MATCH(Producción_Agricola[[#This Row],[Movimiento]],Tabla9[Movimientos],0),3),0)</f>
        <v>(-)</v>
      </c>
      <c r="AE188" s="698">
        <f>IF(Producción_Agricola[[#This Row],[Fecha Económico]]=0,0,MONTH(Producción_Agricola[[#This Row],[Fecha Económico]]))</f>
        <v>1</v>
      </c>
      <c r="AF188" s="699">
        <f>IF(Producción_Agricola[[#This Row],[Fecha Económico]]=0,0,YEAR(Producción_Agricola[[#This Row],[Fecha Económico]]))</f>
        <v>2019</v>
      </c>
      <c r="AG188" s="704">
        <f>SUMPRODUCT((Producción_Agricola[[#This Row],[Mes Económico]]=Tipo_Cambio[Mes])*(Producción_Agricola[[#This Row],[Año Económico]]=Tipo_Cambio[Año])*(Tipo_Cambio[$/U$S]))</f>
        <v>23.353443313221998</v>
      </c>
      <c r="AH188" s="703">
        <f>SUMPRODUCT((Producción_Agricola[[#This Row],[Mes Económico]]=Tipo_Cambio[Mes])*(Producción_Agricola[[#This Row],[Año Económico]]=Tipo_Cambio[Año])*(Tipo_Cambio[Actualización]))</f>
        <v>1.1261624192640001</v>
      </c>
      <c r="AI188" s="705">
        <f>IF(ISNUMBER(Producción_Agricola[[#This Row],[Fecha Financiero]])=TRUE,MONTH(Producción_Agricola[[#This Row],[Fecha Financiero]]),0)</f>
        <v>5</v>
      </c>
      <c r="AJ188" s="705">
        <f>IF(ISNUMBER(Producción_Agricola[[#This Row],[Fecha Financiero]])=TRUE,YEAR(Producción_Agricola[[#This Row],[Fecha Financiero]]),0)</f>
        <v>2019</v>
      </c>
      <c r="AK188" s="706">
        <f>SUMPRODUCT((Producción_Agricola[[#This Row],[Mes Financiero]]=Tipo_Cambio[Mes])*(Producción_Agricola[[#This Row],[Año Financiero]]=Tipo_Cambio[Año])*(Tipo_Cambio[$/U$S]))</f>
        <v>24.301686759046497</v>
      </c>
      <c r="AL188" s="706">
        <f>SUMPRODUCT((Producción_Agricola[[#This Row],[Mes Financiero]]=Tipo_Cambio[Mes])*(Producción_Agricola[[#This Row],[Año Financiero]]=Tipo_Cambio[Año])*(Tipo_Cambio[Actualización]))</f>
        <v>1.2189944199947573</v>
      </c>
      <c r="AM188" s="709">
        <f>IFERROR(Producción_Agricola[[#This Row],[Económico $Corrientes]]/Producción_Agricola[[#This Row],[Superficie]],0)</f>
        <v>0</v>
      </c>
      <c r="AN188" s="710">
        <f>IFERROR(Producción_Agricola[[#This Row],[Económico $Constantes]]/Producción_Agricola[[#This Row],[Superficie]],0)</f>
        <v>0</v>
      </c>
      <c r="AO188" s="710">
        <f>IFERROR(Producción_Agricola[[#This Row],[Económico U$S Dólares]]/Producción_Agricola[[#This Row],[Superficie]],0)</f>
        <v>0</v>
      </c>
      <c r="AP188" s="711" t="str">
        <f>IF(Económico!$F$4=0,0,Producción_Agricola[[#This Row],[Centro de Costo]])</f>
        <v>Campo 1</v>
      </c>
      <c r="AQ188" s="512" t="s">
        <v>381</v>
      </c>
      <c r="AR188" s="513"/>
      <c r="AS188"/>
    </row>
    <row r="189" spans="1:45" x14ac:dyDescent="0.25">
      <c r="D189" s="478">
        <f>D185+80</f>
        <v>43546</v>
      </c>
      <c r="E189" s="478">
        <f>Producción_Agricola[[#This Row],[Fecha Económico]]+30</f>
        <v>43576</v>
      </c>
      <c r="F189" s="668" t="str">
        <f t="shared" si="40"/>
        <v>2018-2019</v>
      </c>
      <c r="G189" s="669" t="str">
        <f t="shared" si="38"/>
        <v>Campo 1</v>
      </c>
      <c r="H189" s="669" t="str">
        <f t="shared" si="39"/>
        <v>Soja de Primera</v>
      </c>
      <c r="I189" s="671" t="str">
        <f>IFERROR(INDEX(Tabla8[],MATCH(Producción_Agricola[[#This Row],[Unidad de Negocio]],Tabla8[Unidades de Negocio],0),2),0)</f>
        <v>Soja</v>
      </c>
      <c r="J18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89" s="481" t="s">
        <v>25</v>
      </c>
      <c r="L189" s="482" t="s">
        <v>385</v>
      </c>
      <c r="M189" s="483">
        <v>0</v>
      </c>
      <c r="N189" s="484" t="s">
        <v>389</v>
      </c>
      <c r="O189" s="690">
        <f>Producción_Agricola[[#This Row],[Superficie]]*Producción_Agricola[[#This Row],[Cantidad]]</f>
        <v>0</v>
      </c>
      <c r="P189" s="482">
        <v>11</v>
      </c>
      <c r="Q189" s="484" t="s">
        <v>3</v>
      </c>
      <c r="R189" s="485">
        <v>0</v>
      </c>
      <c r="S18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89" s="695">
        <f>IFERROR(Producción_Agricola[[#This Row],[Económico $Corrientes]]/Producción_Agricola[[#This Row],[Indexación Económico]],0)</f>
        <v>0</v>
      </c>
      <c r="U189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8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89" s="695">
        <f>IFERROR(Producción_Agricola[[#This Row],[Financiero $Corrientes]]/Producción_Agricola[[#This Row],[Indexación Financiero]],0)</f>
        <v>0</v>
      </c>
      <c r="X18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8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89" s="699">
        <f>IFERROR(Producción_Agricola[[#This Row],[Intereses $Corrientes]]/Producción_Agricola[[#This Row],[Indexación Financiero]],0)</f>
        <v>0</v>
      </c>
      <c r="AA18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89" s="701" t="str">
        <f>IFERROR(INDEX(Produccion_Agricola_Cuentas[],MATCH(Producción_Agricola[[#This Row],[Cuenta Contable]],Produccion_Agricola_Cuentas[Cuenta Contable],0),2),0)</f>
        <v>Egreso</v>
      </c>
      <c r="AC189" s="702" t="str">
        <f>IFERROR(INDEX(Tabla9[],MATCH(Producción_Agricola[[#This Row],[Movimiento]],Tabla9[Movimientos],0),2),0)</f>
        <v>Si</v>
      </c>
      <c r="AD189" s="703" t="str">
        <f>IFERROR(INDEX(Tabla9[],MATCH(Producción_Agricola[[#This Row],[Movimiento]],Tabla9[Movimientos],0),3),0)</f>
        <v>(-)</v>
      </c>
      <c r="AE189" s="698">
        <f>IF(Producción_Agricola[[#This Row],[Fecha Económico]]=0,0,MONTH(Producción_Agricola[[#This Row],[Fecha Económico]]))</f>
        <v>3</v>
      </c>
      <c r="AF189" s="699">
        <f>IF(Producción_Agricola[[#This Row],[Fecha Económico]]=0,0,YEAR(Producción_Agricola[[#This Row],[Fecha Económico]]))</f>
        <v>2019</v>
      </c>
      <c r="AG189" s="704">
        <f>SUMPRODUCT((Producción_Agricola[[#This Row],[Mes Económico]]=Tipo_Cambio[Mes])*(Producción_Agricola[[#This Row],[Año Económico]]=Tipo_Cambio[Año])*(Tipo_Cambio[$/U$S]))</f>
        <v>23.82284752381776</v>
      </c>
      <c r="AH189" s="703">
        <f>SUMPRODUCT((Producción_Agricola[[#This Row],[Mes Económico]]=Tipo_Cambio[Mes])*(Producción_Agricola[[#This Row],[Año Económico]]=Tipo_Cambio[Año])*(Tipo_Cambio[Actualización]))</f>
        <v>1.1716593810022657</v>
      </c>
      <c r="AI189" s="705">
        <f>IF(ISNUMBER(Producción_Agricola[[#This Row],[Fecha Financiero]])=TRUE,MONTH(Producción_Agricola[[#This Row],[Fecha Financiero]]),0)</f>
        <v>4</v>
      </c>
      <c r="AJ189" s="705">
        <f>IF(ISNUMBER(Producción_Agricola[[#This Row],[Fecha Financiero]])=TRUE,YEAR(Producción_Agricola[[#This Row],[Fecha Financiero]]),0)</f>
        <v>2019</v>
      </c>
      <c r="AK189" s="706">
        <f>SUMPRODUCT((Producción_Agricola[[#This Row],[Mes Financiero]]=Tipo_Cambio[Mes])*(Producción_Agricola[[#This Row],[Año Financiero]]=Tipo_Cambio[Año])*(Tipo_Cambio[$/U$S]))</f>
        <v>24.061075999055937</v>
      </c>
      <c r="AL189" s="706">
        <f>SUMPRODUCT((Producción_Agricola[[#This Row],[Mes Financiero]]=Tipo_Cambio[Mes])*(Producción_Agricola[[#This Row],[Año Financiero]]=Tipo_Cambio[Año])*(Tipo_Cambio[Actualización]))</f>
        <v>1.1950925686223111</v>
      </c>
      <c r="AM189" s="709">
        <f>IFERROR(Producción_Agricola[[#This Row],[Económico $Corrientes]]/Producción_Agricola[[#This Row],[Superficie]],0)</f>
        <v>0</v>
      </c>
      <c r="AN189" s="710">
        <f>IFERROR(Producción_Agricola[[#This Row],[Económico $Constantes]]/Producción_Agricola[[#This Row],[Superficie]],0)</f>
        <v>0</v>
      </c>
      <c r="AO189" s="710">
        <f>IFERROR(Producción_Agricola[[#This Row],[Económico U$S Dólares]]/Producción_Agricola[[#This Row],[Superficie]],0)</f>
        <v>0</v>
      </c>
      <c r="AP189" s="711" t="str">
        <f>IF(Económico!$F$4=0,0,Producción_Agricola[[#This Row],[Centro de Costo]])</f>
        <v>Campo 1</v>
      </c>
      <c r="AQ189" s="512" t="s">
        <v>366</v>
      </c>
      <c r="AR189" s="513"/>
      <c r="AS189"/>
    </row>
    <row r="190" spans="1:45" x14ac:dyDescent="0.25">
      <c r="D190" s="478">
        <f>D189</f>
        <v>43546</v>
      </c>
      <c r="E190" s="478">
        <v>43586</v>
      </c>
      <c r="F190" s="668" t="str">
        <f t="shared" si="40"/>
        <v>2018-2019</v>
      </c>
      <c r="G190" s="669" t="str">
        <f t="shared" si="38"/>
        <v>Campo 1</v>
      </c>
      <c r="H190" s="669" t="str">
        <f t="shared" si="39"/>
        <v>Soja de Primera</v>
      </c>
      <c r="I190" s="671" t="str">
        <f>IFERROR(INDEX(Tabla8[],MATCH(Producción_Agricola[[#This Row],[Unidad de Negocio]],Tabla8[Unidades de Negocio],0),2),0)</f>
        <v>Soja</v>
      </c>
      <c r="J19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90" s="481" t="s">
        <v>23</v>
      </c>
      <c r="L190" s="482" t="s">
        <v>366</v>
      </c>
      <c r="M190" s="483">
        <v>0</v>
      </c>
      <c r="N190" s="484" t="s">
        <v>387</v>
      </c>
      <c r="O190" s="690">
        <f>Producción_Agricola[[#This Row],[Superficie]]*Producción_Agricola[[#This Row],[Cantidad]]</f>
        <v>0</v>
      </c>
      <c r="P190" s="482">
        <v>60</v>
      </c>
      <c r="Q190" s="484" t="s">
        <v>3</v>
      </c>
      <c r="R190" s="485">
        <v>0.06</v>
      </c>
      <c r="S19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90" s="695">
        <f>IFERROR(Producción_Agricola[[#This Row],[Económico $Corrientes]]/Producción_Agricola[[#This Row],[Indexación Económico]],0)</f>
        <v>0</v>
      </c>
      <c r="U190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9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90" s="695">
        <f>IFERROR(Producción_Agricola[[#This Row],[Financiero $Corrientes]]/Producción_Agricola[[#This Row],[Indexación Financiero]],0)</f>
        <v>0</v>
      </c>
      <c r="X19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9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90" s="699">
        <f>IFERROR(Producción_Agricola[[#This Row],[Intereses $Corrientes]]/Producción_Agricola[[#This Row],[Indexación Financiero]],0)</f>
        <v>0</v>
      </c>
      <c r="AA19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90" s="701" t="str">
        <f>IFERROR(INDEX(Produccion_Agricola_Cuentas[],MATCH(Producción_Agricola[[#This Row],[Cuenta Contable]],Produccion_Agricola_Cuentas[Cuenta Contable],0),2),0)</f>
        <v>Egreso</v>
      </c>
      <c r="AC190" s="702" t="str">
        <f>IFERROR(INDEX(Tabla9[],MATCH(Producción_Agricola[[#This Row],[Movimiento]],Tabla9[Movimientos],0),2),0)</f>
        <v>Si</v>
      </c>
      <c r="AD190" s="703" t="str">
        <f>IFERROR(INDEX(Tabla9[],MATCH(Producción_Agricola[[#This Row],[Movimiento]],Tabla9[Movimientos],0),3),0)</f>
        <v>(-)</v>
      </c>
      <c r="AE190" s="698">
        <f>IF(Producción_Agricola[[#This Row],[Fecha Económico]]=0,0,MONTH(Producción_Agricola[[#This Row],[Fecha Económico]]))</f>
        <v>3</v>
      </c>
      <c r="AF190" s="699">
        <f>IF(Producción_Agricola[[#This Row],[Fecha Económico]]=0,0,YEAR(Producción_Agricola[[#This Row],[Fecha Económico]]))</f>
        <v>2019</v>
      </c>
      <c r="AG190" s="704">
        <f>SUMPRODUCT((Producción_Agricola[[#This Row],[Mes Económico]]=Tipo_Cambio[Mes])*(Producción_Agricola[[#This Row],[Año Económico]]=Tipo_Cambio[Año])*(Tipo_Cambio[$/U$S]))</f>
        <v>23.82284752381776</v>
      </c>
      <c r="AH190" s="703">
        <f>SUMPRODUCT((Producción_Agricola[[#This Row],[Mes Económico]]=Tipo_Cambio[Mes])*(Producción_Agricola[[#This Row],[Año Económico]]=Tipo_Cambio[Año])*(Tipo_Cambio[Actualización]))</f>
        <v>1.1716593810022657</v>
      </c>
      <c r="AI190" s="705">
        <f>IF(ISNUMBER(Producción_Agricola[[#This Row],[Fecha Financiero]])=TRUE,MONTH(Producción_Agricola[[#This Row],[Fecha Financiero]]),0)</f>
        <v>5</v>
      </c>
      <c r="AJ190" s="705">
        <f>IF(ISNUMBER(Producción_Agricola[[#This Row],[Fecha Financiero]])=TRUE,YEAR(Producción_Agricola[[#This Row],[Fecha Financiero]]),0)</f>
        <v>2019</v>
      </c>
      <c r="AK190" s="706">
        <f>SUMPRODUCT((Producción_Agricola[[#This Row],[Mes Financiero]]=Tipo_Cambio[Mes])*(Producción_Agricola[[#This Row],[Año Financiero]]=Tipo_Cambio[Año])*(Tipo_Cambio[$/U$S]))</f>
        <v>24.301686759046497</v>
      </c>
      <c r="AL190" s="706">
        <f>SUMPRODUCT((Producción_Agricola[[#This Row],[Mes Financiero]]=Tipo_Cambio[Mes])*(Producción_Agricola[[#This Row],[Año Financiero]]=Tipo_Cambio[Año])*(Tipo_Cambio[Actualización]))</f>
        <v>1.2189944199947573</v>
      </c>
      <c r="AM190" s="709">
        <f>IFERROR(Producción_Agricola[[#This Row],[Económico $Corrientes]]/Producción_Agricola[[#This Row],[Superficie]],0)</f>
        <v>0</v>
      </c>
      <c r="AN190" s="710">
        <f>IFERROR(Producción_Agricola[[#This Row],[Económico $Constantes]]/Producción_Agricola[[#This Row],[Superficie]],0)</f>
        <v>0</v>
      </c>
      <c r="AO190" s="710">
        <f>IFERROR(Producción_Agricola[[#This Row],[Económico U$S Dólares]]/Producción_Agricola[[#This Row],[Superficie]],0)</f>
        <v>0</v>
      </c>
      <c r="AP190" s="711" t="str">
        <f>IF(Económico!$F$4=0,0,Producción_Agricola[[#This Row],[Centro de Costo]])</f>
        <v>Campo 1</v>
      </c>
      <c r="AQ190" s="512" t="s">
        <v>366</v>
      </c>
      <c r="AR190" s="513"/>
      <c r="AS190"/>
    </row>
    <row r="191" spans="1:45" x14ac:dyDescent="0.25">
      <c r="D191" s="478">
        <f t="shared" ref="D191:D192" si="46">D190</f>
        <v>43546</v>
      </c>
      <c r="E191" s="478">
        <v>43586</v>
      </c>
      <c r="F191" s="668" t="str">
        <f t="shared" si="40"/>
        <v>2018-2019</v>
      </c>
      <c r="G191" s="669" t="str">
        <f t="shared" si="38"/>
        <v>Campo 1</v>
      </c>
      <c r="H191" s="669" t="str">
        <f t="shared" si="39"/>
        <v>Soja de Primera</v>
      </c>
      <c r="I191" s="671" t="str">
        <f>IFERROR(INDEX(Tabla8[],MATCH(Producción_Agricola[[#This Row],[Unidad de Negocio]],Tabla8[Unidades de Negocio],0),2),0)</f>
        <v>Soja</v>
      </c>
      <c r="J19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91" s="481" t="s">
        <v>22</v>
      </c>
      <c r="L191" s="482" t="s">
        <v>365</v>
      </c>
      <c r="M191" s="483">
        <v>0</v>
      </c>
      <c r="N191" s="484" t="s">
        <v>387</v>
      </c>
      <c r="O191" s="690">
        <f>Producción_Agricola[[#This Row],[Superficie]]*Producción_Agricola[[#This Row],[Cantidad]]</f>
        <v>0</v>
      </c>
      <c r="P191" s="482">
        <v>10</v>
      </c>
      <c r="Q191" s="484" t="s">
        <v>3</v>
      </c>
      <c r="R191" s="485">
        <v>0.06</v>
      </c>
      <c r="S19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91" s="695">
        <f>IFERROR(Producción_Agricola[[#This Row],[Económico $Corrientes]]/Producción_Agricola[[#This Row],[Indexación Económico]],0)</f>
        <v>0</v>
      </c>
      <c r="U191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9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91" s="695">
        <f>IFERROR(Producción_Agricola[[#This Row],[Financiero $Corrientes]]/Producción_Agricola[[#This Row],[Indexación Financiero]],0)</f>
        <v>0</v>
      </c>
      <c r="X19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9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91" s="699">
        <f>IFERROR(Producción_Agricola[[#This Row],[Intereses $Corrientes]]/Producción_Agricola[[#This Row],[Indexación Financiero]],0)</f>
        <v>0</v>
      </c>
      <c r="AA19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91" s="701" t="str">
        <f>IFERROR(INDEX(Produccion_Agricola_Cuentas[],MATCH(Producción_Agricola[[#This Row],[Cuenta Contable]],Produccion_Agricola_Cuentas[Cuenta Contable],0),2),0)</f>
        <v>Egreso</v>
      </c>
      <c r="AC191" s="702" t="str">
        <f>IFERROR(INDEX(Tabla9[],MATCH(Producción_Agricola[[#This Row],[Movimiento]],Tabla9[Movimientos],0),2),0)</f>
        <v>Si</v>
      </c>
      <c r="AD191" s="703" t="str">
        <f>IFERROR(INDEX(Tabla9[],MATCH(Producción_Agricola[[#This Row],[Movimiento]],Tabla9[Movimientos],0),3),0)</f>
        <v>(-)</v>
      </c>
      <c r="AE191" s="698">
        <f>IF(Producción_Agricola[[#This Row],[Fecha Económico]]=0,0,MONTH(Producción_Agricola[[#This Row],[Fecha Económico]]))</f>
        <v>3</v>
      </c>
      <c r="AF191" s="699">
        <f>IF(Producción_Agricola[[#This Row],[Fecha Económico]]=0,0,YEAR(Producción_Agricola[[#This Row],[Fecha Económico]]))</f>
        <v>2019</v>
      </c>
      <c r="AG191" s="704">
        <f>SUMPRODUCT((Producción_Agricola[[#This Row],[Mes Económico]]=Tipo_Cambio[Mes])*(Producción_Agricola[[#This Row],[Año Económico]]=Tipo_Cambio[Año])*(Tipo_Cambio[$/U$S]))</f>
        <v>23.82284752381776</v>
      </c>
      <c r="AH191" s="703">
        <f>SUMPRODUCT((Producción_Agricola[[#This Row],[Mes Económico]]=Tipo_Cambio[Mes])*(Producción_Agricola[[#This Row],[Año Económico]]=Tipo_Cambio[Año])*(Tipo_Cambio[Actualización]))</f>
        <v>1.1716593810022657</v>
      </c>
      <c r="AI191" s="705">
        <f>IF(ISNUMBER(Producción_Agricola[[#This Row],[Fecha Financiero]])=TRUE,MONTH(Producción_Agricola[[#This Row],[Fecha Financiero]]),0)</f>
        <v>5</v>
      </c>
      <c r="AJ191" s="705">
        <f>IF(ISNUMBER(Producción_Agricola[[#This Row],[Fecha Financiero]])=TRUE,YEAR(Producción_Agricola[[#This Row],[Fecha Financiero]]),0)</f>
        <v>2019</v>
      </c>
      <c r="AK191" s="706">
        <f>SUMPRODUCT((Producción_Agricola[[#This Row],[Mes Financiero]]=Tipo_Cambio[Mes])*(Producción_Agricola[[#This Row],[Año Financiero]]=Tipo_Cambio[Año])*(Tipo_Cambio[$/U$S]))</f>
        <v>24.301686759046497</v>
      </c>
      <c r="AL191" s="706">
        <f>SUMPRODUCT((Producción_Agricola[[#This Row],[Mes Financiero]]=Tipo_Cambio[Mes])*(Producción_Agricola[[#This Row],[Año Financiero]]=Tipo_Cambio[Año])*(Tipo_Cambio[Actualización]))</f>
        <v>1.2189944199947573</v>
      </c>
      <c r="AM191" s="709">
        <f>IFERROR(Producción_Agricola[[#This Row],[Económico $Corrientes]]/Producción_Agricola[[#This Row],[Superficie]],0)</f>
        <v>0</v>
      </c>
      <c r="AN191" s="710">
        <f>IFERROR(Producción_Agricola[[#This Row],[Económico $Constantes]]/Producción_Agricola[[#This Row],[Superficie]],0)</f>
        <v>0</v>
      </c>
      <c r="AO191" s="710">
        <f>IFERROR(Producción_Agricola[[#This Row],[Económico U$S Dólares]]/Producción_Agricola[[#This Row],[Superficie]],0)</f>
        <v>0</v>
      </c>
      <c r="AP191" s="711" t="str">
        <f>IF(Económico!$F$4=0,0,Producción_Agricola[[#This Row],[Centro de Costo]])</f>
        <v>Campo 1</v>
      </c>
      <c r="AQ191" s="512" t="s">
        <v>366</v>
      </c>
      <c r="AR191" s="513"/>
      <c r="AS191"/>
    </row>
    <row r="192" spans="1:45" s="19" customFormat="1" x14ac:dyDescent="0.25">
      <c r="A192" s="489"/>
      <c r="B192" s="489"/>
      <c r="C192" s="489"/>
      <c r="D192" s="478">
        <f t="shared" si="46"/>
        <v>43546</v>
      </c>
      <c r="E192" s="478">
        <v>43586</v>
      </c>
      <c r="F192" s="668" t="str">
        <f t="shared" si="40"/>
        <v>2018-2019</v>
      </c>
      <c r="G192" s="673" t="str">
        <f t="shared" si="38"/>
        <v>Campo 1</v>
      </c>
      <c r="H192" s="673" t="str">
        <f t="shared" si="39"/>
        <v>Soja de Primera</v>
      </c>
      <c r="I192" s="675" t="str">
        <f>IFERROR(INDEX(Tabla8[],MATCH(Producción_Agricola[[#This Row],[Unidad de Negocio]],Tabla8[Unidades de Negocio],0),2),0)</f>
        <v>Soja</v>
      </c>
      <c r="J19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92" s="481" t="s">
        <v>17</v>
      </c>
      <c r="L192" s="482" t="s">
        <v>363</v>
      </c>
      <c r="M192" s="483">
        <v>0</v>
      </c>
      <c r="N192" s="484" t="s">
        <v>387</v>
      </c>
      <c r="O192" s="690">
        <f>Producción_Agricola[[#This Row],[Superficie]]*Producción_Agricola[[#This Row],[Cantidad]]</f>
        <v>0</v>
      </c>
      <c r="P192" s="482">
        <v>18</v>
      </c>
      <c r="Q192" s="484" t="s">
        <v>3</v>
      </c>
      <c r="R192" s="485">
        <v>0.06</v>
      </c>
      <c r="S19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92" s="695">
        <f>IFERROR(Producción_Agricola[[#This Row],[Económico $Corrientes]]/Producción_Agricola[[#This Row],[Indexación Económico]],0)</f>
        <v>0</v>
      </c>
      <c r="U192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9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92" s="695">
        <f>IFERROR(Producción_Agricola[[#This Row],[Financiero $Corrientes]]/Producción_Agricola[[#This Row],[Indexación Financiero]],0)</f>
        <v>0</v>
      </c>
      <c r="X19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9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92" s="699">
        <f>IFERROR(Producción_Agricola[[#This Row],[Intereses $Corrientes]]/Producción_Agricola[[#This Row],[Indexación Financiero]],0)</f>
        <v>0</v>
      </c>
      <c r="AA19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92" s="701" t="str">
        <f>IFERROR(INDEX(Produccion_Agricola_Cuentas[],MATCH(Producción_Agricola[[#This Row],[Cuenta Contable]],Produccion_Agricola_Cuentas[Cuenta Contable],0),2),0)</f>
        <v>Egreso</v>
      </c>
      <c r="AC192" s="702" t="str">
        <f>IFERROR(INDEX(Tabla9[],MATCH(Producción_Agricola[[#This Row],[Movimiento]],Tabla9[Movimientos],0),2),0)</f>
        <v>Si</v>
      </c>
      <c r="AD192" s="703" t="str">
        <f>IFERROR(INDEX(Tabla9[],MATCH(Producción_Agricola[[#This Row],[Movimiento]],Tabla9[Movimientos],0),3),0)</f>
        <v>(-)</v>
      </c>
      <c r="AE192" s="698">
        <f>IF(Producción_Agricola[[#This Row],[Fecha Económico]]=0,0,MONTH(Producción_Agricola[[#This Row],[Fecha Económico]]))</f>
        <v>3</v>
      </c>
      <c r="AF192" s="699">
        <f>IF(Producción_Agricola[[#This Row],[Fecha Económico]]=0,0,YEAR(Producción_Agricola[[#This Row],[Fecha Económico]]))</f>
        <v>2019</v>
      </c>
      <c r="AG192" s="704">
        <f>SUMPRODUCT((Producción_Agricola[[#This Row],[Mes Económico]]=Tipo_Cambio[Mes])*(Producción_Agricola[[#This Row],[Año Económico]]=Tipo_Cambio[Año])*(Tipo_Cambio[$/U$S]))</f>
        <v>23.82284752381776</v>
      </c>
      <c r="AH192" s="703">
        <f>SUMPRODUCT((Producción_Agricola[[#This Row],[Mes Económico]]=Tipo_Cambio[Mes])*(Producción_Agricola[[#This Row],[Año Económico]]=Tipo_Cambio[Año])*(Tipo_Cambio[Actualización]))</f>
        <v>1.1716593810022657</v>
      </c>
      <c r="AI192" s="699">
        <f>IF(ISNUMBER(Producción_Agricola[[#This Row],[Fecha Financiero]])=TRUE,MONTH(Producción_Agricola[[#This Row],[Fecha Financiero]]),0)</f>
        <v>5</v>
      </c>
      <c r="AJ192" s="699">
        <f>IF(ISNUMBER(Producción_Agricola[[#This Row],[Fecha Financiero]])=TRUE,YEAR(Producción_Agricola[[#This Row],[Fecha Financiero]]),0)</f>
        <v>2019</v>
      </c>
      <c r="AK192" s="704">
        <f>SUMPRODUCT((Producción_Agricola[[#This Row],[Mes Financiero]]=Tipo_Cambio[Mes])*(Producción_Agricola[[#This Row],[Año Financiero]]=Tipo_Cambio[Año])*(Tipo_Cambio[$/U$S]))</f>
        <v>24.301686759046497</v>
      </c>
      <c r="AL192" s="704">
        <f>SUMPRODUCT((Producción_Agricola[[#This Row],[Mes Financiero]]=Tipo_Cambio[Mes])*(Producción_Agricola[[#This Row],[Año Financiero]]=Tipo_Cambio[Año])*(Tipo_Cambio[Actualización]))</f>
        <v>1.2189944199947573</v>
      </c>
      <c r="AM192" s="709">
        <f>IFERROR(Producción_Agricola[[#This Row],[Económico $Corrientes]]/Producción_Agricola[[#This Row],[Superficie]],0)</f>
        <v>0</v>
      </c>
      <c r="AN192" s="712">
        <f>IFERROR(Producción_Agricola[[#This Row],[Económico $Constantes]]/Producción_Agricola[[#This Row],[Superficie]],0)</f>
        <v>0</v>
      </c>
      <c r="AO192" s="712">
        <f>IFERROR(Producción_Agricola[[#This Row],[Económico U$S Dólares]]/Producción_Agricola[[#This Row],[Superficie]],0)</f>
        <v>0</v>
      </c>
      <c r="AP192" s="711" t="str">
        <f>IF(Económico!$F$4=0,0,Producción_Agricola[[#This Row],[Centro de Costo]])</f>
        <v>Campo 1</v>
      </c>
      <c r="AQ192" s="512" t="s">
        <v>366</v>
      </c>
      <c r="AR192" s="514"/>
    </row>
    <row r="193" spans="1:45" s="19" customFormat="1" x14ac:dyDescent="0.25">
      <c r="A193" s="489"/>
      <c r="B193" s="489"/>
      <c r="C193" s="489"/>
      <c r="D193" s="478">
        <f>D165-150</f>
        <v>43436</v>
      </c>
      <c r="E193" s="478">
        <f>Producción_Agricola[[#This Row],[Fecha Económico]]</f>
        <v>43436</v>
      </c>
      <c r="F193" s="668" t="str">
        <f t="shared" si="40"/>
        <v>2018-2019</v>
      </c>
      <c r="G193" s="673" t="str">
        <f t="shared" si="38"/>
        <v>Campo 1</v>
      </c>
      <c r="H193" s="673" t="str">
        <f t="shared" si="39"/>
        <v>Soja de Primera</v>
      </c>
      <c r="I193" s="675" t="str">
        <f>IFERROR(INDEX(Tabla8[],MATCH(Producción_Agricola[[#This Row],[Unidad de Negocio]],Tabla8[Unidades de Negocio],0),2),0)</f>
        <v>Soja</v>
      </c>
      <c r="J19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93" s="481" t="s">
        <v>53</v>
      </c>
      <c r="L193" s="482" t="s">
        <v>53</v>
      </c>
      <c r="M193" s="483">
        <v>0</v>
      </c>
      <c r="N193" s="484" t="s">
        <v>389</v>
      </c>
      <c r="O193" s="690">
        <f>Producción_Agricola[[#This Row],[Superficie]]*Producción_Agricola[[#This Row],[Cantidad]]</f>
        <v>0</v>
      </c>
      <c r="P193" s="482">
        <v>60</v>
      </c>
      <c r="Q193" s="484" t="s">
        <v>3</v>
      </c>
      <c r="R193" s="485"/>
      <c r="S19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93" s="695">
        <f>IFERROR(Producción_Agricola[[#This Row],[Económico $Corrientes]]/Producción_Agricola[[#This Row],[Indexación Económico]],0)</f>
        <v>0</v>
      </c>
      <c r="U193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9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93" s="695">
        <f>IFERROR(Producción_Agricola[[#This Row],[Financiero $Corrientes]]/Producción_Agricola[[#This Row],[Indexación Financiero]],0)</f>
        <v>0</v>
      </c>
      <c r="X19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9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93" s="699">
        <f>IFERROR(Producción_Agricola[[#This Row],[Intereses $Corrientes]]/Producción_Agricola[[#This Row],[Indexación Financiero]],0)</f>
        <v>0</v>
      </c>
      <c r="AA19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93" s="701" t="str">
        <f>IFERROR(INDEX(Produccion_Agricola_Cuentas[],MATCH(Producción_Agricola[[#This Row],[Cuenta Contable]],Produccion_Agricola_Cuentas[Cuenta Contable],0),2),0)</f>
        <v>Egreso</v>
      </c>
      <c r="AC193" s="702" t="str">
        <f>IFERROR(INDEX(Tabla9[],MATCH(Producción_Agricola[[#This Row],[Movimiento]],Tabla9[Movimientos],0),2),0)</f>
        <v>Si</v>
      </c>
      <c r="AD193" s="703" t="str">
        <f>IFERROR(INDEX(Tabla9[],MATCH(Producción_Agricola[[#This Row],[Movimiento]],Tabla9[Movimientos],0),3),0)</f>
        <v>(-)</v>
      </c>
      <c r="AE193" s="698">
        <f>IF(Producción_Agricola[[#This Row],[Fecha Económico]]=0,0,MONTH(Producción_Agricola[[#This Row],[Fecha Económico]]))</f>
        <v>12</v>
      </c>
      <c r="AF193" s="699">
        <f>IF(Producción_Agricola[[#This Row],[Fecha Económico]]=0,0,YEAR(Producción_Agricola[[#This Row],[Fecha Económico]]))</f>
        <v>2018</v>
      </c>
      <c r="AG193" s="704">
        <f>SUMPRODUCT((Producción_Agricola[[#This Row],[Mes Económico]]=Tipo_Cambio[Mes])*(Producción_Agricola[[#This Row],[Año Económico]]=Tipo_Cambio[Año])*(Tipo_Cambio[$/U$S]))</f>
        <v>23.122221102199997</v>
      </c>
      <c r="AH193" s="703">
        <f>SUMPRODUCT((Producción_Agricola[[#This Row],[Mes Económico]]=Tipo_Cambio[Mes])*(Producción_Agricola[[#This Row],[Año Económico]]=Tipo_Cambio[Año])*(Tipo_Cambio[Actualización]))</f>
        <v>1.1040808032</v>
      </c>
      <c r="AI193" s="699">
        <f>IF(ISNUMBER(Producción_Agricola[[#This Row],[Fecha Financiero]])=TRUE,MONTH(Producción_Agricola[[#This Row],[Fecha Financiero]]),0)</f>
        <v>12</v>
      </c>
      <c r="AJ193" s="699">
        <f>IF(ISNUMBER(Producción_Agricola[[#This Row],[Fecha Financiero]])=TRUE,YEAR(Producción_Agricola[[#This Row],[Fecha Financiero]]),0)</f>
        <v>2018</v>
      </c>
      <c r="AK193" s="704">
        <f>SUMPRODUCT((Producción_Agricola[[#This Row],[Mes Financiero]]=Tipo_Cambio[Mes])*(Producción_Agricola[[#This Row],[Año Financiero]]=Tipo_Cambio[Año])*(Tipo_Cambio[$/U$S]))</f>
        <v>23.122221102199997</v>
      </c>
      <c r="AL193" s="704">
        <f>SUMPRODUCT((Producción_Agricola[[#This Row],[Mes Financiero]]=Tipo_Cambio[Mes])*(Producción_Agricola[[#This Row],[Año Financiero]]=Tipo_Cambio[Año])*(Tipo_Cambio[Actualización]))</f>
        <v>1.1040808032</v>
      </c>
      <c r="AM193" s="709">
        <f>IFERROR(Producción_Agricola[[#This Row],[Económico $Corrientes]]/Producción_Agricola[[#This Row],[Superficie]],0)</f>
        <v>0</v>
      </c>
      <c r="AN193" s="712">
        <f>IFERROR(Producción_Agricola[[#This Row],[Económico $Constantes]]/Producción_Agricola[[#This Row],[Superficie]],0)</f>
        <v>0</v>
      </c>
      <c r="AO193" s="712">
        <f>IFERROR(Producción_Agricola[[#This Row],[Económico U$S Dólares]]/Producción_Agricola[[#This Row],[Superficie]],0)</f>
        <v>0</v>
      </c>
      <c r="AP193" s="711" t="str">
        <f>IF(Económico!$F$4=0,0,Producción_Agricola[[#This Row],[Centro de Costo]])</f>
        <v>Campo 1</v>
      </c>
      <c r="AQ193" s="512" t="s">
        <v>53</v>
      </c>
      <c r="AR193" s="514"/>
    </row>
    <row r="194" spans="1:45" x14ac:dyDescent="0.25">
      <c r="D194" s="478">
        <f>D165-300</f>
        <v>43286</v>
      </c>
      <c r="E194" s="478">
        <f>Producción_Agricola[[#This Row],[Fecha Económico]]</f>
        <v>43286</v>
      </c>
      <c r="F194" s="668" t="str">
        <f t="shared" si="40"/>
        <v>2018-2019</v>
      </c>
      <c r="G194" s="673" t="str">
        <f t="shared" si="38"/>
        <v>Campo 1</v>
      </c>
      <c r="H194" s="673" t="str">
        <f t="shared" si="39"/>
        <v>Soja de Primera</v>
      </c>
      <c r="I194" s="675" t="str">
        <f>IFERROR(INDEX(Tabla8[],MATCH(Producción_Agricola[[#This Row],[Unidad de Negocio]],Tabla8[Unidades de Negocio],0),2),0)</f>
        <v>Soja</v>
      </c>
      <c r="J19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94" s="481" t="s">
        <v>56</v>
      </c>
      <c r="L194" s="482" t="s">
        <v>373</v>
      </c>
      <c r="M194" s="483">
        <v>0</v>
      </c>
      <c r="N194" s="484" t="s">
        <v>377</v>
      </c>
      <c r="O194" s="690">
        <f>Producción_Agricola[[#This Row],[Superficie]]*Producción_Agricola[[#This Row],[Cantidad]]</f>
        <v>0</v>
      </c>
      <c r="P194" s="482">
        <v>280</v>
      </c>
      <c r="Q194" s="484" t="s">
        <v>3</v>
      </c>
      <c r="R194" s="485"/>
      <c r="S19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94" s="695">
        <f>IFERROR(Producción_Agricola[[#This Row],[Económico $Corrientes]]/Producción_Agricola[[#This Row],[Indexación Económico]],0)</f>
        <v>0</v>
      </c>
      <c r="U194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9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94" s="695">
        <f>IFERROR(Producción_Agricola[[#This Row],[Financiero $Corrientes]]/Producción_Agricola[[#This Row],[Indexación Financiero]],0)</f>
        <v>0</v>
      </c>
      <c r="X19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9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94" s="699">
        <f>IFERROR(Producción_Agricola[[#This Row],[Intereses $Corrientes]]/Producción_Agricola[[#This Row],[Indexación Financiero]],0)</f>
        <v>0</v>
      </c>
      <c r="AA19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94" s="701" t="str">
        <f>IFERROR(INDEX(Produccion_Agricola_Cuentas[],MATCH(Producción_Agricola[[#This Row],[Cuenta Contable]],Produccion_Agricola_Cuentas[Cuenta Contable],0),2),0)</f>
        <v>Egreso</v>
      </c>
      <c r="AC194" s="702" t="str">
        <f>IFERROR(INDEX(Tabla9[],MATCH(Producción_Agricola[[#This Row],[Movimiento]],Tabla9[Movimientos],0),2),0)</f>
        <v>Si</v>
      </c>
      <c r="AD194" s="703" t="str">
        <f>IFERROR(INDEX(Tabla9[],MATCH(Producción_Agricola[[#This Row],[Movimiento]],Tabla9[Movimientos],0),3),0)</f>
        <v>(-)</v>
      </c>
      <c r="AE194" s="698">
        <f>IF(Producción_Agricola[[#This Row],[Fecha Económico]]=0,0,MONTH(Producción_Agricola[[#This Row],[Fecha Económico]]))</f>
        <v>7</v>
      </c>
      <c r="AF194" s="699">
        <f>IF(Producción_Agricola[[#This Row],[Fecha Económico]]=0,0,YEAR(Producción_Agricola[[#This Row],[Fecha Económico]]))</f>
        <v>2018</v>
      </c>
      <c r="AG194" s="704">
        <f>SUMPRODUCT((Producción_Agricola[[#This Row],[Mes Económico]]=Tipo_Cambio[Mes])*(Producción_Agricola[[#This Row],[Año Económico]]=Tipo_Cambio[Año])*(Tipo_Cambio[$/U$S]))</f>
        <v>22</v>
      </c>
      <c r="AH194" s="703">
        <f>SUMPRODUCT((Producción_Agricola[[#This Row],[Mes Económico]]=Tipo_Cambio[Mes])*(Producción_Agricola[[#This Row],[Año Económico]]=Tipo_Cambio[Año])*(Tipo_Cambio[Actualización]))</f>
        <v>1</v>
      </c>
      <c r="AI194" s="705">
        <f>IF(ISNUMBER(Producción_Agricola[[#This Row],[Fecha Financiero]])=TRUE,MONTH(Producción_Agricola[[#This Row],[Fecha Financiero]]),0)</f>
        <v>7</v>
      </c>
      <c r="AJ194" s="705">
        <f>IF(ISNUMBER(Producción_Agricola[[#This Row],[Fecha Financiero]])=TRUE,YEAR(Producción_Agricola[[#This Row],[Fecha Financiero]]),0)</f>
        <v>2018</v>
      </c>
      <c r="AK194" s="706">
        <f>SUMPRODUCT((Producción_Agricola[[#This Row],[Mes Financiero]]=Tipo_Cambio[Mes])*(Producción_Agricola[[#This Row],[Año Financiero]]=Tipo_Cambio[Año])*(Tipo_Cambio[$/U$S]))</f>
        <v>22</v>
      </c>
      <c r="AL194" s="706">
        <f>SUMPRODUCT((Producción_Agricola[[#This Row],[Mes Financiero]]=Tipo_Cambio[Mes])*(Producción_Agricola[[#This Row],[Año Financiero]]=Tipo_Cambio[Año])*(Tipo_Cambio[Actualización]))</f>
        <v>1</v>
      </c>
      <c r="AM194" s="709">
        <f>IFERROR(Producción_Agricola[[#This Row],[Económico $Corrientes]]/Producción_Agricola[[#This Row],[Superficie]],0)</f>
        <v>0</v>
      </c>
      <c r="AN194" s="710">
        <f>IFERROR(Producción_Agricola[[#This Row],[Económico $Constantes]]/Producción_Agricola[[#This Row],[Superficie]],0)</f>
        <v>0</v>
      </c>
      <c r="AO194" s="710">
        <f>IFERROR(Producción_Agricola[[#This Row],[Económico U$S Dólares]]/Producción_Agricola[[#This Row],[Superficie]],0)</f>
        <v>0</v>
      </c>
      <c r="AP194" s="711" t="str">
        <f>IF(Económico!$F$4=0,0,Producción_Agricola[[#This Row],[Centro de Costo]])</f>
        <v>Campo 1</v>
      </c>
      <c r="AQ194" s="512" t="s">
        <v>56</v>
      </c>
      <c r="AR194" s="513"/>
      <c r="AS194"/>
    </row>
    <row r="195" spans="1:45" x14ac:dyDescent="0.25">
      <c r="D195" s="478">
        <f>D194+90</f>
        <v>43376</v>
      </c>
      <c r="E195" s="478">
        <f>Producción_Agricola[[#This Row],[Fecha Económico]]</f>
        <v>43376</v>
      </c>
      <c r="F195" s="668" t="str">
        <f t="shared" si="40"/>
        <v>2018-2019</v>
      </c>
      <c r="G195" s="673" t="str">
        <f t="shared" si="38"/>
        <v>Campo 1</v>
      </c>
      <c r="H195" s="673" t="str">
        <f t="shared" si="39"/>
        <v>Soja de Primera</v>
      </c>
      <c r="I195" s="675" t="str">
        <f>IFERROR(INDEX(Tabla8[],MATCH(Producción_Agricola[[#This Row],[Unidad de Negocio]],Tabla8[Unidades de Negocio],0),2),0)</f>
        <v>Soja</v>
      </c>
      <c r="J19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95" s="481" t="s">
        <v>56</v>
      </c>
      <c r="L195" s="482" t="s">
        <v>374</v>
      </c>
      <c r="M195" s="483">
        <v>0</v>
      </c>
      <c r="N195" s="484" t="s">
        <v>377</v>
      </c>
      <c r="O195" s="690">
        <f>Producción_Agricola[[#This Row],[Superficie]]*Producción_Agricola[[#This Row],[Cantidad]]</f>
        <v>0</v>
      </c>
      <c r="P195" s="482">
        <v>280</v>
      </c>
      <c r="Q195" s="484" t="s">
        <v>3</v>
      </c>
      <c r="R195" s="485"/>
      <c r="S19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95" s="695">
        <f>IFERROR(Producción_Agricola[[#This Row],[Económico $Corrientes]]/Producción_Agricola[[#This Row],[Indexación Económico]],0)</f>
        <v>0</v>
      </c>
      <c r="U195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9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95" s="695">
        <f>IFERROR(Producción_Agricola[[#This Row],[Financiero $Corrientes]]/Producción_Agricola[[#This Row],[Indexación Financiero]],0)</f>
        <v>0</v>
      </c>
      <c r="X19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9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95" s="699">
        <f>IFERROR(Producción_Agricola[[#This Row],[Intereses $Corrientes]]/Producción_Agricola[[#This Row],[Indexación Financiero]],0)</f>
        <v>0</v>
      </c>
      <c r="AA19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95" s="701" t="str">
        <f>IFERROR(INDEX(Produccion_Agricola_Cuentas[],MATCH(Producción_Agricola[[#This Row],[Cuenta Contable]],Produccion_Agricola_Cuentas[Cuenta Contable],0),2),0)</f>
        <v>Egreso</v>
      </c>
      <c r="AC195" s="702" t="str">
        <f>IFERROR(INDEX(Tabla9[],MATCH(Producción_Agricola[[#This Row],[Movimiento]],Tabla9[Movimientos],0),2),0)</f>
        <v>Si</v>
      </c>
      <c r="AD195" s="703" t="str">
        <f>IFERROR(INDEX(Tabla9[],MATCH(Producción_Agricola[[#This Row],[Movimiento]],Tabla9[Movimientos],0),3),0)</f>
        <v>(-)</v>
      </c>
      <c r="AE195" s="698">
        <f>IF(Producción_Agricola[[#This Row],[Fecha Económico]]=0,0,MONTH(Producción_Agricola[[#This Row],[Fecha Económico]]))</f>
        <v>10</v>
      </c>
      <c r="AF195" s="699">
        <f>IF(Producción_Agricola[[#This Row],[Fecha Económico]]=0,0,YEAR(Producción_Agricola[[#This Row],[Fecha Económico]]))</f>
        <v>2018</v>
      </c>
      <c r="AG195" s="704">
        <f>SUMPRODUCT((Producción_Agricola[[#This Row],[Mes Económico]]=Tipo_Cambio[Mes])*(Producción_Agricola[[#This Row],[Año Económico]]=Tipo_Cambio[Año])*(Tipo_Cambio[$/U$S]))</f>
        <v>22.666622</v>
      </c>
      <c r="AH195" s="703">
        <f>SUMPRODUCT((Producción_Agricola[[#This Row],[Mes Económico]]=Tipo_Cambio[Mes])*(Producción_Agricola[[#This Row],[Año Económico]]=Tipo_Cambio[Año])*(Tipo_Cambio[Actualización]))</f>
        <v>1.0612079999999999</v>
      </c>
      <c r="AI195" s="699">
        <f>IF(ISNUMBER(Producción_Agricola[[#This Row],[Fecha Financiero]])=TRUE,MONTH(Producción_Agricola[[#This Row],[Fecha Financiero]]),0)</f>
        <v>10</v>
      </c>
      <c r="AJ195" s="699">
        <f>IF(ISNUMBER(Producción_Agricola[[#This Row],[Fecha Financiero]])=TRUE,YEAR(Producción_Agricola[[#This Row],[Fecha Financiero]]),0)</f>
        <v>2018</v>
      </c>
      <c r="AK195" s="704">
        <f>SUMPRODUCT((Producción_Agricola[[#This Row],[Mes Financiero]]=Tipo_Cambio[Mes])*(Producción_Agricola[[#This Row],[Año Financiero]]=Tipo_Cambio[Año])*(Tipo_Cambio[$/U$S]))</f>
        <v>22.666622</v>
      </c>
      <c r="AL195" s="704">
        <f>SUMPRODUCT((Producción_Agricola[[#This Row],[Mes Financiero]]=Tipo_Cambio[Mes])*(Producción_Agricola[[#This Row],[Año Financiero]]=Tipo_Cambio[Año])*(Tipo_Cambio[Actualización]))</f>
        <v>1.0612079999999999</v>
      </c>
      <c r="AM195" s="709">
        <f>IFERROR(Producción_Agricola[[#This Row],[Económico $Corrientes]]/Producción_Agricola[[#This Row],[Superficie]],0)</f>
        <v>0</v>
      </c>
      <c r="AN195" s="712">
        <f>IFERROR(Producción_Agricola[[#This Row],[Económico $Constantes]]/Producción_Agricola[[#This Row],[Superficie]],0)</f>
        <v>0</v>
      </c>
      <c r="AO195" s="712">
        <f>IFERROR(Producción_Agricola[[#This Row],[Económico U$S Dólares]]/Producción_Agricola[[#This Row],[Superficie]],0)</f>
        <v>0</v>
      </c>
      <c r="AP195" s="711" t="str">
        <f>IF(Económico!$F$4=0,0,Producción_Agricola[[#This Row],[Centro de Costo]])</f>
        <v>Campo 1</v>
      </c>
      <c r="AQ195" s="512" t="s">
        <v>56</v>
      </c>
      <c r="AR195" s="513"/>
      <c r="AS195"/>
    </row>
    <row r="196" spans="1:45" x14ac:dyDescent="0.25">
      <c r="D196" s="478">
        <f>D195+90</f>
        <v>43466</v>
      </c>
      <c r="E196" s="478">
        <f>Producción_Agricola[[#This Row],[Fecha Económico]]</f>
        <v>43466</v>
      </c>
      <c r="F196" s="668" t="str">
        <f t="shared" si="40"/>
        <v>2018-2019</v>
      </c>
      <c r="G196" s="673" t="str">
        <f t="shared" si="38"/>
        <v>Campo 1</v>
      </c>
      <c r="H196" s="673" t="str">
        <f t="shared" si="39"/>
        <v>Soja de Primera</v>
      </c>
      <c r="I196" s="675" t="str">
        <f>IFERROR(INDEX(Tabla8[],MATCH(Producción_Agricola[[#This Row],[Unidad de Negocio]],Tabla8[Unidades de Negocio],0),2),0)</f>
        <v>Soja</v>
      </c>
      <c r="J19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96" s="481" t="s">
        <v>56</v>
      </c>
      <c r="L196" s="482" t="s">
        <v>375</v>
      </c>
      <c r="M196" s="483">
        <v>0</v>
      </c>
      <c r="N196" s="484" t="s">
        <v>377</v>
      </c>
      <c r="O196" s="690">
        <f>Producción_Agricola[[#This Row],[Superficie]]*Producción_Agricola[[#This Row],[Cantidad]]</f>
        <v>0</v>
      </c>
      <c r="P196" s="482">
        <v>280</v>
      </c>
      <c r="Q196" s="484" t="s">
        <v>3</v>
      </c>
      <c r="R196" s="485"/>
      <c r="S19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96" s="695">
        <f>IFERROR(Producción_Agricola[[#This Row],[Económico $Corrientes]]/Producción_Agricola[[#This Row],[Indexación Económico]],0)</f>
        <v>0</v>
      </c>
      <c r="U196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9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96" s="695">
        <f>IFERROR(Producción_Agricola[[#This Row],[Financiero $Corrientes]]/Producción_Agricola[[#This Row],[Indexación Financiero]],0)</f>
        <v>0</v>
      </c>
      <c r="X19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9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96" s="699">
        <f>IFERROR(Producción_Agricola[[#This Row],[Intereses $Corrientes]]/Producción_Agricola[[#This Row],[Indexación Financiero]],0)</f>
        <v>0</v>
      </c>
      <c r="AA19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96" s="701" t="str">
        <f>IFERROR(INDEX(Produccion_Agricola_Cuentas[],MATCH(Producción_Agricola[[#This Row],[Cuenta Contable]],Produccion_Agricola_Cuentas[Cuenta Contable],0),2),0)</f>
        <v>Egreso</v>
      </c>
      <c r="AC196" s="702" t="str">
        <f>IFERROR(INDEX(Tabla9[],MATCH(Producción_Agricola[[#This Row],[Movimiento]],Tabla9[Movimientos],0),2),0)</f>
        <v>Si</v>
      </c>
      <c r="AD196" s="703" t="str">
        <f>IFERROR(INDEX(Tabla9[],MATCH(Producción_Agricola[[#This Row],[Movimiento]],Tabla9[Movimientos],0),3),0)</f>
        <v>(-)</v>
      </c>
      <c r="AE196" s="698">
        <f>IF(Producción_Agricola[[#This Row],[Fecha Económico]]=0,0,MONTH(Producción_Agricola[[#This Row],[Fecha Económico]]))</f>
        <v>1</v>
      </c>
      <c r="AF196" s="699">
        <f>IF(Producción_Agricola[[#This Row],[Fecha Económico]]=0,0,YEAR(Producción_Agricola[[#This Row],[Fecha Económico]]))</f>
        <v>2019</v>
      </c>
      <c r="AG196" s="704">
        <f>SUMPRODUCT((Producción_Agricola[[#This Row],[Mes Económico]]=Tipo_Cambio[Mes])*(Producción_Agricola[[#This Row],[Año Económico]]=Tipo_Cambio[Año])*(Tipo_Cambio[$/U$S]))</f>
        <v>23.353443313221998</v>
      </c>
      <c r="AH196" s="703">
        <f>SUMPRODUCT((Producción_Agricola[[#This Row],[Mes Económico]]=Tipo_Cambio[Mes])*(Producción_Agricola[[#This Row],[Año Económico]]=Tipo_Cambio[Año])*(Tipo_Cambio[Actualización]))</f>
        <v>1.1261624192640001</v>
      </c>
      <c r="AI196" s="699">
        <f>IF(ISNUMBER(Producción_Agricola[[#This Row],[Fecha Financiero]])=TRUE,MONTH(Producción_Agricola[[#This Row],[Fecha Financiero]]),0)</f>
        <v>1</v>
      </c>
      <c r="AJ196" s="699">
        <f>IF(ISNUMBER(Producción_Agricola[[#This Row],[Fecha Financiero]])=TRUE,YEAR(Producción_Agricola[[#This Row],[Fecha Financiero]]),0)</f>
        <v>2019</v>
      </c>
      <c r="AK196" s="704">
        <f>SUMPRODUCT((Producción_Agricola[[#This Row],[Mes Financiero]]=Tipo_Cambio[Mes])*(Producción_Agricola[[#This Row],[Año Financiero]]=Tipo_Cambio[Año])*(Tipo_Cambio[$/U$S]))</f>
        <v>23.353443313221998</v>
      </c>
      <c r="AL196" s="704">
        <f>SUMPRODUCT((Producción_Agricola[[#This Row],[Mes Financiero]]=Tipo_Cambio[Mes])*(Producción_Agricola[[#This Row],[Año Financiero]]=Tipo_Cambio[Año])*(Tipo_Cambio[Actualización]))</f>
        <v>1.1261624192640001</v>
      </c>
      <c r="AM196" s="709">
        <f>IFERROR(Producción_Agricola[[#This Row],[Económico $Corrientes]]/Producción_Agricola[[#This Row],[Superficie]],0)</f>
        <v>0</v>
      </c>
      <c r="AN196" s="712">
        <f>IFERROR(Producción_Agricola[[#This Row],[Económico $Constantes]]/Producción_Agricola[[#This Row],[Superficie]],0)</f>
        <v>0</v>
      </c>
      <c r="AO196" s="712">
        <f>IFERROR(Producción_Agricola[[#This Row],[Económico U$S Dólares]]/Producción_Agricola[[#This Row],[Superficie]],0)</f>
        <v>0</v>
      </c>
      <c r="AP196" s="711" t="str">
        <f>IF(Económico!$F$4=0,0,Producción_Agricola[[#This Row],[Centro de Costo]])</f>
        <v>Campo 1</v>
      </c>
      <c r="AQ196" s="512" t="s">
        <v>56</v>
      </c>
      <c r="AR196" s="513"/>
      <c r="AS196"/>
    </row>
    <row r="197" spans="1:45" x14ac:dyDescent="0.25">
      <c r="D197" s="478">
        <f>D196+90</f>
        <v>43556</v>
      </c>
      <c r="E197" s="478">
        <f>Producción_Agricola[[#This Row],[Fecha Económico]]</f>
        <v>43556</v>
      </c>
      <c r="F197" s="668" t="str">
        <f t="shared" si="40"/>
        <v>2018-2019</v>
      </c>
      <c r="G197" s="673" t="str">
        <f t="shared" si="38"/>
        <v>Campo 1</v>
      </c>
      <c r="H197" s="673" t="str">
        <f t="shared" si="39"/>
        <v>Soja de Primera</v>
      </c>
      <c r="I197" s="675" t="str">
        <f>IFERROR(INDEX(Tabla8[],MATCH(Producción_Agricola[[#This Row],[Unidad de Negocio]],Tabla8[Unidades de Negocio],0),2),0)</f>
        <v>Soja</v>
      </c>
      <c r="J19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97" s="481" t="s">
        <v>56</v>
      </c>
      <c r="L197" s="482" t="s">
        <v>375</v>
      </c>
      <c r="M197" s="483">
        <v>0</v>
      </c>
      <c r="N197" s="484" t="s">
        <v>377</v>
      </c>
      <c r="O197" s="690">
        <f>Producción_Agricola[[#This Row],[Superficie]]*Producción_Agricola[[#This Row],[Cantidad]]</f>
        <v>0</v>
      </c>
      <c r="P197" s="482">
        <v>280</v>
      </c>
      <c r="Q197" s="484" t="s">
        <v>3</v>
      </c>
      <c r="R197" s="485"/>
      <c r="S19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97" s="695">
        <f>IFERROR(Producción_Agricola[[#This Row],[Económico $Corrientes]]/Producción_Agricola[[#This Row],[Indexación Económico]],0)</f>
        <v>0</v>
      </c>
      <c r="U197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9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97" s="695">
        <f>IFERROR(Producción_Agricola[[#This Row],[Financiero $Corrientes]]/Producción_Agricola[[#This Row],[Indexación Financiero]],0)</f>
        <v>0</v>
      </c>
      <c r="X19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9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97" s="699">
        <f>IFERROR(Producción_Agricola[[#This Row],[Intereses $Corrientes]]/Producción_Agricola[[#This Row],[Indexación Financiero]],0)</f>
        <v>0</v>
      </c>
      <c r="AA19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97" s="701" t="str">
        <f>IFERROR(INDEX(Produccion_Agricola_Cuentas[],MATCH(Producción_Agricola[[#This Row],[Cuenta Contable]],Produccion_Agricola_Cuentas[Cuenta Contable],0),2),0)</f>
        <v>Egreso</v>
      </c>
      <c r="AC197" s="702" t="str">
        <f>IFERROR(INDEX(Tabla9[],MATCH(Producción_Agricola[[#This Row],[Movimiento]],Tabla9[Movimientos],0),2),0)</f>
        <v>Si</v>
      </c>
      <c r="AD197" s="703" t="str">
        <f>IFERROR(INDEX(Tabla9[],MATCH(Producción_Agricola[[#This Row],[Movimiento]],Tabla9[Movimientos],0),3),0)</f>
        <v>(-)</v>
      </c>
      <c r="AE197" s="698">
        <f>IF(Producción_Agricola[[#This Row],[Fecha Económico]]=0,0,MONTH(Producción_Agricola[[#This Row],[Fecha Económico]]))</f>
        <v>4</v>
      </c>
      <c r="AF197" s="699">
        <f>IF(Producción_Agricola[[#This Row],[Fecha Económico]]=0,0,YEAR(Producción_Agricola[[#This Row],[Fecha Económico]]))</f>
        <v>2019</v>
      </c>
      <c r="AG197" s="704">
        <f>SUMPRODUCT((Producción_Agricola[[#This Row],[Mes Económico]]=Tipo_Cambio[Mes])*(Producción_Agricola[[#This Row],[Año Económico]]=Tipo_Cambio[Año])*(Tipo_Cambio[$/U$S]))</f>
        <v>24.061075999055937</v>
      </c>
      <c r="AH197" s="703">
        <f>SUMPRODUCT((Producción_Agricola[[#This Row],[Mes Económico]]=Tipo_Cambio[Mes])*(Producción_Agricola[[#This Row],[Año Económico]]=Tipo_Cambio[Año])*(Tipo_Cambio[Actualización]))</f>
        <v>1.1950925686223111</v>
      </c>
      <c r="AI197" s="699">
        <f>IF(ISNUMBER(Producción_Agricola[[#This Row],[Fecha Financiero]])=TRUE,MONTH(Producción_Agricola[[#This Row],[Fecha Financiero]]),0)</f>
        <v>4</v>
      </c>
      <c r="AJ197" s="699">
        <f>IF(ISNUMBER(Producción_Agricola[[#This Row],[Fecha Financiero]])=TRUE,YEAR(Producción_Agricola[[#This Row],[Fecha Financiero]]),0)</f>
        <v>2019</v>
      </c>
      <c r="AK197" s="704">
        <f>SUMPRODUCT((Producción_Agricola[[#This Row],[Mes Financiero]]=Tipo_Cambio[Mes])*(Producción_Agricola[[#This Row],[Año Financiero]]=Tipo_Cambio[Año])*(Tipo_Cambio[$/U$S]))</f>
        <v>24.061075999055937</v>
      </c>
      <c r="AL197" s="704">
        <f>SUMPRODUCT((Producción_Agricola[[#This Row],[Mes Financiero]]=Tipo_Cambio[Mes])*(Producción_Agricola[[#This Row],[Año Financiero]]=Tipo_Cambio[Año])*(Tipo_Cambio[Actualización]))</f>
        <v>1.1950925686223111</v>
      </c>
      <c r="AM197" s="709">
        <f>IFERROR(Producción_Agricola[[#This Row],[Económico $Corrientes]]/Producción_Agricola[[#This Row],[Superficie]],0)</f>
        <v>0</v>
      </c>
      <c r="AN197" s="712">
        <f>IFERROR(Producción_Agricola[[#This Row],[Económico $Constantes]]/Producción_Agricola[[#This Row],[Superficie]],0)</f>
        <v>0</v>
      </c>
      <c r="AO197" s="712">
        <f>IFERROR(Producción_Agricola[[#This Row],[Económico U$S Dólares]]/Producción_Agricola[[#This Row],[Superficie]],0)</f>
        <v>0</v>
      </c>
      <c r="AP197" s="711" t="str">
        <f>IF(Económico!$F$4=0,0,Producción_Agricola[[#This Row],[Centro de Costo]])</f>
        <v>Campo 1</v>
      </c>
      <c r="AQ197" s="512" t="s">
        <v>56</v>
      </c>
      <c r="AR197" s="513"/>
      <c r="AS197"/>
    </row>
    <row r="198" spans="1:45" x14ac:dyDescent="0.25">
      <c r="D198" s="478">
        <f>D196+90</f>
        <v>43556</v>
      </c>
      <c r="E198" s="493"/>
      <c r="F198" s="668" t="str">
        <f t="shared" si="40"/>
        <v>2018-2019</v>
      </c>
      <c r="G198" s="673" t="str">
        <f t="shared" si="38"/>
        <v>Campo 1</v>
      </c>
      <c r="H198" s="673" t="str">
        <f t="shared" si="39"/>
        <v>Soja de Primera</v>
      </c>
      <c r="I198" s="675" t="str">
        <f>IFERROR(INDEX(Tabla8[],MATCH(Producción_Agricola[[#This Row],[Unidad de Negocio]],Tabla8[Unidades de Negocio],0),2),0)</f>
        <v>Soja</v>
      </c>
      <c r="J19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98" s="491" t="s">
        <v>57</v>
      </c>
      <c r="L198" s="482"/>
      <c r="M198" s="483">
        <v>0</v>
      </c>
      <c r="N198" s="484" t="s">
        <v>377</v>
      </c>
      <c r="O198" s="690">
        <f>Producción_Agricola[[#This Row],[Superficie]]*Producción_Agricola[[#This Row],[Cantidad]]</f>
        <v>0</v>
      </c>
      <c r="P198" s="482">
        <v>280</v>
      </c>
      <c r="Q198" s="484" t="s">
        <v>3</v>
      </c>
      <c r="R198" s="485"/>
      <c r="S19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98" s="695">
        <f>IFERROR(Producción_Agricola[[#This Row],[Económico $Corrientes]]/Producción_Agricola[[#This Row],[Indexación Económico]],0)</f>
        <v>0</v>
      </c>
      <c r="U198" s="695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9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98" s="695">
        <f>IFERROR(Producción_Agricola[[#This Row],[Financiero $Corrientes]]/Producción_Agricola[[#This Row],[Indexación Financiero]],0)</f>
        <v>0</v>
      </c>
      <c r="X19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9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98" s="699">
        <f>IFERROR(Producción_Agricola[[#This Row],[Intereses $Corrientes]]/Producción_Agricola[[#This Row],[Indexación Financiero]],0)</f>
        <v>0</v>
      </c>
      <c r="AA19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98" s="701" t="str">
        <f>IFERROR(INDEX(Produccion_Agricola_Cuentas[],MATCH(Producción_Agricola[[#This Row],[Cuenta Contable]],Produccion_Agricola_Cuentas[Cuenta Contable],0),2),0)</f>
        <v>Egreso Cesión</v>
      </c>
      <c r="AC198" s="702" t="str">
        <f>IFERROR(INDEX(Tabla9[],MATCH(Producción_Agricola[[#This Row],[Movimiento]],Tabla9[Movimientos],0),2),0)</f>
        <v>No</v>
      </c>
      <c r="AD198" s="703" t="str">
        <f>IFERROR(INDEX(Tabla9[],MATCH(Producción_Agricola[[#This Row],[Movimiento]],Tabla9[Movimientos],0),3),0)</f>
        <v>(-)</v>
      </c>
      <c r="AE198" s="698">
        <f>IF(Producción_Agricola[[#This Row],[Fecha Económico]]=0,0,MONTH(Producción_Agricola[[#This Row],[Fecha Económico]]))</f>
        <v>4</v>
      </c>
      <c r="AF198" s="699">
        <f>IF(Producción_Agricola[[#This Row],[Fecha Económico]]=0,0,YEAR(Producción_Agricola[[#This Row],[Fecha Económico]]))</f>
        <v>2019</v>
      </c>
      <c r="AG198" s="704">
        <f>SUMPRODUCT((Producción_Agricola[[#This Row],[Mes Económico]]=Tipo_Cambio[Mes])*(Producción_Agricola[[#This Row],[Año Económico]]=Tipo_Cambio[Año])*(Tipo_Cambio[$/U$S]))</f>
        <v>24.061075999055937</v>
      </c>
      <c r="AH198" s="703">
        <f>SUMPRODUCT((Producción_Agricola[[#This Row],[Mes Económico]]=Tipo_Cambio[Mes])*(Producción_Agricola[[#This Row],[Año Económico]]=Tipo_Cambio[Año])*(Tipo_Cambio[Actualización]))</f>
        <v>1.1950925686223111</v>
      </c>
      <c r="AI198" s="699">
        <f>IF(ISNUMBER(Producción_Agricola[[#This Row],[Fecha Financiero]])=TRUE,MONTH(Producción_Agricola[[#This Row],[Fecha Financiero]]),0)</f>
        <v>0</v>
      </c>
      <c r="AJ198" s="699">
        <f>IF(ISNUMBER(Producción_Agricola[[#This Row],[Fecha Financiero]])=TRUE,YEAR(Producción_Agricola[[#This Row],[Fecha Financiero]]),0)</f>
        <v>0</v>
      </c>
      <c r="AK198" s="704">
        <f>SUMPRODUCT((Producción_Agricola[[#This Row],[Mes Financiero]]=Tipo_Cambio[Mes])*(Producción_Agricola[[#This Row],[Año Financiero]]=Tipo_Cambio[Año])*(Tipo_Cambio[$/U$S]))</f>
        <v>0</v>
      </c>
      <c r="AL198" s="704">
        <f>SUMPRODUCT((Producción_Agricola[[#This Row],[Mes Financiero]]=Tipo_Cambio[Mes])*(Producción_Agricola[[#This Row],[Año Financiero]]=Tipo_Cambio[Año])*(Tipo_Cambio[Actualización]))</f>
        <v>0</v>
      </c>
      <c r="AM198" s="709">
        <f>IFERROR(Producción_Agricola[[#This Row],[Económico $Corrientes]]/Producción_Agricola[[#This Row],[Superficie]],0)</f>
        <v>0</v>
      </c>
      <c r="AN198" s="712">
        <f>IFERROR(Producción_Agricola[[#This Row],[Económico $Constantes]]/Producción_Agricola[[#This Row],[Superficie]],0)</f>
        <v>0</v>
      </c>
      <c r="AO198" s="712">
        <f>IFERROR(Producción_Agricola[[#This Row],[Económico U$S Dólares]]/Producción_Agricola[[#This Row],[Superficie]],0)</f>
        <v>0</v>
      </c>
      <c r="AP198" s="711" t="str">
        <f>IF(Económico!$F$4=0,0,Producción_Agricola[[#This Row],[Centro de Costo]])</f>
        <v>Campo 1</v>
      </c>
      <c r="AQ198" s="512" t="s">
        <v>56</v>
      </c>
      <c r="AR198" s="515" t="s">
        <v>386</v>
      </c>
      <c r="AS198"/>
    </row>
    <row r="199" spans="1:45" s="19" customFormat="1" x14ac:dyDescent="0.25">
      <c r="A199" s="489"/>
      <c r="B199" s="489"/>
      <c r="C199" s="489"/>
      <c r="D199" s="478"/>
      <c r="E199" s="478"/>
      <c r="F199" s="668" t="str">
        <f t="shared" si="40"/>
        <v>2018-2019</v>
      </c>
      <c r="G199" s="673" t="str">
        <f t="shared" si="38"/>
        <v>Campo 1</v>
      </c>
      <c r="H199" s="673" t="str">
        <f t="shared" si="39"/>
        <v>Soja de Primera</v>
      </c>
      <c r="I199" s="675" t="str">
        <f>IFERROR(INDEX(Tabla8[],MATCH(Producción_Agricola[[#This Row],[Unidad de Negocio]],Tabla8[Unidades de Negocio],0),2),0)</f>
        <v>Soja</v>
      </c>
      <c r="J19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199" s="492"/>
      <c r="L199" s="482"/>
      <c r="M199" s="483"/>
      <c r="N199" s="484"/>
      <c r="O199" s="690">
        <f>Producción_Agricola[[#This Row],[Superficie]]*Producción_Agricola[[#This Row],[Cantidad]]</f>
        <v>0</v>
      </c>
      <c r="P199" s="482"/>
      <c r="Q199" s="484"/>
      <c r="R199" s="485"/>
      <c r="S19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199" s="695">
        <f>IFERROR(Producción_Agricola[[#This Row],[Económico $Corrientes]]/Producción_Agricola[[#This Row],[Indexación Económico]],0)</f>
        <v>0</v>
      </c>
      <c r="U19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19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199" s="695">
        <f>IFERROR(Producción_Agricola[[#This Row],[Financiero $Corrientes]]/Producción_Agricola[[#This Row],[Indexación Financiero]],0)</f>
        <v>0</v>
      </c>
      <c r="X19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19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199" s="699">
        <f>IFERROR(Producción_Agricola[[#This Row],[Intereses $Corrientes]]/Producción_Agricola[[#This Row],[Indexación Financiero]],0)</f>
        <v>0</v>
      </c>
      <c r="AA19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199" s="701">
        <f>IFERROR(INDEX(Produccion_Agricola_Cuentas[],MATCH(Producción_Agricola[[#This Row],[Cuenta Contable]],Produccion_Agricola_Cuentas[Cuenta Contable],0),2),0)</f>
        <v>0</v>
      </c>
      <c r="AC199" s="702">
        <f>IFERROR(INDEX(Tabla9[],MATCH(Producción_Agricola[[#This Row],[Movimiento]],Tabla9[Movimientos],0),2),0)</f>
        <v>0</v>
      </c>
      <c r="AD199" s="703">
        <f>IFERROR(INDEX(Tabla9[],MATCH(Producción_Agricola[[#This Row],[Movimiento]],Tabla9[Movimientos],0),3),0)</f>
        <v>0</v>
      </c>
      <c r="AE199" s="698">
        <f>IF(Producción_Agricola[[#This Row],[Fecha Económico]]=0,0,MONTH(Producción_Agricola[[#This Row],[Fecha Económico]]))</f>
        <v>0</v>
      </c>
      <c r="AF199" s="699">
        <f>IF(Producción_Agricola[[#This Row],[Fecha Económico]]=0,0,YEAR(Producción_Agricola[[#This Row],[Fecha Económico]]))</f>
        <v>0</v>
      </c>
      <c r="AG199" s="704">
        <f>SUMPRODUCT((Producción_Agricola[[#This Row],[Mes Económico]]=Tipo_Cambio[Mes])*(Producción_Agricola[[#This Row],[Año Económico]]=Tipo_Cambio[Año])*(Tipo_Cambio[$/U$S]))</f>
        <v>0</v>
      </c>
      <c r="AH199" s="703">
        <f>SUMPRODUCT((Producción_Agricola[[#This Row],[Mes Económico]]=Tipo_Cambio[Mes])*(Producción_Agricola[[#This Row],[Año Económico]]=Tipo_Cambio[Año])*(Tipo_Cambio[Actualización]))</f>
        <v>0</v>
      </c>
      <c r="AI199" s="699">
        <f>IF(ISNUMBER(Producción_Agricola[[#This Row],[Fecha Financiero]])=TRUE,MONTH(Producción_Agricola[[#This Row],[Fecha Financiero]]),0)</f>
        <v>0</v>
      </c>
      <c r="AJ199" s="699">
        <f>IF(ISNUMBER(Producción_Agricola[[#This Row],[Fecha Financiero]])=TRUE,YEAR(Producción_Agricola[[#This Row],[Fecha Financiero]]),0)</f>
        <v>0</v>
      </c>
      <c r="AK199" s="704">
        <f>SUMPRODUCT((Producción_Agricola[[#This Row],[Mes Financiero]]=Tipo_Cambio[Mes])*(Producción_Agricola[[#This Row],[Año Financiero]]=Tipo_Cambio[Año])*(Tipo_Cambio[$/U$S]))</f>
        <v>0</v>
      </c>
      <c r="AL199" s="704">
        <f>SUMPRODUCT((Producción_Agricola[[#This Row],[Mes Financiero]]=Tipo_Cambio[Mes])*(Producción_Agricola[[#This Row],[Año Financiero]]=Tipo_Cambio[Año])*(Tipo_Cambio[Actualización]))</f>
        <v>0</v>
      </c>
      <c r="AM199" s="709">
        <f>IFERROR(Producción_Agricola[[#This Row],[Económico $Corrientes]]/Producción_Agricola[[#This Row],[Superficie]],0)</f>
        <v>0</v>
      </c>
      <c r="AN199" s="712">
        <f>IFERROR(Producción_Agricola[[#This Row],[Económico $Constantes]]/Producción_Agricola[[#This Row],[Superficie]],0)</f>
        <v>0</v>
      </c>
      <c r="AO199" s="712">
        <f>IFERROR(Producción_Agricola[[#This Row],[Económico U$S Dólares]]/Producción_Agricola[[#This Row],[Superficie]],0)</f>
        <v>0</v>
      </c>
      <c r="AP199" s="711" t="str">
        <f>IF(Económico!$F$4=0,0,Producción_Agricola[[#This Row],[Centro de Costo]])</f>
        <v>Campo 1</v>
      </c>
      <c r="AQ199" s="512"/>
      <c r="AR199" s="514"/>
    </row>
    <row r="200" spans="1:45" x14ac:dyDescent="0.25">
      <c r="D200" s="478"/>
      <c r="E200" s="478"/>
      <c r="F200" s="668" t="str">
        <f t="shared" si="40"/>
        <v>2018-2019</v>
      </c>
      <c r="G200" s="673" t="str">
        <f t="shared" si="38"/>
        <v>Campo 1</v>
      </c>
      <c r="H200" s="673" t="str">
        <f t="shared" si="39"/>
        <v>Soja de Primera</v>
      </c>
      <c r="I200" s="675" t="str">
        <f>IFERROR(INDEX(Tabla8[],MATCH(Producción_Agricola[[#This Row],[Unidad de Negocio]],Tabla8[Unidades de Negocio],0),2),0)</f>
        <v>Soja</v>
      </c>
      <c r="J20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200" s="488"/>
      <c r="L200" s="482"/>
      <c r="M200" s="483"/>
      <c r="N200" s="484"/>
      <c r="O200" s="690">
        <f>Producción_Agricola[[#This Row],[Superficie]]*Producción_Agricola[[#This Row],[Cantidad]]</f>
        <v>0</v>
      </c>
      <c r="P200" s="482"/>
      <c r="Q200" s="484"/>
      <c r="R200" s="485"/>
      <c r="S20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00" s="695">
        <f>IFERROR(Producción_Agricola[[#This Row],[Económico $Corrientes]]/Producción_Agricola[[#This Row],[Indexación Económico]],0)</f>
        <v>0</v>
      </c>
      <c r="U20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0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00" s="695">
        <f>IFERROR(Producción_Agricola[[#This Row],[Financiero $Corrientes]]/Producción_Agricola[[#This Row],[Indexación Financiero]],0)</f>
        <v>0</v>
      </c>
      <c r="X20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0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00" s="699">
        <f>IFERROR(Producción_Agricola[[#This Row],[Intereses $Corrientes]]/Producción_Agricola[[#This Row],[Indexación Financiero]],0)</f>
        <v>0</v>
      </c>
      <c r="AA20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00" s="701">
        <f>IFERROR(INDEX(Produccion_Agricola_Cuentas[],MATCH(Producción_Agricola[[#This Row],[Cuenta Contable]],Produccion_Agricola_Cuentas[Cuenta Contable],0),2),0)</f>
        <v>0</v>
      </c>
      <c r="AC200" s="702">
        <f>IFERROR(INDEX(Tabla9[],MATCH(Producción_Agricola[[#This Row],[Movimiento]],Tabla9[Movimientos],0),2),0)</f>
        <v>0</v>
      </c>
      <c r="AD200" s="703">
        <f>IFERROR(INDEX(Tabla9[],MATCH(Producción_Agricola[[#This Row],[Movimiento]],Tabla9[Movimientos],0),3),0)</f>
        <v>0</v>
      </c>
      <c r="AE200" s="698">
        <f>IF(Producción_Agricola[[#This Row],[Fecha Económico]]=0,0,MONTH(Producción_Agricola[[#This Row],[Fecha Económico]]))</f>
        <v>0</v>
      </c>
      <c r="AF200" s="699">
        <f>IF(Producción_Agricola[[#This Row],[Fecha Económico]]=0,0,YEAR(Producción_Agricola[[#This Row],[Fecha Económico]]))</f>
        <v>0</v>
      </c>
      <c r="AG200" s="704">
        <f>SUMPRODUCT((Producción_Agricola[[#This Row],[Mes Económico]]=Tipo_Cambio[Mes])*(Producción_Agricola[[#This Row],[Año Económico]]=Tipo_Cambio[Año])*(Tipo_Cambio[$/U$S]))</f>
        <v>0</v>
      </c>
      <c r="AH200" s="703">
        <f>SUMPRODUCT((Producción_Agricola[[#This Row],[Mes Económico]]=Tipo_Cambio[Mes])*(Producción_Agricola[[#This Row],[Año Económico]]=Tipo_Cambio[Año])*(Tipo_Cambio[Actualización]))</f>
        <v>0</v>
      </c>
      <c r="AI200" s="699">
        <f>IF(ISNUMBER(Producción_Agricola[[#This Row],[Fecha Financiero]])=TRUE,MONTH(Producción_Agricola[[#This Row],[Fecha Financiero]]),0)</f>
        <v>0</v>
      </c>
      <c r="AJ200" s="699">
        <f>IF(ISNUMBER(Producción_Agricola[[#This Row],[Fecha Financiero]])=TRUE,YEAR(Producción_Agricola[[#This Row],[Fecha Financiero]]),0)</f>
        <v>0</v>
      </c>
      <c r="AK200" s="704">
        <f>SUMPRODUCT((Producción_Agricola[[#This Row],[Mes Financiero]]=Tipo_Cambio[Mes])*(Producción_Agricola[[#This Row],[Año Financiero]]=Tipo_Cambio[Año])*(Tipo_Cambio[$/U$S]))</f>
        <v>0</v>
      </c>
      <c r="AL200" s="704">
        <f>SUMPRODUCT((Producción_Agricola[[#This Row],[Mes Financiero]]=Tipo_Cambio[Mes])*(Producción_Agricola[[#This Row],[Año Financiero]]=Tipo_Cambio[Año])*(Tipo_Cambio[Actualización]))</f>
        <v>0</v>
      </c>
      <c r="AM200" s="709">
        <f>IFERROR(Producción_Agricola[[#This Row],[Económico $Corrientes]]/Producción_Agricola[[#This Row],[Superficie]],0)</f>
        <v>0</v>
      </c>
      <c r="AN200" s="712">
        <f>IFERROR(Producción_Agricola[[#This Row],[Económico $Constantes]]/Producción_Agricola[[#This Row],[Superficie]],0)</f>
        <v>0</v>
      </c>
      <c r="AO200" s="712">
        <f>IFERROR(Producción_Agricola[[#This Row],[Económico U$S Dólares]]/Producción_Agricola[[#This Row],[Superficie]],0)</f>
        <v>0</v>
      </c>
      <c r="AP200" s="711" t="str">
        <f>IF(Económico!$F$4=0,0,Producción_Agricola[[#This Row],[Centro de Costo]])</f>
        <v>Campo 1</v>
      </c>
      <c r="AQ200" s="512"/>
      <c r="AR200" s="513"/>
      <c r="AS200"/>
    </row>
    <row r="201" spans="1:45" ht="15.75" thickBot="1" x14ac:dyDescent="0.3">
      <c r="B201" s="494" t="s">
        <v>101</v>
      </c>
      <c r="D201" s="502"/>
      <c r="E201" s="502"/>
      <c r="F201" s="668" t="str">
        <f t="shared" si="40"/>
        <v>2018-2019</v>
      </c>
      <c r="G201" s="673" t="str">
        <f t="shared" si="38"/>
        <v>Campo 1</v>
      </c>
      <c r="H201" s="673" t="str">
        <f t="shared" si="39"/>
        <v>Soja de Primera</v>
      </c>
      <c r="I201" s="681" t="str">
        <f>IFERROR(INDEX(Tabla8[],MATCH(Producción_Agricola[[#This Row],[Unidad de Negocio]],Tabla8[Unidades de Negocio],0),2),0)</f>
        <v>Soja</v>
      </c>
      <c r="J201" s="68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110</v>
      </c>
      <c r="K201" s="503"/>
      <c r="L201" s="504"/>
      <c r="M201" s="505"/>
      <c r="N201" s="506"/>
      <c r="O201" s="692">
        <f>Producción_Agricola[[#This Row],[Superficie]]*Producción_Agricola[[#This Row],[Cantidad]]</f>
        <v>0</v>
      </c>
      <c r="P201" s="504"/>
      <c r="Q201" s="506"/>
      <c r="R201" s="507"/>
      <c r="S201" s="72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01" s="726">
        <f>IFERROR(Producción_Agricola[[#This Row],[Económico $Corrientes]]/Producción_Agricola[[#This Row],[Indexación Económico]],0)</f>
        <v>0</v>
      </c>
      <c r="U201" s="727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01" s="728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01" s="726">
        <f>IFERROR(Producción_Agricola[[#This Row],[Financiero $Corrientes]]/Producción_Agricola[[#This Row],[Indexación Financiero]],0)</f>
        <v>0</v>
      </c>
      <c r="X201" s="729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01" s="730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01" s="731">
        <f>IFERROR(Producción_Agricola[[#This Row],[Intereses $Corrientes]]/Producción_Agricola[[#This Row],[Indexación Financiero]],0)</f>
        <v>0</v>
      </c>
      <c r="AA201" s="732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01" s="733">
        <f>IFERROR(INDEX(Produccion_Agricola_Cuentas[],MATCH(Producción_Agricola[[#This Row],[Cuenta Contable]],Produccion_Agricola_Cuentas[Cuenta Contable],0),2),0)</f>
        <v>0</v>
      </c>
      <c r="AC201" s="734">
        <f>IFERROR(INDEX(Tabla9[],MATCH(Producción_Agricola[[#This Row],[Movimiento]],Tabla9[Movimientos],0),2),0)</f>
        <v>0</v>
      </c>
      <c r="AD201" s="735">
        <f>IFERROR(INDEX(Tabla9[],MATCH(Producción_Agricola[[#This Row],[Movimiento]],Tabla9[Movimientos],0),3),0)</f>
        <v>0</v>
      </c>
      <c r="AE201" s="730">
        <f>IF(Producción_Agricola[[#This Row],[Fecha Económico]]=0,0,MONTH(Producción_Agricola[[#This Row],[Fecha Económico]]))</f>
        <v>0</v>
      </c>
      <c r="AF201" s="731">
        <f>IF(Producción_Agricola[[#This Row],[Fecha Económico]]=0,0,YEAR(Producción_Agricola[[#This Row],[Fecha Económico]]))</f>
        <v>0</v>
      </c>
      <c r="AG201" s="736">
        <f>SUMPRODUCT((Producción_Agricola[[#This Row],[Mes Económico]]=Tipo_Cambio[Mes])*(Producción_Agricola[[#This Row],[Año Económico]]=Tipo_Cambio[Año])*(Tipo_Cambio[$/U$S]))</f>
        <v>0</v>
      </c>
      <c r="AH201" s="735">
        <f>SUMPRODUCT((Producción_Agricola[[#This Row],[Mes Económico]]=Tipo_Cambio[Mes])*(Producción_Agricola[[#This Row],[Año Económico]]=Tipo_Cambio[Año])*(Tipo_Cambio[Actualización]))</f>
        <v>0</v>
      </c>
      <c r="AI201" s="731">
        <f>IF(ISNUMBER(Producción_Agricola[[#This Row],[Fecha Financiero]])=TRUE,MONTH(Producción_Agricola[[#This Row],[Fecha Financiero]]),0)</f>
        <v>0</v>
      </c>
      <c r="AJ201" s="731">
        <f>IF(ISNUMBER(Producción_Agricola[[#This Row],[Fecha Financiero]])=TRUE,YEAR(Producción_Agricola[[#This Row],[Fecha Financiero]]),0)</f>
        <v>0</v>
      </c>
      <c r="AK201" s="736">
        <f>SUMPRODUCT((Producción_Agricola[[#This Row],[Mes Financiero]]=Tipo_Cambio[Mes])*(Producción_Agricola[[#This Row],[Año Financiero]]=Tipo_Cambio[Año])*(Tipo_Cambio[$/U$S]))</f>
        <v>0</v>
      </c>
      <c r="AL201" s="736">
        <f>SUMPRODUCT((Producción_Agricola[[#This Row],[Mes Financiero]]=Tipo_Cambio[Mes])*(Producción_Agricola[[#This Row],[Año Financiero]]=Tipo_Cambio[Año])*(Tipo_Cambio[Actualización]))</f>
        <v>0</v>
      </c>
      <c r="AM201" s="737">
        <f>IFERROR(Producción_Agricola[[#This Row],[Económico $Corrientes]]/Producción_Agricola[[#This Row],[Superficie]],0)</f>
        <v>0</v>
      </c>
      <c r="AN201" s="738">
        <f>IFERROR(Producción_Agricola[[#This Row],[Económico $Constantes]]/Producción_Agricola[[#This Row],[Superficie]],0)</f>
        <v>0</v>
      </c>
      <c r="AO201" s="738">
        <f>IFERROR(Producción_Agricola[[#This Row],[Económico U$S Dólares]]/Producción_Agricola[[#This Row],[Superficie]],0)</f>
        <v>0</v>
      </c>
      <c r="AP201" s="739" t="str">
        <f>IF(Económico!$F$4=0,0,Producción_Agricola[[#This Row],[Centro de Costo]])</f>
        <v>Campo 1</v>
      </c>
      <c r="AQ201" s="518"/>
      <c r="AR201" s="519"/>
      <c r="AS201"/>
    </row>
    <row r="202" spans="1:45" ht="15.75" thickTop="1" x14ac:dyDescent="0.25">
      <c r="B202" s="477" t="s">
        <v>457</v>
      </c>
      <c r="D202" s="478"/>
      <c r="E202" s="478"/>
      <c r="F202" s="679">
        <f>$B$203</f>
        <v>0</v>
      </c>
      <c r="G202" s="680">
        <f>$B$204</f>
        <v>0</v>
      </c>
      <c r="H202" s="680">
        <f>$B$205</f>
        <v>0</v>
      </c>
      <c r="I202" s="675">
        <f>IFERROR(INDEX(Tabla8[],MATCH(Producción_Agricola[[#This Row],[Unidad de Negocio]],Tabla8[Unidades de Negocio],0),2),0)</f>
        <v>0</v>
      </c>
      <c r="J20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02" s="488"/>
      <c r="L202" s="482"/>
      <c r="M202" s="483"/>
      <c r="N202" s="484"/>
      <c r="O202" s="690">
        <f>Producción_Agricola[[#This Row],[Superficie]]*Producción_Agricola[[#This Row],[Cantidad]]</f>
        <v>0</v>
      </c>
      <c r="P202" s="482"/>
      <c r="Q202" s="484"/>
      <c r="R202" s="485"/>
      <c r="S20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02" s="695">
        <f>IFERROR(Producción_Agricola[[#This Row],[Económico $Corrientes]]/Producción_Agricola[[#This Row],[Indexación Económico]],0)</f>
        <v>0</v>
      </c>
      <c r="U20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0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02" s="695">
        <f>IFERROR(Producción_Agricola[[#This Row],[Financiero $Corrientes]]/Producción_Agricola[[#This Row],[Indexación Financiero]],0)</f>
        <v>0</v>
      </c>
      <c r="X20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0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02" s="699">
        <f>IFERROR(Producción_Agricola[[#This Row],[Intereses $Corrientes]]/Producción_Agricola[[#This Row],[Indexación Financiero]],0)</f>
        <v>0</v>
      </c>
      <c r="AA20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02" s="701">
        <f>IFERROR(INDEX(Produccion_Agricola_Cuentas[],MATCH(Producción_Agricola[[#This Row],[Cuenta Contable]],Produccion_Agricola_Cuentas[Cuenta Contable],0),2),0)</f>
        <v>0</v>
      </c>
      <c r="AC202" s="702">
        <f>IFERROR(INDEX(Tabla9[],MATCH(Producción_Agricola[[#This Row],[Movimiento]],Tabla9[Movimientos],0),2),0)</f>
        <v>0</v>
      </c>
      <c r="AD202" s="703">
        <f>IFERROR(INDEX(Tabla9[],MATCH(Producción_Agricola[[#This Row],[Movimiento]],Tabla9[Movimientos],0),3),0)</f>
        <v>0</v>
      </c>
      <c r="AE202" s="698">
        <f>IF(Producción_Agricola[[#This Row],[Fecha Económico]]=0,0,MONTH(Producción_Agricola[[#This Row],[Fecha Económico]]))</f>
        <v>0</v>
      </c>
      <c r="AF202" s="699">
        <f>IF(Producción_Agricola[[#This Row],[Fecha Económico]]=0,0,YEAR(Producción_Agricola[[#This Row],[Fecha Económico]]))</f>
        <v>0</v>
      </c>
      <c r="AG202" s="704">
        <f>SUMPRODUCT((Producción_Agricola[[#This Row],[Mes Económico]]=Tipo_Cambio[Mes])*(Producción_Agricola[[#This Row],[Año Económico]]=Tipo_Cambio[Año])*(Tipo_Cambio[$/U$S]))</f>
        <v>0</v>
      </c>
      <c r="AH202" s="703">
        <f>SUMPRODUCT((Producción_Agricola[[#This Row],[Mes Económico]]=Tipo_Cambio[Mes])*(Producción_Agricola[[#This Row],[Año Económico]]=Tipo_Cambio[Año])*(Tipo_Cambio[Actualización]))</f>
        <v>0</v>
      </c>
      <c r="AI202" s="699">
        <f>IF(ISNUMBER(Producción_Agricola[[#This Row],[Fecha Financiero]])=TRUE,MONTH(Producción_Agricola[[#This Row],[Fecha Financiero]]),0)</f>
        <v>0</v>
      </c>
      <c r="AJ202" s="699">
        <f>IF(ISNUMBER(Producción_Agricola[[#This Row],[Fecha Financiero]])=TRUE,YEAR(Producción_Agricola[[#This Row],[Fecha Financiero]]),0)</f>
        <v>0</v>
      </c>
      <c r="AK202" s="704">
        <f>SUMPRODUCT((Producción_Agricola[[#This Row],[Mes Financiero]]=Tipo_Cambio[Mes])*(Producción_Agricola[[#This Row],[Año Financiero]]=Tipo_Cambio[Año])*(Tipo_Cambio[$/U$S]))</f>
        <v>0</v>
      </c>
      <c r="AL202" s="704">
        <f>SUMPRODUCT((Producción_Agricola[[#This Row],[Mes Financiero]]=Tipo_Cambio[Mes])*(Producción_Agricola[[#This Row],[Año Financiero]]=Tipo_Cambio[Año])*(Tipo_Cambio[Actualización]))</f>
        <v>0</v>
      </c>
      <c r="AM202" s="709">
        <f>IFERROR(Producción_Agricola[[#This Row],[Económico $Corrientes]]/Producción_Agricola[[#This Row],[Superficie]],0)</f>
        <v>0</v>
      </c>
      <c r="AN202" s="712">
        <f>IFERROR(Producción_Agricola[[#This Row],[Económico $Constantes]]/Producción_Agricola[[#This Row],[Superficie]],0)</f>
        <v>0</v>
      </c>
      <c r="AO202" s="712">
        <f>IFERROR(Producción_Agricola[[#This Row],[Económico U$S Dólares]]/Producción_Agricola[[#This Row],[Superficie]],0)</f>
        <v>0</v>
      </c>
      <c r="AP202" s="711">
        <f>IF(Económico!$F$4=0,0,Producción_Agricola[[#This Row],[Centro de Costo]])</f>
        <v>0</v>
      </c>
      <c r="AQ202" s="512"/>
      <c r="AR202" s="513"/>
      <c r="AS202"/>
    </row>
    <row r="203" spans="1:45" x14ac:dyDescent="0.25">
      <c r="B203" s="501"/>
      <c r="D203" s="478"/>
      <c r="E203" s="478"/>
      <c r="F203" s="668">
        <f t="shared" ref="F203:F218" si="47">$B$203</f>
        <v>0</v>
      </c>
      <c r="G203" s="673">
        <f t="shared" ref="G203:G218" si="48">$B$204</f>
        <v>0</v>
      </c>
      <c r="H203" s="673">
        <f t="shared" ref="H203:H218" si="49">$B$205</f>
        <v>0</v>
      </c>
      <c r="I203" s="675">
        <f>IFERROR(INDEX(Tabla8[],MATCH(Producción_Agricola[[#This Row],[Unidad de Negocio]],Tabla8[Unidades de Negocio],0),2),0)</f>
        <v>0</v>
      </c>
      <c r="J20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03" s="488"/>
      <c r="L203" s="482"/>
      <c r="M203" s="483"/>
      <c r="N203" s="484"/>
      <c r="O203" s="690">
        <f>Producción_Agricola[[#This Row],[Superficie]]*Producción_Agricola[[#This Row],[Cantidad]]</f>
        <v>0</v>
      </c>
      <c r="P203" s="482"/>
      <c r="Q203" s="484"/>
      <c r="R203" s="485"/>
      <c r="S20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03" s="695">
        <f>IFERROR(Producción_Agricola[[#This Row],[Económico $Corrientes]]/Producción_Agricola[[#This Row],[Indexación Económico]],0)</f>
        <v>0</v>
      </c>
      <c r="U20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0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03" s="695">
        <f>IFERROR(Producción_Agricola[[#This Row],[Financiero $Corrientes]]/Producción_Agricola[[#This Row],[Indexación Financiero]],0)</f>
        <v>0</v>
      </c>
      <c r="X20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0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03" s="699">
        <f>IFERROR(Producción_Agricola[[#This Row],[Intereses $Corrientes]]/Producción_Agricola[[#This Row],[Indexación Financiero]],0)</f>
        <v>0</v>
      </c>
      <c r="AA20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03" s="701">
        <f>IFERROR(INDEX(Produccion_Agricola_Cuentas[],MATCH(Producción_Agricola[[#This Row],[Cuenta Contable]],Produccion_Agricola_Cuentas[Cuenta Contable],0),2),0)</f>
        <v>0</v>
      </c>
      <c r="AC203" s="702">
        <f>IFERROR(INDEX(Tabla9[],MATCH(Producción_Agricola[[#This Row],[Movimiento]],Tabla9[Movimientos],0),2),0)</f>
        <v>0</v>
      </c>
      <c r="AD203" s="703">
        <f>IFERROR(INDEX(Tabla9[],MATCH(Producción_Agricola[[#This Row],[Movimiento]],Tabla9[Movimientos],0),3),0)</f>
        <v>0</v>
      </c>
      <c r="AE203" s="698">
        <f>IF(Producción_Agricola[[#This Row],[Fecha Económico]]=0,0,MONTH(Producción_Agricola[[#This Row],[Fecha Económico]]))</f>
        <v>0</v>
      </c>
      <c r="AF203" s="699">
        <f>IF(Producción_Agricola[[#This Row],[Fecha Económico]]=0,0,YEAR(Producción_Agricola[[#This Row],[Fecha Económico]]))</f>
        <v>0</v>
      </c>
      <c r="AG203" s="704">
        <f>SUMPRODUCT((Producción_Agricola[[#This Row],[Mes Económico]]=Tipo_Cambio[Mes])*(Producción_Agricola[[#This Row],[Año Económico]]=Tipo_Cambio[Año])*(Tipo_Cambio[$/U$S]))</f>
        <v>0</v>
      </c>
      <c r="AH203" s="703">
        <f>SUMPRODUCT((Producción_Agricola[[#This Row],[Mes Económico]]=Tipo_Cambio[Mes])*(Producción_Agricola[[#This Row],[Año Económico]]=Tipo_Cambio[Año])*(Tipo_Cambio[Actualización]))</f>
        <v>0</v>
      </c>
      <c r="AI203" s="699">
        <f>IF(ISNUMBER(Producción_Agricola[[#This Row],[Fecha Financiero]])=TRUE,MONTH(Producción_Agricola[[#This Row],[Fecha Financiero]]),0)</f>
        <v>0</v>
      </c>
      <c r="AJ203" s="699">
        <f>IF(ISNUMBER(Producción_Agricola[[#This Row],[Fecha Financiero]])=TRUE,YEAR(Producción_Agricola[[#This Row],[Fecha Financiero]]),0)</f>
        <v>0</v>
      </c>
      <c r="AK203" s="704">
        <f>SUMPRODUCT((Producción_Agricola[[#This Row],[Mes Financiero]]=Tipo_Cambio[Mes])*(Producción_Agricola[[#This Row],[Año Financiero]]=Tipo_Cambio[Año])*(Tipo_Cambio[$/U$S]))</f>
        <v>0</v>
      </c>
      <c r="AL203" s="704">
        <f>SUMPRODUCT((Producción_Agricola[[#This Row],[Mes Financiero]]=Tipo_Cambio[Mes])*(Producción_Agricola[[#This Row],[Año Financiero]]=Tipo_Cambio[Año])*(Tipo_Cambio[Actualización]))</f>
        <v>0</v>
      </c>
      <c r="AM203" s="709">
        <f>IFERROR(Producción_Agricola[[#This Row],[Económico $Corrientes]]/Producción_Agricola[[#This Row],[Superficie]],0)</f>
        <v>0</v>
      </c>
      <c r="AN203" s="712">
        <f>IFERROR(Producción_Agricola[[#This Row],[Económico $Constantes]]/Producción_Agricola[[#This Row],[Superficie]],0)</f>
        <v>0</v>
      </c>
      <c r="AO203" s="712">
        <f>IFERROR(Producción_Agricola[[#This Row],[Económico U$S Dólares]]/Producción_Agricola[[#This Row],[Superficie]],0)</f>
        <v>0</v>
      </c>
      <c r="AP203" s="711">
        <f>IF(Económico!$F$4=0,0,Producción_Agricola[[#This Row],[Centro de Costo]])</f>
        <v>0</v>
      </c>
      <c r="AQ203" s="512"/>
      <c r="AR203" s="513"/>
      <c r="AS203"/>
    </row>
    <row r="204" spans="1:45" x14ac:dyDescent="0.25">
      <c r="B204" s="486"/>
      <c r="D204" s="478"/>
      <c r="E204" s="478"/>
      <c r="F204" s="668">
        <f t="shared" si="47"/>
        <v>0</v>
      </c>
      <c r="G204" s="673">
        <f t="shared" si="48"/>
        <v>0</v>
      </c>
      <c r="H204" s="673">
        <f t="shared" si="49"/>
        <v>0</v>
      </c>
      <c r="I204" s="675">
        <f>IFERROR(INDEX(Tabla8[],MATCH(Producción_Agricola[[#This Row],[Unidad de Negocio]],Tabla8[Unidades de Negocio],0),2),0)</f>
        <v>0</v>
      </c>
      <c r="J20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04" s="488"/>
      <c r="L204" s="482"/>
      <c r="M204" s="483"/>
      <c r="N204" s="484"/>
      <c r="O204" s="690">
        <f>Producción_Agricola[[#This Row],[Superficie]]*Producción_Agricola[[#This Row],[Cantidad]]</f>
        <v>0</v>
      </c>
      <c r="P204" s="482"/>
      <c r="Q204" s="484"/>
      <c r="R204" s="485"/>
      <c r="S20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04" s="695">
        <f>IFERROR(Producción_Agricola[[#This Row],[Económico $Corrientes]]/Producción_Agricola[[#This Row],[Indexación Económico]],0)</f>
        <v>0</v>
      </c>
      <c r="U20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0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04" s="695">
        <f>IFERROR(Producción_Agricola[[#This Row],[Financiero $Corrientes]]/Producción_Agricola[[#This Row],[Indexación Financiero]],0)</f>
        <v>0</v>
      </c>
      <c r="X20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0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04" s="699">
        <f>IFERROR(Producción_Agricola[[#This Row],[Intereses $Corrientes]]/Producción_Agricola[[#This Row],[Indexación Financiero]],0)</f>
        <v>0</v>
      </c>
      <c r="AA20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04" s="701">
        <f>IFERROR(INDEX(Produccion_Agricola_Cuentas[],MATCH(Producción_Agricola[[#This Row],[Cuenta Contable]],Produccion_Agricola_Cuentas[Cuenta Contable],0),2),0)</f>
        <v>0</v>
      </c>
      <c r="AC204" s="702">
        <f>IFERROR(INDEX(Tabla9[],MATCH(Producción_Agricola[[#This Row],[Movimiento]],Tabla9[Movimientos],0),2),0)</f>
        <v>0</v>
      </c>
      <c r="AD204" s="703">
        <f>IFERROR(INDEX(Tabla9[],MATCH(Producción_Agricola[[#This Row],[Movimiento]],Tabla9[Movimientos],0),3),0)</f>
        <v>0</v>
      </c>
      <c r="AE204" s="698">
        <f>IF(Producción_Agricola[[#This Row],[Fecha Económico]]=0,0,MONTH(Producción_Agricola[[#This Row],[Fecha Económico]]))</f>
        <v>0</v>
      </c>
      <c r="AF204" s="699">
        <f>IF(Producción_Agricola[[#This Row],[Fecha Económico]]=0,0,YEAR(Producción_Agricola[[#This Row],[Fecha Económico]]))</f>
        <v>0</v>
      </c>
      <c r="AG204" s="704">
        <f>SUMPRODUCT((Producción_Agricola[[#This Row],[Mes Económico]]=Tipo_Cambio[Mes])*(Producción_Agricola[[#This Row],[Año Económico]]=Tipo_Cambio[Año])*(Tipo_Cambio[$/U$S]))</f>
        <v>0</v>
      </c>
      <c r="AH204" s="703">
        <f>SUMPRODUCT((Producción_Agricola[[#This Row],[Mes Económico]]=Tipo_Cambio[Mes])*(Producción_Agricola[[#This Row],[Año Económico]]=Tipo_Cambio[Año])*(Tipo_Cambio[Actualización]))</f>
        <v>0</v>
      </c>
      <c r="AI204" s="699">
        <f>IF(ISNUMBER(Producción_Agricola[[#This Row],[Fecha Financiero]])=TRUE,MONTH(Producción_Agricola[[#This Row],[Fecha Financiero]]),0)</f>
        <v>0</v>
      </c>
      <c r="AJ204" s="699">
        <f>IF(ISNUMBER(Producción_Agricola[[#This Row],[Fecha Financiero]])=TRUE,YEAR(Producción_Agricola[[#This Row],[Fecha Financiero]]),0)</f>
        <v>0</v>
      </c>
      <c r="AK204" s="704">
        <f>SUMPRODUCT((Producción_Agricola[[#This Row],[Mes Financiero]]=Tipo_Cambio[Mes])*(Producción_Agricola[[#This Row],[Año Financiero]]=Tipo_Cambio[Año])*(Tipo_Cambio[$/U$S]))</f>
        <v>0</v>
      </c>
      <c r="AL204" s="704">
        <f>SUMPRODUCT((Producción_Agricola[[#This Row],[Mes Financiero]]=Tipo_Cambio[Mes])*(Producción_Agricola[[#This Row],[Año Financiero]]=Tipo_Cambio[Año])*(Tipo_Cambio[Actualización]))</f>
        <v>0</v>
      </c>
      <c r="AM204" s="709">
        <f>IFERROR(Producción_Agricola[[#This Row],[Económico $Corrientes]]/Producción_Agricola[[#This Row],[Superficie]],0)</f>
        <v>0</v>
      </c>
      <c r="AN204" s="712">
        <f>IFERROR(Producción_Agricola[[#This Row],[Económico $Constantes]]/Producción_Agricola[[#This Row],[Superficie]],0)</f>
        <v>0</v>
      </c>
      <c r="AO204" s="712">
        <f>IFERROR(Producción_Agricola[[#This Row],[Económico U$S Dólares]]/Producción_Agricola[[#This Row],[Superficie]],0)</f>
        <v>0</v>
      </c>
      <c r="AP204" s="711">
        <f>IF(Económico!$F$4=0,0,Producción_Agricola[[#This Row],[Centro de Costo]])</f>
        <v>0</v>
      </c>
      <c r="AQ204" s="512"/>
      <c r="AR204" s="513"/>
      <c r="AS204"/>
    </row>
    <row r="205" spans="1:45" x14ac:dyDescent="0.25">
      <c r="B205" s="486"/>
      <c r="D205" s="478"/>
      <c r="E205" s="478"/>
      <c r="F205" s="668">
        <f t="shared" si="47"/>
        <v>0</v>
      </c>
      <c r="G205" s="673">
        <f t="shared" si="48"/>
        <v>0</v>
      </c>
      <c r="H205" s="673">
        <f t="shared" si="49"/>
        <v>0</v>
      </c>
      <c r="I205" s="675">
        <f>IFERROR(INDEX(Tabla8[],MATCH(Producción_Agricola[[#This Row],[Unidad de Negocio]],Tabla8[Unidades de Negocio],0),2),0)</f>
        <v>0</v>
      </c>
      <c r="J20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05" s="488"/>
      <c r="L205" s="482"/>
      <c r="M205" s="483"/>
      <c r="N205" s="484"/>
      <c r="O205" s="690">
        <f>Producción_Agricola[[#This Row],[Superficie]]*Producción_Agricola[[#This Row],[Cantidad]]</f>
        <v>0</v>
      </c>
      <c r="P205" s="482"/>
      <c r="Q205" s="484"/>
      <c r="R205" s="485"/>
      <c r="S20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05" s="695">
        <f>IFERROR(Producción_Agricola[[#This Row],[Económico $Corrientes]]/Producción_Agricola[[#This Row],[Indexación Económico]],0)</f>
        <v>0</v>
      </c>
      <c r="U20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0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05" s="695">
        <f>IFERROR(Producción_Agricola[[#This Row],[Financiero $Corrientes]]/Producción_Agricola[[#This Row],[Indexación Financiero]],0)</f>
        <v>0</v>
      </c>
      <c r="X20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0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05" s="699">
        <f>IFERROR(Producción_Agricola[[#This Row],[Intereses $Corrientes]]/Producción_Agricola[[#This Row],[Indexación Financiero]],0)</f>
        <v>0</v>
      </c>
      <c r="AA20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05" s="701">
        <f>IFERROR(INDEX(Produccion_Agricola_Cuentas[],MATCH(Producción_Agricola[[#This Row],[Cuenta Contable]],Produccion_Agricola_Cuentas[Cuenta Contable],0),2),0)</f>
        <v>0</v>
      </c>
      <c r="AC205" s="702">
        <f>IFERROR(INDEX(Tabla9[],MATCH(Producción_Agricola[[#This Row],[Movimiento]],Tabla9[Movimientos],0),2),0)</f>
        <v>0</v>
      </c>
      <c r="AD205" s="703">
        <f>IFERROR(INDEX(Tabla9[],MATCH(Producción_Agricola[[#This Row],[Movimiento]],Tabla9[Movimientos],0),3),0)</f>
        <v>0</v>
      </c>
      <c r="AE205" s="698">
        <f>IF(Producción_Agricola[[#This Row],[Fecha Económico]]=0,0,MONTH(Producción_Agricola[[#This Row],[Fecha Económico]]))</f>
        <v>0</v>
      </c>
      <c r="AF205" s="699">
        <f>IF(Producción_Agricola[[#This Row],[Fecha Económico]]=0,0,YEAR(Producción_Agricola[[#This Row],[Fecha Económico]]))</f>
        <v>0</v>
      </c>
      <c r="AG205" s="704">
        <f>SUMPRODUCT((Producción_Agricola[[#This Row],[Mes Económico]]=Tipo_Cambio[Mes])*(Producción_Agricola[[#This Row],[Año Económico]]=Tipo_Cambio[Año])*(Tipo_Cambio[$/U$S]))</f>
        <v>0</v>
      </c>
      <c r="AH205" s="703">
        <f>SUMPRODUCT((Producción_Agricola[[#This Row],[Mes Económico]]=Tipo_Cambio[Mes])*(Producción_Agricola[[#This Row],[Año Económico]]=Tipo_Cambio[Año])*(Tipo_Cambio[Actualización]))</f>
        <v>0</v>
      </c>
      <c r="AI205" s="699">
        <f>IF(ISNUMBER(Producción_Agricola[[#This Row],[Fecha Financiero]])=TRUE,MONTH(Producción_Agricola[[#This Row],[Fecha Financiero]]),0)</f>
        <v>0</v>
      </c>
      <c r="AJ205" s="699">
        <f>IF(ISNUMBER(Producción_Agricola[[#This Row],[Fecha Financiero]])=TRUE,YEAR(Producción_Agricola[[#This Row],[Fecha Financiero]]),0)</f>
        <v>0</v>
      </c>
      <c r="AK205" s="704">
        <f>SUMPRODUCT((Producción_Agricola[[#This Row],[Mes Financiero]]=Tipo_Cambio[Mes])*(Producción_Agricola[[#This Row],[Año Financiero]]=Tipo_Cambio[Año])*(Tipo_Cambio[$/U$S]))</f>
        <v>0</v>
      </c>
      <c r="AL205" s="704">
        <f>SUMPRODUCT((Producción_Agricola[[#This Row],[Mes Financiero]]=Tipo_Cambio[Mes])*(Producción_Agricola[[#This Row],[Año Financiero]]=Tipo_Cambio[Año])*(Tipo_Cambio[Actualización]))</f>
        <v>0</v>
      </c>
      <c r="AM205" s="709">
        <f>IFERROR(Producción_Agricola[[#This Row],[Económico $Corrientes]]/Producción_Agricola[[#This Row],[Superficie]],0)</f>
        <v>0</v>
      </c>
      <c r="AN205" s="712">
        <f>IFERROR(Producción_Agricola[[#This Row],[Económico $Constantes]]/Producción_Agricola[[#This Row],[Superficie]],0)</f>
        <v>0</v>
      </c>
      <c r="AO205" s="712">
        <f>IFERROR(Producción_Agricola[[#This Row],[Económico U$S Dólares]]/Producción_Agricola[[#This Row],[Superficie]],0)</f>
        <v>0</v>
      </c>
      <c r="AP205" s="711">
        <f>IF(Económico!$F$4=0,0,Producción_Agricola[[#This Row],[Centro de Costo]])</f>
        <v>0</v>
      </c>
      <c r="AQ205" s="512"/>
      <c r="AR205" s="513"/>
      <c r="AS205"/>
    </row>
    <row r="206" spans="1:45" x14ac:dyDescent="0.25">
      <c r="B206" s="487">
        <f>+$J$202</f>
        <v>0</v>
      </c>
      <c r="D206" s="478"/>
      <c r="E206" s="478"/>
      <c r="F206" s="668">
        <f t="shared" si="47"/>
        <v>0</v>
      </c>
      <c r="G206" s="673">
        <f t="shared" si="48"/>
        <v>0</v>
      </c>
      <c r="H206" s="673">
        <f t="shared" si="49"/>
        <v>0</v>
      </c>
      <c r="I206" s="675">
        <f>IFERROR(INDEX(Tabla8[],MATCH(Producción_Agricola[[#This Row],[Unidad de Negocio]],Tabla8[Unidades de Negocio],0),2),0)</f>
        <v>0</v>
      </c>
      <c r="J20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06" s="488"/>
      <c r="L206" s="482"/>
      <c r="M206" s="483"/>
      <c r="N206" s="484"/>
      <c r="O206" s="690">
        <f>Producción_Agricola[[#This Row],[Superficie]]*Producción_Agricola[[#This Row],[Cantidad]]</f>
        <v>0</v>
      </c>
      <c r="P206" s="482"/>
      <c r="Q206" s="484"/>
      <c r="R206" s="485"/>
      <c r="S20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06" s="695">
        <f>IFERROR(Producción_Agricola[[#This Row],[Económico $Corrientes]]/Producción_Agricola[[#This Row],[Indexación Económico]],0)</f>
        <v>0</v>
      </c>
      <c r="U20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0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06" s="695">
        <f>IFERROR(Producción_Agricola[[#This Row],[Financiero $Corrientes]]/Producción_Agricola[[#This Row],[Indexación Financiero]],0)</f>
        <v>0</v>
      </c>
      <c r="X20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0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06" s="699">
        <f>IFERROR(Producción_Agricola[[#This Row],[Intereses $Corrientes]]/Producción_Agricola[[#This Row],[Indexación Financiero]],0)</f>
        <v>0</v>
      </c>
      <c r="AA20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06" s="701">
        <f>IFERROR(INDEX(Produccion_Agricola_Cuentas[],MATCH(Producción_Agricola[[#This Row],[Cuenta Contable]],Produccion_Agricola_Cuentas[Cuenta Contable],0),2),0)</f>
        <v>0</v>
      </c>
      <c r="AC206" s="702">
        <f>IFERROR(INDEX(Tabla9[],MATCH(Producción_Agricola[[#This Row],[Movimiento]],Tabla9[Movimientos],0),2),0)</f>
        <v>0</v>
      </c>
      <c r="AD206" s="703">
        <f>IFERROR(INDEX(Tabla9[],MATCH(Producción_Agricola[[#This Row],[Movimiento]],Tabla9[Movimientos],0),3),0)</f>
        <v>0</v>
      </c>
      <c r="AE206" s="698">
        <f>IF(Producción_Agricola[[#This Row],[Fecha Económico]]=0,0,MONTH(Producción_Agricola[[#This Row],[Fecha Económico]]))</f>
        <v>0</v>
      </c>
      <c r="AF206" s="699">
        <f>IF(Producción_Agricola[[#This Row],[Fecha Económico]]=0,0,YEAR(Producción_Agricola[[#This Row],[Fecha Económico]]))</f>
        <v>0</v>
      </c>
      <c r="AG206" s="704">
        <f>SUMPRODUCT((Producción_Agricola[[#This Row],[Mes Económico]]=Tipo_Cambio[Mes])*(Producción_Agricola[[#This Row],[Año Económico]]=Tipo_Cambio[Año])*(Tipo_Cambio[$/U$S]))</f>
        <v>0</v>
      </c>
      <c r="AH206" s="703">
        <f>SUMPRODUCT((Producción_Agricola[[#This Row],[Mes Económico]]=Tipo_Cambio[Mes])*(Producción_Agricola[[#This Row],[Año Económico]]=Tipo_Cambio[Año])*(Tipo_Cambio[Actualización]))</f>
        <v>0</v>
      </c>
      <c r="AI206" s="699">
        <f>IF(ISNUMBER(Producción_Agricola[[#This Row],[Fecha Financiero]])=TRUE,MONTH(Producción_Agricola[[#This Row],[Fecha Financiero]]),0)</f>
        <v>0</v>
      </c>
      <c r="AJ206" s="699">
        <f>IF(ISNUMBER(Producción_Agricola[[#This Row],[Fecha Financiero]])=TRUE,YEAR(Producción_Agricola[[#This Row],[Fecha Financiero]]),0)</f>
        <v>0</v>
      </c>
      <c r="AK206" s="704">
        <f>SUMPRODUCT((Producción_Agricola[[#This Row],[Mes Financiero]]=Tipo_Cambio[Mes])*(Producción_Agricola[[#This Row],[Año Financiero]]=Tipo_Cambio[Año])*(Tipo_Cambio[$/U$S]))</f>
        <v>0</v>
      </c>
      <c r="AL206" s="704">
        <f>SUMPRODUCT((Producción_Agricola[[#This Row],[Mes Financiero]]=Tipo_Cambio[Mes])*(Producción_Agricola[[#This Row],[Año Financiero]]=Tipo_Cambio[Año])*(Tipo_Cambio[Actualización]))</f>
        <v>0</v>
      </c>
      <c r="AM206" s="709">
        <f>IFERROR(Producción_Agricola[[#This Row],[Económico $Corrientes]]/Producción_Agricola[[#This Row],[Superficie]],0)</f>
        <v>0</v>
      </c>
      <c r="AN206" s="712">
        <f>IFERROR(Producción_Agricola[[#This Row],[Económico $Constantes]]/Producción_Agricola[[#This Row],[Superficie]],0)</f>
        <v>0</v>
      </c>
      <c r="AO206" s="712">
        <f>IFERROR(Producción_Agricola[[#This Row],[Económico U$S Dólares]]/Producción_Agricola[[#This Row],[Superficie]],0)</f>
        <v>0</v>
      </c>
      <c r="AP206" s="711">
        <f>IF(Económico!$F$4=0,0,Producción_Agricola[[#This Row],[Centro de Costo]])</f>
        <v>0</v>
      </c>
      <c r="AQ206" s="512"/>
      <c r="AR206" s="513"/>
      <c r="AS206"/>
    </row>
    <row r="207" spans="1:45" x14ac:dyDescent="0.25">
      <c r="D207" s="478"/>
      <c r="E207" s="478"/>
      <c r="F207" s="668">
        <f t="shared" si="47"/>
        <v>0</v>
      </c>
      <c r="G207" s="673">
        <f t="shared" si="48"/>
        <v>0</v>
      </c>
      <c r="H207" s="673">
        <f t="shared" si="49"/>
        <v>0</v>
      </c>
      <c r="I207" s="675">
        <f>IFERROR(INDEX(Tabla8[],MATCH(Producción_Agricola[[#This Row],[Unidad de Negocio]],Tabla8[Unidades de Negocio],0),2),0)</f>
        <v>0</v>
      </c>
      <c r="J20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07" s="488"/>
      <c r="L207" s="482"/>
      <c r="M207" s="483"/>
      <c r="N207" s="484"/>
      <c r="O207" s="690">
        <f>Producción_Agricola[[#This Row],[Superficie]]*Producción_Agricola[[#This Row],[Cantidad]]</f>
        <v>0</v>
      </c>
      <c r="P207" s="482"/>
      <c r="Q207" s="484"/>
      <c r="R207" s="485"/>
      <c r="S20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07" s="695">
        <f>IFERROR(Producción_Agricola[[#This Row],[Económico $Corrientes]]/Producción_Agricola[[#This Row],[Indexación Económico]],0)</f>
        <v>0</v>
      </c>
      <c r="U20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0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07" s="695">
        <f>IFERROR(Producción_Agricola[[#This Row],[Financiero $Corrientes]]/Producción_Agricola[[#This Row],[Indexación Financiero]],0)</f>
        <v>0</v>
      </c>
      <c r="X20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0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07" s="699">
        <f>IFERROR(Producción_Agricola[[#This Row],[Intereses $Corrientes]]/Producción_Agricola[[#This Row],[Indexación Financiero]],0)</f>
        <v>0</v>
      </c>
      <c r="AA20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07" s="701">
        <f>IFERROR(INDEX(Produccion_Agricola_Cuentas[],MATCH(Producción_Agricola[[#This Row],[Cuenta Contable]],Produccion_Agricola_Cuentas[Cuenta Contable],0),2),0)</f>
        <v>0</v>
      </c>
      <c r="AC207" s="702">
        <f>IFERROR(INDEX(Tabla9[],MATCH(Producción_Agricola[[#This Row],[Movimiento]],Tabla9[Movimientos],0),2),0)</f>
        <v>0</v>
      </c>
      <c r="AD207" s="703">
        <f>IFERROR(INDEX(Tabla9[],MATCH(Producción_Agricola[[#This Row],[Movimiento]],Tabla9[Movimientos],0),3),0)</f>
        <v>0</v>
      </c>
      <c r="AE207" s="698">
        <f>IF(Producción_Agricola[[#This Row],[Fecha Económico]]=0,0,MONTH(Producción_Agricola[[#This Row],[Fecha Económico]]))</f>
        <v>0</v>
      </c>
      <c r="AF207" s="699">
        <f>IF(Producción_Agricola[[#This Row],[Fecha Económico]]=0,0,YEAR(Producción_Agricola[[#This Row],[Fecha Económico]]))</f>
        <v>0</v>
      </c>
      <c r="AG207" s="704">
        <f>SUMPRODUCT((Producción_Agricola[[#This Row],[Mes Económico]]=Tipo_Cambio[Mes])*(Producción_Agricola[[#This Row],[Año Económico]]=Tipo_Cambio[Año])*(Tipo_Cambio[$/U$S]))</f>
        <v>0</v>
      </c>
      <c r="AH207" s="703">
        <f>SUMPRODUCT((Producción_Agricola[[#This Row],[Mes Económico]]=Tipo_Cambio[Mes])*(Producción_Agricola[[#This Row],[Año Económico]]=Tipo_Cambio[Año])*(Tipo_Cambio[Actualización]))</f>
        <v>0</v>
      </c>
      <c r="AI207" s="699">
        <f>IF(ISNUMBER(Producción_Agricola[[#This Row],[Fecha Financiero]])=TRUE,MONTH(Producción_Agricola[[#This Row],[Fecha Financiero]]),0)</f>
        <v>0</v>
      </c>
      <c r="AJ207" s="699">
        <f>IF(ISNUMBER(Producción_Agricola[[#This Row],[Fecha Financiero]])=TRUE,YEAR(Producción_Agricola[[#This Row],[Fecha Financiero]]),0)</f>
        <v>0</v>
      </c>
      <c r="AK207" s="704">
        <f>SUMPRODUCT((Producción_Agricola[[#This Row],[Mes Financiero]]=Tipo_Cambio[Mes])*(Producción_Agricola[[#This Row],[Año Financiero]]=Tipo_Cambio[Año])*(Tipo_Cambio[$/U$S]))</f>
        <v>0</v>
      </c>
      <c r="AL207" s="704">
        <f>SUMPRODUCT((Producción_Agricola[[#This Row],[Mes Financiero]]=Tipo_Cambio[Mes])*(Producción_Agricola[[#This Row],[Año Financiero]]=Tipo_Cambio[Año])*(Tipo_Cambio[Actualización]))</f>
        <v>0</v>
      </c>
      <c r="AM207" s="709">
        <f>IFERROR(Producción_Agricola[[#This Row],[Económico $Corrientes]]/Producción_Agricola[[#This Row],[Superficie]],0)</f>
        <v>0</v>
      </c>
      <c r="AN207" s="712">
        <f>IFERROR(Producción_Agricola[[#This Row],[Económico $Constantes]]/Producción_Agricola[[#This Row],[Superficie]],0)</f>
        <v>0</v>
      </c>
      <c r="AO207" s="712">
        <f>IFERROR(Producción_Agricola[[#This Row],[Económico U$S Dólares]]/Producción_Agricola[[#This Row],[Superficie]],0)</f>
        <v>0</v>
      </c>
      <c r="AP207" s="711">
        <f>IF(Económico!$F$4=0,0,Producción_Agricola[[#This Row],[Centro de Costo]])</f>
        <v>0</v>
      </c>
      <c r="AQ207" s="512"/>
      <c r="AR207" s="513"/>
      <c r="AS207"/>
    </row>
    <row r="208" spans="1:45" x14ac:dyDescent="0.25">
      <c r="D208" s="478"/>
      <c r="E208" s="478"/>
      <c r="F208" s="668">
        <f t="shared" si="47"/>
        <v>0</v>
      </c>
      <c r="G208" s="673">
        <f t="shared" si="48"/>
        <v>0</v>
      </c>
      <c r="H208" s="673">
        <f t="shared" si="49"/>
        <v>0</v>
      </c>
      <c r="I208" s="675">
        <f>IFERROR(INDEX(Tabla8[],MATCH(Producción_Agricola[[#This Row],[Unidad de Negocio]],Tabla8[Unidades de Negocio],0),2),0)</f>
        <v>0</v>
      </c>
      <c r="J20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08" s="488"/>
      <c r="L208" s="482"/>
      <c r="M208" s="483"/>
      <c r="N208" s="484"/>
      <c r="O208" s="690">
        <f>Producción_Agricola[[#This Row],[Superficie]]*Producción_Agricola[[#This Row],[Cantidad]]</f>
        <v>0</v>
      </c>
      <c r="P208" s="482"/>
      <c r="Q208" s="484"/>
      <c r="R208" s="485"/>
      <c r="S20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08" s="695">
        <f>IFERROR(Producción_Agricola[[#This Row],[Económico $Corrientes]]/Producción_Agricola[[#This Row],[Indexación Económico]],0)</f>
        <v>0</v>
      </c>
      <c r="U20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0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08" s="695">
        <f>IFERROR(Producción_Agricola[[#This Row],[Financiero $Corrientes]]/Producción_Agricola[[#This Row],[Indexación Financiero]],0)</f>
        <v>0</v>
      </c>
      <c r="X20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0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08" s="699">
        <f>IFERROR(Producción_Agricola[[#This Row],[Intereses $Corrientes]]/Producción_Agricola[[#This Row],[Indexación Financiero]],0)</f>
        <v>0</v>
      </c>
      <c r="AA20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08" s="701">
        <f>IFERROR(INDEX(Produccion_Agricola_Cuentas[],MATCH(Producción_Agricola[[#This Row],[Cuenta Contable]],Produccion_Agricola_Cuentas[Cuenta Contable],0),2),0)</f>
        <v>0</v>
      </c>
      <c r="AC208" s="702">
        <f>IFERROR(INDEX(Tabla9[],MATCH(Producción_Agricola[[#This Row],[Movimiento]],Tabla9[Movimientos],0),2),0)</f>
        <v>0</v>
      </c>
      <c r="AD208" s="703">
        <f>IFERROR(INDEX(Tabla9[],MATCH(Producción_Agricola[[#This Row],[Movimiento]],Tabla9[Movimientos],0),3),0)</f>
        <v>0</v>
      </c>
      <c r="AE208" s="698">
        <f>IF(Producción_Agricola[[#This Row],[Fecha Económico]]=0,0,MONTH(Producción_Agricola[[#This Row],[Fecha Económico]]))</f>
        <v>0</v>
      </c>
      <c r="AF208" s="699">
        <f>IF(Producción_Agricola[[#This Row],[Fecha Económico]]=0,0,YEAR(Producción_Agricola[[#This Row],[Fecha Económico]]))</f>
        <v>0</v>
      </c>
      <c r="AG208" s="704">
        <f>SUMPRODUCT((Producción_Agricola[[#This Row],[Mes Económico]]=Tipo_Cambio[Mes])*(Producción_Agricola[[#This Row],[Año Económico]]=Tipo_Cambio[Año])*(Tipo_Cambio[$/U$S]))</f>
        <v>0</v>
      </c>
      <c r="AH208" s="703">
        <f>SUMPRODUCT((Producción_Agricola[[#This Row],[Mes Económico]]=Tipo_Cambio[Mes])*(Producción_Agricola[[#This Row],[Año Económico]]=Tipo_Cambio[Año])*(Tipo_Cambio[Actualización]))</f>
        <v>0</v>
      </c>
      <c r="AI208" s="699">
        <f>IF(ISNUMBER(Producción_Agricola[[#This Row],[Fecha Financiero]])=TRUE,MONTH(Producción_Agricola[[#This Row],[Fecha Financiero]]),0)</f>
        <v>0</v>
      </c>
      <c r="AJ208" s="699">
        <f>IF(ISNUMBER(Producción_Agricola[[#This Row],[Fecha Financiero]])=TRUE,YEAR(Producción_Agricola[[#This Row],[Fecha Financiero]]),0)</f>
        <v>0</v>
      </c>
      <c r="AK208" s="704">
        <f>SUMPRODUCT((Producción_Agricola[[#This Row],[Mes Financiero]]=Tipo_Cambio[Mes])*(Producción_Agricola[[#This Row],[Año Financiero]]=Tipo_Cambio[Año])*(Tipo_Cambio[$/U$S]))</f>
        <v>0</v>
      </c>
      <c r="AL208" s="704">
        <f>SUMPRODUCT((Producción_Agricola[[#This Row],[Mes Financiero]]=Tipo_Cambio[Mes])*(Producción_Agricola[[#This Row],[Año Financiero]]=Tipo_Cambio[Año])*(Tipo_Cambio[Actualización]))</f>
        <v>0</v>
      </c>
      <c r="AM208" s="709">
        <f>IFERROR(Producción_Agricola[[#This Row],[Económico $Corrientes]]/Producción_Agricola[[#This Row],[Superficie]],0)</f>
        <v>0</v>
      </c>
      <c r="AN208" s="712">
        <f>IFERROR(Producción_Agricola[[#This Row],[Económico $Constantes]]/Producción_Agricola[[#This Row],[Superficie]],0)</f>
        <v>0</v>
      </c>
      <c r="AO208" s="712">
        <f>IFERROR(Producción_Agricola[[#This Row],[Económico U$S Dólares]]/Producción_Agricola[[#This Row],[Superficie]],0)</f>
        <v>0</v>
      </c>
      <c r="AP208" s="711">
        <f>IF(Económico!$F$4=0,0,Producción_Agricola[[#This Row],[Centro de Costo]])</f>
        <v>0</v>
      </c>
      <c r="AQ208" s="512"/>
      <c r="AR208" s="513"/>
      <c r="AS208"/>
    </row>
    <row r="209" spans="2:45" x14ac:dyDescent="0.25">
      <c r="D209" s="478"/>
      <c r="E209" s="478"/>
      <c r="F209" s="668">
        <f t="shared" si="47"/>
        <v>0</v>
      </c>
      <c r="G209" s="673">
        <f t="shared" si="48"/>
        <v>0</v>
      </c>
      <c r="H209" s="673">
        <f t="shared" si="49"/>
        <v>0</v>
      </c>
      <c r="I209" s="675">
        <f>IFERROR(INDEX(Tabla8[],MATCH(Producción_Agricola[[#This Row],[Unidad de Negocio]],Tabla8[Unidades de Negocio],0),2),0)</f>
        <v>0</v>
      </c>
      <c r="J20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09" s="488"/>
      <c r="L209" s="482"/>
      <c r="M209" s="483"/>
      <c r="N209" s="484"/>
      <c r="O209" s="690">
        <f>Producción_Agricola[[#This Row],[Superficie]]*Producción_Agricola[[#This Row],[Cantidad]]</f>
        <v>0</v>
      </c>
      <c r="P209" s="482"/>
      <c r="Q209" s="484"/>
      <c r="R209" s="485"/>
      <c r="S20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09" s="695">
        <f>IFERROR(Producción_Agricola[[#This Row],[Económico $Corrientes]]/Producción_Agricola[[#This Row],[Indexación Económico]],0)</f>
        <v>0</v>
      </c>
      <c r="U20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0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09" s="695">
        <f>IFERROR(Producción_Agricola[[#This Row],[Financiero $Corrientes]]/Producción_Agricola[[#This Row],[Indexación Financiero]],0)</f>
        <v>0</v>
      </c>
      <c r="X20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0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09" s="699">
        <f>IFERROR(Producción_Agricola[[#This Row],[Intereses $Corrientes]]/Producción_Agricola[[#This Row],[Indexación Financiero]],0)</f>
        <v>0</v>
      </c>
      <c r="AA20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09" s="701">
        <f>IFERROR(INDEX(Produccion_Agricola_Cuentas[],MATCH(Producción_Agricola[[#This Row],[Cuenta Contable]],Produccion_Agricola_Cuentas[Cuenta Contable],0),2),0)</f>
        <v>0</v>
      </c>
      <c r="AC209" s="702">
        <f>IFERROR(INDEX(Tabla9[],MATCH(Producción_Agricola[[#This Row],[Movimiento]],Tabla9[Movimientos],0),2),0)</f>
        <v>0</v>
      </c>
      <c r="AD209" s="703">
        <f>IFERROR(INDEX(Tabla9[],MATCH(Producción_Agricola[[#This Row],[Movimiento]],Tabla9[Movimientos],0),3),0)</f>
        <v>0</v>
      </c>
      <c r="AE209" s="698">
        <f>IF(Producción_Agricola[[#This Row],[Fecha Económico]]=0,0,MONTH(Producción_Agricola[[#This Row],[Fecha Económico]]))</f>
        <v>0</v>
      </c>
      <c r="AF209" s="699">
        <f>IF(Producción_Agricola[[#This Row],[Fecha Económico]]=0,0,YEAR(Producción_Agricola[[#This Row],[Fecha Económico]]))</f>
        <v>0</v>
      </c>
      <c r="AG209" s="704">
        <f>SUMPRODUCT((Producción_Agricola[[#This Row],[Mes Económico]]=Tipo_Cambio[Mes])*(Producción_Agricola[[#This Row],[Año Económico]]=Tipo_Cambio[Año])*(Tipo_Cambio[$/U$S]))</f>
        <v>0</v>
      </c>
      <c r="AH209" s="703">
        <f>SUMPRODUCT((Producción_Agricola[[#This Row],[Mes Económico]]=Tipo_Cambio[Mes])*(Producción_Agricola[[#This Row],[Año Económico]]=Tipo_Cambio[Año])*(Tipo_Cambio[Actualización]))</f>
        <v>0</v>
      </c>
      <c r="AI209" s="699">
        <f>IF(ISNUMBER(Producción_Agricola[[#This Row],[Fecha Financiero]])=TRUE,MONTH(Producción_Agricola[[#This Row],[Fecha Financiero]]),0)</f>
        <v>0</v>
      </c>
      <c r="AJ209" s="699">
        <f>IF(ISNUMBER(Producción_Agricola[[#This Row],[Fecha Financiero]])=TRUE,YEAR(Producción_Agricola[[#This Row],[Fecha Financiero]]),0)</f>
        <v>0</v>
      </c>
      <c r="AK209" s="704">
        <f>SUMPRODUCT((Producción_Agricola[[#This Row],[Mes Financiero]]=Tipo_Cambio[Mes])*(Producción_Agricola[[#This Row],[Año Financiero]]=Tipo_Cambio[Año])*(Tipo_Cambio[$/U$S]))</f>
        <v>0</v>
      </c>
      <c r="AL209" s="704">
        <f>SUMPRODUCT((Producción_Agricola[[#This Row],[Mes Financiero]]=Tipo_Cambio[Mes])*(Producción_Agricola[[#This Row],[Año Financiero]]=Tipo_Cambio[Año])*(Tipo_Cambio[Actualización]))</f>
        <v>0</v>
      </c>
      <c r="AM209" s="709">
        <f>IFERROR(Producción_Agricola[[#This Row],[Económico $Corrientes]]/Producción_Agricola[[#This Row],[Superficie]],0)</f>
        <v>0</v>
      </c>
      <c r="AN209" s="712">
        <f>IFERROR(Producción_Agricola[[#This Row],[Económico $Constantes]]/Producción_Agricola[[#This Row],[Superficie]],0)</f>
        <v>0</v>
      </c>
      <c r="AO209" s="712">
        <f>IFERROR(Producción_Agricola[[#This Row],[Económico U$S Dólares]]/Producción_Agricola[[#This Row],[Superficie]],0)</f>
        <v>0</v>
      </c>
      <c r="AP209" s="711">
        <f>IF(Económico!$F$4=0,0,Producción_Agricola[[#This Row],[Centro de Costo]])</f>
        <v>0</v>
      </c>
      <c r="AQ209" s="512"/>
      <c r="AR209" s="513"/>
      <c r="AS209"/>
    </row>
    <row r="210" spans="2:45" x14ac:dyDescent="0.25">
      <c r="D210" s="478"/>
      <c r="E210" s="478"/>
      <c r="F210" s="668">
        <f t="shared" si="47"/>
        <v>0</v>
      </c>
      <c r="G210" s="673">
        <f t="shared" si="48"/>
        <v>0</v>
      </c>
      <c r="H210" s="673">
        <f t="shared" si="49"/>
        <v>0</v>
      </c>
      <c r="I210" s="675">
        <f>IFERROR(INDEX(Tabla8[],MATCH(Producción_Agricola[[#This Row],[Unidad de Negocio]],Tabla8[Unidades de Negocio],0),2),0)</f>
        <v>0</v>
      </c>
      <c r="J21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10" s="488"/>
      <c r="L210" s="482"/>
      <c r="M210" s="483"/>
      <c r="N210" s="484"/>
      <c r="O210" s="690">
        <f>Producción_Agricola[[#This Row],[Superficie]]*Producción_Agricola[[#This Row],[Cantidad]]</f>
        <v>0</v>
      </c>
      <c r="P210" s="482"/>
      <c r="Q210" s="484"/>
      <c r="R210" s="485"/>
      <c r="S21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10" s="695">
        <f>IFERROR(Producción_Agricola[[#This Row],[Económico $Corrientes]]/Producción_Agricola[[#This Row],[Indexación Económico]],0)</f>
        <v>0</v>
      </c>
      <c r="U21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1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10" s="695">
        <f>IFERROR(Producción_Agricola[[#This Row],[Financiero $Corrientes]]/Producción_Agricola[[#This Row],[Indexación Financiero]],0)</f>
        <v>0</v>
      </c>
      <c r="X21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1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10" s="699">
        <f>IFERROR(Producción_Agricola[[#This Row],[Intereses $Corrientes]]/Producción_Agricola[[#This Row],[Indexación Financiero]],0)</f>
        <v>0</v>
      </c>
      <c r="AA21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10" s="701">
        <f>IFERROR(INDEX(Produccion_Agricola_Cuentas[],MATCH(Producción_Agricola[[#This Row],[Cuenta Contable]],Produccion_Agricola_Cuentas[Cuenta Contable],0),2),0)</f>
        <v>0</v>
      </c>
      <c r="AC210" s="702">
        <f>IFERROR(INDEX(Tabla9[],MATCH(Producción_Agricola[[#This Row],[Movimiento]],Tabla9[Movimientos],0),2),0)</f>
        <v>0</v>
      </c>
      <c r="AD210" s="703">
        <f>IFERROR(INDEX(Tabla9[],MATCH(Producción_Agricola[[#This Row],[Movimiento]],Tabla9[Movimientos],0),3),0)</f>
        <v>0</v>
      </c>
      <c r="AE210" s="698">
        <f>IF(Producción_Agricola[[#This Row],[Fecha Económico]]=0,0,MONTH(Producción_Agricola[[#This Row],[Fecha Económico]]))</f>
        <v>0</v>
      </c>
      <c r="AF210" s="699">
        <f>IF(Producción_Agricola[[#This Row],[Fecha Económico]]=0,0,YEAR(Producción_Agricola[[#This Row],[Fecha Económico]]))</f>
        <v>0</v>
      </c>
      <c r="AG210" s="704">
        <f>SUMPRODUCT((Producción_Agricola[[#This Row],[Mes Económico]]=Tipo_Cambio[Mes])*(Producción_Agricola[[#This Row],[Año Económico]]=Tipo_Cambio[Año])*(Tipo_Cambio[$/U$S]))</f>
        <v>0</v>
      </c>
      <c r="AH210" s="703">
        <f>SUMPRODUCT((Producción_Agricola[[#This Row],[Mes Económico]]=Tipo_Cambio[Mes])*(Producción_Agricola[[#This Row],[Año Económico]]=Tipo_Cambio[Año])*(Tipo_Cambio[Actualización]))</f>
        <v>0</v>
      </c>
      <c r="AI210" s="699">
        <f>IF(ISNUMBER(Producción_Agricola[[#This Row],[Fecha Financiero]])=TRUE,MONTH(Producción_Agricola[[#This Row],[Fecha Financiero]]),0)</f>
        <v>0</v>
      </c>
      <c r="AJ210" s="699">
        <f>IF(ISNUMBER(Producción_Agricola[[#This Row],[Fecha Financiero]])=TRUE,YEAR(Producción_Agricola[[#This Row],[Fecha Financiero]]),0)</f>
        <v>0</v>
      </c>
      <c r="AK210" s="704">
        <f>SUMPRODUCT((Producción_Agricola[[#This Row],[Mes Financiero]]=Tipo_Cambio[Mes])*(Producción_Agricola[[#This Row],[Año Financiero]]=Tipo_Cambio[Año])*(Tipo_Cambio[$/U$S]))</f>
        <v>0</v>
      </c>
      <c r="AL210" s="704">
        <f>SUMPRODUCT((Producción_Agricola[[#This Row],[Mes Financiero]]=Tipo_Cambio[Mes])*(Producción_Agricola[[#This Row],[Año Financiero]]=Tipo_Cambio[Año])*(Tipo_Cambio[Actualización]))</f>
        <v>0</v>
      </c>
      <c r="AM210" s="709">
        <f>IFERROR(Producción_Agricola[[#This Row],[Económico $Corrientes]]/Producción_Agricola[[#This Row],[Superficie]],0)</f>
        <v>0</v>
      </c>
      <c r="AN210" s="712">
        <f>IFERROR(Producción_Agricola[[#This Row],[Económico $Constantes]]/Producción_Agricola[[#This Row],[Superficie]],0)</f>
        <v>0</v>
      </c>
      <c r="AO210" s="712">
        <f>IFERROR(Producción_Agricola[[#This Row],[Económico U$S Dólares]]/Producción_Agricola[[#This Row],[Superficie]],0)</f>
        <v>0</v>
      </c>
      <c r="AP210" s="711">
        <f>IF(Económico!$F$4=0,0,Producción_Agricola[[#This Row],[Centro de Costo]])</f>
        <v>0</v>
      </c>
      <c r="AQ210" s="512"/>
      <c r="AR210" s="513"/>
      <c r="AS210"/>
    </row>
    <row r="211" spans="2:45" x14ac:dyDescent="0.25">
      <c r="D211" s="478"/>
      <c r="E211" s="478"/>
      <c r="F211" s="668">
        <f t="shared" si="47"/>
        <v>0</v>
      </c>
      <c r="G211" s="673">
        <f t="shared" si="48"/>
        <v>0</v>
      </c>
      <c r="H211" s="673">
        <f t="shared" si="49"/>
        <v>0</v>
      </c>
      <c r="I211" s="675">
        <f>IFERROR(INDEX(Tabla8[],MATCH(Producción_Agricola[[#This Row],[Unidad de Negocio]],Tabla8[Unidades de Negocio],0),2),0)</f>
        <v>0</v>
      </c>
      <c r="J21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11" s="488"/>
      <c r="L211" s="482"/>
      <c r="M211" s="483"/>
      <c r="N211" s="484"/>
      <c r="O211" s="690">
        <f>Producción_Agricola[[#This Row],[Superficie]]*Producción_Agricola[[#This Row],[Cantidad]]</f>
        <v>0</v>
      </c>
      <c r="P211" s="482"/>
      <c r="Q211" s="484"/>
      <c r="R211" s="485"/>
      <c r="S21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11" s="695">
        <f>IFERROR(Producción_Agricola[[#This Row],[Económico $Corrientes]]/Producción_Agricola[[#This Row],[Indexación Económico]],0)</f>
        <v>0</v>
      </c>
      <c r="U21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1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11" s="695">
        <f>IFERROR(Producción_Agricola[[#This Row],[Financiero $Corrientes]]/Producción_Agricola[[#This Row],[Indexación Financiero]],0)</f>
        <v>0</v>
      </c>
      <c r="X21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1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11" s="699">
        <f>IFERROR(Producción_Agricola[[#This Row],[Intereses $Corrientes]]/Producción_Agricola[[#This Row],[Indexación Financiero]],0)</f>
        <v>0</v>
      </c>
      <c r="AA21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11" s="701">
        <f>IFERROR(INDEX(Produccion_Agricola_Cuentas[],MATCH(Producción_Agricola[[#This Row],[Cuenta Contable]],Produccion_Agricola_Cuentas[Cuenta Contable],0),2),0)</f>
        <v>0</v>
      </c>
      <c r="AC211" s="702">
        <f>IFERROR(INDEX(Tabla9[],MATCH(Producción_Agricola[[#This Row],[Movimiento]],Tabla9[Movimientos],0),2),0)</f>
        <v>0</v>
      </c>
      <c r="AD211" s="703">
        <f>IFERROR(INDEX(Tabla9[],MATCH(Producción_Agricola[[#This Row],[Movimiento]],Tabla9[Movimientos],0),3),0)</f>
        <v>0</v>
      </c>
      <c r="AE211" s="698">
        <f>IF(Producción_Agricola[[#This Row],[Fecha Económico]]=0,0,MONTH(Producción_Agricola[[#This Row],[Fecha Económico]]))</f>
        <v>0</v>
      </c>
      <c r="AF211" s="699">
        <f>IF(Producción_Agricola[[#This Row],[Fecha Económico]]=0,0,YEAR(Producción_Agricola[[#This Row],[Fecha Económico]]))</f>
        <v>0</v>
      </c>
      <c r="AG211" s="704">
        <f>SUMPRODUCT((Producción_Agricola[[#This Row],[Mes Económico]]=Tipo_Cambio[Mes])*(Producción_Agricola[[#This Row],[Año Económico]]=Tipo_Cambio[Año])*(Tipo_Cambio[$/U$S]))</f>
        <v>0</v>
      </c>
      <c r="AH211" s="703">
        <f>SUMPRODUCT((Producción_Agricola[[#This Row],[Mes Económico]]=Tipo_Cambio[Mes])*(Producción_Agricola[[#This Row],[Año Económico]]=Tipo_Cambio[Año])*(Tipo_Cambio[Actualización]))</f>
        <v>0</v>
      </c>
      <c r="AI211" s="699">
        <f>IF(ISNUMBER(Producción_Agricola[[#This Row],[Fecha Financiero]])=TRUE,MONTH(Producción_Agricola[[#This Row],[Fecha Financiero]]),0)</f>
        <v>0</v>
      </c>
      <c r="AJ211" s="699">
        <f>IF(ISNUMBER(Producción_Agricola[[#This Row],[Fecha Financiero]])=TRUE,YEAR(Producción_Agricola[[#This Row],[Fecha Financiero]]),0)</f>
        <v>0</v>
      </c>
      <c r="AK211" s="704">
        <f>SUMPRODUCT((Producción_Agricola[[#This Row],[Mes Financiero]]=Tipo_Cambio[Mes])*(Producción_Agricola[[#This Row],[Año Financiero]]=Tipo_Cambio[Año])*(Tipo_Cambio[$/U$S]))</f>
        <v>0</v>
      </c>
      <c r="AL211" s="704">
        <f>SUMPRODUCT((Producción_Agricola[[#This Row],[Mes Financiero]]=Tipo_Cambio[Mes])*(Producción_Agricola[[#This Row],[Año Financiero]]=Tipo_Cambio[Año])*(Tipo_Cambio[Actualización]))</f>
        <v>0</v>
      </c>
      <c r="AM211" s="709">
        <f>IFERROR(Producción_Agricola[[#This Row],[Económico $Corrientes]]/Producción_Agricola[[#This Row],[Superficie]],0)</f>
        <v>0</v>
      </c>
      <c r="AN211" s="712">
        <f>IFERROR(Producción_Agricola[[#This Row],[Económico $Constantes]]/Producción_Agricola[[#This Row],[Superficie]],0)</f>
        <v>0</v>
      </c>
      <c r="AO211" s="712">
        <f>IFERROR(Producción_Agricola[[#This Row],[Económico U$S Dólares]]/Producción_Agricola[[#This Row],[Superficie]],0)</f>
        <v>0</v>
      </c>
      <c r="AP211" s="711">
        <f>IF(Económico!$F$4=0,0,Producción_Agricola[[#This Row],[Centro de Costo]])</f>
        <v>0</v>
      </c>
      <c r="AQ211" s="512"/>
      <c r="AR211" s="513"/>
      <c r="AS211"/>
    </row>
    <row r="212" spans="2:45" x14ac:dyDescent="0.25">
      <c r="D212" s="478"/>
      <c r="E212" s="478"/>
      <c r="F212" s="668">
        <f t="shared" si="47"/>
        <v>0</v>
      </c>
      <c r="G212" s="673">
        <f t="shared" si="48"/>
        <v>0</v>
      </c>
      <c r="H212" s="673">
        <f t="shared" si="49"/>
        <v>0</v>
      </c>
      <c r="I212" s="675">
        <f>IFERROR(INDEX(Tabla8[],MATCH(Producción_Agricola[[#This Row],[Unidad de Negocio]],Tabla8[Unidades de Negocio],0),2),0)</f>
        <v>0</v>
      </c>
      <c r="J21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12" s="488"/>
      <c r="L212" s="482"/>
      <c r="M212" s="483"/>
      <c r="N212" s="484"/>
      <c r="O212" s="690">
        <f>Producción_Agricola[[#This Row],[Superficie]]*Producción_Agricola[[#This Row],[Cantidad]]</f>
        <v>0</v>
      </c>
      <c r="P212" s="482"/>
      <c r="Q212" s="484"/>
      <c r="R212" s="485"/>
      <c r="S21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12" s="695">
        <f>IFERROR(Producción_Agricola[[#This Row],[Económico $Corrientes]]/Producción_Agricola[[#This Row],[Indexación Económico]],0)</f>
        <v>0</v>
      </c>
      <c r="U21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1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12" s="695">
        <f>IFERROR(Producción_Agricola[[#This Row],[Financiero $Corrientes]]/Producción_Agricola[[#This Row],[Indexación Financiero]],0)</f>
        <v>0</v>
      </c>
      <c r="X21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1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12" s="699">
        <f>IFERROR(Producción_Agricola[[#This Row],[Intereses $Corrientes]]/Producción_Agricola[[#This Row],[Indexación Financiero]],0)</f>
        <v>0</v>
      </c>
      <c r="AA21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12" s="701">
        <f>IFERROR(INDEX(Produccion_Agricola_Cuentas[],MATCH(Producción_Agricola[[#This Row],[Cuenta Contable]],Produccion_Agricola_Cuentas[Cuenta Contable],0),2),0)</f>
        <v>0</v>
      </c>
      <c r="AC212" s="702">
        <f>IFERROR(INDEX(Tabla9[],MATCH(Producción_Agricola[[#This Row],[Movimiento]],Tabla9[Movimientos],0),2),0)</f>
        <v>0</v>
      </c>
      <c r="AD212" s="703">
        <f>IFERROR(INDEX(Tabla9[],MATCH(Producción_Agricola[[#This Row],[Movimiento]],Tabla9[Movimientos],0),3),0)</f>
        <v>0</v>
      </c>
      <c r="AE212" s="698">
        <f>IF(Producción_Agricola[[#This Row],[Fecha Económico]]=0,0,MONTH(Producción_Agricola[[#This Row],[Fecha Económico]]))</f>
        <v>0</v>
      </c>
      <c r="AF212" s="699">
        <f>IF(Producción_Agricola[[#This Row],[Fecha Económico]]=0,0,YEAR(Producción_Agricola[[#This Row],[Fecha Económico]]))</f>
        <v>0</v>
      </c>
      <c r="AG212" s="704">
        <f>SUMPRODUCT((Producción_Agricola[[#This Row],[Mes Económico]]=Tipo_Cambio[Mes])*(Producción_Agricola[[#This Row],[Año Económico]]=Tipo_Cambio[Año])*(Tipo_Cambio[$/U$S]))</f>
        <v>0</v>
      </c>
      <c r="AH212" s="703">
        <f>SUMPRODUCT((Producción_Agricola[[#This Row],[Mes Económico]]=Tipo_Cambio[Mes])*(Producción_Agricola[[#This Row],[Año Económico]]=Tipo_Cambio[Año])*(Tipo_Cambio[Actualización]))</f>
        <v>0</v>
      </c>
      <c r="AI212" s="699">
        <f>IF(ISNUMBER(Producción_Agricola[[#This Row],[Fecha Financiero]])=TRUE,MONTH(Producción_Agricola[[#This Row],[Fecha Financiero]]),0)</f>
        <v>0</v>
      </c>
      <c r="AJ212" s="699">
        <f>IF(ISNUMBER(Producción_Agricola[[#This Row],[Fecha Financiero]])=TRUE,YEAR(Producción_Agricola[[#This Row],[Fecha Financiero]]),0)</f>
        <v>0</v>
      </c>
      <c r="AK212" s="704">
        <f>SUMPRODUCT((Producción_Agricola[[#This Row],[Mes Financiero]]=Tipo_Cambio[Mes])*(Producción_Agricola[[#This Row],[Año Financiero]]=Tipo_Cambio[Año])*(Tipo_Cambio[$/U$S]))</f>
        <v>0</v>
      </c>
      <c r="AL212" s="704">
        <f>SUMPRODUCT((Producción_Agricola[[#This Row],[Mes Financiero]]=Tipo_Cambio[Mes])*(Producción_Agricola[[#This Row],[Año Financiero]]=Tipo_Cambio[Año])*(Tipo_Cambio[Actualización]))</f>
        <v>0</v>
      </c>
      <c r="AM212" s="709">
        <f>IFERROR(Producción_Agricola[[#This Row],[Económico $Corrientes]]/Producción_Agricola[[#This Row],[Superficie]],0)</f>
        <v>0</v>
      </c>
      <c r="AN212" s="712">
        <f>IFERROR(Producción_Agricola[[#This Row],[Económico $Constantes]]/Producción_Agricola[[#This Row],[Superficie]],0)</f>
        <v>0</v>
      </c>
      <c r="AO212" s="712">
        <f>IFERROR(Producción_Agricola[[#This Row],[Económico U$S Dólares]]/Producción_Agricola[[#This Row],[Superficie]],0)</f>
        <v>0</v>
      </c>
      <c r="AP212" s="711">
        <f>IF(Económico!$F$4=0,0,Producción_Agricola[[#This Row],[Centro de Costo]])</f>
        <v>0</v>
      </c>
      <c r="AQ212" s="512"/>
      <c r="AR212" s="513"/>
      <c r="AS212"/>
    </row>
    <row r="213" spans="2:45" x14ac:dyDescent="0.25">
      <c r="D213" s="478"/>
      <c r="E213" s="478"/>
      <c r="F213" s="668">
        <f t="shared" si="47"/>
        <v>0</v>
      </c>
      <c r="G213" s="673">
        <f t="shared" si="48"/>
        <v>0</v>
      </c>
      <c r="H213" s="673">
        <f t="shared" si="49"/>
        <v>0</v>
      </c>
      <c r="I213" s="675">
        <f>IFERROR(INDEX(Tabla8[],MATCH(Producción_Agricola[[#This Row],[Unidad de Negocio]],Tabla8[Unidades de Negocio],0),2),0)</f>
        <v>0</v>
      </c>
      <c r="J21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13" s="488"/>
      <c r="L213" s="482"/>
      <c r="M213" s="483"/>
      <c r="N213" s="484"/>
      <c r="O213" s="690">
        <f>Producción_Agricola[[#This Row],[Superficie]]*Producción_Agricola[[#This Row],[Cantidad]]</f>
        <v>0</v>
      </c>
      <c r="P213" s="482"/>
      <c r="Q213" s="484"/>
      <c r="R213" s="485"/>
      <c r="S21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13" s="695">
        <f>IFERROR(Producción_Agricola[[#This Row],[Económico $Corrientes]]/Producción_Agricola[[#This Row],[Indexación Económico]],0)</f>
        <v>0</v>
      </c>
      <c r="U21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1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13" s="695">
        <f>IFERROR(Producción_Agricola[[#This Row],[Financiero $Corrientes]]/Producción_Agricola[[#This Row],[Indexación Financiero]],0)</f>
        <v>0</v>
      </c>
      <c r="X21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1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13" s="699">
        <f>IFERROR(Producción_Agricola[[#This Row],[Intereses $Corrientes]]/Producción_Agricola[[#This Row],[Indexación Financiero]],0)</f>
        <v>0</v>
      </c>
      <c r="AA21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13" s="701">
        <f>IFERROR(INDEX(Produccion_Agricola_Cuentas[],MATCH(Producción_Agricola[[#This Row],[Cuenta Contable]],Produccion_Agricola_Cuentas[Cuenta Contable],0),2),0)</f>
        <v>0</v>
      </c>
      <c r="AC213" s="702">
        <f>IFERROR(INDEX(Tabla9[],MATCH(Producción_Agricola[[#This Row],[Movimiento]],Tabla9[Movimientos],0),2),0)</f>
        <v>0</v>
      </c>
      <c r="AD213" s="703">
        <f>IFERROR(INDEX(Tabla9[],MATCH(Producción_Agricola[[#This Row],[Movimiento]],Tabla9[Movimientos],0),3),0)</f>
        <v>0</v>
      </c>
      <c r="AE213" s="698">
        <f>IF(Producción_Agricola[[#This Row],[Fecha Económico]]=0,0,MONTH(Producción_Agricola[[#This Row],[Fecha Económico]]))</f>
        <v>0</v>
      </c>
      <c r="AF213" s="699">
        <f>IF(Producción_Agricola[[#This Row],[Fecha Económico]]=0,0,YEAR(Producción_Agricola[[#This Row],[Fecha Económico]]))</f>
        <v>0</v>
      </c>
      <c r="AG213" s="704">
        <f>SUMPRODUCT((Producción_Agricola[[#This Row],[Mes Económico]]=Tipo_Cambio[Mes])*(Producción_Agricola[[#This Row],[Año Económico]]=Tipo_Cambio[Año])*(Tipo_Cambio[$/U$S]))</f>
        <v>0</v>
      </c>
      <c r="AH213" s="703">
        <f>SUMPRODUCT((Producción_Agricola[[#This Row],[Mes Económico]]=Tipo_Cambio[Mes])*(Producción_Agricola[[#This Row],[Año Económico]]=Tipo_Cambio[Año])*(Tipo_Cambio[Actualización]))</f>
        <v>0</v>
      </c>
      <c r="AI213" s="699">
        <f>IF(ISNUMBER(Producción_Agricola[[#This Row],[Fecha Financiero]])=TRUE,MONTH(Producción_Agricola[[#This Row],[Fecha Financiero]]),0)</f>
        <v>0</v>
      </c>
      <c r="AJ213" s="699">
        <f>IF(ISNUMBER(Producción_Agricola[[#This Row],[Fecha Financiero]])=TRUE,YEAR(Producción_Agricola[[#This Row],[Fecha Financiero]]),0)</f>
        <v>0</v>
      </c>
      <c r="AK213" s="704">
        <f>SUMPRODUCT((Producción_Agricola[[#This Row],[Mes Financiero]]=Tipo_Cambio[Mes])*(Producción_Agricola[[#This Row],[Año Financiero]]=Tipo_Cambio[Año])*(Tipo_Cambio[$/U$S]))</f>
        <v>0</v>
      </c>
      <c r="AL213" s="704">
        <f>SUMPRODUCT((Producción_Agricola[[#This Row],[Mes Financiero]]=Tipo_Cambio[Mes])*(Producción_Agricola[[#This Row],[Año Financiero]]=Tipo_Cambio[Año])*(Tipo_Cambio[Actualización]))</f>
        <v>0</v>
      </c>
      <c r="AM213" s="709">
        <f>IFERROR(Producción_Agricola[[#This Row],[Económico $Corrientes]]/Producción_Agricola[[#This Row],[Superficie]],0)</f>
        <v>0</v>
      </c>
      <c r="AN213" s="712">
        <f>IFERROR(Producción_Agricola[[#This Row],[Económico $Constantes]]/Producción_Agricola[[#This Row],[Superficie]],0)</f>
        <v>0</v>
      </c>
      <c r="AO213" s="712">
        <f>IFERROR(Producción_Agricola[[#This Row],[Económico U$S Dólares]]/Producción_Agricola[[#This Row],[Superficie]],0)</f>
        <v>0</v>
      </c>
      <c r="AP213" s="711">
        <f>IF(Económico!$F$4=0,0,Producción_Agricola[[#This Row],[Centro de Costo]])</f>
        <v>0</v>
      </c>
      <c r="AQ213" s="512"/>
      <c r="AR213" s="513"/>
      <c r="AS213"/>
    </row>
    <row r="214" spans="2:45" x14ac:dyDescent="0.25">
      <c r="D214" s="478"/>
      <c r="E214" s="478"/>
      <c r="F214" s="668">
        <f t="shared" si="47"/>
        <v>0</v>
      </c>
      <c r="G214" s="673">
        <f t="shared" si="48"/>
        <v>0</v>
      </c>
      <c r="H214" s="673">
        <f t="shared" si="49"/>
        <v>0</v>
      </c>
      <c r="I214" s="675">
        <f>IFERROR(INDEX(Tabla8[],MATCH(Producción_Agricola[[#This Row],[Unidad de Negocio]],Tabla8[Unidades de Negocio],0),2),0)</f>
        <v>0</v>
      </c>
      <c r="J21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14" s="488"/>
      <c r="L214" s="482"/>
      <c r="M214" s="483"/>
      <c r="N214" s="484"/>
      <c r="O214" s="690">
        <f>Producción_Agricola[[#This Row],[Superficie]]*Producción_Agricola[[#This Row],[Cantidad]]</f>
        <v>0</v>
      </c>
      <c r="P214" s="482"/>
      <c r="Q214" s="484"/>
      <c r="R214" s="485"/>
      <c r="S21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14" s="695">
        <f>IFERROR(Producción_Agricola[[#This Row],[Económico $Corrientes]]/Producción_Agricola[[#This Row],[Indexación Económico]],0)</f>
        <v>0</v>
      </c>
      <c r="U21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1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14" s="695">
        <f>IFERROR(Producción_Agricola[[#This Row],[Financiero $Corrientes]]/Producción_Agricola[[#This Row],[Indexación Financiero]],0)</f>
        <v>0</v>
      </c>
      <c r="X21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1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14" s="699">
        <f>IFERROR(Producción_Agricola[[#This Row],[Intereses $Corrientes]]/Producción_Agricola[[#This Row],[Indexación Financiero]],0)</f>
        <v>0</v>
      </c>
      <c r="AA21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14" s="701">
        <f>IFERROR(INDEX(Produccion_Agricola_Cuentas[],MATCH(Producción_Agricola[[#This Row],[Cuenta Contable]],Produccion_Agricola_Cuentas[Cuenta Contable],0),2),0)</f>
        <v>0</v>
      </c>
      <c r="AC214" s="702">
        <f>IFERROR(INDEX(Tabla9[],MATCH(Producción_Agricola[[#This Row],[Movimiento]],Tabla9[Movimientos],0),2),0)</f>
        <v>0</v>
      </c>
      <c r="AD214" s="703">
        <f>IFERROR(INDEX(Tabla9[],MATCH(Producción_Agricola[[#This Row],[Movimiento]],Tabla9[Movimientos],0),3),0)</f>
        <v>0</v>
      </c>
      <c r="AE214" s="698">
        <f>IF(Producción_Agricola[[#This Row],[Fecha Económico]]=0,0,MONTH(Producción_Agricola[[#This Row],[Fecha Económico]]))</f>
        <v>0</v>
      </c>
      <c r="AF214" s="699">
        <f>IF(Producción_Agricola[[#This Row],[Fecha Económico]]=0,0,YEAR(Producción_Agricola[[#This Row],[Fecha Económico]]))</f>
        <v>0</v>
      </c>
      <c r="AG214" s="704">
        <f>SUMPRODUCT((Producción_Agricola[[#This Row],[Mes Económico]]=Tipo_Cambio[Mes])*(Producción_Agricola[[#This Row],[Año Económico]]=Tipo_Cambio[Año])*(Tipo_Cambio[$/U$S]))</f>
        <v>0</v>
      </c>
      <c r="AH214" s="703">
        <f>SUMPRODUCT((Producción_Agricola[[#This Row],[Mes Económico]]=Tipo_Cambio[Mes])*(Producción_Agricola[[#This Row],[Año Económico]]=Tipo_Cambio[Año])*(Tipo_Cambio[Actualización]))</f>
        <v>0</v>
      </c>
      <c r="AI214" s="699">
        <f>IF(ISNUMBER(Producción_Agricola[[#This Row],[Fecha Financiero]])=TRUE,MONTH(Producción_Agricola[[#This Row],[Fecha Financiero]]),0)</f>
        <v>0</v>
      </c>
      <c r="AJ214" s="699">
        <f>IF(ISNUMBER(Producción_Agricola[[#This Row],[Fecha Financiero]])=TRUE,YEAR(Producción_Agricola[[#This Row],[Fecha Financiero]]),0)</f>
        <v>0</v>
      </c>
      <c r="AK214" s="704">
        <f>SUMPRODUCT((Producción_Agricola[[#This Row],[Mes Financiero]]=Tipo_Cambio[Mes])*(Producción_Agricola[[#This Row],[Año Financiero]]=Tipo_Cambio[Año])*(Tipo_Cambio[$/U$S]))</f>
        <v>0</v>
      </c>
      <c r="AL214" s="704">
        <f>SUMPRODUCT((Producción_Agricola[[#This Row],[Mes Financiero]]=Tipo_Cambio[Mes])*(Producción_Agricola[[#This Row],[Año Financiero]]=Tipo_Cambio[Año])*(Tipo_Cambio[Actualización]))</f>
        <v>0</v>
      </c>
      <c r="AM214" s="709">
        <f>IFERROR(Producción_Agricola[[#This Row],[Económico $Corrientes]]/Producción_Agricola[[#This Row],[Superficie]],0)</f>
        <v>0</v>
      </c>
      <c r="AN214" s="712">
        <f>IFERROR(Producción_Agricola[[#This Row],[Económico $Constantes]]/Producción_Agricola[[#This Row],[Superficie]],0)</f>
        <v>0</v>
      </c>
      <c r="AO214" s="712">
        <f>IFERROR(Producción_Agricola[[#This Row],[Económico U$S Dólares]]/Producción_Agricola[[#This Row],[Superficie]],0)</f>
        <v>0</v>
      </c>
      <c r="AP214" s="711">
        <f>IF(Económico!$F$4=0,0,Producción_Agricola[[#This Row],[Centro de Costo]])</f>
        <v>0</v>
      </c>
      <c r="AQ214" s="512"/>
      <c r="AR214" s="513"/>
      <c r="AS214"/>
    </row>
    <row r="215" spans="2:45" x14ac:dyDescent="0.25">
      <c r="D215" s="478"/>
      <c r="E215" s="478"/>
      <c r="F215" s="668">
        <f t="shared" si="47"/>
        <v>0</v>
      </c>
      <c r="G215" s="673">
        <f t="shared" si="48"/>
        <v>0</v>
      </c>
      <c r="H215" s="673">
        <f t="shared" si="49"/>
        <v>0</v>
      </c>
      <c r="I215" s="675">
        <f>IFERROR(INDEX(Tabla8[],MATCH(Producción_Agricola[[#This Row],[Unidad de Negocio]],Tabla8[Unidades de Negocio],0),2),0)</f>
        <v>0</v>
      </c>
      <c r="J21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15" s="488"/>
      <c r="L215" s="482"/>
      <c r="M215" s="483"/>
      <c r="N215" s="484"/>
      <c r="O215" s="690">
        <f>Producción_Agricola[[#This Row],[Superficie]]*Producción_Agricola[[#This Row],[Cantidad]]</f>
        <v>0</v>
      </c>
      <c r="P215" s="482"/>
      <c r="Q215" s="484"/>
      <c r="R215" s="485"/>
      <c r="S21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15" s="695">
        <f>IFERROR(Producción_Agricola[[#This Row],[Económico $Corrientes]]/Producción_Agricola[[#This Row],[Indexación Económico]],0)</f>
        <v>0</v>
      </c>
      <c r="U21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1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15" s="695">
        <f>IFERROR(Producción_Agricola[[#This Row],[Financiero $Corrientes]]/Producción_Agricola[[#This Row],[Indexación Financiero]],0)</f>
        <v>0</v>
      </c>
      <c r="X21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1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15" s="699">
        <f>IFERROR(Producción_Agricola[[#This Row],[Intereses $Corrientes]]/Producción_Agricola[[#This Row],[Indexación Financiero]],0)</f>
        <v>0</v>
      </c>
      <c r="AA21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15" s="701">
        <f>IFERROR(INDEX(Produccion_Agricola_Cuentas[],MATCH(Producción_Agricola[[#This Row],[Cuenta Contable]],Produccion_Agricola_Cuentas[Cuenta Contable],0),2),0)</f>
        <v>0</v>
      </c>
      <c r="AC215" s="702">
        <f>IFERROR(INDEX(Tabla9[],MATCH(Producción_Agricola[[#This Row],[Movimiento]],Tabla9[Movimientos],0),2),0)</f>
        <v>0</v>
      </c>
      <c r="AD215" s="703">
        <f>IFERROR(INDEX(Tabla9[],MATCH(Producción_Agricola[[#This Row],[Movimiento]],Tabla9[Movimientos],0),3),0)</f>
        <v>0</v>
      </c>
      <c r="AE215" s="698">
        <f>IF(Producción_Agricola[[#This Row],[Fecha Económico]]=0,0,MONTH(Producción_Agricola[[#This Row],[Fecha Económico]]))</f>
        <v>0</v>
      </c>
      <c r="AF215" s="699">
        <f>IF(Producción_Agricola[[#This Row],[Fecha Económico]]=0,0,YEAR(Producción_Agricola[[#This Row],[Fecha Económico]]))</f>
        <v>0</v>
      </c>
      <c r="AG215" s="704">
        <f>SUMPRODUCT((Producción_Agricola[[#This Row],[Mes Económico]]=Tipo_Cambio[Mes])*(Producción_Agricola[[#This Row],[Año Económico]]=Tipo_Cambio[Año])*(Tipo_Cambio[$/U$S]))</f>
        <v>0</v>
      </c>
      <c r="AH215" s="703">
        <f>SUMPRODUCT((Producción_Agricola[[#This Row],[Mes Económico]]=Tipo_Cambio[Mes])*(Producción_Agricola[[#This Row],[Año Económico]]=Tipo_Cambio[Año])*(Tipo_Cambio[Actualización]))</f>
        <v>0</v>
      </c>
      <c r="AI215" s="699">
        <f>IF(ISNUMBER(Producción_Agricola[[#This Row],[Fecha Financiero]])=TRUE,MONTH(Producción_Agricola[[#This Row],[Fecha Financiero]]),0)</f>
        <v>0</v>
      </c>
      <c r="AJ215" s="699">
        <f>IF(ISNUMBER(Producción_Agricola[[#This Row],[Fecha Financiero]])=TRUE,YEAR(Producción_Agricola[[#This Row],[Fecha Financiero]]),0)</f>
        <v>0</v>
      </c>
      <c r="AK215" s="704">
        <f>SUMPRODUCT((Producción_Agricola[[#This Row],[Mes Financiero]]=Tipo_Cambio[Mes])*(Producción_Agricola[[#This Row],[Año Financiero]]=Tipo_Cambio[Año])*(Tipo_Cambio[$/U$S]))</f>
        <v>0</v>
      </c>
      <c r="AL215" s="704">
        <f>SUMPRODUCT((Producción_Agricola[[#This Row],[Mes Financiero]]=Tipo_Cambio[Mes])*(Producción_Agricola[[#This Row],[Año Financiero]]=Tipo_Cambio[Año])*(Tipo_Cambio[Actualización]))</f>
        <v>0</v>
      </c>
      <c r="AM215" s="709">
        <f>IFERROR(Producción_Agricola[[#This Row],[Económico $Corrientes]]/Producción_Agricola[[#This Row],[Superficie]],0)</f>
        <v>0</v>
      </c>
      <c r="AN215" s="712">
        <f>IFERROR(Producción_Agricola[[#This Row],[Económico $Constantes]]/Producción_Agricola[[#This Row],[Superficie]],0)</f>
        <v>0</v>
      </c>
      <c r="AO215" s="712">
        <f>IFERROR(Producción_Agricola[[#This Row],[Económico U$S Dólares]]/Producción_Agricola[[#This Row],[Superficie]],0)</f>
        <v>0</v>
      </c>
      <c r="AP215" s="711">
        <f>IF(Económico!$F$4=0,0,Producción_Agricola[[#This Row],[Centro de Costo]])</f>
        <v>0</v>
      </c>
      <c r="AQ215" s="512"/>
      <c r="AR215" s="513"/>
      <c r="AS215"/>
    </row>
    <row r="216" spans="2:45" x14ac:dyDescent="0.25">
      <c r="D216" s="478"/>
      <c r="E216" s="478"/>
      <c r="F216" s="668">
        <f t="shared" si="47"/>
        <v>0</v>
      </c>
      <c r="G216" s="673">
        <f t="shared" si="48"/>
        <v>0</v>
      </c>
      <c r="H216" s="673">
        <f t="shared" si="49"/>
        <v>0</v>
      </c>
      <c r="I216" s="675">
        <f>IFERROR(INDEX(Tabla8[],MATCH(Producción_Agricola[[#This Row],[Unidad de Negocio]],Tabla8[Unidades de Negocio],0),2),0)</f>
        <v>0</v>
      </c>
      <c r="J21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16" s="488"/>
      <c r="L216" s="482"/>
      <c r="M216" s="483"/>
      <c r="N216" s="484"/>
      <c r="O216" s="690">
        <f>Producción_Agricola[[#This Row],[Superficie]]*Producción_Agricola[[#This Row],[Cantidad]]</f>
        <v>0</v>
      </c>
      <c r="P216" s="482"/>
      <c r="Q216" s="484"/>
      <c r="R216" s="485"/>
      <c r="S21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16" s="695">
        <f>IFERROR(Producción_Agricola[[#This Row],[Económico $Corrientes]]/Producción_Agricola[[#This Row],[Indexación Económico]],0)</f>
        <v>0</v>
      </c>
      <c r="U21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1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16" s="695">
        <f>IFERROR(Producción_Agricola[[#This Row],[Financiero $Corrientes]]/Producción_Agricola[[#This Row],[Indexación Financiero]],0)</f>
        <v>0</v>
      </c>
      <c r="X21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1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16" s="699">
        <f>IFERROR(Producción_Agricola[[#This Row],[Intereses $Corrientes]]/Producción_Agricola[[#This Row],[Indexación Financiero]],0)</f>
        <v>0</v>
      </c>
      <c r="AA21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16" s="701">
        <f>IFERROR(INDEX(Produccion_Agricola_Cuentas[],MATCH(Producción_Agricola[[#This Row],[Cuenta Contable]],Produccion_Agricola_Cuentas[Cuenta Contable],0),2),0)</f>
        <v>0</v>
      </c>
      <c r="AC216" s="702">
        <f>IFERROR(INDEX(Tabla9[],MATCH(Producción_Agricola[[#This Row],[Movimiento]],Tabla9[Movimientos],0),2),0)</f>
        <v>0</v>
      </c>
      <c r="AD216" s="703">
        <f>IFERROR(INDEX(Tabla9[],MATCH(Producción_Agricola[[#This Row],[Movimiento]],Tabla9[Movimientos],0),3),0)</f>
        <v>0</v>
      </c>
      <c r="AE216" s="698">
        <f>IF(Producción_Agricola[[#This Row],[Fecha Económico]]=0,0,MONTH(Producción_Agricola[[#This Row],[Fecha Económico]]))</f>
        <v>0</v>
      </c>
      <c r="AF216" s="699">
        <f>IF(Producción_Agricola[[#This Row],[Fecha Económico]]=0,0,YEAR(Producción_Agricola[[#This Row],[Fecha Económico]]))</f>
        <v>0</v>
      </c>
      <c r="AG216" s="704">
        <f>SUMPRODUCT((Producción_Agricola[[#This Row],[Mes Económico]]=Tipo_Cambio[Mes])*(Producción_Agricola[[#This Row],[Año Económico]]=Tipo_Cambio[Año])*(Tipo_Cambio[$/U$S]))</f>
        <v>0</v>
      </c>
      <c r="AH216" s="703">
        <f>SUMPRODUCT((Producción_Agricola[[#This Row],[Mes Económico]]=Tipo_Cambio[Mes])*(Producción_Agricola[[#This Row],[Año Económico]]=Tipo_Cambio[Año])*(Tipo_Cambio[Actualización]))</f>
        <v>0</v>
      </c>
      <c r="AI216" s="699">
        <f>IF(ISNUMBER(Producción_Agricola[[#This Row],[Fecha Financiero]])=TRUE,MONTH(Producción_Agricola[[#This Row],[Fecha Financiero]]),0)</f>
        <v>0</v>
      </c>
      <c r="AJ216" s="699">
        <f>IF(ISNUMBER(Producción_Agricola[[#This Row],[Fecha Financiero]])=TRUE,YEAR(Producción_Agricola[[#This Row],[Fecha Financiero]]),0)</f>
        <v>0</v>
      </c>
      <c r="AK216" s="704">
        <f>SUMPRODUCT((Producción_Agricola[[#This Row],[Mes Financiero]]=Tipo_Cambio[Mes])*(Producción_Agricola[[#This Row],[Año Financiero]]=Tipo_Cambio[Año])*(Tipo_Cambio[$/U$S]))</f>
        <v>0</v>
      </c>
      <c r="AL216" s="704">
        <f>SUMPRODUCT((Producción_Agricola[[#This Row],[Mes Financiero]]=Tipo_Cambio[Mes])*(Producción_Agricola[[#This Row],[Año Financiero]]=Tipo_Cambio[Año])*(Tipo_Cambio[Actualización]))</f>
        <v>0</v>
      </c>
      <c r="AM216" s="709">
        <f>IFERROR(Producción_Agricola[[#This Row],[Económico $Corrientes]]/Producción_Agricola[[#This Row],[Superficie]],0)</f>
        <v>0</v>
      </c>
      <c r="AN216" s="712">
        <f>IFERROR(Producción_Agricola[[#This Row],[Económico $Constantes]]/Producción_Agricola[[#This Row],[Superficie]],0)</f>
        <v>0</v>
      </c>
      <c r="AO216" s="712">
        <f>IFERROR(Producción_Agricola[[#This Row],[Económico U$S Dólares]]/Producción_Agricola[[#This Row],[Superficie]],0)</f>
        <v>0</v>
      </c>
      <c r="AP216" s="711">
        <f>IF(Económico!$F$4=0,0,Producción_Agricola[[#This Row],[Centro de Costo]])</f>
        <v>0</v>
      </c>
      <c r="AQ216" s="512"/>
      <c r="AR216" s="513"/>
      <c r="AS216"/>
    </row>
    <row r="217" spans="2:45" x14ac:dyDescent="0.25">
      <c r="D217" s="478"/>
      <c r="E217" s="478"/>
      <c r="F217" s="668">
        <f t="shared" si="47"/>
        <v>0</v>
      </c>
      <c r="G217" s="673">
        <f t="shared" si="48"/>
        <v>0</v>
      </c>
      <c r="H217" s="673">
        <f t="shared" si="49"/>
        <v>0</v>
      </c>
      <c r="I217" s="675">
        <f>IFERROR(INDEX(Tabla8[],MATCH(Producción_Agricola[[#This Row],[Unidad de Negocio]],Tabla8[Unidades de Negocio],0),2),0)</f>
        <v>0</v>
      </c>
      <c r="J21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17" s="488"/>
      <c r="L217" s="482"/>
      <c r="M217" s="483"/>
      <c r="N217" s="484"/>
      <c r="O217" s="690">
        <f>Producción_Agricola[[#This Row],[Superficie]]*Producción_Agricola[[#This Row],[Cantidad]]</f>
        <v>0</v>
      </c>
      <c r="P217" s="482"/>
      <c r="Q217" s="484"/>
      <c r="R217" s="485"/>
      <c r="S21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17" s="695">
        <f>IFERROR(Producción_Agricola[[#This Row],[Económico $Corrientes]]/Producción_Agricola[[#This Row],[Indexación Económico]],0)</f>
        <v>0</v>
      </c>
      <c r="U21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1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17" s="695">
        <f>IFERROR(Producción_Agricola[[#This Row],[Financiero $Corrientes]]/Producción_Agricola[[#This Row],[Indexación Financiero]],0)</f>
        <v>0</v>
      </c>
      <c r="X21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1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17" s="699">
        <f>IFERROR(Producción_Agricola[[#This Row],[Intereses $Corrientes]]/Producción_Agricola[[#This Row],[Indexación Financiero]],0)</f>
        <v>0</v>
      </c>
      <c r="AA21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17" s="701">
        <f>IFERROR(INDEX(Produccion_Agricola_Cuentas[],MATCH(Producción_Agricola[[#This Row],[Cuenta Contable]],Produccion_Agricola_Cuentas[Cuenta Contable],0),2),0)</f>
        <v>0</v>
      </c>
      <c r="AC217" s="702">
        <f>IFERROR(INDEX(Tabla9[],MATCH(Producción_Agricola[[#This Row],[Movimiento]],Tabla9[Movimientos],0),2),0)</f>
        <v>0</v>
      </c>
      <c r="AD217" s="703">
        <f>IFERROR(INDEX(Tabla9[],MATCH(Producción_Agricola[[#This Row],[Movimiento]],Tabla9[Movimientos],0),3),0)</f>
        <v>0</v>
      </c>
      <c r="AE217" s="698">
        <f>IF(Producción_Agricola[[#This Row],[Fecha Económico]]=0,0,MONTH(Producción_Agricola[[#This Row],[Fecha Económico]]))</f>
        <v>0</v>
      </c>
      <c r="AF217" s="699">
        <f>IF(Producción_Agricola[[#This Row],[Fecha Económico]]=0,0,YEAR(Producción_Agricola[[#This Row],[Fecha Económico]]))</f>
        <v>0</v>
      </c>
      <c r="AG217" s="704">
        <f>SUMPRODUCT((Producción_Agricola[[#This Row],[Mes Económico]]=Tipo_Cambio[Mes])*(Producción_Agricola[[#This Row],[Año Económico]]=Tipo_Cambio[Año])*(Tipo_Cambio[$/U$S]))</f>
        <v>0</v>
      </c>
      <c r="AH217" s="703">
        <f>SUMPRODUCT((Producción_Agricola[[#This Row],[Mes Económico]]=Tipo_Cambio[Mes])*(Producción_Agricola[[#This Row],[Año Económico]]=Tipo_Cambio[Año])*(Tipo_Cambio[Actualización]))</f>
        <v>0</v>
      </c>
      <c r="AI217" s="699">
        <f>IF(ISNUMBER(Producción_Agricola[[#This Row],[Fecha Financiero]])=TRUE,MONTH(Producción_Agricola[[#This Row],[Fecha Financiero]]),0)</f>
        <v>0</v>
      </c>
      <c r="AJ217" s="699">
        <f>IF(ISNUMBER(Producción_Agricola[[#This Row],[Fecha Financiero]])=TRUE,YEAR(Producción_Agricola[[#This Row],[Fecha Financiero]]),0)</f>
        <v>0</v>
      </c>
      <c r="AK217" s="704">
        <f>SUMPRODUCT((Producción_Agricola[[#This Row],[Mes Financiero]]=Tipo_Cambio[Mes])*(Producción_Agricola[[#This Row],[Año Financiero]]=Tipo_Cambio[Año])*(Tipo_Cambio[$/U$S]))</f>
        <v>0</v>
      </c>
      <c r="AL217" s="704">
        <f>SUMPRODUCT((Producción_Agricola[[#This Row],[Mes Financiero]]=Tipo_Cambio[Mes])*(Producción_Agricola[[#This Row],[Año Financiero]]=Tipo_Cambio[Año])*(Tipo_Cambio[Actualización]))</f>
        <v>0</v>
      </c>
      <c r="AM217" s="709">
        <f>IFERROR(Producción_Agricola[[#This Row],[Económico $Corrientes]]/Producción_Agricola[[#This Row],[Superficie]],0)</f>
        <v>0</v>
      </c>
      <c r="AN217" s="712">
        <f>IFERROR(Producción_Agricola[[#This Row],[Económico $Constantes]]/Producción_Agricola[[#This Row],[Superficie]],0)</f>
        <v>0</v>
      </c>
      <c r="AO217" s="712">
        <f>IFERROR(Producción_Agricola[[#This Row],[Económico U$S Dólares]]/Producción_Agricola[[#This Row],[Superficie]],0)</f>
        <v>0</v>
      </c>
      <c r="AP217" s="711">
        <f>IF(Económico!$F$4=0,0,Producción_Agricola[[#This Row],[Centro de Costo]])</f>
        <v>0</v>
      </c>
      <c r="AQ217" s="512"/>
      <c r="AR217" s="513"/>
      <c r="AS217"/>
    </row>
    <row r="218" spans="2:45" ht="15.75" thickBot="1" x14ac:dyDescent="0.3">
      <c r="B218" s="494" t="s">
        <v>101</v>
      </c>
      <c r="D218" s="478"/>
      <c r="E218" s="478"/>
      <c r="F218" s="668">
        <f t="shared" si="47"/>
        <v>0</v>
      </c>
      <c r="G218" s="673">
        <f t="shared" si="48"/>
        <v>0</v>
      </c>
      <c r="H218" s="673">
        <f t="shared" si="49"/>
        <v>0</v>
      </c>
      <c r="I218" s="675">
        <f>IFERROR(INDEX(Tabla8[],MATCH(Producción_Agricola[[#This Row],[Unidad de Negocio]],Tabla8[Unidades de Negocio],0),2),0)</f>
        <v>0</v>
      </c>
      <c r="J21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18" s="488"/>
      <c r="L218" s="482"/>
      <c r="M218" s="483"/>
      <c r="N218" s="484"/>
      <c r="O218" s="690">
        <f>Producción_Agricola[[#This Row],[Superficie]]*Producción_Agricola[[#This Row],[Cantidad]]</f>
        <v>0</v>
      </c>
      <c r="P218" s="482"/>
      <c r="Q218" s="484"/>
      <c r="R218" s="485"/>
      <c r="S21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18" s="695">
        <f>IFERROR(Producción_Agricola[[#This Row],[Económico $Corrientes]]/Producción_Agricola[[#This Row],[Indexación Económico]],0)</f>
        <v>0</v>
      </c>
      <c r="U21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1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18" s="695">
        <f>IFERROR(Producción_Agricola[[#This Row],[Financiero $Corrientes]]/Producción_Agricola[[#This Row],[Indexación Financiero]],0)</f>
        <v>0</v>
      </c>
      <c r="X21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1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18" s="699">
        <f>IFERROR(Producción_Agricola[[#This Row],[Intereses $Corrientes]]/Producción_Agricola[[#This Row],[Indexación Financiero]],0)</f>
        <v>0</v>
      </c>
      <c r="AA21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18" s="701">
        <f>IFERROR(INDEX(Produccion_Agricola_Cuentas[],MATCH(Producción_Agricola[[#This Row],[Cuenta Contable]],Produccion_Agricola_Cuentas[Cuenta Contable],0),2),0)</f>
        <v>0</v>
      </c>
      <c r="AC218" s="702">
        <f>IFERROR(INDEX(Tabla9[],MATCH(Producción_Agricola[[#This Row],[Movimiento]],Tabla9[Movimientos],0),2),0)</f>
        <v>0</v>
      </c>
      <c r="AD218" s="703">
        <f>IFERROR(INDEX(Tabla9[],MATCH(Producción_Agricola[[#This Row],[Movimiento]],Tabla9[Movimientos],0),3),0)</f>
        <v>0</v>
      </c>
      <c r="AE218" s="698">
        <f>IF(Producción_Agricola[[#This Row],[Fecha Económico]]=0,0,MONTH(Producción_Agricola[[#This Row],[Fecha Económico]]))</f>
        <v>0</v>
      </c>
      <c r="AF218" s="699">
        <f>IF(Producción_Agricola[[#This Row],[Fecha Económico]]=0,0,YEAR(Producción_Agricola[[#This Row],[Fecha Económico]]))</f>
        <v>0</v>
      </c>
      <c r="AG218" s="704">
        <f>SUMPRODUCT((Producción_Agricola[[#This Row],[Mes Económico]]=Tipo_Cambio[Mes])*(Producción_Agricola[[#This Row],[Año Económico]]=Tipo_Cambio[Año])*(Tipo_Cambio[$/U$S]))</f>
        <v>0</v>
      </c>
      <c r="AH218" s="703">
        <f>SUMPRODUCT((Producción_Agricola[[#This Row],[Mes Económico]]=Tipo_Cambio[Mes])*(Producción_Agricola[[#This Row],[Año Económico]]=Tipo_Cambio[Año])*(Tipo_Cambio[Actualización]))</f>
        <v>0</v>
      </c>
      <c r="AI218" s="699">
        <f>IF(ISNUMBER(Producción_Agricola[[#This Row],[Fecha Financiero]])=TRUE,MONTH(Producción_Agricola[[#This Row],[Fecha Financiero]]),0)</f>
        <v>0</v>
      </c>
      <c r="AJ218" s="699">
        <f>IF(ISNUMBER(Producción_Agricola[[#This Row],[Fecha Financiero]])=TRUE,YEAR(Producción_Agricola[[#This Row],[Fecha Financiero]]),0)</f>
        <v>0</v>
      </c>
      <c r="AK218" s="704">
        <f>SUMPRODUCT((Producción_Agricola[[#This Row],[Mes Financiero]]=Tipo_Cambio[Mes])*(Producción_Agricola[[#This Row],[Año Financiero]]=Tipo_Cambio[Año])*(Tipo_Cambio[$/U$S]))</f>
        <v>0</v>
      </c>
      <c r="AL218" s="704">
        <f>SUMPRODUCT((Producción_Agricola[[#This Row],[Mes Financiero]]=Tipo_Cambio[Mes])*(Producción_Agricola[[#This Row],[Año Financiero]]=Tipo_Cambio[Año])*(Tipo_Cambio[Actualización]))</f>
        <v>0</v>
      </c>
      <c r="AM218" s="709">
        <f>IFERROR(Producción_Agricola[[#This Row],[Económico $Corrientes]]/Producción_Agricola[[#This Row],[Superficie]],0)</f>
        <v>0</v>
      </c>
      <c r="AN218" s="712">
        <f>IFERROR(Producción_Agricola[[#This Row],[Económico $Constantes]]/Producción_Agricola[[#This Row],[Superficie]],0)</f>
        <v>0</v>
      </c>
      <c r="AO218" s="712">
        <f>IFERROR(Producción_Agricola[[#This Row],[Económico U$S Dólares]]/Producción_Agricola[[#This Row],[Superficie]],0)</f>
        <v>0</v>
      </c>
      <c r="AP218" s="711">
        <f>IF(Económico!$F$4=0,0,Producción_Agricola[[#This Row],[Centro de Costo]])</f>
        <v>0</v>
      </c>
      <c r="AQ218" s="512"/>
      <c r="AR218" s="513"/>
      <c r="AS218"/>
    </row>
    <row r="219" spans="2:45" ht="15.75" thickTop="1" x14ac:dyDescent="0.25">
      <c r="B219" s="477" t="s">
        <v>458</v>
      </c>
      <c r="D219" s="495"/>
      <c r="E219" s="495"/>
      <c r="F219" s="679">
        <f>$B$220</f>
        <v>0</v>
      </c>
      <c r="G219" s="680">
        <f>$B$221</f>
        <v>0</v>
      </c>
      <c r="H219" s="680">
        <f>$B$222</f>
        <v>0</v>
      </c>
      <c r="I219" s="683">
        <f>IFERROR(INDEX(Tabla8[],MATCH(Producción_Agricola[[#This Row],[Unidad de Negocio]],Tabla8[Unidades de Negocio],0),2),0)</f>
        <v>0</v>
      </c>
      <c r="J219" s="684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19" s="508"/>
      <c r="L219" s="497"/>
      <c r="M219" s="498"/>
      <c r="N219" s="499"/>
      <c r="O219" s="691">
        <f>Producción_Agricola[[#This Row],[Superficie]]*Producción_Agricola[[#This Row],[Cantidad]]</f>
        <v>0</v>
      </c>
      <c r="P219" s="497"/>
      <c r="Q219" s="499"/>
      <c r="R219" s="500"/>
      <c r="S219" s="74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19" s="714">
        <f>IFERROR(Producción_Agricola[[#This Row],[Económico $Corrientes]]/Producción_Agricola[[#This Row],[Indexación Económico]],0)</f>
        <v>0</v>
      </c>
      <c r="U219" s="741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19" s="715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19" s="714">
        <f>IFERROR(Producción_Agricola[[#This Row],[Financiero $Corrientes]]/Producción_Agricola[[#This Row],[Indexación Financiero]],0)</f>
        <v>0</v>
      </c>
      <c r="X219" s="716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19" s="717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19" s="718">
        <f>IFERROR(Producción_Agricola[[#This Row],[Intereses $Corrientes]]/Producción_Agricola[[#This Row],[Indexación Financiero]],0)</f>
        <v>0</v>
      </c>
      <c r="AA219" s="719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19" s="720">
        <f>IFERROR(INDEX(Produccion_Agricola_Cuentas[],MATCH(Producción_Agricola[[#This Row],[Cuenta Contable]],Produccion_Agricola_Cuentas[Cuenta Contable],0),2),0)</f>
        <v>0</v>
      </c>
      <c r="AC219" s="721">
        <f>IFERROR(INDEX(Tabla9[],MATCH(Producción_Agricola[[#This Row],[Movimiento]],Tabla9[Movimientos],0),2),0)</f>
        <v>0</v>
      </c>
      <c r="AD219" s="722">
        <f>IFERROR(INDEX(Tabla9[],MATCH(Producción_Agricola[[#This Row],[Movimiento]],Tabla9[Movimientos],0),3),0)</f>
        <v>0</v>
      </c>
      <c r="AE219" s="717">
        <f>IF(Producción_Agricola[[#This Row],[Fecha Económico]]=0,0,MONTH(Producción_Agricola[[#This Row],[Fecha Económico]]))</f>
        <v>0</v>
      </c>
      <c r="AF219" s="718">
        <f>IF(Producción_Agricola[[#This Row],[Fecha Económico]]=0,0,YEAR(Producción_Agricola[[#This Row],[Fecha Económico]]))</f>
        <v>0</v>
      </c>
      <c r="AG219" s="723">
        <f>SUMPRODUCT((Producción_Agricola[[#This Row],[Mes Económico]]=Tipo_Cambio[Mes])*(Producción_Agricola[[#This Row],[Año Económico]]=Tipo_Cambio[Año])*(Tipo_Cambio[$/U$S]))</f>
        <v>0</v>
      </c>
      <c r="AH219" s="722">
        <f>SUMPRODUCT((Producción_Agricola[[#This Row],[Mes Económico]]=Tipo_Cambio[Mes])*(Producción_Agricola[[#This Row],[Año Económico]]=Tipo_Cambio[Año])*(Tipo_Cambio[Actualización]))</f>
        <v>0</v>
      </c>
      <c r="AI219" s="718">
        <f>IF(ISNUMBER(Producción_Agricola[[#This Row],[Fecha Financiero]])=TRUE,MONTH(Producción_Agricola[[#This Row],[Fecha Financiero]]),0)</f>
        <v>0</v>
      </c>
      <c r="AJ219" s="718">
        <f>IF(ISNUMBER(Producción_Agricola[[#This Row],[Fecha Financiero]])=TRUE,YEAR(Producción_Agricola[[#This Row],[Fecha Financiero]]),0)</f>
        <v>0</v>
      </c>
      <c r="AK219" s="723">
        <f>SUMPRODUCT((Producción_Agricola[[#This Row],[Mes Financiero]]=Tipo_Cambio[Mes])*(Producción_Agricola[[#This Row],[Año Financiero]]=Tipo_Cambio[Año])*(Tipo_Cambio[$/U$S]))</f>
        <v>0</v>
      </c>
      <c r="AL219" s="723">
        <f>SUMPRODUCT((Producción_Agricola[[#This Row],[Mes Financiero]]=Tipo_Cambio[Mes])*(Producción_Agricola[[#This Row],[Año Financiero]]=Tipo_Cambio[Año])*(Tipo_Cambio[Actualización]))</f>
        <v>0</v>
      </c>
      <c r="AM219" s="742">
        <f>IFERROR(Producción_Agricola[[#This Row],[Económico $Corrientes]]/Producción_Agricola[[#This Row],[Superficie]],0)</f>
        <v>0</v>
      </c>
      <c r="AN219" s="743">
        <f>IFERROR(Producción_Agricola[[#This Row],[Económico $Constantes]]/Producción_Agricola[[#This Row],[Superficie]],0)</f>
        <v>0</v>
      </c>
      <c r="AO219" s="743">
        <f>IFERROR(Producción_Agricola[[#This Row],[Económico U$S Dólares]]/Producción_Agricola[[#This Row],[Superficie]],0)</f>
        <v>0</v>
      </c>
      <c r="AP219" s="744">
        <f>IF(Económico!$F$4=0,0,Producción_Agricola[[#This Row],[Centro de Costo]])</f>
        <v>0</v>
      </c>
      <c r="AQ219" s="516"/>
      <c r="AR219" s="517"/>
      <c r="AS219"/>
    </row>
    <row r="220" spans="2:45" x14ac:dyDescent="0.25">
      <c r="B220" s="501"/>
      <c r="D220" s="478"/>
      <c r="E220" s="478"/>
      <c r="F220" s="668">
        <f t="shared" ref="F220:F272" si="50">$B$220</f>
        <v>0</v>
      </c>
      <c r="G220" s="673">
        <f t="shared" ref="G220:G272" si="51">$B$221</f>
        <v>0</v>
      </c>
      <c r="H220" s="673">
        <f t="shared" ref="H220:H272" si="52">$B$222</f>
        <v>0</v>
      </c>
      <c r="I220" s="675">
        <f>IFERROR(INDEX(Tabla8[],MATCH(Producción_Agricola[[#This Row],[Unidad de Negocio]],Tabla8[Unidades de Negocio],0),2),0)</f>
        <v>0</v>
      </c>
      <c r="J22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20" s="488"/>
      <c r="L220" s="482"/>
      <c r="M220" s="483"/>
      <c r="N220" s="484"/>
      <c r="O220" s="690">
        <f>Producción_Agricola[[#This Row],[Superficie]]*Producción_Agricola[[#This Row],[Cantidad]]</f>
        <v>0</v>
      </c>
      <c r="P220" s="482"/>
      <c r="Q220" s="484"/>
      <c r="R220" s="485"/>
      <c r="S22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20" s="695">
        <f>IFERROR(Producción_Agricola[[#This Row],[Económico $Corrientes]]/Producción_Agricola[[#This Row],[Indexación Económico]],0)</f>
        <v>0</v>
      </c>
      <c r="U22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2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20" s="695">
        <f>IFERROR(Producción_Agricola[[#This Row],[Financiero $Corrientes]]/Producción_Agricola[[#This Row],[Indexación Financiero]],0)</f>
        <v>0</v>
      </c>
      <c r="X22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2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20" s="699">
        <f>IFERROR(Producción_Agricola[[#This Row],[Intereses $Corrientes]]/Producción_Agricola[[#This Row],[Indexación Financiero]],0)</f>
        <v>0</v>
      </c>
      <c r="AA22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20" s="701">
        <f>IFERROR(INDEX(Produccion_Agricola_Cuentas[],MATCH(Producción_Agricola[[#This Row],[Cuenta Contable]],Produccion_Agricola_Cuentas[Cuenta Contable],0),2),0)</f>
        <v>0</v>
      </c>
      <c r="AC220" s="702">
        <f>IFERROR(INDEX(Tabla9[],MATCH(Producción_Agricola[[#This Row],[Movimiento]],Tabla9[Movimientos],0),2),0)</f>
        <v>0</v>
      </c>
      <c r="AD220" s="703">
        <f>IFERROR(INDEX(Tabla9[],MATCH(Producción_Agricola[[#This Row],[Movimiento]],Tabla9[Movimientos],0),3),0)</f>
        <v>0</v>
      </c>
      <c r="AE220" s="698">
        <f>IF(Producción_Agricola[[#This Row],[Fecha Económico]]=0,0,MONTH(Producción_Agricola[[#This Row],[Fecha Económico]]))</f>
        <v>0</v>
      </c>
      <c r="AF220" s="699">
        <f>IF(Producción_Agricola[[#This Row],[Fecha Económico]]=0,0,YEAR(Producción_Agricola[[#This Row],[Fecha Económico]]))</f>
        <v>0</v>
      </c>
      <c r="AG220" s="704">
        <f>SUMPRODUCT((Producción_Agricola[[#This Row],[Mes Económico]]=Tipo_Cambio[Mes])*(Producción_Agricola[[#This Row],[Año Económico]]=Tipo_Cambio[Año])*(Tipo_Cambio[$/U$S]))</f>
        <v>0</v>
      </c>
      <c r="AH220" s="703">
        <f>SUMPRODUCT((Producción_Agricola[[#This Row],[Mes Económico]]=Tipo_Cambio[Mes])*(Producción_Agricola[[#This Row],[Año Económico]]=Tipo_Cambio[Año])*(Tipo_Cambio[Actualización]))</f>
        <v>0</v>
      </c>
      <c r="AI220" s="699">
        <f>IF(ISNUMBER(Producción_Agricola[[#This Row],[Fecha Financiero]])=TRUE,MONTH(Producción_Agricola[[#This Row],[Fecha Financiero]]),0)</f>
        <v>0</v>
      </c>
      <c r="AJ220" s="699">
        <f>IF(ISNUMBER(Producción_Agricola[[#This Row],[Fecha Financiero]])=TRUE,YEAR(Producción_Agricola[[#This Row],[Fecha Financiero]]),0)</f>
        <v>0</v>
      </c>
      <c r="AK220" s="704">
        <f>SUMPRODUCT((Producción_Agricola[[#This Row],[Mes Financiero]]=Tipo_Cambio[Mes])*(Producción_Agricola[[#This Row],[Año Financiero]]=Tipo_Cambio[Año])*(Tipo_Cambio[$/U$S]))</f>
        <v>0</v>
      </c>
      <c r="AL220" s="704">
        <f>SUMPRODUCT((Producción_Agricola[[#This Row],[Mes Financiero]]=Tipo_Cambio[Mes])*(Producción_Agricola[[#This Row],[Año Financiero]]=Tipo_Cambio[Año])*(Tipo_Cambio[Actualización]))</f>
        <v>0</v>
      </c>
      <c r="AM220" s="709">
        <f>IFERROR(Producción_Agricola[[#This Row],[Económico $Corrientes]]/Producción_Agricola[[#This Row],[Superficie]],0)</f>
        <v>0</v>
      </c>
      <c r="AN220" s="712">
        <f>IFERROR(Producción_Agricola[[#This Row],[Económico $Constantes]]/Producción_Agricola[[#This Row],[Superficie]],0)</f>
        <v>0</v>
      </c>
      <c r="AO220" s="712">
        <f>IFERROR(Producción_Agricola[[#This Row],[Económico U$S Dólares]]/Producción_Agricola[[#This Row],[Superficie]],0)</f>
        <v>0</v>
      </c>
      <c r="AP220" s="711">
        <f>IF(Económico!$F$4=0,0,Producción_Agricola[[#This Row],[Centro de Costo]])</f>
        <v>0</v>
      </c>
      <c r="AQ220" s="512"/>
      <c r="AR220" s="513"/>
      <c r="AS220"/>
    </row>
    <row r="221" spans="2:45" x14ac:dyDescent="0.25">
      <c r="B221" s="486"/>
      <c r="D221" s="478"/>
      <c r="E221" s="478"/>
      <c r="F221" s="668">
        <f t="shared" si="50"/>
        <v>0</v>
      </c>
      <c r="G221" s="673">
        <f t="shared" si="51"/>
        <v>0</v>
      </c>
      <c r="H221" s="673">
        <f t="shared" si="52"/>
        <v>0</v>
      </c>
      <c r="I221" s="675">
        <f>IFERROR(INDEX(Tabla8[],MATCH(Producción_Agricola[[#This Row],[Unidad de Negocio]],Tabla8[Unidades de Negocio],0),2),0)</f>
        <v>0</v>
      </c>
      <c r="J22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21" s="488"/>
      <c r="L221" s="482"/>
      <c r="M221" s="483"/>
      <c r="N221" s="484"/>
      <c r="O221" s="690">
        <f>Producción_Agricola[[#This Row],[Superficie]]*Producción_Agricola[[#This Row],[Cantidad]]</f>
        <v>0</v>
      </c>
      <c r="P221" s="482"/>
      <c r="Q221" s="484"/>
      <c r="R221" s="485"/>
      <c r="S22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21" s="695">
        <f>IFERROR(Producción_Agricola[[#This Row],[Económico $Corrientes]]/Producción_Agricola[[#This Row],[Indexación Económico]],0)</f>
        <v>0</v>
      </c>
      <c r="U22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2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21" s="695">
        <f>IFERROR(Producción_Agricola[[#This Row],[Financiero $Corrientes]]/Producción_Agricola[[#This Row],[Indexación Financiero]],0)</f>
        <v>0</v>
      </c>
      <c r="X22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2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21" s="699">
        <f>IFERROR(Producción_Agricola[[#This Row],[Intereses $Corrientes]]/Producción_Agricola[[#This Row],[Indexación Financiero]],0)</f>
        <v>0</v>
      </c>
      <c r="AA22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21" s="701">
        <f>IFERROR(INDEX(Produccion_Agricola_Cuentas[],MATCH(Producción_Agricola[[#This Row],[Cuenta Contable]],Produccion_Agricola_Cuentas[Cuenta Contable],0),2),0)</f>
        <v>0</v>
      </c>
      <c r="AC221" s="702">
        <f>IFERROR(INDEX(Tabla9[],MATCH(Producción_Agricola[[#This Row],[Movimiento]],Tabla9[Movimientos],0),2),0)</f>
        <v>0</v>
      </c>
      <c r="AD221" s="703">
        <f>IFERROR(INDEX(Tabla9[],MATCH(Producción_Agricola[[#This Row],[Movimiento]],Tabla9[Movimientos],0),3),0)</f>
        <v>0</v>
      </c>
      <c r="AE221" s="698">
        <f>IF(Producción_Agricola[[#This Row],[Fecha Económico]]=0,0,MONTH(Producción_Agricola[[#This Row],[Fecha Económico]]))</f>
        <v>0</v>
      </c>
      <c r="AF221" s="699">
        <f>IF(Producción_Agricola[[#This Row],[Fecha Económico]]=0,0,YEAR(Producción_Agricola[[#This Row],[Fecha Económico]]))</f>
        <v>0</v>
      </c>
      <c r="AG221" s="704">
        <f>SUMPRODUCT((Producción_Agricola[[#This Row],[Mes Económico]]=Tipo_Cambio[Mes])*(Producción_Agricola[[#This Row],[Año Económico]]=Tipo_Cambio[Año])*(Tipo_Cambio[$/U$S]))</f>
        <v>0</v>
      </c>
      <c r="AH221" s="703">
        <f>SUMPRODUCT((Producción_Agricola[[#This Row],[Mes Económico]]=Tipo_Cambio[Mes])*(Producción_Agricola[[#This Row],[Año Económico]]=Tipo_Cambio[Año])*(Tipo_Cambio[Actualización]))</f>
        <v>0</v>
      </c>
      <c r="AI221" s="699">
        <f>IF(ISNUMBER(Producción_Agricola[[#This Row],[Fecha Financiero]])=TRUE,MONTH(Producción_Agricola[[#This Row],[Fecha Financiero]]),0)</f>
        <v>0</v>
      </c>
      <c r="AJ221" s="699">
        <f>IF(ISNUMBER(Producción_Agricola[[#This Row],[Fecha Financiero]])=TRUE,YEAR(Producción_Agricola[[#This Row],[Fecha Financiero]]),0)</f>
        <v>0</v>
      </c>
      <c r="AK221" s="704">
        <f>SUMPRODUCT((Producción_Agricola[[#This Row],[Mes Financiero]]=Tipo_Cambio[Mes])*(Producción_Agricola[[#This Row],[Año Financiero]]=Tipo_Cambio[Año])*(Tipo_Cambio[$/U$S]))</f>
        <v>0</v>
      </c>
      <c r="AL221" s="704">
        <f>SUMPRODUCT((Producción_Agricola[[#This Row],[Mes Financiero]]=Tipo_Cambio[Mes])*(Producción_Agricola[[#This Row],[Año Financiero]]=Tipo_Cambio[Año])*(Tipo_Cambio[Actualización]))</f>
        <v>0</v>
      </c>
      <c r="AM221" s="709">
        <f>IFERROR(Producción_Agricola[[#This Row],[Económico $Corrientes]]/Producción_Agricola[[#This Row],[Superficie]],0)</f>
        <v>0</v>
      </c>
      <c r="AN221" s="712">
        <f>IFERROR(Producción_Agricola[[#This Row],[Económico $Constantes]]/Producción_Agricola[[#This Row],[Superficie]],0)</f>
        <v>0</v>
      </c>
      <c r="AO221" s="712">
        <f>IFERROR(Producción_Agricola[[#This Row],[Económico U$S Dólares]]/Producción_Agricola[[#This Row],[Superficie]],0)</f>
        <v>0</v>
      </c>
      <c r="AP221" s="711">
        <f>IF(Económico!$F$4=0,0,Producción_Agricola[[#This Row],[Centro de Costo]])</f>
        <v>0</v>
      </c>
      <c r="AQ221" s="512"/>
      <c r="AR221" s="513"/>
      <c r="AS221"/>
    </row>
    <row r="222" spans="2:45" x14ac:dyDescent="0.25">
      <c r="B222" s="486"/>
      <c r="D222" s="478"/>
      <c r="E222" s="478"/>
      <c r="F222" s="668">
        <f t="shared" si="50"/>
        <v>0</v>
      </c>
      <c r="G222" s="673">
        <f t="shared" si="51"/>
        <v>0</v>
      </c>
      <c r="H222" s="673">
        <f t="shared" si="52"/>
        <v>0</v>
      </c>
      <c r="I222" s="675">
        <f>IFERROR(INDEX(Tabla8[],MATCH(Producción_Agricola[[#This Row],[Unidad de Negocio]],Tabla8[Unidades de Negocio],0),2),0)</f>
        <v>0</v>
      </c>
      <c r="J22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22" s="488"/>
      <c r="L222" s="482"/>
      <c r="M222" s="483"/>
      <c r="N222" s="484"/>
      <c r="O222" s="690">
        <f>Producción_Agricola[[#This Row],[Superficie]]*Producción_Agricola[[#This Row],[Cantidad]]</f>
        <v>0</v>
      </c>
      <c r="P222" s="482"/>
      <c r="Q222" s="484"/>
      <c r="R222" s="485"/>
      <c r="S22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22" s="695">
        <f>IFERROR(Producción_Agricola[[#This Row],[Económico $Corrientes]]/Producción_Agricola[[#This Row],[Indexación Económico]],0)</f>
        <v>0</v>
      </c>
      <c r="U22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2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22" s="695">
        <f>IFERROR(Producción_Agricola[[#This Row],[Financiero $Corrientes]]/Producción_Agricola[[#This Row],[Indexación Financiero]],0)</f>
        <v>0</v>
      </c>
      <c r="X22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2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22" s="699">
        <f>IFERROR(Producción_Agricola[[#This Row],[Intereses $Corrientes]]/Producción_Agricola[[#This Row],[Indexación Financiero]],0)</f>
        <v>0</v>
      </c>
      <c r="AA22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22" s="701">
        <f>IFERROR(INDEX(Produccion_Agricola_Cuentas[],MATCH(Producción_Agricola[[#This Row],[Cuenta Contable]],Produccion_Agricola_Cuentas[Cuenta Contable],0),2),0)</f>
        <v>0</v>
      </c>
      <c r="AC222" s="702">
        <f>IFERROR(INDEX(Tabla9[],MATCH(Producción_Agricola[[#This Row],[Movimiento]],Tabla9[Movimientos],0),2),0)</f>
        <v>0</v>
      </c>
      <c r="AD222" s="703">
        <f>IFERROR(INDEX(Tabla9[],MATCH(Producción_Agricola[[#This Row],[Movimiento]],Tabla9[Movimientos],0),3),0)</f>
        <v>0</v>
      </c>
      <c r="AE222" s="698">
        <f>IF(Producción_Agricola[[#This Row],[Fecha Económico]]=0,0,MONTH(Producción_Agricola[[#This Row],[Fecha Económico]]))</f>
        <v>0</v>
      </c>
      <c r="AF222" s="699">
        <f>IF(Producción_Agricola[[#This Row],[Fecha Económico]]=0,0,YEAR(Producción_Agricola[[#This Row],[Fecha Económico]]))</f>
        <v>0</v>
      </c>
      <c r="AG222" s="704">
        <f>SUMPRODUCT((Producción_Agricola[[#This Row],[Mes Económico]]=Tipo_Cambio[Mes])*(Producción_Agricola[[#This Row],[Año Económico]]=Tipo_Cambio[Año])*(Tipo_Cambio[$/U$S]))</f>
        <v>0</v>
      </c>
      <c r="AH222" s="703">
        <f>SUMPRODUCT((Producción_Agricola[[#This Row],[Mes Económico]]=Tipo_Cambio[Mes])*(Producción_Agricola[[#This Row],[Año Económico]]=Tipo_Cambio[Año])*(Tipo_Cambio[Actualización]))</f>
        <v>0</v>
      </c>
      <c r="AI222" s="699">
        <f>IF(ISNUMBER(Producción_Agricola[[#This Row],[Fecha Financiero]])=TRUE,MONTH(Producción_Agricola[[#This Row],[Fecha Financiero]]),0)</f>
        <v>0</v>
      </c>
      <c r="AJ222" s="699">
        <f>IF(ISNUMBER(Producción_Agricola[[#This Row],[Fecha Financiero]])=TRUE,YEAR(Producción_Agricola[[#This Row],[Fecha Financiero]]),0)</f>
        <v>0</v>
      </c>
      <c r="AK222" s="704">
        <f>SUMPRODUCT((Producción_Agricola[[#This Row],[Mes Financiero]]=Tipo_Cambio[Mes])*(Producción_Agricola[[#This Row],[Año Financiero]]=Tipo_Cambio[Año])*(Tipo_Cambio[$/U$S]))</f>
        <v>0</v>
      </c>
      <c r="AL222" s="704">
        <f>SUMPRODUCT((Producción_Agricola[[#This Row],[Mes Financiero]]=Tipo_Cambio[Mes])*(Producción_Agricola[[#This Row],[Año Financiero]]=Tipo_Cambio[Año])*(Tipo_Cambio[Actualización]))</f>
        <v>0</v>
      </c>
      <c r="AM222" s="709">
        <f>IFERROR(Producción_Agricola[[#This Row],[Económico $Corrientes]]/Producción_Agricola[[#This Row],[Superficie]],0)</f>
        <v>0</v>
      </c>
      <c r="AN222" s="712">
        <f>IFERROR(Producción_Agricola[[#This Row],[Económico $Constantes]]/Producción_Agricola[[#This Row],[Superficie]],0)</f>
        <v>0</v>
      </c>
      <c r="AO222" s="712">
        <f>IFERROR(Producción_Agricola[[#This Row],[Económico U$S Dólares]]/Producción_Agricola[[#This Row],[Superficie]],0)</f>
        <v>0</v>
      </c>
      <c r="AP222" s="711">
        <f>IF(Económico!$F$4=0,0,Producción_Agricola[[#This Row],[Centro de Costo]])</f>
        <v>0</v>
      </c>
      <c r="AQ222" s="512"/>
      <c r="AR222" s="513"/>
      <c r="AS222"/>
    </row>
    <row r="223" spans="2:45" x14ac:dyDescent="0.25">
      <c r="B223" s="487">
        <f>+$J$219</f>
        <v>0</v>
      </c>
      <c r="D223" s="478"/>
      <c r="E223" s="478"/>
      <c r="F223" s="668">
        <f t="shared" si="50"/>
        <v>0</v>
      </c>
      <c r="G223" s="673">
        <f t="shared" si="51"/>
        <v>0</v>
      </c>
      <c r="H223" s="673">
        <f t="shared" si="52"/>
        <v>0</v>
      </c>
      <c r="I223" s="675">
        <f>IFERROR(INDEX(Tabla8[],MATCH(Producción_Agricola[[#This Row],[Unidad de Negocio]],Tabla8[Unidades de Negocio],0),2),0)</f>
        <v>0</v>
      </c>
      <c r="J22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23" s="488"/>
      <c r="L223" s="482"/>
      <c r="M223" s="483"/>
      <c r="N223" s="484"/>
      <c r="O223" s="690">
        <f>Producción_Agricola[[#This Row],[Superficie]]*Producción_Agricola[[#This Row],[Cantidad]]</f>
        <v>0</v>
      </c>
      <c r="P223" s="482"/>
      <c r="Q223" s="484"/>
      <c r="R223" s="485"/>
      <c r="S22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23" s="695">
        <f>IFERROR(Producción_Agricola[[#This Row],[Económico $Corrientes]]/Producción_Agricola[[#This Row],[Indexación Económico]],0)</f>
        <v>0</v>
      </c>
      <c r="U22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2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23" s="695">
        <f>IFERROR(Producción_Agricola[[#This Row],[Financiero $Corrientes]]/Producción_Agricola[[#This Row],[Indexación Financiero]],0)</f>
        <v>0</v>
      </c>
      <c r="X22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2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23" s="699">
        <f>IFERROR(Producción_Agricola[[#This Row],[Intereses $Corrientes]]/Producción_Agricola[[#This Row],[Indexación Financiero]],0)</f>
        <v>0</v>
      </c>
      <c r="AA22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23" s="701">
        <f>IFERROR(INDEX(Produccion_Agricola_Cuentas[],MATCH(Producción_Agricola[[#This Row],[Cuenta Contable]],Produccion_Agricola_Cuentas[Cuenta Contable],0),2),0)</f>
        <v>0</v>
      </c>
      <c r="AC223" s="702">
        <f>IFERROR(INDEX(Tabla9[],MATCH(Producción_Agricola[[#This Row],[Movimiento]],Tabla9[Movimientos],0),2),0)</f>
        <v>0</v>
      </c>
      <c r="AD223" s="703">
        <f>IFERROR(INDEX(Tabla9[],MATCH(Producción_Agricola[[#This Row],[Movimiento]],Tabla9[Movimientos],0),3),0)</f>
        <v>0</v>
      </c>
      <c r="AE223" s="698">
        <f>IF(Producción_Agricola[[#This Row],[Fecha Económico]]=0,0,MONTH(Producción_Agricola[[#This Row],[Fecha Económico]]))</f>
        <v>0</v>
      </c>
      <c r="AF223" s="699">
        <f>IF(Producción_Agricola[[#This Row],[Fecha Económico]]=0,0,YEAR(Producción_Agricola[[#This Row],[Fecha Económico]]))</f>
        <v>0</v>
      </c>
      <c r="AG223" s="704">
        <f>SUMPRODUCT((Producción_Agricola[[#This Row],[Mes Económico]]=Tipo_Cambio[Mes])*(Producción_Agricola[[#This Row],[Año Económico]]=Tipo_Cambio[Año])*(Tipo_Cambio[$/U$S]))</f>
        <v>0</v>
      </c>
      <c r="AH223" s="703">
        <f>SUMPRODUCT((Producción_Agricola[[#This Row],[Mes Económico]]=Tipo_Cambio[Mes])*(Producción_Agricola[[#This Row],[Año Económico]]=Tipo_Cambio[Año])*(Tipo_Cambio[Actualización]))</f>
        <v>0</v>
      </c>
      <c r="AI223" s="699">
        <f>IF(ISNUMBER(Producción_Agricola[[#This Row],[Fecha Financiero]])=TRUE,MONTH(Producción_Agricola[[#This Row],[Fecha Financiero]]),0)</f>
        <v>0</v>
      </c>
      <c r="AJ223" s="699">
        <f>IF(ISNUMBER(Producción_Agricola[[#This Row],[Fecha Financiero]])=TRUE,YEAR(Producción_Agricola[[#This Row],[Fecha Financiero]]),0)</f>
        <v>0</v>
      </c>
      <c r="AK223" s="704">
        <f>SUMPRODUCT((Producción_Agricola[[#This Row],[Mes Financiero]]=Tipo_Cambio[Mes])*(Producción_Agricola[[#This Row],[Año Financiero]]=Tipo_Cambio[Año])*(Tipo_Cambio[$/U$S]))</f>
        <v>0</v>
      </c>
      <c r="AL223" s="704">
        <f>SUMPRODUCT((Producción_Agricola[[#This Row],[Mes Financiero]]=Tipo_Cambio[Mes])*(Producción_Agricola[[#This Row],[Año Financiero]]=Tipo_Cambio[Año])*(Tipo_Cambio[Actualización]))</f>
        <v>0</v>
      </c>
      <c r="AM223" s="709">
        <f>IFERROR(Producción_Agricola[[#This Row],[Económico $Corrientes]]/Producción_Agricola[[#This Row],[Superficie]],0)</f>
        <v>0</v>
      </c>
      <c r="AN223" s="712">
        <f>IFERROR(Producción_Agricola[[#This Row],[Económico $Constantes]]/Producción_Agricola[[#This Row],[Superficie]],0)</f>
        <v>0</v>
      </c>
      <c r="AO223" s="712">
        <f>IFERROR(Producción_Agricola[[#This Row],[Económico U$S Dólares]]/Producción_Agricola[[#This Row],[Superficie]],0)</f>
        <v>0</v>
      </c>
      <c r="AP223" s="711">
        <f>IF(Económico!$F$4=0,0,Producción_Agricola[[#This Row],[Centro de Costo]])</f>
        <v>0</v>
      </c>
      <c r="AQ223" s="512"/>
      <c r="AR223" s="513"/>
      <c r="AS223"/>
    </row>
    <row r="224" spans="2:45" x14ac:dyDescent="0.25">
      <c r="D224" s="478"/>
      <c r="E224" s="478"/>
      <c r="F224" s="668">
        <f t="shared" si="50"/>
        <v>0</v>
      </c>
      <c r="G224" s="673">
        <f t="shared" si="51"/>
        <v>0</v>
      </c>
      <c r="H224" s="673">
        <f t="shared" si="52"/>
        <v>0</v>
      </c>
      <c r="I224" s="675">
        <f>IFERROR(INDEX(Tabla8[],MATCH(Producción_Agricola[[#This Row],[Unidad de Negocio]],Tabla8[Unidades de Negocio],0),2),0)</f>
        <v>0</v>
      </c>
      <c r="J22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24" s="488"/>
      <c r="L224" s="482"/>
      <c r="M224" s="483"/>
      <c r="N224" s="484"/>
      <c r="O224" s="690">
        <f>Producción_Agricola[[#This Row],[Superficie]]*Producción_Agricola[[#This Row],[Cantidad]]</f>
        <v>0</v>
      </c>
      <c r="P224" s="482"/>
      <c r="Q224" s="484"/>
      <c r="R224" s="485"/>
      <c r="S22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24" s="695">
        <f>IFERROR(Producción_Agricola[[#This Row],[Económico $Corrientes]]/Producción_Agricola[[#This Row],[Indexación Económico]],0)</f>
        <v>0</v>
      </c>
      <c r="U22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2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24" s="695">
        <f>IFERROR(Producción_Agricola[[#This Row],[Financiero $Corrientes]]/Producción_Agricola[[#This Row],[Indexación Financiero]],0)</f>
        <v>0</v>
      </c>
      <c r="X22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2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24" s="699">
        <f>IFERROR(Producción_Agricola[[#This Row],[Intereses $Corrientes]]/Producción_Agricola[[#This Row],[Indexación Financiero]],0)</f>
        <v>0</v>
      </c>
      <c r="AA22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24" s="701">
        <f>IFERROR(INDEX(Produccion_Agricola_Cuentas[],MATCH(Producción_Agricola[[#This Row],[Cuenta Contable]],Produccion_Agricola_Cuentas[Cuenta Contable],0),2),0)</f>
        <v>0</v>
      </c>
      <c r="AC224" s="702">
        <f>IFERROR(INDEX(Tabla9[],MATCH(Producción_Agricola[[#This Row],[Movimiento]],Tabla9[Movimientos],0),2),0)</f>
        <v>0</v>
      </c>
      <c r="AD224" s="703">
        <f>IFERROR(INDEX(Tabla9[],MATCH(Producción_Agricola[[#This Row],[Movimiento]],Tabla9[Movimientos],0),3),0)</f>
        <v>0</v>
      </c>
      <c r="AE224" s="698">
        <f>IF(Producción_Agricola[[#This Row],[Fecha Económico]]=0,0,MONTH(Producción_Agricola[[#This Row],[Fecha Económico]]))</f>
        <v>0</v>
      </c>
      <c r="AF224" s="699">
        <f>IF(Producción_Agricola[[#This Row],[Fecha Económico]]=0,0,YEAR(Producción_Agricola[[#This Row],[Fecha Económico]]))</f>
        <v>0</v>
      </c>
      <c r="AG224" s="704">
        <f>SUMPRODUCT((Producción_Agricola[[#This Row],[Mes Económico]]=Tipo_Cambio[Mes])*(Producción_Agricola[[#This Row],[Año Económico]]=Tipo_Cambio[Año])*(Tipo_Cambio[$/U$S]))</f>
        <v>0</v>
      </c>
      <c r="AH224" s="703">
        <f>SUMPRODUCT((Producción_Agricola[[#This Row],[Mes Económico]]=Tipo_Cambio[Mes])*(Producción_Agricola[[#This Row],[Año Económico]]=Tipo_Cambio[Año])*(Tipo_Cambio[Actualización]))</f>
        <v>0</v>
      </c>
      <c r="AI224" s="699">
        <f>IF(ISNUMBER(Producción_Agricola[[#This Row],[Fecha Financiero]])=TRUE,MONTH(Producción_Agricola[[#This Row],[Fecha Financiero]]),0)</f>
        <v>0</v>
      </c>
      <c r="AJ224" s="699">
        <f>IF(ISNUMBER(Producción_Agricola[[#This Row],[Fecha Financiero]])=TRUE,YEAR(Producción_Agricola[[#This Row],[Fecha Financiero]]),0)</f>
        <v>0</v>
      </c>
      <c r="AK224" s="704">
        <f>SUMPRODUCT((Producción_Agricola[[#This Row],[Mes Financiero]]=Tipo_Cambio[Mes])*(Producción_Agricola[[#This Row],[Año Financiero]]=Tipo_Cambio[Año])*(Tipo_Cambio[$/U$S]))</f>
        <v>0</v>
      </c>
      <c r="AL224" s="704">
        <f>SUMPRODUCT((Producción_Agricola[[#This Row],[Mes Financiero]]=Tipo_Cambio[Mes])*(Producción_Agricola[[#This Row],[Año Financiero]]=Tipo_Cambio[Año])*(Tipo_Cambio[Actualización]))</f>
        <v>0</v>
      </c>
      <c r="AM224" s="709">
        <f>IFERROR(Producción_Agricola[[#This Row],[Económico $Corrientes]]/Producción_Agricola[[#This Row],[Superficie]],0)</f>
        <v>0</v>
      </c>
      <c r="AN224" s="712">
        <f>IFERROR(Producción_Agricola[[#This Row],[Económico $Constantes]]/Producción_Agricola[[#This Row],[Superficie]],0)</f>
        <v>0</v>
      </c>
      <c r="AO224" s="712">
        <f>IFERROR(Producción_Agricola[[#This Row],[Económico U$S Dólares]]/Producción_Agricola[[#This Row],[Superficie]],0)</f>
        <v>0</v>
      </c>
      <c r="AP224" s="711">
        <f>IF(Económico!$F$4=0,0,Producción_Agricola[[#This Row],[Centro de Costo]])</f>
        <v>0</v>
      </c>
      <c r="AQ224" s="512"/>
      <c r="AR224" s="513"/>
      <c r="AS224"/>
    </row>
    <row r="225" spans="4:45" x14ac:dyDescent="0.25">
      <c r="D225" s="478"/>
      <c r="E225" s="478"/>
      <c r="F225" s="668">
        <f t="shared" si="50"/>
        <v>0</v>
      </c>
      <c r="G225" s="673">
        <f t="shared" si="51"/>
        <v>0</v>
      </c>
      <c r="H225" s="673">
        <f t="shared" si="52"/>
        <v>0</v>
      </c>
      <c r="I225" s="675">
        <f>IFERROR(INDEX(Tabla8[],MATCH(Producción_Agricola[[#This Row],[Unidad de Negocio]],Tabla8[Unidades de Negocio],0),2),0)</f>
        <v>0</v>
      </c>
      <c r="J22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25" s="488"/>
      <c r="L225" s="482"/>
      <c r="M225" s="483"/>
      <c r="N225" s="484"/>
      <c r="O225" s="690">
        <f>Producción_Agricola[[#This Row],[Superficie]]*Producción_Agricola[[#This Row],[Cantidad]]</f>
        <v>0</v>
      </c>
      <c r="P225" s="482"/>
      <c r="Q225" s="484"/>
      <c r="R225" s="485"/>
      <c r="S22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25" s="695">
        <f>IFERROR(Producción_Agricola[[#This Row],[Económico $Corrientes]]/Producción_Agricola[[#This Row],[Indexación Económico]],0)</f>
        <v>0</v>
      </c>
      <c r="U22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2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25" s="695">
        <f>IFERROR(Producción_Agricola[[#This Row],[Financiero $Corrientes]]/Producción_Agricola[[#This Row],[Indexación Financiero]],0)</f>
        <v>0</v>
      </c>
      <c r="X22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2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25" s="699">
        <f>IFERROR(Producción_Agricola[[#This Row],[Intereses $Corrientes]]/Producción_Agricola[[#This Row],[Indexación Financiero]],0)</f>
        <v>0</v>
      </c>
      <c r="AA22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25" s="701">
        <f>IFERROR(INDEX(Produccion_Agricola_Cuentas[],MATCH(Producción_Agricola[[#This Row],[Cuenta Contable]],Produccion_Agricola_Cuentas[Cuenta Contable],0),2),0)</f>
        <v>0</v>
      </c>
      <c r="AC225" s="702">
        <f>IFERROR(INDEX(Tabla9[],MATCH(Producción_Agricola[[#This Row],[Movimiento]],Tabla9[Movimientos],0),2),0)</f>
        <v>0</v>
      </c>
      <c r="AD225" s="703">
        <f>IFERROR(INDEX(Tabla9[],MATCH(Producción_Agricola[[#This Row],[Movimiento]],Tabla9[Movimientos],0),3),0)</f>
        <v>0</v>
      </c>
      <c r="AE225" s="698">
        <f>IF(Producción_Agricola[[#This Row],[Fecha Económico]]=0,0,MONTH(Producción_Agricola[[#This Row],[Fecha Económico]]))</f>
        <v>0</v>
      </c>
      <c r="AF225" s="699">
        <f>IF(Producción_Agricola[[#This Row],[Fecha Económico]]=0,0,YEAR(Producción_Agricola[[#This Row],[Fecha Económico]]))</f>
        <v>0</v>
      </c>
      <c r="AG225" s="704">
        <f>SUMPRODUCT((Producción_Agricola[[#This Row],[Mes Económico]]=Tipo_Cambio[Mes])*(Producción_Agricola[[#This Row],[Año Económico]]=Tipo_Cambio[Año])*(Tipo_Cambio[$/U$S]))</f>
        <v>0</v>
      </c>
      <c r="AH225" s="703">
        <f>SUMPRODUCT((Producción_Agricola[[#This Row],[Mes Económico]]=Tipo_Cambio[Mes])*(Producción_Agricola[[#This Row],[Año Económico]]=Tipo_Cambio[Año])*(Tipo_Cambio[Actualización]))</f>
        <v>0</v>
      </c>
      <c r="AI225" s="699">
        <f>IF(ISNUMBER(Producción_Agricola[[#This Row],[Fecha Financiero]])=TRUE,MONTH(Producción_Agricola[[#This Row],[Fecha Financiero]]),0)</f>
        <v>0</v>
      </c>
      <c r="AJ225" s="699">
        <f>IF(ISNUMBER(Producción_Agricola[[#This Row],[Fecha Financiero]])=TRUE,YEAR(Producción_Agricola[[#This Row],[Fecha Financiero]]),0)</f>
        <v>0</v>
      </c>
      <c r="AK225" s="704">
        <f>SUMPRODUCT((Producción_Agricola[[#This Row],[Mes Financiero]]=Tipo_Cambio[Mes])*(Producción_Agricola[[#This Row],[Año Financiero]]=Tipo_Cambio[Año])*(Tipo_Cambio[$/U$S]))</f>
        <v>0</v>
      </c>
      <c r="AL225" s="704">
        <f>SUMPRODUCT((Producción_Agricola[[#This Row],[Mes Financiero]]=Tipo_Cambio[Mes])*(Producción_Agricola[[#This Row],[Año Financiero]]=Tipo_Cambio[Año])*(Tipo_Cambio[Actualización]))</f>
        <v>0</v>
      </c>
      <c r="AM225" s="709">
        <f>IFERROR(Producción_Agricola[[#This Row],[Económico $Corrientes]]/Producción_Agricola[[#This Row],[Superficie]],0)</f>
        <v>0</v>
      </c>
      <c r="AN225" s="712">
        <f>IFERROR(Producción_Agricola[[#This Row],[Económico $Constantes]]/Producción_Agricola[[#This Row],[Superficie]],0)</f>
        <v>0</v>
      </c>
      <c r="AO225" s="712">
        <f>IFERROR(Producción_Agricola[[#This Row],[Económico U$S Dólares]]/Producción_Agricola[[#This Row],[Superficie]],0)</f>
        <v>0</v>
      </c>
      <c r="AP225" s="711">
        <f>IF(Económico!$F$4=0,0,Producción_Agricola[[#This Row],[Centro de Costo]])</f>
        <v>0</v>
      </c>
      <c r="AQ225" s="512"/>
      <c r="AR225" s="513"/>
      <c r="AS225"/>
    </row>
    <row r="226" spans="4:45" x14ac:dyDescent="0.25">
      <c r="D226" s="478"/>
      <c r="E226" s="478"/>
      <c r="F226" s="668">
        <f t="shared" si="50"/>
        <v>0</v>
      </c>
      <c r="G226" s="673">
        <f t="shared" si="51"/>
        <v>0</v>
      </c>
      <c r="H226" s="673">
        <f t="shared" si="52"/>
        <v>0</v>
      </c>
      <c r="I226" s="675">
        <f>IFERROR(INDEX(Tabla8[],MATCH(Producción_Agricola[[#This Row],[Unidad de Negocio]],Tabla8[Unidades de Negocio],0),2),0)</f>
        <v>0</v>
      </c>
      <c r="J22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26" s="488"/>
      <c r="L226" s="482"/>
      <c r="M226" s="483"/>
      <c r="N226" s="484"/>
      <c r="O226" s="690">
        <f>Producción_Agricola[[#This Row],[Superficie]]*Producción_Agricola[[#This Row],[Cantidad]]</f>
        <v>0</v>
      </c>
      <c r="P226" s="482"/>
      <c r="Q226" s="484"/>
      <c r="R226" s="485"/>
      <c r="S22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26" s="695">
        <f>IFERROR(Producción_Agricola[[#This Row],[Económico $Corrientes]]/Producción_Agricola[[#This Row],[Indexación Económico]],0)</f>
        <v>0</v>
      </c>
      <c r="U22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2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26" s="695">
        <f>IFERROR(Producción_Agricola[[#This Row],[Financiero $Corrientes]]/Producción_Agricola[[#This Row],[Indexación Financiero]],0)</f>
        <v>0</v>
      </c>
      <c r="X22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2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26" s="699">
        <f>IFERROR(Producción_Agricola[[#This Row],[Intereses $Corrientes]]/Producción_Agricola[[#This Row],[Indexación Financiero]],0)</f>
        <v>0</v>
      </c>
      <c r="AA22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26" s="701">
        <f>IFERROR(INDEX(Produccion_Agricola_Cuentas[],MATCH(Producción_Agricola[[#This Row],[Cuenta Contable]],Produccion_Agricola_Cuentas[Cuenta Contable],0),2),0)</f>
        <v>0</v>
      </c>
      <c r="AC226" s="702">
        <f>IFERROR(INDEX(Tabla9[],MATCH(Producción_Agricola[[#This Row],[Movimiento]],Tabla9[Movimientos],0),2),0)</f>
        <v>0</v>
      </c>
      <c r="AD226" s="703">
        <f>IFERROR(INDEX(Tabla9[],MATCH(Producción_Agricola[[#This Row],[Movimiento]],Tabla9[Movimientos],0),3),0)</f>
        <v>0</v>
      </c>
      <c r="AE226" s="698">
        <f>IF(Producción_Agricola[[#This Row],[Fecha Económico]]=0,0,MONTH(Producción_Agricola[[#This Row],[Fecha Económico]]))</f>
        <v>0</v>
      </c>
      <c r="AF226" s="699">
        <f>IF(Producción_Agricola[[#This Row],[Fecha Económico]]=0,0,YEAR(Producción_Agricola[[#This Row],[Fecha Económico]]))</f>
        <v>0</v>
      </c>
      <c r="AG226" s="704">
        <f>SUMPRODUCT((Producción_Agricola[[#This Row],[Mes Económico]]=Tipo_Cambio[Mes])*(Producción_Agricola[[#This Row],[Año Económico]]=Tipo_Cambio[Año])*(Tipo_Cambio[$/U$S]))</f>
        <v>0</v>
      </c>
      <c r="AH226" s="703">
        <f>SUMPRODUCT((Producción_Agricola[[#This Row],[Mes Económico]]=Tipo_Cambio[Mes])*(Producción_Agricola[[#This Row],[Año Económico]]=Tipo_Cambio[Año])*(Tipo_Cambio[Actualización]))</f>
        <v>0</v>
      </c>
      <c r="AI226" s="699">
        <f>IF(ISNUMBER(Producción_Agricola[[#This Row],[Fecha Financiero]])=TRUE,MONTH(Producción_Agricola[[#This Row],[Fecha Financiero]]),0)</f>
        <v>0</v>
      </c>
      <c r="AJ226" s="699">
        <f>IF(ISNUMBER(Producción_Agricola[[#This Row],[Fecha Financiero]])=TRUE,YEAR(Producción_Agricola[[#This Row],[Fecha Financiero]]),0)</f>
        <v>0</v>
      </c>
      <c r="AK226" s="704">
        <f>SUMPRODUCT((Producción_Agricola[[#This Row],[Mes Financiero]]=Tipo_Cambio[Mes])*(Producción_Agricola[[#This Row],[Año Financiero]]=Tipo_Cambio[Año])*(Tipo_Cambio[$/U$S]))</f>
        <v>0</v>
      </c>
      <c r="AL226" s="704">
        <f>SUMPRODUCT((Producción_Agricola[[#This Row],[Mes Financiero]]=Tipo_Cambio[Mes])*(Producción_Agricola[[#This Row],[Año Financiero]]=Tipo_Cambio[Año])*(Tipo_Cambio[Actualización]))</f>
        <v>0</v>
      </c>
      <c r="AM226" s="709">
        <f>IFERROR(Producción_Agricola[[#This Row],[Económico $Corrientes]]/Producción_Agricola[[#This Row],[Superficie]],0)</f>
        <v>0</v>
      </c>
      <c r="AN226" s="712">
        <f>IFERROR(Producción_Agricola[[#This Row],[Económico $Constantes]]/Producción_Agricola[[#This Row],[Superficie]],0)</f>
        <v>0</v>
      </c>
      <c r="AO226" s="712">
        <f>IFERROR(Producción_Agricola[[#This Row],[Económico U$S Dólares]]/Producción_Agricola[[#This Row],[Superficie]],0)</f>
        <v>0</v>
      </c>
      <c r="AP226" s="711">
        <f>IF(Económico!$F$4=0,0,Producción_Agricola[[#This Row],[Centro de Costo]])</f>
        <v>0</v>
      </c>
      <c r="AQ226" s="512"/>
      <c r="AR226" s="513"/>
      <c r="AS226"/>
    </row>
    <row r="227" spans="4:45" x14ac:dyDescent="0.25">
      <c r="D227" s="478"/>
      <c r="E227" s="478"/>
      <c r="F227" s="668">
        <f t="shared" si="50"/>
        <v>0</v>
      </c>
      <c r="G227" s="673">
        <f t="shared" si="51"/>
        <v>0</v>
      </c>
      <c r="H227" s="673">
        <f t="shared" si="52"/>
        <v>0</v>
      </c>
      <c r="I227" s="675">
        <f>IFERROR(INDEX(Tabla8[],MATCH(Producción_Agricola[[#This Row],[Unidad de Negocio]],Tabla8[Unidades de Negocio],0),2),0)</f>
        <v>0</v>
      </c>
      <c r="J22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27" s="488"/>
      <c r="L227" s="482"/>
      <c r="M227" s="483"/>
      <c r="N227" s="484"/>
      <c r="O227" s="690">
        <f>Producción_Agricola[[#This Row],[Superficie]]*Producción_Agricola[[#This Row],[Cantidad]]</f>
        <v>0</v>
      </c>
      <c r="P227" s="482"/>
      <c r="Q227" s="484"/>
      <c r="R227" s="485"/>
      <c r="S22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27" s="695">
        <f>IFERROR(Producción_Agricola[[#This Row],[Económico $Corrientes]]/Producción_Agricola[[#This Row],[Indexación Económico]],0)</f>
        <v>0</v>
      </c>
      <c r="U22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2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27" s="695">
        <f>IFERROR(Producción_Agricola[[#This Row],[Financiero $Corrientes]]/Producción_Agricola[[#This Row],[Indexación Financiero]],0)</f>
        <v>0</v>
      </c>
      <c r="X22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2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27" s="699">
        <f>IFERROR(Producción_Agricola[[#This Row],[Intereses $Corrientes]]/Producción_Agricola[[#This Row],[Indexación Financiero]],0)</f>
        <v>0</v>
      </c>
      <c r="AA22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27" s="701">
        <f>IFERROR(INDEX(Produccion_Agricola_Cuentas[],MATCH(Producción_Agricola[[#This Row],[Cuenta Contable]],Produccion_Agricola_Cuentas[Cuenta Contable],0),2),0)</f>
        <v>0</v>
      </c>
      <c r="AC227" s="702">
        <f>IFERROR(INDEX(Tabla9[],MATCH(Producción_Agricola[[#This Row],[Movimiento]],Tabla9[Movimientos],0),2),0)</f>
        <v>0</v>
      </c>
      <c r="AD227" s="703">
        <f>IFERROR(INDEX(Tabla9[],MATCH(Producción_Agricola[[#This Row],[Movimiento]],Tabla9[Movimientos],0),3),0)</f>
        <v>0</v>
      </c>
      <c r="AE227" s="698">
        <f>IF(Producción_Agricola[[#This Row],[Fecha Económico]]=0,0,MONTH(Producción_Agricola[[#This Row],[Fecha Económico]]))</f>
        <v>0</v>
      </c>
      <c r="AF227" s="699">
        <f>IF(Producción_Agricola[[#This Row],[Fecha Económico]]=0,0,YEAR(Producción_Agricola[[#This Row],[Fecha Económico]]))</f>
        <v>0</v>
      </c>
      <c r="AG227" s="704">
        <f>SUMPRODUCT((Producción_Agricola[[#This Row],[Mes Económico]]=Tipo_Cambio[Mes])*(Producción_Agricola[[#This Row],[Año Económico]]=Tipo_Cambio[Año])*(Tipo_Cambio[$/U$S]))</f>
        <v>0</v>
      </c>
      <c r="AH227" s="703">
        <f>SUMPRODUCT((Producción_Agricola[[#This Row],[Mes Económico]]=Tipo_Cambio[Mes])*(Producción_Agricola[[#This Row],[Año Económico]]=Tipo_Cambio[Año])*(Tipo_Cambio[Actualización]))</f>
        <v>0</v>
      </c>
      <c r="AI227" s="699">
        <f>IF(ISNUMBER(Producción_Agricola[[#This Row],[Fecha Financiero]])=TRUE,MONTH(Producción_Agricola[[#This Row],[Fecha Financiero]]),0)</f>
        <v>0</v>
      </c>
      <c r="AJ227" s="699">
        <f>IF(ISNUMBER(Producción_Agricola[[#This Row],[Fecha Financiero]])=TRUE,YEAR(Producción_Agricola[[#This Row],[Fecha Financiero]]),0)</f>
        <v>0</v>
      </c>
      <c r="AK227" s="704">
        <f>SUMPRODUCT((Producción_Agricola[[#This Row],[Mes Financiero]]=Tipo_Cambio[Mes])*(Producción_Agricola[[#This Row],[Año Financiero]]=Tipo_Cambio[Año])*(Tipo_Cambio[$/U$S]))</f>
        <v>0</v>
      </c>
      <c r="AL227" s="704">
        <f>SUMPRODUCT((Producción_Agricola[[#This Row],[Mes Financiero]]=Tipo_Cambio[Mes])*(Producción_Agricola[[#This Row],[Año Financiero]]=Tipo_Cambio[Año])*(Tipo_Cambio[Actualización]))</f>
        <v>0</v>
      </c>
      <c r="AM227" s="709">
        <f>IFERROR(Producción_Agricola[[#This Row],[Económico $Corrientes]]/Producción_Agricola[[#This Row],[Superficie]],0)</f>
        <v>0</v>
      </c>
      <c r="AN227" s="712">
        <f>IFERROR(Producción_Agricola[[#This Row],[Económico $Constantes]]/Producción_Agricola[[#This Row],[Superficie]],0)</f>
        <v>0</v>
      </c>
      <c r="AO227" s="712">
        <f>IFERROR(Producción_Agricola[[#This Row],[Económico U$S Dólares]]/Producción_Agricola[[#This Row],[Superficie]],0)</f>
        <v>0</v>
      </c>
      <c r="AP227" s="711">
        <f>IF(Económico!$F$4=0,0,Producción_Agricola[[#This Row],[Centro de Costo]])</f>
        <v>0</v>
      </c>
      <c r="AQ227" s="512"/>
      <c r="AR227" s="513"/>
      <c r="AS227"/>
    </row>
    <row r="228" spans="4:45" x14ac:dyDescent="0.25">
      <c r="D228" s="478"/>
      <c r="E228" s="478"/>
      <c r="F228" s="668">
        <f t="shared" si="50"/>
        <v>0</v>
      </c>
      <c r="G228" s="673">
        <f t="shared" si="51"/>
        <v>0</v>
      </c>
      <c r="H228" s="673">
        <f t="shared" si="52"/>
        <v>0</v>
      </c>
      <c r="I228" s="675">
        <f>IFERROR(INDEX(Tabla8[],MATCH(Producción_Agricola[[#This Row],[Unidad de Negocio]],Tabla8[Unidades de Negocio],0),2),0)</f>
        <v>0</v>
      </c>
      <c r="J22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28" s="488"/>
      <c r="L228" s="482"/>
      <c r="M228" s="483"/>
      <c r="N228" s="484"/>
      <c r="O228" s="690">
        <f>Producción_Agricola[[#This Row],[Superficie]]*Producción_Agricola[[#This Row],[Cantidad]]</f>
        <v>0</v>
      </c>
      <c r="P228" s="482"/>
      <c r="Q228" s="484"/>
      <c r="R228" s="485"/>
      <c r="S22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28" s="695">
        <f>IFERROR(Producción_Agricola[[#This Row],[Económico $Corrientes]]/Producción_Agricola[[#This Row],[Indexación Económico]],0)</f>
        <v>0</v>
      </c>
      <c r="U22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2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28" s="695">
        <f>IFERROR(Producción_Agricola[[#This Row],[Financiero $Corrientes]]/Producción_Agricola[[#This Row],[Indexación Financiero]],0)</f>
        <v>0</v>
      </c>
      <c r="X22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2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28" s="699">
        <f>IFERROR(Producción_Agricola[[#This Row],[Intereses $Corrientes]]/Producción_Agricola[[#This Row],[Indexación Financiero]],0)</f>
        <v>0</v>
      </c>
      <c r="AA22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28" s="701">
        <f>IFERROR(INDEX(Produccion_Agricola_Cuentas[],MATCH(Producción_Agricola[[#This Row],[Cuenta Contable]],Produccion_Agricola_Cuentas[Cuenta Contable],0),2),0)</f>
        <v>0</v>
      </c>
      <c r="AC228" s="702">
        <f>IFERROR(INDEX(Tabla9[],MATCH(Producción_Agricola[[#This Row],[Movimiento]],Tabla9[Movimientos],0),2),0)</f>
        <v>0</v>
      </c>
      <c r="AD228" s="703">
        <f>IFERROR(INDEX(Tabla9[],MATCH(Producción_Agricola[[#This Row],[Movimiento]],Tabla9[Movimientos],0),3),0)</f>
        <v>0</v>
      </c>
      <c r="AE228" s="698">
        <f>IF(Producción_Agricola[[#This Row],[Fecha Económico]]=0,0,MONTH(Producción_Agricola[[#This Row],[Fecha Económico]]))</f>
        <v>0</v>
      </c>
      <c r="AF228" s="699">
        <f>IF(Producción_Agricola[[#This Row],[Fecha Económico]]=0,0,YEAR(Producción_Agricola[[#This Row],[Fecha Económico]]))</f>
        <v>0</v>
      </c>
      <c r="AG228" s="704">
        <f>SUMPRODUCT((Producción_Agricola[[#This Row],[Mes Económico]]=Tipo_Cambio[Mes])*(Producción_Agricola[[#This Row],[Año Económico]]=Tipo_Cambio[Año])*(Tipo_Cambio[$/U$S]))</f>
        <v>0</v>
      </c>
      <c r="AH228" s="703">
        <f>SUMPRODUCT((Producción_Agricola[[#This Row],[Mes Económico]]=Tipo_Cambio[Mes])*(Producción_Agricola[[#This Row],[Año Económico]]=Tipo_Cambio[Año])*(Tipo_Cambio[Actualización]))</f>
        <v>0</v>
      </c>
      <c r="AI228" s="699">
        <f>IF(ISNUMBER(Producción_Agricola[[#This Row],[Fecha Financiero]])=TRUE,MONTH(Producción_Agricola[[#This Row],[Fecha Financiero]]),0)</f>
        <v>0</v>
      </c>
      <c r="AJ228" s="699">
        <f>IF(ISNUMBER(Producción_Agricola[[#This Row],[Fecha Financiero]])=TRUE,YEAR(Producción_Agricola[[#This Row],[Fecha Financiero]]),0)</f>
        <v>0</v>
      </c>
      <c r="AK228" s="704">
        <f>SUMPRODUCT((Producción_Agricola[[#This Row],[Mes Financiero]]=Tipo_Cambio[Mes])*(Producción_Agricola[[#This Row],[Año Financiero]]=Tipo_Cambio[Año])*(Tipo_Cambio[$/U$S]))</f>
        <v>0</v>
      </c>
      <c r="AL228" s="704">
        <f>SUMPRODUCT((Producción_Agricola[[#This Row],[Mes Financiero]]=Tipo_Cambio[Mes])*(Producción_Agricola[[#This Row],[Año Financiero]]=Tipo_Cambio[Año])*(Tipo_Cambio[Actualización]))</f>
        <v>0</v>
      </c>
      <c r="AM228" s="709">
        <f>IFERROR(Producción_Agricola[[#This Row],[Económico $Corrientes]]/Producción_Agricola[[#This Row],[Superficie]],0)</f>
        <v>0</v>
      </c>
      <c r="AN228" s="712">
        <f>IFERROR(Producción_Agricola[[#This Row],[Económico $Constantes]]/Producción_Agricola[[#This Row],[Superficie]],0)</f>
        <v>0</v>
      </c>
      <c r="AO228" s="712">
        <f>IFERROR(Producción_Agricola[[#This Row],[Económico U$S Dólares]]/Producción_Agricola[[#This Row],[Superficie]],0)</f>
        <v>0</v>
      </c>
      <c r="AP228" s="711">
        <f>IF(Económico!$F$4=0,0,Producción_Agricola[[#This Row],[Centro de Costo]])</f>
        <v>0</v>
      </c>
      <c r="AQ228" s="512"/>
      <c r="AR228" s="513"/>
      <c r="AS228"/>
    </row>
    <row r="229" spans="4:45" x14ac:dyDescent="0.25">
      <c r="D229" s="478"/>
      <c r="E229" s="478"/>
      <c r="F229" s="668">
        <f t="shared" si="50"/>
        <v>0</v>
      </c>
      <c r="G229" s="673">
        <f t="shared" si="51"/>
        <v>0</v>
      </c>
      <c r="H229" s="673">
        <f t="shared" si="52"/>
        <v>0</v>
      </c>
      <c r="I229" s="675">
        <f>IFERROR(INDEX(Tabla8[],MATCH(Producción_Agricola[[#This Row],[Unidad de Negocio]],Tabla8[Unidades de Negocio],0),2),0)</f>
        <v>0</v>
      </c>
      <c r="J22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29" s="488"/>
      <c r="L229" s="482"/>
      <c r="M229" s="483"/>
      <c r="N229" s="484"/>
      <c r="O229" s="690">
        <f>Producción_Agricola[[#This Row],[Superficie]]*Producción_Agricola[[#This Row],[Cantidad]]</f>
        <v>0</v>
      </c>
      <c r="P229" s="482"/>
      <c r="Q229" s="484"/>
      <c r="R229" s="485"/>
      <c r="S22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29" s="695">
        <f>IFERROR(Producción_Agricola[[#This Row],[Económico $Corrientes]]/Producción_Agricola[[#This Row],[Indexación Económico]],0)</f>
        <v>0</v>
      </c>
      <c r="U22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2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29" s="695">
        <f>IFERROR(Producción_Agricola[[#This Row],[Financiero $Corrientes]]/Producción_Agricola[[#This Row],[Indexación Financiero]],0)</f>
        <v>0</v>
      </c>
      <c r="X22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2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29" s="699">
        <f>IFERROR(Producción_Agricola[[#This Row],[Intereses $Corrientes]]/Producción_Agricola[[#This Row],[Indexación Financiero]],0)</f>
        <v>0</v>
      </c>
      <c r="AA22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29" s="701">
        <f>IFERROR(INDEX(Produccion_Agricola_Cuentas[],MATCH(Producción_Agricola[[#This Row],[Cuenta Contable]],Produccion_Agricola_Cuentas[Cuenta Contable],0),2),0)</f>
        <v>0</v>
      </c>
      <c r="AC229" s="702">
        <f>IFERROR(INDEX(Tabla9[],MATCH(Producción_Agricola[[#This Row],[Movimiento]],Tabla9[Movimientos],0),2),0)</f>
        <v>0</v>
      </c>
      <c r="AD229" s="703">
        <f>IFERROR(INDEX(Tabla9[],MATCH(Producción_Agricola[[#This Row],[Movimiento]],Tabla9[Movimientos],0),3),0)</f>
        <v>0</v>
      </c>
      <c r="AE229" s="698">
        <f>IF(Producción_Agricola[[#This Row],[Fecha Económico]]=0,0,MONTH(Producción_Agricola[[#This Row],[Fecha Económico]]))</f>
        <v>0</v>
      </c>
      <c r="AF229" s="699">
        <f>IF(Producción_Agricola[[#This Row],[Fecha Económico]]=0,0,YEAR(Producción_Agricola[[#This Row],[Fecha Económico]]))</f>
        <v>0</v>
      </c>
      <c r="AG229" s="704">
        <f>SUMPRODUCT((Producción_Agricola[[#This Row],[Mes Económico]]=Tipo_Cambio[Mes])*(Producción_Agricola[[#This Row],[Año Económico]]=Tipo_Cambio[Año])*(Tipo_Cambio[$/U$S]))</f>
        <v>0</v>
      </c>
      <c r="AH229" s="703">
        <f>SUMPRODUCT((Producción_Agricola[[#This Row],[Mes Económico]]=Tipo_Cambio[Mes])*(Producción_Agricola[[#This Row],[Año Económico]]=Tipo_Cambio[Año])*(Tipo_Cambio[Actualización]))</f>
        <v>0</v>
      </c>
      <c r="AI229" s="699">
        <f>IF(ISNUMBER(Producción_Agricola[[#This Row],[Fecha Financiero]])=TRUE,MONTH(Producción_Agricola[[#This Row],[Fecha Financiero]]),0)</f>
        <v>0</v>
      </c>
      <c r="AJ229" s="699">
        <f>IF(ISNUMBER(Producción_Agricola[[#This Row],[Fecha Financiero]])=TRUE,YEAR(Producción_Agricola[[#This Row],[Fecha Financiero]]),0)</f>
        <v>0</v>
      </c>
      <c r="AK229" s="704">
        <f>SUMPRODUCT((Producción_Agricola[[#This Row],[Mes Financiero]]=Tipo_Cambio[Mes])*(Producción_Agricola[[#This Row],[Año Financiero]]=Tipo_Cambio[Año])*(Tipo_Cambio[$/U$S]))</f>
        <v>0</v>
      </c>
      <c r="AL229" s="704">
        <f>SUMPRODUCT((Producción_Agricola[[#This Row],[Mes Financiero]]=Tipo_Cambio[Mes])*(Producción_Agricola[[#This Row],[Año Financiero]]=Tipo_Cambio[Año])*(Tipo_Cambio[Actualización]))</f>
        <v>0</v>
      </c>
      <c r="AM229" s="709">
        <f>IFERROR(Producción_Agricola[[#This Row],[Económico $Corrientes]]/Producción_Agricola[[#This Row],[Superficie]],0)</f>
        <v>0</v>
      </c>
      <c r="AN229" s="712">
        <f>IFERROR(Producción_Agricola[[#This Row],[Económico $Constantes]]/Producción_Agricola[[#This Row],[Superficie]],0)</f>
        <v>0</v>
      </c>
      <c r="AO229" s="712">
        <f>IFERROR(Producción_Agricola[[#This Row],[Económico U$S Dólares]]/Producción_Agricola[[#This Row],[Superficie]],0)</f>
        <v>0</v>
      </c>
      <c r="AP229" s="711">
        <f>IF(Económico!$F$4=0,0,Producción_Agricola[[#This Row],[Centro de Costo]])</f>
        <v>0</v>
      </c>
      <c r="AQ229" s="512"/>
      <c r="AR229" s="513"/>
      <c r="AS229"/>
    </row>
    <row r="230" spans="4:45" x14ac:dyDescent="0.25">
      <c r="D230" s="478"/>
      <c r="E230" s="478"/>
      <c r="F230" s="668">
        <f t="shared" si="50"/>
        <v>0</v>
      </c>
      <c r="G230" s="673">
        <f t="shared" si="51"/>
        <v>0</v>
      </c>
      <c r="H230" s="673">
        <f t="shared" si="52"/>
        <v>0</v>
      </c>
      <c r="I230" s="675">
        <f>IFERROR(INDEX(Tabla8[],MATCH(Producción_Agricola[[#This Row],[Unidad de Negocio]],Tabla8[Unidades de Negocio],0),2),0)</f>
        <v>0</v>
      </c>
      <c r="J23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30" s="488"/>
      <c r="L230" s="482"/>
      <c r="M230" s="483"/>
      <c r="N230" s="484"/>
      <c r="O230" s="690">
        <f>Producción_Agricola[[#This Row],[Superficie]]*Producción_Agricola[[#This Row],[Cantidad]]</f>
        <v>0</v>
      </c>
      <c r="P230" s="482"/>
      <c r="Q230" s="484"/>
      <c r="R230" s="485"/>
      <c r="S23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30" s="695">
        <f>IFERROR(Producción_Agricola[[#This Row],[Económico $Corrientes]]/Producción_Agricola[[#This Row],[Indexación Económico]],0)</f>
        <v>0</v>
      </c>
      <c r="U23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3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30" s="695">
        <f>IFERROR(Producción_Agricola[[#This Row],[Financiero $Corrientes]]/Producción_Agricola[[#This Row],[Indexación Financiero]],0)</f>
        <v>0</v>
      </c>
      <c r="X23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3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30" s="699">
        <f>IFERROR(Producción_Agricola[[#This Row],[Intereses $Corrientes]]/Producción_Agricola[[#This Row],[Indexación Financiero]],0)</f>
        <v>0</v>
      </c>
      <c r="AA23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30" s="701">
        <f>IFERROR(INDEX(Produccion_Agricola_Cuentas[],MATCH(Producción_Agricola[[#This Row],[Cuenta Contable]],Produccion_Agricola_Cuentas[Cuenta Contable],0),2),0)</f>
        <v>0</v>
      </c>
      <c r="AC230" s="702">
        <f>IFERROR(INDEX(Tabla9[],MATCH(Producción_Agricola[[#This Row],[Movimiento]],Tabla9[Movimientos],0),2),0)</f>
        <v>0</v>
      </c>
      <c r="AD230" s="703">
        <f>IFERROR(INDEX(Tabla9[],MATCH(Producción_Agricola[[#This Row],[Movimiento]],Tabla9[Movimientos],0),3),0)</f>
        <v>0</v>
      </c>
      <c r="AE230" s="698">
        <f>IF(Producción_Agricola[[#This Row],[Fecha Económico]]=0,0,MONTH(Producción_Agricola[[#This Row],[Fecha Económico]]))</f>
        <v>0</v>
      </c>
      <c r="AF230" s="699">
        <f>IF(Producción_Agricola[[#This Row],[Fecha Económico]]=0,0,YEAR(Producción_Agricola[[#This Row],[Fecha Económico]]))</f>
        <v>0</v>
      </c>
      <c r="AG230" s="704">
        <f>SUMPRODUCT((Producción_Agricola[[#This Row],[Mes Económico]]=Tipo_Cambio[Mes])*(Producción_Agricola[[#This Row],[Año Económico]]=Tipo_Cambio[Año])*(Tipo_Cambio[$/U$S]))</f>
        <v>0</v>
      </c>
      <c r="AH230" s="703">
        <f>SUMPRODUCT((Producción_Agricola[[#This Row],[Mes Económico]]=Tipo_Cambio[Mes])*(Producción_Agricola[[#This Row],[Año Económico]]=Tipo_Cambio[Año])*(Tipo_Cambio[Actualización]))</f>
        <v>0</v>
      </c>
      <c r="AI230" s="699">
        <f>IF(ISNUMBER(Producción_Agricola[[#This Row],[Fecha Financiero]])=TRUE,MONTH(Producción_Agricola[[#This Row],[Fecha Financiero]]),0)</f>
        <v>0</v>
      </c>
      <c r="AJ230" s="699">
        <f>IF(ISNUMBER(Producción_Agricola[[#This Row],[Fecha Financiero]])=TRUE,YEAR(Producción_Agricola[[#This Row],[Fecha Financiero]]),0)</f>
        <v>0</v>
      </c>
      <c r="AK230" s="704">
        <f>SUMPRODUCT((Producción_Agricola[[#This Row],[Mes Financiero]]=Tipo_Cambio[Mes])*(Producción_Agricola[[#This Row],[Año Financiero]]=Tipo_Cambio[Año])*(Tipo_Cambio[$/U$S]))</f>
        <v>0</v>
      </c>
      <c r="AL230" s="704">
        <f>SUMPRODUCT((Producción_Agricola[[#This Row],[Mes Financiero]]=Tipo_Cambio[Mes])*(Producción_Agricola[[#This Row],[Año Financiero]]=Tipo_Cambio[Año])*(Tipo_Cambio[Actualización]))</f>
        <v>0</v>
      </c>
      <c r="AM230" s="709">
        <f>IFERROR(Producción_Agricola[[#This Row],[Económico $Corrientes]]/Producción_Agricola[[#This Row],[Superficie]],0)</f>
        <v>0</v>
      </c>
      <c r="AN230" s="712">
        <f>IFERROR(Producción_Agricola[[#This Row],[Económico $Constantes]]/Producción_Agricola[[#This Row],[Superficie]],0)</f>
        <v>0</v>
      </c>
      <c r="AO230" s="712">
        <f>IFERROR(Producción_Agricola[[#This Row],[Económico U$S Dólares]]/Producción_Agricola[[#This Row],[Superficie]],0)</f>
        <v>0</v>
      </c>
      <c r="AP230" s="711">
        <f>IF(Económico!$F$4=0,0,Producción_Agricola[[#This Row],[Centro de Costo]])</f>
        <v>0</v>
      </c>
      <c r="AQ230" s="512"/>
      <c r="AR230" s="513"/>
      <c r="AS230"/>
    </row>
    <row r="231" spans="4:45" x14ac:dyDescent="0.25">
      <c r="D231" s="478"/>
      <c r="E231" s="478"/>
      <c r="F231" s="668">
        <f t="shared" si="50"/>
        <v>0</v>
      </c>
      <c r="G231" s="673">
        <f t="shared" si="51"/>
        <v>0</v>
      </c>
      <c r="H231" s="673">
        <f t="shared" si="52"/>
        <v>0</v>
      </c>
      <c r="I231" s="675">
        <f>IFERROR(INDEX(Tabla8[],MATCH(Producción_Agricola[[#This Row],[Unidad de Negocio]],Tabla8[Unidades de Negocio],0),2),0)</f>
        <v>0</v>
      </c>
      <c r="J23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31" s="488"/>
      <c r="L231" s="482"/>
      <c r="M231" s="483"/>
      <c r="N231" s="484"/>
      <c r="O231" s="690">
        <f>Producción_Agricola[[#This Row],[Superficie]]*Producción_Agricola[[#This Row],[Cantidad]]</f>
        <v>0</v>
      </c>
      <c r="P231" s="482"/>
      <c r="Q231" s="484"/>
      <c r="R231" s="485"/>
      <c r="S23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31" s="695">
        <f>IFERROR(Producción_Agricola[[#This Row],[Económico $Corrientes]]/Producción_Agricola[[#This Row],[Indexación Económico]],0)</f>
        <v>0</v>
      </c>
      <c r="U23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3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31" s="695">
        <f>IFERROR(Producción_Agricola[[#This Row],[Financiero $Corrientes]]/Producción_Agricola[[#This Row],[Indexación Financiero]],0)</f>
        <v>0</v>
      </c>
      <c r="X23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3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31" s="699">
        <f>IFERROR(Producción_Agricola[[#This Row],[Intereses $Corrientes]]/Producción_Agricola[[#This Row],[Indexación Financiero]],0)</f>
        <v>0</v>
      </c>
      <c r="AA23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31" s="701">
        <f>IFERROR(INDEX(Produccion_Agricola_Cuentas[],MATCH(Producción_Agricola[[#This Row],[Cuenta Contable]],Produccion_Agricola_Cuentas[Cuenta Contable],0),2),0)</f>
        <v>0</v>
      </c>
      <c r="AC231" s="702">
        <f>IFERROR(INDEX(Tabla9[],MATCH(Producción_Agricola[[#This Row],[Movimiento]],Tabla9[Movimientos],0),2),0)</f>
        <v>0</v>
      </c>
      <c r="AD231" s="703">
        <f>IFERROR(INDEX(Tabla9[],MATCH(Producción_Agricola[[#This Row],[Movimiento]],Tabla9[Movimientos],0),3),0)</f>
        <v>0</v>
      </c>
      <c r="AE231" s="698">
        <f>IF(Producción_Agricola[[#This Row],[Fecha Económico]]=0,0,MONTH(Producción_Agricola[[#This Row],[Fecha Económico]]))</f>
        <v>0</v>
      </c>
      <c r="AF231" s="699">
        <f>IF(Producción_Agricola[[#This Row],[Fecha Económico]]=0,0,YEAR(Producción_Agricola[[#This Row],[Fecha Económico]]))</f>
        <v>0</v>
      </c>
      <c r="AG231" s="704">
        <f>SUMPRODUCT((Producción_Agricola[[#This Row],[Mes Económico]]=Tipo_Cambio[Mes])*(Producción_Agricola[[#This Row],[Año Económico]]=Tipo_Cambio[Año])*(Tipo_Cambio[$/U$S]))</f>
        <v>0</v>
      </c>
      <c r="AH231" s="703">
        <f>SUMPRODUCT((Producción_Agricola[[#This Row],[Mes Económico]]=Tipo_Cambio[Mes])*(Producción_Agricola[[#This Row],[Año Económico]]=Tipo_Cambio[Año])*(Tipo_Cambio[Actualización]))</f>
        <v>0</v>
      </c>
      <c r="AI231" s="699">
        <f>IF(ISNUMBER(Producción_Agricola[[#This Row],[Fecha Financiero]])=TRUE,MONTH(Producción_Agricola[[#This Row],[Fecha Financiero]]),0)</f>
        <v>0</v>
      </c>
      <c r="AJ231" s="699">
        <f>IF(ISNUMBER(Producción_Agricola[[#This Row],[Fecha Financiero]])=TRUE,YEAR(Producción_Agricola[[#This Row],[Fecha Financiero]]),0)</f>
        <v>0</v>
      </c>
      <c r="AK231" s="704">
        <f>SUMPRODUCT((Producción_Agricola[[#This Row],[Mes Financiero]]=Tipo_Cambio[Mes])*(Producción_Agricola[[#This Row],[Año Financiero]]=Tipo_Cambio[Año])*(Tipo_Cambio[$/U$S]))</f>
        <v>0</v>
      </c>
      <c r="AL231" s="704">
        <f>SUMPRODUCT((Producción_Agricola[[#This Row],[Mes Financiero]]=Tipo_Cambio[Mes])*(Producción_Agricola[[#This Row],[Año Financiero]]=Tipo_Cambio[Año])*(Tipo_Cambio[Actualización]))</f>
        <v>0</v>
      </c>
      <c r="AM231" s="709">
        <f>IFERROR(Producción_Agricola[[#This Row],[Económico $Corrientes]]/Producción_Agricola[[#This Row],[Superficie]],0)</f>
        <v>0</v>
      </c>
      <c r="AN231" s="712">
        <f>IFERROR(Producción_Agricola[[#This Row],[Económico $Constantes]]/Producción_Agricola[[#This Row],[Superficie]],0)</f>
        <v>0</v>
      </c>
      <c r="AO231" s="712">
        <f>IFERROR(Producción_Agricola[[#This Row],[Económico U$S Dólares]]/Producción_Agricola[[#This Row],[Superficie]],0)</f>
        <v>0</v>
      </c>
      <c r="AP231" s="711">
        <f>IF(Económico!$F$4=0,0,Producción_Agricola[[#This Row],[Centro de Costo]])</f>
        <v>0</v>
      </c>
      <c r="AQ231" s="512"/>
      <c r="AR231" s="513"/>
      <c r="AS231"/>
    </row>
    <row r="232" spans="4:45" x14ac:dyDescent="0.25">
      <c r="D232" s="478"/>
      <c r="E232" s="478"/>
      <c r="F232" s="668">
        <f t="shared" si="50"/>
        <v>0</v>
      </c>
      <c r="G232" s="673">
        <f t="shared" si="51"/>
        <v>0</v>
      </c>
      <c r="H232" s="673">
        <f t="shared" si="52"/>
        <v>0</v>
      </c>
      <c r="I232" s="675">
        <f>IFERROR(INDEX(Tabla8[],MATCH(Producción_Agricola[[#This Row],[Unidad de Negocio]],Tabla8[Unidades de Negocio],0),2),0)</f>
        <v>0</v>
      </c>
      <c r="J23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32" s="488"/>
      <c r="L232" s="482"/>
      <c r="M232" s="483"/>
      <c r="N232" s="484"/>
      <c r="O232" s="690">
        <f>Producción_Agricola[[#This Row],[Superficie]]*Producción_Agricola[[#This Row],[Cantidad]]</f>
        <v>0</v>
      </c>
      <c r="P232" s="482"/>
      <c r="Q232" s="484"/>
      <c r="R232" s="485"/>
      <c r="S23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32" s="695">
        <f>IFERROR(Producción_Agricola[[#This Row],[Económico $Corrientes]]/Producción_Agricola[[#This Row],[Indexación Económico]],0)</f>
        <v>0</v>
      </c>
      <c r="U23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3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32" s="695">
        <f>IFERROR(Producción_Agricola[[#This Row],[Financiero $Corrientes]]/Producción_Agricola[[#This Row],[Indexación Financiero]],0)</f>
        <v>0</v>
      </c>
      <c r="X23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3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32" s="699">
        <f>IFERROR(Producción_Agricola[[#This Row],[Intereses $Corrientes]]/Producción_Agricola[[#This Row],[Indexación Financiero]],0)</f>
        <v>0</v>
      </c>
      <c r="AA23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32" s="701">
        <f>IFERROR(INDEX(Produccion_Agricola_Cuentas[],MATCH(Producción_Agricola[[#This Row],[Cuenta Contable]],Produccion_Agricola_Cuentas[Cuenta Contable],0),2),0)</f>
        <v>0</v>
      </c>
      <c r="AC232" s="702">
        <f>IFERROR(INDEX(Tabla9[],MATCH(Producción_Agricola[[#This Row],[Movimiento]],Tabla9[Movimientos],0),2),0)</f>
        <v>0</v>
      </c>
      <c r="AD232" s="703">
        <f>IFERROR(INDEX(Tabla9[],MATCH(Producción_Agricola[[#This Row],[Movimiento]],Tabla9[Movimientos],0),3),0)</f>
        <v>0</v>
      </c>
      <c r="AE232" s="698">
        <f>IF(Producción_Agricola[[#This Row],[Fecha Económico]]=0,0,MONTH(Producción_Agricola[[#This Row],[Fecha Económico]]))</f>
        <v>0</v>
      </c>
      <c r="AF232" s="699">
        <f>IF(Producción_Agricola[[#This Row],[Fecha Económico]]=0,0,YEAR(Producción_Agricola[[#This Row],[Fecha Económico]]))</f>
        <v>0</v>
      </c>
      <c r="AG232" s="704">
        <f>SUMPRODUCT((Producción_Agricola[[#This Row],[Mes Económico]]=Tipo_Cambio[Mes])*(Producción_Agricola[[#This Row],[Año Económico]]=Tipo_Cambio[Año])*(Tipo_Cambio[$/U$S]))</f>
        <v>0</v>
      </c>
      <c r="AH232" s="703">
        <f>SUMPRODUCT((Producción_Agricola[[#This Row],[Mes Económico]]=Tipo_Cambio[Mes])*(Producción_Agricola[[#This Row],[Año Económico]]=Tipo_Cambio[Año])*(Tipo_Cambio[Actualización]))</f>
        <v>0</v>
      </c>
      <c r="AI232" s="699">
        <f>IF(ISNUMBER(Producción_Agricola[[#This Row],[Fecha Financiero]])=TRUE,MONTH(Producción_Agricola[[#This Row],[Fecha Financiero]]),0)</f>
        <v>0</v>
      </c>
      <c r="AJ232" s="699">
        <f>IF(ISNUMBER(Producción_Agricola[[#This Row],[Fecha Financiero]])=TRUE,YEAR(Producción_Agricola[[#This Row],[Fecha Financiero]]),0)</f>
        <v>0</v>
      </c>
      <c r="AK232" s="704">
        <f>SUMPRODUCT((Producción_Agricola[[#This Row],[Mes Financiero]]=Tipo_Cambio[Mes])*(Producción_Agricola[[#This Row],[Año Financiero]]=Tipo_Cambio[Año])*(Tipo_Cambio[$/U$S]))</f>
        <v>0</v>
      </c>
      <c r="AL232" s="704">
        <f>SUMPRODUCT((Producción_Agricola[[#This Row],[Mes Financiero]]=Tipo_Cambio[Mes])*(Producción_Agricola[[#This Row],[Año Financiero]]=Tipo_Cambio[Año])*(Tipo_Cambio[Actualización]))</f>
        <v>0</v>
      </c>
      <c r="AM232" s="709">
        <f>IFERROR(Producción_Agricola[[#This Row],[Económico $Corrientes]]/Producción_Agricola[[#This Row],[Superficie]],0)</f>
        <v>0</v>
      </c>
      <c r="AN232" s="712">
        <f>IFERROR(Producción_Agricola[[#This Row],[Económico $Constantes]]/Producción_Agricola[[#This Row],[Superficie]],0)</f>
        <v>0</v>
      </c>
      <c r="AO232" s="712">
        <f>IFERROR(Producción_Agricola[[#This Row],[Económico U$S Dólares]]/Producción_Agricola[[#This Row],[Superficie]],0)</f>
        <v>0</v>
      </c>
      <c r="AP232" s="711">
        <f>IF(Económico!$F$4=0,0,Producción_Agricola[[#This Row],[Centro de Costo]])</f>
        <v>0</v>
      </c>
      <c r="AQ232" s="512"/>
      <c r="AR232" s="513"/>
      <c r="AS232"/>
    </row>
    <row r="233" spans="4:45" x14ac:dyDescent="0.25">
      <c r="D233" s="478"/>
      <c r="E233" s="478"/>
      <c r="F233" s="668">
        <f t="shared" si="50"/>
        <v>0</v>
      </c>
      <c r="G233" s="673">
        <f t="shared" si="51"/>
        <v>0</v>
      </c>
      <c r="H233" s="673">
        <f t="shared" si="52"/>
        <v>0</v>
      </c>
      <c r="I233" s="675">
        <f>IFERROR(INDEX(Tabla8[],MATCH(Producción_Agricola[[#This Row],[Unidad de Negocio]],Tabla8[Unidades de Negocio],0),2),0)</f>
        <v>0</v>
      </c>
      <c r="J23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33" s="488"/>
      <c r="L233" s="482"/>
      <c r="M233" s="483"/>
      <c r="N233" s="484"/>
      <c r="O233" s="690">
        <f>Producción_Agricola[[#This Row],[Superficie]]*Producción_Agricola[[#This Row],[Cantidad]]</f>
        <v>0</v>
      </c>
      <c r="P233" s="482"/>
      <c r="Q233" s="484"/>
      <c r="R233" s="485"/>
      <c r="S23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33" s="695">
        <f>IFERROR(Producción_Agricola[[#This Row],[Económico $Corrientes]]/Producción_Agricola[[#This Row],[Indexación Económico]],0)</f>
        <v>0</v>
      </c>
      <c r="U23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3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33" s="695">
        <f>IFERROR(Producción_Agricola[[#This Row],[Financiero $Corrientes]]/Producción_Agricola[[#This Row],[Indexación Financiero]],0)</f>
        <v>0</v>
      </c>
      <c r="X23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3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33" s="699">
        <f>IFERROR(Producción_Agricola[[#This Row],[Intereses $Corrientes]]/Producción_Agricola[[#This Row],[Indexación Financiero]],0)</f>
        <v>0</v>
      </c>
      <c r="AA23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33" s="701">
        <f>IFERROR(INDEX(Produccion_Agricola_Cuentas[],MATCH(Producción_Agricola[[#This Row],[Cuenta Contable]],Produccion_Agricola_Cuentas[Cuenta Contable],0),2),0)</f>
        <v>0</v>
      </c>
      <c r="AC233" s="702">
        <f>IFERROR(INDEX(Tabla9[],MATCH(Producción_Agricola[[#This Row],[Movimiento]],Tabla9[Movimientos],0),2),0)</f>
        <v>0</v>
      </c>
      <c r="AD233" s="703">
        <f>IFERROR(INDEX(Tabla9[],MATCH(Producción_Agricola[[#This Row],[Movimiento]],Tabla9[Movimientos],0),3),0)</f>
        <v>0</v>
      </c>
      <c r="AE233" s="698">
        <f>IF(Producción_Agricola[[#This Row],[Fecha Económico]]=0,0,MONTH(Producción_Agricola[[#This Row],[Fecha Económico]]))</f>
        <v>0</v>
      </c>
      <c r="AF233" s="699">
        <f>IF(Producción_Agricola[[#This Row],[Fecha Económico]]=0,0,YEAR(Producción_Agricola[[#This Row],[Fecha Económico]]))</f>
        <v>0</v>
      </c>
      <c r="AG233" s="704">
        <f>SUMPRODUCT((Producción_Agricola[[#This Row],[Mes Económico]]=Tipo_Cambio[Mes])*(Producción_Agricola[[#This Row],[Año Económico]]=Tipo_Cambio[Año])*(Tipo_Cambio[$/U$S]))</f>
        <v>0</v>
      </c>
      <c r="AH233" s="703">
        <f>SUMPRODUCT((Producción_Agricola[[#This Row],[Mes Económico]]=Tipo_Cambio[Mes])*(Producción_Agricola[[#This Row],[Año Económico]]=Tipo_Cambio[Año])*(Tipo_Cambio[Actualización]))</f>
        <v>0</v>
      </c>
      <c r="AI233" s="699">
        <f>IF(ISNUMBER(Producción_Agricola[[#This Row],[Fecha Financiero]])=TRUE,MONTH(Producción_Agricola[[#This Row],[Fecha Financiero]]),0)</f>
        <v>0</v>
      </c>
      <c r="AJ233" s="699">
        <f>IF(ISNUMBER(Producción_Agricola[[#This Row],[Fecha Financiero]])=TRUE,YEAR(Producción_Agricola[[#This Row],[Fecha Financiero]]),0)</f>
        <v>0</v>
      </c>
      <c r="AK233" s="704">
        <f>SUMPRODUCT((Producción_Agricola[[#This Row],[Mes Financiero]]=Tipo_Cambio[Mes])*(Producción_Agricola[[#This Row],[Año Financiero]]=Tipo_Cambio[Año])*(Tipo_Cambio[$/U$S]))</f>
        <v>0</v>
      </c>
      <c r="AL233" s="704">
        <f>SUMPRODUCT((Producción_Agricola[[#This Row],[Mes Financiero]]=Tipo_Cambio[Mes])*(Producción_Agricola[[#This Row],[Año Financiero]]=Tipo_Cambio[Año])*(Tipo_Cambio[Actualización]))</f>
        <v>0</v>
      </c>
      <c r="AM233" s="709">
        <f>IFERROR(Producción_Agricola[[#This Row],[Económico $Corrientes]]/Producción_Agricola[[#This Row],[Superficie]],0)</f>
        <v>0</v>
      </c>
      <c r="AN233" s="712">
        <f>IFERROR(Producción_Agricola[[#This Row],[Económico $Constantes]]/Producción_Agricola[[#This Row],[Superficie]],0)</f>
        <v>0</v>
      </c>
      <c r="AO233" s="712">
        <f>IFERROR(Producción_Agricola[[#This Row],[Económico U$S Dólares]]/Producción_Agricola[[#This Row],[Superficie]],0)</f>
        <v>0</v>
      </c>
      <c r="AP233" s="711">
        <f>IF(Económico!$F$4=0,0,Producción_Agricola[[#This Row],[Centro de Costo]])</f>
        <v>0</v>
      </c>
      <c r="AQ233" s="512"/>
      <c r="AR233" s="513"/>
      <c r="AS233"/>
    </row>
    <row r="234" spans="4:45" x14ac:dyDescent="0.25">
      <c r="D234" s="478"/>
      <c r="E234" s="478"/>
      <c r="F234" s="668">
        <f t="shared" si="50"/>
        <v>0</v>
      </c>
      <c r="G234" s="673">
        <f t="shared" si="51"/>
        <v>0</v>
      </c>
      <c r="H234" s="673">
        <f t="shared" si="52"/>
        <v>0</v>
      </c>
      <c r="I234" s="675">
        <f>IFERROR(INDEX(Tabla8[],MATCH(Producción_Agricola[[#This Row],[Unidad de Negocio]],Tabla8[Unidades de Negocio],0),2),0)</f>
        <v>0</v>
      </c>
      <c r="J23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34" s="488"/>
      <c r="L234" s="482"/>
      <c r="M234" s="483"/>
      <c r="N234" s="484"/>
      <c r="O234" s="690">
        <f>Producción_Agricola[[#This Row],[Superficie]]*Producción_Agricola[[#This Row],[Cantidad]]</f>
        <v>0</v>
      </c>
      <c r="P234" s="482"/>
      <c r="Q234" s="484"/>
      <c r="R234" s="485"/>
      <c r="S23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34" s="695">
        <f>IFERROR(Producción_Agricola[[#This Row],[Económico $Corrientes]]/Producción_Agricola[[#This Row],[Indexación Económico]],0)</f>
        <v>0</v>
      </c>
      <c r="U23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3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34" s="695">
        <f>IFERROR(Producción_Agricola[[#This Row],[Financiero $Corrientes]]/Producción_Agricola[[#This Row],[Indexación Financiero]],0)</f>
        <v>0</v>
      </c>
      <c r="X23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3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34" s="699">
        <f>IFERROR(Producción_Agricola[[#This Row],[Intereses $Corrientes]]/Producción_Agricola[[#This Row],[Indexación Financiero]],0)</f>
        <v>0</v>
      </c>
      <c r="AA23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34" s="701">
        <f>IFERROR(INDEX(Produccion_Agricola_Cuentas[],MATCH(Producción_Agricola[[#This Row],[Cuenta Contable]],Produccion_Agricola_Cuentas[Cuenta Contable],0),2),0)</f>
        <v>0</v>
      </c>
      <c r="AC234" s="702">
        <f>IFERROR(INDEX(Tabla9[],MATCH(Producción_Agricola[[#This Row],[Movimiento]],Tabla9[Movimientos],0),2),0)</f>
        <v>0</v>
      </c>
      <c r="AD234" s="703">
        <f>IFERROR(INDEX(Tabla9[],MATCH(Producción_Agricola[[#This Row],[Movimiento]],Tabla9[Movimientos],0),3),0)</f>
        <v>0</v>
      </c>
      <c r="AE234" s="698">
        <f>IF(Producción_Agricola[[#This Row],[Fecha Económico]]=0,0,MONTH(Producción_Agricola[[#This Row],[Fecha Económico]]))</f>
        <v>0</v>
      </c>
      <c r="AF234" s="699">
        <f>IF(Producción_Agricola[[#This Row],[Fecha Económico]]=0,0,YEAR(Producción_Agricola[[#This Row],[Fecha Económico]]))</f>
        <v>0</v>
      </c>
      <c r="AG234" s="704">
        <f>SUMPRODUCT((Producción_Agricola[[#This Row],[Mes Económico]]=Tipo_Cambio[Mes])*(Producción_Agricola[[#This Row],[Año Económico]]=Tipo_Cambio[Año])*(Tipo_Cambio[$/U$S]))</f>
        <v>0</v>
      </c>
      <c r="AH234" s="703">
        <f>SUMPRODUCT((Producción_Agricola[[#This Row],[Mes Económico]]=Tipo_Cambio[Mes])*(Producción_Agricola[[#This Row],[Año Económico]]=Tipo_Cambio[Año])*(Tipo_Cambio[Actualización]))</f>
        <v>0</v>
      </c>
      <c r="AI234" s="699">
        <f>IF(ISNUMBER(Producción_Agricola[[#This Row],[Fecha Financiero]])=TRUE,MONTH(Producción_Agricola[[#This Row],[Fecha Financiero]]),0)</f>
        <v>0</v>
      </c>
      <c r="AJ234" s="699">
        <f>IF(ISNUMBER(Producción_Agricola[[#This Row],[Fecha Financiero]])=TRUE,YEAR(Producción_Agricola[[#This Row],[Fecha Financiero]]),0)</f>
        <v>0</v>
      </c>
      <c r="AK234" s="704">
        <f>SUMPRODUCT((Producción_Agricola[[#This Row],[Mes Financiero]]=Tipo_Cambio[Mes])*(Producción_Agricola[[#This Row],[Año Financiero]]=Tipo_Cambio[Año])*(Tipo_Cambio[$/U$S]))</f>
        <v>0</v>
      </c>
      <c r="AL234" s="704">
        <f>SUMPRODUCT((Producción_Agricola[[#This Row],[Mes Financiero]]=Tipo_Cambio[Mes])*(Producción_Agricola[[#This Row],[Año Financiero]]=Tipo_Cambio[Año])*(Tipo_Cambio[Actualización]))</f>
        <v>0</v>
      </c>
      <c r="AM234" s="709">
        <f>IFERROR(Producción_Agricola[[#This Row],[Económico $Corrientes]]/Producción_Agricola[[#This Row],[Superficie]],0)</f>
        <v>0</v>
      </c>
      <c r="AN234" s="712">
        <f>IFERROR(Producción_Agricola[[#This Row],[Económico $Constantes]]/Producción_Agricola[[#This Row],[Superficie]],0)</f>
        <v>0</v>
      </c>
      <c r="AO234" s="712">
        <f>IFERROR(Producción_Agricola[[#This Row],[Económico U$S Dólares]]/Producción_Agricola[[#This Row],[Superficie]],0)</f>
        <v>0</v>
      </c>
      <c r="AP234" s="711">
        <f>IF(Económico!$F$4=0,0,Producción_Agricola[[#This Row],[Centro de Costo]])</f>
        <v>0</v>
      </c>
      <c r="AQ234" s="512"/>
      <c r="AR234" s="513"/>
      <c r="AS234"/>
    </row>
    <row r="235" spans="4:45" x14ac:dyDescent="0.25">
      <c r="D235" s="478"/>
      <c r="E235" s="478"/>
      <c r="F235" s="668">
        <f t="shared" si="50"/>
        <v>0</v>
      </c>
      <c r="G235" s="673">
        <f t="shared" si="51"/>
        <v>0</v>
      </c>
      <c r="H235" s="673">
        <f t="shared" si="52"/>
        <v>0</v>
      </c>
      <c r="I235" s="675">
        <f>IFERROR(INDEX(Tabla8[],MATCH(Producción_Agricola[[#This Row],[Unidad de Negocio]],Tabla8[Unidades de Negocio],0),2),0)</f>
        <v>0</v>
      </c>
      <c r="J23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35" s="488"/>
      <c r="L235" s="482"/>
      <c r="M235" s="483"/>
      <c r="N235" s="484"/>
      <c r="O235" s="690">
        <f>Producción_Agricola[[#This Row],[Superficie]]*Producción_Agricola[[#This Row],[Cantidad]]</f>
        <v>0</v>
      </c>
      <c r="P235" s="482"/>
      <c r="Q235" s="484"/>
      <c r="R235" s="485"/>
      <c r="S23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35" s="695">
        <f>IFERROR(Producción_Agricola[[#This Row],[Económico $Corrientes]]/Producción_Agricola[[#This Row],[Indexación Económico]],0)</f>
        <v>0</v>
      </c>
      <c r="U23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3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35" s="695">
        <f>IFERROR(Producción_Agricola[[#This Row],[Financiero $Corrientes]]/Producción_Agricola[[#This Row],[Indexación Financiero]],0)</f>
        <v>0</v>
      </c>
      <c r="X23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3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35" s="699">
        <f>IFERROR(Producción_Agricola[[#This Row],[Intereses $Corrientes]]/Producción_Agricola[[#This Row],[Indexación Financiero]],0)</f>
        <v>0</v>
      </c>
      <c r="AA23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35" s="701">
        <f>IFERROR(INDEX(Produccion_Agricola_Cuentas[],MATCH(Producción_Agricola[[#This Row],[Cuenta Contable]],Produccion_Agricola_Cuentas[Cuenta Contable],0),2),0)</f>
        <v>0</v>
      </c>
      <c r="AC235" s="702">
        <f>IFERROR(INDEX(Tabla9[],MATCH(Producción_Agricola[[#This Row],[Movimiento]],Tabla9[Movimientos],0),2),0)</f>
        <v>0</v>
      </c>
      <c r="AD235" s="703">
        <f>IFERROR(INDEX(Tabla9[],MATCH(Producción_Agricola[[#This Row],[Movimiento]],Tabla9[Movimientos],0),3),0)</f>
        <v>0</v>
      </c>
      <c r="AE235" s="698">
        <f>IF(Producción_Agricola[[#This Row],[Fecha Económico]]=0,0,MONTH(Producción_Agricola[[#This Row],[Fecha Económico]]))</f>
        <v>0</v>
      </c>
      <c r="AF235" s="699">
        <f>IF(Producción_Agricola[[#This Row],[Fecha Económico]]=0,0,YEAR(Producción_Agricola[[#This Row],[Fecha Económico]]))</f>
        <v>0</v>
      </c>
      <c r="AG235" s="704">
        <f>SUMPRODUCT((Producción_Agricola[[#This Row],[Mes Económico]]=Tipo_Cambio[Mes])*(Producción_Agricola[[#This Row],[Año Económico]]=Tipo_Cambio[Año])*(Tipo_Cambio[$/U$S]))</f>
        <v>0</v>
      </c>
      <c r="AH235" s="703">
        <f>SUMPRODUCT((Producción_Agricola[[#This Row],[Mes Económico]]=Tipo_Cambio[Mes])*(Producción_Agricola[[#This Row],[Año Económico]]=Tipo_Cambio[Año])*(Tipo_Cambio[Actualización]))</f>
        <v>0</v>
      </c>
      <c r="AI235" s="699">
        <f>IF(ISNUMBER(Producción_Agricola[[#This Row],[Fecha Financiero]])=TRUE,MONTH(Producción_Agricola[[#This Row],[Fecha Financiero]]),0)</f>
        <v>0</v>
      </c>
      <c r="AJ235" s="699">
        <f>IF(ISNUMBER(Producción_Agricola[[#This Row],[Fecha Financiero]])=TRUE,YEAR(Producción_Agricola[[#This Row],[Fecha Financiero]]),0)</f>
        <v>0</v>
      </c>
      <c r="AK235" s="704">
        <f>SUMPRODUCT((Producción_Agricola[[#This Row],[Mes Financiero]]=Tipo_Cambio[Mes])*(Producción_Agricola[[#This Row],[Año Financiero]]=Tipo_Cambio[Año])*(Tipo_Cambio[$/U$S]))</f>
        <v>0</v>
      </c>
      <c r="AL235" s="704">
        <f>SUMPRODUCT((Producción_Agricola[[#This Row],[Mes Financiero]]=Tipo_Cambio[Mes])*(Producción_Agricola[[#This Row],[Año Financiero]]=Tipo_Cambio[Año])*(Tipo_Cambio[Actualización]))</f>
        <v>0</v>
      </c>
      <c r="AM235" s="709">
        <f>IFERROR(Producción_Agricola[[#This Row],[Económico $Corrientes]]/Producción_Agricola[[#This Row],[Superficie]],0)</f>
        <v>0</v>
      </c>
      <c r="AN235" s="712">
        <f>IFERROR(Producción_Agricola[[#This Row],[Económico $Constantes]]/Producción_Agricola[[#This Row],[Superficie]],0)</f>
        <v>0</v>
      </c>
      <c r="AO235" s="712">
        <f>IFERROR(Producción_Agricola[[#This Row],[Económico U$S Dólares]]/Producción_Agricola[[#This Row],[Superficie]],0)</f>
        <v>0</v>
      </c>
      <c r="AP235" s="711">
        <f>IF(Económico!$F$4=0,0,Producción_Agricola[[#This Row],[Centro de Costo]])</f>
        <v>0</v>
      </c>
      <c r="AQ235" s="512"/>
      <c r="AR235" s="513"/>
      <c r="AS235"/>
    </row>
    <row r="236" spans="4:45" x14ac:dyDescent="0.25">
      <c r="D236" s="478"/>
      <c r="E236" s="478"/>
      <c r="F236" s="668">
        <f t="shared" si="50"/>
        <v>0</v>
      </c>
      <c r="G236" s="673">
        <f t="shared" si="51"/>
        <v>0</v>
      </c>
      <c r="H236" s="673">
        <f t="shared" si="52"/>
        <v>0</v>
      </c>
      <c r="I236" s="675">
        <f>IFERROR(INDEX(Tabla8[],MATCH(Producción_Agricola[[#This Row],[Unidad de Negocio]],Tabla8[Unidades de Negocio],0),2),0)</f>
        <v>0</v>
      </c>
      <c r="J23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36" s="488"/>
      <c r="L236" s="482"/>
      <c r="M236" s="483"/>
      <c r="N236" s="484"/>
      <c r="O236" s="690">
        <f>Producción_Agricola[[#This Row],[Superficie]]*Producción_Agricola[[#This Row],[Cantidad]]</f>
        <v>0</v>
      </c>
      <c r="P236" s="482"/>
      <c r="Q236" s="484"/>
      <c r="R236" s="485"/>
      <c r="S23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36" s="695">
        <f>IFERROR(Producción_Agricola[[#This Row],[Económico $Corrientes]]/Producción_Agricola[[#This Row],[Indexación Económico]],0)</f>
        <v>0</v>
      </c>
      <c r="U23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3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36" s="695">
        <f>IFERROR(Producción_Agricola[[#This Row],[Financiero $Corrientes]]/Producción_Agricola[[#This Row],[Indexación Financiero]],0)</f>
        <v>0</v>
      </c>
      <c r="X23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3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36" s="699">
        <f>IFERROR(Producción_Agricola[[#This Row],[Intereses $Corrientes]]/Producción_Agricola[[#This Row],[Indexación Financiero]],0)</f>
        <v>0</v>
      </c>
      <c r="AA23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36" s="701">
        <f>IFERROR(INDEX(Produccion_Agricola_Cuentas[],MATCH(Producción_Agricola[[#This Row],[Cuenta Contable]],Produccion_Agricola_Cuentas[Cuenta Contable],0),2),0)</f>
        <v>0</v>
      </c>
      <c r="AC236" s="702">
        <f>IFERROR(INDEX(Tabla9[],MATCH(Producción_Agricola[[#This Row],[Movimiento]],Tabla9[Movimientos],0),2),0)</f>
        <v>0</v>
      </c>
      <c r="AD236" s="703">
        <f>IFERROR(INDEX(Tabla9[],MATCH(Producción_Agricola[[#This Row],[Movimiento]],Tabla9[Movimientos],0),3),0)</f>
        <v>0</v>
      </c>
      <c r="AE236" s="698">
        <f>IF(Producción_Agricola[[#This Row],[Fecha Económico]]=0,0,MONTH(Producción_Agricola[[#This Row],[Fecha Económico]]))</f>
        <v>0</v>
      </c>
      <c r="AF236" s="699">
        <f>IF(Producción_Agricola[[#This Row],[Fecha Económico]]=0,0,YEAR(Producción_Agricola[[#This Row],[Fecha Económico]]))</f>
        <v>0</v>
      </c>
      <c r="AG236" s="704">
        <f>SUMPRODUCT((Producción_Agricola[[#This Row],[Mes Económico]]=Tipo_Cambio[Mes])*(Producción_Agricola[[#This Row],[Año Económico]]=Tipo_Cambio[Año])*(Tipo_Cambio[$/U$S]))</f>
        <v>0</v>
      </c>
      <c r="AH236" s="703">
        <f>SUMPRODUCT((Producción_Agricola[[#This Row],[Mes Económico]]=Tipo_Cambio[Mes])*(Producción_Agricola[[#This Row],[Año Económico]]=Tipo_Cambio[Año])*(Tipo_Cambio[Actualización]))</f>
        <v>0</v>
      </c>
      <c r="AI236" s="699">
        <f>IF(ISNUMBER(Producción_Agricola[[#This Row],[Fecha Financiero]])=TRUE,MONTH(Producción_Agricola[[#This Row],[Fecha Financiero]]),0)</f>
        <v>0</v>
      </c>
      <c r="AJ236" s="699">
        <f>IF(ISNUMBER(Producción_Agricola[[#This Row],[Fecha Financiero]])=TRUE,YEAR(Producción_Agricola[[#This Row],[Fecha Financiero]]),0)</f>
        <v>0</v>
      </c>
      <c r="AK236" s="704">
        <f>SUMPRODUCT((Producción_Agricola[[#This Row],[Mes Financiero]]=Tipo_Cambio[Mes])*(Producción_Agricola[[#This Row],[Año Financiero]]=Tipo_Cambio[Año])*(Tipo_Cambio[$/U$S]))</f>
        <v>0</v>
      </c>
      <c r="AL236" s="704">
        <f>SUMPRODUCT((Producción_Agricola[[#This Row],[Mes Financiero]]=Tipo_Cambio[Mes])*(Producción_Agricola[[#This Row],[Año Financiero]]=Tipo_Cambio[Año])*(Tipo_Cambio[Actualización]))</f>
        <v>0</v>
      </c>
      <c r="AM236" s="709">
        <f>IFERROR(Producción_Agricola[[#This Row],[Económico $Corrientes]]/Producción_Agricola[[#This Row],[Superficie]],0)</f>
        <v>0</v>
      </c>
      <c r="AN236" s="712">
        <f>IFERROR(Producción_Agricola[[#This Row],[Económico $Constantes]]/Producción_Agricola[[#This Row],[Superficie]],0)</f>
        <v>0</v>
      </c>
      <c r="AO236" s="712">
        <f>IFERROR(Producción_Agricola[[#This Row],[Económico U$S Dólares]]/Producción_Agricola[[#This Row],[Superficie]],0)</f>
        <v>0</v>
      </c>
      <c r="AP236" s="711">
        <f>IF(Económico!$F$4=0,0,Producción_Agricola[[#This Row],[Centro de Costo]])</f>
        <v>0</v>
      </c>
      <c r="AQ236" s="512"/>
      <c r="AR236" s="513"/>
      <c r="AS236"/>
    </row>
    <row r="237" spans="4:45" x14ac:dyDescent="0.25">
      <c r="D237" s="478"/>
      <c r="E237" s="478"/>
      <c r="F237" s="668">
        <f t="shared" si="50"/>
        <v>0</v>
      </c>
      <c r="G237" s="673">
        <f t="shared" si="51"/>
        <v>0</v>
      </c>
      <c r="H237" s="673">
        <f t="shared" si="52"/>
        <v>0</v>
      </c>
      <c r="I237" s="675">
        <f>IFERROR(INDEX(Tabla8[],MATCH(Producción_Agricola[[#This Row],[Unidad de Negocio]],Tabla8[Unidades de Negocio],0),2),0)</f>
        <v>0</v>
      </c>
      <c r="J23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37" s="488"/>
      <c r="L237" s="482"/>
      <c r="M237" s="483"/>
      <c r="N237" s="484"/>
      <c r="O237" s="690">
        <f>Producción_Agricola[[#This Row],[Superficie]]*Producción_Agricola[[#This Row],[Cantidad]]</f>
        <v>0</v>
      </c>
      <c r="P237" s="482"/>
      <c r="Q237" s="484"/>
      <c r="R237" s="485"/>
      <c r="S23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37" s="695">
        <f>IFERROR(Producción_Agricola[[#This Row],[Económico $Corrientes]]/Producción_Agricola[[#This Row],[Indexación Económico]],0)</f>
        <v>0</v>
      </c>
      <c r="U23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3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37" s="695">
        <f>IFERROR(Producción_Agricola[[#This Row],[Financiero $Corrientes]]/Producción_Agricola[[#This Row],[Indexación Financiero]],0)</f>
        <v>0</v>
      </c>
      <c r="X23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3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37" s="699">
        <f>IFERROR(Producción_Agricola[[#This Row],[Intereses $Corrientes]]/Producción_Agricola[[#This Row],[Indexación Financiero]],0)</f>
        <v>0</v>
      </c>
      <c r="AA23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37" s="701">
        <f>IFERROR(INDEX(Produccion_Agricola_Cuentas[],MATCH(Producción_Agricola[[#This Row],[Cuenta Contable]],Produccion_Agricola_Cuentas[Cuenta Contable],0),2),0)</f>
        <v>0</v>
      </c>
      <c r="AC237" s="702">
        <f>IFERROR(INDEX(Tabla9[],MATCH(Producción_Agricola[[#This Row],[Movimiento]],Tabla9[Movimientos],0),2),0)</f>
        <v>0</v>
      </c>
      <c r="AD237" s="703">
        <f>IFERROR(INDEX(Tabla9[],MATCH(Producción_Agricola[[#This Row],[Movimiento]],Tabla9[Movimientos],0),3),0)</f>
        <v>0</v>
      </c>
      <c r="AE237" s="698">
        <f>IF(Producción_Agricola[[#This Row],[Fecha Económico]]=0,0,MONTH(Producción_Agricola[[#This Row],[Fecha Económico]]))</f>
        <v>0</v>
      </c>
      <c r="AF237" s="699">
        <f>IF(Producción_Agricola[[#This Row],[Fecha Económico]]=0,0,YEAR(Producción_Agricola[[#This Row],[Fecha Económico]]))</f>
        <v>0</v>
      </c>
      <c r="AG237" s="704">
        <f>SUMPRODUCT((Producción_Agricola[[#This Row],[Mes Económico]]=Tipo_Cambio[Mes])*(Producción_Agricola[[#This Row],[Año Económico]]=Tipo_Cambio[Año])*(Tipo_Cambio[$/U$S]))</f>
        <v>0</v>
      </c>
      <c r="AH237" s="703">
        <f>SUMPRODUCT((Producción_Agricola[[#This Row],[Mes Económico]]=Tipo_Cambio[Mes])*(Producción_Agricola[[#This Row],[Año Económico]]=Tipo_Cambio[Año])*(Tipo_Cambio[Actualización]))</f>
        <v>0</v>
      </c>
      <c r="AI237" s="699">
        <f>IF(ISNUMBER(Producción_Agricola[[#This Row],[Fecha Financiero]])=TRUE,MONTH(Producción_Agricola[[#This Row],[Fecha Financiero]]),0)</f>
        <v>0</v>
      </c>
      <c r="AJ237" s="699">
        <f>IF(ISNUMBER(Producción_Agricola[[#This Row],[Fecha Financiero]])=TRUE,YEAR(Producción_Agricola[[#This Row],[Fecha Financiero]]),0)</f>
        <v>0</v>
      </c>
      <c r="AK237" s="704">
        <f>SUMPRODUCT((Producción_Agricola[[#This Row],[Mes Financiero]]=Tipo_Cambio[Mes])*(Producción_Agricola[[#This Row],[Año Financiero]]=Tipo_Cambio[Año])*(Tipo_Cambio[$/U$S]))</f>
        <v>0</v>
      </c>
      <c r="AL237" s="704">
        <f>SUMPRODUCT((Producción_Agricola[[#This Row],[Mes Financiero]]=Tipo_Cambio[Mes])*(Producción_Agricola[[#This Row],[Año Financiero]]=Tipo_Cambio[Año])*(Tipo_Cambio[Actualización]))</f>
        <v>0</v>
      </c>
      <c r="AM237" s="709">
        <f>IFERROR(Producción_Agricola[[#This Row],[Económico $Corrientes]]/Producción_Agricola[[#This Row],[Superficie]],0)</f>
        <v>0</v>
      </c>
      <c r="AN237" s="712">
        <f>IFERROR(Producción_Agricola[[#This Row],[Económico $Constantes]]/Producción_Agricola[[#This Row],[Superficie]],0)</f>
        <v>0</v>
      </c>
      <c r="AO237" s="712">
        <f>IFERROR(Producción_Agricola[[#This Row],[Económico U$S Dólares]]/Producción_Agricola[[#This Row],[Superficie]],0)</f>
        <v>0</v>
      </c>
      <c r="AP237" s="711">
        <f>IF(Económico!$F$4=0,0,Producción_Agricola[[#This Row],[Centro de Costo]])</f>
        <v>0</v>
      </c>
      <c r="AQ237" s="512"/>
      <c r="AR237" s="513"/>
      <c r="AS237"/>
    </row>
    <row r="238" spans="4:45" x14ac:dyDescent="0.25">
      <c r="D238" s="478"/>
      <c r="E238" s="478"/>
      <c r="F238" s="668">
        <f t="shared" si="50"/>
        <v>0</v>
      </c>
      <c r="G238" s="673">
        <f t="shared" si="51"/>
        <v>0</v>
      </c>
      <c r="H238" s="673">
        <f t="shared" si="52"/>
        <v>0</v>
      </c>
      <c r="I238" s="675">
        <f>IFERROR(INDEX(Tabla8[],MATCH(Producción_Agricola[[#This Row],[Unidad de Negocio]],Tabla8[Unidades de Negocio],0),2),0)</f>
        <v>0</v>
      </c>
      <c r="J23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38" s="488"/>
      <c r="L238" s="482"/>
      <c r="M238" s="483"/>
      <c r="N238" s="484"/>
      <c r="O238" s="690">
        <f>Producción_Agricola[[#This Row],[Superficie]]*Producción_Agricola[[#This Row],[Cantidad]]</f>
        <v>0</v>
      </c>
      <c r="P238" s="482"/>
      <c r="Q238" s="484"/>
      <c r="R238" s="485"/>
      <c r="S23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38" s="695">
        <f>IFERROR(Producción_Agricola[[#This Row],[Económico $Corrientes]]/Producción_Agricola[[#This Row],[Indexación Económico]],0)</f>
        <v>0</v>
      </c>
      <c r="U23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3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38" s="695">
        <f>IFERROR(Producción_Agricola[[#This Row],[Financiero $Corrientes]]/Producción_Agricola[[#This Row],[Indexación Financiero]],0)</f>
        <v>0</v>
      </c>
      <c r="X23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3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38" s="699">
        <f>IFERROR(Producción_Agricola[[#This Row],[Intereses $Corrientes]]/Producción_Agricola[[#This Row],[Indexación Financiero]],0)</f>
        <v>0</v>
      </c>
      <c r="AA23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38" s="701">
        <f>IFERROR(INDEX(Produccion_Agricola_Cuentas[],MATCH(Producción_Agricola[[#This Row],[Cuenta Contable]],Produccion_Agricola_Cuentas[Cuenta Contable],0),2),0)</f>
        <v>0</v>
      </c>
      <c r="AC238" s="702">
        <f>IFERROR(INDEX(Tabla9[],MATCH(Producción_Agricola[[#This Row],[Movimiento]],Tabla9[Movimientos],0),2),0)</f>
        <v>0</v>
      </c>
      <c r="AD238" s="703">
        <f>IFERROR(INDEX(Tabla9[],MATCH(Producción_Agricola[[#This Row],[Movimiento]],Tabla9[Movimientos],0),3),0)</f>
        <v>0</v>
      </c>
      <c r="AE238" s="698">
        <f>IF(Producción_Agricola[[#This Row],[Fecha Económico]]=0,0,MONTH(Producción_Agricola[[#This Row],[Fecha Económico]]))</f>
        <v>0</v>
      </c>
      <c r="AF238" s="699">
        <f>IF(Producción_Agricola[[#This Row],[Fecha Económico]]=0,0,YEAR(Producción_Agricola[[#This Row],[Fecha Económico]]))</f>
        <v>0</v>
      </c>
      <c r="AG238" s="704">
        <f>SUMPRODUCT((Producción_Agricola[[#This Row],[Mes Económico]]=Tipo_Cambio[Mes])*(Producción_Agricola[[#This Row],[Año Económico]]=Tipo_Cambio[Año])*(Tipo_Cambio[$/U$S]))</f>
        <v>0</v>
      </c>
      <c r="AH238" s="703">
        <f>SUMPRODUCT((Producción_Agricola[[#This Row],[Mes Económico]]=Tipo_Cambio[Mes])*(Producción_Agricola[[#This Row],[Año Económico]]=Tipo_Cambio[Año])*(Tipo_Cambio[Actualización]))</f>
        <v>0</v>
      </c>
      <c r="AI238" s="699">
        <f>IF(ISNUMBER(Producción_Agricola[[#This Row],[Fecha Financiero]])=TRUE,MONTH(Producción_Agricola[[#This Row],[Fecha Financiero]]),0)</f>
        <v>0</v>
      </c>
      <c r="AJ238" s="699">
        <f>IF(ISNUMBER(Producción_Agricola[[#This Row],[Fecha Financiero]])=TRUE,YEAR(Producción_Agricola[[#This Row],[Fecha Financiero]]),0)</f>
        <v>0</v>
      </c>
      <c r="AK238" s="704">
        <f>SUMPRODUCT((Producción_Agricola[[#This Row],[Mes Financiero]]=Tipo_Cambio[Mes])*(Producción_Agricola[[#This Row],[Año Financiero]]=Tipo_Cambio[Año])*(Tipo_Cambio[$/U$S]))</f>
        <v>0</v>
      </c>
      <c r="AL238" s="704">
        <f>SUMPRODUCT((Producción_Agricola[[#This Row],[Mes Financiero]]=Tipo_Cambio[Mes])*(Producción_Agricola[[#This Row],[Año Financiero]]=Tipo_Cambio[Año])*(Tipo_Cambio[Actualización]))</f>
        <v>0</v>
      </c>
      <c r="AM238" s="709">
        <f>IFERROR(Producción_Agricola[[#This Row],[Económico $Corrientes]]/Producción_Agricola[[#This Row],[Superficie]],0)</f>
        <v>0</v>
      </c>
      <c r="AN238" s="712">
        <f>IFERROR(Producción_Agricola[[#This Row],[Económico $Constantes]]/Producción_Agricola[[#This Row],[Superficie]],0)</f>
        <v>0</v>
      </c>
      <c r="AO238" s="712">
        <f>IFERROR(Producción_Agricola[[#This Row],[Económico U$S Dólares]]/Producción_Agricola[[#This Row],[Superficie]],0)</f>
        <v>0</v>
      </c>
      <c r="AP238" s="711">
        <f>IF(Económico!$F$4=0,0,Producción_Agricola[[#This Row],[Centro de Costo]])</f>
        <v>0</v>
      </c>
      <c r="AQ238" s="512"/>
      <c r="AR238" s="513"/>
      <c r="AS238"/>
    </row>
    <row r="239" spans="4:45" x14ac:dyDescent="0.25">
      <c r="D239" s="478"/>
      <c r="E239" s="478"/>
      <c r="F239" s="668">
        <f t="shared" si="50"/>
        <v>0</v>
      </c>
      <c r="G239" s="673">
        <f t="shared" si="51"/>
        <v>0</v>
      </c>
      <c r="H239" s="673">
        <f t="shared" si="52"/>
        <v>0</v>
      </c>
      <c r="I239" s="675">
        <f>IFERROR(INDEX(Tabla8[],MATCH(Producción_Agricola[[#This Row],[Unidad de Negocio]],Tabla8[Unidades de Negocio],0),2),0)</f>
        <v>0</v>
      </c>
      <c r="J23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39" s="488"/>
      <c r="L239" s="482"/>
      <c r="M239" s="483"/>
      <c r="N239" s="484"/>
      <c r="O239" s="690">
        <f>Producción_Agricola[[#This Row],[Superficie]]*Producción_Agricola[[#This Row],[Cantidad]]</f>
        <v>0</v>
      </c>
      <c r="P239" s="482"/>
      <c r="Q239" s="484"/>
      <c r="R239" s="485"/>
      <c r="S23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39" s="695">
        <f>IFERROR(Producción_Agricola[[#This Row],[Económico $Corrientes]]/Producción_Agricola[[#This Row],[Indexación Económico]],0)</f>
        <v>0</v>
      </c>
      <c r="U23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3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39" s="695">
        <f>IFERROR(Producción_Agricola[[#This Row],[Financiero $Corrientes]]/Producción_Agricola[[#This Row],[Indexación Financiero]],0)</f>
        <v>0</v>
      </c>
      <c r="X23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3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39" s="699">
        <f>IFERROR(Producción_Agricola[[#This Row],[Intereses $Corrientes]]/Producción_Agricola[[#This Row],[Indexación Financiero]],0)</f>
        <v>0</v>
      </c>
      <c r="AA23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39" s="701">
        <f>IFERROR(INDEX(Produccion_Agricola_Cuentas[],MATCH(Producción_Agricola[[#This Row],[Cuenta Contable]],Produccion_Agricola_Cuentas[Cuenta Contable],0),2),0)</f>
        <v>0</v>
      </c>
      <c r="AC239" s="702">
        <f>IFERROR(INDEX(Tabla9[],MATCH(Producción_Agricola[[#This Row],[Movimiento]],Tabla9[Movimientos],0),2),0)</f>
        <v>0</v>
      </c>
      <c r="AD239" s="703">
        <f>IFERROR(INDEX(Tabla9[],MATCH(Producción_Agricola[[#This Row],[Movimiento]],Tabla9[Movimientos],0),3),0)</f>
        <v>0</v>
      </c>
      <c r="AE239" s="698">
        <f>IF(Producción_Agricola[[#This Row],[Fecha Económico]]=0,0,MONTH(Producción_Agricola[[#This Row],[Fecha Económico]]))</f>
        <v>0</v>
      </c>
      <c r="AF239" s="699">
        <f>IF(Producción_Agricola[[#This Row],[Fecha Económico]]=0,0,YEAR(Producción_Agricola[[#This Row],[Fecha Económico]]))</f>
        <v>0</v>
      </c>
      <c r="AG239" s="704">
        <f>SUMPRODUCT((Producción_Agricola[[#This Row],[Mes Económico]]=Tipo_Cambio[Mes])*(Producción_Agricola[[#This Row],[Año Económico]]=Tipo_Cambio[Año])*(Tipo_Cambio[$/U$S]))</f>
        <v>0</v>
      </c>
      <c r="AH239" s="703">
        <f>SUMPRODUCT((Producción_Agricola[[#This Row],[Mes Económico]]=Tipo_Cambio[Mes])*(Producción_Agricola[[#This Row],[Año Económico]]=Tipo_Cambio[Año])*(Tipo_Cambio[Actualización]))</f>
        <v>0</v>
      </c>
      <c r="AI239" s="699">
        <f>IF(ISNUMBER(Producción_Agricola[[#This Row],[Fecha Financiero]])=TRUE,MONTH(Producción_Agricola[[#This Row],[Fecha Financiero]]),0)</f>
        <v>0</v>
      </c>
      <c r="AJ239" s="699">
        <f>IF(ISNUMBER(Producción_Agricola[[#This Row],[Fecha Financiero]])=TRUE,YEAR(Producción_Agricola[[#This Row],[Fecha Financiero]]),0)</f>
        <v>0</v>
      </c>
      <c r="AK239" s="704">
        <f>SUMPRODUCT((Producción_Agricola[[#This Row],[Mes Financiero]]=Tipo_Cambio[Mes])*(Producción_Agricola[[#This Row],[Año Financiero]]=Tipo_Cambio[Año])*(Tipo_Cambio[$/U$S]))</f>
        <v>0</v>
      </c>
      <c r="AL239" s="704">
        <f>SUMPRODUCT((Producción_Agricola[[#This Row],[Mes Financiero]]=Tipo_Cambio[Mes])*(Producción_Agricola[[#This Row],[Año Financiero]]=Tipo_Cambio[Año])*(Tipo_Cambio[Actualización]))</f>
        <v>0</v>
      </c>
      <c r="AM239" s="709">
        <f>IFERROR(Producción_Agricola[[#This Row],[Económico $Corrientes]]/Producción_Agricola[[#This Row],[Superficie]],0)</f>
        <v>0</v>
      </c>
      <c r="AN239" s="712">
        <f>IFERROR(Producción_Agricola[[#This Row],[Económico $Constantes]]/Producción_Agricola[[#This Row],[Superficie]],0)</f>
        <v>0</v>
      </c>
      <c r="AO239" s="712">
        <f>IFERROR(Producción_Agricola[[#This Row],[Económico U$S Dólares]]/Producción_Agricola[[#This Row],[Superficie]],0)</f>
        <v>0</v>
      </c>
      <c r="AP239" s="711">
        <f>IF(Económico!$F$4=0,0,Producción_Agricola[[#This Row],[Centro de Costo]])</f>
        <v>0</v>
      </c>
      <c r="AQ239" s="512"/>
      <c r="AR239" s="513"/>
      <c r="AS239"/>
    </row>
    <row r="240" spans="4:45" x14ac:dyDescent="0.25">
      <c r="D240" s="478"/>
      <c r="E240" s="478"/>
      <c r="F240" s="668">
        <f t="shared" si="50"/>
        <v>0</v>
      </c>
      <c r="G240" s="673">
        <f t="shared" si="51"/>
        <v>0</v>
      </c>
      <c r="H240" s="673">
        <f t="shared" si="52"/>
        <v>0</v>
      </c>
      <c r="I240" s="675">
        <f>IFERROR(INDEX(Tabla8[],MATCH(Producción_Agricola[[#This Row],[Unidad de Negocio]],Tabla8[Unidades de Negocio],0),2),0)</f>
        <v>0</v>
      </c>
      <c r="J24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40" s="488"/>
      <c r="L240" s="482"/>
      <c r="M240" s="483"/>
      <c r="N240" s="484"/>
      <c r="O240" s="690">
        <f>Producción_Agricola[[#This Row],[Superficie]]*Producción_Agricola[[#This Row],[Cantidad]]</f>
        <v>0</v>
      </c>
      <c r="P240" s="482"/>
      <c r="Q240" s="484"/>
      <c r="R240" s="485"/>
      <c r="S24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40" s="695">
        <f>IFERROR(Producción_Agricola[[#This Row],[Económico $Corrientes]]/Producción_Agricola[[#This Row],[Indexación Económico]],0)</f>
        <v>0</v>
      </c>
      <c r="U24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4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40" s="695">
        <f>IFERROR(Producción_Agricola[[#This Row],[Financiero $Corrientes]]/Producción_Agricola[[#This Row],[Indexación Financiero]],0)</f>
        <v>0</v>
      </c>
      <c r="X24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4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40" s="699">
        <f>IFERROR(Producción_Agricola[[#This Row],[Intereses $Corrientes]]/Producción_Agricola[[#This Row],[Indexación Financiero]],0)</f>
        <v>0</v>
      </c>
      <c r="AA24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40" s="701">
        <f>IFERROR(INDEX(Produccion_Agricola_Cuentas[],MATCH(Producción_Agricola[[#This Row],[Cuenta Contable]],Produccion_Agricola_Cuentas[Cuenta Contable],0),2),0)</f>
        <v>0</v>
      </c>
      <c r="AC240" s="702">
        <f>IFERROR(INDEX(Tabla9[],MATCH(Producción_Agricola[[#This Row],[Movimiento]],Tabla9[Movimientos],0),2),0)</f>
        <v>0</v>
      </c>
      <c r="AD240" s="703">
        <f>IFERROR(INDEX(Tabla9[],MATCH(Producción_Agricola[[#This Row],[Movimiento]],Tabla9[Movimientos],0),3),0)</f>
        <v>0</v>
      </c>
      <c r="AE240" s="698">
        <f>IF(Producción_Agricola[[#This Row],[Fecha Económico]]=0,0,MONTH(Producción_Agricola[[#This Row],[Fecha Económico]]))</f>
        <v>0</v>
      </c>
      <c r="AF240" s="699">
        <f>IF(Producción_Agricola[[#This Row],[Fecha Económico]]=0,0,YEAR(Producción_Agricola[[#This Row],[Fecha Económico]]))</f>
        <v>0</v>
      </c>
      <c r="AG240" s="704">
        <f>SUMPRODUCT((Producción_Agricola[[#This Row],[Mes Económico]]=Tipo_Cambio[Mes])*(Producción_Agricola[[#This Row],[Año Económico]]=Tipo_Cambio[Año])*(Tipo_Cambio[$/U$S]))</f>
        <v>0</v>
      </c>
      <c r="AH240" s="703">
        <f>SUMPRODUCT((Producción_Agricola[[#This Row],[Mes Económico]]=Tipo_Cambio[Mes])*(Producción_Agricola[[#This Row],[Año Económico]]=Tipo_Cambio[Año])*(Tipo_Cambio[Actualización]))</f>
        <v>0</v>
      </c>
      <c r="AI240" s="699">
        <f>IF(ISNUMBER(Producción_Agricola[[#This Row],[Fecha Financiero]])=TRUE,MONTH(Producción_Agricola[[#This Row],[Fecha Financiero]]),0)</f>
        <v>0</v>
      </c>
      <c r="AJ240" s="699">
        <f>IF(ISNUMBER(Producción_Agricola[[#This Row],[Fecha Financiero]])=TRUE,YEAR(Producción_Agricola[[#This Row],[Fecha Financiero]]),0)</f>
        <v>0</v>
      </c>
      <c r="AK240" s="704">
        <f>SUMPRODUCT((Producción_Agricola[[#This Row],[Mes Financiero]]=Tipo_Cambio[Mes])*(Producción_Agricola[[#This Row],[Año Financiero]]=Tipo_Cambio[Año])*(Tipo_Cambio[$/U$S]))</f>
        <v>0</v>
      </c>
      <c r="AL240" s="704">
        <f>SUMPRODUCT((Producción_Agricola[[#This Row],[Mes Financiero]]=Tipo_Cambio[Mes])*(Producción_Agricola[[#This Row],[Año Financiero]]=Tipo_Cambio[Año])*(Tipo_Cambio[Actualización]))</f>
        <v>0</v>
      </c>
      <c r="AM240" s="709">
        <f>IFERROR(Producción_Agricola[[#This Row],[Económico $Corrientes]]/Producción_Agricola[[#This Row],[Superficie]],0)</f>
        <v>0</v>
      </c>
      <c r="AN240" s="712">
        <f>IFERROR(Producción_Agricola[[#This Row],[Económico $Constantes]]/Producción_Agricola[[#This Row],[Superficie]],0)</f>
        <v>0</v>
      </c>
      <c r="AO240" s="712">
        <f>IFERROR(Producción_Agricola[[#This Row],[Económico U$S Dólares]]/Producción_Agricola[[#This Row],[Superficie]],0)</f>
        <v>0</v>
      </c>
      <c r="AP240" s="711">
        <f>IF(Económico!$F$4=0,0,Producción_Agricola[[#This Row],[Centro de Costo]])</f>
        <v>0</v>
      </c>
      <c r="AQ240" s="512"/>
      <c r="AR240" s="513"/>
      <c r="AS240"/>
    </row>
    <row r="241" spans="4:45" x14ac:dyDescent="0.25">
      <c r="D241" s="478"/>
      <c r="E241" s="478"/>
      <c r="F241" s="668">
        <f t="shared" si="50"/>
        <v>0</v>
      </c>
      <c r="G241" s="673">
        <f t="shared" si="51"/>
        <v>0</v>
      </c>
      <c r="H241" s="673">
        <f t="shared" si="52"/>
        <v>0</v>
      </c>
      <c r="I241" s="675">
        <f>IFERROR(INDEX(Tabla8[],MATCH(Producción_Agricola[[#This Row],[Unidad de Negocio]],Tabla8[Unidades de Negocio],0),2),0)</f>
        <v>0</v>
      </c>
      <c r="J24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41" s="488"/>
      <c r="L241" s="482"/>
      <c r="M241" s="483"/>
      <c r="N241" s="484"/>
      <c r="O241" s="690">
        <f>Producción_Agricola[[#This Row],[Superficie]]*Producción_Agricola[[#This Row],[Cantidad]]</f>
        <v>0</v>
      </c>
      <c r="P241" s="482"/>
      <c r="Q241" s="484"/>
      <c r="R241" s="485"/>
      <c r="S24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41" s="695">
        <f>IFERROR(Producción_Agricola[[#This Row],[Económico $Corrientes]]/Producción_Agricola[[#This Row],[Indexación Económico]],0)</f>
        <v>0</v>
      </c>
      <c r="U24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4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41" s="695">
        <f>IFERROR(Producción_Agricola[[#This Row],[Financiero $Corrientes]]/Producción_Agricola[[#This Row],[Indexación Financiero]],0)</f>
        <v>0</v>
      </c>
      <c r="X24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4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41" s="699">
        <f>IFERROR(Producción_Agricola[[#This Row],[Intereses $Corrientes]]/Producción_Agricola[[#This Row],[Indexación Financiero]],0)</f>
        <v>0</v>
      </c>
      <c r="AA24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41" s="701">
        <f>IFERROR(INDEX(Produccion_Agricola_Cuentas[],MATCH(Producción_Agricola[[#This Row],[Cuenta Contable]],Produccion_Agricola_Cuentas[Cuenta Contable],0),2),0)</f>
        <v>0</v>
      </c>
      <c r="AC241" s="702">
        <f>IFERROR(INDEX(Tabla9[],MATCH(Producción_Agricola[[#This Row],[Movimiento]],Tabla9[Movimientos],0),2),0)</f>
        <v>0</v>
      </c>
      <c r="AD241" s="703">
        <f>IFERROR(INDEX(Tabla9[],MATCH(Producción_Agricola[[#This Row],[Movimiento]],Tabla9[Movimientos],0),3),0)</f>
        <v>0</v>
      </c>
      <c r="AE241" s="698">
        <f>IF(Producción_Agricola[[#This Row],[Fecha Económico]]=0,0,MONTH(Producción_Agricola[[#This Row],[Fecha Económico]]))</f>
        <v>0</v>
      </c>
      <c r="AF241" s="699">
        <f>IF(Producción_Agricola[[#This Row],[Fecha Económico]]=0,0,YEAR(Producción_Agricola[[#This Row],[Fecha Económico]]))</f>
        <v>0</v>
      </c>
      <c r="AG241" s="704">
        <f>SUMPRODUCT((Producción_Agricola[[#This Row],[Mes Económico]]=Tipo_Cambio[Mes])*(Producción_Agricola[[#This Row],[Año Económico]]=Tipo_Cambio[Año])*(Tipo_Cambio[$/U$S]))</f>
        <v>0</v>
      </c>
      <c r="AH241" s="703">
        <f>SUMPRODUCT((Producción_Agricola[[#This Row],[Mes Económico]]=Tipo_Cambio[Mes])*(Producción_Agricola[[#This Row],[Año Económico]]=Tipo_Cambio[Año])*(Tipo_Cambio[Actualización]))</f>
        <v>0</v>
      </c>
      <c r="AI241" s="699">
        <f>IF(ISNUMBER(Producción_Agricola[[#This Row],[Fecha Financiero]])=TRUE,MONTH(Producción_Agricola[[#This Row],[Fecha Financiero]]),0)</f>
        <v>0</v>
      </c>
      <c r="AJ241" s="699">
        <f>IF(ISNUMBER(Producción_Agricola[[#This Row],[Fecha Financiero]])=TRUE,YEAR(Producción_Agricola[[#This Row],[Fecha Financiero]]),0)</f>
        <v>0</v>
      </c>
      <c r="AK241" s="704">
        <f>SUMPRODUCT((Producción_Agricola[[#This Row],[Mes Financiero]]=Tipo_Cambio[Mes])*(Producción_Agricola[[#This Row],[Año Financiero]]=Tipo_Cambio[Año])*(Tipo_Cambio[$/U$S]))</f>
        <v>0</v>
      </c>
      <c r="AL241" s="704">
        <f>SUMPRODUCT((Producción_Agricola[[#This Row],[Mes Financiero]]=Tipo_Cambio[Mes])*(Producción_Agricola[[#This Row],[Año Financiero]]=Tipo_Cambio[Año])*(Tipo_Cambio[Actualización]))</f>
        <v>0</v>
      </c>
      <c r="AM241" s="709">
        <f>IFERROR(Producción_Agricola[[#This Row],[Económico $Corrientes]]/Producción_Agricola[[#This Row],[Superficie]],0)</f>
        <v>0</v>
      </c>
      <c r="AN241" s="712">
        <f>IFERROR(Producción_Agricola[[#This Row],[Económico $Constantes]]/Producción_Agricola[[#This Row],[Superficie]],0)</f>
        <v>0</v>
      </c>
      <c r="AO241" s="712">
        <f>IFERROR(Producción_Agricola[[#This Row],[Económico U$S Dólares]]/Producción_Agricola[[#This Row],[Superficie]],0)</f>
        <v>0</v>
      </c>
      <c r="AP241" s="711">
        <f>IF(Económico!$F$4=0,0,Producción_Agricola[[#This Row],[Centro de Costo]])</f>
        <v>0</v>
      </c>
      <c r="AQ241" s="512"/>
      <c r="AR241" s="513"/>
      <c r="AS241"/>
    </row>
    <row r="242" spans="4:45" x14ac:dyDescent="0.25">
      <c r="D242" s="478"/>
      <c r="E242" s="478"/>
      <c r="F242" s="668">
        <f t="shared" si="50"/>
        <v>0</v>
      </c>
      <c r="G242" s="673">
        <f t="shared" si="51"/>
        <v>0</v>
      </c>
      <c r="H242" s="673">
        <f t="shared" si="52"/>
        <v>0</v>
      </c>
      <c r="I242" s="675">
        <f>IFERROR(INDEX(Tabla8[],MATCH(Producción_Agricola[[#This Row],[Unidad de Negocio]],Tabla8[Unidades de Negocio],0),2),0)</f>
        <v>0</v>
      </c>
      <c r="J24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42" s="488"/>
      <c r="L242" s="482"/>
      <c r="M242" s="483"/>
      <c r="N242" s="484"/>
      <c r="O242" s="690">
        <f>Producción_Agricola[[#This Row],[Superficie]]*Producción_Agricola[[#This Row],[Cantidad]]</f>
        <v>0</v>
      </c>
      <c r="P242" s="482"/>
      <c r="Q242" s="484"/>
      <c r="R242" s="485"/>
      <c r="S24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42" s="695">
        <f>IFERROR(Producción_Agricola[[#This Row],[Económico $Corrientes]]/Producción_Agricola[[#This Row],[Indexación Económico]],0)</f>
        <v>0</v>
      </c>
      <c r="U24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4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42" s="695">
        <f>IFERROR(Producción_Agricola[[#This Row],[Financiero $Corrientes]]/Producción_Agricola[[#This Row],[Indexación Financiero]],0)</f>
        <v>0</v>
      </c>
      <c r="X24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4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42" s="699">
        <f>IFERROR(Producción_Agricola[[#This Row],[Intereses $Corrientes]]/Producción_Agricola[[#This Row],[Indexación Financiero]],0)</f>
        <v>0</v>
      </c>
      <c r="AA24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42" s="701">
        <f>IFERROR(INDEX(Produccion_Agricola_Cuentas[],MATCH(Producción_Agricola[[#This Row],[Cuenta Contable]],Produccion_Agricola_Cuentas[Cuenta Contable],0),2),0)</f>
        <v>0</v>
      </c>
      <c r="AC242" s="702">
        <f>IFERROR(INDEX(Tabla9[],MATCH(Producción_Agricola[[#This Row],[Movimiento]],Tabla9[Movimientos],0),2),0)</f>
        <v>0</v>
      </c>
      <c r="AD242" s="703">
        <f>IFERROR(INDEX(Tabla9[],MATCH(Producción_Agricola[[#This Row],[Movimiento]],Tabla9[Movimientos],0),3),0)</f>
        <v>0</v>
      </c>
      <c r="AE242" s="698">
        <f>IF(Producción_Agricola[[#This Row],[Fecha Económico]]=0,0,MONTH(Producción_Agricola[[#This Row],[Fecha Económico]]))</f>
        <v>0</v>
      </c>
      <c r="AF242" s="699">
        <f>IF(Producción_Agricola[[#This Row],[Fecha Económico]]=0,0,YEAR(Producción_Agricola[[#This Row],[Fecha Económico]]))</f>
        <v>0</v>
      </c>
      <c r="AG242" s="704">
        <f>SUMPRODUCT((Producción_Agricola[[#This Row],[Mes Económico]]=Tipo_Cambio[Mes])*(Producción_Agricola[[#This Row],[Año Económico]]=Tipo_Cambio[Año])*(Tipo_Cambio[$/U$S]))</f>
        <v>0</v>
      </c>
      <c r="AH242" s="703">
        <f>SUMPRODUCT((Producción_Agricola[[#This Row],[Mes Económico]]=Tipo_Cambio[Mes])*(Producción_Agricola[[#This Row],[Año Económico]]=Tipo_Cambio[Año])*(Tipo_Cambio[Actualización]))</f>
        <v>0</v>
      </c>
      <c r="AI242" s="699">
        <f>IF(ISNUMBER(Producción_Agricola[[#This Row],[Fecha Financiero]])=TRUE,MONTH(Producción_Agricola[[#This Row],[Fecha Financiero]]),0)</f>
        <v>0</v>
      </c>
      <c r="AJ242" s="699">
        <f>IF(ISNUMBER(Producción_Agricola[[#This Row],[Fecha Financiero]])=TRUE,YEAR(Producción_Agricola[[#This Row],[Fecha Financiero]]),0)</f>
        <v>0</v>
      </c>
      <c r="AK242" s="704">
        <f>SUMPRODUCT((Producción_Agricola[[#This Row],[Mes Financiero]]=Tipo_Cambio[Mes])*(Producción_Agricola[[#This Row],[Año Financiero]]=Tipo_Cambio[Año])*(Tipo_Cambio[$/U$S]))</f>
        <v>0</v>
      </c>
      <c r="AL242" s="704">
        <f>SUMPRODUCT((Producción_Agricola[[#This Row],[Mes Financiero]]=Tipo_Cambio[Mes])*(Producción_Agricola[[#This Row],[Año Financiero]]=Tipo_Cambio[Año])*(Tipo_Cambio[Actualización]))</f>
        <v>0</v>
      </c>
      <c r="AM242" s="709">
        <f>IFERROR(Producción_Agricola[[#This Row],[Económico $Corrientes]]/Producción_Agricola[[#This Row],[Superficie]],0)</f>
        <v>0</v>
      </c>
      <c r="AN242" s="712">
        <f>IFERROR(Producción_Agricola[[#This Row],[Económico $Constantes]]/Producción_Agricola[[#This Row],[Superficie]],0)</f>
        <v>0</v>
      </c>
      <c r="AO242" s="712">
        <f>IFERROR(Producción_Agricola[[#This Row],[Económico U$S Dólares]]/Producción_Agricola[[#This Row],[Superficie]],0)</f>
        <v>0</v>
      </c>
      <c r="AP242" s="711">
        <f>IF(Económico!$F$4=0,0,Producción_Agricola[[#This Row],[Centro de Costo]])</f>
        <v>0</v>
      </c>
      <c r="AQ242" s="512"/>
      <c r="AR242" s="513"/>
      <c r="AS242"/>
    </row>
    <row r="243" spans="4:45" x14ac:dyDescent="0.25">
      <c r="D243" s="478"/>
      <c r="E243" s="478"/>
      <c r="F243" s="668">
        <f t="shared" si="50"/>
        <v>0</v>
      </c>
      <c r="G243" s="673">
        <f t="shared" si="51"/>
        <v>0</v>
      </c>
      <c r="H243" s="673">
        <f t="shared" si="52"/>
        <v>0</v>
      </c>
      <c r="I243" s="675">
        <f>IFERROR(INDEX(Tabla8[],MATCH(Producción_Agricola[[#This Row],[Unidad de Negocio]],Tabla8[Unidades de Negocio],0),2),0)</f>
        <v>0</v>
      </c>
      <c r="J24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43" s="488"/>
      <c r="L243" s="482"/>
      <c r="M243" s="483"/>
      <c r="N243" s="484"/>
      <c r="O243" s="690">
        <f>Producción_Agricola[[#This Row],[Superficie]]*Producción_Agricola[[#This Row],[Cantidad]]</f>
        <v>0</v>
      </c>
      <c r="P243" s="482"/>
      <c r="Q243" s="484"/>
      <c r="R243" s="485"/>
      <c r="S24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43" s="695">
        <f>IFERROR(Producción_Agricola[[#This Row],[Económico $Corrientes]]/Producción_Agricola[[#This Row],[Indexación Económico]],0)</f>
        <v>0</v>
      </c>
      <c r="U24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4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43" s="695">
        <f>IFERROR(Producción_Agricola[[#This Row],[Financiero $Corrientes]]/Producción_Agricola[[#This Row],[Indexación Financiero]],0)</f>
        <v>0</v>
      </c>
      <c r="X24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4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43" s="699">
        <f>IFERROR(Producción_Agricola[[#This Row],[Intereses $Corrientes]]/Producción_Agricola[[#This Row],[Indexación Financiero]],0)</f>
        <v>0</v>
      </c>
      <c r="AA24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43" s="701">
        <f>IFERROR(INDEX(Produccion_Agricola_Cuentas[],MATCH(Producción_Agricola[[#This Row],[Cuenta Contable]],Produccion_Agricola_Cuentas[Cuenta Contable],0),2),0)</f>
        <v>0</v>
      </c>
      <c r="AC243" s="702">
        <f>IFERROR(INDEX(Tabla9[],MATCH(Producción_Agricola[[#This Row],[Movimiento]],Tabla9[Movimientos],0),2),0)</f>
        <v>0</v>
      </c>
      <c r="AD243" s="703">
        <f>IFERROR(INDEX(Tabla9[],MATCH(Producción_Agricola[[#This Row],[Movimiento]],Tabla9[Movimientos],0),3),0)</f>
        <v>0</v>
      </c>
      <c r="AE243" s="698">
        <f>IF(Producción_Agricola[[#This Row],[Fecha Económico]]=0,0,MONTH(Producción_Agricola[[#This Row],[Fecha Económico]]))</f>
        <v>0</v>
      </c>
      <c r="AF243" s="699">
        <f>IF(Producción_Agricola[[#This Row],[Fecha Económico]]=0,0,YEAR(Producción_Agricola[[#This Row],[Fecha Económico]]))</f>
        <v>0</v>
      </c>
      <c r="AG243" s="704">
        <f>SUMPRODUCT((Producción_Agricola[[#This Row],[Mes Económico]]=Tipo_Cambio[Mes])*(Producción_Agricola[[#This Row],[Año Económico]]=Tipo_Cambio[Año])*(Tipo_Cambio[$/U$S]))</f>
        <v>0</v>
      </c>
      <c r="AH243" s="703">
        <f>SUMPRODUCT((Producción_Agricola[[#This Row],[Mes Económico]]=Tipo_Cambio[Mes])*(Producción_Agricola[[#This Row],[Año Económico]]=Tipo_Cambio[Año])*(Tipo_Cambio[Actualización]))</f>
        <v>0</v>
      </c>
      <c r="AI243" s="699">
        <f>IF(ISNUMBER(Producción_Agricola[[#This Row],[Fecha Financiero]])=TRUE,MONTH(Producción_Agricola[[#This Row],[Fecha Financiero]]),0)</f>
        <v>0</v>
      </c>
      <c r="AJ243" s="699">
        <f>IF(ISNUMBER(Producción_Agricola[[#This Row],[Fecha Financiero]])=TRUE,YEAR(Producción_Agricola[[#This Row],[Fecha Financiero]]),0)</f>
        <v>0</v>
      </c>
      <c r="AK243" s="704">
        <f>SUMPRODUCT((Producción_Agricola[[#This Row],[Mes Financiero]]=Tipo_Cambio[Mes])*(Producción_Agricola[[#This Row],[Año Financiero]]=Tipo_Cambio[Año])*(Tipo_Cambio[$/U$S]))</f>
        <v>0</v>
      </c>
      <c r="AL243" s="704">
        <f>SUMPRODUCT((Producción_Agricola[[#This Row],[Mes Financiero]]=Tipo_Cambio[Mes])*(Producción_Agricola[[#This Row],[Año Financiero]]=Tipo_Cambio[Año])*(Tipo_Cambio[Actualización]))</f>
        <v>0</v>
      </c>
      <c r="AM243" s="709">
        <f>IFERROR(Producción_Agricola[[#This Row],[Económico $Corrientes]]/Producción_Agricola[[#This Row],[Superficie]],0)</f>
        <v>0</v>
      </c>
      <c r="AN243" s="712">
        <f>IFERROR(Producción_Agricola[[#This Row],[Económico $Constantes]]/Producción_Agricola[[#This Row],[Superficie]],0)</f>
        <v>0</v>
      </c>
      <c r="AO243" s="712">
        <f>IFERROR(Producción_Agricola[[#This Row],[Económico U$S Dólares]]/Producción_Agricola[[#This Row],[Superficie]],0)</f>
        <v>0</v>
      </c>
      <c r="AP243" s="711">
        <f>IF(Económico!$F$4=0,0,Producción_Agricola[[#This Row],[Centro de Costo]])</f>
        <v>0</v>
      </c>
      <c r="AQ243" s="512"/>
      <c r="AR243" s="513"/>
      <c r="AS243"/>
    </row>
    <row r="244" spans="4:45" x14ac:dyDescent="0.25">
      <c r="D244" s="478"/>
      <c r="E244" s="478"/>
      <c r="F244" s="668">
        <f t="shared" si="50"/>
        <v>0</v>
      </c>
      <c r="G244" s="673">
        <f t="shared" si="51"/>
        <v>0</v>
      </c>
      <c r="H244" s="673">
        <f t="shared" si="52"/>
        <v>0</v>
      </c>
      <c r="I244" s="675">
        <f>IFERROR(INDEX(Tabla8[],MATCH(Producción_Agricola[[#This Row],[Unidad de Negocio]],Tabla8[Unidades de Negocio],0),2),0)</f>
        <v>0</v>
      </c>
      <c r="J24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44" s="488"/>
      <c r="L244" s="482"/>
      <c r="M244" s="483"/>
      <c r="N244" s="484"/>
      <c r="O244" s="690">
        <f>Producción_Agricola[[#This Row],[Superficie]]*Producción_Agricola[[#This Row],[Cantidad]]</f>
        <v>0</v>
      </c>
      <c r="P244" s="482"/>
      <c r="Q244" s="484"/>
      <c r="R244" s="485"/>
      <c r="S24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44" s="695">
        <f>IFERROR(Producción_Agricola[[#This Row],[Económico $Corrientes]]/Producción_Agricola[[#This Row],[Indexación Económico]],0)</f>
        <v>0</v>
      </c>
      <c r="U24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4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44" s="695">
        <f>IFERROR(Producción_Agricola[[#This Row],[Financiero $Corrientes]]/Producción_Agricola[[#This Row],[Indexación Financiero]],0)</f>
        <v>0</v>
      </c>
      <c r="X24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4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44" s="699">
        <f>IFERROR(Producción_Agricola[[#This Row],[Intereses $Corrientes]]/Producción_Agricola[[#This Row],[Indexación Financiero]],0)</f>
        <v>0</v>
      </c>
      <c r="AA24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44" s="701">
        <f>IFERROR(INDEX(Produccion_Agricola_Cuentas[],MATCH(Producción_Agricola[[#This Row],[Cuenta Contable]],Produccion_Agricola_Cuentas[Cuenta Contable],0),2),0)</f>
        <v>0</v>
      </c>
      <c r="AC244" s="702">
        <f>IFERROR(INDEX(Tabla9[],MATCH(Producción_Agricola[[#This Row],[Movimiento]],Tabla9[Movimientos],0),2),0)</f>
        <v>0</v>
      </c>
      <c r="AD244" s="703">
        <f>IFERROR(INDEX(Tabla9[],MATCH(Producción_Agricola[[#This Row],[Movimiento]],Tabla9[Movimientos],0),3),0)</f>
        <v>0</v>
      </c>
      <c r="AE244" s="698">
        <f>IF(Producción_Agricola[[#This Row],[Fecha Económico]]=0,0,MONTH(Producción_Agricola[[#This Row],[Fecha Económico]]))</f>
        <v>0</v>
      </c>
      <c r="AF244" s="699">
        <f>IF(Producción_Agricola[[#This Row],[Fecha Económico]]=0,0,YEAR(Producción_Agricola[[#This Row],[Fecha Económico]]))</f>
        <v>0</v>
      </c>
      <c r="AG244" s="704">
        <f>SUMPRODUCT((Producción_Agricola[[#This Row],[Mes Económico]]=Tipo_Cambio[Mes])*(Producción_Agricola[[#This Row],[Año Económico]]=Tipo_Cambio[Año])*(Tipo_Cambio[$/U$S]))</f>
        <v>0</v>
      </c>
      <c r="AH244" s="703">
        <f>SUMPRODUCT((Producción_Agricola[[#This Row],[Mes Económico]]=Tipo_Cambio[Mes])*(Producción_Agricola[[#This Row],[Año Económico]]=Tipo_Cambio[Año])*(Tipo_Cambio[Actualización]))</f>
        <v>0</v>
      </c>
      <c r="AI244" s="699">
        <f>IF(ISNUMBER(Producción_Agricola[[#This Row],[Fecha Financiero]])=TRUE,MONTH(Producción_Agricola[[#This Row],[Fecha Financiero]]),0)</f>
        <v>0</v>
      </c>
      <c r="AJ244" s="699">
        <f>IF(ISNUMBER(Producción_Agricola[[#This Row],[Fecha Financiero]])=TRUE,YEAR(Producción_Agricola[[#This Row],[Fecha Financiero]]),0)</f>
        <v>0</v>
      </c>
      <c r="AK244" s="704">
        <f>SUMPRODUCT((Producción_Agricola[[#This Row],[Mes Financiero]]=Tipo_Cambio[Mes])*(Producción_Agricola[[#This Row],[Año Financiero]]=Tipo_Cambio[Año])*(Tipo_Cambio[$/U$S]))</f>
        <v>0</v>
      </c>
      <c r="AL244" s="704">
        <f>SUMPRODUCT((Producción_Agricola[[#This Row],[Mes Financiero]]=Tipo_Cambio[Mes])*(Producción_Agricola[[#This Row],[Año Financiero]]=Tipo_Cambio[Año])*(Tipo_Cambio[Actualización]))</f>
        <v>0</v>
      </c>
      <c r="AM244" s="709">
        <f>IFERROR(Producción_Agricola[[#This Row],[Económico $Corrientes]]/Producción_Agricola[[#This Row],[Superficie]],0)</f>
        <v>0</v>
      </c>
      <c r="AN244" s="712">
        <f>IFERROR(Producción_Agricola[[#This Row],[Económico $Constantes]]/Producción_Agricola[[#This Row],[Superficie]],0)</f>
        <v>0</v>
      </c>
      <c r="AO244" s="712">
        <f>IFERROR(Producción_Agricola[[#This Row],[Económico U$S Dólares]]/Producción_Agricola[[#This Row],[Superficie]],0)</f>
        <v>0</v>
      </c>
      <c r="AP244" s="711">
        <f>IF(Económico!$F$4=0,0,Producción_Agricola[[#This Row],[Centro de Costo]])</f>
        <v>0</v>
      </c>
      <c r="AQ244" s="512"/>
      <c r="AR244" s="513"/>
      <c r="AS244"/>
    </row>
    <row r="245" spans="4:45" x14ac:dyDescent="0.25">
      <c r="D245" s="478"/>
      <c r="E245" s="478"/>
      <c r="F245" s="668">
        <f t="shared" si="50"/>
        <v>0</v>
      </c>
      <c r="G245" s="673">
        <f t="shared" si="51"/>
        <v>0</v>
      </c>
      <c r="H245" s="673">
        <f t="shared" si="52"/>
        <v>0</v>
      </c>
      <c r="I245" s="675">
        <f>IFERROR(INDEX(Tabla8[],MATCH(Producción_Agricola[[#This Row],[Unidad de Negocio]],Tabla8[Unidades de Negocio],0),2),0)</f>
        <v>0</v>
      </c>
      <c r="J24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45" s="488"/>
      <c r="L245" s="482"/>
      <c r="M245" s="483"/>
      <c r="N245" s="484"/>
      <c r="O245" s="690">
        <f>Producción_Agricola[[#This Row],[Superficie]]*Producción_Agricola[[#This Row],[Cantidad]]</f>
        <v>0</v>
      </c>
      <c r="P245" s="482"/>
      <c r="Q245" s="484"/>
      <c r="R245" s="485"/>
      <c r="S24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45" s="695">
        <f>IFERROR(Producción_Agricola[[#This Row],[Económico $Corrientes]]/Producción_Agricola[[#This Row],[Indexación Económico]],0)</f>
        <v>0</v>
      </c>
      <c r="U24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4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45" s="695">
        <f>IFERROR(Producción_Agricola[[#This Row],[Financiero $Corrientes]]/Producción_Agricola[[#This Row],[Indexación Financiero]],0)</f>
        <v>0</v>
      </c>
      <c r="X24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4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45" s="699">
        <f>IFERROR(Producción_Agricola[[#This Row],[Intereses $Corrientes]]/Producción_Agricola[[#This Row],[Indexación Financiero]],0)</f>
        <v>0</v>
      </c>
      <c r="AA24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45" s="701">
        <f>IFERROR(INDEX(Produccion_Agricola_Cuentas[],MATCH(Producción_Agricola[[#This Row],[Cuenta Contable]],Produccion_Agricola_Cuentas[Cuenta Contable],0),2),0)</f>
        <v>0</v>
      </c>
      <c r="AC245" s="702">
        <f>IFERROR(INDEX(Tabla9[],MATCH(Producción_Agricola[[#This Row],[Movimiento]],Tabla9[Movimientos],0),2),0)</f>
        <v>0</v>
      </c>
      <c r="AD245" s="703">
        <f>IFERROR(INDEX(Tabla9[],MATCH(Producción_Agricola[[#This Row],[Movimiento]],Tabla9[Movimientos],0),3),0)</f>
        <v>0</v>
      </c>
      <c r="AE245" s="698">
        <f>IF(Producción_Agricola[[#This Row],[Fecha Económico]]=0,0,MONTH(Producción_Agricola[[#This Row],[Fecha Económico]]))</f>
        <v>0</v>
      </c>
      <c r="AF245" s="699">
        <f>IF(Producción_Agricola[[#This Row],[Fecha Económico]]=0,0,YEAR(Producción_Agricola[[#This Row],[Fecha Económico]]))</f>
        <v>0</v>
      </c>
      <c r="AG245" s="704">
        <f>SUMPRODUCT((Producción_Agricola[[#This Row],[Mes Económico]]=Tipo_Cambio[Mes])*(Producción_Agricola[[#This Row],[Año Económico]]=Tipo_Cambio[Año])*(Tipo_Cambio[$/U$S]))</f>
        <v>0</v>
      </c>
      <c r="AH245" s="703">
        <f>SUMPRODUCT((Producción_Agricola[[#This Row],[Mes Económico]]=Tipo_Cambio[Mes])*(Producción_Agricola[[#This Row],[Año Económico]]=Tipo_Cambio[Año])*(Tipo_Cambio[Actualización]))</f>
        <v>0</v>
      </c>
      <c r="AI245" s="699">
        <f>IF(ISNUMBER(Producción_Agricola[[#This Row],[Fecha Financiero]])=TRUE,MONTH(Producción_Agricola[[#This Row],[Fecha Financiero]]),0)</f>
        <v>0</v>
      </c>
      <c r="AJ245" s="699">
        <f>IF(ISNUMBER(Producción_Agricola[[#This Row],[Fecha Financiero]])=TRUE,YEAR(Producción_Agricola[[#This Row],[Fecha Financiero]]),0)</f>
        <v>0</v>
      </c>
      <c r="AK245" s="704">
        <f>SUMPRODUCT((Producción_Agricola[[#This Row],[Mes Financiero]]=Tipo_Cambio[Mes])*(Producción_Agricola[[#This Row],[Año Financiero]]=Tipo_Cambio[Año])*(Tipo_Cambio[$/U$S]))</f>
        <v>0</v>
      </c>
      <c r="AL245" s="704">
        <f>SUMPRODUCT((Producción_Agricola[[#This Row],[Mes Financiero]]=Tipo_Cambio[Mes])*(Producción_Agricola[[#This Row],[Año Financiero]]=Tipo_Cambio[Año])*(Tipo_Cambio[Actualización]))</f>
        <v>0</v>
      </c>
      <c r="AM245" s="709">
        <f>IFERROR(Producción_Agricola[[#This Row],[Económico $Corrientes]]/Producción_Agricola[[#This Row],[Superficie]],0)</f>
        <v>0</v>
      </c>
      <c r="AN245" s="712">
        <f>IFERROR(Producción_Agricola[[#This Row],[Económico $Constantes]]/Producción_Agricola[[#This Row],[Superficie]],0)</f>
        <v>0</v>
      </c>
      <c r="AO245" s="712">
        <f>IFERROR(Producción_Agricola[[#This Row],[Económico U$S Dólares]]/Producción_Agricola[[#This Row],[Superficie]],0)</f>
        <v>0</v>
      </c>
      <c r="AP245" s="711">
        <f>IF(Económico!$F$4=0,0,Producción_Agricola[[#This Row],[Centro de Costo]])</f>
        <v>0</v>
      </c>
      <c r="AQ245" s="512"/>
      <c r="AR245" s="513"/>
      <c r="AS245"/>
    </row>
    <row r="246" spans="4:45" x14ac:dyDescent="0.25">
      <c r="D246" s="478"/>
      <c r="E246" s="478"/>
      <c r="F246" s="668">
        <f t="shared" si="50"/>
        <v>0</v>
      </c>
      <c r="G246" s="673">
        <f t="shared" si="51"/>
        <v>0</v>
      </c>
      <c r="H246" s="673">
        <f t="shared" si="52"/>
        <v>0</v>
      </c>
      <c r="I246" s="675">
        <f>IFERROR(INDEX(Tabla8[],MATCH(Producción_Agricola[[#This Row],[Unidad de Negocio]],Tabla8[Unidades de Negocio],0),2),0)</f>
        <v>0</v>
      </c>
      <c r="J24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46" s="488"/>
      <c r="L246" s="482"/>
      <c r="M246" s="483"/>
      <c r="N246" s="484"/>
      <c r="O246" s="690">
        <f>Producción_Agricola[[#This Row],[Superficie]]*Producción_Agricola[[#This Row],[Cantidad]]</f>
        <v>0</v>
      </c>
      <c r="P246" s="482"/>
      <c r="Q246" s="484"/>
      <c r="R246" s="485"/>
      <c r="S24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46" s="695">
        <f>IFERROR(Producción_Agricola[[#This Row],[Económico $Corrientes]]/Producción_Agricola[[#This Row],[Indexación Económico]],0)</f>
        <v>0</v>
      </c>
      <c r="U24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4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46" s="695">
        <f>IFERROR(Producción_Agricola[[#This Row],[Financiero $Corrientes]]/Producción_Agricola[[#This Row],[Indexación Financiero]],0)</f>
        <v>0</v>
      </c>
      <c r="X24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4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46" s="699">
        <f>IFERROR(Producción_Agricola[[#This Row],[Intereses $Corrientes]]/Producción_Agricola[[#This Row],[Indexación Financiero]],0)</f>
        <v>0</v>
      </c>
      <c r="AA24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46" s="701">
        <f>IFERROR(INDEX(Produccion_Agricola_Cuentas[],MATCH(Producción_Agricola[[#This Row],[Cuenta Contable]],Produccion_Agricola_Cuentas[Cuenta Contable],0),2),0)</f>
        <v>0</v>
      </c>
      <c r="AC246" s="702">
        <f>IFERROR(INDEX(Tabla9[],MATCH(Producción_Agricola[[#This Row],[Movimiento]],Tabla9[Movimientos],0),2),0)</f>
        <v>0</v>
      </c>
      <c r="AD246" s="703">
        <f>IFERROR(INDEX(Tabla9[],MATCH(Producción_Agricola[[#This Row],[Movimiento]],Tabla9[Movimientos],0),3),0)</f>
        <v>0</v>
      </c>
      <c r="AE246" s="698">
        <f>IF(Producción_Agricola[[#This Row],[Fecha Económico]]=0,0,MONTH(Producción_Agricola[[#This Row],[Fecha Económico]]))</f>
        <v>0</v>
      </c>
      <c r="AF246" s="699">
        <f>IF(Producción_Agricola[[#This Row],[Fecha Económico]]=0,0,YEAR(Producción_Agricola[[#This Row],[Fecha Económico]]))</f>
        <v>0</v>
      </c>
      <c r="AG246" s="704">
        <f>SUMPRODUCT((Producción_Agricola[[#This Row],[Mes Económico]]=Tipo_Cambio[Mes])*(Producción_Agricola[[#This Row],[Año Económico]]=Tipo_Cambio[Año])*(Tipo_Cambio[$/U$S]))</f>
        <v>0</v>
      </c>
      <c r="AH246" s="703">
        <f>SUMPRODUCT((Producción_Agricola[[#This Row],[Mes Económico]]=Tipo_Cambio[Mes])*(Producción_Agricola[[#This Row],[Año Económico]]=Tipo_Cambio[Año])*(Tipo_Cambio[Actualización]))</f>
        <v>0</v>
      </c>
      <c r="AI246" s="699">
        <f>IF(ISNUMBER(Producción_Agricola[[#This Row],[Fecha Financiero]])=TRUE,MONTH(Producción_Agricola[[#This Row],[Fecha Financiero]]),0)</f>
        <v>0</v>
      </c>
      <c r="AJ246" s="699">
        <f>IF(ISNUMBER(Producción_Agricola[[#This Row],[Fecha Financiero]])=TRUE,YEAR(Producción_Agricola[[#This Row],[Fecha Financiero]]),0)</f>
        <v>0</v>
      </c>
      <c r="AK246" s="704">
        <f>SUMPRODUCT((Producción_Agricola[[#This Row],[Mes Financiero]]=Tipo_Cambio[Mes])*(Producción_Agricola[[#This Row],[Año Financiero]]=Tipo_Cambio[Año])*(Tipo_Cambio[$/U$S]))</f>
        <v>0</v>
      </c>
      <c r="AL246" s="704">
        <f>SUMPRODUCT((Producción_Agricola[[#This Row],[Mes Financiero]]=Tipo_Cambio[Mes])*(Producción_Agricola[[#This Row],[Año Financiero]]=Tipo_Cambio[Año])*(Tipo_Cambio[Actualización]))</f>
        <v>0</v>
      </c>
      <c r="AM246" s="709">
        <f>IFERROR(Producción_Agricola[[#This Row],[Económico $Corrientes]]/Producción_Agricola[[#This Row],[Superficie]],0)</f>
        <v>0</v>
      </c>
      <c r="AN246" s="712">
        <f>IFERROR(Producción_Agricola[[#This Row],[Económico $Constantes]]/Producción_Agricola[[#This Row],[Superficie]],0)</f>
        <v>0</v>
      </c>
      <c r="AO246" s="712">
        <f>IFERROR(Producción_Agricola[[#This Row],[Económico U$S Dólares]]/Producción_Agricola[[#This Row],[Superficie]],0)</f>
        <v>0</v>
      </c>
      <c r="AP246" s="711">
        <f>IF(Económico!$F$4=0,0,Producción_Agricola[[#This Row],[Centro de Costo]])</f>
        <v>0</v>
      </c>
      <c r="AQ246" s="512"/>
      <c r="AR246" s="513"/>
      <c r="AS246"/>
    </row>
    <row r="247" spans="4:45" x14ac:dyDescent="0.25">
      <c r="D247" s="478"/>
      <c r="E247" s="478"/>
      <c r="F247" s="668">
        <f t="shared" si="50"/>
        <v>0</v>
      </c>
      <c r="G247" s="673">
        <f t="shared" si="51"/>
        <v>0</v>
      </c>
      <c r="H247" s="673">
        <f t="shared" si="52"/>
        <v>0</v>
      </c>
      <c r="I247" s="675">
        <f>IFERROR(INDEX(Tabla8[],MATCH(Producción_Agricola[[#This Row],[Unidad de Negocio]],Tabla8[Unidades de Negocio],0),2),0)</f>
        <v>0</v>
      </c>
      <c r="J24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47" s="488"/>
      <c r="L247" s="482"/>
      <c r="M247" s="483"/>
      <c r="N247" s="484"/>
      <c r="O247" s="690">
        <f>Producción_Agricola[[#This Row],[Superficie]]*Producción_Agricola[[#This Row],[Cantidad]]</f>
        <v>0</v>
      </c>
      <c r="P247" s="482"/>
      <c r="Q247" s="484"/>
      <c r="R247" s="485"/>
      <c r="S24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47" s="695">
        <f>IFERROR(Producción_Agricola[[#This Row],[Económico $Corrientes]]/Producción_Agricola[[#This Row],[Indexación Económico]],0)</f>
        <v>0</v>
      </c>
      <c r="U24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4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47" s="695">
        <f>IFERROR(Producción_Agricola[[#This Row],[Financiero $Corrientes]]/Producción_Agricola[[#This Row],[Indexación Financiero]],0)</f>
        <v>0</v>
      </c>
      <c r="X24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4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47" s="699">
        <f>IFERROR(Producción_Agricola[[#This Row],[Intereses $Corrientes]]/Producción_Agricola[[#This Row],[Indexación Financiero]],0)</f>
        <v>0</v>
      </c>
      <c r="AA24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47" s="701">
        <f>IFERROR(INDEX(Produccion_Agricola_Cuentas[],MATCH(Producción_Agricola[[#This Row],[Cuenta Contable]],Produccion_Agricola_Cuentas[Cuenta Contable],0),2),0)</f>
        <v>0</v>
      </c>
      <c r="AC247" s="702">
        <f>IFERROR(INDEX(Tabla9[],MATCH(Producción_Agricola[[#This Row],[Movimiento]],Tabla9[Movimientos],0),2),0)</f>
        <v>0</v>
      </c>
      <c r="AD247" s="703">
        <f>IFERROR(INDEX(Tabla9[],MATCH(Producción_Agricola[[#This Row],[Movimiento]],Tabla9[Movimientos],0),3),0)</f>
        <v>0</v>
      </c>
      <c r="AE247" s="698">
        <f>IF(Producción_Agricola[[#This Row],[Fecha Económico]]=0,0,MONTH(Producción_Agricola[[#This Row],[Fecha Económico]]))</f>
        <v>0</v>
      </c>
      <c r="AF247" s="699">
        <f>IF(Producción_Agricola[[#This Row],[Fecha Económico]]=0,0,YEAR(Producción_Agricola[[#This Row],[Fecha Económico]]))</f>
        <v>0</v>
      </c>
      <c r="AG247" s="704">
        <f>SUMPRODUCT((Producción_Agricola[[#This Row],[Mes Económico]]=Tipo_Cambio[Mes])*(Producción_Agricola[[#This Row],[Año Económico]]=Tipo_Cambio[Año])*(Tipo_Cambio[$/U$S]))</f>
        <v>0</v>
      </c>
      <c r="AH247" s="703">
        <f>SUMPRODUCT((Producción_Agricola[[#This Row],[Mes Económico]]=Tipo_Cambio[Mes])*(Producción_Agricola[[#This Row],[Año Económico]]=Tipo_Cambio[Año])*(Tipo_Cambio[Actualización]))</f>
        <v>0</v>
      </c>
      <c r="AI247" s="699">
        <f>IF(ISNUMBER(Producción_Agricola[[#This Row],[Fecha Financiero]])=TRUE,MONTH(Producción_Agricola[[#This Row],[Fecha Financiero]]),0)</f>
        <v>0</v>
      </c>
      <c r="AJ247" s="699">
        <f>IF(ISNUMBER(Producción_Agricola[[#This Row],[Fecha Financiero]])=TRUE,YEAR(Producción_Agricola[[#This Row],[Fecha Financiero]]),0)</f>
        <v>0</v>
      </c>
      <c r="AK247" s="704">
        <f>SUMPRODUCT((Producción_Agricola[[#This Row],[Mes Financiero]]=Tipo_Cambio[Mes])*(Producción_Agricola[[#This Row],[Año Financiero]]=Tipo_Cambio[Año])*(Tipo_Cambio[$/U$S]))</f>
        <v>0</v>
      </c>
      <c r="AL247" s="704">
        <f>SUMPRODUCT((Producción_Agricola[[#This Row],[Mes Financiero]]=Tipo_Cambio[Mes])*(Producción_Agricola[[#This Row],[Año Financiero]]=Tipo_Cambio[Año])*(Tipo_Cambio[Actualización]))</f>
        <v>0</v>
      </c>
      <c r="AM247" s="709">
        <f>IFERROR(Producción_Agricola[[#This Row],[Económico $Corrientes]]/Producción_Agricola[[#This Row],[Superficie]],0)</f>
        <v>0</v>
      </c>
      <c r="AN247" s="712">
        <f>IFERROR(Producción_Agricola[[#This Row],[Económico $Constantes]]/Producción_Agricola[[#This Row],[Superficie]],0)</f>
        <v>0</v>
      </c>
      <c r="AO247" s="712">
        <f>IFERROR(Producción_Agricola[[#This Row],[Económico U$S Dólares]]/Producción_Agricola[[#This Row],[Superficie]],0)</f>
        <v>0</v>
      </c>
      <c r="AP247" s="711">
        <f>IF(Económico!$F$4=0,0,Producción_Agricola[[#This Row],[Centro de Costo]])</f>
        <v>0</v>
      </c>
      <c r="AQ247" s="512"/>
      <c r="AR247" s="513"/>
      <c r="AS247"/>
    </row>
    <row r="248" spans="4:45" x14ac:dyDescent="0.25">
      <c r="D248" s="478"/>
      <c r="E248" s="478"/>
      <c r="F248" s="668">
        <f t="shared" si="50"/>
        <v>0</v>
      </c>
      <c r="G248" s="673">
        <f t="shared" si="51"/>
        <v>0</v>
      </c>
      <c r="H248" s="673">
        <f t="shared" si="52"/>
        <v>0</v>
      </c>
      <c r="I248" s="675">
        <f>IFERROR(INDEX(Tabla8[],MATCH(Producción_Agricola[[#This Row],[Unidad de Negocio]],Tabla8[Unidades de Negocio],0),2),0)</f>
        <v>0</v>
      </c>
      <c r="J24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48" s="488"/>
      <c r="L248" s="482"/>
      <c r="M248" s="483"/>
      <c r="N248" s="484"/>
      <c r="O248" s="690">
        <f>Producción_Agricola[[#This Row],[Superficie]]*Producción_Agricola[[#This Row],[Cantidad]]</f>
        <v>0</v>
      </c>
      <c r="P248" s="482"/>
      <c r="Q248" s="484"/>
      <c r="R248" s="485"/>
      <c r="S24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48" s="695">
        <f>IFERROR(Producción_Agricola[[#This Row],[Económico $Corrientes]]/Producción_Agricola[[#This Row],[Indexación Económico]],0)</f>
        <v>0</v>
      </c>
      <c r="U24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4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48" s="695">
        <f>IFERROR(Producción_Agricola[[#This Row],[Financiero $Corrientes]]/Producción_Agricola[[#This Row],[Indexación Financiero]],0)</f>
        <v>0</v>
      </c>
      <c r="X24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4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48" s="699">
        <f>IFERROR(Producción_Agricola[[#This Row],[Intereses $Corrientes]]/Producción_Agricola[[#This Row],[Indexación Financiero]],0)</f>
        <v>0</v>
      </c>
      <c r="AA24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48" s="701">
        <f>IFERROR(INDEX(Produccion_Agricola_Cuentas[],MATCH(Producción_Agricola[[#This Row],[Cuenta Contable]],Produccion_Agricola_Cuentas[Cuenta Contable],0),2),0)</f>
        <v>0</v>
      </c>
      <c r="AC248" s="702">
        <f>IFERROR(INDEX(Tabla9[],MATCH(Producción_Agricola[[#This Row],[Movimiento]],Tabla9[Movimientos],0),2),0)</f>
        <v>0</v>
      </c>
      <c r="AD248" s="703">
        <f>IFERROR(INDEX(Tabla9[],MATCH(Producción_Agricola[[#This Row],[Movimiento]],Tabla9[Movimientos],0),3),0)</f>
        <v>0</v>
      </c>
      <c r="AE248" s="698">
        <f>IF(Producción_Agricola[[#This Row],[Fecha Económico]]=0,0,MONTH(Producción_Agricola[[#This Row],[Fecha Económico]]))</f>
        <v>0</v>
      </c>
      <c r="AF248" s="699">
        <f>IF(Producción_Agricola[[#This Row],[Fecha Económico]]=0,0,YEAR(Producción_Agricola[[#This Row],[Fecha Económico]]))</f>
        <v>0</v>
      </c>
      <c r="AG248" s="704">
        <f>SUMPRODUCT((Producción_Agricola[[#This Row],[Mes Económico]]=Tipo_Cambio[Mes])*(Producción_Agricola[[#This Row],[Año Económico]]=Tipo_Cambio[Año])*(Tipo_Cambio[$/U$S]))</f>
        <v>0</v>
      </c>
      <c r="AH248" s="703">
        <f>SUMPRODUCT((Producción_Agricola[[#This Row],[Mes Económico]]=Tipo_Cambio[Mes])*(Producción_Agricola[[#This Row],[Año Económico]]=Tipo_Cambio[Año])*(Tipo_Cambio[Actualización]))</f>
        <v>0</v>
      </c>
      <c r="AI248" s="699">
        <f>IF(ISNUMBER(Producción_Agricola[[#This Row],[Fecha Financiero]])=TRUE,MONTH(Producción_Agricola[[#This Row],[Fecha Financiero]]),0)</f>
        <v>0</v>
      </c>
      <c r="AJ248" s="699">
        <f>IF(ISNUMBER(Producción_Agricola[[#This Row],[Fecha Financiero]])=TRUE,YEAR(Producción_Agricola[[#This Row],[Fecha Financiero]]),0)</f>
        <v>0</v>
      </c>
      <c r="AK248" s="704">
        <f>SUMPRODUCT((Producción_Agricola[[#This Row],[Mes Financiero]]=Tipo_Cambio[Mes])*(Producción_Agricola[[#This Row],[Año Financiero]]=Tipo_Cambio[Año])*(Tipo_Cambio[$/U$S]))</f>
        <v>0</v>
      </c>
      <c r="AL248" s="704">
        <f>SUMPRODUCT((Producción_Agricola[[#This Row],[Mes Financiero]]=Tipo_Cambio[Mes])*(Producción_Agricola[[#This Row],[Año Financiero]]=Tipo_Cambio[Año])*(Tipo_Cambio[Actualización]))</f>
        <v>0</v>
      </c>
      <c r="AM248" s="709">
        <f>IFERROR(Producción_Agricola[[#This Row],[Económico $Corrientes]]/Producción_Agricola[[#This Row],[Superficie]],0)</f>
        <v>0</v>
      </c>
      <c r="AN248" s="712">
        <f>IFERROR(Producción_Agricola[[#This Row],[Económico $Constantes]]/Producción_Agricola[[#This Row],[Superficie]],0)</f>
        <v>0</v>
      </c>
      <c r="AO248" s="712">
        <f>IFERROR(Producción_Agricola[[#This Row],[Económico U$S Dólares]]/Producción_Agricola[[#This Row],[Superficie]],0)</f>
        <v>0</v>
      </c>
      <c r="AP248" s="711">
        <f>IF(Económico!$F$4=0,0,Producción_Agricola[[#This Row],[Centro de Costo]])</f>
        <v>0</v>
      </c>
      <c r="AQ248" s="512"/>
      <c r="AR248" s="513"/>
      <c r="AS248"/>
    </row>
    <row r="249" spans="4:45" x14ac:dyDescent="0.25">
      <c r="D249" s="478"/>
      <c r="E249" s="478"/>
      <c r="F249" s="668">
        <f t="shared" si="50"/>
        <v>0</v>
      </c>
      <c r="G249" s="673">
        <f t="shared" si="51"/>
        <v>0</v>
      </c>
      <c r="H249" s="673">
        <f t="shared" si="52"/>
        <v>0</v>
      </c>
      <c r="I249" s="675">
        <f>IFERROR(INDEX(Tabla8[],MATCH(Producción_Agricola[[#This Row],[Unidad de Negocio]],Tabla8[Unidades de Negocio],0),2),0)</f>
        <v>0</v>
      </c>
      <c r="J24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49" s="488"/>
      <c r="L249" s="482"/>
      <c r="M249" s="483"/>
      <c r="N249" s="484"/>
      <c r="O249" s="690">
        <f>Producción_Agricola[[#This Row],[Superficie]]*Producción_Agricola[[#This Row],[Cantidad]]</f>
        <v>0</v>
      </c>
      <c r="P249" s="482"/>
      <c r="Q249" s="484"/>
      <c r="R249" s="485"/>
      <c r="S24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49" s="695">
        <f>IFERROR(Producción_Agricola[[#This Row],[Económico $Corrientes]]/Producción_Agricola[[#This Row],[Indexación Económico]],0)</f>
        <v>0</v>
      </c>
      <c r="U24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4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49" s="695">
        <f>IFERROR(Producción_Agricola[[#This Row],[Financiero $Corrientes]]/Producción_Agricola[[#This Row],[Indexación Financiero]],0)</f>
        <v>0</v>
      </c>
      <c r="X24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4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49" s="699">
        <f>IFERROR(Producción_Agricola[[#This Row],[Intereses $Corrientes]]/Producción_Agricola[[#This Row],[Indexación Financiero]],0)</f>
        <v>0</v>
      </c>
      <c r="AA24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49" s="701">
        <f>IFERROR(INDEX(Produccion_Agricola_Cuentas[],MATCH(Producción_Agricola[[#This Row],[Cuenta Contable]],Produccion_Agricola_Cuentas[Cuenta Contable],0),2),0)</f>
        <v>0</v>
      </c>
      <c r="AC249" s="702">
        <f>IFERROR(INDEX(Tabla9[],MATCH(Producción_Agricola[[#This Row],[Movimiento]],Tabla9[Movimientos],0),2),0)</f>
        <v>0</v>
      </c>
      <c r="AD249" s="703">
        <f>IFERROR(INDEX(Tabla9[],MATCH(Producción_Agricola[[#This Row],[Movimiento]],Tabla9[Movimientos],0),3),0)</f>
        <v>0</v>
      </c>
      <c r="AE249" s="698">
        <f>IF(Producción_Agricola[[#This Row],[Fecha Económico]]=0,0,MONTH(Producción_Agricola[[#This Row],[Fecha Económico]]))</f>
        <v>0</v>
      </c>
      <c r="AF249" s="699">
        <f>IF(Producción_Agricola[[#This Row],[Fecha Económico]]=0,0,YEAR(Producción_Agricola[[#This Row],[Fecha Económico]]))</f>
        <v>0</v>
      </c>
      <c r="AG249" s="704">
        <f>SUMPRODUCT((Producción_Agricola[[#This Row],[Mes Económico]]=Tipo_Cambio[Mes])*(Producción_Agricola[[#This Row],[Año Económico]]=Tipo_Cambio[Año])*(Tipo_Cambio[$/U$S]))</f>
        <v>0</v>
      </c>
      <c r="AH249" s="703">
        <f>SUMPRODUCT((Producción_Agricola[[#This Row],[Mes Económico]]=Tipo_Cambio[Mes])*(Producción_Agricola[[#This Row],[Año Económico]]=Tipo_Cambio[Año])*(Tipo_Cambio[Actualización]))</f>
        <v>0</v>
      </c>
      <c r="AI249" s="699">
        <f>IF(ISNUMBER(Producción_Agricola[[#This Row],[Fecha Financiero]])=TRUE,MONTH(Producción_Agricola[[#This Row],[Fecha Financiero]]),0)</f>
        <v>0</v>
      </c>
      <c r="AJ249" s="699">
        <f>IF(ISNUMBER(Producción_Agricola[[#This Row],[Fecha Financiero]])=TRUE,YEAR(Producción_Agricola[[#This Row],[Fecha Financiero]]),0)</f>
        <v>0</v>
      </c>
      <c r="AK249" s="704">
        <f>SUMPRODUCT((Producción_Agricola[[#This Row],[Mes Financiero]]=Tipo_Cambio[Mes])*(Producción_Agricola[[#This Row],[Año Financiero]]=Tipo_Cambio[Año])*(Tipo_Cambio[$/U$S]))</f>
        <v>0</v>
      </c>
      <c r="AL249" s="704">
        <f>SUMPRODUCT((Producción_Agricola[[#This Row],[Mes Financiero]]=Tipo_Cambio[Mes])*(Producción_Agricola[[#This Row],[Año Financiero]]=Tipo_Cambio[Año])*(Tipo_Cambio[Actualización]))</f>
        <v>0</v>
      </c>
      <c r="AM249" s="709">
        <f>IFERROR(Producción_Agricola[[#This Row],[Económico $Corrientes]]/Producción_Agricola[[#This Row],[Superficie]],0)</f>
        <v>0</v>
      </c>
      <c r="AN249" s="712">
        <f>IFERROR(Producción_Agricola[[#This Row],[Económico $Constantes]]/Producción_Agricola[[#This Row],[Superficie]],0)</f>
        <v>0</v>
      </c>
      <c r="AO249" s="712">
        <f>IFERROR(Producción_Agricola[[#This Row],[Económico U$S Dólares]]/Producción_Agricola[[#This Row],[Superficie]],0)</f>
        <v>0</v>
      </c>
      <c r="AP249" s="711">
        <f>IF(Económico!$F$4=0,0,Producción_Agricola[[#This Row],[Centro de Costo]])</f>
        <v>0</v>
      </c>
      <c r="AQ249" s="512"/>
      <c r="AR249" s="513"/>
      <c r="AS249"/>
    </row>
    <row r="250" spans="4:45" x14ac:dyDescent="0.25">
      <c r="D250" s="478"/>
      <c r="E250" s="478"/>
      <c r="F250" s="668">
        <f t="shared" si="50"/>
        <v>0</v>
      </c>
      <c r="G250" s="673">
        <f t="shared" si="51"/>
        <v>0</v>
      </c>
      <c r="H250" s="673">
        <f t="shared" si="52"/>
        <v>0</v>
      </c>
      <c r="I250" s="675">
        <f>IFERROR(INDEX(Tabla8[],MATCH(Producción_Agricola[[#This Row],[Unidad de Negocio]],Tabla8[Unidades de Negocio],0),2),0)</f>
        <v>0</v>
      </c>
      <c r="J25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50" s="488"/>
      <c r="L250" s="482"/>
      <c r="M250" s="483"/>
      <c r="N250" s="484"/>
      <c r="O250" s="690">
        <f>Producción_Agricola[[#This Row],[Superficie]]*Producción_Agricola[[#This Row],[Cantidad]]</f>
        <v>0</v>
      </c>
      <c r="P250" s="482"/>
      <c r="Q250" s="484"/>
      <c r="R250" s="485"/>
      <c r="S25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50" s="695">
        <f>IFERROR(Producción_Agricola[[#This Row],[Económico $Corrientes]]/Producción_Agricola[[#This Row],[Indexación Económico]],0)</f>
        <v>0</v>
      </c>
      <c r="U25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5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50" s="695">
        <f>IFERROR(Producción_Agricola[[#This Row],[Financiero $Corrientes]]/Producción_Agricola[[#This Row],[Indexación Financiero]],0)</f>
        <v>0</v>
      </c>
      <c r="X25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5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50" s="699">
        <f>IFERROR(Producción_Agricola[[#This Row],[Intereses $Corrientes]]/Producción_Agricola[[#This Row],[Indexación Financiero]],0)</f>
        <v>0</v>
      </c>
      <c r="AA25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50" s="701">
        <f>IFERROR(INDEX(Produccion_Agricola_Cuentas[],MATCH(Producción_Agricola[[#This Row],[Cuenta Contable]],Produccion_Agricola_Cuentas[Cuenta Contable],0),2),0)</f>
        <v>0</v>
      </c>
      <c r="AC250" s="702">
        <f>IFERROR(INDEX(Tabla9[],MATCH(Producción_Agricola[[#This Row],[Movimiento]],Tabla9[Movimientos],0),2),0)</f>
        <v>0</v>
      </c>
      <c r="AD250" s="703">
        <f>IFERROR(INDEX(Tabla9[],MATCH(Producción_Agricola[[#This Row],[Movimiento]],Tabla9[Movimientos],0),3),0)</f>
        <v>0</v>
      </c>
      <c r="AE250" s="698">
        <f>IF(Producción_Agricola[[#This Row],[Fecha Económico]]=0,0,MONTH(Producción_Agricola[[#This Row],[Fecha Económico]]))</f>
        <v>0</v>
      </c>
      <c r="AF250" s="699">
        <f>IF(Producción_Agricola[[#This Row],[Fecha Económico]]=0,0,YEAR(Producción_Agricola[[#This Row],[Fecha Económico]]))</f>
        <v>0</v>
      </c>
      <c r="AG250" s="704">
        <f>SUMPRODUCT((Producción_Agricola[[#This Row],[Mes Económico]]=Tipo_Cambio[Mes])*(Producción_Agricola[[#This Row],[Año Económico]]=Tipo_Cambio[Año])*(Tipo_Cambio[$/U$S]))</f>
        <v>0</v>
      </c>
      <c r="AH250" s="703">
        <f>SUMPRODUCT((Producción_Agricola[[#This Row],[Mes Económico]]=Tipo_Cambio[Mes])*(Producción_Agricola[[#This Row],[Año Económico]]=Tipo_Cambio[Año])*(Tipo_Cambio[Actualización]))</f>
        <v>0</v>
      </c>
      <c r="AI250" s="699">
        <f>IF(ISNUMBER(Producción_Agricola[[#This Row],[Fecha Financiero]])=TRUE,MONTH(Producción_Agricola[[#This Row],[Fecha Financiero]]),0)</f>
        <v>0</v>
      </c>
      <c r="AJ250" s="699">
        <f>IF(ISNUMBER(Producción_Agricola[[#This Row],[Fecha Financiero]])=TRUE,YEAR(Producción_Agricola[[#This Row],[Fecha Financiero]]),0)</f>
        <v>0</v>
      </c>
      <c r="AK250" s="704">
        <f>SUMPRODUCT((Producción_Agricola[[#This Row],[Mes Financiero]]=Tipo_Cambio[Mes])*(Producción_Agricola[[#This Row],[Año Financiero]]=Tipo_Cambio[Año])*(Tipo_Cambio[$/U$S]))</f>
        <v>0</v>
      </c>
      <c r="AL250" s="704">
        <f>SUMPRODUCT((Producción_Agricola[[#This Row],[Mes Financiero]]=Tipo_Cambio[Mes])*(Producción_Agricola[[#This Row],[Año Financiero]]=Tipo_Cambio[Año])*(Tipo_Cambio[Actualización]))</f>
        <v>0</v>
      </c>
      <c r="AM250" s="709">
        <f>IFERROR(Producción_Agricola[[#This Row],[Económico $Corrientes]]/Producción_Agricola[[#This Row],[Superficie]],0)</f>
        <v>0</v>
      </c>
      <c r="AN250" s="712">
        <f>IFERROR(Producción_Agricola[[#This Row],[Económico $Constantes]]/Producción_Agricola[[#This Row],[Superficie]],0)</f>
        <v>0</v>
      </c>
      <c r="AO250" s="712">
        <f>IFERROR(Producción_Agricola[[#This Row],[Económico U$S Dólares]]/Producción_Agricola[[#This Row],[Superficie]],0)</f>
        <v>0</v>
      </c>
      <c r="AP250" s="711">
        <f>IF(Económico!$F$4=0,0,Producción_Agricola[[#This Row],[Centro de Costo]])</f>
        <v>0</v>
      </c>
      <c r="AQ250" s="512"/>
      <c r="AR250" s="513"/>
      <c r="AS250"/>
    </row>
    <row r="251" spans="4:45" x14ac:dyDescent="0.25">
      <c r="D251" s="478"/>
      <c r="E251" s="478"/>
      <c r="F251" s="668">
        <f t="shared" si="50"/>
        <v>0</v>
      </c>
      <c r="G251" s="673">
        <f t="shared" si="51"/>
        <v>0</v>
      </c>
      <c r="H251" s="673">
        <f t="shared" si="52"/>
        <v>0</v>
      </c>
      <c r="I251" s="675">
        <f>IFERROR(INDEX(Tabla8[],MATCH(Producción_Agricola[[#This Row],[Unidad de Negocio]],Tabla8[Unidades de Negocio],0),2),0)</f>
        <v>0</v>
      </c>
      <c r="J25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51" s="488"/>
      <c r="L251" s="482"/>
      <c r="M251" s="483"/>
      <c r="N251" s="484"/>
      <c r="O251" s="690">
        <f>Producción_Agricola[[#This Row],[Superficie]]*Producción_Agricola[[#This Row],[Cantidad]]</f>
        <v>0</v>
      </c>
      <c r="P251" s="482"/>
      <c r="Q251" s="484"/>
      <c r="R251" s="485"/>
      <c r="S25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51" s="695">
        <f>IFERROR(Producción_Agricola[[#This Row],[Económico $Corrientes]]/Producción_Agricola[[#This Row],[Indexación Económico]],0)</f>
        <v>0</v>
      </c>
      <c r="U25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5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51" s="695">
        <f>IFERROR(Producción_Agricola[[#This Row],[Financiero $Corrientes]]/Producción_Agricola[[#This Row],[Indexación Financiero]],0)</f>
        <v>0</v>
      </c>
      <c r="X25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5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51" s="699">
        <f>IFERROR(Producción_Agricola[[#This Row],[Intereses $Corrientes]]/Producción_Agricola[[#This Row],[Indexación Financiero]],0)</f>
        <v>0</v>
      </c>
      <c r="AA25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51" s="701">
        <f>IFERROR(INDEX(Produccion_Agricola_Cuentas[],MATCH(Producción_Agricola[[#This Row],[Cuenta Contable]],Produccion_Agricola_Cuentas[Cuenta Contable],0),2),0)</f>
        <v>0</v>
      </c>
      <c r="AC251" s="702">
        <f>IFERROR(INDEX(Tabla9[],MATCH(Producción_Agricola[[#This Row],[Movimiento]],Tabla9[Movimientos],0),2),0)</f>
        <v>0</v>
      </c>
      <c r="AD251" s="703">
        <f>IFERROR(INDEX(Tabla9[],MATCH(Producción_Agricola[[#This Row],[Movimiento]],Tabla9[Movimientos],0),3),0)</f>
        <v>0</v>
      </c>
      <c r="AE251" s="698">
        <f>IF(Producción_Agricola[[#This Row],[Fecha Económico]]=0,0,MONTH(Producción_Agricola[[#This Row],[Fecha Económico]]))</f>
        <v>0</v>
      </c>
      <c r="AF251" s="699">
        <f>IF(Producción_Agricola[[#This Row],[Fecha Económico]]=0,0,YEAR(Producción_Agricola[[#This Row],[Fecha Económico]]))</f>
        <v>0</v>
      </c>
      <c r="AG251" s="704">
        <f>SUMPRODUCT((Producción_Agricola[[#This Row],[Mes Económico]]=Tipo_Cambio[Mes])*(Producción_Agricola[[#This Row],[Año Económico]]=Tipo_Cambio[Año])*(Tipo_Cambio[$/U$S]))</f>
        <v>0</v>
      </c>
      <c r="AH251" s="703">
        <f>SUMPRODUCT((Producción_Agricola[[#This Row],[Mes Económico]]=Tipo_Cambio[Mes])*(Producción_Agricola[[#This Row],[Año Económico]]=Tipo_Cambio[Año])*(Tipo_Cambio[Actualización]))</f>
        <v>0</v>
      </c>
      <c r="AI251" s="699">
        <f>IF(ISNUMBER(Producción_Agricola[[#This Row],[Fecha Financiero]])=TRUE,MONTH(Producción_Agricola[[#This Row],[Fecha Financiero]]),0)</f>
        <v>0</v>
      </c>
      <c r="AJ251" s="699">
        <f>IF(ISNUMBER(Producción_Agricola[[#This Row],[Fecha Financiero]])=TRUE,YEAR(Producción_Agricola[[#This Row],[Fecha Financiero]]),0)</f>
        <v>0</v>
      </c>
      <c r="AK251" s="704">
        <f>SUMPRODUCT((Producción_Agricola[[#This Row],[Mes Financiero]]=Tipo_Cambio[Mes])*(Producción_Agricola[[#This Row],[Año Financiero]]=Tipo_Cambio[Año])*(Tipo_Cambio[$/U$S]))</f>
        <v>0</v>
      </c>
      <c r="AL251" s="704">
        <f>SUMPRODUCT((Producción_Agricola[[#This Row],[Mes Financiero]]=Tipo_Cambio[Mes])*(Producción_Agricola[[#This Row],[Año Financiero]]=Tipo_Cambio[Año])*(Tipo_Cambio[Actualización]))</f>
        <v>0</v>
      </c>
      <c r="AM251" s="709">
        <f>IFERROR(Producción_Agricola[[#This Row],[Económico $Corrientes]]/Producción_Agricola[[#This Row],[Superficie]],0)</f>
        <v>0</v>
      </c>
      <c r="AN251" s="712">
        <f>IFERROR(Producción_Agricola[[#This Row],[Económico $Constantes]]/Producción_Agricola[[#This Row],[Superficie]],0)</f>
        <v>0</v>
      </c>
      <c r="AO251" s="712">
        <f>IFERROR(Producción_Agricola[[#This Row],[Económico U$S Dólares]]/Producción_Agricola[[#This Row],[Superficie]],0)</f>
        <v>0</v>
      </c>
      <c r="AP251" s="711">
        <f>IF(Económico!$F$4=0,0,Producción_Agricola[[#This Row],[Centro de Costo]])</f>
        <v>0</v>
      </c>
      <c r="AQ251" s="512"/>
      <c r="AR251" s="513"/>
      <c r="AS251"/>
    </row>
    <row r="252" spans="4:45" x14ac:dyDescent="0.25">
      <c r="D252" s="478"/>
      <c r="E252" s="478"/>
      <c r="F252" s="668">
        <f t="shared" si="50"/>
        <v>0</v>
      </c>
      <c r="G252" s="673">
        <f t="shared" si="51"/>
        <v>0</v>
      </c>
      <c r="H252" s="673">
        <f t="shared" si="52"/>
        <v>0</v>
      </c>
      <c r="I252" s="675">
        <f>IFERROR(INDEX(Tabla8[],MATCH(Producción_Agricola[[#This Row],[Unidad de Negocio]],Tabla8[Unidades de Negocio],0),2),0)</f>
        <v>0</v>
      </c>
      <c r="J25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52" s="488"/>
      <c r="L252" s="482"/>
      <c r="M252" s="483"/>
      <c r="N252" s="484"/>
      <c r="O252" s="690">
        <f>Producción_Agricola[[#This Row],[Superficie]]*Producción_Agricola[[#This Row],[Cantidad]]</f>
        <v>0</v>
      </c>
      <c r="P252" s="482"/>
      <c r="Q252" s="484"/>
      <c r="R252" s="485"/>
      <c r="S25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52" s="695">
        <f>IFERROR(Producción_Agricola[[#This Row],[Económico $Corrientes]]/Producción_Agricola[[#This Row],[Indexación Económico]],0)</f>
        <v>0</v>
      </c>
      <c r="U25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5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52" s="695">
        <f>IFERROR(Producción_Agricola[[#This Row],[Financiero $Corrientes]]/Producción_Agricola[[#This Row],[Indexación Financiero]],0)</f>
        <v>0</v>
      </c>
      <c r="X25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5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52" s="699">
        <f>IFERROR(Producción_Agricola[[#This Row],[Intereses $Corrientes]]/Producción_Agricola[[#This Row],[Indexación Financiero]],0)</f>
        <v>0</v>
      </c>
      <c r="AA25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52" s="701">
        <f>IFERROR(INDEX(Produccion_Agricola_Cuentas[],MATCH(Producción_Agricola[[#This Row],[Cuenta Contable]],Produccion_Agricola_Cuentas[Cuenta Contable],0),2),0)</f>
        <v>0</v>
      </c>
      <c r="AC252" s="702">
        <f>IFERROR(INDEX(Tabla9[],MATCH(Producción_Agricola[[#This Row],[Movimiento]],Tabla9[Movimientos],0),2),0)</f>
        <v>0</v>
      </c>
      <c r="AD252" s="703">
        <f>IFERROR(INDEX(Tabla9[],MATCH(Producción_Agricola[[#This Row],[Movimiento]],Tabla9[Movimientos],0),3),0)</f>
        <v>0</v>
      </c>
      <c r="AE252" s="698">
        <f>IF(Producción_Agricola[[#This Row],[Fecha Económico]]=0,0,MONTH(Producción_Agricola[[#This Row],[Fecha Económico]]))</f>
        <v>0</v>
      </c>
      <c r="AF252" s="699">
        <f>IF(Producción_Agricola[[#This Row],[Fecha Económico]]=0,0,YEAR(Producción_Agricola[[#This Row],[Fecha Económico]]))</f>
        <v>0</v>
      </c>
      <c r="AG252" s="704">
        <f>SUMPRODUCT((Producción_Agricola[[#This Row],[Mes Económico]]=Tipo_Cambio[Mes])*(Producción_Agricola[[#This Row],[Año Económico]]=Tipo_Cambio[Año])*(Tipo_Cambio[$/U$S]))</f>
        <v>0</v>
      </c>
      <c r="AH252" s="703">
        <f>SUMPRODUCT((Producción_Agricola[[#This Row],[Mes Económico]]=Tipo_Cambio[Mes])*(Producción_Agricola[[#This Row],[Año Económico]]=Tipo_Cambio[Año])*(Tipo_Cambio[Actualización]))</f>
        <v>0</v>
      </c>
      <c r="AI252" s="699">
        <f>IF(ISNUMBER(Producción_Agricola[[#This Row],[Fecha Financiero]])=TRUE,MONTH(Producción_Agricola[[#This Row],[Fecha Financiero]]),0)</f>
        <v>0</v>
      </c>
      <c r="AJ252" s="699">
        <f>IF(ISNUMBER(Producción_Agricola[[#This Row],[Fecha Financiero]])=TRUE,YEAR(Producción_Agricola[[#This Row],[Fecha Financiero]]),0)</f>
        <v>0</v>
      </c>
      <c r="AK252" s="704">
        <f>SUMPRODUCT((Producción_Agricola[[#This Row],[Mes Financiero]]=Tipo_Cambio[Mes])*(Producción_Agricola[[#This Row],[Año Financiero]]=Tipo_Cambio[Año])*(Tipo_Cambio[$/U$S]))</f>
        <v>0</v>
      </c>
      <c r="AL252" s="704">
        <f>SUMPRODUCT((Producción_Agricola[[#This Row],[Mes Financiero]]=Tipo_Cambio[Mes])*(Producción_Agricola[[#This Row],[Año Financiero]]=Tipo_Cambio[Año])*(Tipo_Cambio[Actualización]))</f>
        <v>0</v>
      </c>
      <c r="AM252" s="709">
        <f>IFERROR(Producción_Agricola[[#This Row],[Económico $Corrientes]]/Producción_Agricola[[#This Row],[Superficie]],0)</f>
        <v>0</v>
      </c>
      <c r="AN252" s="712">
        <f>IFERROR(Producción_Agricola[[#This Row],[Económico $Constantes]]/Producción_Agricola[[#This Row],[Superficie]],0)</f>
        <v>0</v>
      </c>
      <c r="AO252" s="712">
        <f>IFERROR(Producción_Agricola[[#This Row],[Económico U$S Dólares]]/Producción_Agricola[[#This Row],[Superficie]],0)</f>
        <v>0</v>
      </c>
      <c r="AP252" s="711">
        <f>IF(Económico!$F$4=0,0,Producción_Agricola[[#This Row],[Centro de Costo]])</f>
        <v>0</v>
      </c>
      <c r="AQ252" s="512"/>
      <c r="AR252" s="513"/>
      <c r="AS252"/>
    </row>
    <row r="253" spans="4:45" x14ac:dyDescent="0.25">
      <c r="D253" s="478"/>
      <c r="E253" s="478"/>
      <c r="F253" s="668">
        <f t="shared" si="50"/>
        <v>0</v>
      </c>
      <c r="G253" s="673">
        <f t="shared" si="51"/>
        <v>0</v>
      </c>
      <c r="H253" s="673">
        <f t="shared" si="52"/>
        <v>0</v>
      </c>
      <c r="I253" s="675">
        <f>IFERROR(INDEX(Tabla8[],MATCH(Producción_Agricola[[#This Row],[Unidad de Negocio]],Tabla8[Unidades de Negocio],0),2),0)</f>
        <v>0</v>
      </c>
      <c r="J25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53" s="488"/>
      <c r="L253" s="482"/>
      <c r="M253" s="483"/>
      <c r="N253" s="484"/>
      <c r="O253" s="690">
        <f>Producción_Agricola[[#This Row],[Superficie]]*Producción_Agricola[[#This Row],[Cantidad]]</f>
        <v>0</v>
      </c>
      <c r="P253" s="482"/>
      <c r="Q253" s="484"/>
      <c r="R253" s="485"/>
      <c r="S25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53" s="695">
        <f>IFERROR(Producción_Agricola[[#This Row],[Económico $Corrientes]]/Producción_Agricola[[#This Row],[Indexación Económico]],0)</f>
        <v>0</v>
      </c>
      <c r="U25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5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53" s="695">
        <f>IFERROR(Producción_Agricola[[#This Row],[Financiero $Corrientes]]/Producción_Agricola[[#This Row],[Indexación Financiero]],0)</f>
        <v>0</v>
      </c>
      <c r="X25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5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53" s="699">
        <f>IFERROR(Producción_Agricola[[#This Row],[Intereses $Corrientes]]/Producción_Agricola[[#This Row],[Indexación Financiero]],0)</f>
        <v>0</v>
      </c>
      <c r="AA25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53" s="701">
        <f>IFERROR(INDEX(Produccion_Agricola_Cuentas[],MATCH(Producción_Agricola[[#This Row],[Cuenta Contable]],Produccion_Agricola_Cuentas[Cuenta Contable],0),2),0)</f>
        <v>0</v>
      </c>
      <c r="AC253" s="702">
        <f>IFERROR(INDEX(Tabla9[],MATCH(Producción_Agricola[[#This Row],[Movimiento]],Tabla9[Movimientos],0),2),0)</f>
        <v>0</v>
      </c>
      <c r="AD253" s="703">
        <f>IFERROR(INDEX(Tabla9[],MATCH(Producción_Agricola[[#This Row],[Movimiento]],Tabla9[Movimientos],0),3),0)</f>
        <v>0</v>
      </c>
      <c r="AE253" s="698">
        <f>IF(Producción_Agricola[[#This Row],[Fecha Económico]]=0,0,MONTH(Producción_Agricola[[#This Row],[Fecha Económico]]))</f>
        <v>0</v>
      </c>
      <c r="AF253" s="699">
        <f>IF(Producción_Agricola[[#This Row],[Fecha Económico]]=0,0,YEAR(Producción_Agricola[[#This Row],[Fecha Económico]]))</f>
        <v>0</v>
      </c>
      <c r="AG253" s="704">
        <f>SUMPRODUCT((Producción_Agricola[[#This Row],[Mes Económico]]=Tipo_Cambio[Mes])*(Producción_Agricola[[#This Row],[Año Económico]]=Tipo_Cambio[Año])*(Tipo_Cambio[$/U$S]))</f>
        <v>0</v>
      </c>
      <c r="AH253" s="703">
        <f>SUMPRODUCT((Producción_Agricola[[#This Row],[Mes Económico]]=Tipo_Cambio[Mes])*(Producción_Agricola[[#This Row],[Año Económico]]=Tipo_Cambio[Año])*(Tipo_Cambio[Actualización]))</f>
        <v>0</v>
      </c>
      <c r="AI253" s="699">
        <f>IF(ISNUMBER(Producción_Agricola[[#This Row],[Fecha Financiero]])=TRUE,MONTH(Producción_Agricola[[#This Row],[Fecha Financiero]]),0)</f>
        <v>0</v>
      </c>
      <c r="AJ253" s="699">
        <f>IF(ISNUMBER(Producción_Agricola[[#This Row],[Fecha Financiero]])=TRUE,YEAR(Producción_Agricola[[#This Row],[Fecha Financiero]]),0)</f>
        <v>0</v>
      </c>
      <c r="AK253" s="704">
        <f>SUMPRODUCT((Producción_Agricola[[#This Row],[Mes Financiero]]=Tipo_Cambio[Mes])*(Producción_Agricola[[#This Row],[Año Financiero]]=Tipo_Cambio[Año])*(Tipo_Cambio[$/U$S]))</f>
        <v>0</v>
      </c>
      <c r="AL253" s="704">
        <f>SUMPRODUCT((Producción_Agricola[[#This Row],[Mes Financiero]]=Tipo_Cambio[Mes])*(Producción_Agricola[[#This Row],[Año Financiero]]=Tipo_Cambio[Año])*(Tipo_Cambio[Actualización]))</f>
        <v>0</v>
      </c>
      <c r="AM253" s="709">
        <f>IFERROR(Producción_Agricola[[#This Row],[Económico $Corrientes]]/Producción_Agricola[[#This Row],[Superficie]],0)</f>
        <v>0</v>
      </c>
      <c r="AN253" s="712">
        <f>IFERROR(Producción_Agricola[[#This Row],[Económico $Constantes]]/Producción_Agricola[[#This Row],[Superficie]],0)</f>
        <v>0</v>
      </c>
      <c r="AO253" s="712">
        <f>IFERROR(Producción_Agricola[[#This Row],[Económico U$S Dólares]]/Producción_Agricola[[#This Row],[Superficie]],0)</f>
        <v>0</v>
      </c>
      <c r="AP253" s="711">
        <f>IF(Económico!$F$4=0,0,Producción_Agricola[[#This Row],[Centro de Costo]])</f>
        <v>0</v>
      </c>
      <c r="AQ253" s="512"/>
      <c r="AR253" s="513"/>
      <c r="AS253"/>
    </row>
    <row r="254" spans="4:45" x14ac:dyDescent="0.25">
      <c r="D254" s="478"/>
      <c r="E254" s="478"/>
      <c r="F254" s="668">
        <f t="shared" si="50"/>
        <v>0</v>
      </c>
      <c r="G254" s="673">
        <f t="shared" si="51"/>
        <v>0</v>
      </c>
      <c r="H254" s="673">
        <f t="shared" si="52"/>
        <v>0</v>
      </c>
      <c r="I254" s="675">
        <f>IFERROR(INDEX(Tabla8[],MATCH(Producción_Agricola[[#This Row],[Unidad de Negocio]],Tabla8[Unidades de Negocio],0),2),0)</f>
        <v>0</v>
      </c>
      <c r="J25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54" s="488"/>
      <c r="L254" s="482"/>
      <c r="M254" s="483"/>
      <c r="N254" s="484"/>
      <c r="O254" s="690">
        <f>Producción_Agricola[[#This Row],[Superficie]]*Producción_Agricola[[#This Row],[Cantidad]]</f>
        <v>0</v>
      </c>
      <c r="P254" s="482"/>
      <c r="Q254" s="484"/>
      <c r="R254" s="485"/>
      <c r="S25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54" s="695">
        <f>IFERROR(Producción_Agricola[[#This Row],[Económico $Corrientes]]/Producción_Agricola[[#This Row],[Indexación Económico]],0)</f>
        <v>0</v>
      </c>
      <c r="U25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5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54" s="695">
        <f>IFERROR(Producción_Agricola[[#This Row],[Financiero $Corrientes]]/Producción_Agricola[[#This Row],[Indexación Financiero]],0)</f>
        <v>0</v>
      </c>
      <c r="X25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5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54" s="699">
        <f>IFERROR(Producción_Agricola[[#This Row],[Intereses $Corrientes]]/Producción_Agricola[[#This Row],[Indexación Financiero]],0)</f>
        <v>0</v>
      </c>
      <c r="AA25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54" s="701">
        <f>IFERROR(INDEX(Produccion_Agricola_Cuentas[],MATCH(Producción_Agricola[[#This Row],[Cuenta Contable]],Produccion_Agricola_Cuentas[Cuenta Contable],0),2),0)</f>
        <v>0</v>
      </c>
      <c r="AC254" s="702">
        <f>IFERROR(INDEX(Tabla9[],MATCH(Producción_Agricola[[#This Row],[Movimiento]],Tabla9[Movimientos],0),2),0)</f>
        <v>0</v>
      </c>
      <c r="AD254" s="703">
        <f>IFERROR(INDEX(Tabla9[],MATCH(Producción_Agricola[[#This Row],[Movimiento]],Tabla9[Movimientos],0),3),0)</f>
        <v>0</v>
      </c>
      <c r="AE254" s="698">
        <f>IF(Producción_Agricola[[#This Row],[Fecha Económico]]=0,0,MONTH(Producción_Agricola[[#This Row],[Fecha Económico]]))</f>
        <v>0</v>
      </c>
      <c r="AF254" s="699">
        <f>IF(Producción_Agricola[[#This Row],[Fecha Económico]]=0,0,YEAR(Producción_Agricola[[#This Row],[Fecha Económico]]))</f>
        <v>0</v>
      </c>
      <c r="AG254" s="704">
        <f>SUMPRODUCT((Producción_Agricola[[#This Row],[Mes Económico]]=Tipo_Cambio[Mes])*(Producción_Agricola[[#This Row],[Año Económico]]=Tipo_Cambio[Año])*(Tipo_Cambio[$/U$S]))</f>
        <v>0</v>
      </c>
      <c r="AH254" s="703">
        <f>SUMPRODUCT((Producción_Agricola[[#This Row],[Mes Económico]]=Tipo_Cambio[Mes])*(Producción_Agricola[[#This Row],[Año Económico]]=Tipo_Cambio[Año])*(Tipo_Cambio[Actualización]))</f>
        <v>0</v>
      </c>
      <c r="AI254" s="699">
        <f>IF(ISNUMBER(Producción_Agricola[[#This Row],[Fecha Financiero]])=TRUE,MONTH(Producción_Agricola[[#This Row],[Fecha Financiero]]),0)</f>
        <v>0</v>
      </c>
      <c r="AJ254" s="699">
        <f>IF(ISNUMBER(Producción_Agricola[[#This Row],[Fecha Financiero]])=TRUE,YEAR(Producción_Agricola[[#This Row],[Fecha Financiero]]),0)</f>
        <v>0</v>
      </c>
      <c r="AK254" s="704">
        <f>SUMPRODUCT((Producción_Agricola[[#This Row],[Mes Financiero]]=Tipo_Cambio[Mes])*(Producción_Agricola[[#This Row],[Año Financiero]]=Tipo_Cambio[Año])*(Tipo_Cambio[$/U$S]))</f>
        <v>0</v>
      </c>
      <c r="AL254" s="704">
        <f>SUMPRODUCT((Producción_Agricola[[#This Row],[Mes Financiero]]=Tipo_Cambio[Mes])*(Producción_Agricola[[#This Row],[Año Financiero]]=Tipo_Cambio[Año])*(Tipo_Cambio[Actualización]))</f>
        <v>0</v>
      </c>
      <c r="AM254" s="709">
        <f>IFERROR(Producción_Agricola[[#This Row],[Económico $Corrientes]]/Producción_Agricola[[#This Row],[Superficie]],0)</f>
        <v>0</v>
      </c>
      <c r="AN254" s="712">
        <f>IFERROR(Producción_Agricola[[#This Row],[Económico $Constantes]]/Producción_Agricola[[#This Row],[Superficie]],0)</f>
        <v>0</v>
      </c>
      <c r="AO254" s="712">
        <f>IFERROR(Producción_Agricola[[#This Row],[Económico U$S Dólares]]/Producción_Agricola[[#This Row],[Superficie]],0)</f>
        <v>0</v>
      </c>
      <c r="AP254" s="711">
        <f>IF(Económico!$F$4=0,0,Producción_Agricola[[#This Row],[Centro de Costo]])</f>
        <v>0</v>
      </c>
      <c r="AQ254" s="512"/>
      <c r="AR254" s="513"/>
      <c r="AS254"/>
    </row>
    <row r="255" spans="4:45" x14ac:dyDescent="0.25">
      <c r="D255" s="478"/>
      <c r="E255" s="478"/>
      <c r="F255" s="668">
        <f t="shared" si="50"/>
        <v>0</v>
      </c>
      <c r="G255" s="673">
        <f t="shared" si="51"/>
        <v>0</v>
      </c>
      <c r="H255" s="673">
        <f t="shared" si="52"/>
        <v>0</v>
      </c>
      <c r="I255" s="675">
        <f>IFERROR(INDEX(Tabla8[],MATCH(Producción_Agricola[[#This Row],[Unidad de Negocio]],Tabla8[Unidades de Negocio],0),2),0)</f>
        <v>0</v>
      </c>
      <c r="J25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55" s="488"/>
      <c r="L255" s="482"/>
      <c r="M255" s="483"/>
      <c r="N255" s="484"/>
      <c r="O255" s="690">
        <f>Producción_Agricola[[#This Row],[Superficie]]*Producción_Agricola[[#This Row],[Cantidad]]</f>
        <v>0</v>
      </c>
      <c r="P255" s="482"/>
      <c r="Q255" s="484"/>
      <c r="R255" s="485"/>
      <c r="S25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55" s="695">
        <f>IFERROR(Producción_Agricola[[#This Row],[Económico $Corrientes]]/Producción_Agricola[[#This Row],[Indexación Económico]],0)</f>
        <v>0</v>
      </c>
      <c r="U25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5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55" s="695">
        <f>IFERROR(Producción_Agricola[[#This Row],[Financiero $Corrientes]]/Producción_Agricola[[#This Row],[Indexación Financiero]],0)</f>
        <v>0</v>
      </c>
      <c r="X25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5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55" s="699">
        <f>IFERROR(Producción_Agricola[[#This Row],[Intereses $Corrientes]]/Producción_Agricola[[#This Row],[Indexación Financiero]],0)</f>
        <v>0</v>
      </c>
      <c r="AA25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55" s="701">
        <f>IFERROR(INDEX(Produccion_Agricola_Cuentas[],MATCH(Producción_Agricola[[#This Row],[Cuenta Contable]],Produccion_Agricola_Cuentas[Cuenta Contable],0),2),0)</f>
        <v>0</v>
      </c>
      <c r="AC255" s="702">
        <f>IFERROR(INDEX(Tabla9[],MATCH(Producción_Agricola[[#This Row],[Movimiento]],Tabla9[Movimientos],0),2),0)</f>
        <v>0</v>
      </c>
      <c r="AD255" s="703">
        <f>IFERROR(INDEX(Tabla9[],MATCH(Producción_Agricola[[#This Row],[Movimiento]],Tabla9[Movimientos],0),3),0)</f>
        <v>0</v>
      </c>
      <c r="AE255" s="698">
        <f>IF(Producción_Agricola[[#This Row],[Fecha Económico]]=0,0,MONTH(Producción_Agricola[[#This Row],[Fecha Económico]]))</f>
        <v>0</v>
      </c>
      <c r="AF255" s="699">
        <f>IF(Producción_Agricola[[#This Row],[Fecha Económico]]=0,0,YEAR(Producción_Agricola[[#This Row],[Fecha Económico]]))</f>
        <v>0</v>
      </c>
      <c r="AG255" s="704">
        <f>SUMPRODUCT((Producción_Agricola[[#This Row],[Mes Económico]]=Tipo_Cambio[Mes])*(Producción_Agricola[[#This Row],[Año Económico]]=Tipo_Cambio[Año])*(Tipo_Cambio[$/U$S]))</f>
        <v>0</v>
      </c>
      <c r="AH255" s="703">
        <f>SUMPRODUCT((Producción_Agricola[[#This Row],[Mes Económico]]=Tipo_Cambio[Mes])*(Producción_Agricola[[#This Row],[Año Económico]]=Tipo_Cambio[Año])*(Tipo_Cambio[Actualización]))</f>
        <v>0</v>
      </c>
      <c r="AI255" s="699">
        <f>IF(ISNUMBER(Producción_Agricola[[#This Row],[Fecha Financiero]])=TRUE,MONTH(Producción_Agricola[[#This Row],[Fecha Financiero]]),0)</f>
        <v>0</v>
      </c>
      <c r="AJ255" s="699">
        <f>IF(ISNUMBER(Producción_Agricola[[#This Row],[Fecha Financiero]])=TRUE,YEAR(Producción_Agricola[[#This Row],[Fecha Financiero]]),0)</f>
        <v>0</v>
      </c>
      <c r="AK255" s="704">
        <f>SUMPRODUCT((Producción_Agricola[[#This Row],[Mes Financiero]]=Tipo_Cambio[Mes])*(Producción_Agricola[[#This Row],[Año Financiero]]=Tipo_Cambio[Año])*(Tipo_Cambio[$/U$S]))</f>
        <v>0</v>
      </c>
      <c r="AL255" s="704">
        <f>SUMPRODUCT((Producción_Agricola[[#This Row],[Mes Financiero]]=Tipo_Cambio[Mes])*(Producción_Agricola[[#This Row],[Año Financiero]]=Tipo_Cambio[Año])*(Tipo_Cambio[Actualización]))</f>
        <v>0</v>
      </c>
      <c r="AM255" s="709">
        <f>IFERROR(Producción_Agricola[[#This Row],[Económico $Corrientes]]/Producción_Agricola[[#This Row],[Superficie]],0)</f>
        <v>0</v>
      </c>
      <c r="AN255" s="712">
        <f>IFERROR(Producción_Agricola[[#This Row],[Económico $Constantes]]/Producción_Agricola[[#This Row],[Superficie]],0)</f>
        <v>0</v>
      </c>
      <c r="AO255" s="712">
        <f>IFERROR(Producción_Agricola[[#This Row],[Económico U$S Dólares]]/Producción_Agricola[[#This Row],[Superficie]],0)</f>
        <v>0</v>
      </c>
      <c r="AP255" s="711">
        <f>IF(Económico!$F$4=0,0,Producción_Agricola[[#This Row],[Centro de Costo]])</f>
        <v>0</v>
      </c>
      <c r="AQ255" s="512"/>
      <c r="AR255" s="513"/>
      <c r="AS255"/>
    </row>
    <row r="256" spans="4:45" x14ac:dyDescent="0.25">
      <c r="D256" s="478"/>
      <c r="E256" s="478"/>
      <c r="F256" s="668">
        <f t="shared" si="50"/>
        <v>0</v>
      </c>
      <c r="G256" s="673">
        <f t="shared" si="51"/>
        <v>0</v>
      </c>
      <c r="H256" s="673">
        <f t="shared" si="52"/>
        <v>0</v>
      </c>
      <c r="I256" s="675">
        <f>IFERROR(INDEX(Tabla8[],MATCH(Producción_Agricola[[#This Row],[Unidad de Negocio]],Tabla8[Unidades de Negocio],0),2),0)</f>
        <v>0</v>
      </c>
      <c r="J25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56" s="488"/>
      <c r="L256" s="482"/>
      <c r="M256" s="483"/>
      <c r="N256" s="484"/>
      <c r="O256" s="690">
        <f>Producción_Agricola[[#This Row],[Superficie]]*Producción_Agricola[[#This Row],[Cantidad]]</f>
        <v>0</v>
      </c>
      <c r="P256" s="482"/>
      <c r="Q256" s="484"/>
      <c r="R256" s="485"/>
      <c r="S25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56" s="695">
        <f>IFERROR(Producción_Agricola[[#This Row],[Económico $Corrientes]]/Producción_Agricola[[#This Row],[Indexación Económico]],0)</f>
        <v>0</v>
      </c>
      <c r="U25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5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56" s="695">
        <f>IFERROR(Producción_Agricola[[#This Row],[Financiero $Corrientes]]/Producción_Agricola[[#This Row],[Indexación Financiero]],0)</f>
        <v>0</v>
      </c>
      <c r="X25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5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56" s="699">
        <f>IFERROR(Producción_Agricola[[#This Row],[Intereses $Corrientes]]/Producción_Agricola[[#This Row],[Indexación Financiero]],0)</f>
        <v>0</v>
      </c>
      <c r="AA25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56" s="701">
        <f>IFERROR(INDEX(Produccion_Agricola_Cuentas[],MATCH(Producción_Agricola[[#This Row],[Cuenta Contable]],Produccion_Agricola_Cuentas[Cuenta Contable],0),2),0)</f>
        <v>0</v>
      </c>
      <c r="AC256" s="702">
        <f>IFERROR(INDEX(Tabla9[],MATCH(Producción_Agricola[[#This Row],[Movimiento]],Tabla9[Movimientos],0),2),0)</f>
        <v>0</v>
      </c>
      <c r="AD256" s="703">
        <f>IFERROR(INDEX(Tabla9[],MATCH(Producción_Agricola[[#This Row],[Movimiento]],Tabla9[Movimientos],0),3),0)</f>
        <v>0</v>
      </c>
      <c r="AE256" s="698">
        <f>IF(Producción_Agricola[[#This Row],[Fecha Económico]]=0,0,MONTH(Producción_Agricola[[#This Row],[Fecha Económico]]))</f>
        <v>0</v>
      </c>
      <c r="AF256" s="699">
        <f>IF(Producción_Agricola[[#This Row],[Fecha Económico]]=0,0,YEAR(Producción_Agricola[[#This Row],[Fecha Económico]]))</f>
        <v>0</v>
      </c>
      <c r="AG256" s="704">
        <f>SUMPRODUCT((Producción_Agricola[[#This Row],[Mes Económico]]=Tipo_Cambio[Mes])*(Producción_Agricola[[#This Row],[Año Económico]]=Tipo_Cambio[Año])*(Tipo_Cambio[$/U$S]))</f>
        <v>0</v>
      </c>
      <c r="AH256" s="703">
        <f>SUMPRODUCT((Producción_Agricola[[#This Row],[Mes Económico]]=Tipo_Cambio[Mes])*(Producción_Agricola[[#This Row],[Año Económico]]=Tipo_Cambio[Año])*(Tipo_Cambio[Actualización]))</f>
        <v>0</v>
      </c>
      <c r="AI256" s="699">
        <f>IF(ISNUMBER(Producción_Agricola[[#This Row],[Fecha Financiero]])=TRUE,MONTH(Producción_Agricola[[#This Row],[Fecha Financiero]]),0)</f>
        <v>0</v>
      </c>
      <c r="AJ256" s="699">
        <f>IF(ISNUMBER(Producción_Agricola[[#This Row],[Fecha Financiero]])=TRUE,YEAR(Producción_Agricola[[#This Row],[Fecha Financiero]]),0)</f>
        <v>0</v>
      </c>
      <c r="AK256" s="704">
        <f>SUMPRODUCT((Producción_Agricola[[#This Row],[Mes Financiero]]=Tipo_Cambio[Mes])*(Producción_Agricola[[#This Row],[Año Financiero]]=Tipo_Cambio[Año])*(Tipo_Cambio[$/U$S]))</f>
        <v>0</v>
      </c>
      <c r="AL256" s="704">
        <f>SUMPRODUCT((Producción_Agricola[[#This Row],[Mes Financiero]]=Tipo_Cambio[Mes])*(Producción_Agricola[[#This Row],[Año Financiero]]=Tipo_Cambio[Año])*(Tipo_Cambio[Actualización]))</f>
        <v>0</v>
      </c>
      <c r="AM256" s="709">
        <f>IFERROR(Producción_Agricola[[#This Row],[Económico $Corrientes]]/Producción_Agricola[[#This Row],[Superficie]],0)</f>
        <v>0</v>
      </c>
      <c r="AN256" s="712">
        <f>IFERROR(Producción_Agricola[[#This Row],[Económico $Constantes]]/Producción_Agricola[[#This Row],[Superficie]],0)</f>
        <v>0</v>
      </c>
      <c r="AO256" s="712">
        <f>IFERROR(Producción_Agricola[[#This Row],[Económico U$S Dólares]]/Producción_Agricola[[#This Row],[Superficie]],0)</f>
        <v>0</v>
      </c>
      <c r="AP256" s="711">
        <f>IF(Económico!$F$4=0,0,Producción_Agricola[[#This Row],[Centro de Costo]])</f>
        <v>0</v>
      </c>
      <c r="AQ256" s="512"/>
      <c r="AR256" s="513"/>
      <c r="AS256"/>
    </row>
    <row r="257" spans="1:45" x14ac:dyDescent="0.25">
      <c r="D257" s="478"/>
      <c r="E257" s="478"/>
      <c r="F257" s="668">
        <f t="shared" si="50"/>
        <v>0</v>
      </c>
      <c r="G257" s="673">
        <f t="shared" si="51"/>
        <v>0</v>
      </c>
      <c r="H257" s="673">
        <f t="shared" si="52"/>
        <v>0</v>
      </c>
      <c r="I257" s="675">
        <f>IFERROR(INDEX(Tabla8[],MATCH(Producción_Agricola[[#This Row],[Unidad de Negocio]],Tabla8[Unidades de Negocio],0),2),0)</f>
        <v>0</v>
      </c>
      <c r="J25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57" s="488"/>
      <c r="L257" s="482"/>
      <c r="M257" s="483"/>
      <c r="N257" s="484"/>
      <c r="O257" s="690">
        <f>Producción_Agricola[[#This Row],[Superficie]]*Producción_Agricola[[#This Row],[Cantidad]]</f>
        <v>0</v>
      </c>
      <c r="P257" s="482"/>
      <c r="Q257" s="484"/>
      <c r="R257" s="485"/>
      <c r="S25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57" s="695">
        <f>IFERROR(Producción_Agricola[[#This Row],[Económico $Corrientes]]/Producción_Agricola[[#This Row],[Indexación Económico]],0)</f>
        <v>0</v>
      </c>
      <c r="U25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5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57" s="695">
        <f>IFERROR(Producción_Agricola[[#This Row],[Financiero $Corrientes]]/Producción_Agricola[[#This Row],[Indexación Financiero]],0)</f>
        <v>0</v>
      </c>
      <c r="X25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5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57" s="699">
        <f>IFERROR(Producción_Agricola[[#This Row],[Intereses $Corrientes]]/Producción_Agricola[[#This Row],[Indexación Financiero]],0)</f>
        <v>0</v>
      </c>
      <c r="AA25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57" s="701">
        <f>IFERROR(INDEX(Produccion_Agricola_Cuentas[],MATCH(Producción_Agricola[[#This Row],[Cuenta Contable]],Produccion_Agricola_Cuentas[Cuenta Contable],0),2),0)</f>
        <v>0</v>
      </c>
      <c r="AC257" s="702">
        <f>IFERROR(INDEX(Tabla9[],MATCH(Producción_Agricola[[#This Row],[Movimiento]],Tabla9[Movimientos],0),2),0)</f>
        <v>0</v>
      </c>
      <c r="AD257" s="703">
        <f>IFERROR(INDEX(Tabla9[],MATCH(Producción_Agricola[[#This Row],[Movimiento]],Tabla9[Movimientos],0),3),0)</f>
        <v>0</v>
      </c>
      <c r="AE257" s="698">
        <f>IF(Producción_Agricola[[#This Row],[Fecha Económico]]=0,0,MONTH(Producción_Agricola[[#This Row],[Fecha Económico]]))</f>
        <v>0</v>
      </c>
      <c r="AF257" s="699">
        <f>IF(Producción_Agricola[[#This Row],[Fecha Económico]]=0,0,YEAR(Producción_Agricola[[#This Row],[Fecha Económico]]))</f>
        <v>0</v>
      </c>
      <c r="AG257" s="704">
        <f>SUMPRODUCT((Producción_Agricola[[#This Row],[Mes Económico]]=Tipo_Cambio[Mes])*(Producción_Agricola[[#This Row],[Año Económico]]=Tipo_Cambio[Año])*(Tipo_Cambio[$/U$S]))</f>
        <v>0</v>
      </c>
      <c r="AH257" s="703">
        <f>SUMPRODUCT((Producción_Agricola[[#This Row],[Mes Económico]]=Tipo_Cambio[Mes])*(Producción_Agricola[[#This Row],[Año Económico]]=Tipo_Cambio[Año])*(Tipo_Cambio[Actualización]))</f>
        <v>0</v>
      </c>
      <c r="AI257" s="699">
        <f>IF(ISNUMBER(Producción_Agricola[[#This Row],[Fecha Financiero]])=TRUE,MONTH(Producción_Agricola[[#This Row],[Fecha Financiero]]),0)</f>
        <v>0</v>
      </c>
      <c r="AJ257" s="699">
        <f>IF(ISNUMBER(Producción_Agricola[[#This Row],[Fecha Financiero]])=TRUE,YEAR(Producción_Agricola[[#This Row],[Fecha Financiero]]),0)</f>
        <v>0</v>
      </c>
      <c r="AK257" s="704">
        <f>SUMPRODUCT((Producción_Agricola[[#This Row],[Mes Financiero]]=Tipo_Cambio[Mes])*(Producción_Agricola[[#This Row],[Año Financiero]]=Tipo_Cambio[Año])*(Tipo_Cambio[$/U$S]))</f>
        <v>0</v>
      </c>
      <c r="AL257" s="704">
        <f>SUMPRODUCT((Producción_Agricola[[#This Row],[Mes Financiero]]=Tipo_Cambio[Mes])*(Producción_Agricola[[#This Row],[Año Financiero]]=Tipo_Cambio[Año])*(Tipo_Cambio[Actualización]))</f>
        <v>0</v>
      </c>
      <c r="AM257" s="709">
        <f>IFERROR(Producción_Agricola[[#This Row],[Económico $Corrientes]]/Producción_Agricola[[#This Row],[Superficie]],0)</f>
        <v>0</v>
      </c>
      <c r="AN257" s="712">
        <f>IFERROR(Producción_Agricola[[#This Row],[Económico $Constantes]]/Producción_Agricola[[#This Row],[Superficie]],0)</f>
        <v>0</v>
      </c>
      <c r="AO257" s="712">
        <f>IFERROR(Producción_Agricola[[#This Row],[Económico U$S Dólares]]/Producción_Agricola[[#This Row],[Superficie]],0)</f>
        <v>0</v>
      </c>
      <c r="AP257" s="711">
        <f>IF(Económico!$F$4=0,0,Producción_Agricola[[#This Row],[Centro de Costo]])</f>
        <v>0</v>
      </c>
      <c r="AQ257" s="512"/>
      <c r="AR257" s="513"/>
      <c r="AS257"/>
    </row>
    <row r="258" spans="1:45" x14ac:dyDescent="0.25">
      <c r="D258" s="478"/>
      <c r="E258" s="478"/>
      <c r="F258" s="668">
        <f t="shared" si="50"/>
        <v>0</v>
      </c>
      <c r="G258" s="673">
        <f t="shared" si="51"/>
        <v>0</v>
      </c>
      <c r="H258" s="673">
        <f t="shared" si="52"/>
        <v>0</v>
      </c>
      <c r="I258" s="675">
        <f>IFERROR(INDEX(Tabla8[],MATCH(Producción_Agricola[[#This Row],[Unidad de Negocio]],Tabla8[Unidades de Negocio],0),2),0)</f>
        <v>0</v>
      </c>
      <c r="J25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58" s="488"/>
      <c r="L258" s="482"/>
      <c r="M258" s="483"/>
      <c r="N258" s="484"/>
      <c r="O258" s="690">
        <f>Producción_Agricola[[#This Row],[Superficie]]*Producción_Agricola[[#This Row],[Cantidad]]</f>
        <v>0</v>
      </c>
      <c r="P258" s="482"/>
      <c r="Q258" s="484"/>
      <c r="R258" s="485"/>
      <c r="S25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58" s="695">
        <f>IFERROR(Producción_Agricola[[#This Row],[Económico $Corrientes]]/Producción_Agricola[[#This Row],[Indexación Económico]],0)</f>
        <v>0</v>
      </c>
      <c r="U25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5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58" s="695">
        <f>IFERROR(Producción_Agricola[[#This Row],[Financiero $Corrientes]]/Producción_Agricola[[#This Row],[Indexación Financiero]],0)</f>
        <v>0</v>
      </c>
      <c r="X25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5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58" s="699">
        <f>IFERROR(Producción_Agricola[[#This Row],[Intereses $Corrientes]]/Producción_Agricola[[#This Row],[Indexación Financiero]],0)</f>
        <v>0</v>
      </c>
      <c r="AA25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58" s="701">
        <f>IFERROR(INDEX(Produccion_Agricola_Cuentas[],MATCH(Producción_Agricola[[#This Row],[Cuenta Contable]],Produccion_Agricola_Cuentas[Cuenta Contable],0),2),0)</f>
        <v>0</v>
      </c>
      <c r="AC258" s="702">
        <f>IFERROR(INDEX(Tabla9[],MATCH(Producción_Agricola[[#This Row],[Movimiento]],Tabla9[Movimientos],0),2),0)</f>
        <v>0</v>
      </c>
      <c r="AD258" s="703">
        <f>IFERROR(INDEX(Tabla9[],MATCH(Producción_Agricola[[#This Row],[Movimiento]],Tabla9[Movimientos],0),3),0)</f>
        <v>0</v>
      </c>
      <c r="AE258" s="698">
        <f>IF(Producción_Agricola[[#This Row],[Fecha Económico]]=0,0,MONTH(Producción_Agricola[[#This Row],[Fecha Económico]]))</f>
        <v>0</v>
      </c>
      <c r="AF258" s="699">
        <f>IF(Producción_Agricola[[#This Row],[Fecha Económico]]=0,0,YEAR(Producción_Agricola[[#This Row],[Fecha Económico]]))</f>
        <v>0</v>
      </c>
      <c r="AG258" s="704">
        <f>SUMPRODUCT((Producción_Agricola[[#This Row],[Mes Económico]]=Tipo_Cambio[Mes])*(Producción_Agricola[[#This Row],[Año Económico]]=Tipo_Cambio[Año])*(Tipo_Cambio[$/U$S]))</f>
        <v>0</v>
      </c>
      <c r="AH258" s="703">
        <f>SUMPRODUCT((Producción_Agricola[[#This Row],[Mes Económico]]=Tipo_Cambio[Mes])*(Producción_Agricola[[#This Row],[Año Económico]]=Tipo_Cambio[Año])*(Tipo_Cambio[Actualización]))</f>
        <v>0</v>
      </c>
      <c r="AI258" s="699">
        <f>IF(ISNUMBER(Producción_Agricola[[#This Row],[Fecha Financiero]])=TRUE,MONTH(Producción_Agricola[[#This Row],[Fecha Financiero]]),0)</f>
        <v>0</v>
      </c>
      <c r="AJ258" s="699">
        <f>IF(ISNUMBER(Producción_Agricola[[#This Row],[Fecha Financiero]])=TRUE,YEAR(Producción_Agricola[[#This Row],[Fecha Financiero]]),0)</f>
        <v>0</v>
      </c>
      <c r="AK258" s="704">
        <f>SUMPRODUCT((Producción_Agricola[[#This Row],[Mes Financiero]]=Tipo_Cambio[Mes])*(Producción_Agricola[[#This Row],[Año Financiero]]=Tipo_Cambio[Año])*(Tipo_Cambio[$/U$S]))</f>
        <v>0</v>
      </c>
      <c r="AL258" s="704">
        <f>SUMPRODUCT((Producción_Agricola[[#This Row],[Mes Financiero]]=Tipo_Cambio[Mes])*(Producción_Agricola[[#This Row],[Año Financiero]]=Tipo_Cambio[Año])*(Tipo_Cambio[Actualización]))</f>
        <v>0</v>
      </c>
      <c r="AM258" s="709">
        <f>IFERROR(Producción_Agricola[[#This Row],[Económico $Corrientes]]/Producción_Agricola[[#This Row],[Superficie]],0)</f>
        <v>0</v>
      </c>
      <c r="AN258" s="712">
        <f>IFERROR(Producción_Agricola[[#This Row],[Económico $Constantes]]/Producción_Agricola[[#This Row],[Superficie]],0)</f>
        <v>0</v>
      </c>
      <c r="AO258" s="712">
        <f>IFERROR(Producción_Agricola[[#This Row],[Económico U$S Dólares]]/Producción_Agricola[[#This Row],[Superficie]],0)</f>
        <v>0</v>
      </c>
      <c r="AP258" s="711">
        <f>IF(Económico!$F$4=0,0,Producción_Agricola[[#This Row],[Centro de Costo]])</f>
        <v>0</v>
      </c>
      <c r="AQ258" s="512"/>
      <c r="AR258" s="513"/>
      <c r="AS258"/>
    </row>
    <row r="259" spans="1:45" x14ac:dyDescent="0.25">
      <c r="D259" s="478"/>
      <c r="E259" s="478"/>
      <c r="F259" s="668">
        <f t="shared" si="50"/>
        <v>0</v>
      </c>
      <c r="G259" s="673">
        <f t="shared" si="51"/>
        <v>0</v>
      </c>
      <c r="H259" s="673">
        <f t="shared" si="52"/>
        <v>0</v>
      </c>
      <c r="I259" s="675">
        <f>IFERROR(INDEX(Tabla8[],MATCH(Producción_Agricola[[#This Row],[Unidad de Negocio]],Tabla8[Unidades de Negocio],0),2),0)</f>
        <v>0</v>
      </c>
      <c r="J25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59" s="488"/>
      <c r="L259" s="482"/>
      <c r="M259" s="483"/>
      <c r="N259" s="484"/>
      <c r="O259" s="690">
        <f>Producción_Agricola[[#This Row],[Superficie]]*Producción_Agricola[[#This Row],[Cantidad]]</f>
        <v>0</v>
      </c>
      <c r="P259" s="482"/>
      <c r="Q259" s="484"/>
      <c r="R259" s="485"/>
      <c r="S25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59" s="695">
        <f>IFERROR(Producción_Agricola[[#This Row],[Económico $Corrientes]]/Producción_Agricola[[#This Row],[Indexación Económico]],0)</f>
        <v>0</v>
      </c>
      <c r="U25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5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59" s="695">
        <f>IFERROR(Producción_Agricola[[#This Row],[Financiero $Corrientes]]/Producción_Agricola[[#This Row],[Indexación Financiero]],0)</f>
        <v>0</v>
      </c>
      <c r="X25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5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59" s="699">
        <f>IFERROR(Producción_Agricola[[#This Row],[Intereses $Corrientes]]/Producción_Agricola[[#This Row],[Indexación Financiero]],0)</f>
        <v>0</v>
      </c>
      <c r="AA25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59" s="701">
        <f>IFERROR(INDEX(Produccion_Agricola_Cuentas[],MATCH(Producción_Agricola[[#This Row],[Cuenta Contable]],Produccion_Agricola_Cuentas[Cuenta Contable],0),2),0)</f>
        <v>0</v>
      </c>
      <c r="AC259" s="702">
        <f>IFERROR(INDEX(Tabla9[],MATCH(Producción_Agricola[[#This Row],[Movimiento]],Tabla9[Movimientos],0),2),0)</f>
        <v>0</v>
      </c>
      <c r="AD259" s="703">
        <f>IFERROR(INDEX(Tabla9[],MATCH(Producción_Agricola[[#This Row],[Movimiento]],Tabla9[Movimientos],0),3),0)</f>
        <v>0</v>
      </c>
      <c r="AE259" s="698">
        <f>IF(Producción_Agricola[[#This Row],[Fecha Económico]]=0,0,MONTH(Producción_Agricola[[#This Row],[Fecha Económico]]))</f>
        <v>0</v>
      </c>
      <c r="AF259" s="699">
        <f>IF(Producción_Agricola[[#This Row],[Fecha Económico]]=0,0,YEAR(Producción_Agricola[[#This Row],[Fecha Económico]]))</f>
        <v>0</v>
      </c>
      <c r="AG259" s="704">
        <f>SUMPRODUCT((Producción_Agricola[[#This Row],[Mes Económico]]=Tipo_Cambio[Mes])*(Producción_Agricola[[#This Row],[Año Económico]]=Tipo_Cambio[Año])*(Tipo_Cambio[$/U$S]))</f>
        <v>0</v>
      </c>
      <c r="AH259" s="703">
        <f>SUMPRODUCT((Producción_Agricola[[#This Row],[Mes Económico]]=Tipo_Cambio[Mes])*(Producción_Agricola[[#This Row],[Año Económico]]=Tipo_Cambio[Año])*(Tipo_Cambio[Actualización]))</f>
        <v>0</v>
      </c>
      <c r="AI259" s="699">
        <f>IF(ISNUMBER(Producción_Agricola[[#This Row],[Fecha Financiero]])=TRUE,MONTH(Producción_Agricola[[#This Row],[Fecha Financiero]]),0)</f>
        <v>0</v>
      </c>
      <c r="AJ259" s="699">
        <f>IF(ISNUMBER(Producción_Agricola[[#This Row],[Fecha Financiero]])=TRUE,YEAR(Producción_Agricola[[#This Row],[Fecha Financiero]]),0)</f>
        <v>0</v>
      </c>
      <c r="AK259" s="704">
        <f>SUMPRODUCT((Producción_Agricola[[#This Row],[Mes Financiero]]=Tipo_Cambio[Mes])*(Producción_Agricola[[#This Row],[Año Financiero]]=Tipo_Cambio[Año])*(Tipo_Cambio[$/U$S]))</f>
        <v>0</v>
      </c>
      <c r="AL259" s="704">
        <f>SUMPRODUCT((Producción_Agricola[[#This Row],[Mes Financiero]]=Tipo_Cambio[Mes])*(Producción_Agricola[[#This Row],[Año Financiero]]=Tipo_Cambio[Año])*(Tipo_Cambio[Actualización]))</f>
        <v>0</v>
      </c>
      <c r="AM259" s="709">
        <f>IFERROR(Producción_Agricola[[#This Row],[Económico $Corrientes]]/Producción_Agricola[[#This Row],[Superficie]],0)</f>
        <v>0</v>
      </c>
      <c r="AN259" s="712">
        <f>IFERROR(Producción_Agricola[[#This Row],[Económico $Constantes]]/Producción_Agricola[[#This Row],[Superficie]],0)</f>
        <v>0</v>
      </c>
      <c r="AO259" s="712">
        <f>IFERROR(Producción_Agricola[[#This Row],[Económico U$S Dólares]]/Producción_Agricola[[#This Row],[Superficie]],0)</f>
        <v>0</v>
      </c>
      <c r="AP259" s="711">
        <f>IF(Económico!$F$4=0,0,Producción_Agricola[[#This Row],[Centro de Costo]])</f>
        <v>0</v>
      </c>
      <c r="AQ259" s="512"/>
      <c r="AR259" s="513"/>
      <c r="AS259"/>
    </row>
    <row r="260" spans="1:45" x14ac:dyDescent="0.25">
      <c r="D260" s="478"/>
      <c r="E260" s="478"/>
      <c r="F260" s="668">
        <f t="shared" si="50"/>
        <v>0</v>
      </c>
      <c r="G260" s="673">
        <f t="shared" si="51"/>
        <v>0</v>
      </c>
      <c r="H260" s="673">
        <f t="shared" si="52"/>
        <v>0</v>
      </c>
      <c r="I260" s="675">
        <f>IFERROR(INDEX(Tabla8[],MATCH(Producción_Agricola[[#This Row],[Unidad de Negocio]],Tabla8[Unidades de Negocio],0),2),0)</f>
        <v>0</v>
      </c>
      <c r="J26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60" s="488"/>
      <c r="L260" s="482"/>
      <c r="M260" s="483"/>
      <c r="N260" s="484"/>
      <c r="O260" s="690">
        <f>Producción_Agricola[[#This Row],[Superficie]]*Producción_Agricola[[#This Row],[Cantidad]]</f>
        <v>0</v>
      </c>
      <c r="P260" s="482"/>
      <c r="Q260" s="484"/>
      <c r="R260" s="485"/>
      <c r="S26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60" s="695">
        <f>IFERROR(Producción_Agricola[[#This Row],[Económico $Corrientes]]/Producción_Agricola[[#This Row],[Indexación Económico]],0)</f>
        <v>0</v>
      </c>
      <c r="U26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6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60" s="695">
        <f>IFERROR(Producción_Agricola[[#This Row],[Financiero $Corrientes]]/Producción_Agricola[[#This Row],[Indexación Financiero]],0)</f>
        <v>0</v>
      </c>
      <c r="X26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6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60" s="699">
        <f>IFERROR(Producción_Agricola[[#This Row],[Intereses $Corrientes]]/Producción_Agricola[[#This Row],[Indexación Financiero]],0)</f>
        <v>0</v>
      </c>
      <c r="AA26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60" s="701">
        <f>IFERROR(INDEX(Produccion_Agricola_Cuentas[],MATCH(Producción_Agricola[[#This Row],[Cuenta Contable]],Produccion_Agricola_Cuentas[Cuenta Contable],0),2),0)</f>
        <v>0</v>
      </c>
      <c r="AC260" s="702">
        <f>IFERROR(INDEX(Tabla9[],MATCH(Producción_Agricola[[#This Row],[Movimiento]],Tabla9[Movimientos],0),2),0)</f>
        <v>0</v>
      </c>
      <c r="AD260" s="703">
        <f>IFERROR(INDEX(Tabla9[],MATCH(Producción_Agricola[[#This Row],[Movimiento]],Tabla9[Movimientos],0),3),0)</f>
        <v>0</v>
      </c>
      <c r="AE260" s="698">
        <f>IF(Producción_Agricola[[#This Row],[Fecha Económico]]=0,0,MONTH(Producción_Agricola[[#This Row],[Fecha Económico]]))</f>
        <v>0</v>
      </c>
      <c r="AF260" s="699">
        <f>IF(Producción_Agricola[[#This Row],[Fecha Económico]]=0,0,YEAR(Producción_Agricola[[#This Row],[Fecha Económico]]))</f>
        <v>0</v>
      </c>
      <c r="AG260" s="704">
        <f>SUMPRODUCT((Producción_Agricola[[#This Row],[Mes Económico]]=Tipo_Cambio[Mes])*(Producción_Agricola[[#This Row],[Año Económico]]=Tipo_Cambio[Año])*(Tipo_Cambio[$/U$S]))</f>
        <v>0</v>
      </c>
      <c r="AH260" s="703">
        <f>SUMPRODUCT((Producción_Agricola[[#This Row],[Mes Económico]]=Tipo_Cambio[Mes])*(Producción_Agricola[[#This Row],[Año Económico]]=Tipo_Cambio[Año])*(Tipo_Cambio[Actualización]))</f>
        <v>0</v>
      </c>
      <c r="AI260" s="699">
        <f>IF(ISNUMBER(Producción_Agricola[[#This Row],[Fecha Financiero]])=TRUE,MONTH(Producción_Agricola[[#This Row],[Fecha Financiero]]),0)</f>
        <v>0</v>
      </c>
      <c r="AJ260" s="699">
        <f>IF(ISNUMBER(Producción_Agricola[[#This Row],[Fecha Financiero]])=TRUE,YEAR(Producción_Agricola[[#This Row],[Fecha Financiero]]),0)</f>
        <v>0</v>
      </c>
      <c r="AK260" s="704">
        <f>SUMPRODUCT((Producción_Agricola[[#This Row],[Mes Financiero]]=Tipo_Cambio[Mes])*(Producción_Agricola[[#This Row],[Año Financiero]]=Tipo_Cambio[Año])*(Tipo_Cambio[$/U$S]))</f>
        <v>0</v>
      </c>
      <c r="AL260" s="704">
        <f>SUMPRODUCT((Producción_Agricola[[#This Row],[Mes Financiero]]=Tipo_Cambio[Mes])*(Producción_Agricola[[#This Row],[Año Financiero]]=Tipo_Cambio[Año])*(Tipo_Cambio[Actualización]))</f>
        <v>0</v>
      </c>
      <c r="AM260" s="709">
        <f>IFERROR(Producción_Agricola[[#This Row],[Económico $Corrientes]]/Producción_Agricola[[#This Row],[Superficie]],0)</f>
        <v>0</v>
      </c>
      <c r="AN260" s="712">
        <f>IFERROR(Producción_Agricola[[#This Row],[Económico $Constantes]]/Producción_Agricola[[#This Row],[Superficie]],0)</f>
        <v>0</v>
      </c>
      <c r="AO260" s="712">
        <f>IFERROR(Producción_Agricola[[#This Row],[Económico U$S Dólares]]/Producción_Agricola[[#This Row],[Superficie]],0)</f>
        <v>0</v>
      </c>
      <c r="AP260" s="711">
        <f>IF(Económico!$F$4=0,0,Producción_Agricola[[#This Row],[Centro de Costo]])</f>
        <v>0</v>
      </c>
      <c r="AQ260" s="512"/>
      <c r="AR260" s="513"/>
      <c r="AS260"/>
    </row>
    <row r="261" spans="1:45" x14ac:dyDescent="0.25">
      <c r="D261" s="478"/>
      <c r="E261" s="478"/>
      <c r="F261" s="668">
        <f t="shared" si="50"/>
        <v>0</v>
      </c>
      <c r="G261" s="673">
        <f t="shared" si="51"/>
        <v>0</v>
      </c>
      <c r="H261" s="673">
        <f t="shared" si="52"/>
        <v>0</v>
      </c>
      <c r="I261" s="675">
        <f>IFERROR(INDEX(Tabla8[],MATCH(Producción_Agricola[[#This Row],[Unidad de Negocio]],Tabla8[Unidades de Negocio],0),2),0)</f>
        <v>0</v>
      </c>
      <c r="J26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61" s="488"/>
      <c r="L261" s="482"/>
      <c r="M261" s="483"/>
      <c r="N261" s="484"/>
      <c r="O261" s="690">
        <f>Producción_Agricola[[#This Row],[Superficie]]*Producción_Agricola[[#This Row],[Cantidad]]</f>
        <v>0</v>
      </c>
      <c r="P261" s="482"/>
      <c r="Q261" s="484"/>
      <c r="R261" s="485"/>
      <c r="S26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61" s="695">
        <f>IFERROR(Producción_Agricola[[#This Row],[Económico $Corrientes]]/Producción_Agricola[[#This Row],[Indexación Económico]],0)</f>
        <v>0</v>
      </c>
      <c r="U26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6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61" s="695">
        <f>IFERROR(Producción_Agricola[[#This Row],[Financiero $Corrientes]]/Producción_Agricola[[#This Row],[Indexación Financiero]],0)</f>
        <v>0</v>
      </c>
      <c r="X26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6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61" s="699">
        <f>IFERROR(Producción_Agricola[[#This Row],[Intereses $Corrientes]]/Producción_Agricola[[#This Row],[Indexación Financiero]],0)</f>
        <v>0</v>
      </c>
      <c r="AA26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61" s="701">
        <f>IFERROR(INDEX(Produccion_Agricola_Cuentas[],MATCH(Producción_Agricola[[#This Row],[Cuenta Contable]],Produccion_Agricola_Cuentas[Cuenta Contable],0),2),0)</f>
        <v>0</v>
      </c>
      <c r="AC261" s="702">
        <f>IFERROR(INDEX(Tabla9[],MATCH(Producción_Agricola[[#This Row],[Movimiento]],Tabla9[Movimientos],0),2),0)</f>
        <v>0</v>
      </c>
      <c r="AD261" s="703">
        <f>IFERROR(INDEX(Tabla9[],MATCH(Producción_Agricola[[#This Row],[Movimiento]],Tabla9[Movimientos],0),3),0)</f>
        <v>0</v>
      </c>
      <c r="AE261" s="698">
        <f>IF(Producción_Agricola[[#This Row],[Fecha Económico]]=0,0,MONTH(Producción_Agricola[[#This Row],[Fecha Económico]]))</f>
        <v>0</v>
      </c>
      <c r="AF261" s="699">
        <f>IF(Producción_Agricola[[#This Row],[Fecha Económico]]=0,0,YEAR(Producción_Agricola[[#This Row],[Fecha Económico]]))</f>
        <v>0</v>
      </c>
      <c r="AG261" s="704">
        <f>SUMPRODUCT((Producción_Agricola[[#This Row],[Mes Económico]]=Tipo_Cambio[Mes])*(Producción_Agricola[[#This Row],[Año Económico]]=Tipo_Cambio[Año])*(Tipo_Cambio[$/U$S]))</f>
        <v>0</v>
      </c>
      <c r="AH261" s="703">
        <f>SUMPRODUCT((Producción_Agricola[[#This Row],[Mes Económico]]=Tipo_Cambio[Mes])*(Producción_Agricola[[#This Row],[Año Económico]]=Tipo_Cambio[Año])*(Tipo_Cambio[Actualización]))</f>
        <v>0</v>
      </c>
      <c r="AI261" s="699">
        <f>IF(ISNUMBER(Producción_Agricola[[#This Row],[Fecha Financiero]])=TRUE,MONTH(Producción_Agricola[[#This Row],[Fecha Financiero]]),0)</f>
        <v>0</v>
      </c>
      <c r="AJ261" s="699">
        <f>IF(ISNUMBER(Producción_Agricola[[#This Row],[Fecha Financiero]])=TRUE,YEAR(Producción_Agricola[[#This Row],[Fecha Financiero]]),0)</f>
        <v>0</v>
      </c>
      <c r="AK261" s="704">
        <f>SUMPRODUCT((Producción_Agricola[[#This Row],[Mes Financiero]]=Tipo_Cambio[Mes])*(Producción_Agricola[[#This Row],[Año Financiero]]=Tipo_Cambio[Año])*(Tipo_Cambio[$/U$S]))</f>
        <v>0</v>
      </c>
      <c r="AL261" s="704">
        <f>SUMPRODUCT((Producción_Agricola[[#This Row],[Mes Financiero]]=Tipo_Cambio[Mes])*(Producción_Agricola[[#This Row],[Año Financiero]]=Tipo_Cambio[Año])*(Tipo_Cambio[Actualización]))</f>
        <v>0</v>
      </c>
      <c r="AM261" s="709">
        <f>IFERROR(Producción_Agricola[[#This Row],[Económico $Corrientes]]/Producción_Agricola[[#This Row],[Superficie]],0)</f>
        <v>0</v>
      </c>
      <c r="AN261" s="712">
        <f>IFERROR(Producción_Agricola[[#This Row],[Económico $Constantes]]/Producción_Agricola[[#This Row],[Superficie]],0)</f>
        <v>0</v>
      </c>
      <c r="AO261" s="712">
        <f>IFERROR(Producción_Agricola[[#This Row],[Económico U$S Dólares]]/Producción_Agricola[[#This Row],[Superficie]],0)</f>
        <v>0</v>
      </c>
      <c r="AP261" s="711">
        <f>IF(Económico!$F$4=0,0,Producción_Agricola[[#This Row],[Centro de Costo]])</f>
        <v>0</v>
      </c>
      <c r="AQ261" s="512"/>
      <c r="AR261" s="513"/>
      <c r="AS261"/>
    </row>
    <row r="262" spans="1:45" x14ac:dyDescent="0.25">
      <c r="D262" s="478"/>
      <c r="E262" s="478"/>
      <c r="F262" s="668">
        <f t="shared" si="50"/>
        <v>0</v>
      </c>
      <c r="G262" s="673">
        <f t="shared" si="51"/>
        <v>0</v>
      </c>
      <c r="H262" s="673">
        <f t="shared" si="52"/>
        <v>0</v>
      </c>
      <c r="I262" s="675">
        <f>IFERROR(INDEX(Tabla8[],MATCH(Producción_Agricola[[#This Row],[Unidad de Negocio]],Tabla8[Unidades de Negocio],0),2),0)</f>
        <v>0</v>
      </c>
      <c r="J26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62" s="488"/>
      <c r="L262" s="482"/>
      <c r="M262" s="483"/>
      <c r="N262" s="484"/>
      <c r="O262" s="690">
        <f>Producción_Agricola[[#This Row],[Superficie]]*Producción_Agricola[[#This Row],[Cantidad]]</f>
        <v>0</v>
      </c>
      <c r="P262" s="482"/>
      <c r="Q262" s="484"/>
      <c r="R262" s="485"/>
      <c r="S26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62" s="695">
        <f>IFERROR(Producción_Agricola[[#This Row],[Económico $Corrientes]]/Producción_Agricola[[#This Row],[Indexación Económico]],0)</f>
        <v>0</v>
      </c>
      <c r="U26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6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62" s="695">
        <f>IFERROR(Producción_Agricola[[#This Row],[Financiero $Corrientes]]/Producción_Agricola[[#This Row],[Indexación Financiero]],0)</f>
        <v>0</v>
      </c>
      <c r="X26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6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62" s="699">
        <f>IFERROR(Producción_Agricola[[#This Row],[Intereses $Corrientes]]/Producción_Agricola[[#This Row],[Indexación Financiero]],0)</f>
        <v>0</v>
      </c>
      <c r="AA26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62" s="701">
        <f>IFERROR(INDEX(Produccion_Agricola_Cuentas[],MATCH(Producción_Agricola[[#This Row],[Cuenta Contable]],Produccion_Agricola_Cuentas[Cuenta Contable],0),2),0)</f>
        <v>0</v>
      </c>
      <c r="AC262" s="702">
        <f>IFERROR(INDEX(Tabla9[],MATCH(Producción_Agricola[[#This Row],[Movimiento]],Tabla9[Movimientos],0),2),0)</f>
        <v>0</v>
      </c>
      <c r="AD262" s="703">
        <f>IFERROR(INDEX(Tabla9[],MATCH(Producción_Agricola[[#This Row],[Movimiento]],Tabla9[Movimientos],0),3),0)</f>
        <v>0</v>
      </c>
      <c r="AE262" s="698">
        <f>IF(Producción_Agricola[[#This Row],[Fecha Económico]]=0,0,MONTH(Producción_Agricola[[#This Row],[Fecha Económico]]))</f>
        <v>0</v>
      </c>
      <c r="AF262" s="699">
        <f>IF(Producción_Agricola[[#This Row],[Fecha Económico]]=0,0,YEAR(Producción_Agricola[[#This Row],[Fecha Económico]]))</f>
        <v>0</v>
      </c>
      <c r="AG262" s="704">
        <f>SUMPRODUCT((Producción_Agricola[[#This Row],[Mes Económico]]=Tipo_Cambio[Mes])*(Producción_Agricola[[#This Row],[Año Económico]]=Tipo_Cambio[Año])*(Tipo_Cambio[$/U$S]))</f>
        <v>0</v>
      </c>
      <c r="AH262" s="703">
        <f>SUMPRODUCT((Producción_Agricola[[#This Row],[Mes Económico]]=Tipo_Cambio[Mes])*(Producción_Agricola[[#This Row],[Año Económico]]=Tipo_Cambio[Año])*(Tipo_Cambio[Actualización]))</f>
        <v>0</v>
      </c>
      <c r="AI262" s="699">
        <f>IF(ISNUMBER(Producción_Agricola[[#This Row],[Fecha Financiero]])=TRUE,MONTH(Producción_Agricola[[#This Row],[Fecha Financiero]]),0)</f>
        <v>0</v>
      </c>
      <c r="AJ262" s="699">
        <f>IF(ISNUMBER(Producción_Agricola[[#This Row],[Fecha Financiero]])=TRUE,YEAR(Producción_Agricola[[#This Row],[Fecha Financiero]]),0)</f>
        <v>0</v>
      </c>
      <c r="AK262" s="704">
        <f>SUMPRODUCT((Producción_Agricola[[#This Row],[Mes Financiero]]=Tipo_Cambio[Mes])*(Producción_Agricola[[#This Row],[Año Financiero]]=Tipo_Cambio[Año])*(Tipo_Cambio[$/U$S]))</f>
        <v>0</v>
      </c>
      <c r="AL262" s="704">
        <f>SUMPRODUCT((Producción_Agricola[[#This Row],[Mes Financiero]]=Tipo_Cambio[Mes])*(Producción_Agricola[[#This Row],[Año Financiero]]=Tipo_Cambio[Año])*(Tipo_Cambio[Actualización]))</f>
        <v>0</v>
      </c>
      <c r="AM262" s="709">
        <f>IFERROR(Producción_Agricola[[#This Row],[Económico $Corrientes]]/Producción_Agricola[[#This Row],[Superficie]],0)</f>
        <v>0</v>
      </c>
      <c r="AN262" s="712">
        <f>IFERROR(Producción_Agricola[[#This Row],[Económico $Constantes]]/Producción_Agricola[[#This Row],[Superficie]],0)</f>
        <v>0</v>
      </c>
      <c r="AO262" s="712">
        <f>IFERROR(Producción_Agricola[[#This Row],[Económico U$S Dólares]]/Producción_Agricola[[#This Row],[Superficie]],0)</f>
        <v>0</v>
      </c>
      <c r="AP262" s="711">
        <f>IF(Económico!$F$4=0,0,Producción_Agricola[[#This Row],[Centro de Costo]])</f>
        <v>0</v>
      </c>
      <c r="AQ262" s="512"/>
      <c r="AR262" s="513"/>
      <c r="AS262"/>
    </row>
    <row r="263" spans="1:45" x14ac:dyDescent="0.25">
      <c r="D263" s="478"/>
      <c r="E263" s="478"/>
      <c r="F263" s="668">
        <f t="shared" si="50"/>
        <v>0</v>
      </c>
      <c r="G263" s="673">
        <f t="shared" si="51"/>
        <v>0</v>
      </c>
      <c r="H263" s="673">
        <f t="shared" si="52"/>
        <v>0</v>
      </c>
      <c r="I263" s="675">
        <f>IFERROR(INDEX(Tabla8[],MATCH(Producción_Agricola[[#This Row],[Unidad de Negocio]],Tabla8[Unidades de Negocio],0),2),0)</f>
        <v>0</v>
      </c>
      <c r="J26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63" s="488"/>
      <c r="L263" s="482"/>
      <c r="M263" s="483"/>
      <c r="N263" s="484"/>
      <c r="O263" s="690">
        <f>Producción_Agricola[[#This Row],[Superficie]]*Producción_Agricola[[#This Row],[Cantidad]]</f>
        <v>0</v>
      </c>
      <c r="P263" s="482"/>
      <c r="Q263" s="484"/>
      <c r="R263" s="485"/>
      <c r="S26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63" s="695">
        <f>IFERROR(Producción_Agricola[[#This Row],[Económico $Corrientes]]/Producción_Agricola[[#This Row],[Indexación Económico]],0)</f>
        <v>0</v>
      </c>
      <c r="U26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6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63" s="695">
        <f>IFERROR(Producción_Agricola[[#This Row],[Financiero $Corrientes]]/Producción_Agricola[[#This Row],[Indexación Financiero]],0)</f>
        <v>0</v>
      </c>
      <c r="X26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6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63" s="699">
        <f>IFERROR(Producción_Agricola[[#This Row],[Intereses $Corrientes]]/Producción_Agricola[[#This Row],[Indexación Financiero]],0)</f>
        <v>0</v>
      </c>
      <c r="AA26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63" s="701">
        <f>IFERROR(INDEX(Produccion_Agricola_Cuentas[],MATCH(Producción_Agricola[[#This Row],[Cuenta Contable]],Produccion_Agricola_Cuentas[Cuenta Contable],0),2),0)</f>
        <v>0</v>
      </c>
      <c r="AC263" s="702">
        <f>IFERROR(INDEX(Tabla9[],MATCH(Producción_Agricola[[#This Row],[Movimiento]],Tabla9[Movimientos],0),2),0)</f>
        <v>0</v>
      </c>
      <c r="AD263" s="703">
        <f>IFERROR(INDEX(Tabla9[],MATCH(Producción_Agricola[[#This Row],[Movimiento]],Tabla9[Movimientos],0),3),0)</f>
        <v>0</v>
      </c>
      <c r="AE263" s="698">
        <f>IF(Producción_Agricola[[#This Row],[Fecha Económico]]=0,0,MONTH(Producción_Agricola[[#This Row],[Fecha Económico]]))</f>
        <v>0</v>
      </c>
      <c r="AF263" s="699">
        <f>IF(Producción_Agricola[[#This Row],[Fecha Económico]]=0,0,YEAR(Producción_Agricola[[#This Row],[Fecha Económico]]))</f>
        <v>0</v>
      </c>
      <c r="AG263" s="704">
        <f>SUMPRODUCT((Producción_Agricola[[#This Row],[Mes Económico]]=Tipo_Cambio[Mes])*(Producción_Agricola[[#This Row],[Año Económico]]=Tipo_Cambio[Año])*(Tipo_Cambio[$/U$S]))</f>
        <v>0</v>
      </c>
      <c r="AH263" s="703">
        <f>SUMPRODUCT((Producción_Agricola[[#This Row],[Mes Económico]]=Tipo_Cambio[Mes])*(Producción_Agricola[[#This Row],[Año Económico]]=Tipo_Cambio[Año])*(Tipo_Cambio[Actualización]))</f>
        <v>0</v>
      </c>
      <c r="AI263" s="699">
        <f>IF(ISNUMBER(Producción_Agricola[[#This Row],[Fecha Financiero]])=TRUE,MONTH(Producción_Agricola[[#This Row],[Fecha Financiero]]),0)</f>
        <v>0</v>
      </c>
      <c r="AJ263" s="699">
        <f>IF(ISNUMBER(Producción_Agricola[[#This Row],[Fecha Financiero]])=TRUE,YEAR(Producción_Agricola[[#This Row],[Fecha Financiero]]),0)</f>
        <v>0</v>
      </c>
      <c r="AK263" s="704">
        <f>SUMPRODUCT((Producción_Agricola[[#This Row],[Mes Financiero]]=Tipo_Cambio[Mes])*(Producción_Agricola[[#This Row],[Año Financiero]]=Tipo_Cambio[Año])*(Tipo_Cambio[$/U$S]))</f>
        <v>0</v>
      </c>
      <c r="AL263" s="704">
        <f>SUMPRODUCT((Producción_Agricola[[#This Row],[Mes Financiero]]=Tipo_Cambio[Mes])*(Producción_Agricola[[#This Row],[Año Financiero]]=Tipo_Cambio[Año])*(Tipo_Cambio[Actualización]))</f>
        <v>0</v>
      </c>
      <c r="AM263" s="709">
        <f>IFERROR(Producción_Agricola[[#This Row],[Económico $Corrientes]]/Producción_Agricola[[#This Row],[Superficie]],0)</f>
        <v>0</v>
      </c>
      <c r="AN263" s="712">
        <f>IFERROR(Producción_Agricola[[#This Row],[Económico $Constantes]]/Producción_Agricola[[#This Row],[Superficie]],0)</f>
        <v>0</v>
      </c>
      <c r="AO263" s="712">
        <f>IFERROR(Producción_Agricola[[#This Row],[Económico U$S Dólares]]/Producción_Agricola[[#This Row],[Superficie]],0)</f>
        <v>0</v>
      </c>
      <c r="AP263" s="711">
        <f>IF(Económico!$F$4=0,0,Producción_Agricola[[#This Row],[Centro de Costo]])</f>
        <v>0</v>
      </c>
      <c r="AQ263" s="512"/>
      <c r="AR263" s="513"/>
      <c r="AS263"/>
    </row>
    <row r="264" spans="1:45" x14ac:dyDescent="0.25">
      <c r="D264" s="478"/>
      <c r="E264" s="478"/>
      <c r="F264" s="668">
        <f t="shared" si="50"/>
        <v>0</v>
      </c>
      <c r="G264" s="673">
        <f t="shared" si="51"/>
        <v>0</v>
      </c>
      <c r="H264" s="673">
        <f t="shared" si="52"/>
        <v>0</v>
      </c>
      <c r="I264" s="675">
        <f>IFERROR(INDEX(Tabla8[],MATCH(Producción_Agricola[[#This Row],[Unidad de Negocio]],Tabla8[Unidades de Negocio],0),2),0)</f>
        <v>0</v>
      </c>
      <c r="J26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64" s="488"/>
      <c r="L264" s="482"/>
      <c r="M264" s="483"/>
      <c r="N264" s="484"/>
      <c r="O264" s="690">
        <f>Producción_Agricola[[#This Row],[Superficie]]*Producción_Agricola[[#This Row],[Cantidad]]</f>
        <v>0</v>
      </c>
      <c r="P264" s="482"/>
      <c r="Q264" s="484"/>
      <c r="R264" s="485"/>
      <c r="S26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64" s="695">
        <f>IFERROR(Producción_Agricola[[#This Row],[Económico $Corrientes]]/Producción_Agricola[[#This Row],[Indexación Económico]],0)</f>
        <v>0</v>
      </c>
      <c r="U26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6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64" s="695">
        <f>IFERROR(Producción_Agricola[[#This Row],[Financiero $Corrientes]]/Producción_Agricola[[#This Row],[Indexación Financiero]],0)</f>
        <v>0</v>
      </c>
      <c r="X26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6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64" s="699">
        <f>IFERROR(Producción_Agricola[[#This Row],[Intereses $Corrientes]]/Producción_Agricola[[#This Row],[Indexación Financiero]],0)</f>
        <v>0</v>
      </c>
      <c r="AA26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64" s="701">
        <f>IFERROR(INDEX(Produccion_Agricola_Cuentas[],MATCH(Producción_Agricola[[#This Row],[Cuenta Contable]],Produccion_Agricola_Cuentas[Cuenta Contable],0),2),0)</f>
        <v>0</v>
      </c>
      <c r="AC264" s="702">
        <f>IFERROR(INDEX(Tabla9[],MATCH(Producción_Agricola[[#This Row],[Movimiento]],Tabla9[Movimientos],0),2),0)</f>
        <v>0</v>
      </c>
      <c r="AD264" s="703">
        <f>IFERROR(INDEX(Tabla9[],MATCH(Producción_Agricola[[#This Row],[Movimiento]],Tabla9[Movimientos],0),3),0)</f>
        <v>0</v>
      </c>
      <c r="AE264" s="698">
        <f>IF(Producción_Agricola[[#This Row],[Fecha Económico]]=0,0,MONTH(Producción_Agricola[[#This Row],[Fecha Económico]]))</f>
        <v>0</v>
      </c>
      <c r="AF264" s="699">
        <f>IF(Producción_Agricola[[#This Row],[Fecha Económico]]=0,0,YEAR(Producción_Agricola[[#This Row],[Fecha Económico]]))</f>
        <v>0</v>
      </c>
      <c r="AG264" s="704">
        <f>SUMPRODUCT((Producción_Agricola[[#This Row],[Mes Económico]]=Tipo_Cambio[Mes])*(Producción_Agricola[[#This Row],[Año Económico]]=Tipo_Cambio[Año])*(Tipo_Cambio[$/U$S]))</f>
        <v>0</v>
      </c>
      <c r="AH264" s="703">
        <f>SUMPRODUCT((Producción_Agricola[[#This Row],[Mes Económico]]=Tipo_Cambio[Mes])*(Producción_Agricola[[#This Row],[Año Económico]]=Tipo_Cambio[Año])*(Tipo_Cambio[Actualización]))</f>
        <v>0</v>
      </c>
      <c r="AI264" s="699">
        <f>IF(ISNUMBER(Producción_Agricola[[#This Row],[Fecha Financiero]])=TRUE,MONTH(Producción_Agricola[[#This Row],[Fecha Financiero]]),0)</f>
        <v>0</v>
      </c>
      <c r="AJ264" s="699">
        <f>IF(ISNUMBER(Producción_Agricola[[#This Row],[Fecha Financiero]])=TRUE,YEAR(Producción_Agricola[[#This Row],[Fecha Financiero]]),0)</f>
        <v>0</v>
      </c>
      <c r="AK264" s="704">
        <f>SUMPRODUCT((Producción_Agricola[[#This Row],[Mes Financiero]]=Tipo_Cambio[Mes])*(Producción_Agricola[[#This Row],[Año Financiero]]=Tipo_Cambio[Año])*(Tipo_Cambio[$/U$S]))</f>
        <v>0</v>
      </c>
      <c r="AL264" s="704">
        <f>SUMPRODUCT((Producción_Agricola[[#This Row],[Mes Financiero]]=Tipo_Cambio[Mes])*(Producción_Agricola[[#This Row],[Año Financiero]]=Tipo_Cambio[Año])*(Tipo_Cambio[Actualización]))</f>
        <v>0</v>
      </c>
      <c r="AM264" s="709">
        <f>IFERROR(Producción_Agricola[[#This Row],[Económico $Corrientes]]/Producción_Agricola[[#This Row],[Superficie]],0)</f>
        <v>0</v>
      </c>
      <c r="AN264" s="712">
        <f>IFERROR(Producción_Agricola[[#This Row],[Económico $Constantes]]/Producción_Agricola[[#This Row],[Superficie]],0)</f>
        <v>0</v>
      </c>
      <c r="AO264" s="712">
        <f>IFERROR(Producción_Agricola[[#This Row],[Económico U$S Dólares]]/Producción_Agricola[[#This Row],[Superficie]],0)</f>
        <v>0</v>
      </c>
      <c r="AP264" s="711">
        <f>IF(Económico!$F$4=0,0,Producción_Agricola[[#This Row],[Centro de Costo]])</f>
        <v>0</v>
      </c>
      <c r="AQ264" s="512"/>
      <c r="AR264" s="513"/>
      <c r="AS264"/>
    </row>
    <row r="265" spans="1:45" x14ac:dyDescent="0.25">
      <c r="D265" s="478"/>
      <c r="E265" s="478"/>
      <c r="F265" s="668">
        <f t="shared" si="50"/>
        <v>0</v>
      </c>
      <c r="G265" s="673">
        <f t="shared" si="51"/>
        <v>0</v>
      </c>
      <c r="H265" s="673">
        <f t="shared" si="52"/>
        <v>0</v>
      </c>
      <c r="I265" s="675">
        <f>IFERROR(INDEX(Tabla8[],MATCH(Producción_Agricola[[#This Row],[Unidad de Negocio]],Tabla8[Unidades de Negocio],0),2),0)</f>
        <v>0</v>
      </c>
      <c r="J26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65" s="488"/>
      <c r="L265" s="482"/>
      <c r="M265" s="483"/>
      <c r="N265" s="484"/>
      <c r="O265" s="690">
        <f>Producción_Agricola[[#This Row],[Superficie]]*Producción_Agricola[[#This Row],[Cantidad]]</f>
        <v>0</v>
      </c>
      <c r="P265" s="482"/>
      <c r="Q265" s="484"/>
      <c r="R265" s="485"/>
      <c r="S26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65" s="695">
        <f>IFERROR(Producción_Agricola[[#This Row],[Económico $Corrientes]]/Producción_Agricola[[#This Row],[Indexación Económico]],0)</f>
        <v>0</v>
      </c>
      <c r="U26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6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65" s="695">
        <f>IFERROR(Producción_Agricola[[#This Row],[Financiero $Corrientes]]/Producción_Agricola[[#This Row],[Indexación Financiero]],0)</f>
        <v>0</v>
      </c>
      <c r="X26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6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65" s="699">
        <f>IFERROR(Producción_Agricola[[#This Row],[Intereses $Corrientes]]/Producción_Agricola[[#This Row],[Indexación Financiero]],0)</f>
        <v>0</v>
      </c>
      <c r="AA26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65" s="701">
        <f>IFERROR(INDEX(Produccion_Agricola_Cuentas[],MATCH(Producción_Agricola[[#This Row],[Cuenta Contable]],Produccion_Agricola_Cuentas[Cuenta Contable],0),2),0)</f>
        <v>0</v>
      </c>
      <c r="AC265" s="702">
        <f>IFERROR(INDEX(Tabla9[],MATCH(Producción_Agricola[[#This Row],[Movimiento]],Tabla9[Movimientos],0),2),0)</f>
        <v>0</v>
      </c>
      <c r="AD265" s="703">
        <f>IFERROR(INDEX(Tabla9[],MATCH(Producción_Agricola[[#This Row],[Movimiento]],Tabla9[Movimientos],0),3),0)</f>
        <v>0</v>
      </c>
      <c r="AE265" s="698">
        <f>IF(Producción_Agricola[[#This Row],[Fecha Económico]]=0,0,MONTH(Producción_Agricola[[#This Row],[Fecha Económico]]))</f>
        <v>0</v>
      </c>
      <c r="AF265" s="699">
        <f>IF(Producción_Agricola[[#This Row],[Fecha Económico]]=0,0,YEAR(Producción_Agricola[[#This Row],[Fecha Económico]]))</f>
        <v>0</v>
      </c>
      <c r="AG265" s="704">
        <f>SUMPRODUCT((Producción_Agricola[[#This Row],[Mes Económico]]=Tipo_Cambio[Mes])*(Producción_Agricola[[#This Row],[Año Económico]]=Tipo_Cambio[Año])*(Tipo_Cambio[$/U$S]))</f>
        <v>0</v>
      </c>
      <c r="AH265" s="703">
        <f>SUMPRODUCT((Producción_Agricola[[#This Row],[Mes Económico]]=Tipo_Cambio[Mes])*(Producción_Agricola[[#This Row],[Año Económico]]=Tipo_Cambio[Año])*(Tipo_Cambio[Actualización]))</f>
        <v>0</v>
      </c>
      <c r="AI265" s="699">
        <f>IF(ISNUMBER(Producción_Agricola[[#This Row],[Fecha Financiero]])=TRUE,MONTH(Producción_Agricola[[#This Row],[Fecha Financiero]]),0)</f>
        <v>0</v>
      </c>
      <c r="AJ265" s="699">
        <f>IF(ISNUMBER(Producción_Agricola[[#This Row],[Fecha Financiero]])=TRUE,YEAR(Producción_Agricola[[#This Row],[Fecha Financiero]]),0)</f>
        <v>0</v>
      </c>
      <c r="AK265" s="704">
        <f>SUMPRODUCT((Producción_Agricola[[#This Row],[Mes Financiero]]=Tipo_Cambio[Mes])*(Producción_Agricola[[#This Row],[Año Financiero]]=Tipo_Cambio[Año])*(Tipo_Cambio[$/U$S]))</f>
        <v>0</v>
      </c>
      <c r="AL265" s="704">
        <f>SUMPRODUCT((Producción_Agricola[[#This Row],[Mes Financiero]]=Tipo_Cambio[Mes])*(Producción_Agricola[[#This Row],[Año Financiero]]=Tipo_Cambio[Año])*(Tipo_Cambio[Actualización]))</f>
        <v>0</v>
      </c>
      <c r="AM265" s="709">
        <f>IFERROR(Producción_Agricola[[#This Row],[Económico $Corrientes]]/Producción_Agricola[[#This Row],[Superficie]],0)</f>
        <v>0</v>
      </c>
      <c r="AN265" s="712">
        <f>IFERROR(Producción_Agricola[[#This Row],[Económico $Constantes]]/Producción_Agricola[[#This Row],[Superficie]],0)</f>
        <v>0</v>
      </c>
      <c r="AO265" s="712">
        <f>IFERROR(Producción_Agricola[[#This Row],[Económico U$S Dólares]]/Producción_Agricola[[#This Row],[Superficie]],0)</f>
        <v>0</v>
      </c>
      <c r="AP265" s="711">
        <f>IF(Económico!$F$4=0,0,Producción_Agricola[[#This Row],[Centro de Costo]])</f>
        <v>0</v>
      </c>
      <c r="AQ265" s="512"/>
      <c r="AR265" s="513"/>
      <c r="AS265"/>
    </row>
    <row r="266" spans="1:45" x14ac:dyDescent="0.25">
      <c r="D266" s="478"/>
      <c r="E266" s="478"/>
      <c r="F266" s="668">
        <f t="shared" si="50"/>
        <v>0</v>
      </c>
      <c r="G266" s="673">
        <f t="shared" si="51"/>
        <v>0</v>
      </c>
      <c r="H266" s="673">
        <f t="shared" si="52"/>
        <v>0</v>
      </c>
      <c r="I266" s="675">
        <f>IFERROR(INDEX(Tabla8[],MATCH(Producción_Agricola[[#This Row],[Unidad de Negocio]],Tabla8[Unidades de Negocio],0),2),0)</f>
        <v>0</v>
      </c>
      <c r="J26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66" s="488"/>
      <c r="L266" s="482"/>
      <c r="M266" s="483"/>
      <c r="N266" s="484"/>
      <c r="O266" s="690">
        <f>Producción_Agricola[[#This Row],[Superficie]]*Producción_Agricola[[#This Row],[Cantidad]]</f>
        <v>0</v>
      </c>
      <c r="P266" s="482"/>
      <c r="Q266" s="484"/>
      <c r="R266" s="485"/>
      <c r="S26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66" s="695">
        <f>IFERROR(Producción_Agricola[[#This Row],[Económico $Corrientes]]/Producción_Agricola[[#This Row],[Indexación Económico]],0)</f>
        <v>0</v>
      </c>
      <c r="U26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6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66" s="695">
        <f>IFERROR(Producción_Agricola[[#This Row],[Financiero $Corrientes]]/Producción_Agricola[[#This Row],[Indexación Financiero]],0)</f>
        <v>0</v>
      </c>
      <c r="X26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6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66" s="699">
        <f>IFERROR(Producción_Agricola[[#This Row],[Intereses $Corrientes]]/Producción_Agricola[[#This Row],[Indexación Financiero]],0)</f>
        <v>0</v>
      </c>
      <c r="AA26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66" s="701">
        <f>IFERROR(INDEX(Produccion_Agricola_Cuentas[],MATCH(Producción_Agricola[[#This Row],[Cuenta Contable]],Produccion_Agricola_Cuentas[Cuenta Contable],0),2),0)</f>
        <v>0</v>
      </c>
      <c r="AC266" s="702">
        <f>IFERROR(INDEX(Tabla9[],MATCH(Producción_Agricola[[#This Row],[Movimiento]],Tabla9[Movimientos],0),2),0)</f>
        <v>0</v>
      </c>
      <c r="AD266" s="703">
        <f>IFERROR(INDEX(Tabla9[],MATCH(Producción_Agricola[[#This Row],[Movimiento]],Tabla9[Movimientos],0),3),0)</f>
        <v>0</v>
      </c>
      <c r="AE266" s="698">
        <f>IF(Producción_Agricola[[#This Row],[Fecha Económico]]=0,0,MONTH(Producción_Agricola[[#This Row],[Fecha Económico]]))</f>
        <v>0</v>
      </c>
      <c r="AF266" s="699">
        <f>IF(Producción_Agricola[[#This Row],[Fecha Económico]]=0,0,YEAR(Producción_Agricola[[#This Row],[Fecha Económico]]))</f>
        <v>0</v>
      </c>
      <c r="AG266" s="704">
        <f>SUMPRODUCT((Producción_Agricola[[#This Row],[Mes Económico]]=Tipo_Cambio[Mes])*(Producción_Agricola[[#This Row],[Año Económico]]=Tipo_Cambio[Año])*(Tipo_Cambio[$/U$S]))</f>
        <v>0</v>
      </c>
      <c r="AH266" s="703">
        <f>SUMPRODUCT((Producción_Agricola[[#This Row],[Mes Económico]]=Tipo_Cambio[Mes])*(Producción_Agricola[[#This Row],[Año Económico]]=Tipo_Cambio[Año])*(Tipo_Cambio[Actualización]))</f>
        <v>0</v>
      </c>
      <c r="AI266" s="699">
        <f>IF(ISNUMBER(Producción_Agricola[[#This Row],[Fecha Financiero]])=TRUE,MONTH(Producción_Agricola[[#This Row],[Fecha Financiero]]),0)</f>
        <v>0</v>
      </c>
      <c r="AJ266" s="699">
        <f>IF(ISNUMBER(Producción_Agricola[[#This Row],[Fecha Financiero]])=TRUE,YEAR(Producción_Agricola[[#This Row],[Fecha Financiero]]),0)</f>
        <v>0</v>
      </c>
      <c r="AK266" s="704">
        <f>SUMPRODUCT((Producción_Agricola[[#This Row],[Mes Financiero]]=Tipo_Cambio[Mes])*(Producción_Agricola[[#This Row],[Año Financiero]]=Tipo_Cambio[Año])*(Tipo_Cambio[$/U$S]))</f>
        <v>0</v>
      </c>
      <c r="AL266" s="704">
        <f>SUMPRODUCT((Producción_Agricola[[#This Row],[Mes Financiero]]=Tipo_Cambio[Mes])*(Producción_Agricola[[#This Row],[Año Financiero]]=Tipo_Cambio[Año])*(Tipo_Cambio[Actualización]))</f>
        <v>0</v>
      </c>
      <c r="AM266" s="709">
        <f>IFERROR(Producción_Agricola[[#This Row],[Económico $Corrientes]]/Producción_Agricola[[#This Row],[Superficie]],0)</f>
        <v>0</v>
      </c>
      <c r="AN266" s="712">
        <f>IFERROR(Producción_Agricola[[#This Row],[Económico $Constantes]]/Producción_Agricola[[#This Row],[Superficie]],0)</f>
        <v>0</v>
      </c>
      <c r="AO266" s="712">
        <f>IFERROR(Producción_Agricola[[#This Row],[Económico U$S Dólares]]/Producción_Agricola[[#This Row],[Superficie]],0)</f>
        <v>0</v>
      </c>
      <c r="AP266" s="711">
        <f>IF(Económico!$F$4=0,0,Producción_Agricola[[#This Row],[Centro de Costo]])</f>
        <v>0</v>
      </c>
      <c r="AQ266" s="512"/>
      <c r="AR266" s="513"/>
      <c r="AS266"/>
    </row>
    <row r="267" spans="1:45" x14ac:dyDescent="0.25">
      <c r="D267" s="478"/>
      <c r="E267" s="478"/>
      <c r="F267" s="668">
        <f t="shared" si="50"/>
        <v>0</v>
      </c>
      <c r="G267" s="673">
        <f t="shared" si="51"/>
        <v>0</v>
      </c>
      <c r="H267" s="673">
        <f t="shared" si="52"/>
        <v>0</v>
      </c>
      <c r="I267" s="675">
        <f>IFERROR(INDEX(Tabla8[],MATCH(Producción_Agricola[[#This Row],[Unidad de Negocio]],Tabla8[Unidades de Negocio],0),2),0)</f>
        <v>0</v>
      </c>
      <c r="J26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67" s="488"/>
      <c r="L267" s="482"/>
      <c r="M267" s="483"/>
      <c r="N267" s="484"/>
      <c r="O267" s="690">
        <f>Producción_Agricola[[#This Row],[Superficie]]*Producción_Agricola[[#This Row],[Cantidad]]</f>
        <v>0</v>
      </c>
      <c r="P267" s="482"/>
      <c r="Q267" s="484"/>
      <c r="R267" s="485"/>
      <c r="S26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67" s="695">
        <f>IFERROR(Producción_Agricola[[#This Row],[Económico $Corrientes]]/Producción_Agricola[[#This Row],[Indexación Económico]],0)</f>
        <v>0</v>
      </c>
      <c r="U26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6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67" s="695">
        <f>IFERROR(Producción_Agricola[[#This Row],[Financiero $Corrientes]]/Producción_Agricola[[#This Row],[Indexación Financiero]],0)</f>
        <v>0</v>
      </c>
      <c r="X26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6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67" s="699">
        <f>IFERROR(Producción_Agricola[[#This Row],[Intereses $Corrientes]]/Producción_Agricola[[#This Row],[Indexación Financiero]],0)</f>
        <v>0</v>
      </c>
      <c r="AA26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67" s="701">
        <f>IFERROR(INDEX(Produccion_Agricola_Cuentas[],MATCH(Producción_Agricola[[#This Row],[Cuenta Contable]],Produccion_Agricola_Cuentas[Cuenta Contable],0),2),0)</f>
        <v>0</v>
      </c>
      <c r="AC267" s="702">
        <f>IFERROR(INDEX(Tabla9[],MATCH(Producción_Agricola[[#This Row],[Movimiento]],Tabla9[Movimientos],0),2),0)</f>
        <v>0</v>
      </c>
      <c r="AD267" s="703">
        <f>IFERROR(INDEX(Tabla9[],MATCH(Producción_Agricola[[#This Row],[Movimiento]],Tabla9[Movimientos],0),3),0)</f>
        <v>0</v>
      </c>
      <c r="AE267" s="698">
        <f>IF(Producción_Agricola[[#This Row],[Fecha Económico]]=0,0,MONTH(Producción_Agricola[[#This Row],[Fecha Económico]]))</f>
        <v>0</v>
      </c>
      <c r="AF267" s="699">
        <f>IF(Producción_Agricola[[#This Row],[Fecha Económico]]=0,0,YEAR(Producción_Agricola[[#This Row],[Fecha Económico]]))</f>
        <v>0</v>
      </c>
      <c r="AG267" s="704">
        <f>SUMPRODUCT((Producción_Agricola[[#This Row],[Mes Económico]]=Tipo_Cambio[Mes])*(Producción_Agricola[[#This Row],[Año Económico]]=Tipo_Cambio[Año])*(Tipo_Cambio[$/U$S]))</f>
        <v>0</v>
      </c>
      <c r="AH267" s="703">
        <f>SUMPRODUCT((Producción_Agricola[[#This Row],[Mes Económico]]=Tipo_Cambio[Mes])*(Producción_Agricola[[#This Row],[Año Económico]]=Tipo_Cambio[Año])*(Tipo_Cambio[Actualización]))</f>
        <v>0</v>
      </c>
      <c r="AI267" s="699">
        <f>IF(ISNUMBER(Producción_Agricola[[#This Row],[Fecha Financiero]])=TRUE,MONTH(Producción_Agricola[[#This Row],[Fecha Financiero]]),0)</f>
        <v>0</v>
      </c>
      <c r="AJ267" s="699">
        <f>IF(ISNUMBER(Producción_Agricola[[#This Row],[Fecha Financiero]])=TRUE,YEAR(Producción_Agricola[[#This Row],[Fecha Financiero]]),0)</f>
        <v>0</v>
      </c>
      <c r="AK267" s="704">
        <f>SUMPRODUCT((Producción_Agricola[[#This Row],[Mes Financiero]]=Tipo_Cambio[Mes])*(Producción_Agricola[[#This Row],[Año Financiero]]=Tipo_Cambio[Año])*(Tipo_Cambio[$/U$S]))</f>
        <v>0</v>
      </c>
      <c r="AL267" s="704">
        <f>SUMPRODUCT((Producción_Agricola[[#This Row],[Mes Financiero]]=Tipo_Cambio[Mes])*(Producción_Agricola[[#This Row],[Año Financiero]]=Tipo_Cambio[Año])*(Tipo_Cambio[Actualización]))</f>
        <v>0</v>
      </c>
      <c r="AM267" s="709">
        <f>IFERROR(Producción_Agricola[[#This Row],[Económico $Corrientes]]/Producción_Agricola[[#This Row],[Superficie]],0)</f>
        <v>0</v>
      </c>
      <c r="AN267" s="712">
        <f>IFERROR(Producción_Agricola[[#This Row],[Económico $Constantes]]/Producción_Agricola[[#This Row],[Superficie]],0)</f>
        <v>0</v>
      </c>
      <c r="AO267" s="712">
        <f>IFERROR(Producción_Agricola[[#This Row],[Económico U$S Dólares]]/Producción_Agricola[[#This Row],[Superficie]],0)</f>
        <v>0</v>
      </c>
      <c r="AP267" s="711">
        <f>IF(Económico!$F$4=0,0,Producción_Agricola[[#This Row],[Centro de Costo]])</f>
        <v>0</v>
      </c>
      <c r="AQ267" s="512"/>
      <c r="AR267" s="513"/>
      <c r="AS267"/>
    </row>
    <row r="268" spans="1:45" x14ac:dyDescent="0.25">
      <c r="D268" s="478"/>
      <c r="E268" s="478"/>
      <c r="F268" s="668">
        <f t="shared" si="50"/>
        <v>0</v>
      </c>
      <c r="G268" s="673">
        <f t="shared" si="51"/>
        <v>0</v>
      </c>
      <c r="H268" s="673">
        <f t="shared" si="52"/>
        <v>0</v>
      </c>
      <c r="I268" s="675">
        <f>IFERROR(INDEX(Tabla8[],MATCH(Producción_Agricola[[#This Row],[Unidad de Negocio]],Tabla8[Unidades de Negocio],0),2),0)</f>
        <v>0</v>
      </c>
      <c r="J26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68" s="488"/>
      <c r="L268" s="482"/>
      <c r="M268" s="483"/>
      <c r="N268" s="484"/>
      <c r="O268" s="690">
        <f>Producción_Agricola[[#This Row],[Superficie]]*Producción_Agricola[[#This Row],[Cantidad]]</f>
        <v>0</v>
      </c>
      <c r="P268" s="482"/>
      <c r="Q268" s="484"/>
      <c r="R268" s="485"/>
      <c r="S26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68" s="695">
        <f>IFERROR(Producción_Agricola[[#This Row],[Económico $Corrientes]]/Producción_Agricola[[#This Row],[Indexación Económico]],0)</f>
        <v>0</v>
      </c>
      <c r="U26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6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68" s="695">
        <f>IFERROR(Producción_Agricola[[#This Row],[Financiero $Corrientes]]/Producción_Agricola[[#This Row],[Indexación Financiero]],0)</f>
        <v>0</v>
      </c>
      <c r="X26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6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68" s="699">
        <f>IFERROR(Producción_Agricola[[#This Row],[Intereses $Corrientes]]/Producción_Agricola[[#This Row],[Indexación Financiero]],0)</f>
        <v>0</v>
      </c>
      <c r="AA26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68" s="701">
        <f>IFERROR(INDEX(Produccion_Agricola_Cuentas[],MATCH(Producción_Agricola[[#This Row],[Cuenta Contable]],Produccion_Agricola_Cuentas[Cuenta Contable],0),2),0)</f>
        <v>0</v>
      </c>
      <c r="AC268" s="702">
        <f>IFERROR(INDEX(Tabla9[],MATCH(Producción_Agricola[[#This Row],[Movimiento]],Tabla9[Movimientos],0),2),0)</f>
        <v>0</v>
      </c>
      <c r="AD268" s="703">
        <f>IFERROR(INDEX(Tabla9[],MATCH(Producción_Agricola[[#This Row],[Movimiento]],Tabla9[Movimientos],0),3),0)</f>
        <v>0</v>
      </c>
      <c r="AE268" s="698">
        <f>IF(Producción_Agricola[[#This Row],[Fecha Económico]]=0,0,MONTH(Producción_Agricola[[#This Row],[Fecha Económico]]))</f>
        <v>0</v>
      </c>
      <c r="AF268" s="699">
        <f>IF(Producción_Agricola[[#This Row],[Fecha Económico]]=0,0,YEAR(Producción_Agricola[[#This Row],[Fecha Económico]]))</f>
        <v>0</v>
      </c>
      <c r="AG268" s="704">
        <f>SUMPRODUCT((Producción_Agricola[[#This Row],[Mes Económico]]=Tipo_Cambio[Mes])*(Producción_Agricola[[#This Row],[Año Económico]]=Tipo_Cambio[Año])*(Tipo_Cambio[$/U$S]))</f>
        <v>0</v>
      </c>
      <c r="AH268" s="703">
        <f>SUMPRODUCT((Producción_Agricola[[#This Row],[Mes Económico]]=Tipo_Cambio[Mes])*(Producción_Agricola[[#This Row],[Año Económico]]=Tipo_Cambio[Año])*(Tipo_Cambio[Actualización]))</f>
        <v>0</v>
      </c>
      <c r="AI268" s="699">
        <f>IF(ISNUMBER(Producción_Agricola[[#This Row],[Fecha Financiero]])=TRUE,MONTH(Producción_Agricola[[#This Row],[Fecha Financiero]]),0)</f>
        <v>0</v>
      </c>
      <c r="AJ268" s="699">
        <f>IF(ISNUMBER(Producción_Agricola[[#This Row],[Fecha Financiero]])=TRUE,YEAR(Producción_Agricola[[#This Row],[Fecha Financiero]]),0)</f>
        <v>0</v>
      </c>
      <c r="AK268" s="704">
        <f>SUMPRODUCT((Producción_Agricola[[#This Row],[Mes Financiero]]=Tipo_Cambio[Mes])*(Producción_Agricola[[#This Row],[Año Financiero]]=Tipo_Cambio[Año])*(Tipo_Cambio[$/U$S]))</f>
        <v>0</v>
      </c>
      <c r="AL268" s="704">
        <f>SUMPRODUCT((Producción_Agricola[[#This Row],[Mes Financiero]]=Tipo_Cambio[Mes])*(Producción_Agricola[[#This Row],[Año Financiero]]=Tipo_Cambio[Año])*(Tipo_Cambio[Actualización]))</f>
        <v>0</v>
      </c>
      <c r="AM268" s="709">
        <f>IFERROR(Producción_Agricola[[#This Row],[Económico $Corrientes]]/Producción_Agricola[[#This Row],[Superficie]],0)</f>
        <v>0</v>
      </c>
      <c r="AN268" s="712">
        <f>IFERROR(Producción_Agricola[[#This Row],[Económico $Constantes]]/Producción_Agricola[[#This Row],[Superficie]],0)</f>
        <v>0</v>
      </c>
      <c r="AO268" s="712">
        <f>IFERROR(Producción_Agricola[[#This Row],[Económico U$S Dólares]]/Producción_Agricola[[#This Row],[Superficie]],0)</f>
        <v>0</v>
      </c>
      <c r="AP268" s="711">
        <f>IF(Económico!$F$4=0,0,Producción_Agricola[[#This Row],[Centro de Costo]])</f>
        <v>0</v>
      </c>
      <c r="AQ268" s="512"/>
      <c r="AR268" s="513"/>
      <c r="AS268"/>
    </row>
    <row r="269" spans="1:45" x14ac:dyDescent="0.25">
      <c r="D269" s="478"/>
      <c r="E269" s="478"/>
      <c r="F269" s="668">
        <f t="shared" si="50"/>
        <v>0</v>
      </c>
      <c r="G269" s="673">
        <f t="shared" si="51"/>
        <v>0</v>
      </c>
      <c r="H269" s="673">
        <f t="shared" si="52"/>
        <v>0</v>
      </c>
      <c r="I269" s="675">
        <f>IFERROR(INDEX(Tabla8[],MATCH(Producción_Agricola[[#This Row],[Unidad de Negocio]],Tabla8[Unidades de Negocio],0),2),0)</f>
        <v>0</v>
      </c>
      <c r="J26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69" s="488"/>
      <c r="L269" s="482"/>
      <c r="M269" s="483"/>
      <c r="N269" s="484"/>
      <c r="O269" s="690">
        <f>Producción_Agricola[[#This Row],[Superficie]]*Producción_Agricola[[#This Row],[Cantidad]]</f>
        <v>0</v>
      </c>
      <c r="P269" s="482"/>
      <c r="Q269" s="484"/>
      <c r="R269" s="485"/>
      <c r="S26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69" s="695">
        <f>IFERROR(Producción_Agricola[[#This Row],[Económico $Corrientes]]/Producción_Agricola[[#This Row],[Indexación Económico]],0)</f>
        <v>0</v>
      </c>
      <c r="U26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6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69" s="695">
        <f>IFERROR(Producción_Agricola[[#This Row],[Financiero $Corrientes]]/Producción_Agricola[[#This Row],[Indexación Financiero]],0)</f>
        <v>0</v>
      </c>
      <c r="X26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6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69" s="699">
        <f>IFERROR(Producción_Agricola[[#This Row],[Intereses $Corrientes]]/Producción_Agricola[[#This Row],[Indexación Financiero]],0)</f>
        <v>0</v>
      </c>
      <c r="AA26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69" s="701">
        <f>IFERROR(INDEX(Produccion_Agricola_Cuentas[],MATCH(Producción_Agricola[[#This Row],[Cuenta Contable]],Produccion_Agricola_Cuentas[Cuenta Contable],0),2),0)</f>
        <v>0</v>
      </c>
      <c r="AC269" s="702">
        <f>IFERROR(INDEX(Tabla9[],MATCH(Producción_Agricola[[#This Row],[Movimiento]],Tabla9[Movimientos],0),2),0)</f>
        <v>0</v>
      </c>
      <c r="AD269" s="703">
        <f>IFERROR(INDEX(Tabla9[],MATCH(Producción_Agricola[[#This Row],[Movimiento]],Tabla9[Movimientos],0),3),0)</f>
        <v>0</v>
      </c>
      <c r="AE269" s="698">
        <f>IF(Producción_Agricola[[#This Row],[Fecha Económico]]=0,0,MONTH(Producción_Agricola[[#This Row],[Fecha Económico]]))</f>
        <v>0</v>
      </c>
      <c r="AF269" s="699">
        <f>IF(Producción_Agricola[[#This Row],[Fecha Económico]]=0,0,YEAR(Producción_Agricola[[#This Row],[Fecha Económico]]))</f>
        <v>0</v>
      </c>
      <c r="AG269" s="704">
        <f>SUMPRODUCT((Producción_Agricola[[#This Row],[Mes Económico]]=Tipo_Cambio[Mes])*(Producción_Agricola[[#This Row],[Año Económico]]=Tipo_Cambio[Año])*(Tipo_Cambio[$/U$S]))</f>
        <v>0</v>
      </c>
      <c r="AH269" s="703">
        <f>SUMPRODUCT((Producción_Agricola[[#This Row],[Mes Económico]]=Tipo_Cambio[Mes])*(Producción_Agricola[[#This Row],[Año Económico]]=Tipo_Cambio[Año])*(Tipo_Cambio[Actualización]))</f>
        <v>0</v>
      </c>
      <c r="AI269" s="699">
        <f>IF(ISNUMBER(Producción_Agricola[[#This Row],[Fecha Financiero]])=TRUE,MONTH(Producción_Agricola[[#This Row],[Fecha Financiero]]),0)</f>
        <v>0</v>
      </c>
      <c r="AJ269" s="699">
        <f>IF(ISNUMBER(Producción_Agricola[[#This Row],[Fecha Financiero]])=TRUE,YEAR(Producción_Agricola[[#This Row],[Fecha Financiero]]),0)</f>
        <v>0</v>
      </c>
      <c r="AK269" s="704">
        <f>SUMPRODUCT((Producción_Agricola[[#This Row],[Mes Financiero]]=Tipo_Cambio[Mes])*(Producción_Agricola[[#This Row],[Año Financiero]]=Tipo_Cambio[Año])*(Tipo_Cambio[$/U$S]))</f>
        <v>0</v>
      </c>
      <c r="AL269" s="704">
        <f>SUMPRODUCT((Producción_Agricola[[#This Row],[Mes Financiero]]=Tipo_Cambio[Mes])*(Producción_Agricola[[#This Row],[Año Financiero]]=Tipo_Cambio[Año])*(Tipo_Cambio[Actualización]))</f>
        <v>0</v>
      </c>
      <c r="AM269" s="709">
        <f>IFERROR(Producción_Agricola[[#This Row],[Económico $Corrientes]]/Producción_Agricola[[#This Row],[Superficie]],0)</f>
        <v>0</v>
      </c>
      <c r="AN269" s="712">
        <f>IFERROR(Producción_Agricola[[#This Row],[Económico $Constantes]]/Producción_Agricola[[#This Row],[Superficie]],0)</f>
        <v>0</v>
      </c>
      <c r="AO269" s="712">
        <f>IFERROR(Producción_Agricola[[#This Row],[Económico U$S Dólares]]/Producción_Agricola[[#This Row],[Superficie]],0)</f>
        <v>0</v>
      </c>
      <c r="AP269" s="711">
        <f>IF(Económico!$F$4=0,0,Producción_Agricola[[#This Row],[Centro de Costo]])</f>
        <v>0</v>
      </c>
      <c r="AQ269" s="512"/>
      <c r="AR269" s="513"/>
      <c r="AS269"/>
    </row>
    <row r="270" spans="1:45" x14ac:dyDescent="0.25">
      <c r="D270" s="478"/>
      <c r="E270" s="478"/>
      <c r="F270" s="668">
        <f t="shared" si="50"/>
        <v>0</v>
      </c>
      <c r="G270" s="673">
        <f t="shared" si="51"/>
        <v>0</v>
      </c>
      <c r="H270" s="673">
        <f t="shared" si="52"/>
        <v>0</v>
      </c>
      <c r="I270" s="675">
        <f>IFERROR(INDEX(Tabla8[],MATCH(Producción_Agricola[[#This Row],[Unidad de Negocio]],Tabla8[Unidades de Negocio],0),2),0)</f>
        <v>0</v>
      </c>
      <c r="J27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70" s="488"/>
      <c r="L270" s="482"/>
      <c r="M270" s="483"/>
      <c r="N270" s="484"/>
      <c r="O270" s="690">
        <f>Producción_Agricola[[#This Row],[Superficie]]*Producción_Agricola[[#This Row],[Cantidad]]</f>
        <v>0</v>
      </c>
      <c r="P270" s="482"/>
      <c r="Q270" s="484"/>
      <c r="R270" s="485"/>
      <c r="S27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70" s="695">
        <f>IFERROR(Producción_Agricola[[#This Row],[Económico $Corrientes]]/Producción_Agricola[[#This Row],[Indexación Económico]],0)</f>
        <v>0</v>
      </c>
      <c r="U27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7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70" s="695">
        <f>IFERROR(Producción_Agricola[[#This Row],[Financiero $Corrientes]]/Producción_Agricola[[#This Row],[Indexación Financiero]],0)</f>
        <v>0</v>
      </c>
      <c r="X27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7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70" s="699">
        <f>IFERROR(Producción_Agricola[[#This Row],[Intereses $Corrientes]]/Producción_Agricola[[#This Row],[Indexación Financiero]],0)</f>
        <v>0</v>
      </c>
      <c r="AA27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70" s="701">
        <f>IFERROR(INDEX(Produccion_Agricola_Cuentas[],MATCH(Producción_Agricola[[#This Row],[Cuenta Contable]],Produccion_Agricola_Cuentas[Cuenta Contable],0),2),0)</f>
        <v>0</v>
      </c>
      <c r="AC270" s="702">
        <f>IFERROR(INDEX(Tabla9[],MATCH(Producción_Agricola[[#This Row],[Movimiento]],Tabla9[Movimientos],0),2),0)</f>
        <v>0</v>
      </c>
      <c r="AD270" s="703">
        <f>IFERROR(INDEX(Tabla9[],MATCH(Producción_Agricola[[#This Row],[Movimiento]],Tabla9[Movimientos],0),3),0)</f>
        <v>0</v>
      </c>
      <c r="AE270" s="698">
        <f>IF(Producción_Agricola[[#This Row],[Fecha Económico]]=0,0,MONTH(Producción_Agricola[[#This Row],[Fecha Económico]]))</f>
        <v>0</v>
      </c>
      <c r="AF270" s="699">
        <f>IF(Producción_Agricola[[#This Row],[Fecha Económico]]=0,0,YEAR(Producción_Agricola[[#This Row],[Fecha Económico]]))</f>
        <v>0</v>
      </c>
      <c r="AG270" s="704">
        <f>SUMPRODUCT((Producción_Agricola[[#This Row],[Mes Económico]]=Tipo_Cambio[Mes])*(Producción_Agricola[[#This Row],[Año Económico]]=Tipo_Cambio[Año])*(Tipo_Cambio[$/U$S]))</f>
        <v>0</v>
      </c>
      <c r="AH270" s="703">
        <f>SUMPRODUCT((Producción_Agricola[[#This Row],[Mes Económico]]=Tipo_Cambio[Mes])*(Producción_Agricola[[#This Row],[Año Económico]]=Tipo_Cambio[Año])*(Tipo_Cambio[Actualización]))</f>
        <v>0</v>
      </c>
      <c r="AI270" s="699">
        <f>IF(ISNUMBER(Producción_Agricola[[#This Row],[Fecha Financiero]])=TRUE,MONTH(Producción_Agricola[[#This Row],[Fecha Financiero]]),0)</f>
        <v>0</v>
      </c>
      <c r="AJ270" s="699">
        <f>IF(ISNUMBER(Producción_Agricola[[#This Row],[Fecha Financiero]])=TRUE,YEAR(Producción_Agricola[[#This Row],[Fecha Financiero]]),0)</f>
        <v>0</v>
      </c>
      <c r="AK270" s="704">
        <f>SUMPRODUCT((Producción_Agricola[[#This Row],[Mes Financiero]]=Tipo_Cambio[Mes])*(Producción_Agricola[[#This Row],[Año Financiero]]=Tipo_Cambio[Año])*(Tipo_Cambio[$/U$S]))</f>
        <v>0</v>
      </c>
      <c r="AL270" s="704">
        <f>SUMPRODUCT((Producción_Agricola[[#This Row],[Mes Financiero]]=Tipo_Cambio[Mes])*(Producción_Agricola[[#This Row],[Año Financiero]]=Tipo_Cambio[Año])*(Tipo_Cambio[Actualización]))</f>
        <v>0</v>
      </c>
      <c r="AM270" s="709">
        <f>IFERROR(Producción_Agricola[[#This Row],[Económico $Corrientes]]/Producción_Agricola[[#This Row],[Superficie]],0)</f>
        <v>0</v>
      </c>
      <c r="AN270" s="712">
        <f>IFERROR(Producción_Agricola[[#This Row],[Económico $Constantes]]/Producción_Agricola[[#This Row],[Superficie]],0)</f>
        <v>0</v>
      </c>
      <c r="AO270" s="712">
        <f>IFERROR(Producción_Agricola[[#This Row],[Económico U$S Dólares]]/Producción_Agricola[[#This Row],[Superficie]],0)</f>
        <v>0</v>
      </c>
      <c r="AP270" s="711">
        <f>IF(Económico!$F$4=0,0,Producción_Agricola[[#This Row],[Centro de Costo]])</f>
        <v>0</v>
      </c>
      <c r="AQ270" s="512"/>
      <c r="AR270" s="513"/>
      <c r="AS270"/>
    </row>
    <row r="271" spans="1:45" x14ac:dyDescent="0.25">
      <c r="D271" s="478"/>
      <c r="E271" s="478"/>
      <c r="F271" s="668">
        <f t="shared" si="50"/>
        <v>0</v>
      </c>
      <c r="G271" s="673">
        <f t="shared" si="51"/>
        <v>0</v>
      </c>
      <c r="H271" s="673">
        <f t="shared" si="52"/>
        <v>0</v>
      </c>
      <c r="I271" s="675">
        <f>IFERROR(INDEX(Tabla8[],MATCH(Producción_Agricola[[#This Row],[Unidad de Negocio]],Tabla8[Unidades de Negocio],0),2),0)</f>
        <v>0</v>
      </c>
      <c r="J27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71" s="488"/>
      <c r="L271" s="482"/>
      <c r="M271" s="483"/>
      <c r="N271" s="484"/>
      <c r="O271" s="690">
        <f>Producción_Agricola[[#This Row],[Superficie]]*Producción_Agricola[[#This Row],[Cantidad]]</f>
        <v>0</v>
      </c>
      <c r="P271" s="482"/>
      <c r="Q271" s="484"/>
      <c r="R271" s="485"/>
      <c r="S27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71" s="695">
        <f>IFERROR(Producción_Agricola[[#This Row],[Económico $Corrientes]]/Producción_Agricola[[#This Row],[Indexación Económico]],0)</f>
        <v>0</v>
      </c>
      <c r="U27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7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71" s="695">
        <f>IFERROR(Producción_Agricola[[#This Row],[Financiero $Corrientes]]/Producción_Agricola[[#This Row],[Indexación Financiero]],0)</f>
        <v>0</v>
      </c>
      <c r="X27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7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71" s="699">
        <f>IFERROR(Producción_Agricola[[#This Row],[Intereses $Corrientes]]/Producción_Agricola[[#This Row],[Indexación Financiero]],0)</f>
        <v>0</v>
      </c>
      <c r="AA27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71" s="701">
        <f>IFERROR(INDEX(Produccion_Agricola_Cuentas[],MATCH(Producción_Agricola[[#This Row],[Cuenta Contable]],Produccion_Agricola_Cuentas[Cuenta Contable],0),2),0)</f>
        <v>0</v>
      </c>
      <c r="AC271" s="702">
        <f>IFERROR(INDEX(Tabla9[],MATCH(Producción_Agricola[[#This Row],[Movimiento]],Tabla9[Movimientos],0),2),0)</f>
        <v>0</v>
      </c>
      <c r="AD271" s="703">
        <f>IFERROR(INDEX(Tabla9[],MATCH(Producción_Agricola[[#This Row],[Movimiento]],Tabla9[Movimientos],0),3),0)</f>
        <v>0</v>
      </c>
      <c r="AE271" s="698">
        <f>IF(Producción_Agricola[[#This Row],[Fecha Económico]]=0,0,MONTH(Producción_Agricola[[#This Row],[Fecha Económico]]))</f>
        <v>0</v>
      </c>
      <c r="AF271" s="699">
        <f>IF(Producción_Agricola[[#This Row],[Fecha Económico]]=0,0,YEAR(Producción_Agricola[[#This Row],[Fecha Económico]]))</f>
        <v>0</v>
      </c>
      <c r="AG271" s="704">
        <f>SUMPRODUCT((Producción_Agricola[[#This Row],[Mes Económico]]=Tipo_Cambio[Mes])*(Producción_Agricola[[#This Row],[Año Económico]]=Tipo_Cambio[Año])*(Tipo_Cambio[$/U$S]))</f>
        <v>0</v>
      </c>
      <c r="AH271" s="703">
        <f>SUMPRODUCT((Producción_Agricola[[#This Row],[Mes Económico]]=Tipo_Cambio[Mes])*(Producción_Agricola[[#This Row],[Año Económico]]=Tipo_Cambio[Año])*(Tipo_Cambio[Actualización]))</f>
        <v>0</v>
      </c>
      <c r="AI271" s="699">
        <f>IF(ISNUMBER(Producción_Agricola[[#This Row],[Fecha Financiero]])=TRUE,MONTH(Producción_Agricola[[#This Row],[Fecha Financiero]]),0)</f>
        <v>0</v>
      </c>
      <c r="AJ271" s="699">
        <f>IF(ISNUMBER(Producción_Agricola[[#This Row],[Fecha Financiero]])=TRUE,YEAR(Producción_Agricola[[#This Row],[Fecha Financiero]]),0)</f>
        <v>0</v>
      </c>
      <c r="AK271" s="704">
        <f>SUMPRODUCT((Producción_Agricola[[#This Row],[Mes Financiero]]=Tipo_Cambio[Mes])*(Producción_Agricola[[#This Row],[Año Financiero]]=Tipo_Cambio[Año])*(Tipo_Cambio[$/U$S]))</f>
        <v>0</v>
      </c>
      <c r="AL271" s="704">
        <f>SUMPRODUCT((Producción_Agricola[[#This Row],[Mes Financiero]]=Tipo_Cambio[Mes])*(Producción_Agricola[[#This Row],[Año Financiero]]=Tipo_Cambio[Año])*(Tipo_Cambio[Actualización]))</f>
        <v>0</v>
      </c>
      <c r="AM271" s="709">
        <f>IFERROR(Producción_Agricola[[#This Row],[Económico $Corrientes]]/Producción_Agricola[[#This Row],[Superficie]],0)</f>
        <v>0</v>
      </c>
      <c r="AN271" s="712">
        <f>IFERROR(Producción_Agricola[[#This Row],[Económico $Constantes]]/Producción_Agricola[[#This Row],[Superficie]],0)</f>
        <v>0</v>
      </c>
      <c r="AO271" s="712">
        <f>IFERROR(Producción_Agricola[[#This Row],[Económico U$S Dólares]]/Producción_Agricola[[#This Row],[Superficie]],0)</f>
        <v>0</v>
      </c>
      <c r="AP271" s="711">
        <f>IF(Económico!$F$4=0,0,Producción_Agricola[[#This Row],[Centro de Costo]])</f>
        <v>0</v>
      </c>
      <c r="AQ271" s="512"/>
      <c r="AR271" s="513"/>
      <c r="AS271"/>
    </row>
    <row r="272" spans="1:45" ht="15.75" thickBot="1" x14ac:dyDescent="0.3">
      <c r="A272" s="509"/>
      <c r="B272" s="494" t="s">
        <v>101</v>
      </c>
      <c r="C272" s="509"/>
      <c r="D272" s="478"/>
      <c r="E272" s="478"/>
      <c r="F272" s="668">
        <f t="shared" si="50"/>
        <v>0</v>
      </c>
      <c r="G272" s="673">
        <f t="shared" si="51"/>
        <v>0</v>
      </c>
      <c r="H272" s="673">
        <f t="shared" si="52"/>
        <v>0</v>
      </c>
      <c r="I272" s="675">
        <f>IFERROR(INDEX(Tabla8[],MATCH(Producción_Agricola[[#This Row],[Unidad de Negocio]],Tabla8[Unidades de Negocio],0),2),0)</f>
        <v>0</v>
      </c>
      <c r="J27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72" s="488"/>
      <c r="L272" s="482"/>
      <c r="M272" s="483"/>
      <c r="N272" s="484"/>
      <c r="O272" s="690">
        <f>Producción_Agricola[[#This Row],[Superficie]]*Producción_Agricola[[#This Row],[Cantidad]]</f>
        <v>0</v>
      </c>
      <c r="P272" s="482"/>
      <c r="Q272" s="484"/>
      <c r="R272" s="485"/>
      <c r="S27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72" s="695">
        <f>IFERROR(Producción_Agricola[[#This Row],[Económico $Corrientes]]/Producción_Agricola[[#This Row],[Indexación Económico]],0)</f>
        <v>0</v>
      </c>
      <c r="U27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7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72" s="695">
        <f>IFERROR(Producción_Agricola[[#This Row],[Financiero $Corrientes]]/Producción_Agricola[[#This Row],[Indexación Financiero]],0)</f>
        <v>0</v>
      </c>
      <c r="X27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7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72" s="699">
        <f>IFERROR(Producción_Agricola[[#This Row],[Intereses $Corrientes]]/Producción_Agricola[[#This Row],[Indexación Financiero]],0)</f>
        <v>0</v>
      </c>
      <c r="AA27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72" s="701">
        <f>IFERROR(INDEX(Produccion_Agricola_Cuentas[],MATCH(Producción_Agricola[[#This Row],[Cuenta Contable]],Produccion_Agricola_Cuentas[Cuenta Contable],0),2),0)</f>
        <v>0</v>
      </c>
      <c r="AC272" s="702">
        <f>IFERROR(INDEX(Tabla9[],MATCH(Producción_Agricola[[#This Row],[Movimiento]],Tabla9[Movimientos],0),2),0)</f>
        <v>0</v>
      </c>
      <c r="AD272" s="703">
        <f>IFERROR(INDEX(Tabla9[],MATCH(Producción_Agricola[[#This Row],[Movimiento]],Tabla9[Movimientos],0),3),0)</f>
        <v>0</v>
      </c>
      <c r="AE272" s="698">
        <f>IF(Producción_Agricola[[#This Row],[Fecha Económico]]=0,0,MONTH(Producción_Agricola[[#This Row],[Fecha Económico]]))</f>
        <v>0</v>
      </c>
      <c r="AF272" s="699">
        <f>IF(Producción_Agricola[[#This Row],[Fecha Económico]]=0,0,YEAR(Producción_Agricola[[#This Row],[Fecha Económico]]))</f>
        <v>0</v>
      </c>
      <c r="AG272" s="704">
        <f>SUMPRODUCT((Producción_Agricola[[#This Row],[Mes Económico]]=Tipo_Cambio[Mes])*(Producción_Agricola[[#This Row],[Año Económico]]=Tipo_Cambio[Año])*(Tipo_Cambio[$/U$S]))</f>
        <v>0</v>
      </c>
      <c r="AH272" s="703">
        <f>SUMPRODUCT((Producción_Agricola[[#This Row],[Mes Económico]]=Tipo_Cambio[Mes])*(Producción_Agricola[[#This Row],[Año Económico]]=Tipo_Cambio[Año])*(Tipo_Cambio[Actualización]))</f>
        <v>0</v>
      </c>
      <c r="AI272" s="699">
        <f>IF(ISNUMBER(Producción_Agricola[[#This Row],[Fecha Financiero]])=TRUE,MONTH(Producción_Agricola[[#This Row],[Fecha Financiero]]),0)</f>
        <v>0</v>
      </c>
      <c r="AJ272" s="699">
        <f>IF(ISNUMBER(Producción_Agricola[[#This Row],[Fecha Financiero]])=TRUE,YEAR(Producción_Agricola[[#This Row],[Fecha Financiero]]),0)</f>
        <v>0</v>
      </c>
      <c r="AK272" s="704">
        <f>SUMPRODUCT((Producción_Agricola[[#This Row],[Mes Financiero]]=Tipo_Cambio[Mes])*(Producción_Agricola[[#This Row],[Año Financiero]]=Tipo_Cambio[Año])*(Tipo_Cambio[$/U$S]))</f>
        <v>0</v>
      </c>
      <c r="AL272" s="704">
        <f>SUMPRODUCT((Producción_Agricola[[#This Row],[Mes Financiero]]=Tipo_Cambio[Mes])*(Producción_Agricola[[#This Row],[Año Financiero]]=Tipo_Cambio[Año])*(Tipo_Cambio[Actualización]))</f>
        <v>0</v>
      </c>
      <c r="AM272" s="709">
        <f>IFERROR(Producción_Agricola[[#This Row],[Económico $Corrientes]]/Producción_Agricola[[#This Row],[Superficie]],0)</f>
        <v>0</v>
      </c>
      <c r="AN272" s="712">
        <f>IFERROR(Producción_Agricola[[#This Row],[Económico $Constantes]]/Producción_Agricola[[#This Row],[Superficie]],0)</f>
        <v>0</v>
      </c>
      <c r="AO272" s="712">
        <f>IFERROR(Producción_Agricola[[#This Row],[Económico U$S Dólares]]/Producción_Agricola[[#This Row],[Superficie]],0)</f>
        <v>0</v>
      </c>
      <c r="AP272" s="711">
        <f>IF(Económico!$F$4=0,0,Producción_Agricola[[#This Row],[Centro de Costo]])</f>
        <v>0</v>
      </c>
      <c r="AQ272" s="512"/>
      <c r="AR272" s="513"/>
      <c r="AS272"/>
    </row>
    <row r="273" spans="1:45" ht="15.75" thickTop="1" x14ac:dyDescent="0.25">
      <c r="A273" s="509"/>
      <c r="B273" s="477" t="s">
        <v>445</v>
      </c>
      <c r="C273" s="509"/>
      <c r="D273" s="495"/>
      <c r="E273" s="495"/>
      <c r="F273" s="679">
        <f>+$B$274</f>
        <v>0</v>
      </c>
      <c r="G273" s="680">
        <f>+$B$275</f>
        <v>0</v>
      </c>
      <c r="H273" s="680">
        <f>+$B$276</f>
        <v>0</v>
      </c>
      <c r="I273" s="683">
        <f>IFERROR(INDEX(Tabla8[],MATCH(Producción_Agricola[[#This Row],[Unidad de Negocio]],Tabla8[Unidades de Negocio],0),2),0)</f>
        <v>0</v>
      </c>
      <c r="J273" s="684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73" s="508"/>
      <c r="L273" s="497"/>
      <c r="M273" s="498"/>
      <c r="N273" s="499"/>
      <c r="O273" s="691">
        <f>Producción_Agricola[[#This Row],[Superficie]]*Producción_Agricola[[#This Row],[Cantidad]]</f>
        <v>0</v>
      </c>
      <c r="P273" s="497"/>
      <c r="Q273" s="499"/>
      <c r="R273" s="500"/>
      <c r="S273" s="74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73" s="714">
        <f>IFERROR(Producción_Agricola[[#This Row],[Económico $Corrientes]]/Producción_Agricola[[#This Row],[Indexación Económico]],0)</f>
        <v>0</v>
      </c>
      <c r="U273" s="741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73" s="715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73" s="714">
        <f>IFERROR(Producción_Agricola[[#This Row],[Financiero $Corrientes]]/Producción_Agricola[[#This Row],[Indexación Financiero]],0)</f>
        <v>0</v>
      </c>
      <c r="X273" s="716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73" s="717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73" s="718">
        <f>IFERROR(Producción_Agricola[[#This Row],[Intereses $Corrientes]]/Producción_Agricola[[#This Row],[Indexación Financiero]],0)</f>
        <v>0</v>
      </c>
      <c r="AA273" s="719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73" s="720">
        <f>IFERROR(INDEX(Produccion_Agricola_Cuentas[],MATCH(Producción_Agricola[[#This Row],[Cuenta Contable]],Produccion_Agricola_Cuentas[Cuenta Contable],0),2),0)</f>
        <v>0</v>
      </c>
      <c r="AC273" s="721">
        <f>IFERROR(INDEX(Tabla9[],MATCH(Producción_Agricola[[#This Row],[Movimiento]],Tabla9[Movimientos],0),2),0)</f>
        <v>0</v>
      </c>
      <c r="AD273" s="722">
        <f>IFERROR(INDEX(Tabla9[],MATCH(Producción_Agricola[[#This Row],[Movimiento]],Tabla9[Movimientos],0),3),0)</f>
        <v>0</v>
      </c>
      <c r="AE273" s="717">
        <f>IF(Producción_Agricola[[#This Row],[Fecha Económico]]=0,0,MONTH(Producción_Agricola[[#This Row],[Fecha Económico]]))</f>
        <v>0</v>
      </c>
      <c r="AF273" s="718">
        <f>IF(Producción_Agricola[[#This Row],[Fecha Económico]]=0,0,YEAR(Producción_Agricola[[#This Row],[Fecha Económico]]))</f>
        <v>0</v>
      </c>
      <c r="AG273" s="723">
        <f>SUMPRODUCT((Producción_Agricola[[#This Row],[Mes Económico]]=Tipo_Cambio[Mes])*(Producción_Agricola[[#This Row],[Año Económico]]=Tipo_Cambio[Año])*(Tipo_Cambio[$/U$S]))</f>
        <v>0</v>
      </c>
      <c r="AH273" s="722">
        <f>SUMPRODUCT((Producción_Agricola[[#This Row],[Mes Económico]]=Tipo_Cambio[Mes])*(Producción_Agricola[[#This Row],[Año Económico]]=Tipo_Cambio[Año])*(Tipo_Cambio[Actualización]))</f>
        <v>0</v>
      </c>
      <c r="AI273" s="718">
        <f>IF(ISNUMBER(Producción_Agricola[[#This Row],[Fecha Financiero]])=TRUE,MONTH(Producción_Agricola[[#This Row],[Fecha Financiero]]),0)</f>
        <v>0</v>
      </c>
      <c r="AJ273" s="718">
        <f>IF(ISNUMBER(Producción_Agricola[[#This Row],[Fecha Financiero]])=TRUE,YEAR(Producción_Agricola[[#This Row],[Fecha Financiero]]),0)</f>
        <v>0</v>
      </c>
      <c r="AK273" s="723">
        <f>SUMPRODUCT((Producción_Agricola[[#This Row],[Mes Financiero]]=Tipo_Cambio[Mes])*(Producción_Agricola[[#This Row],[Año Financiero]]=Tipo_Cambio[Año])*(Tipo_Cambio[$/U$S]))</f>
        <v>0</v>
      </c>
      <c r="AL273" s="723">
        <f>SUMPRODUCT((Producción_Agricola[[#This Row],[Mes Financiero]]=Tipo_Cambio[Mes])*(Producción_Agricola[[#This Row],[Año Financiero]]=Tipo_Cambio[Año])*(Tipo_Cambio[Actualización]))</f>
        <v>0</v>
      </c>
      <c r="AM273" s="742">
        <f>IFERROR(Producción_Agricola[[#This Row],[Económico $Corrientes]]/Producción_Agricola[[#This Row],[Superficie]],0)</f>
        <v>0</v>
      </c>
      <c r="AN273" s="743">
        <f>IFERROR(Producción_Agricola[[#This Row],[Económico $Constantes]]/Producción_Agricola[[#This Row],[Superficie]],0)</f>
        <v>0</v>
      </c>
      <c r="AO273" s="743">
        <f>IFERROR(Producción_Agricola[[#This Row],[Económico U$S Dólares]]/Producción_Agricola[[#This Row],[Superficie]],0)</f>
        <v>0</v>
      </c>
      <c r="AP273" s="744">
        <f>IF(Económico!$F$4=0,0,Producción_Agricola[[#This Row],[Centro de Costo]])</f>
        <v>0</v>
      </c>
      <c r="AQ273" s="516"/>
      <c r="AR273" s="517"/>
      <c r="AS273"/>
    </row>
    <row r="274" spans="1:45" x14ac:dyDescent="0.25">
      <c r="A274" s="509"/>
      <c r="B274" s="501"/>
      <c r="C274" s="509"/>
      <c r="D274" s="478"/>
      <c r="E274" s="478"/>
      <c r="F274" s="668">
        <f t="shared" ref="F274:F326" si="53">+$B$274</f>
        <v>0</v>
      </c>
      <c r="G274" s="673">
        <f t="shared" ref="G274:G326" si="54">+$B$275</f>
        <v>0</v>
      </c>
      <c r="H274" s="673">
        <f t="shared" ref="H274:H326" si="55">+$B$276</f>
        <v>0</v>
      </c>
      <c r="I274" s="675">
        <f>IFERROR(INDEX(Tabla8[],MATCH(Producción_Agricola[[#This Row],[Unidad de Negocio]],Tabla8[Unidades de Negocio],0),2),0)</f>
        <v>0</v>
      </c>
      <c r="J27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74" s="488"/>
      <c r="L274" s="482"/>
      <c r="M274" s="483"/>
      <c r="N274" s="484"/>
      <c r="O274" s="690">
        <f>Producción_Agricola[[#This Row],[Superficie]]*Producción_Agricola[[#This Row],[Cantidad]]</f>
        <v>0</v>
      </c>
      <c r="P274" s="482"/>
      <c r="Q274" s="484"/>
      <c r="R274" s="485"/>
      <c r="S27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74" s="695">
        <f>IFERROR(Producción_Agricola[[#This Row],[Económico $Corrientes]]/Producción_Agricola[[#This Row],[Indexación Económico]],0)</f>
        <v>0</v>
      </c>
      <c r="U27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7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74" s="695">
        <f>IFERROR(Producción_Agricola[[#This Row],[Financiero $Corrientes]]/Producción_Agricola[[#This Row],[Indexación Financiero]],0)</f>
        <v>0</v>
      </c>
      <c r="X27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7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74" s="699">
        <f>IFERROR(Producción_Agricola[[#This Row],[Intereses $Corrientes]]/Producción_Agricola[[#This Row],[Indexación Financiero]],0)</f>
        <v>0</v>
      </c>
      <c r="AA27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74" s="701">
        <f>IFERROR(INDEX(Produccion_Agricola_Cuentas[],MATCH(Producción_Agricola[[#This Row],[Cuenta Contable]],Produccion_Agricola_Cuentas[Cuenta Contable],0),2),0)</f>
        <v>0</v>
      </c>
      <c r="AC274" s="702">
        <f>IFERROR(INDEX(Tabla9[],MATCH(Producción_Agricola[[#This Row],[Movimiento]],Tabla9[Movimientos],0),2),0)</f>
        <v>0</v>
      </c>
      <c r="AD274" s="703">
        <f>IFERROR(INDEX(Tabla9[],MATCH(Producción_Agricola[[#This Row],[Movimiento]],Tabla9[Movimientos],0),3),0)</f>
        <v>0</v>
      </c>
      <c r="AE274" s="698">
        <f>IF(Producción_Agricola[[#This Row],[Fecha Económico]]=0,0,MONTH(Producción_Agricola[[#This Row],[Fecha Económico]]))</f>
        <v>0</v>
      </c>
      <c r="AF274" s="699">
        <f>IF(Producción_Agricola[[#This Row],[Fecha Económico]]=0,0,YEAR(Producción_Agricola[[#This Row],[Fecha Económico]]))</f>
        <v>0</v>
      </c>
      <c r="AG274" s="704">
        <f>SUMPRODUCT((Producción_Agricola[[#This Row],[Mes Económico]]=Tipo_Cambio[Mes])*(Producción_Agricola[[#This Row],[Año Económico]]=Tipo_Cambio[Año])*(Tipo_Cambio[$/U$S]))</f>
        <v>0</v>
      </c>
      <c r="AH274" s="703">
        <f>SUMPRODUCT((Producción_Agricola[[#This Row],[Mes Económico]]=Tipo_Cambio[Mes])*(Producción_Agricola[[#This Row],[Año Económico]]=Tipo_Cambio[Año])*(Tipo_Cambio[Actualización]))</f>
        <v>0</v>
      </c>
      <c r="AI274" s="699">
        <f>IF(ISNUMBER(Producción_Agricola[[#This Row],[Fecha Financiero]])=TRUE,MONTH(Producción_Agricola[[#This Row],[Fecha Financiero]]),0)</f>
        <v>0</v>
      </c>
      <c r="AJ274" s="699">
        <f>IF(ISNUMBER(Producción_Agricola[[#This Row],[Fecha Financiero]])=TRUE,YEAR(Producción_Agricola[[#This Row],[Fecha Financiero]]),0)</f>
        <v>0</v>
      </c>
      <c r="AK274" s="704">
        <f>SUMPRODUCT((Producción_Agricola[[#This Row],[Mes Financiero]]=Tipo_Cambio[Mes])*(Producción_Agricola[[#This Row],[Año Financiero]]=Tipo_Cambio[Año])*(Tipo_Cambio[$/U$S]))</f>
        <v>0</v>
      </c>
      <c r="AL274" s="704">
        <f>SUMPRODUCT((Producción_Agricola[[#This Row],[Mes Financiero]]=Tipo_Cambio[Mes])*(Producción_Agricola[[#This Row],[Año Financiero]]=Tipo_Cambio[Año])*(Tipo_Cambio[Actualización]))</f>
        <v>0</v>
      </c>
      <c r="AM274" s="709">
        <f>IFERROR(Producción_Agricola[[#This Row],[Económico $Corrientes]]/Producción_Agricola[[#This Row],[Superficie]],0)</f>
        <v>0</v>
      </c>
      <c r="AN274" s="712">
        <f>IFERROR(Producción_Agricola[[#This Row],[Económico $Constantes]]/Producción_Agricola[[#This Row],[Superficie]],0)</f>
        <v>0</v>
      </c>
      <c r="AO274" s="712">
        <f>IFERROR(Producción_Agricola[[#This Row],[Económico U$S Dólares]]/Producción_Agricola[[#This Row],[Superficie]],0)</f>
        <v>0</v>
      </c>
      <c r="AP274" s="711">
        <f>IF(Económico!$F$4=0,0,Producción_Agricola[[#This Row],[Centro de Costo]])</f>
        <v>0</v>
      </c>
      <c r="AQ274" s="512"/>
      <c r="AR274" s="513"/>
      <c r="AS274"/>
    </row>
    <row r="275" spans="1:45" x14ac:dyDescent="0.25">
      <c r="A275" s="509"/>
      <c r="B275" s="486"/>
      <c r="C275" s="509"/>
      <c r="D275" s="478"/>
      <c r="E275" s="478"/>
      <c r="F275" s="668">
        <f t="shared" si="53"/>
        <v>0</v>
      </c>
      <c r="G275" s="673">
        <f t="shared" si="54"/>
        <v>0</v>
      </c>
      <c r="H275" s="673">
        <f t="shared" si="55"/>
        <v>0</v>
      </c>
      <c r="I275" s="675">
        <f>IFERROR(INDEX(Tabla8[],MATCH(Producción_Agricola[[#This Row],[Unidad de Negocio]],Tabla8[Unidades de Negocio],0),2),0)</f>
        <v>0</v>
      </c>
      <c r="J27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75" s="488"/>
      <c r="L275" s="482"/>
      <c r="M275" s="483"/>
      <c r="N275" s="484"/>
      <c r="O275" s="690">
        <f>Producción_Agricola[[#This Row],[Superficie]]*Producción_Agricola[[#This Row],[Cantidad]]</f>
        <v>0</v>
      </c>
      <c r="P275" s="482"/>
      <c r="Q275" s="484"/>
      <c r="R275" s="485"/>
      <c r="S27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75" s="695">
        <f>IFERROR(Producción_Agricola[[#This Row],[Económico $Corrientes]]/Producción_Agricola[[#This Row],[Indexación Económico]],0)</f>
        <v>0</v>
      </c>
      <c r="U27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7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75" s="695">
        <f>IFERROR(Producción_Agricola[[#This Row],[Financiero $Corrientes]]/Producción_Agricola[[#This Row],[Indexación Financiero]],0)</f>
        <v>0</v>
      </c>
      <c r="X27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7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75" s="699">
        <f>IFERROR(Producción_Agricola[[#This Row],[Intereses $Corrientes]]/Producción_Agricola[[#This Row],[Indexación Financiero]],0)</f>
        <v>0</v>
      </c>
      <c r="AA27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75" s="701">
        <f>IFERROR(INDEX(Produccion_Agricola_Cuentas[],MATCH(Producción_Agricola[[#This Row],[Cuenta Contable]],Produccion_Agricola_Cuentas[Cuenta Contable],0),2),0)</f>
        <v>0</v>
      </c>
      <c r="AC275" s="702">
        <f>IFERROR(INDEX(Tabla9[],MATCH(Producción_Agricola[[#This Row],[Movimiento]],Tabla9[Movimientos],0),2),0)</f>
        <v>0</v>
      </c>
      <c r="AD275" s="703">
        <f>IFERROR(INDEX(Tabla9[],MATCH(Producción_Agricola[[#This Row],[Movimiento]],Tabla9[Movimientos],0),3),0)</f>
        <v>0</v>
      </c>
      <c r="AE275" s="698">
        <f>IF(Producción_Agricola[[#This Row],[Fecha Económico]]=0,0,MONTH(Producción_Agricola[[#This Row],[Fecha Económico]]))</f>
        <v>0</v>
      </c>
      <c r="AF275" s="699">
        <f>IF(Producción_Agricola[[#This Row],[Fecha Económico]]=0,0,YEAR(Producción_Agricola[[#This Row],[Fecha Económico]]))</f>
        <v>0</v>
      </c>
      <c r="AG275" s="704">
        <f>SUMPRODUCT((Producción_Agricola[[#This Row],[Mes Económico]]=Tipo_Cambio[Mes])*(Producción_Agricola[[#This Row],[Año Económico]]=Tipo_Cambio[Año])*(Tipo_Cambio[$/U$S]))</f>
        <v>0</v>
      </c>
      <c r="AH275" s="703">
        <f>SUMPRODUCT((Producción_Agricola[[#This Row],[Mes Económico]]=Tipo_Cambio[Mes])*(Producción_Agricola[[#This Row],[Año Económico]]=Tipo_Cambio[Año])*(Tipo_Cambio[Actualización]))</f>
        <v>0</v>
      </c>
      <c r="AI275" s="699">
        <f>IF(ISNUMBER(Producción_Agricola[[#This Row],[Fecha Financiero]])=TRUE,MONTH(Producción_Agricola[[#This Row],[Fecha Financiero]]),0)</f>
        <v>0</v>
      </c>
      <c r="AJ275" s="699">
        <f>IF(ISNUMBER(Producción_Agricola[[#This Row],[Fecha Financiero]])=TRUE,YEAR(Producción_Agricola[[#This Row],[Fecha Financiero]]),0)</f>
        <v>0</v>
      </c>
      <c r="AK275" s="704">
        <f>SUMPRODUCT((Producción_Agricola[[#This Row],[Mes Financiero]]=Tipo_Cambio[Mes])*(Producción_Agricola[[#This Row],[Año Financiero]]=Tipo_Cambio[Año])*(Tipo_Cambio[$/U$S]))</f>
        <v>0</v>
      </c>
      <c r="AL275" s="704">
        <f>SUMPRODUCT((Producción_Agricola[[#This Row],[Mes Financiero]]=Tipo_Cambio[Mes])*(Producción_Agricola[[#This Row],[Año Financiero]]=Tipo_Cambio[Año])*(Tipo_Cambio[Actualización]))</f>
        <v>0</v>
      </c>
      <c r="AM275" s="709">
        <f>IFERROR(Producción_Agricola[[#This Row],[Económico $Corrientes]]/Producción_Agricola[[#This Row],[Superficie]],0)</f>
        <v>0</v>
      </c>
      <c r="AN275" s="712">
        <f>IFERROR(Producción_Agricola[[#This Row],[Económico $Constantes]]/Producción_Agricola[[#This Row],[Superficie]],0)</f>
        <v>0</v>
      </c>
      <c r="AO275" s="712">
        <f>IFERROR(Producción_Agricola[[#This Row],[Económico U$S Dólares]]/Producción_Agricola[[#This Row],[Superficie]],0)</f>
        <v>0</v>
      </c>
      <c r="AP275" s="711">
        <f>IF(Económico!$F$4=0,0,Producción_Agricola[[#This Row],[Centro de Costo]])</f>
        <v>0</v>
      </c>
      <c r="AQ275" s="512"/>
      <c r="AR275" s="513"/>
      <c r="AS275"/>
    </row>
    <row r="276" spans="1:45" x14ac:dyDescent="0.25">
      <c r="A276" s="509"/>
      <c r="B276" s="486"/>
      <c r="C276" s="509"/>
      <c r="D276" s="478"/>
      <c r="E276" s="478"/>
      <c r="F276" s="668">
        <f t="shared" si="53"/>
        <v>0</v>
      </c>
      <c r="G276" s="673">
        <f t="shared" si="54"/>
        <v>0</v>
      </c>
      <c r="H276" s="673">
        <f t="shared" si="55"/>
        <v>0</v>
      </c>
      <c r="I276" s="675">
        <f>IFERROR(INDEX(Tabla8[],MATCH(Producción_Agricola[[#This Row],[Unidad de Negocio]],Tabla8[Unidades de Negocio],0),2),0)</f>
        <v>0</v>
      </c>
      <c r="J27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76" s="488"/>
      <c r="L276" s="482"/>
      <c r="M276" s="483"/>
      <c r="N276" s="484"/>
      <c r="O276" s="690">
        <f>Producción_Agricola[[#This Row],[Superficie]]*Producción_Agricola[[#This Row],[Cantidad]]</f>
        <v>0</v>
      </c>
      <c r="P276" s="482"/>
      <c r="Q276" s="484"/>
      <c r="R276" s="485"/>
      <c r="S27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76" s="695">
        <f>IFERROR(Producción_Agricola[[#This Row],[Económico $Corrientes]]/Producción_Agricola[[#This Row],[Indexación Económico]],0)</f>
        <v>0</v>
      </c>
      <c r="U27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7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76" s="695">
        <f>IFERROR(Producción_Agricola[[#This Row],[Financiero $Corrientes]]/Producción_Agricola[[#This Row],[Indexación Financiero]],0)</f>
        <v>0</v>
      </c>
      <c r="X27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7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76" s="699">
        <f>IFERROR(Producción_Agricola[[#This Row],[Intereses $Corrientes]]/Producción_Agricola[[#This Row],[Indexación Financiero]],0)</f>
        <v>0</v>
      </c>
      <c r="AA27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76" s="701">
        <f>IFERROR(INDEX(Produccion_Agricola_Cuentas[],MATCH(Producción_Agricola[[#This Row],[Cuenta Contable]],Produccion_Agricola_Cuentas[Cuenta Contable],0),2),0)</f>
        <v>0</v>
      </c>
      <c r="AC276" s="702">
        <f>IFERROR(INDEX(Tabla9[],MATCH(Producción_Agricola[[#This Row],[Movimiento]],Tabla9[Movimientos],0),2),0)</f>
        <v>0</v>
      </c>
      <c r="AD276" s="703">
        <f>IFERROR(INDEX(Tabla9[],MATCH(Producción_Agricola[[#This Row],[Movimiento]],Tabla9[Movimientos],0),3),0)</f>
        <v>0</v>
      </c>
      <c r="AE276" s="698">
        <f>IF(Producción_Agricola[[#This Row],[Fecha Económico]]=0,0,MONTH(Producción_Agricola[[#This Row],[Fecha Económico]]))</f>
        <v>0</v>
      </c>
      <c r="AF276" s="699">
        <f>IF(Producción_Agricola[[#This Row],[Fecha Económico]]=0,0,YEAR(Producción_Agricola[[#This Row],[Fecha Económico]]))</f>
        <v>0</v>
      </c>
      <c r="AG276" s="704">
        <f>SUMPRODUCT((Producción_Agricola[[#This Row],[Mes Económico]]=Tipo_Cambio[Mes])*(Producción_Agricola[[#This Row],[Año Económico]]=Tipo_Cambio[Año])*(Tipo_Cambio[$/U$S]))</f>
        <v>0</v>
      </c>
      <c r="AH276" s="703">
        <f>SUMPRODUCT((Producción_Agricola[[#This Row],[Mes Económico]]=Tipo_Cambio[Mes])*(Producción_Agricola[[#This Row],[Año Económico]]=Tipo_Cambio[Año])*(Tipo_Cambio[Actualización]))</f>
        <v>0</v>
      </c>
      <c r="AI276" s="699">
        <f>IF(ISNUMBER(Producción_Agricola[[#This Row],[Fecha Financiero]])=TRUE,MONTH(Producción_Agricola[[#This Row],[Fecha Financiero]]),0)</f>
        <v>0</v>
      </c>
      <c r="AJ276" s="699">
        <f>IF(ISNUMBER(Producción_Agricola[[#This Row],[Fecha Financiero]])=TRUE,YEAR(Producción_Agricola[[#This Row],[Fecha Financiero]]),0)</f>
        <v>0</v>
      </c>
      <c r="AK276" s="704">
        <f>SUMPRODUCT((Producción_Agricola[[#This Row],[Mes Financiero]]=Tipo_Cambio[Mes])*(Producción_Agricola[[#This Row],[Año Financiero]]=Tipo_Cambio[Año])*(Tipo_Cambio[$/U$S]))</f>
        <v>0</v>
      </c>
      <c r="AL276" s="704">
        <f>SUMPRODUCT((Producción_Agricola[[#This Row],[Mes Financiero]]=Tipo_Cambio[Mes])*(Producción_Agricola[[#This Row],[Año Financiero]]=Tipo_Cambio[Año])*(Tipo_Cambio[Actualización]))</f>
        <v>0</v>
      </c>
      <c r="AM276" s="709">
        <f>IFERROR(Producción_Agricola[[#This Row],[Económico $Corrientes]]/Producción_Agricola[[#This Row],[Superficie]],0)</f>
        <v>0</v>
      </c>
      <c r="AN276" s="712">
        <f>IFERROR(Producción_Agricola[[#This Row],[Económico $Constantes]]/Producción_Agricola[[#This Row],[Superficie]],0)</f>
        <v>0</v>
      </c>
      <c r="AO276" s="712">
        <f>IFERROR(Producción_Agricola[[#This Row],[Económico U$S Dólares]]/Producción_Agricola[[#This Row],[Superficie]],0)</f>
        <v>0</v>
      </c>
      <c r="AP276" s="711">
        <f>IF(Económico!$F$4=0,0,Producción_Agricola[[#This Row],[Centro de Costo]])</f>
        <v>0</v>
      </c>
      <c r="AQ276" s="512"/>
      <c r="AR276" s="513"/>
      <c r="AS276"/>
    </row>
    <row r="277" spans="1:45" x14ac:dyDescent="0.25">
      <c r="A277" s="509"/>
      <c r="B277" s="487">
        <f>+$J$273</f>
        <v>0</v>
      </c>
      <c r="C277" s="509"/>
      <c r="D277" s="478"/>
      <c r="E277" s="478"/>
      <c r="F277" s="668">
        <f t="shared" si="53"/>
        <v>0</v>
      </c>
      <c r="G277" s="673">
        <f t="shared" si="54"/>
        <v>0</v>
      </c>
      <c r="H277" s="673">
        <f t="shared" si="55"/>
        <v>0</v>
      </c>
      <c r="I277" s="675">
        <f>IFERROR(INDEX(Tabla8[],MATCH(Producción_Agricola[[#This Row],[Unidad de Negocio]],Tabla8[Unidades de Negocio],0),2),0)</f>
        <v>0</v>
      </c>
      <c r="J27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77" s="488"/>
      <c r="L277" s="482"/>
      <c r="M277" s="483"/>
      <c r="N277" s="484"/>
      <c r="O277" s="690">
        <f>Producción_Agricola[[#This Row],[Superficie]]*Producción_Agricola[[#This Row],[Cantidad]]</f>
        <v>0</v>
      </c>
      <c r="P277" s="482"/>
      <c r="Q277" s="484"/>
      <c r="R277" s="485"/>
      <c r="S27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77" s="695">
        <f>IFERROR(Producción_Agricola[[#This Row],[Económico $Corrientes]]/Producción_Agricola[[#This Row],[Indexación Económico]],0)</f>
        <v>0</v>
      </c>
      <c r="U27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7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77" s="695">
        <f>IFERROR(Producción_Agricola[[#This Row],[Financiero $Corrientes]]/Producción_Agricola[[#This Row],[Indexación Financiero]],0)</f>
        <v>0</v>
      </c>
      <c r="X27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7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77" s="699">
        <f>IFERROR(Producción_Agricola[[#This Row],[Intereses $Corrientes]]/Producción_Agricola[[#This Row],[Indexación Financiero]],0)</f>
        <v>0</v>
      </c>
      <c r="AA27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77" s="701">
        <f>IFERROR(INDEX(Produccion_Agricola_Cuentas[],MATCH(Producción_Agricola[[#This Row],[Cuenta Contable]],Produccion_Agricola_Cuentas[Cuenta Contable],0),2),0)</f>
        <v>0</v>
      </c>
      <c r="AC277" s="702">
        <f>IFERROR(INDEX(Tabla9[],MATCH(Producción_Agricola[[#This Row],[Movimiento]],Tabla9[Movimientos],0),2),0)</f>
        <v>0</v>
      </c>
      <c r="AD277" s="703">
        <f>IFERROR(INDEX(Tabla9[],MATCH(Producción_Agricola[[#This Row],[Movimiento]],Tabla9[Movimientos],0),3),0)</f>
        <v>0</v>
      </c>
      <c r="AE277" s="698">
        <f>IF(Producción_Agricola[[#This Row],[Fecha Económico]]=0,0,MONTH(Producción_Agricola[[#This Row],[Fecha Económico]]))</f>
        <v>0</v>
      </c>
      <c r="AF277" s="699">
        <f>IF(Producción_Agricola[[#This Row],[Fecha Económico]]=0,0,YEAR(Producción_Agricola[[#This Row],[Fecha Económico]]))</f>
        <v>0</v>
      </c>
      <c r="AG277" s="704">
        <f>SUMPRODUCT((Producción_Agricola[[#This Row],[Mes Económico]]=Tipo_Cambio[Mes])*(Producción_Agricola[[#This Row],[Año Económico]]=Tipo_Cambio[Año])*(Tipo_Cambio[$/U$S]))</f>
        <v>0</v>
      </c>
      <c r="AH277" s="703">
        <f>SUMPRODUCT((Producción_Agricola[[#This Row],[Mes Económico]]=Tipo_Cambio[Mes])*(Producción_Agricola[[#This Row],[Año Económico]]=Tipo_Cambio[Año])*(Tipo_Cambio[Actualización]))</f>
        <v>0</v>
      </c>
      <c r="AI277" s="699">
        <f>IF(ISNUMBER(Producción_Agricola[[#This Row],[Fecha Financiero]])=TRUE,MONTH(Producción_Agricola[[#This Row],[Fecha Financiero]]),0)</f>
        <v>0</v>
      </c>
      <c r="AJ277" s="699">
        <f>IF(ISNUMBER(Producción_Agricola[[#This Row],[Fecha Financiero]])=TRUE,YEAR(Producción_Agricola[[#This Row],[Fecha Financiero]]),0)</f>
        <v>0</v>
      </c>
      <c r="AK277" s="704">
        <f>SUMPRODUCT((Producción_Agricola[[#This Row],[Mes Financiero]]=Tipo_Cambio[Mes])*(Producción_Agricola[[#This Row],[Año Financiero]]=Tipo_Cambio[Año])*(Tipo_Cambio[$/U$S]))</f>
        <v>0</v>
      </c>
      <c r="AL277" s="704">
        <f>SUMPRODUCT((Producción_Agricola[[#This Row],[Mes Financiero]]=Tipo_Cambio[Mes])*(Producción_Agricola[[#This Row],[Año Financiero]]=Tipo_Cambio[Año])*(Tipo_Cambio[Actualización]))</f>
        <v>0</v>
      </c>
      <c r="AM277" s="709">
        <f>IFERROR(Producción_Agricola[[#This Row],[Económico $Corrientes]]/Producción_Agricola[[#This Row],[Superficie]],0)</f>
        <v>0</v>
      </c>
      <c r="AN277" s="712">
        <f>IFERROR(Producción_Agricola[[#This Row],[Económico $Constantes]]/Producción_Agricola[[#This Row],[Superficie]],0)</f>
        <v>0</v>
      </c>
      <c r="AO277" s="712">
        <f>IFERROR(Producción_Agricola[[#This Row],[Económico U$S Dólares]]/Producción_Agricola[[#This Row],[Superficie]],0)</f>
        <v>0</v>
      </c>
      <c r="AP277" s="711">
        <f>IF(Económico!$F$4=0,0,Producción_Agricola[[#This Row],[Centro de Costo]])</f>
        <v>0</v>
      </c>
      <c r="AQ277" s="512"/>
      <c r="AR277" s="513"/>
      <c r="AS277"/>
    </row>
    <row r="278" spans="1:45" x14ac:dyDescent="0.25">
      <c r="A278" s="509"/>
      <c r="B278" s="494"/>
      <c r="C278" s="509"/>
      <c r="D278" s="478"/>
      <c r="E278" s="478"/>
      <c r="F278" s="668">
        <f t="shared" si="53"/>
        <v>0</v>
      </c>
      <c r="G278" s="673">
        <f t="shared" si="54"/>
        <v>0</v>
      </c>
      <c r="H278" s="673">
        <f t="shared" si="55"/>
        <v>0</v>
      </c>
      <c r="I278" s="675">
        <f>IFERROR(INDEX(Tabla8[],MATCH(Producción_Agricola[[#This Row],[Unidad de Negocio]],Tabla8[Unidades de Negocio],0),2),0)</f>
        <v>0</v>
      </c>
      <c r="J27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78" s="488"/>
      <c r="L278" s="482"/>
      <c r="M278" s="483"/>
      <c r="N278" s="484"/>
      <c r="O278" s="690">
        <f>Producción_Agricola[[#This Row],[Superficie]]*Producción_Agricola[[#This Row],[Cantidad]]</f>
        <v>0</v>
      </c>
      <c r="P278" s="482"/>
      <c r="Q278" s="484"/>
      <c r="R278" s="485"/>
      <c r="S27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78" s="695">
        <f>IFERROR(Producción_Agricola[[#This Row],[Económico $Corrientes]]/Producción_Agricola[[#This Row],[Indexación Económico]],0)</f>
        <v>0</v>
      </c>
      <c r="U27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7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78" s="695">
        <f>IFERROR(Producción_Agricola[[#This Row],[Financiero $Corrientes]]/Producción_Agricola[[#This Row],[Indexación Financiero]],0)</f>
        <v>0</v>
      </c>
      <c r="X27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7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78" s="699">
        <f>IFERROR(Producción_Agricola[[#This Row],[Intereses $Corrientes]]/Producción_Agricola[[#This Row],[Indexación Financiero]],0)</f>
        <v>0</v>
      </c>
      <c r="AA27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78" s="701">
        <f>IFERROR(INDEX(Produccion_Agricola_Cuentas[],MATCH(Producción_Agricola[[#This Row],[Cuenta Contable]],Produccion_Agricola_Cuentas[Cuenta Contable],0),2),0)</f>
        <v>0</v>
      </c>
      <c r="AC278" s="702">
        <f>IFERROR(INDEX(Tabla9[],MATCH(Producción_Agricola[[#This Row],[Movimiento]],Tabla9[Movimientos],0),2),0)</f>
        <v>0</v>
      </c>
      <c r="AD278" s="703">
        <f>IFERROR(INDEX(Tabla9[],MATCH(Producción_Agricola[[#This Row],[Movimiento]],Tabla9[Movimientos],0),3),0)</f>
        <v>0</v>
      </c>
      <c r="AE278" s="698">
        <f>IF(Producción_Agricola[[#This Row],[Fecha Económico]]=0,0,MONTH(Producción_Agricola[[#This Row],[Fecha Económico]]))</f>
        <v>0</v>
      </c>
      <c r="AF278" s="699">
        <f>IF(Producción_Agricola[[#This Row],[Fecha Económico]]=0,0,YEAR(Producción_Agricola[[#This Row],[Fecha Económico]]))</f>
        <v>0</v>
      </c>
      <c r="AG278" s="704">
        <f>SUMPRODUCT((Producción_Agricola[[#This Row],[Mes Económico]]=Tipo_Cambio[Mes])*(Producción_Agricola[[#This Row],[Año Económico]]=Tipo_Cambio[Año])*(Tipo_Cambio[$/U$S]))</f>
        <v>0</v>
      </c>
      <c r="AH278" s="703">
        <f>SUMPRODUCT((Producción_Agricola[[#This Row],[Mes Económico]]=Tipo_Cambio[Mes])*(Producción_Agricola[[#This Row],[Año Económico]]=Tipo_Cambio[Año])*(Tipo_Cambio[Actualización]))</f>
        <v>0</v>
      </c>
      <c r="AI278" s="699">
        <f>IF(ISNUMBER(Producción_Agricola[[#This Row],[Fecha Financiero]])=TRUE,MONTH(Producción_Agricola[[#This Row],[Fecha Financiero]]),0)</f>
        <v>0</v>
      </c>
      <c r="AJ278" s="699">
        <f>IF(ISNUMBER(Producción_Agricola[[#This Row],[Fecha Financiero]])=TRUE,YEAR(Producción_Agricola[[#This Row],[Fecha Financiero]]),0)</f>
        <v>0</v>
      </c>
      <c r="AK278" s="704">
        <f>SUMPRODUCT((Producción_Agricola[[#This Row],[Mes Financiero]]=Tipo_Cambio[Mes])*(Producción_Agricola[[#This Row],[Año Financiero]]=Tipo_Cambio[Año])*(Tipo_Cambio[$/U$S]))</f>
        <v>0</v>
      </c>
      <c r="AL278" s="704">
        <f>SUMPRODUCT((Producción_Agricola[[#This Row],[Mes Financiero]]=Tipo_Cambio[Mes])*(Producción_Agricola[[#This Row],[Año Financiero]]=Tipo_Cambio[Año])*(Tipo_Cambio[Actualización]))</f>
        <v>0</v>
      </c>
      <c r="AM278" s="709">
        <f>IFERROR(Producción_Agricola[[#This Row],[Económico $Corrientes]]/Producción_Agricola[[#This Row],[Superficie]],0)</f>
        <v>0</v>
      </c>
      <c r="AN278" s="712">
        <f>IFERROR(Producción_Agricola[[#This Row],[Económico $Constantes]]/Producción_Agricola[[#This Row],[Superficie]],0)</f>
        <v>0</v>
      </c>
      <c r="AO278" s="712">
        <f>IFERROR(Producción_Agricola[[#This Row],[Económico U$S Dólares]]/Producción_Agricola[[#This Row],[Superficie]],0)</f>
        <v>0</v>
      </c>
      <c r="AP278" s="711">
        <f>IF(Económico!$F$4=0,0,Producción_Agricola[[#This Row],[Centro de Costo]])</f>
        <v>0</v>
      </c>
      <c r="AQ278" s="512"/>
      <c r="AR278" s="513"/>
      <c r="AS278"/>
    </row>
    <row r="279" spans="1:45" x14ac:dyDescent="0.25">
      <c r="A279" s="509"/>
      <c r="B279" s="494"/>
      <c r="C279" s="509"/>
      <c r="D279" s="478"/>
      <c r="E279" s="478"/>
      <c r="F279" s="668">
        <f t="shared" si="53"/>
        <v>0</v>
      </c>
      <c r="G279" s="673">
        <f t="shared" si="54"/>
        <v>0</v>
      </c>
      <c r="H279" s="673">
        <f t="shared" si="55"/>
        <v>0</v>
      </c>
      <c r="I279" s="675">
        <f>IFERROR(INDEX(Tabla8[],MATCH(Producción_Agricola[[#This Row],[Unidad de Negocio]],Tabla8[Unidades de Negocio],0),2),0)</f>
        <v>0</v>
      </c>
      <c r="J27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79" s="488"/>
      <c r="L279" s="482"/>
      <c r="M279" s="483"/>
      <c r="N279" s="484"/>
      <c r="O279" s="690">
        <f>Producción_Agricola[[#This Row],[Superficie]]*Producción_Agricola[[#This Row],[Cantidad]]</f>
        <v>0</v>
      </c>
      <c r="P279" s="482"/>
      <c r="Q279" s="484"/>
      <c r="R279" s="485"/>
      <c r="S27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79" s="695">
        <f>IFERROR(Producción_Agricola[[#This Row],[Económico $Corrientes]]/Producción_Agricola[[#This Row],[Indexación Económico]],0)</f>
        <v>0</v>
      </c>
      <c r="U27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7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79" s="695">
        <f>IFERROR(Producción_Agricola[[#This Row],[Financiero $Corrientes]]/Producción_Agricola[[#This Row],[Indexación Financiero]],0)</f>
        <v>0</v>
      </c>
      <c r="X27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7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79" s="699">
        <f>IFERROR(Producción_Agricola[[#This Row],[Intereses $Corrientes]]/Producción_Agricola[[#This Row],[Indexación Financiero]],0)</f>
        <v>0</v>
      </c>
      <c r="AA27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79" s="701">
        <f>IFERROR(INDEX(Produccion_Agricola_Cuentas[],MATCH(Producción_Agricola[[#This Row],[Cuenta Contable]],Produccion_Agricola_Cuentas[Cuenta Contable],0),2),0)</f>
        <v>0</v>
      </c>
      <c r="AC279" s="702">
        <f>IFERROR(INDEX(Tabla9[],MATCH(Producción_Agricola[[#This Row],[Movimiento]],Tabla9[Movimientos],0),2),0)</f>
        <v>0</v>
      </c>
      <c r="AD279" s="703">
        <f>IFERROR(INDEX(Tabla9[],MATCH(Producción_Agricola[[#This Row],[Movimiento]],Tabla9[Movimientos],0),3),0)</f>
        <v>0</v>
      </c>
      <c r="AE279" s="698">
        <f>IF(Producción_Agricola[[#This Row],[Fecha Económico]]=0,0,MONTH(Producción_Agricola[[#This Row],[Fecha Económico]]))</f>
        <v>0</v>
      </c>
      <c r="AF279" s="699">
        <f>IF(Producción_Agricola[[#This Row],[Fecha Económico]]=0,0,YEAR(Producción_Agricola[[#This Row],[Fecha Económico]]))</f>
        <v>0</v>
      </c>
      <c r="AG279" s="704">
        <f>SUMPRODUCT((Producción_Agricola[[#This Row],[Mes Económico]]=Tipo_Cambio[Mes])*(Producción_Agricola[[#This Row],[Año Económico]]=Tipo_Cambio[Año])*(Tipo_Cambio[$/U$S]))</f>
        <v>0</v>
      </c>
      <c r="AH279" s="703">
        <f>SUMPRODUCT((Producción_Agricola[[#This Row],[Mes Económico]]=Tipo_Cambio[Mes])*(Producción_Agricola[[#This Row],[Año Económico]]=Tipo_Cambio[Año])*(Tipo_Cambio[Actualización]))</f>
        <v>0</v>
      </c>
      <c r="AI279" s="699">
        <f>IF(ISNUMBER(Producción_Agricola[[#This Row],[Fecha Financiero]])=TRUE,MONTH(Producción_Agricola[[#This Row],[Fecha Financiero]]),0)</f>
        <v>0</v>
      </c>
      <c r="AJ279" s="699">
        <f>IF(ISNUMBER(Producción_Agricola[[#This Row],[Fecha Financiero]])=TRUE,YEAR(Producción_Agricola[[#This Row],[Fecha Financiero]]),0)</f>
        <v>0</v>
      </c>
      <c r="AK279" s="704">
        <f>SUMPRODUCT((Producción_Agricola[[#This Row],[Mes Financiero]]=Tipo_Cambio[Mes])*(Producción_Agricola[[#This Row],[Año Financiero]]=Tipo_Cambio[Año])*(Tipo_Cambio[$/U$S]))</f>
        <v>0</v>
      </c>
      <c r="AL279" s="704">
        <f>SUMPRODUCT((Producción_Agricola[[#This Row],[Mes Financiero]]=Tipo_Cambio[Mes])*(Producción_Agricola[[#This Row],[Año Financiero]]=Tipo_Cambio[Año])*(Tipo_Cambio[Actualización]))</f>
        <v>0</v>
      </c>
      <c r="AM279" s="709">
        <f>IFERROR(Producción_Agricola[[#This Row],[Económico $Corrientes]]/Producción_Agricola[[#This Row],[Superficie]],0)</f>
        <v>0</v>
      </c>
      <c r="AN279" s="712">
        <f>IFERROR(Producción_Agricola[[#This Row],[Económico $Constantes]]/Producción_Agricola[[#This Row],[Superficie]],0)</f>
        <v>0</v>
      </c>
      <c r="AO279" s="712">
        <f>IFERROR(Producción_Agricola[[#This Row],[Económico U$S Dólares]]/Producción_Agricola[[#This Row],[Superficie]],0)</f>
        <v>0</v>
      </c>
      <c r="AP279" s="711">
        <f>IF(Económico!$F$4=0,0,Producción_Agricola[[#This Row],[Centro de Costo]])</f>
        <v>0</v>
      </c>
      <c r="AQ279" s="512"/>
      <c r="AR279" s="513"/>
      <c r="AS279"/>
    </row>
    <row r="280" spans="1:45" x14ac:dyDescent="0.25">
      <c r="A280" s="509"/>
      <c r="B280" s="494"/>
      <c r="C280" s="509"/>
      <c r="D280" s="478"/>
      <c r="E280" s="478"/>
      <c r="F280" s="668">
        <f t="shared" si="53"/>
        <v>0</v>
      </c>
      <c r="G280" s="673">
        <f t="shared" si="54"/>
        <v>0</v>
      </c>
      <c r="H280" s="673">
        <f t="shared" si="55"/>
        <v>0</v>
      </c>
      <c r="I280" s="675">
        <f>IFERROR(INDEX(Tabla8[],MATCH(Producción_Agricola[[#This Row],[Unidad de Negocio]],Tabla8[Unidades de Negocio],0),2),0)</f>
        <v>0</v>
      </c>
      <c r="J28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80" s="488"/>
      <c r="L280" s="482"/>
      <c r="M280" s="483"/>
      <c r="N280" s="484"/>
      <c r="O280" s="690">
        <f>Producción_Agricola[[#This Row],[Superficie]]*Producción_Agricola[[#This Row],[Cantidad]]</f>
        <v>0</v>
      </c>
      <c r="P280" s="482"/>
      <c r="Q280" s="484"/>
      <c r="R280" s="485"/>
      <c r="S28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80" s="695">
        <f>IFERROR(Producción_Agricola[[#This Row],[Económico $Corrientes]]/Producción_Agricola[[#This Row],[Indexación Económico]],0)</f>
        <v>0</v>
      </c>
      <c r="U28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8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80" s="695">
        <f>IFERROR(Producción_Agricola[[#This Row],[Financiero $Corrientes]]/Producción_Agricola[[#This Row],[Indexación Financiero]],0)</f>
        <v>0</v>
      </c>
      <c r="X28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8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80" s="699">
        <f>IFERROR(Producción_Agricola[[#This Row],[Intereses $Corrientes]]/Producción_Agricola[[#This Row],[Indexación Financiero]],0)</f>
        <v>0</v>
      </c>
      <c r="AA28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80" s="701">
        <f>IFERROR(INDEX(Produccion_Agricola_Cuentas[],MATCH(Producción_Agricola[[#This Row],[Cuenta Contable]],Produccion_Agricola_Cuentas[Cuenta Contable],0),2),0)</f>
        <v>0</v>
      </c>
      <c r="AC280" s="702">
        <f>IFERROR(INDEX(Tabla9[],MATCH(Producción_Agricola[[#This Row],[Movimiento]],Tabla9[Movimientos],0),2),0)</f>
        <v>0</v>
      </c>
      <c r="AD280" s="703">
        <f>IFERROR(INDEX(Tabla9[],MATCH(Producción_Agricola[[#This Row],[Movimiento]],Tabla9[Movimientos],0),3),0)</f>
        <v>0</v>
      </c>
      <c r="AE280" s="698">
        <f>IF(Producción_Agricola[[#This Row],[Fecha Económico]]=0,0,MONTH(Producción_Agricola[[#This Row],[Fecha Económico]]))</f>
        <v>0</v>
      </c>
      <c r="AF280" s="699">
        <f>IF(Producción_Agricola[[#This Row],[Fecha Económico]]=0,0,YEAR(Producción_Agricola[[#This Row],[Fecha Económico]]))</f>
        <v>0</v>
      </c>
      <c r="AG280" s="704">
        <f>SUMPRODUCT((Producción_Agricola[[#This Row],[Mes Económico]]=Tipo_Cambio[Mes])*(Producción_Agricola[[#This Row],[Año Económico]]=Tipo_Cambio[Año])*(Tipo_Cambio[$/U$S]))</f>
        <v>0</v>
      </c>
      <c r="AH280" s="703">
        <f>SUMPRODUCT((Producción_Agricola[[#This Row],[Mes Económico]]=Tipo_Cambio[Mes])*(Producción_Agricola[[#This Row],[Año Económico]]=Tipo_Cambio[Año])*(Tipo_Cambio[Actualización]))</f>
        <v>0</v>
      </c>
      <c r="AI280" s="699">
        <f>IF(ISNUMBER(Producción_Agricola[[#This Row],[Fecha Financiero]])=TRUE,MONTH(Producción_Agricola[[#This Row],[Fecha Financiero]]),0)</f>
        <v>0</v>
      </c>
      <c r="AJ280" s="699">
        <f>IF(ISNUMBER(Producción_Agricola[[#This Row],[Fecha Financiero]])=TRUE,YEAR(Producción_Agricola[[#This Row],[Fecha Financiero]]),0)</f>
        <v>0</v>
      </c>
      <c r="AK280" s="704">
        <f>SUMPRODUCT((Producción_Agricola[[#This Row],[Mes Financiero]]=Tipo_Cambio[Mes])*(Producción_Agricola[[#This Row],[Año Financiero]]=Tipo_Cambio[Año])*(Tipo_Cambio[$/U$S]))</f>
        <v>0</v>
      </c>
      <c r="AL280" s="704">
        <f>SUMPRODUCT((Producción_Agricola[[#This Row],[Mes Financiero]]=Tipo_Cambio[Mes])*(Producción_Agricola[[#This Row],[Año Financiero]]=Tipo_Cambio[Año])*(Tipo_Cambio[Actualización]))</f>
        <v>0</v>
      </c>
      <c r="AM280" s="709">
        <f>IFERROR(Producción_Agricola[[#This Row],[Económico $Corrientes]]/Producción_Agricola[[#This Row],[Superficie]],0)</f>
        <v>0</v>
      </c>
      <c r="AN280" s="712">
        <f>IFERROR(Producción_Agricola[[#This Row],[Económico $Constantes]]/Producción_Agricola[[#This Row],[Superficie]],0)</f>
        <v>0</v>
      </c>
      <c r="AO280" s="712">
        <f>IFERROR(Producción_Agricola[[#This Row],[Económico U$S Dólares]]/Producción_Agricola[[#This Row],[Superficie]],0)</f>
        <v>0</v>
      </c>
      <c r="AP280" s="711">
        <f>IF(Económico!$F$4=0,0,Producción_Agricola[[#This Row],[Centro de Costo]])</f>
        <v>0</v>
      </c>
      <c r="AQ280" s="512"/>
      <c r="AR280" s="513"/>
      <c r="AS280"/>
    </row>
    <row r="281" spans="1:45" x14ac:dyDescent="0.25">
      <c r="A281" s="509"/>
      <c r="B281" s="494"/>
      <c r="C281" s="509"/>
      <c r="D281" s="478"/>
      <c r="E281" s="478"/>
      <c r="F281" s="668">
        <f t="shared" si="53"/>
        <v>0</v>
      </c>
      <c r="G281" s="673">
        <f t="shared" si="54"/>
        <v>0</v>
      </c>
      <c r="H281" s="673">
        <f t="shared" si="55"/>
        <v>0</v>
      </c>
      <c r="I281" s="675">
        <f>IFERROR(INDEX(Tabla8[],MATCH(Producción_Agricola[[#This Row],[Unidad de Negocio]],Tabla8[Unidades de Negocio],0),2),0)</f>
        <v>0</v>
      </c>
      <c r="J28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81" s="488"/>
      <c r="L281" s="482"/>
      <c r="M281" s="483"/>
      <c r="N281" s="484"/>
      <c r="O281" s="690">
        <f>Producción_Agricola[[#This Row],[Superficie]]*Producción_Agricola[[#This Row],[Cantidad]]</f>
        <v>0</v>
      </c>
      <c r="P281" s="482"/>
      <c r="Q281" s="484"/>
      <c r="R281" s="485"/>
      <c r="S28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81" s="695">
        <f>IFERROR(Producción_Agricola[[#This Row],[Económico $Corrientes]]/Producción_Agricola[[#This Row],[Indexación Económico]],0)</f>
        <v>0</v>
      </c>
      <c r="U28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8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81" s="695">
        <f>IFERROR(Producción_Agricola[[#This Row],[Financiero $Corrientes]]/Producción_Agricola[[#This Row],[Indexación Financiero]],0)</f>
        <v>0</v>
      </c>
      <c r="X28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8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81" s="699">
        <f>IFERROR(Producción_Agricola[[#This Row],[Intereses $Corrientes]]/Producción_Agricola[[#This Row],[Indexación Financiero]],0)</f>
        <v>0</v>
      </c>
      <c r="AA28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81" s="701">
        <f>IFERROR(INDEX(Produccion_Agricola_Cuentas[],MATCH(Producción_Agricola[[#This Row],[Cuenta Contable]],Produccion_Agricola_Cuentas[Cuenta Contable],0),2),0)</f>
        <v>0</v>
      </c>
      <c r="AC281" s="702">
        <f>IFERROR(INDEX(Tabla9[],MATCH(Producción_Agricola[[#This Row],[Movimiento]],Tabla9[Movimientos],0),2),0)</f>
        <v>0</v>
      </c>
      <c r="AD281" s="703">
        <f>IFERROR(INDEX(Tabla9[],MATCH(Producción_Agricola[[#This Row],[Movimiento]],Tabla9[Movimientos],0),3),0)</f>
        <v>0</v>
      </c>
      <c r="AE281" s="698">
        <f>IF(Producción_Agricola[[#This Row],[Fecha Económico]]=0,0,MONTH(Producción_Agricola[[#This Row],[Fecha Económico]]))</f>
        <v>0</v>
      </c>
      <c r="AF281" s="699">
        <f>IF(Producción_Agricola[[#This Row],[Fecha Económico]]=0,0,YEAR(Producción_Agricola[[#This Row],[Fecha Económico]]))</f>
        <v>0</v>
      </c>
      <c r="AG281" s="704">
        <f>SUMPRODUCT((Producción_Agricola[[#This Row],[Mes Económico]]=Tipo_Cambio[Mes])*(Producción_Agricola[[#This Row],[Año Económico]]=Tipo_Cambio[Año])*(Tipo_Cambio[$/U$S]))</f>
        <v>0</v>
      </c>
      <c r="AH281" s="703">
        <f>SUMPRODUCT((Producción_Agricola[[#This Row],[Mes Económico]]=Tipo_Cambio[Mes])*(Producción_Agricola[[#This Row],[Año Económico]]=Tipo_Cambio[Año])*(Tipo_Cambio[Actualización]))</f>
        <v>0</v>
      </c>
      <c r="AI281" s="699">
        <f>IF(ISNUMBER(Producción_Agricola[[#This Row],[Fecha Financiero]])=TRUE,MONTH(Producción_Agricola[[#This Row],[Fecha Financiero]]),0)</f>
        <v>0</v>
      </c>
      <c r="AJ281" s="699">
        <f>IF(ISNUMBER(Producción_Agricola[[#This Row],[Fecha Financiero]])=TRUE,YEAR(Producción_Agricola[[#This Row],[Fecha Financiero]]),0)</f>
        <v>0</v>
      </c>
      <c r="AK281" s="704">
        <f>SUMPRODUCT((Producción_Agricola[[#This Row],[Mes Financiero]]=Tipo_Cambio[Mes])*(Producción_Agricola[[#This Row],[Año Financiero]]=Tipo_Cambio[Año])*(Tipo_Cambio[$/U$S]))</f>
        <v>0</v>
      </c>
      <c r="AL281" s="704">
        <f>SUMPRODUCT((Producción_Agricola[[#This Row],[Mes Financiero]]=Tipo_Cambio[Mes])*(Producción_Agricola[[#This Row],[Año Financiero]]=Tipo_Cambio[Año])*(Tipo_Cambio[Actualización]))</f>
        <v>0</v>
      </c>
      <c r="AM281" s="709">
        <f>IFERROR(Producción_Agricola[[#This Row],[Económico $Corrientes]]/Producción_Agricola[[#This Row],[Superficie]],0)</f>
        <v>0</v>
      </c>
      <c r="AN281" s="712">
        <f>IFERROR(Producción_Agricola[[#This Row],[Económico $Constantes]]/Producción_Agricola[[#This Row],[Superficie]],0)</f>
        <v>0</v>
      </c>
      <c r="AO281" s="712">
        <f>IFERROR(Producción_Agricola[[#This Row],[Económico U$S Dólares]]/Producción_Agricola[[#This Row],[Superficie]],0)</f>
        <v>0</v>
      </c>
      <c r="AP281" s="711">
        <f>IF(Económico!$F$4=0,0,Producción_Agricola[[#This Row],[Centro de Costo]])</f>
        <v>0</v>
      </c>
      <c r="AQ281" s="512"/>
      <c r="AR281" s="513"/>
      <c r="AS281"/>
    </row>
    <row r="282" spans="1:45" x14ac:dyDescent="0.25">
      <c r="A282" s="509"/>
      <c r="B282" s="494"/>
      <c r="C282" s="509"/>
      <c r="D282" s="478"/>
      <c r="E282" s="478"/>
      <c r="F282" s="668">
        <f t="shared" si="53"/>
        <v>0</v>
      </c>
      <c r="G282" s="673">
        <f t="shared" si="54"/>
        <v>0</v>
      </c>
      <c r="H282" s="673">
        <f t="shared" si="55"/>
        <v>0</v>
      </c>
      <c r="I282" s="675">
        <f>IFERROR(INDEX(Tabla8[],MATCH(Producción_Agricola[[#This Row],[Unidad de Negocio]],Tabla8[Unidades de Negocio],0),2),0)</f>
        <v>0</v>
      </c>
      <c r="J28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82" s="488"/>
      <c r="L282" s="482"/>
      <c r="M282" s="483"/>
      <c r="N282" s="484"/>
      <c r="O282" s="690">
        <f>Producción_Agricola[[#This Row],[Superficie]]*Producción_Agricola[[#This Row],[Cantidad]]</f>
        <v>0</v>
      </c>
      <c r="P282" s="482"/>
      <c r="Q282" s="484"/>
      <c r="R282" s="485"/>
      <c r="S28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82" s="695">
        <f>IFERROR(Producción_Agricola[[#This Row],[Económico $Corrientes]]/Producción_Agricola[[#This Row],[Indexación Económico]],0)</f>
        <v>0</v>
      </c>
      <c r="U28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8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82" s="695">
        <f>IFERROR(Producción_Agricola[[#This Row],[Financiero $Corrientes]]/Producción_Agricola[[#This Row],[Indexación Financiero]],0)</f>
        <v>0</v>
      </c>
      <c r="X28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8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82" s="699">
        <f>IFERROR(Producción_Agricola[[#This Row],[Intereses $Corrientes]]/Producción_Agricola[[#This Row],[Indexación Financiero]],0)</f>
        <v>0</v>
      </c>
      <c r="AA28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82" s="701">
        <f>IFERROR(INDEX(Produccion_Agricola_Cuentas[],MATCH(Producción_Agricola[[#This Row],[Cuenta Contable]],Produccion_Agricola_Cuentas[Cuenta Contable],0),2),0)</f>
        <v>0</v>
      </c>
      <c r="AC282" s="702">
        <f>IFERROR(INDEX(Tabla9[],MATCH(Producción_Agricola[[#This Row],[Movimiento]],Tabla9[Movimientos],0),2),0)</f>
        <v>0</v>
      </c>
      <c r="AD282" s="703">
        <f>IFERROR(INDEX(Tabla9[],MATCH(Producción_Agricola[[#This Row],[Movimiento]],Tabla9[Movimientos],0),3),0)</f>
        <v>0</v>
      </c>
      <c r="AE282" s="698">
        <f>IF(Producción_Agricola[[#This Row],[Fecha Económico]]=0,0,MONTH(Producción_Agricola[[#This Row],[Fecha Económico]]))</f>
        <v>0</v>
      </c>
      <c r="AF282" s="699">
        <f>IF(Producción_Agricola[[#This Row],[Fecha Económico]]=0,0,YEAR(Producción_Agricola[[#This Row],[Fecha Económico]]))</f>
        <v>0</v>
      </c>
      <c r="AG282" s="704">
        <f>SUMPRODUCT((Producción_Agricola[[#This Row],[Mes Económico]]=Tipo_Cambio[Mes])*(Producción_Agricola[[#This Row],[Año Económico]]=Tipo_Cambio[Año])*(Tipo_Cambio[$/U$S]))</f>
        <v>0</v>
      </c>
      <c r="AH282" s="703">
        <f>SUMPRODUCT((Producción_Agricola[[#This Row],[Mes Económico]]=Tipo_Cambio[Mes])*(Producción_Agricola[[#This Row],[Año Económico]]=Tipo_Cambio[Año])*(Tipo_Cambio[Actualización]))</f>
        <v>0</v>
      </c>
      <c r="AI282" s="699">
        <f>IF(ISNUMBER(Producción_Agricola[[#This Row],[Fecha Financiero]])=TRUE,MONTH(Producción_Agricola[[#This Row],[Fecha Financiero]]),0)</f>
        <v>0</v>
      </c>
      <c r="AJ282" s="699">
        <f>IF(ISNUMBER(Producción_Agricola[[#This Row],[Fecha Financiero]])=TRUE,YEAR(Producción_Agricola[[#This Row],[Fecha Financiero]]),0)</f>
        <v>0</v>
      </c>
      <c r="AK282" s="704">
        <f>SUMPRODUCT((Producción_Agricola[[#This Row],[Mes Financiero]]=Tipo_Cambio[Mes])*(Producción_Agricola[[#This Row],[Año Financiero]]=Tipo_Cambio[Año])*(Tipo_Cambio[$/U$S]))</f>
        <v>0</v>
      </c>
      <c r="AL282" s="704">
        <f>SUMPRODUCT((Producción_Agricola[[#This Row],[Mes Financiero]]=Tipo_Cambio[Mes])*(Producción_Agricola[[#This Row],[Año Financiero]]=Tipo_Cambio[Año])*(Tipo_Cambio[Actualización]))</f>
        <v>0</v>
      </c>
      <c r="AM282" s="709">
        <f>IFERROR(Producción_Agricola[[#This Row],[Económico $Corrientes]]/Producción_Agricola[[#This Row],[Superficie]],0)</f>
        <v>0</v>
      </c>
      <c r="AN282" s="712">
        <f>IFERROR(Producción_Agricola[[#This Row],[Económico $Constantes]]/Producción_Agricola[[#This Row],[Superficie]],0)</f>
        <v>0</v>
      </c>
      <c r="AO282" s="712">
        <f>IFERROR(Producción_Agricola[[#This Row],[Económico U$S Dólares]]/Producción_Agricola[[#This Row],[Superficie]],0)</f>
        <v>0</v>
      </c>
      <c r="AP282" s="711">
        <f>IF(Económico!$F$4=0,0,Producción_Agricola[[#This Row],[Centro de Costo]])</f>
        <v>0</v>
      </c>
      <c r="AQ282" s="512"/>
      <c r="AR282" s="513"/>
      <c r="AS282"/>
    </row>
    <row r="283" spans="1:45" x14ac:dyDescent="0.25">
      <c r="A283" s="509"/>
      <c r="B283" s="494"/>
      <c r="C283" s="509"/>
      <c r="D283" s="478"/>
      <c r="E283" s="478"/>
      <c r="F283" s="668">
        <f t="shared" si="53"/>
        <v>0</v>
      </c>
      <c r="G283" s="673">
        <f t="shared" si="54"/>
        <v>0</v>
      </c>
      <c r="H283" s="673">
        <f t="shared" si="55"/>
        <v>0</v>
      </c>
      <c r="I283" s="675">
        <f>IFERROR(INDEX(Tabla8[],MATCH(Producción_Agricola[[#This Row],[Unidad de Negocio]],Tabla8[Unidades de Negocio],0),2),0)</f>
        <v>0</v>
      </c>
      <c r="J28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83" s="488"/>
      <c r="L283" s="482"/>
      <c r="M283" s="483"/>
      <c r="N283" s="484"/>
      <c r="O283" s="690">
        <f>Producción_Agricola[[#This Row],[Superficie]]*Producción_Agricola[[#This Row],[Cantidad]]</f>
        <v>0</v>
      </c>
      <c r="P283" s="482"/>
      <c r="Q283" s="484"/>
      <c r="R283" s="485"/>
      <c r="S28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83" s="695">
        <f>IFERROR(Producción_Agricola[[#This Row],[Económico $Corrientes]]/Producción_Agricola[[#This Row],[Indexación Económico]],0)</f>
        <v>0</v>
      </c>
      <c r="U28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8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83" s="695">
        <f>IFERROR(Producción_Agricola[[#This Row],[Financiero $Corrientes]]/Producción_Agricola[[#This Row],[Indexación Financiero]],0)</f>
        <v>0</v>
      </c>
      <c r="X28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8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83" s="699">
        <f>IFERROR(Producción_Agricola[[#This Row],[Intereses $Corrientes]]/Producción_Agricola[[#This Row],[Indexación Financiero]],0)</f>
        <v>0</v>
      </c>
      <c r="AA28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83" s="701">
        <f>IFERROR(INDEX(Produccion_Agricola_Cuentas[],MATCH(Producción_Agricola[[#This Row],[Cuenta Contable]],Produccion_Agricola_Cuentas[Cuenta Contable],0),2),0)</f>
        <v>0</v>
      </c>
      <c r="AC283" s="702">
        <f>IFERROR(INDEX(Tabla9[],MATCH(Producción_Agricola[[#This Row],[Movimiento]],Tabla9[Movimientos],0),2),0)</f>
        <v>0</v>
      </c>
      <c r="AD283" s="703">
        <f>IFERROR(INDEX(Tabla9[],MATCH(Producción_Agricola[[#This Row],[Movimiento]],Tabla9[Movimientos],0),3),0)</f>
        <v>0</v>
      </c>
      <c r="AE283" s="698">
        <f>IF(Producción_Agricola[[#This Row],[Fecha Económico]]=0,0,MONTH(Producción_Agricola[[#This Row],[Fecha Económico]]))</f>
        <v>0</v>
      </c>
      <c r="AF283" s="699">
        <f>IF(Producción_Agricola[[#This Row],[Fecha Económico]]=0,0,YEAR(Producción_Agricola[[#This Row],[Fecha Económico]]))</f>
        <v>0</v>
      </c>
      <c r="AG283" s="704">
        <f>SUMPRODUCT((Producción_Agricola[[#This Row],[Mes Económico]]=Tipo_Cambio[Mes])*(Producción_Agricola[[#This Row],[Año Económico]]=Tipo_Cambio[Año])*(Tipo_Cambio[$/U$S]))</f>
        <v>0</v>
      </c>
      <c r="AH283" s="703">
        <f>SUMPRODUCT((Producción_Agricola[[#This Row],[Mes Económico]]=Tipo_Cambio[Mes])*(Producción_Agricola[[#This Row],[Año Económico]]=Tipo_Cambio[Año])*(Tipo_Cambio[Actualización]))</f>
        <v>0</v>
      </c>
      <c r="AI283" s="699">
        <f>IF(ISNUMBER(Producción_Agricola[[#This Row],[Fecha Financiero]])=TRUE,MONTH(Producción_Agricola[[#This Row],[Fecha Financiero]]),0)</f>
        <v>0</v>
      </c>
      <c r="AJ283" s="699">
        <f>IF(ISNUMBER(Producción_Agricola[[#This Row],[Fecha Financiero]])=TRUE,YEAR(Producción_Agricola[[#This Row],[Fecha Financiero]]),0)</f>
        <v>0</v>
      </c>
      <c r="AK283" s="704">
        <f>SUMPRODUCT((Producción_Agricola[[#This Row],[Mes Financiero]]=Tipo_Cambio[Mes])*(Producción_Agricola[[#This Row],[Año Financiero]]=Tipo_Cambio[Año])*(Tipo_Cambio[$/U$S]))</f>
        <v>0</v>
      </c>
      <c r="AL283" s="704">
        <f>SUMPRODUCT((Producción_Agricola[[#This Row],[Mes Financiero]]=Tipo_Cambio[Mes])*(Producción_Agricola[[#This Row],[Año Financiero]]=Tipo_Cambio[Año])*(Tipo_Cambio[Actualización]))</f>
        <v>0</v>
      </c>
      <c r="AM283" s="709">
        <f>IFERROR(Producción_Agricola[[#This Row],[Económico $Corrientes]]/Producción_Agricola[[#This Row],[Superficie]],0)</f>
        <v>0</v>
      </c>
      <c r="AN283" s="712">
        <f>IFERROR(Producción_Agricola[[#This Row],[Económico $Constantes]]/Producción_Agricola[[#This Row],[Superficie]],0)</f>
        <v>0</v>
      </c>
      <c r="AO283" s="712">
        <f>IFERROR(Producción_Agricola[[#This Row],[Económico U$S Dólares]]/Producción_Agricola[[#This Row],[Superficie]],0)</f>
        <v>0</v>
      </c>
      <c r="AP283" s="711">
        <f>IF(Económico!$F$4=0,0,Producción_Agricola[[#This Row],[Centro de Costo]])</f>
        <v>0</v>
      </c>
      <c r="AQ283" s="512"/>
      <c r="AR283" s="513"/>
      <c r="AS283"/>
    </row>
    <row r="284" spans="1:45" x14ac:dyDescent="0.25">
      <c r="A284" s="509"/>
      <c r="B284" s="494"/>
      <c r="C284" s="509"/>
      <c r="D284" s="478"/>
      <c r="E284" s="478"/>
      <c r="F284" s="668">
        <f t="shared" si="53"/>
        <v>0</v>
      </c>
      <c r="G284" s="673">
        <f t="shared" si="54"/>
        <v>0</v>
      </c>
      <c r="H284" s="673">
        <f t="shared" si="55"/>
        <v>0</v>
      </c>
      <c r="I284" s="675">
        <f>IFERROR(INDEX(Tabla8[],MATCH(Producción_Agricola[[#This Row],[Unidad de Negocio]],Tabla8[Unidades de Negocio],0),2),0)</f>
        <v>0</v>
      </c>
      <c r="J28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84" s="488"/>
      <c r="L284" s="482"/>
      <c r="M284" s="483"/>
      <c r="N284" s="484"/>
      <c r="O284" s="690">
        <f>Producción_Agricola[[#This Row],[Superficie]]*Producción_Agricola[[#This Row],[Cantidad]]</f>
        <v>0</v>
      </c>
      <c r="P284" s="482"/>
      <c r="Q284" s="484"/>
      <c r="R284" s="485"/>
      <c r="S28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84" s="695">
        <f>IFERROR(Producción_Agricola[[#This Row],[Económico $Corrientes]]/Producción_Agricola[[#This Row],[Indexación Económico]],0)</f>
        <v>0</v>
      </c>
      <c r="U28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8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84" s="695">
        <f>IFERROR(Producción_Agricola[[#This Row],[Financiero $Corrientes]]/Producción_Agricola[[#This Row],[Indexación Financiero]],0)</f>
        <v>0</v>
      </c>
      <c r="X28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8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84" s="699">
        <f>IFERROR(Producción_Agricola[[#This Row],[Intereses $Corrientes]]/Producción_Agricola[[#This Row],[Indexación Financiero]],0)</f>
        <v>0</v>
      </c>
      <c r="AA28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84" s="701">
        <f>IFERROR(INDEX(Produccion_Agricola_Cuentas[],MATCH(Producción_Agricola[[#This Row],[Cuenta Contable]],Produccion_Agricola_Cuentas[Cuenta Contable],0),2),0)</f>
        <v>0</v>
      </c>
      <c r="AC284" s="702">
        <f>IFERROR(INDEX(Tabla9[],MATCH(Producción_Agricola[[#This Row],[Movimiento]],Tabla9[Movimientos],0),2),0)</f>
        <v>0</v>
      </c>
      <c r="AD284" s="703">
        <f>IFERROR(INDEX(Tabla9[],MATCH(Producción_Agricola[[#This Row],[Movimiento]],Tabla9[Movimientos],0),3),0)</f>
        <v>0</v>
      </c>
      <c r="AE284" s="698">
        <f>IF(Producción_Agricola[[#This Row],[Fecha Económico]]=0,0,MONTH(Producción_Agricola[[#This Row],[Fecha Económico]]))</f>
        <v>0</v>
      </c>
      <c r="AF284" s="699">
        <f>IF(Producción_Agricola[[#This Row],[Fecha Económico]]=0,0,YEAR(Producción_Agricola[[#This Row],[Fecha Económico]]))</f>
        <v>0</v>
      </c>
      <c r="AG284" s="704">
        <f>SUMPRODUCT((Producción_Agricola[[#This Row],[Mes Económico]]=Tipo_Cambio[Mes])*(Producción_Agricola[[#This Row],[Año Económico]]=Tipo_Cambio[Año])*(Tipo_Cambio[$/U$S]))</f>
        <v>0</v>
      </c>
      <c r="AH284" s="703">
        <f>SUMPRODUCT((Producción_Agricola[[#This Row],[Mes Económico]]=Tipo_Cambio[Mes])*(Producción_Agricola[[#This Row],[Año Económico]]=Tipo_Cambio[Año])*(Tipo_Cambio[Actualización]))</f>
        <v>0</v>
      </c>
      <c r="AI284" s="699">
        <f>IF(ISNUMBER(Producción_Agricola[[#This Row],[Fecha Financiero]])=TRUE,MONTH(Producción_Agricola[[#This Row],[Fecha Financiero]]),0)</f>
        <v>0</v>
      </c>
      <c r="AJ284" s="699">
        <f>IF(ISNUMBER(Producción_Agricola[[#This Row],[Fecha Financiero]])=TRUE,YEAR(Producción_Agricola[[#This Row],[Fecha Financiero]]),0)</f>
        <v>0</v>
      </c>
      <c r="AK284" s="704">
        <f>SUMPRODUCT((Producción_Agricola[[#This Row],[Mes Financiero]]=Tipo_Cambio[Mes])*(Producción_Agricola[[#This Row],[Año Financiero]]=Tipo_Cambio[Año])*(Tipo_Cambio[$/U$S]))</f>
        <v>0</v>
      </c>
      <c r="AL284" s="704">
        <f>SUMPRODUCT((Producción_Agricola[[#This Row],[Mes Financiero]]=Tipo_Cambio[Mes])*(Producción_Agricola[[#This Row],[Año Financiero]]=Tipo_Cambio[Año])*(Tipo_Cambio[Actualización]))</f>
        <v>0</v>
      </c>
      <c r="AM284" s="709">
        <f>IFERROR(Producción_Agricola[[#This Row],[Económico $Corrientes]]/Producción_Agricola[[#This Row],[Superficie]],0)</f>
        <v>0</v>
      </c>
      <c r="AN284" s="712">
        <f>IFERROR(Producción_Agricola[[#This Row],[Económico $Constantes]]/Producción_Agricola[[#This Row],[Superficie]],0)</f>
        <v>0</v>
      </c>
      <c r="AO284" s="712">
        <f>IFERROR(Producción_Agricola[[#This Row],[Económico U$S Dólares]]/Producción_Agricola[[#This Row],[Superficie]],0)</f>
        <v>0</v>
      </c>
      <c r="AP284" s="711">
        <f>IF(Económico!$F$4=0,0,Producción_Agricola[[#This Row],[Centro de Costo]])</f>
        <v>0</v>
      </c>
      <c r="AQ284" s="512"/>
      <c r="AR284" s="513"/>
      <c r="AS284"/>
    </row>
    <row r="285" spans="1:45" x14ac:dyDescent="0.25">
      <c r="A285" s="509"/>
      <c r="B285" s="494"/>
      <c r="C285" s="509"/>
      <c r="D285" s="478"/>
      <c r="E285" s="478"/>
      <c r="F285" s="668">
        <f t="shared" si="53"/>
        <v>0</v>
      </c>
      <c r="G285" s="673">
        <f t="shared" si="54"/>
        <v>0</v>
      </c>
      <c r="H285" s="673">
        <f t="shared" si="55"/>
        <v>0</v>
      </c>
      <c r="I285" s="675">
        <f>IFERROR(INDEX(Tabla8[],MATCH(Producción_Agricola[[#This Row],[Unidad de Negocio]],Tabla8[Unidades de Negocio],0),2),0)</f>
        <v>0</v>
      </c>
      <c r="J28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85" s="488"/>
      <c r="L285" s="482"/>
      <c r="M285" s="483"/>
      <c r="N285" s="484"/>
      <c r="O285" s="690">
        <f>Producción_Agricola[[#This Row],[Superficie]]*Producción_Agricola[[#This Row],[Cantidad]]</f>
        <v>0</v>
      </c>
      <c r="P285" s="482"/>
      <c r="Q285" s="484"/>
      <c r="R285" s="485"/>
      <c r="S28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85" s="695">
        <f>IFERROR(Producción_Agricola[[#This Row],[Económico $Corrientes]]/Producción_Agricola[[#This Row],[Indexación Económico]],0)</f>
        <v>0</v>
      </c>
      <c r="U28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8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85" s="695">
        <f>IFERROR(Producción_Agricola[[#This Row],[Financiero $Corrientes]]/Producción_Agricola[[#This Row],[Indexación Financiero]],0)</f>
        <v>0</v>
      </c>
      <c r="X28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8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85" s="699">
        <f>IFERROR(Producción_Agricola[[#This Row],[Intereses $Corrientes]]/Producción_Agricola[[#This Row],[Indexación Financiero]],0)</f>
        <v>0</v>
      </c>
      <c r="AA28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85" s="701">
        <f>IFERROR(INDEX(Produccion_Agricola_Cuentas[],MATCH(Producción_Agricola[[#This Row],[Cuenta Contable]],Produccion_Agricola_Cuentas[Cuenta Contable],0),2),0)</f>
        <v>0</v>
      </c>
      <c r="AC285" s="702">
        <f>IFERROR(INDEX(Tabla9[],MATCH(Producción_Agricola[[#This Row],[Movimiento]],Tabla9[Movimientos],0),2),0)</f>
        <v>0</v>
      </c>
      <c r="AD285" s="703">
        <f>IFERROR(INDEX(Tabla9[],MATCH(Producción_Agricola[[#This Row],[Movimiento]],Tabla9[Movimientos],0),3),0)</f>
        <v>0</v>
      </c>
      <c r="AE285" s="698">
        <f>IF(Producción_Agricola[[#This Row],[Fecha Económico]]=0,0,MONTH(Producción_Agricola[[#This Row],[Fecha Económico]]))</f>
        <v>0</v>
      </c>
      <c r="AF285" s="699">
        <f>IF(Producción_Agricola[[#This Row],[Fecha Económico]]=0,0,YEAR(Producción_Agricola[[#This Row],[Fecha Económico]]))</f>
        <v>0</v>
      </c>
      <c r="AG285" s="704">
        <f>SUMPRODUCT((Producción_Agricola[[#This Row],[Mes Económico]]=Tipo_Cambio[Mes])*(Producción_Agricola[[#This Row],[Año Económico]]=Tipo_Cambio[Año])*(Tipo_Cambio[$/U$S]))</f>
        <v>0</v>
      </c>
      <c r="AH285" s="703">
        <f>SUMPRODUCT((Producción_Agricola[[#This Row],[Mes Económico]]=Tipo_Cambio[Mes])*(Producción_Agricola[[#This Row],[Año Económico]]=Tipo_Cambio[Año])*(Tipo_Cambio[Actualización]))</f>
        <v>0</v>
      </c>
      <c r="AI285" s="699">
        <f>IF(ISNUMBER(Producción_Agricola[[#This Row],[Fecha Financiero]])=TRUE,MONTH(Producción_Agricola[[#This Row],[Fecha Financiero]]),0)</f>
        <v>0</v>
      </c>
      <c r="AJ285" s="699">
        <f>IF(ISNUMBER(Producción_Agricola[[#This Row],[Fecha Financiero]])=TRUE,YEAR(Producción_Agricola[[#This Row],[Fecha Financiero]]),0)</f>
        <v>0</v>
      </c>
      <c r="AK285" s="704">
        <f>SUMPRODUCT((Producción_Agricola[[#This Row],[Mes Financiero]]=Tipo_Cambio[Mes])*(Producción_Agricola[[#This Row],[Año Financiero]]=Tipo_Cambio[Año])*(Tipo_Cambio[$/U$S]))</f>
        <v>0</v>
      </c>
      <c r="AL285" s="704">
        <f>SUMPRODUCT((Producción_Agricola[[#This Row],[Mes Financiero]]=Tipo_Cambio[Mes])*(Producción_Agricola[[#This Row],[Año Financiero]]=Tipo_Cambio[Año])*(Tipo_Cambio[Actualización]))</f>
        <v>0</v>
      </c>
      <c r="AM285" s="709">
        <f>IFERROR(Producción_Agricola[[#This Row],[Económico $Corrientes]]/Producción_Agricola[[#This Row],[Superficie]],0)</f>
        <v>0</v>
      </c>
      <c r="AN285" s="712">
        <f>IFERROR(Producción_Agricola[[#This Row],[Económico $Constantes]]/Producción_Agricola[[#This Row],[Superficie]],0)</f>
        <v>0</v>
      </c>
      <c r="AO285" s="712">
        <f>IFERROR(Producción_Agricola[[#This Row],[Económico U$S Dólares]]/Producción_Agricola[[#This Row],[Superficie]],0)</f>
        <v>0</v>
      </c>
      <c r="AP285" s="711">
        <f>IF(Económico!$F$4=0,0,Producción_Agricola[[#This Row],[Centro de Costo]])</f>
        <v>0</v>
      </c>
      <c r="AQ285" s="512"/>
      <c r="AR285" s="513"/>
      <c r="AS285"/>
    </row>
    <row r="286" spans="1:45" x14ac:dyDescent="0.25">
      <c r="A286" s="509"/>
      <c r="B286" s="494"/>
      <c r="C286" s="509"/>
      <c r="D286" s="478"/>
      <c r="E286" s="478"/>
      <c r="F286" s="668">
        <f t="shared" si="53"/>
        <v>0</v>
      </c>
      <c r="G286" s="673">
        <f t="shared" si="54"/>
        <v>0</v>
      </c>
      <c r="H286" s="673">
        <f t="shared" si="55"/>
        <v>0</v>
      </c>
      <c r="I286" s="675">
        <f>IFERROR(INDEX(Tabla8[],MATCH(Producción_Agricola[[#This Row],[Unidad de Negocio]],Tabla8[Unidades de Negocio],0),2),0)</f>
        <v>0</v>
      </c>
      <c r="J28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86" s="488"/>
      <c r="L286" s="482"/>
      <c r="M286" s="483"/>
      <c r="N286" s="484"/>
      <c r="O286" s="690">
        <f>Producción_Agricola[[#This Row],[Superficie]]*Producción_Agricola[[#This Row],[Cantidad]]</f>
        <v>0</v>
      </c>
      <c r="P286" s="482"/>
      <c r="Q286" s="484"/>
      <c r="R286" s="485"/>
      <c r="S28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86" s="695">
        <f>IFERROR(Producción_Agricola[[#This Row],[Económico $Corrientes]]/Producción_Agricola[[#This Row],[Indexación Económico]],0)</f>
        <v>0</v>
      </c>
      <c r="U28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8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86" s="695">
        <f>IFERROR(Producción_Agricola[[#This Row],[Financiero $Corrientes]]/Producción_Agricola[[#This Row],[Indexación Financiero]],0)</f>
        <v>0</v>
      </c>
      <c r="X28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8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86" s="699">
        <f>IFERROR(Producción_Agricola[[#This Row],[Intereses $Corrientes]]/Producción_Agricola[[#This Row],[Indexación Financiero]],0)</f>
        <v>0</v>
      </c>
      <c r="AA28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86" s="701">
        <f>IFERROR(INDEX(Produccion_Agricola_Cuentas[],MATCH(Producción_Agricola[[#This Row],[Cuenta Contable]],Produccion_Agricola_Cuentas[Cuenta Contable],0),2),0)</f>
        <v>0</v>
      </c>
      <c r="AC286" s="702">
        <f>IFERROR(INDEX(Tabla9[],MATCH(Producción_Agricola[[#This Row],[Movimiento]],Tabla9[Movimientos],0),2),0)</f>
        <v>0</v>
      </c>
      <c r="AD286" s="703">
        <f>IFERROR(INDEX(Tabla9[],MATCH(Producción_Agricola[[#This Row],[Movimiento]],Tabla9[Movimientos],0),3),0)</f>
        <v>0</v>
      </c>
      <c r="AE286" s="698">
        <f>IF(Producción_Agricola[[#This Row],[Fecha Económico]]=0,0,MONTH(Producción_Agricola[[#This Row],[Fecha Económico]]))</f>
        <v>0</v>
      </c>
      <c r="AF286" s="699">
        <f>IF(Producción_Agricola[[#This Row],[Fecha Económico]]=0,0,YEAR(Producción_Agricola[[#This Row],[Fecha Económico]]))</f>
        <v>0</v>
      </c>
      <c r="AG286" s="704">
        <f>SUMPRODUCT((Producción_Agricola[[#This Row],[Mes Económico]]=Tipo_Cambio[Mes])*(Producción_Agricola[[#This Row],[Año Económico]]=Tipo_Cambio[Año])*(Tipo_Cambio[$/U$S]))</f>
        <v>0</v>
      </c>
      <c r="AH286" s="703">
        <f>SUMPRODUCT((Producción_Agricola[[#This Row],[Mes Económico]]=Tipo_Cambio[Mes])*(Producción_Agricola[[#This Row],[Año Económico]]=Tipo_Cambio[Año])*(Tipo_Cambio[Actualización]))</f>
        <v>0</v>
      </c>
      <c r="AI286" s="699">
        <f>IF(ISNUMBER(Producción_Agricola[[#This Row],[Fecha Financiero]])=TRUE,MONTH(Producción_Agricola[[#This Row],[Fecha Financiero]]),0)</f>
        <v>0</v>
      </c>
      <c r="AJ286" s="699">
        <f>IF(ISNUMBER(Producción_Agricola[[#This Row],[Fecha Financiero]])=TRUE,YEAR(Producción_Agricola[[#This Row],[Fecha Financiero]]),0)</f>
        <v>0</v>
      </c>
      <c r="AK286" s="704">
        <f>SUMPRODUCT((Producción_Agricola[[#This Row],[Mes Financiero]]=Tipo_Cambio[Mes])*(Producción_Agricola[[#This Row],[Año Financiero]]=Tipo_Cambio[Año])*(Tipo_Cambio[$/U$S]))</f>
        <v>0</v>
      </c>
      <c r="AL286" s="704">
        <f>SUMPRODUCT((Producción_Agricola[[#This Row],[Mes Financiero]]=Tipo_Cambio[Mes])*(Producción_Agricola[[#This Row],[Año Financiero]]=Tipo_Cambio[Año])*(Tipo_Cambio[Actualización]))</f>
        <v>0</v>
      </c>
      <c r="AM286" s="709">
        <f>IFERROR(Producción_Agricola[[#This Row],[Económico $Corrientes]]/Producción_Agricola[[#This Row],[Superficie]],0)</f>
        <v>0</v>
      </c>
      <c r="AN286" s="712">
        <f>IFERROR(Producción_Agricola[[#This Row],[Económico $Constantes]]/Producción_Agricola[[#This Row],[Superficie]],0)</f>
        <v>0</v>
      </c>
      <c r="AO286" s="712">
        <f>IFERROR(Producción_Agricola[[#This Row],[Económico U$S Dólares]]/Producción_Agricola[[#This Row],[Superficie]],0)</f>
        <v>0</v>
      </c>
      <c r="AP286" s="711">
        <f>IF(Económico!$F$4=0,0,Producción_Agricola[[#This Row],[Centro de Costo]])</f>
        <v>0</v>
      </c>
      <c r="AQ286" s="512"/>
      <c r="AR286" s="513"/>
      <c r="AS286"/>
    </row>
    <row r="287" spans="1:45" x14ac:dyDescent="0.25">
      <c r="A287" s="509"/>
      <c r="B287" s="494"/>
      <c r="C287" s="509"/>
      <c r="D287" s="478"/>
      <c r="E287" s="478"/>
      <c r="F287" s="668">
        <f t="shared" si="53"/>
        <v>0</v>
      </c>
      <c r="G287" s="673">
        <f t="shared" si="54"/>
        <v>0</v>
      </c>
      <c r="H287" s="673">
        <f t="shared" si="55"/>
        <v>0</v>
      </c>
      <c r="I287" s="675">
        <f>IFERROR(INDEX(Tabla8[],MATCH(Producción_Agricola[[#This Row],[Unidad de Negocio]],Tabla8[Unidades de Negocio],0),2),0)</f>
        <v>0</v>
      </c>
      <c r="J28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87" s="488"/>
      <c r="L287" s="482"/>
      <c r="M287" s="483"/>
      <c r="N287" s="484"/>
      <c r="O287" s="690">
        <f>Producción_Agricola[[#This Row],[Superficie]]*Producción_Agricola[[#This Row],[Cantidad]]</f>
        <v>0</v>
      </c>
      <c r="P287" s="482"/>
      <c r="Q287" s="484"/>
      <c r="R287" s="485"/>
      <c r="S28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87" s="695">
        <f>IFERROR(Producción_Agricola[[#This Row],[Económico $Corrientes]]/Producción_Agricola[[#This Row],[Indexación Económico]],0)</f>
        <v>0</v>
      </c>
      <c r="U28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8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87" s="695">
        <f>IFERROR(Producción_Agricola[[#This Row],[Financiero $Corrientes]]/Producción_Agricola[[#This Row],[Indexación Financiero]],0)</f>
        <v>0</v>
      </c>
      <c r="X28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8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87" s="699">
        <f>IFERROR(Producción_Agricola[[#This Row],[Intereses $Corrientes]]/Producción_Agricola[[#This Row],[Indexación Financiero]],0)</f>
        <v>0</v>
      </c>
      <c r="AA28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87" s="701">
        <f>IFERROR(INDEX(Produccion_Agricola_Cuentas[],MATCH(Producción_Agricola[[#This Row],[Cuenta Contable]],Produccion_Agricola_Cuentas[Cuenta Contable],0),2),0)</f>
        <v>0</v>
      </c>
      <c r="AC287" s="702">
        <f>IFERROR(INDEX(Tabla9[],MATCH(Producción_Agricola[[#This Row],[Movimiento]],Tabla9[Movimientos],0),2),0)</f>
        <v>0</v>
      </c>
      <c r="AD287" s="703">
        <f>IFERROR(INDEX(Tabla9[],MATCH(Producción_Agricola[[#This Row],[Movimiento]],Tabla9[Movimientos],0),3),0)</f>
        <v>0</v>
      </c>
      <c r="AE287" s="698">
        <f>IF(Producción_Agricola[[#This Row],[Fecha Económico]]=0,0,MONTH(Producción_Agricola[[#This Row],[Fecha Económico]]))</f>
        <v>0</v>
      </c>
      <c r="AF287" s="699">
        <f>IF(Producción_Agricola[[#This Row],[Fecha Económico]]=0,0,YEAR(Producción_Agricola[[#This Row],[Fecha Económico]]))</f>
        <v>0</v>
      </c>
      <c r="AG287" s="704">
        <f>SUMPRODUCT((Producción_Agricola[[#This Row],[Mes Económico]]=Tipo_Cambio[Mes])*(Producción_Agricola[[#This Row],[Año Económico]]=Tipo_Cambio[Año])*(Tipo_Cambio[$/U$S]))</f>
        <v>0</v>
      </c>
      <c r="AH287" s="703">
        <f>SUMPRODUCT((Producción_Agricola[[#This Row],[Mes Económico]]=Tipo_Cambio[Mes])*(Producción_Agricola[[#This Row],[Año Económico]]=Tipo_Cambio[Año])*(Tipo_Cambio[Actualización]))</f>
        <v>0</v>
      </c>
      <c r="AI287" s="699">
        <f>IF(ISNUMBER(Producción_Agricola[[#This Row],[Fecha Financiero]])=TRUE,MONTH(Producción_Agricola[[#This Row],[Fecha Financiero]]),0)</f>
        <v>0</v>
      </c>
      <c r="AJ287" s="699">
        <f>IF(ISNUMBER(Producción_Agricola[[#This Row],[Fecha Financiero]])=TRUE,YEAR(Producción_Agricola[[#This Row],[Fecha Financiero]]),0)</f>
        <v>0</v>
      </c>
      <c r="AK287" s="704">
        <f>SUMPRODUCT((Producción_Agricola[[#This Row],[Mes Financiero]]=Tipo_Cambio[Mes])*(Producción_Agricola[[#This Row],[Año Financiero]]=Tipo_Cambio[Año])*(Tipo_Cambio[$/U$S]))</f>
        <v>0</v>
      </c>
      <c r="AL287" s="704">
        <f>SUMPRODUCT((Producción_Agricola[[#This Row],[Mes Financiero]]=Tipo_Cambio[Mes])*(Producción_Agricola[[#This Row],[Año Financiero]]=Tipo_Cambio[Año])*(Tipo_Cambio[Actualización]))</f>
        <v>0</v>
      </c>
      <c r="AM287" s="709">
        <f>IFERROR(Producción_Agricola[[#This Row],[Económico $Corrientes]]/Producción_Agricola[[#This Row],[Superficie]],0)</f>
        <v>0</v>
      </c>
      <c r="AN287" s="712">
        <f>IFERROR(Producción_Agricola[[#This Row],[Económico $Constantes]]/Producción_Agricola[[#This Row],[Superficie]],0)</f>
        <v>0</v>
      </c>
      <c r="AO287" s="712">
        <f>IFERROR(Producción_Agricola[[#This Row],[Económico U$S Dólares]]/Producción_Agricola[[#This Row],[Superficie]],0)</f>
        <v>0</v>
      </c>
      <c r="AP287" s="711">
        <f>IF(Económico!$F$4=0,0,Producción_Agricola[[#This Row],[Centro de Costo]])</f>
        <v>0</v>
      </c>
      <c r="AQ287" s="512"/>
      <c r="AR287" s="513"/>
      <c r="AS287"/>
    </row>
    <row r="288" spans="1:45" x14ac:dyDescent="0.25">
      <c r="A288" s="509"/>
      <c r="B288" s="494"/>
      <c r="C288" s="509"/>
      <c r="D288" s="478"/>
      <c r="E288" s="478"/>
      <c r="F288" s="668">
        <f t="shared" si="53"/>
        <v>0</v>
      </c>
      <c r="G288" s="673">
        <f t="shared" si="54"/>
        <v>0</v>
      </c>
      <c r="H288" s="673">
        <f t="shared" si="55"/>
        <v>0</v>
      </c>
      <c r="I288" s="675">
        <f>IFERROR(INDEX(Tabla8[],MATCH(Producción_Agricola[[#This Row],[Unidad de Negocio]],Tabla8[Unidades de Negocio],0),2),0)</f>
        <v>0</v>
      </c>
      <c r="J28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88" s="488"/>
      <c r="L288" s="482"/>
      <c r="M288" s="483"/>
      <c r="N288" s="484"/>
      <c r="O288" s="690">
        <f>Producción_Agricola[[#This Row],[Superficie]]*Producción_Agricola[[#This Row],[Cantidad]]</f>
        <v>0</v>
      </c>
      <c r="P288" s="482"/>
      <c r="Q288" s="484"/>
      <c r="R288" s="485"/>
      <c r="S28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88" s="695">
        <f>IFERROR(Producción_Agricola[[#This Row],[Económico $Corrientes]]/Producción_Agricola[[#This Row],[Indexación Económico]],0)</f>
        <v>0</v>
      </c>
      <c r="U28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8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88" s="695">
        <f>IFERROR(Producción_Agricola[[#This Row],[Financiero $Corrientes]]/Producción_Agricola[[#This Row],[Indexación Financiero]],0)</f>
        <v>0</v>
      </c>
      <c r="X28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8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88" s="699">
        <f>IFERROR(Producción_Agricola[[#This Row],[Intereses $Corrientes]]/Producción_Agricola[[#This Row],[Indexación Financiero]],0)</f>
        <v>0</v>
      </c>
      <c r="AA28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88" s="701">
        <f>IFERROR(INDEX(Produccion_Agricola_Cuentas[],MATCH(Producción_Agricola[[#This Row],[Cuenta Contable]],Produccion_Agricola_Cuentas[Cuenta Contable],0),2),0)</f>
        <v>0</v>
      </c>
      <c r="AC288" s="702">
        <f>IFERROR(INDEX(Tabla9[],MATCH(Producción_Agricola[[#This Row],[Movimiento]],Tabla9[Movimientos],0),2),0)</f>
        <v>0</v>
      </c>
      <c r="AD288" s="703">
        <f>IFERROR(INDEX(Tabla9[],MATCH(Producción_Agricola[[#This Row],[Movimiento]],Tabla9[Movimientos],0),3),0)</f>
        <v>0</v>
      </c>
      <c r="AE288" s="698">
        <f>IF(Producción_Agricola[[#This Row],[Fecha Económico]]=0,0,MONTH(Producción_Agricola[[#This Row],[Fecha Económico]]))</f>
        <v>0</v>
      </c>
      <c r="AF288" s="699">
        <f>IF(Producción_Agricola[[#This Row],[Fecha Económico]]=0,0,YEAR(Producción_Agricola[[#This Row],[Fecha Económico]]))</f>
        <v>0</v>
      </c>
      <c r="AG288" s="704">
        <f>SUMPRODUCT((Producción_Agricola[[#This Row],[Mes Económico]]=Tipo_Cambio[Mes])*(Producción_Agricola[[#This Row],[Año Económico]]=Tipo_Cambio[Año])*(Tipo_Cambio[$/U$S]))</f>
        <v>0</v>
      </c>
      <c r="AH288" s="703">
        <f>SUMPRODUCT((Producción_Agricola[[#This Row],[Mes Económico]]=Tipo_Cambio[Mes])*(Producción_Agricola[[#This Row],[Año Económico]]=Tipo_Cambio[Año])*(Tipo_Cambio[Actualización]))</f>
        <v>0</v>
      </c>
      <c r="AI288" s="699">
        <f>IF(ISNUMBER(Producción_Agricola[[#This Row],[Fecha Financiero]])=TRUE,MONTH(Producción_Agricola[[#This Row],[Fecha Financiero]]),0)</f>
        <v>0</v>
      </c>
      <c r="AJ288" s="699">
        <f>IF(ISNUMBER(Producción_Agricola[[#This Row],[Fecha Financiero]])=TRUE,YEAR(Producción_Agricola[[#This Row],[Fecha Financiero]]),0)</f>
        <v>0</v>
      </c>
      <c r="AK288" s="704">
        <f>SUMPRODUCT((Producción_Agricola[[#This Row],[Mes Financiero]]=Tipo_Cambio[Mes])*(Producción_Agricola[[#This Row],[Año Financiero]]=Tipo_Cambio[Año])*(Tipo_Cambio[$/U$S]))</f>
        <v>0</v>
      </c>
      <c r="AL288" s="704">
        <f>SUMPRODUCT((Producción_Agricola[[#This Row],[Mes Financiero]]=Tipo_Cambio[Mes])*(Producción_Agricola[[#This Row],[Año Financiero]]=Tipo_Cambio[Año])*(Tipo_Cambio[Actualización]))</f>
        <v>0</v>
      </c>
      <c r="AM288" s="709">
        <f>IFERROR(Producción_Agricola[[#This Row],[Económico $Corrientes]]/Producción_Agricola[[#This Row],[Superficie]],0)</f>
        <v>0</v>
      </c>
      <c r="AN288" s="712">
        <f>IFERROR(Producción_Agricola[[#This Row],[Económico $Constantes]]/Producción_Agricola[[#This Row],[Superficie]],0)</f>
        <v>0</v>
      </c>
      <c r="AO288" s="712">
        <f>IFERROR(Producción_Agricola[[#This Row],[Económico U$S Dólares]]/Producción_Agricola[[#This Row],[Superficie]],0)</f>
        <v>0</v>
      </c>
      <c r="AP288" s="711">
        <f>IF(Económico!$F$4=0,0,Producción_Agricola[[#This Row],[Centro de Costo]])</f>
        <v>0</v>
      </c>
      <c r="AQ288" s="512"/>
      <c r="AR288" s="513"/>
      <c r="AS288"/>
    </row>
    <row r="289" spans="1:45" x14ac:dyDescent="0.25">
      <c r="A289" s="509"/>
      <c r="B289" s="494"/>
      <c r="C289" s="509"/>
      <c r="D289" s="478"/>
      <c r="E289" s="478"/>
      <c r="F289" s="668">
        <f t="shared" si="53"/>
        <v>0</v>
      </c>
      <c r="G289" s="673">
        <f t="shared" si="54"/>
        <v>0</v>
      </c>
      <c r="H289" s="673">
        <f t="shared" si="55"/>
        <v>0</v>
      </c>
      <c r="I289" s="675">
        <f>IFERROR(INDEX(Tabla8[],MATCH(Producción_Agricola[[#This Row],[Unidad de Negocio]],Tabla8[Unidades de Negocio],0),2),0)</f>
        <v>0</v>
      </c>
      <c r="J28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89" s="488"/>
      <c r="L289" s="482"/>
      <c r="M289" s="483"/>
      <c r="N289" s="484"/>
      <c r="O289" s="690">
        <f>Producción_Agricola[[#This Row],[Superficie]]*Producción_Agricola[[#This Row],[Cantidad]]</f>
        <v>0</v>
      </c>
      <c r="P289" s="482"/>
      <c r="Q289" s="484"/>
      <c r="R289" s="485"/>
      <c r="S28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89" s="695">
        <f>IFERROR(Producción_Agricola[[#This Row],[Económico $Corrientes]]/Producción_Agricola[[#This Row],[Indexación Económico]],0)</f>
        <v>0</v>
      </c>
      <c r="U28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8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89" s="695">
        <f>IFERROR(Producción_Agricola[[#This Row],[Financiero $Corrientes]]/Producción_Agricola[[#This Row],[Indexación Financiero]],0)</f>
        <v>0</v>
      </c>
      <c r="X28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8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89" s="699">
        <f>IFERROR(Producción_Agricola[[#This Row],[Intereses $Corrientes]]/Producción_Agricola[[#This Row],[Indexación Financiero]],0)</f>
        <v>0</v>
      </c>
      <c r="AA28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89" s="701">
        <f>IFERROR(INDEX(Produccion_Agricola_Cuentas[],MATCH(Producción_Agricola[[#This Row],[Cuenta Contable]],Produccion_Agricola_Cuentas[Cuenta Contable],0),2),0)</f>
        <v>0</v>
      </c>
      <c r="AC289" s="702">
        <f>IFERROR(INDEX(Tabla9[],MATCH(Producción_Agricola[[#This Row],[Movimiento]],Tabla9[Movimientos],0),2),0)</f>
        <v>0</v>
      </c>
      <c r="AD289" s="703">
        <f>IFERROR(INDEX(Tabla9[],MATCH(Producción_Agricola[[#This Row],[Movimiento]],Tabla9[Movimientos],0),3),0)</f>
        <v>0</v>
      </c>
      <c r="AE289" s="698">
        <f>IF(Producción_Agricola[[#This Row],[Fecha Económico]]=0,0,MONTH(Producción_Agricola[[#This Row],[Fecha Económico]]))</f>
        <v>0</v>
      </c>
      <c r="AF289" s="699">
        <f>IF(Producción_Agricola[[#This Row],[Fecha Económico]]=0,0,YEAR(Producción_Agricola[[#This Row],[Fecha Económico]]))</f>
        <v>0</v>
      </c>
      <c r="AG289" s="704">
        <f>SUMPRODUCT((Producción_Agricola[[#This Row],[Mes Económico]]=Tipo_Cambio[Mes])*(Producción_Agricola[[#This Row],[Año Económico]]=Tipo_Cambio[Año])*(Tipo_Cambio[$/U$S]))</f>
        <v>0</v>
      </c>
      <c r="AH289" s="703">
        <f>SUMPRODUCT((Producción_Agricola[[#This Row],[Mes Económico]]=Tipo_Cambio[Mes])*(Producción_Agricola[[#This Row],[Año Económico]]=Tipo_Cambio[Año])*(Tipo_Cambio[Actualización]))</f>
        <v>0</v>
      </c>
      <c r="AI289" s="699">
        <f>IF(ISNUMBER(Producción_Agricola[[#This Row],[Fecha Financiero]])=TRUE,MONTH(Producción_Agricola[[#This Row],[Fecha Financiero]]),0)</f>
        <v>0</v>
      </c>
      <c r="AJ289" s="699">
        <f>IF(ISNUMBER(Producción_Agricola[[#This Row],[Fecha Financiero]])=TRUE,YEAR(Producción_Agricola[[#This Row],[Fecha Financiero]]),0)</f>
        <v>0</v>
      </c>
      <c r="AK289" s="704">
        <f>SUMPRODUCT((Producción_Agricola[[#This Row],[Mes Financiero]]=Tipo_Cambio[Mes])*(Producción_Agricola[[#This Row],[Año Financiero]]=Tipo_Cambio[Año])*(Tipo_Cambio[$/U$S]))</f>
        <v>0</v>
      </c>
      <c r="AL289" s="704">
        <f>SUMPRODUCT((Producción_Agricola[[#This Row],[Mes Financiero]]=Tipo_Cambio[Mes])*(Producción_Agricola[[#This Row],[Año Financiero]]=Tipo_Cambio[Año])*(Tipo_Cambio[Actualización]))</f>
        <v>0</v>
      </c>
      <c r="AM289" s="709">
        <f>IFERROR(Producción_Agricola[[#This Row],[Económico $Corrientes]]/Producción_Agricola[[#This Row],[Superficie]],0)</f>
        <v>0</v>
      </c>
      <c r="AN289" s="712">
        <f>IFERROR(Producción_Agricola[[#This Row],[Económico $Constantes]]/Producción_Agricola[[#This Row],[Superficie]],0)</f>
        <v>0</v>
      </c>
      <c r="AO289" s="712">
        <f>IFERROR(Producción_Agricola[[#This Row],[Económico U$S Dólares]]/Producción_Agricola[[#This Row],[Superficie]],0)</f>
        <v>0</v>
      </c>
      <c r="AP289" s="711">
        <f>IF(Económico!$F$4=0,0,Producción_Agricola[[#This Row],[Centro de Costo]])</f>
        <v>0</v>
      </c>
      <c r="AQ289" s="512"/>
      <c r="AR289" s="513"/>
      <c r="AS289"/>
    </row>
    <row r="290" spans="1:45" x14ac:dyDescent="0.25">
      <c r="A290" s="509"/>
      <c r="B290" s="494"/>
      <c r="C290" s="509"/>
      <c r="D290" s="478"/>
      <c r="E290" s="478"/>
      <c r="F290" s="668">
        <f t="shared" si="53"/>
        <v>0</v>
      </c>
      <c r="G290" s="673">
        <f t="shared" si="54"/>
        <v>0</v>
      </c>
      <c r="H290" s="673">
        <f t="shared" si="55"/>
        <v>0</v>
      </c>
      <c r="I290" s="675">
        <f>IFERROR(INDEX(Tabla8[],MATCH(Producción_Agricola[[#This Row],[Unidad de Negocio]],Tabla8[Unidades de Negocio],0),2),0)</f>
        <v>0</v>
      </c>
      <c r="J29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90" s="488"/>
      <c r="L290" s="482"/>
      <c r="M290" s="483"/>
      <c r="N290" s="484"/>
      <c r="O290" s="690">
        <f>Producción_Agricola[[#This Row],[Superficie]]*Producción_Agricola[[#This Row],[Cantidad]]</f>
        <v>0</v>
      </c>
      <c r="P290" s="482"/>
      <c r="Q290" s="484"/>
      <c r="R290" s="485"/>
      <c r="S29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90" s="695">
        <f>IFERROR(Producción_Agricola[[#This Row],[Económico $Corrientes]]/Producción_Agricola[[#This Row],[Indexación Económico]],0)</f>
        <v>0</v>
      </c>
      <c r="U29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9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90" s="695">
        <f>IFERROR(Producción_Agricola[[#This Row],[Financiero $Corrientes]]/Producción_Agricola[[#This Row],[Indexación Financiero]],0)</f>
        <v>0</v>
      </c>
      <c r="X29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9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90" s="699">
        <f>IFERROR(Producción_Agricola[[#This Row],[Intereses $Corrientes]]/Producción_Agricola[[#This Row],[Indexación Financiero]],0)</f>
        <v>0</v>
      </c>
      <c r="AA29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90" s="701">
        <f>IFERROR(INDEX(Produccion_Agricola_Cuentas[],MATCH(Producción_Agricola[[#This Row],[Cuenta Contable]],Produccion_Agricola_Cuentas[Cuenta Contable],0),2),0)</f>
        <v>0</v>
      </c>
      <c r="AC290" s="702">
        <f>IFERROR(INDEX(Tabla9[],MATCH(Producción_Agricola[[#This Row],[Movimiento]],Tabla9[Movimientos],0),2),0)</f>
        <v>0</v>
      </c>
      <c r="AD290" s="703">
        <f>IFERROR(INDEX(Tabla9[],MATCH(Producción_Agricola[[#This Row],[Movimiento]],Tabla9[Movimientos],0),3),0)</f>
        <v>0</v>
      </c>
      <c r="AE290" s="698">
        <f>IF(Producción_Agricola[[#This Row],[Fecha Económico]]=0,0,MONTH(Producción_Agricola[[#This Row],[Fecha Económico]]))</f>
        <v>0</v>
      </c>
      <c r="AF290" s="699">
        <f>IF(Producción_Agricola[[#This Row],[Fecha Económico]]=0,0,YEAR(Producción_Agricola[[#This Row],[Fecha Económico]]))</f>
        <v>0</v>
      </c>
      <c r="AG290" s="704">
        <f>SUMPRODUCT((Producción_Agricola[[#This Row],[Mes Económico]]=Tipo_Cambio[Mes])*(Producción_Agricola[[#This Row],[Año Económico]]=Tipo_Cambio[Año])*(Tipo_Cambio[$/U$S]))</f>
        <v>0</v>
      </c>
      <c r="AH290" s="703">
        <f>SUMPRODUCT((Producción_Agricola[[#This Row],[Mes Económico]]=Tipo_Cambio[Mes])*(Producción_Agricola[[#This Row],[Año Económico]]=Tipo_Cambio[Año])*(Tipo_Cambio[Actualización]))</f>
        <v>0</v>
      </c>
      <c r="AI290" s="699">
        <f>IF(ISNUMBER(Producción_Agricola[[#This Row],[Fecha Financiero]])=TRUE,MONTH(Producción_Agricola[[#This Row],[Fecha Financiero]]),0)</f>
        <v>0</v>
      </c>
      <c r="AJ290" s="699">
        <f>IF(ISNUMBER(Producción_Agricola[[#This Row],[Fecha Financiero]])=TRUE,YEAR(Producción_Agricola[[#This Row],[Fecha Financiero]]),0)</f>
        <v>0</v>
      </c>
      <c r="AK290" s="704">
        <f>SUMPRODUCT((Producción_Agricola[[#This Row],[Mes Financiero]]=Tipo_Cambio[Mes])*(Producción_Agricola[[#This Row],[Año Financiero]]=Tipo_Cambio[Año])*(Tipo_Cambio[$/U$S]))</f>
        <v>0</v>
      </c>
      <c r="AL290" s="704">
        <f>SUMPRODUCT((Producción_Agricola[[#This Row],[Mes Financiero]]=Tipo_Cambio[Mes])*(Producción_Agricola[[#This Row],[Año Financiero]]=Tipo_Cambio[Año])*(Tipo_Cambio[Actualización]))</f>
        <v>0</v>
      </c>
      <c r="AM290" s="709">
        <f>IFERROR(Producción_Agricola[[#This Row],[Económico $Corrientes]]/Producción_Agricola[[#This Row],[Superficie]],0)</f>
        <v>0</v>
      </c>
      <c r="AN290" s="712">
        <f>IFERROR(Producción_Agricola[[#This Row],[Económico $Constantes]]/Producción_Agricola[[#This Row],[Superficie]],0)</f>
        <v>0</v>
      </c>
      <c r="AO290" s="712">
        <f>IFERROR(Producción_Agricola[[#This Row],[Económico U$S Dólares]]/Producción_Agricola[[#This Row],[Superficie]],0)</f>
        <v>0</v>
      </c>
      <c r="AP290" s="711">
        <f>IF(Económico!$F$4=0,0,Producción_Agricola[[#This Row],[Centro de Costo]])</f>
        <v>0</v>
      </c>
      <c r="AQ290" s="512"/>
      <c r="AR290" s="513"/>
      <c r="AS290"/>
    </row>
    <row r="291" spans="1:45" x14ac:dyDescent="0.25">
      <c r="A291" s="509"/>
      <c r="B291" s="494"/>
      <c r="C291" s="509"/>
      <c r="D291" s="478"/>
      <c r="E291" s="478"/>
      <c r="F291" s="668">
        <f t="shared" si="53"/>
        <v>0</v>
      </c>
      <c r="G291" s="673">
        <f t="shared" si="54"/>
        <v>0</v>
      </c>
      <c r="H291" s="673">
        <f t="shared" si="55"/>
        <v>0</v>
      </c>
      <c r="I291" s="675">
        <f>IFERROR(INDEX(Tabla8[],MATCH(Producción_Agricola[[#This Row],[Unidad de Negocio]],Tabla8[Unidades de Negocio],0),2),0)</f>
        <v>0</v>
      </c>
      <c r="J29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91" s="488"/>
      <c r="L291" s="482"/>
      <c r="M291" s="483"/>
      <c r="N291" s="484"/>
      <c r="O291" s="690">
        <f>Producción_Agricola[[#This Row],[Superficie]]*Producción_Agricola[[#This Row],[Cantidad]]</f>
        <v>0</v>
      </c>
      <c r="P291" s="482"/>
      <c r="Q291" s="484"/>
      <c r="R291" s="485"/>
      <c r="S29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91" s="695">
        <f>IFERROR(Producción_Agricola[[#This Row],[Económico $Corrientes]]/Producción_Agricola[[#This Row],[Indexación Económico]],0)</f>
        <v>0</v>
      </c>
      <c r="U29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9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91" s="695">
        <f>IFERROR(Producción_Agricola[[#This Row],[Financiero $Corrientes]]/Producción_Agricola[[#This Row],[Indexación Financiero]],0)</f>
        <v>0</v>
      </c>
      <c r="X29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9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91" s="699">
        <f>IFERROR(Producción_Agricola[[#This Row],[Intereses $Corrientes]]/Producción_Agricola[[#This Row],[Indexación Financiero]],0)</f>
        <v>0</v>
      </c>
      <c r="AA29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91" s="701">
        <f>IFERROR(INDEX(Produccion_Agricola_Cuentas[],MATCH(Producción_Agricola[[#This Row],[Cuenta Contable]],Produccion_Agricola_Cuentas[Cuenta Contable],0),2),0)</f>
        <v>0</v>
      </c>
      <c r="AC291" s="702">
        <f>IFERROR(INDEX(Tabla9[],MATCH(Producción_Agricola[[#This Row],[Movimiento]],Tabla9[Movimientos],0),2),0)</f>
        <v>0</v>
      </c>
      <c r="AD291" s="703">
        <f>IFERROR(INDEX(Tabla9[],MATCH(Producción_Agricola[[#This Row],[Movimiento]],Tabla9[Movimientos],0),3),0)</f>
        <v>0</v>
      </c>
      <c r="AE291" s="698">
        <f>IF(Producción_Agricola[[#This Row],[Fecha Económico]]=0,0,MONTH(Producción_Agricola[[#This Row],[Fecha Económico]]))</f>
        <v>0</v>
      </c>
      <c r="AF291" s="699">
        <f>IF(Producción_Agricola[[#This Row],[Fecha Económico]]=0,0,YEAR(Producción_Agricola[[#This Row],[Fecha Económico]]))</f>
        <v>0</v>
      </c>
      <c r="AG291" s="704">
        <f>SUMPRODUCT((Producción_Agricola[[#This Row],[Mes Económico]]=Tipo_Cambio[Mes])*(Producción_Agricola[[#This Row],[Año Económico]]=Tipo_Cambio[Año])*(Tipo_Cambio[$/U$S]))</f>
        <v>0</v>
      </c>
      <c r="AH291" s="703">
        <f>SUMPRODUCT((Producción_Agricola[[#This Row],[Mes Económico]]=Tipo_Cambio[Mes])*(Producción_Agricola[[#This Row],[Año Económico]]=Tipo_Cambio[Año])*(Tipo_Cambio[Actualización]))</f>
        <v>0</v>
      </c>
      <c r="AI291" s="699">
        <f>IF(ISNUMBER(Producción_Agricola[[#This Row],[Fecha Financiero]])=TRUE,MONTH(Producción_Agricola[[#This Row],[Fecha Financiero]]),0)</f>
        <v>0</v>
      </c>
      <c r="AJ291" s="699">
        <f>IF(ISNUMBER(Producción_Agricola[[#This Row],[Fecha Financiero]])=TRUE,YEAR(Producción_Agricola[[#This Row],[Fecha Financiero]]),0)</f>
        <v>0</v>
      </c>
      <c r="AK291" s="704">
        <f>SUMPRODUCT((Producción_Agricola[[#This Row],[Mes Financiero]]=Tipo_Cambio[Mes])*(Producción_Agricola[[#This Row],[Año Financiero]]=Tipo_Cambio[Año])*(Tipo_Cambio[$/U$S]))</f>
        <v>0</v>
      </c>
      <c r="AL291" s="704">
        <f>SUMPRODUCT((Producción_Agricola[[#This Row],[Mes Financiero]]=Tipo_Cambio[Mes])*(Producción_Agricola[[#This Row],[Año Financiero]]=Tipo_Cambio[Año])*(Tipo_Cambio[Actualización]))</f>
        <v>0</v>
      </c>
      <c r="AM291" s="709">
        <f>IFERROR(Producción_Agricola[[#This Row],[Económico $Corrientes]]/Producción_Agricola[[#This Row],[Superficie]],0)</f>
        <v>0</v>
      </c>
      <c r="AN291" s="712">
        <f>IFERROR(Producción_Agricola[[#This Row],[Económico $Constantes]]/Producción_Agricola[[#This Row],[Superficie]],0)</f>
        <v>0</v>
      </c>
      <c r="AO291" s="712">
        <f>IFERROR(Producción_Agricola[[#This Row],[Económico U$S Dólares]]/Producción_Agricola[[#This Row],[Superficie]],0)</f>
        <v>0</v>
      </c>
      <c r="AP291" s="711">
        <f>IF(Económico!$F$4=0,0,Producción_Agricola[[#This Row],[Centro de Costo]])</f>
        <v>0</v>
      </c>
      <c r="AQ291" s="512"/>
      <c r="AR291" s="513"/>
      <c r="AS291"/>
    </row>
    <row r="292" spans="1:45" x14ac:dyDescent="0.25">
      <c r="A292" s="509"/>
      <c r="B292" s="494"/>
      <c r="C292" s="509"/>
      <c r="D292" s="478"/>
      <c r="E292" s="478"/>
      <c r="F292" s="668">
        <f t="shared" si="53"/>
        <v>0</v>
      </c>
      <c r="G292" s="673">
        <f t="shared" si="54"/>
        <v>0</v>
      </c>
      <c r="H292" s="673">
        <f t="shared" si="55"/>
        <v>0</v>
      </c>
      <c r="I292" s="675">
        <f>IFERROR(INDEX(Tabla8[],MATCH(Producción_Agricola[[#This Row],[Unidad de Negocio]],Tabla8[Unidades de Negocio],0),2),0)</f>
        <v>0</v>
      </c>
      <c r="J29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92" s="488"/>
      <c r="L292" s="482"/>
      <c r="M292" s="483"/>
      <c r="N292" s="484"/>
      <c r="O292" s="690">
        <f>Producción_Agricola[[#This Row],[Superficie]]*Producción_Agricola[[#This Row],[Cantidad]]</f>
        <v>0</v>
      </c>
      <c r="P292" s="482"/>
      <c r="Q292" s="484"/>
      <c r="R292" s="485"/>
      <c r="S29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92" s="695">
        <f>IFERROR(Producción_Agricola[[#This Row],[Económico $Corrientes]]/Producción_Agricola[[#This Row],[Indexación Económico]],0)</f>
        <v>0</v>
      </c>
      <c r="U29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9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92" s="695">
        <f>IFERROR(Producción_Agricola[[#This Row],[Financiero $Corrientes]]/Producción_Agricola[[#This Row],[Indexación Financiero]],0)</f>
        <v>0</v>
      </c>
      <c r="X29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9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92" s="699">
        <f>IFERROR(Producción_Agricola[[#This Row],[Intereses $Corrientes]]/Producción_Agricola[[#This Row],[Indexación Financiero]],0)</f>
        <v>0</v>
      </c>
      <c r="AA29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92" s="701">
        <f>IFERROR(INDEX(Produccion_Agricola_Cuentas[],MATCH(Producción_Agricola[[#This Row],[Cuenta Contable]],Produccion_Agricola_Cuentas[Cuenta Contable],0),2),0)</f>
        <v>0</v>
      </c>
      <c r="AC292" s="702">
        <f>IFERROR(INDEX(Tabla9[],MATCH(Producción_Agricola[[#This Row],[Movimiento]],Tabla9[Movimientos],0),2),0)</f>
        <v>0</v>
      </c>
      <c r="AD292" s="703">
        <f>IFERROR(INDEX(Tabla9[],MATCH(Producción_Agricola[[#This Row],[Movimiento]],Tabla9[Movimientos],0),3),0)</f>
        <v>0</v>
      </c>
      <c r="AE292" s="698">
        <f>IF(Producción_Agricola[[#This Row],[Fecha Económico]]=0,0,MONTH(Producción_Agricola[[#This Row],[Fecha Económico]]))</f>
        <v>0</v>
      </c>
      <c r="AF292" s="699">
        <f>IF(Producción_Agricola[[#This Row],[Fecha Económico]]=0,0,YEAR(Producción_Agricola[[#This Row],[Fecha Económico]]))</f>
        <v>0</v>
      </c>
      <c r="AG292" s="704">
        <f>SUMPRODUCT((Producción_Agricola[[#This Row],[Mes Económico]]=Tipo_Cambio[Mes])*(Producción_Agricola[[#This Row],[Año Económico]]=Tipo_Cambio[Año])*(Tipo_Cambio[$/U$S]))</f>
        <v>0</v>
      </c>
      <c r="AH292" s="703">
        <f>SUMPRODUCT((Producción_Agricola[[#This Row],[Mes Económico]]=Tipo_Cambio[Mes])*(Producción_Agricola[[#This Row],[Año Económico]]=Tipo_Cambio[Año])*(Tipo_Cambio[Actualización]))</f>
        <v>0</v>
      </c>
      <c r="AI292" s="699">
        <f>IF(ISNUMBER(Producción_Agricola[[#This Row],[Fecha Financiero]])=TRUE,MONTH(Producción_Agricola[[#This Row],[Fecha Financiero]]),0)</f>
        <v>0</v>
      </c>
      <c r="AJ292" s="699">
        <f>IF(ISNUMBER(Producción_Agricola[[#This Row],[Fecha Financiero]])=TRUE,YEAR(Producción_Agricola[[#This Row],[Fecha Financiero]]),0)</f>
        <v>0</v>
      </c>
      <c r="AK292" s="704">
        <f>SUMPRODUCT((Producción_Agricola[[#This Row],[Mes Financiero]]=Tipo_Cambio[Mes])*(Producción_Agricola[[#This Row],[Año Financiero]]=Tipo_Cambio[Año])*(Tipo_Cambio[$/U$S]))</f>
        <v>0</v>
      </c>
      <c r="AL292" s="704">
        <f>SUMPRODUCT((Producción_Agricola[[#This Row],[Mes Financiero]]=Tipo_Cambio[Mes])*(Producción_Agricola[[#This Row],[Año Financiero]]=Tipo_Cambio[Año])*(Tipo_Cambio[Actualización]))</f>
        <v>0</v>
      </c>
      <c r="AM292" s="709">
        <f>IFERROR(Producción_Agricola[[#This Row],[Económico $Corrientes]]/Producción_Agricola[[#This Row],[Superficie]],0)</f>
        <v>0</v>
      </c>
      <c r="AN292" s="712">
        <f>IFERROR(Producción_Agricola[[#This Row],[Económico $Constantes]]/Producción_Agricola[[#This Row],[Superficie]],0)</f>
        <v>0</v>
      </c>
      <c r="AO292" s="712">
        <f>IFERROR(Producción_Agricola[[#This Row],[Económico U$S Dólares]]/Producción_Agricola[[#This Row],[Superficie]],0)</f>
        <v>0</v>
      </c>
      <c r="AP292" s="711">
        <f>IF(Económico!$F$4=0,0,Producción_Agricola[[#This Row],[Centro de Costo]])</f>
        <v>0</v>
      </c>
      <c r="AQ292" s="512"/>
      <c r="AR292" s="513"/>
      <c r="AS292"/>
    </row>
    <row r="293" spans="1:45" x14ac:dyDescent="0.25">
      <c r="A293" s="509"/>
      <c r="B293" s="494"/>
      <c r="C293" s="509"/>
      <c r="D293" s="478"/>
      <c r="E293" s="478"/>
      <c r="F293" s="668">
        <f t="shared" si="53"/>
        <v>0</v>
      </c>
      <c r="G293" s="673">
        <f t="shared" si="54"/>
        <v>0</v>
      </c>
      <c r="H293" s="673">
        <f t="shared" si="55"/>
        <v>0</v>
      </c>
      <c r="I293" s="675">
        <f>IFERROR(INDEX(Tabla8[],MATCH(Producción_Agricola[[#This Row],[Unidad de Negocio]],Tabla8[Unidades de Negocio],0),2),0)</f>
        <v>0</v>
      </c>
      <c r="J29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93" s="488"/>
      <c r="L293" s="482"/>
      <c r="M293" s="483"/>
      <c r="N293" s="484"/>
      <c r="O293" s="690">
        <f>Producción_Agricola[[#This Row],[Superficie]]*Producción_Agricola[[#This Row],[Cantidad]]</f>
        <v>0</v>
      </c>
      <c r="P293" s="482"/>
      <c r="Q293" s="484"/>
      <c r="R293" s="485"/>
      <c r="S29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93" s="695">
        <f>IFERROR(Producción_Agricola[[#This Row],[Económico $Corrientes]]/Producción_Agricola[[#This Row],[Indexación Económico]],0)</f>
        <v>0</v>
      </c>
      <c r="U29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9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93" s="695">
        <f>IFERROR(Producción_Agricola[[#This Row],[Financiero $Corrientes]]/Producción_Agricola[[#This Row],[Indexación Financiero]],0)</f>
        <v>0</v>
      </c>
      <c r="X29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9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93" s="699">
        <f>IFERROR(Producción_Agricola[[#This Row],[Intereses $Corrientes]]/Producción_Agricola[[#This Row],[Indexación Financiero]],0)</f>
        <v>0</v>
      </c>
      <c r="AA29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93" s="701">
        <f>IFERROR(INDEX(Produccion_Agricola_Cuentas[],MATCH(Producción_Agricola[[#This Row],[Cuenta Contable]],Produccion_Agricola_Cuentas[Cuenta Contable],0),2),0)</f>
        <v>0</v>
      </c>
      <c r="AC293" s="702">
        <f>IFERROR(INDEX(Tabla9[],MATCH(Producción_Agricola[[#This Row],[Movimiento]],Tabla9[Movimientos],0),2),0)</f>
        <v>0</v>
      </c>
      <c r="AD293" s="703">
        <f>IFERROR(INDEX(Tabla9[],MATCH(Producción_Agricola[[#This Row],[Movimiento]],Tabla9[Movimientos],0),3),0)</f>
        <v>0</v>
      </c>
      <c r="AE293" s="698">
        <f>IF(Producción_Agricola[[#This Row],[Fecha Económico]]=0,0,MONTH(Producción_Agricola[[#This Row],[Fecha Económico]]))</f>
        <v>0</v>
      </c>
      <c r="AF293" s="699">
        <f>IF(Producción_Agricola[[#This Row],[Fecha Económico]]=0,0,YEAR(Producción_Agricola[[#This Row],[Fecha Económico]]))</f>
        <v>0</v>
      </c>
      <c r="AG293" s="704">
        <f>SUMPRODUCT((Producción_Agricola[[#This Row],[Mes Económico]]=Tipo_Cambio[Mes])*(Producción_Agricola[[#This Row],[Año Económico]]=Tipo_Cambio[Año])*(Tipo_Cambio[$/U$S]))</f>
        <v>0</v>
      </c>
      <c r="AH293" s="703">
        <f>SUMPRODUCT((Producción_Agricola[[#This Row],[Mes Económico]]=Tipo_Cambio[Mes])*(Producción_Agricola[[#This Row],[Año Económico]]=Tipo_Cambio[Año])*(Tipo_Cambio[Actualización]))</f>
        <v>0</v>
      </c>
      <c r="AI293" s="699">
        <f>IF(ISNUMBER(Producción_Agricola[[#This Row],[Fecha Financiero]])=TRUE,MONTH(Producción_Agricola[[#This Row],[Fecha Financiero]]),0)</f>
        <v>0</v>
      </c>
      <c r="AJ293" s="699">
        <f>IF(ISNUMBER(Producción_Agricola[[#This Row],[Fecha Financiero]])=TRUE,YEAR(Producción_Agricola[[#This Row],[Fecha Financiero]]),0)</f>
        <v>0</v>
      </c>
      <c r="AK293" s="704">
        <f>SUMPRODUCT((Producción_Agricola[[#This Row],[Mes Financiero]]=Tipo_Cambio[Mes])*(Producción_Agricola[[#This Row],[Año Financiero]]=Tipo_Cambio[Año])*(Tipo_Cambio[$/U$S]))</f>
        <v>0</v>
      </c>
      <c r="AL293" s="704">
        <f>SUMPRODUCT((Producción_Agricola[[#This Row],[Mes Financiero]]=Tipo_Cambio[Mes])*(Producción_Agricola[[#This Row],[Año Financiero]]=Tipo_Cambio[Año])*(Tipo_Cambio[Actualización]))</f>
        <v>0</v>
      </c>
      <c r="AM293" s="709">
        <f>IFERROR(Producción_Agricola[[#This Row],[Económico $Corrientes]]/Producción_Agricola[[#This Row],[Superficie]],0)</f>
        <v>0</v>
      </c>
      <c r="AN293" s="712">
        <f>IFERROR(Producción_Agricola[[#This Row],[Económico $Constantes]]/Producción_Agricola[[#This Row],[Superficie]],0)</f>
        <v>0</v>
      </c>
      <c r="AO293" s="712">
        <f>IFERROR(Producción_Agricola[[#This Row],[Económico U$S Dólares]]/Producción_Agricola[[#This Row],[Superficie]],0)</f>
        <v>0</v>
      </c>
      <c r="AP293" s="711">
        <f>IF(Económico!$F$4=0,0,Producción_Agricola[[#This Row],[Centro de Costo]])</f>
        <v>0</v>
      </c>
      <c r="AQ293" s="512"/>
      <c r="AR293" s="513"/>
      <c r="AS293"/>
    </row>
    <row r="294" spans="1:45" x14ac:dyDescent="0.25">
      <c r="A294" s="509"/>
      <c r="B294" s="494"/>
      <c r="C294" s="509"/>
      <c r="D294" s="478"/>
      <c r="E294" s="478"/>
      <c r="F294" s="668">
        <f t="shared" si="53"/>
        <v>0</v>
      </c>
      <c r="G294" s="673">
        <f t="shared" si="54"/>
        <v>0</v>
      </c>
      <c r="H294" s="673">
        <f t="shared" si="55"/>
        <v>0</v>
      </c>
      <c r="I294" s="675">
        <f>IFERROR(INDEX(Tabla8[],MATCH(Producción_Agricola[[#This Row],[Unidad de Negocio]],Tabla8[Unidades de Negocio],0),2),0)</f>
        <v>0</v>
      </c>
      <c r="J29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94" s="488"/>
      <c r="L294" s="482"/>
      <c r="M294" s="483"/>
      <c r="N294" s="484"/>
      <c r="O294" s="690">
        <f>Producción_Agricola[[#This Row],[Superficie]]*Producción_Agricola[[#This Row],[Cantidad]]</f>
        <v>0</v>
      </c>
      <c r="P294" s="482"/>
      <c r="Q294" s="484"/>
      <c r="R294" s="485"/>
      <c r="S29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94" s="695">
        <f>IFERROR(Producción_Agricola[[#This Row],[Económico $Corrientes]]/Producción_Agricola[[#This Row],[Indexación Económico]],0)</f>
        <v>0</v>
      </c>
      <c r="U29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9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94" s="695">
        <f>IFERROR(Producción_Agricola[[#This Row],[Financiero $Corrientes]]/Producción_Agricola[[#This Row],[Indexación Financiero]],0)</f>
        <v>0</v>
      </c>
      <c r="X29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9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94" s="699">
        <f>IFERROR(Producción_Agricola[[#This Row],[Intereses $Corrientes]]/Producción_Agricola[[#This Row],[Indexación Financiero]],0)</f>
        <v>0</v>
      </c>
      <c r="AA29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94" s="701">
        <f>IFERROR(INDEX(Produccion_Agricola_Cuentas[],MATCH(Producción_Agricola[[#This Row],[Cuenta Contable]],Produccion_Agricola_Cuentas[Cuenta Contable],0),2),0)</f>
        <v>0</v>
      </c>
      <c r="AC294" s="702">
        <f>IFERROR(INDEX(Tabla9[],MATCH(Producción_Agricola[[#This Row],[Movimiento]],Tabla9[Movimientos],0),2),0)</f>
        <v>0</v>
      </c>
      <c r="AD294" s="703">
        <f>IFERROR(INDEX(Tabla9[],MATCH(Producción_Agricola[[#This Row],[Movimiento]],Tabla9[Movimientos],0),3),0)</f>
        <v>0</v>
      </c>
      <c r="AE294" s="698">
        <f>IF(Producción_Agricola[[#This Row],[Fecha Económico]]=0,0,MONTH(Producción_Agricola[[#This Row],[Fecha Económico]]))</f>
        <v>0</v>
      </c>
      <c r="AF294" s="699">
        <f>IF(Producción_Agricola[[#This Row],[Fecha Económico]]=0,0,YEAR(Producción_Agricola[[#This Row],[Fecha Económico]]))</f>
        <v>0</v>
      </c>
      <c r="AG294" s="704">
        <f>SUMPRODUCT((Producción_Agricola[[#This Row],[Mes Económico]]=Tipo_Cambio[Mes])*(Producción_Agricola[[#This Row],[Año Económico]]=Tipo_Cambio[Año])*(Tipo_Cambio[$/U$S]))</f>
        <v>0</v>
      </c>
      <c r="AH294" s="703">
        <f>SUMPRODUCT((Producción_Agricola[[#This Row],[Mes Económico]]=Tipo_Cambio[Mes])*(Producción_Agricola[[#This Row],[Año Económico]]=Tipo_Cambio[Año])*(Tipo_Cambio[Actualización]))</f>
        <v>0</v>
      </c>
      <c r="AI294" s="699">
        <f>IF(ISNUMBER(Producción_Agricola[[#This Row],[Fecha Financiero]])=TRUE,MONTH(Producción_Agricola[[#This Row],[Fecha Financiero]]),0)</f>
        <v>0</v>
      </c>
      <c r="AJ294" s="699">
        <f>IF(ISNUMBER(Producción_Agricola[[#This Row],[Fecha Financiero]])=TRUE,YEAR(Producción_Agricola[[#This Row],[Fecha Financiero]]),0)</f>
        <v>0</v>
      </c>
      <c r="AK294" s="704">
        <f>SUMPRODUCT((Producción_Agricola[[#This Row],[Mes Financiero]]=Tipo_Cambio[Mes])*(Producción_Agricola[[#This Row],[Año Financiero]]=Tipo_Cambio[Año])*(Tipo_Cambio[$/U$S]))</f>
        <v>0</v>
      </c>
      <c r="AL294" s="704">
        <f>SUMPRODUCT((Producción_Agricola[[#This Row],[Mes Financiero]]=Tipo_Cambio[Mes])*(Producción_Agricola[[#This Row],[Año Financiero]]=Tipo_Cambio[Año])*(Tipo_Cambio[Actualización]))</f>
        <v>0</v>
      </c>
      <c r="AM294" s="709">
        <f>IFERROR(Producción_Agricola[[#This Row],[Económico $Corrientes]]/Producción_Agricola[[#This Row],[Superficie]],0)</f>
        <v>0</v>
      </c>
      <c r="AN294" s="712">
        <f>IFERROR(Producción_Agricola[[#This Row],[Económico $Constantes]]/Producción_Agricola[[#This Row],[Superficie]],0)</f>
        <v>0</v>
      </c>
      <c r="AO294" s="712">
        <f>IFERROR(Producción_Agricola[[#This Row],[Económico U$S Dólares]]/Producción_Agricola[[#This Row],[Superficie]],0)</f>
        <v>0</v>
      </c>
      <c r="AP294" s="711">
        <f>IF(Económico!$F$4=0,0,Producción_Agricola[[#This Row],[Centro de Costo]])</f>
        <v>0</v>
      </c>
      <c r="AQ294" s="512"/>
      <c r="AR294" s="513"/>
      <c r="AS294"/>
    </row>
    <row r="295" spans="1:45" x14ac:dyDescent="0.25">
      <c r="A295" s="509"/>
      <c r="B295" s="494"/>
      <c r="C295" s="509"/>
      <c r="D295" s="478"/>
      <c r="E295" s="478"/>
      <c r="F295" s="668">
        <f t="shared" si="53"/>
        <v>0</v>
      </c>
      <c r="G295" s="673">
        <f t="shared" si="54"/>
        <v>0</v>
      </c>
      <c r="H295" s="673">
        <f t="shared" si="55"/>
        <v>0</v>
      </c>
      <c r="I295" s="675">
        <f>IFERROR(INDEX(Tabla8[],MATCH(Producción_Agricola[[#This Row],[Unidad de Negocio]],Tabla8[Unidades de Negocio],0),2),0)</f>
        <v>0</v>
      </c>
      <c r="J29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95" s="488"/>
      <c r="L295" s="482"/>
      <c r="M295" s="483"/>
      <c r="N295" s="484"/>
      <c r="O295" s="690">
        <f>Producción_Agricola[[#This Row],[Superficie]]*Producción_Agricola[[#This Row],[Cantidad]]</f>
        <v>0</v>
      </c>
      <c r="P295" s="482"/>
      <c r="Q295" s="484"/>
      <c r="R295" s="485"/>
      <c r="S29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95" s="695">
        <f>IFERROR(Producción_Agricola[[#This Row],[Económico $Corrientes]]/Producción_Agricola[[#This Row],[Indexación Económico]],0)</f>
        <v>0</v>
      </c>
      <c r="U29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9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95" s="695">
        <f>IFERROR(Producción_Agricola[[#This Row],[Financiero $Corrientes]]/Producción_Agricola[[#This Row],[Indexación Financiero]],0)</f>
        <v>0</v>
      </c>
      <c r="X29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9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95" s="699">
        <f>IFERROR(Producción_Agricola[[#This Row],[Intereses $Corrientes]]/Producción_Agricola[[#This Row],[Indexación Financiero]],0)</f>
        <v>0</v>
      </c>
      <c r="AA29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95" s="701">
        <f>IFERROR(INDEX(Produccion_Agricola_Cuentas[],MATCH(Producción_Agricola[[#This Row],[Cuenta Contable]],Produccion_Agricola_Cuentas[Cuenta Contable],0),2),0)</f>
        <v>0</v>
      </c>
      <c r="AC295" s="702">
        <f>IFERROR(INDEX(Tabla9[],MATCH(Producción_Agricola[[#This Row],[Movimiento]],Tabla9[Movimientos],0),2),0)</f>
        <v>0</v>
      </c>
      <c r="AD295" s="703">
        <f>IFERROR(INDEX(Tabla9[],MATCH(Producción_Agricola[[#This Row],[Movimiento]],Tabla9[Movimientos],0),3),0)</f>
        <v>0</v>
      </c>
      <c r="AE295" s="698">
        <f>IF(Producción_Agricola[[#This Row],[Fecha Económico]]=0,0,MONTH(Producción_Agricola[[#This Row],[Fecha Económico]]))</f>
        <v>0</v>
      </c>
      <c r="AF295" s="699">
        <f>IF(Producción_Agricola[[#This Row],[Fecha Económico]]=0,0,YEAR(Producción_Agricola[[#This Row],[Fecha Económico]]))</f>
        <v>0</v>
      </c>
      <c r="AG295" s="704">
        <f>SUMPRODUCT((Producción_Agricola[[#This Row],[Mes Económico]]=Tipo_Cambio[Mes])*(Producción_Agricola[[#This Row],[Año Económico]]=Tipo_Cambio[Año])*(Tipo_Cambio[$/U$S]))</f>
        <v>0</v>
      </c>
      <c r="AH295" s="703">
        <f>SUMPRODUCT((Producción_Agricola[[#This Row],[Mes Económico]]=Tipo_Cambio[Mes])*(Producción_Agricola[[#This Row],[Año Económico]]=Tipo_Cambio[Año])*(Tipo_Cambio[Actualización]))</f>
        <v>0</v>
      </c>
      <c r="AI295" s="699">
        <f>IF(ISNUMBER(Producción_Agricola[[#This Row],[Fecha Financiero]])=TRUE,MONTH(Producción_Agricola[[#This Row],[Fecha Financiero]]),0)</f>
        <v>0</v>
      </c>
      <c r="AJ295" s="699">
        <f>IF(ISNUMBER(Producción_Agricola[[#This Row],[Fecha Financiero]])=TRUE,YEAR(Producción_Agricola[[#This Row],[Fecha Financiero]]),0)</f>
        <v>0</v>
      </c>
      <c r="AK295" s="704">
        <f>SUMPRODUCT((Producción_Agricola[[#This Row],[Mes Financiero]]=Tipo_Cambio[Mes])*(Producción_Agricola[[#This Row],[Año Financiero]]=Tipo_Cambio[Año])*(Tipo_Cambio[$/U$S]))</f>
        <v>0</v>
      </c>
      <c r="AL295" s="704">
        <f>SUMPRODUCT((Producción_Agricola[[#This Row],[Mes Financiero]]=Tipo_Cambio[Mes])*(Producción_Agricola[[#This Row],[Año Financiero]]=Tipo_Cambio[Año])*(Tipo_Cambio[Actualización]))</f>
        <v>0</v>
      </c>
      <c r="AM295" s="709">
        <f>IFERROR(Producción_Agricola[[#This Row],[Económico $Corrientes]]/Producción_Agricola[[#This Row],[Superficie]],0)</f>
        <v>0</v>
      </c>
      <c r="AN295" s="712">
        <f>IFERROR(Producción_Agricola[[#This Row],[Económico $Constantes]]/Producción_Agricola[[#This Row],[Superficie]],0)</f>
        <v>0</v>
      </c>
      <c r="AO295" s="712">
        <f>IFERROR(Producción_Agricola[[#This Row],[Económico U$S Dólares]]/Producción_Agricola[[#This Row],[Superficie]],0)</f>
        <v>0</v>
      </c>
      <c r="AP295" s="711">
        <f>IF(Económico!$F$4=0,0,Producción_Agricola[[#This Row],[Centro de Costo]])</f>
        <v>0</v>
      </c>
      <c r="AQ295" s="512"/>
      <c r="AR295" s="513"/>
      <c r="AS295"/>
    </row>
    <row r="296" spans="1:45" x14ac:dyDescent="0.25">
      <c r="A296" s="509"/>
      <c r="B296" s="494"/>
      <c r="C296" s="509"/>
      <c r="D296" s="478"/>
      <c r="E296" s="478"/>
      <c r="F296" s="668">
        <f t="shared" si="53"/>
        <v>0</v>
      </c>
      <c r="G296" s="673">
        <f t="shared" si="54"/>
        <v>0</v>
      </c>
      <c r="H296" s="673">
        <f t="shared" si="55"/>
        <v>0</v>
      </c>
      <c r="I296" s="675">
        <f>IFERROR(INDEX(Tabla8[],MATCH(Producción_Agricola[[#This Row],[Unidad de Negocio]],Tabla8[Unidades de Negocio],0),2),0)</f>
        <v>0</v>
      </c>
      <c r="J29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96" s="488"/>
      <c r="L296" s="482"/>
      <c r="M296" s="483"/>
      <c r="N296" s="484"/>
      <c r="O296" s="690">
        <f>Producción_Agricola[[#This Row],[Superficie]]*Producción_Agricola[[#This Row],[Cantidad]]</f>
        <v>0</v>
      </c>
      <c r="P296" s="482"/>
      <c r="Q296" s="484"/>
      <c r="R296" s="485"/>
      <c r="S29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96" s="695">
        <f>IFERROR(Producción_Agricola[[#This Row],[Económico $Corrientes]]/Producción_Agricola[[#This Row],[Indexación Económico]],0)</f>
        <v>0</v>
      </c>
      <c r="U29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9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96" s="695">
        <f>IFERROR(Producción_Agricola[[#This Row],[Financiero $Corrientes]]/Producción_Agricola[[#This Row],[Indexación Financiero]],0)</f>
        <v>0</v>
      </c>
      <c r="X29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9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96" s="699">
        <f>IFERROR(Producción_Agricola[[#This Row],[Intereses $Corrientes]]/Producción_Agricola[[#This Row],[Indexación Financiero]],0)</f>
        <v>0</v>
      </c>
      <c r="AA29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96" s="701">
        <f>IFERROR(INDEX(Produccion_Agricola_Cuentas[],MATCH(Producción_Agricola[[#This Row],[Cuenta Contable]],Produccion_Agricola_Cuentas[Cuenta Contable],0),2),0)</f>
        <v>0</v>
      </c>
      <c r="AC296" s="702">
        <f>IFERROR(INDEX(Tabla9[],MATCH(Producción_Agricola[[#This Row],[Movimiento]],Tabla9[Movimientos],0),2),0)</f>
        <v>0</v>
      </c>
      <c r="AD296" s="703">
        <f>IFERROR(INDEX(Tabla9[],MATCH(Producción_Agricola[[#This Row],[Movimiento]],Tabla9[Movimientos],0),3),0)</f>
        <v>0</v>
      </c>
      <c r="AE296" s="698">
        <f>IF(Producción_Agricola[[#This Row],[Fecha Económico]]=0,0,MONTH(Producción_Agricola[[#This Row],[Fecha Económico]]))</f>
        <v>0</v>
      </c>
      <c r="AF296" s="699">
        <f>IF(Producción_Agricola[[#This Row],[Fecha Económico]]=0,0,YEAR(Producción_Agricola[[#This Row],[Fecha Económico]]))</f>
        <v>0</v>
      </c>
      <c r="AG296" s="704">
        <f>SUMPRODUCT((Producción_Agricola[[#This Row],[Mes Económico]]=Tipo_Cambio[Mes])*(Producción_Agricola[[#This Row],[Año Económico]]=Tipo_Cambio[Año])*(Tipo_Cambio[$/U$S]))</f>
        <v>0</v>
      </c>
      <c r="AH296" s="703">
        <f>SUMPRODUCT((Producción_Agricola[[#This Row],[Mes Económico]]=Tipo_Cambio[Mes])*(Producción_Agricola[[#This Row],[Año Económico]]=Tipo_Cambio[Año])*(Tipo_Cambio[Actualización]))</f>
        <v>0</v>
      </c>
      <c r="AI296" s="699">
        <f>IF(ISNUMBER(Producción_Agricola[[#This Row],[Fecha Financiero]])=TRUE,MONTH(Producción_Agricola[[#This Row],[Fecha Financiero]]),0)</f>
        <v>0</v>
      </c>
      <c r="AJ296" s="699">
        <f>IF(ISNUMBER(Producción_Agricola[[#This Row],[Fecha Financiero]])=TRUE,YEAR(Producción_Agricola[[#This Row],[Fecha Financiero]]),0)</f>
        <v>0</v>
      </c>
      <c r="AK296" s="704">
        <f>SUMPRODUCT((Producción_Agricola[[#This Row],[Mes Financiero]]=Tipo_Cambio[Mes])*(Producción_Agricola[[#This Row],[Año Financiero]]=Tipo_Cambio[Año])*(Tipo_Cambio[$/U$S]))</f>
        <v>0</v>
      </c>
      <c r="AL296" s="704">
        <f>SUMPRODUCT((Producción_Agricola[[#This Row],[Mes Financiero]]=Tipo_Cambio[Mes])*(Producción_Agricola[[#This Row],[Año Financiero]]=Tipo_Cambio[Año])*(Tipo_Cambio[Actualización]))</f>
        <v>0</v>
      </c>
      <c r="AM296" s="709">
        <f>IFERROR(Producción_Agricola[[#This Row],[Económico $Corrientes]]/Producción_Agricola[[#This Row],[Superficie]],0)</f>
        <v>0</v>
      </c>
      <c r="AN296" s="712">
        <f>IFERROR(Producción_Agricola[[#This Row],[Económico $Constantes]]/Producción_Agricola[[#This Row],[Superficie]],0)</f>
        <v>0</v>
      </c>
      <c r="AO296" s="712">
        <f>IFERROR(Producción_Agricola[[#This Row],[Económico U$S Dólares]]/Producción_Agricola[[#This Row],[Superficie]],0)</f>
        <v>0</v>
      </c>
      <c r="AP296" s="711">
        <f>IF(Económico!$F$4=0,0,Producción_Agricola[[#This Row],[Centro de Costo]])</f>
        <v>0</v>
      </c>
      <c r="AQ296" s="512"/>
      <c r="AR296" s="513"/>
      <c r="AS296"/>
    </row>
    <row r="297" spans="1:45" x14ac:dyDescent="0.25">
      <c r="A297" s="509"/>
      <c r="B297" s="494"/>
      <c r="C297" s="509"/>
      <c r="D297" s="478"/>
      <c r="E297" s="478"/>
      <c r="F297" s="668">
        <f t="shared" si="53"/>
        <v>0</v>
      </c>
      <c r="G297" s="673">
        <f t="shared" si="54"/>
        <v>0</v>
      </c>
      <c r="H297" s="673">
        <f t="shared" si="55"/>
        <v>0</v>
      </c>
      <c r="I297" s="675">
        <f>IFERROR(INDEX(Tabla8[],MATCH(Producción_Agricola[[#This Row],[Unidad de Negocio]],Tabla8[Unidades de Negocio],0),2),0)</f>
        <v>0</v>
      </c>
      <c r="J29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97" s="488"/>
      <c r="L297" s="482"/>
      <c r="M297" s="483"/>
      <c r="N297" s="484"/>
      <c r="O297" s="690">
        <f>Producción_Agricola[[#This Row],[Superficie]]*Producción_Agricola[[#This Row],[Cantidad]]</f>
        <v>0</v>
      </c>
      <c r="P297" s="482"/>
      <c r="Q297" s="484"/>
      <c r="R297" s="485"/>
      <c r="S29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97" s="695">
        <f>IFERROR(Producción_Agricola[[#This Row],[Económico $Corrientes]]/Producción_Agricola[[#This Row],[Indexación Económico]],0)</f>
        <v>0</v>
      </c>
      <c r="U29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9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97" s="695">
        <f>IFERROR(Producción_Agricola[[#This Row],[Financiero $Corrientes]]/Producción_Agricola[[#This Row],[Indexación Financiero]],0)</f>
        <v>0</v>
      </c>
      <c r="X29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9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97" s="699">
        <f>IFERROR(Producción_Agricola[[#This Row],[Intereses $Corrientes]]/Producción_Agricola[[#This Row],[Indexación Financiero]],0)</f>
        <v>0</v>
      </c>
      <c r="AA29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97" s="701">
        <f>IFERROR(INDEX(Produccion_Agricola_Cuentas[],MATCH(Producción_Agricola[[#This Row],[Cuenta Contable]],Produccion_Agricola_Cuentas[Cuenta Contable],0),2),0)</f>
        <v>0</v>
      </c>
      <c r="AC297" s="702">
        <f>IFERROR(INDEX(Tabla9[],MATCH(Producción_Agricola[[#This Row],[Movimiento]],Tabla9[Movimientos],0),2),0)</f>
        <v>0</v>
      </c>
      <c r="AD297" s="703">
        <f>IFERROR(INDEX(Tabla9[],MATCH(Producción_Agricola[[#This Row],[Movimiento]],Tabla9[Movimientos],0),3),0)</f>
        <v>0</v>
      </c>
      <c r="AE297" s="698">
        <f>IF(Producción_Agricola[[#This Row],[Fecha Económico]]=0,0,MONTH(Producción_Agricola[[#This Row],[Fecha Económico]]))</f>
        <v>0</v>
      </c>
      <c r="AF297" s="699">
        <f>IF(Producción_Agricola[[#This Row],[Fecha Económico]]=0,0,YEAR(Producción_Agricola[[#This Row],[Fecha Económico]]))</f>
        <v>0</v>
      </c>
      <c r="AG297" s="704">
        <f>SUMPRODUCT((Producción_Agricola[[#This Row],[Mes Económico]]=Tipo_Cambio[Mes])*(Producción_Agricola[[#This Row],[Año Económico]]=Tipo_Cambio[Año])*(Tipo_Cambio[$/U$S]))</f>
        <v>0</v>
      </c>
      <c r="AH297" s="703">
        <f>SUMPRODUCT((Producción_Agricola[[#This Row],[Mes Económico]]=Tipo_Cambio[Mes])*(Producción_Agricola[[#This Row],[Año Económico]]=Tipo_Cambio[Año])*(Tipo_Cambio[Actualización]))</f>
        <v>0</v>
      </c>
      <c r="AI297" s="699">
        <f>IF(ISNUMBER(Producción_Agricola[[#This Row],[Fecha Financiero]])=TRUE,MONTH(Producción_Agricola[[#This Row],[Fecha Financiero]]),0)</f>
        <v>0</v>
      </c>
      <c r="AJ297" s="699">
        <f>IF(ISNUMBER(Producción_Agricola[[#This Row],[Fecha Financiero]])=TRUE,YEAR(Producción_Agricola[[#This Row],[Fecha Financiero]]),0)</f>
        <v>0</v>
      </c>
      <c r="AK297" s="704">
        <f>SUMPRODUCT((Producción_Agricola[[#This Row],[Mes Financiero]]=Tipo_Cambio[Mes])*(Producción_Agricola[[#This Row],[Año Financiero]]=Tipo_Cambio[Año])*(Tipo_Cambio[$/U$S]))</f>
        <v>0</v>
      </c>
      <c r="AL297" s="704">
        <f>SUMPRODUCT((Producción_Agricola[[#This Row],[Mes Financiero]]=Tipo_Cambio[Mes])*(Producción_Agricola[[#This Row],[Año Financiero]]=Tipo_Cambio[Año])*(Tipo_Cambio[Actualización]))</f>
        <v>0</v>
      </c>
      <c r="AM297" s="709">
        <f>IFERROR(Producción_Agricola[[#This Row],[Económico $Corrientes]]/Producción_Agricola[[#This Row],[Superficie]],0)</f>
        <v>0</v>
      </c>
      <c r="AN297" s="712">
        <f>IFERROR(Producción_Agricola[[#This Row],[Económico $Constantes]]/Producción_Agricola[[#This Row],[Superficie]],0)</f>
        <v>0</v>
      </c>
      <c r="AO297" s="712">
        <f>IFERROR(Producción_Agricola[[#This Row],[Económico U$S Dólares]]/Producción_Agricola[[#This Row],[Superficie]],0)</f>
        <v>0</v>
      </c>
      <c r="AP297" s="711">
        <f>IF(Económico!$F$4=0,0,Producción_Agricola[[#This Row],[Centro de Costo]])</f>
        <v>0</v>
      </c>
      <c r="AQ297" s="512"/>
      <c r="AR297" s="513"/>
      <c r="AS297"/>
    </row>
    <row r="298" spans="1:45" x14ac:dyDescent="0.25">
      <c r="A298" s="509"/>
      <c r="B298" s="494"/>
      <c r="C298" s="509"/>
      <c r="D298" s="478"/>
      <c r="E298" s="478"/>
      <c r="F298" s="668">
        <f t="shared" si="53"/>
        <v>0</v>
      </c>
      <c r="G298" s="673">
        <f t="shared" si="54"/>
        <v>0</v>
      </c>
      <c r="H298" s="673">
        <f t="shared" si="55"/>
        <v>0</v>
      </c>
      <c r="I298" s="675">
        <f>IFERROR(INDEX(Tabla8[],MATCH(Producción_Agricola[[#This Row],[Unidad de Negocio]],Tabla8[Unidades de Negocio],0),2),0)</f>
        <v>0</v>
      </c>
      <c r="J29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98" s="488"/>
      <c r="L298" s="482"/>
      <c r="M298" s="483"/>
      <c r="N298" s="484"/>
      <c r="O298" s="690">
        <f>Producción_Agricola[[#This Row],[Superficie]]*Producción_Agricola[[#This Row],[Cantidad]]</f>
        <v>0</v>
      </c>
      <c r="P298" s="482"/>
      <c r="Q298" s="484"/>
      <c r="R298" s="485"/>
      <c r="S29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98" s="695">
        <f>IFERROR(Producción_Agricola[[#This Row],[Económico $Corrientes]]/Producción_Agricola[[#This Row],[Indexación Económico]],0)</f>
        <v>0</v>
      </c>
      <c r="U29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9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98" s="695">
        <f>IFERROR(Producción_Agricola[[#This Row],[Financiero $Corrientes]]/Producción_Agricola[[#This Row],[Indexación Financiero]],0)</f>
        <v>0</v>
      </c>
      <c r="X29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9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98" s="699">
        <f>IFERROR(Producción_Agricola[[#This Row],[Intereses $Corrientes]]/Producción_Agricola[[#This Row],[Indexación Financiero]],0)</f>
        <v>0</v>
      </c>
      <c r="AA29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98" s="701">
        <f>IFERROR(INDEX(Produccion_Agricola_Cuentas[],MATCH(Producción_Agricola[[#This Row],[Cuenta Contable]],Produccion_Agricola_Cuentas[Cuenta Contable],0),2),0)</f>
        <v>0</v>
      </c>
      <c r="AC298" s="702">
        <f>IFERROR(INDEX(Tabla9[],MATCH(Producción_Agricola[[#This Row],[Movimiento]],Tabla9[Movimientos],0),2),0)</f>
        <v>0</v>
      </c>
      <c r="AD298" s="703">
        <f>IFERROR(INDEX(Tabla9[],MATCH(Producción_Agricola[[#This Row],[Movimiento]],Tabla9[Movimientos],0),3),0)</f>
        <v>0</v>
      </c>
      <c r="AE298" s="698">
        <f>IF(Producción_Agricola[[#This Row],[Fecha Económico]]=0,0,MONTH(Producción_Agricola[[#This Row],[Fecha Económico]]))</f>
        <v>0</v>
      </c>
      <c r="AF298" s="699">
        <f>IF(Producción_Agricola[[#This Row],[Fecha Económico]]=0,0,YEAR(Producción_Agricola[[#This Row],[Fecha Económico]]))</f>
        <v>0</v>
      </c>
      <c r="AG298" s="704">
        <f>SUMPRODUCT((Producción_Agricola[[#This Row],[Mes Económico]]=Tipo_Cambio[Mes])*(Producción_Agricola[[#This Row],[Año Económico]]=Tipo_Cambio[Año])*(Tipo_Cambio[$/U$S]))</f>
        <v>0</v>
      </c>
      <c r="AH298" s="703">
        <f>SUMPRODUCT((Producción_Agricola[[#This Row],[Mes Económico]]=Tipo_Cambio[Mes])*(Producción_Agricola[[#This Row],[Año Económico]]=Tipo_Cambio[Año])*(Tipo_Cambio[Actualización]))</f>
        <v>0</v>
      </c>
      <c r="AI298" s="699">
        <f>IF(ISNUMBER(Producción_Agricola[[#This Row],[Fecha Financiero]])=TRUE,MONTH(Producción_Agricola[[#This Row],[Fecha Financiero]]),0)</f>
        <v>0</v>
      </c>
      <c r="AJ298" s="699">
        <f>IF(ISNUMBER(Producción_Agricola[[#This Row],[Fecha Financiero]])=TRUE,YEAR(Producción_Agricola[[#This Row],[Fecha Financiero]]),0)</f>
        <v>0</v>
      </c>
      <c r="AK298" s="704">
        <f>SUMPRODUCT((Producción_Agricola[[#This Row],[Mes Financiero]]=Tipo_Cambio[Mes])*(Producción_Agricola[[#This Row],[Año Financiero]]=Tipo_Cambio[Año])*(Tipo_Cambio[$/U$S]))</f>
        <v>0</v>
      </c>
      <c r="AL298" s="704">
        <f>SUMPRODUCT((Producción_Agricola[[#This Row],[Mes Financiero]]=Tipo_Cambio[Mes])*(Producción_Agricola[[#This Row],[Año Financiero]]=Tipo_Cambio[Año])*(Tipo_Cambio[Actualización]))</f>
        <v>0</v>
      </c>
      <c r="AM298" s="709">
        <f>IFERROR(Producción_Agricola[[#This Row],[Económico $Corrientes]]/Producción_Agricola[[#This Row],[Superficie]],0)</f>
        <v>0</v>
      </c>
      <c r="AN298" s="712">
        <f>IFERROR(Producción_Agricola[[#This Row],[Económico $Constantes]]/Producción_Agricola[[#This Row],[Superficie]],0)</f>
        <v>0</v>
      </c>
      <c r="AO298" s="712">
        <f>IFERROR(Producción_Agricola[[#This Row],[Económico U$S Dólares]]/Producción_Agricola[[#This Row],[Superficie]],0)</f>
        <v>0</v>
      </c>
      <c r="AP298" s="711">
        <f>IF(Económico!$F$4=0,0,Producción_Agricola[[#This Row],[Centro de Costo]])</f>
        <v>0</v>
      </c>
      <c r="AQ298" s="512"/>
      <c r="AR298" s="513"/>
      <c r="AS298"/>
    </row>
    <row r="299" spans="1:45" x14ac:dyDescent="0.25">
      <c r="A299" s="509"/>
      <c r="B299" s="494"/>
      <c r="C299" s="509"/>
      <c r="D299" s="478"/>
      <c r="E299" s="478"/>
      <c r="F299" s="668">
        <f t="shared" si="53"/>
        <v>0</v>
      </c>
      <c r="G299" s="673">
        <f t="shared" si="54"/>
        <v>0</v>
      </c>
      <c r="H299" s="673">
        <f t="shared" si="55"/>
        <v>0</v>
      </c>
      <c r="I299" s="675">
        <f>IFERROR(INDEX(Tabla8[],MATCH(Producción_Agricola[[#This Row],[Unidad de Negocio]],Tabla8[Unidades de Negocio],0),2),0)</f>
        <v>0</v>
      </c>
      <c r="J29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299" s="488"/>
      <c r="L299" s="482"/>
      <c r="M299" s="483"/>
      <c r="N299" s="484"/>
      <c r="O299" s="690">
        <f>Producción_Agricola[[#This Row],[Superficie]]*Producción_Agricola[[#This Row],[Cantidad]]</f>
        <v>0</v>
      </c>
      <c r="P299" s="482"/>
      <c r="Q299" s="484"/>
      <c r="R299" s="485"/>
      <c r="S29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299" s="695">
        <f>IFERROR(Producción_Agricola[[#This Row],[Económico $Corrientes]]/Producción_Agricola[[#This Row],[Indexación Económico]],0)</f>
        <v>0</v>
      </c>
      <c r="U29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29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299" s="695">
        <f>IFERROR(Producción_Agricola[[#This Row],[Financiero $Corrientes]]/Producción_Agricola[[#This Row],[Indexación Financiero]],0)</f>
        <v>0</v>
      </c>
      <c r="X29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29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299" s="699">
        <f>IFERROR(Producción_Agricola[[#This Row],[Intereses $Corrientes]]/Producción_Agricola[[#This Row],[Indexación Financiero]],0)</f>
        <v>0</v>
      </c>
      <c r="AA29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299" s="701">
        <f>IFERROR(INDEX(Produccion_Agricola_Cuentas[],MATCH(Producción_Agricola[[#This Row],[Cuenta Contable]],Produccion_Agricola_Cuentas[Cuenta Contable],0),2),0)</f>
        <v>0</v>
      </c>
      <c r="AC299" s="702">
        <f>IFERROR(INDEX(Tabla9[],MATCH(Producción_Agricola[[#This Row],[Movimiento]],Tabla9[Movimientos],0),2),0)</f>
        <v>0</v>
      </c>
      <c r="AD299" s="703">
        <f>IFERROR(INDEX(Tabla9[],MATCH(Producción_Agricola[[#This Row],[Movimiento]],Tabla9[Movimientos],0),3),0)</f>
        <v>0</v>
      </c>
      <c r="AE299" s="698">
        <f>IF(Producción_Agricola[[#This Row],[Fecha Económico]]=0,0,MONTH(Producción_Agricola[[#This Row],[Fecha Económico]]))</f>
        <v>0</v>
      </c>
      <c r="AF299" s="699">
        <f>IF(Producción_Agricola[[#This Row],[Fecha Económico]]=0,0,YEAR(Producción_Agricola[[#This Row],[Fecha Económico]]))</f>
        <v>0</v>
      </c>
      <c r="AG299" s="704">
        <f>SUMPRODUCT((Producción_Agricola[[#This Row],[Mes Económico]]=Tipo_Cambio[Mes])*(Producción_Agricola[[#This Row],[Año Económico]]=Tipo_Cambio[Año])*(Tipo_Cambio[$/U$S]))</f>
        <v>0</v>
      </c>
      <c r="AH299" s="703">
        <f>SUMPRODUCT((Producción_Agricola[[#This Row],[Mes Económico]]=Tipo_Cambio[Mes])*(Producción_Agricola[[#This Row],[Año Económico]]=Tipo_Cambio[Año])*(Tipo_Cambio[Actualización]))</f>
        <v>0</v>
      </c>
      <c r="AI299" s="699">
        <f>IF(ISNUMBER(Producción_Agricola[[#This Row],[Fecha Financiero]])=TRUE,MONTH(Producción_Agricola[[#This Row],[Fecha Financiero]]),0)</f>
        <v>0</v>
      </c>
      <c r="AJ299" s="699">
        <f>IF(ISNUMBER(Producción_Agricola[[#This Row],[Fecha Financiero]])=TRUE,YEAR(Producción_Agricola[[#This Row],[Fecha Financiero]]),0)</f>
        <v>0</v>
      </c>
      <c r="AK299" s="704">
        <f>SUMPRODUCT((Producción_Agricola[[#This Row],[Mes Financiero]]=Tipo_Cambio[Mes])*(Producción_Agricola[[#This Row],[Año Financiero]]=Tipo_Cambio[Año])*(Tipo_Cambio[$/U$S]))</f>
        <v>0</v>
      </c>
      <c r="AL299" s="704">
        <f>SUMPRODUCT((Producción_Agricola[[#This Row],[Mes Financiero]]=Tipo_Cambio[Mes])*(Producción_Agricola[[#This Row],[Año Financiero]]=Tipo_Cambio[Año])*(Tipo_Cambio[Actualización]))</f>
        <v>0</v>
      </c>
      <c r="AM299" s="709">
        <f>IFERROR(Producción_Agricola[[#This Row],[Económico $Corrientes]]/Producción_Agricola[[#This Row],[Superficie]],0)</f>
        <v>0</v>
      </c>
      <c r="AN299" s="712">
        <f>IFERROR(Producción_Agricola[[#This Row],[Económico $Constantes]]/Producción_Agricola[[#This Row],[Superficie]],0)</f>
        <v>0</v>
      </c>
      <c r="AO299" s="712">
        <f>IFERROR(Producción_Agricola[[#This Row],[Económico U$S Dólares]]/Producción_Agricola[[#This Row],[Superficie]],0)</f>
        <v>0</v>
      </c>
      <c r="AP299" s="711">
        <f>IF(Económico!$F$4=0,0,Producción_Agricola[[#This Row],[Centro de Costo]])</f>
        <v>0</v>
      </c>
      <c r="AQ299" s="512"/>
      <c r="AR299" s="513"/>
      <c r="AS299"/>
    </row>
    <row r="300" spans="1:45" x14ac:dyDescent="0.25">
      <c r="A300" s="509"/>
      <c r="B300" s="494"/>
      <c r="C300" s="509"/>
      <c r="D300" s="478"/>
      <c r="E300" s="478"/>
      <c r="F300" s="668">
        <f t="shared" si="53"/>
        <v>0</v>
      </c>
      <c r="G300" s="673">
        <f t="shared" si="54"/>
        <v>0</v>
      </c>
      <c r="H300" s="673">
        <f t="shared" si="55"/>
        <v>0</v>
      </c>
      <c r="I300" s="675">
        <f>IFERROR(INDEX(Tabla8[],MATCH(Producción_Agricola[[#This Row],[Unidad de Negocio]],Tabla8[Unidades de Negocio],0),2),0)</f>
        <v>0</v>
      </c>
      <c r="J30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00" s="488"/>
      <c r="L300" s="482"/>
      <c r="M300" s="483"/>
      <c r="N300" s="484"/>
      <c r="O300" s="690">
        <f>Producción_Agricola[[#This Row],[Superficie]]*Producción_Agricola[[#This Row],[Cantidad]]</f>
        <v>0</v>
      </c>
      <c r="P300" s="482"/>
      <c r="Q300" s="484"/>
      <c r="R300" s="485"/>
      <c r="S30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00" s="695">
        <f>IFERROR(Producción_Agricola[[#This Row],[Económico $Corrientes]]/Producción_Agricola[[#This Row],[Indexación Económico]],0)</f>
        <v>0</v>
      </c>
      <c r="U30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0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00" s="695">
        <f>IFERROR(Producción_Agricola[[#This Row],[Financiero $Corrientes]]/Producción_Agricola[[#This Row],[Indexación Financiero]],0)</f>
        <v>0</v>
      </c>
      <c r="X30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0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00" s="699">
        <f>IFERROR(Producción_Agricola[[#This Row],[Intereses $Corrientes]]/Producción_Agricola[[#This Row],[Indexación Financiero]],0)</f>
        <v>0</v>
      </c>
      <c r="AA30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00" s="701">
        <f>IFERROR(INDEX(Produccion_Agricola_Cuentas[],MATCH(Producción_Agricola[[#This Row],[Cuenta Contable]],Produccion_Agricola_Cuentas[Cuenta Contable],0),2),0)</f>
        <v>0</v>
      </c>
      <c r="AC300" s="702">
        <f>IFERROR(INDEX(Tabla9[],MATCH(Producción_Agricola[[#This Row],[Movimiento]],Tabla9[Movimientos],0),2),0)</f>
        <v>0</v>
      </c>
      <c r="AD300" s="703">
        <f>IFERROR(INDEX(Tabla9[],MATCH(Producción_Agricola[[#This Row],[Movimiento]],Tabla9[Movimientos],0),3),0)</f>
        <v>0</v>
      </c>
      <c r="AE300" s="698">
        <f>IF(Producción_Agricola[[#This Row],[Fecha Económico]]=0,0,MONTH(Producción_Agricola[[#This Row],[Fecha Económico]]))</f>
        <v>0</v>
      </c>
      <c r="AF300" s="699">
        <f>IF(Producción_Agricola[[#This Row],[Fecha Económico]]=0,0,YEAR(Producción_Agricola[[#This Row],[Fecha Económico]]))</f>
        <v>0</v>
      </c>
      <c r="AG300" s="704">
        <f>SUMPRODUCT((Producción_Agricola[[#This Row],[Mes Económico]]=Tipo_Cambio[Mes])*(Producción_Agricola[[#This Row],[Año Económico]]=Tipo_Cambio[Año])*(Tipo_Cambio[$/U$S]))</f>
        <v>0</v>
      </c>
      <c r="AH300" s="703">
        <f>SUMPRODUCT((Producción_Agricola[[#This Row],[Mes Económico]]=Tipo_Cambio[Mes])*(Producción_Agricola[[#This Row],[Año Económico]]=Tipo_Cambio[Año])*(Tipo_Cambio[Actualización]))</f>
        <v>0</v>
      </c>
      <c r="AI300" s="699">
        <f>IF(ISNUMBER(Producción_Agricola[[#This Row],[Fecha Financiero]])=TRUE,MONTH(Producción_Agricola[[#This Row],[Fecha Financiero]]),0)</f>
        <v>0</v>
      </c>
      <c r="AJ300" s="699">
        <f>IF(ISNUMBER(Producción_Agricola[[#This Row],[Fecha Financiero]])=TRUE,YEAR(Producción_Agricola[[#This Row],[Fecha Financiero]]),0)</f>
        <v>0</v>
      </c>
      <c r="AK300" s="704">
        <f>SUMPRODUCT((Producción_Agricola[[#This Row],[Mes Financiero]]=Tipo_Cambio[Mes])*(Producción_Agricola[[#This Row],[Año Financiero]]=Tipo_Cambio[Año])*(Tipo_Cambio[$/U$S]))</f>
        <v>0</v>
      </c>
      <c r="AL300" s="704">
        <f>SUMPRODUCT((Producción_Agricola[[#This Row],[Mes Financiero]]=Tipo_Cambio[Mes])*(Producción_Agricola[[#This Row],[Año Financiero]]=Tipo_Cambio[Año])*(Tipo_Cambio[Actualización]))</f>
        <v>0</v>
      </c>
      <c r="AM300" s="709">
        <f>IFERROR(Producción_Agricola[[#This Row],[Económico $Corrientes]]/Producción_Agricola[[#This Row],[Superficie]],0)</f>
        <v>0</v>
      </c>
      <c r="AN300" s="712">
        <f>IFERROR(Producción_Agricola[[#This Row],[Económico $Constantes]]/Producción_Agricola[[#This Row],[Superficie]],0)</f>
        <v>0</v>
      </c>
      <c r="AO300" s="712">
        <f>IFERROR(Producción_Agricola[[#This Row],[Económico U$S Dólares]]/Producción_Agricola[[#This Row],[Superficie]],0)</f>
        <v>0</v>
      </c>
      <c r="AP300" s="711">
        <f>IF(Económico!$F$4=0,0,Producción_Agricola[[#This Row],[Centro de Costo]])</f>
        <v>0</v>
      </c>
      <c r="AQ300" s="512"/>
      <c r="AR300" s="513"/>
      <c r="AS300"/>
    </row>
    <row r="301" spans="1:45" x14ac:dyDescent="0.25">
      <c r="A301" s="509"/>
      <c r="B301" s="494"/>
      <c r="C301" s="509"/>
      <c r="D301" s="478"/>
      <c r="E301" s="478"/>
      <c r="F301" s="668">
        <f t="shared" si="53"/>
        <v>0</v>
      </c>
      <c r="G301" s="673">
        <f t="shared" si="54"/>
        <v>0</v>
      </c>
      <c r="H301" s="673">
        <f t="shared" si="55"/>
        <v>0</v>
      </c>
      <c r="I301" s="675">
        <f>IFERROR(INDEX(Tabla8[],MATCH(Producción_Agricola[[#This Row],[Unidad de Negocio]],Tabla8[Unidades de Negocio],0),2),0)</f>
        <v>0</v>
      </c>
      <c r="J30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01" s="488"/>
      <c r="L301" s="482"/>
      <c r="M301" s="483"/>
      <c r="N301" s="484"/>
      <c r="O301" s="690">
        <f>Producción_Agricola[[#This Row],[Superficie]]*Producción_Agricola[[#This Row],[Cantidad]]</f>
        <v>0</v>
      </c>
      <c r="P301" s="482"/>
      <c r="Q301" s="484"/>
      <c r="R301" s="485"/>
      <c r="S30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01" s="695">
        <f>IFERROR(Producción_Agricola[[#This Row],[Económico $Corrientes]]/Producción_Agricola[[#This Row],[Indexación Económico]],0)</f>
        <v>0</v>
      </c>
      <c r="U30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0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01" s="695">
        <f>IFERROR(Producción_Agricola[[#This Row],[Financiero $Corrientes]]/Producción_Agricola[[#This Row],[Indexación Financiero]],0)</f>
        <v>0</v>
      </c>
      <c r="X30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0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01" s="699">
        <f>IFERROR(Producción_Agricola[[#This Row],[Intereses $Corrientes]]/Producción_Agricola[[#This Row],[Indexación Financiero]],0)</f>
        <v>0</v>
      </c>
      <c r="AA30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01" s="701">
        <f>IFERROR(INDEX(Produccion_Agricola_Cuentas[],MATCH(Producción_Agricola[[#This Row],[Cuenta Contable]],Produccion_Agricola_Cuentas[Cuenta Contable],0),2),0)</f>
        <v>0</v>
      </c>
      <c r="AC301" s="702">
        <f>IFERROR(INDEX(Tabla9[],MATCH(Producción_Agricola[[#This Row],[Movimiento]],Tabla9[Movimientos],0),2),0)</f>
        <v>0</v>
      </c>
      <c r="AD301" s="703">
        <f>IFERROR(INDEX(Tabla9[],MATCH(Producción_Agricola[[#This Row],[Movimiento]],Tabla9[Movimientos],0),3),0)</f>
        <v>0</v>
      </c>
      <c r="AE301" s="698">
        <f>IF(Producción_Agricola[[#This Row],[Fecha Económico]]=0,0,MONTH(Producción_Agricola[[#This Row],[Fecha Económico]]))</f>
        <v>0</v>
      </c>
      <c r="AF301" s="699">
        <f>IF(Producción_Agricola[[#This Row],[Fecha Económico]]=0,0,YEAR(Producción_Agricola[[#This Row],[Fecha Económico]]))</f>
        <v>0</v>
      </c>
      <c r="AG301" s="704">
        <f>SUMPRODUCT((Producción_Agricola[[#This Row],[Mes Económico]]=Tipo_Cambio[Mes])*(Producción_Agricola[[#This Row],[Año Económico]]=Tipo_Cambio[Año])*(Tipo_Cambio[$/U$S]))</f>
        <v>0</v>
      </c>
      <c r="AH301" s="703">
        <f>SUMPRODUCT((Producción_Agricola[[#This Row],[Mes Económico]]=Tipo_Cambio[Mes])*(Producción_Agricola[[#This Row],[Año Económico]]=Tipo_Cambio[Año])*(Tipo_Cambio[Actualización]))</f>
        <v>0</v>
      </c>
      <c r="AI301" s="699">
        <f>IF(ISNUMBER(Producción_Agricola[[#This Row],[Fecha Financiero]])=TRUE,MONTH(Producción_Agricola[[#This Row],[Fecha Financiero]]),0)</f>
        <v>0</v>
      </c>
      <c r="AJ301" s="699">
        <f>IF(ISNUMBER(Producción_Agricola[[#This Row],[Fecha Financiero]])=TRUE,YEAR(Producción_Agricola[[#This Row],[Fecha Financiero]]),0)</f>
        <v>0</v>
      </c>
      <c r="AK301" s="704">
        <f>SUMPRODUCT((Producción_Agricola[[#This Row],[Mes Financiero]]=Tipo_Cambio[Mes])*(Producción_Agricola[[#This Row],[Año Financiero]]=Tipo_Cambio[Año])*(Tipo_Cambio[$/U$S]))</f>
        <v>0</v>
      </c>
      <c r="AL301" s="704">
        <f>SUMPRODUCT((Producción_Agricola[[#This Row],[Mes Financiero]]=Tipo_Cambio[Mes])*(Producción_Agricola[[#This Row],[Año Financiero]]=Tipo_Cambio[Año])*(Tipo_Cambio[Actualización]))</f>
        <v>0</v>
      </c>
      <c r="AM301" s="709">
        <f>IFERROR(Producción_Agricola[[#This Row],[Económico $Corrientes]]/Producción_Agricola[[#This Row],[Superficie]],0)</f>
        <v>0</v>
      </c>
      <c r="AN301" s="712">
        <f>IFERROR(Producción_Agricola[[#This Row],[Económico $Constantes]]/Producción_Agricola[[#This Row],[Superficie]],0)</f>
        <v>0</v>
      </c>
      <c r="AO301" s="712">
        <f>IFERROR(Producción_Agricola[[#This Row],[Económico U$S Dólares]]/Producción_Agricola[[#This Row],[Superficie]],0)</f>
        <v>0</v>
      </c>
      <c r="AP301" s="711">
        <f>IF(Económico!$F$4=0,0,Producción_Agricola[[#This Row],[Centro de Costo]])</f>
        <v>0</v>
      </c>
      <c r="AQ301" s="512"/>
      <c r="AR301" s="513"/>
      <c r="AS301"/>
    </row>
    <row r="302" spans="1:45" x14ac:dyDescent="0.25">
      <c r="A302" s="509"/>
      <c r="B302" s="494"/>
      <c r="C302" s="509"/>
      <c r="D302" s="478"/>
      <c r="E302" s="478"/>
      <c r="F302" s="668">
        <f t="shared" si="53"/>
        <v>0</v>
      </c>
      <c r="G302" s="673">
        <f t="shared" si="54"/>
        <v>0</v>
      </c>
      <c r="H302" s="673">
        <f t="shared" si="55"/>
        <v>0</v>
      </c>
      <c r="I302" s="675">
        <f>IFERROR(INDEX(Tabla8[],MATCH(Producción_Agricola[[#This Row],[Unidad de Negocio]],Tabla8[Unidades de Negocio],0),2),0)</f>
        <v>0</v>
      </c>
      <c r="J30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02" s="488"/>
      <c r="L302" s="482"/>
      <c r="M302" s="483"/>
      <c r="N302" s="484"/>
      <c r="O302" s="690">
        <f>Producción_Agricola[[#This Row],[Superficie]]*Producción_Agricola[[#This Row],[Cantidad]]</f>
        <v>0</v>
      </c>
      <c r="P302" s="482"/>
      <c r="Q302" s="484"/>
      <c r="R302" s="485"/>
      <c r="S30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02" s="695">
        <f>IFERROR(Producción_Agricola[[#This Row],[Económico $Corrientes]]/Producción_Agricola[[#This Row],[Indexación Económico]],0)</f>
        <v>0</v>
      </c>
      <c r="U30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0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02" s="695">
        <f>IFERROR(Producción_Agricola[[#This Row],[Financiero $Corrientes]]/Producción_Agricola[[#This Row],[Indexación Financiero]],0)</f>
        <v>0</v>
      </c>
      <c r="X30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0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02" s="699">
        <f>IFERROR(Producción_Agricola[[#This Row],[Intereses $Corrientes]]/Producción_Agricola[[#This Row],[Indexación Financiero]],0)</f>
        <v>0</v>
      </c>
      <c r="AA30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02" s="701">
        <f>IFERROR(INDEX(Produccion_Agricola_Cuentas[],MATCH(Producción_Agricola[[#This Row],[Cuenta Contable]],Produccion_Agricola_Cuentas[Cuenta Contable],0),2),0)</f>
        <v>0</v>
      </c>
      <c r="AC302" s="702">
        <f>IFERROR(INDEX(Tabla9[],MATCH(Producción_Agricola[[#This Row],[Movimiento]],Tabla9[Movimientos],0),2),0)</f>
        <v>0</v>
      </c>
      <c r="AD302" s="703">
        <f>IFERROR(INDEX(Tabla9[],MATCH(Producción_Agricola[[#This Row],[Movimiento]],Tabla9[Movimientos],0),3),0)</f>
        <v>0</v>
      </c>
      <c r="AE302" s="698">
        <f>IF(Producción_Agricola[[#This Row],[Fecha Económico]]=0,0,MONTH(Producción_Agricola[[#This Row],[Fecha Económico]]))</f>
        <v>0</v>
      </c>
      <c r="AF302" s="699">
        <f>IF(Producción_Agricola[[#This Row],[Fecha Económico]]=0,0,YEAR(Producción_Agricola[[#This Row],[Fecha Económico]]))</f>
        <v>0</v>
      </c>
      <c r="AG302" s="704">
        <f>SUMPRODUCT((Producción_Agricola[[#This Row],[Mes Económico]]=Tipo_Cambio[Mes])*(Producción_Agricola[[#This Row],[Año Económico]]=Tipo_Cambio[Año])*(Tipo_Cambio[$/U$S]))</f>
        <v>0</v>
      </c>
      <c r="AH302" s="703">
        <f>SUMPRODUCT((Producción_Agricola[[#This Row],[Mes Económico]]=Tipo_Cambio[Mes])*(Producción_Agricola[[#This Row],[Año Económico]]=Tipo_Cambio[Año])*(Tipo_Cambio[Actualización]))</f>
        <v>0</v>
      </c>
      <c r="AI302" s="699">
        <f>IF(ISNUMBER(Producción_Agricola[[#This Row],[Fecha Financiero]])=TRUE,MONTH(Producción_Agricola[[#This Row],[Fecha Financiero]]),0)</f>
        <v>0</v>
      </c>
      <c r="AJ302" s="699">
        <f>IF(ISNUMBER(Producción_Agricola[[#This Row],[Fecha Financiero]])=TRUE,YEAR(Producción_Agricola[[#This Row],[Fecha Financiero]]),0)</f>
        <v>0</v>
      </c>
      <c r="AK302" s="704">
        <f>SUMPRODUCT((Producción_Agricola[[#This Row],[Mes Financiero]]=Tipo_Cambio[Mes])*(Producción_Agricola[[#This Row],[Año Financiero]]=Tipo_Cambio[Año])*(Tipo_Cambio[$/U$S]))</f>
        <v>0</v>
      </c>
      <c r="AL302" s="704">
        <f>SUMPRODUCT((Producción_Agricola[[#This Row],[Mes Financiero]]=Tipo_Cambio[Mes])*(Producción_Agricola[[#This Row],[Año Financiero]]=Tipo_Cambio[Año])*(Tipo_Cambio[Actualización]))</f>
        <v>0</v>
      </c>
      <c r="AM302" s="709">
        <f>IFERROR(Producción_Agricola[[#This Row],[Económico $Corrientes]]/Producción_Agricola[[#This Row],[Superficie]],0)</f>
        <v>0</v>
      </c>
      <c r="AN302" s="712">
        <f>IFERROR(Producción_Agricola[[#This Row],[Económico $Constantes]]/Producción_Agricola[[#This Row],[Superficie]],0)</f>
        <v>0</v>
      </c>
      <c r="AO302" s="712">
        <f>IFERROR(Producción_Agricola[[#This Row],[Económico U$S Dólares]]/Producción_Agricola[[#This Row],[Superficie]],0)</f>
        <v>0</v>
      </c>
      <c r="AP302" s="711">
        <f>IF(Económico!$F$4=0,0,Producción_Agricola[[#This Row],[Centro de Costo]])</f>
        <v>0</v>
      </c>
      <c r="AQ302" s="512"/>
      <c r="AR302" s="513"/>
      <c r="AS302"/>
    </row>
    <row r="303" spans="1:45" x14ac:dyDescent="0.25">
      <c r="A303" s="509"/>
      <c r="B303" s="494"/>
      <c r="C303" s="509"/>
      <c r="D303" s="478"/>
      <c r="E303" s="478"/>
      <c r="F303" s="668">
        <f t="shared" si="53"/>
        <v>0</v>
      </c>
      <c r="G303" s="673">
        <f t="shared" si="54"/>
        <v>0</v>
      </c>
      <c r="H303" s="673">
        <f t="shared" si="55"/>
        <v>0</v>
      </c>
      <c r="I303" s="675">
        <f>IFERROR(INDEX(Tabla8[],MATCH(Producción_Agricola[[#This Row],[Unidad de Negocio]],Tabla8[Unidades de Negocio],0),2),0)</f>
        <v>0</v>
      </c>
      <c r="J30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03" s="488"/>
      <c r="L303" s="482"/>
      <c r="M303" s="483"/>
      <c r="N303" s="484"/>
      <c r="O303" s="690">
        <f>Producción_Agricola[[#This Row],[Superficie]]*Producción_Agricola[[#This Row],[Cantidad]]</f>
        <v>0</v>
      </c>
      <c r="P303" s="482"/>
      <c r="Q303" s="484"/>
      <c r="R303" s="485"/>
      <c r="S30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03" s="695">
        <f>IFERROR(Producción_Agricola[[#This Row],[Económico $Corrientes]]/Producción_Agricola[[#This Row],[Indexación Económico]],0)</f>
        <v>0</v>
      </c>
      <c r="U30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0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03" s="695">
        <f>IFERROR(Producción_Agricola[[#This Row],[Financiero $Corrientes]]/Producción_Agricola[[#This Row],[Indexación Financiero]],0)</f>
        <v>0</v>
      </c>
      <c r="X30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0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03" s="699">
        <f>IFERROR(Producción_Agricola[[#This Row],[Intereses $Corrientes]]/Producción_Agricola[[#This Row],[Indexación Financiero]],0)</f>
        <v>0</v>
      </c>
      <c r="AA30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03" s="701">
        <f>IFERROR(INDEX(Produccion_Agricola_Cuentas[],MATCH(Producción_Agricola[[#This Row],[Cuenta Contable]],Produccion_Agricola_Cuentas[Cuenta Contable],0),2),0)</f>
        <v>0</v>
      </c>
      <c r="AC303" s="702">
        <f>IFERROR(INDEX(Tabla9[],MATCH(Producción_Agricola[[#This Row],[Movimiento]],Tabla9[Movimientos],0),2),0)</f>
        <v>0</v>
      </c>
      <c r="AD303" s="703">
        <f>IFERROR(INDEX(Tabla9[],MATCH(Producción_Agricola[[#This Row],[Movimiento]],Tabla9[Movimientos],0),3),0)</f>
        <v>0</v>
      </c>
      <c r="AE303" s="698">
        <f>IF(Producción_Agricola[[#This Row],[Fecha Económico]]=0,0,MONTH(Producción_Agricola[[#This Row],[Fecha Económico]]))</f>
        <v>0</v>
      </c>
      <c r="AF303" s="699">
        <f>IF(Producción_Agricola[[#This Row],[Fecha Económico]]=0,0,YEAR(Producción_Agricola[[#This Row],[Fecha Económico]]))</f>
        <v>0</v>
      </c>
      <c r="AG303" s="704">
        <f>SUMPRODUCT((Producción_Agricola[[#This Row],[Mes Económico]]=Tipo_Cambio[Mes])*(Producción_Agricola[[#This Row],[Año Económico]]=Tipo_Cambio[Año])*(Tipo_Cambio[$/U$S]))</f>
        <v>0</v>
      </c>
      <c r="AH303" s="703">
        <f>SUMPRODUCT((Producción_Agricola[[#This Row],[Mes Económico]]=Tipo_Cambio[Mes])*(Producción_Agricola[[#This Row],[Año Económico]]=Tipo_Cambio[Año])*(Tipo_Cambio[Actualización]))</f>
        <v>0</v>
      </c>
      <c r="AI303" s="699">
        <f>IF(ISNUMBER(Producción_Agricola[[#This Row],[Fecha Financiero]])=TRUE,MONTH(Producción_Agricola[[#This Row],[Fecha Financiero]]),0)</f>
        <v>0</v>
      </c>
      <c r="AJ303" s="699">
        <f>IF(ISNUMBER(Producción_Agricola[[#This Row],[Fecha Financiero]])=TRUE,YEAR(Producción_Agricola[[#This Row],[Fecha Financiero]]),0)</f>
        <v>0</v>
      </c>
      <c r="AK303" s="704">
        <f>SUMPRODUCT((Producción_Agricola[[#This Row],[Mes Financiero]]=Tipo_Cambio[Mes])*(Producción_Agricola[[#This Row],[Año Financiero]]=Tipo_Cambio[Año])*(Tipo_Cambio[$/U$S]))</f>
        <v>0</v>
      </c>
      <c r="AL303" s="704">
        <f>SUMPRODUCT((Producción_Agricola[[#This Row],[Mes Financiero]]=Tipo_Cambio[Mes])*(Producción_Agricola[[#This Row],[Año Financiero]]=Tipo_Cambio[Año])*(Tipo_Cambio[Actualización]))</f>
        <v>0</v>
      </c>
      <c r="AM303" s="709">
        <f>IFERROR(Producción_Agricola[[#This Row],[Económico $Corrientes]]/Producción_Agricola[[#This Row],[Superficie]],0)</f>
        <v>0</v>
      </c>
      <c r="AN303" s="712">
        <f>IFERROR(Producción_Agricola[[#This Row],[Económico $Constantes]]/Producción_Agricola[[#This Row],[Superficie]],0)</f>
        <v>0</v>
      </c>
      <c r="AO303" s="712">
        <f>IFERROR(Producción_Agricola[[#This Row],[Económico U$S Dólares]]/Producción_Agricola[[#This Row],[Superficie]],0)</f>
        <v>0</v>
      </c>
      <c r="AP303" s="711">
        <f>IF(Económico!$F$4=0,0,Producción_Agricola[[#This Row],[Centro de Costo]])</f>
        <v>0</v>
      </c>
      <c r="AQ303" s="512"/>
      <c r="AR303" s="513"/>
      <c r="AS303"/>
    </row>
    <row r="304" spans="1:45" x14ac:dyDescent="0.25">
      <c r="A304" s="509"/>
      <c r="B304" s="494"/>
      <c r="C304" s="509"/>
      <c r="D304" s="478"/>
      <c r="E304" s="478"/>
      <c r="F304" s="668">
        <f t="shared" si="53"/>
        <v>0</v>
      </c>
      <c r="G304" s="673">
        <f t="shared" si="54"/>
        <v>0</v>
      </c>
      <c r="H304" s="673">
        <f t="shared" si="55"/>
        <v>0</v>
      </c>
      <c r="I304" s="675">
        <f>IFERROR(INDEX(Tabla8[],MATCH(Producción_Agricola[[#This Row],[Unidad de Negocio]],Tabla8[Unidades de Negocio],0),2),0)</f>
        <v>0</v>
      </c>
      <c r="J30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04" s="488"/>
      <c r="L304" s="482"/>
      <c r="M304" s="483"/>
      <c r="N304" s="484"/>
      <c r="O304" s="690">
        <f>Producción_Agricola[[#This Row],[Superficie]]*Producción_Agricola[[#This Row],[Cantidad]]</f>
        <v>0</v>
      </c>
      <c r="P304" s="482"/>
      <c r="Q304" s="484"/>
      <c r="R304" s="485"/>
      <c r="S30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04" s="695">
        <f>IFERROR(Producción_Agricola[[#This Row],[Económico $Corrientes]]/Producción_Agricola[[#This Row],[Indexación Económico]],0)</f>
        <v>0</v>
      </c>
      <c r="U30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0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04" s="695">
        <f>IFERROR(Producción_Agricola[[#This Row],[Financiero $Corrientes]]/Producción_Agricola[[#This Row],[Indexación Financiero]],0)</f>
        <v>0</v>
      </c>
      <c r="X30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0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04" s="699">
        <f>IFERROR(Producción_Agricola[[#This Row],[Intereses $Corrientes]]/Producción_Agricola[[#This Row],[Indexación Financiero]],0)</f>
        <v>0</v>
      </c>
      <c r="AA30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04" s="701">
        <f>IFERROR(INDEX(Produccion_Agricola_Cuentas[],MATCH(Producción_Agricola[[#This Row],[Cuenta Contable]],Produccion_Agricola_Cuentas[Cuenta Contable],0),2),0)</f>
        <v>0</v>
      </c>
      <c r="AC304" s="702">
        <f>IFERROR(INDEX(Tabla9[],MATCH(Producción_Agricola[[#This Row],[Movimiento]],Tabla9[Movimientos],0),2),0)</f>
        <v>0</v>
      </c>
      <c r="AD304" s="703">
        <f>IFERROR(INDEX(Tabla9[],MATCH(Producción_Agricola[[#This Row],[Movimiento]],Tabla9[Movimientos],0),3),0)</f>
        <v>0</v>
      </c>
      <c r="AE304" s="698">
        <f>IF(Producción_Agricola[[#This Row],[Fecha Económico]]=0,0,MONTH(Producción_Agricola[[#This Row],[Fecha Económico]]))</f>
        <v>0</v>
      </c>
      <c r="AF304" s="699">
        <f>IF(Producción_Agricola[[#This Row],[Fecha Económico]]=0,0,YEAR(Producción_Agricola[[#This Row],[Fecha Económico]]))</f>
        <v>0</v>
      </c>
      <c r="AG304" s="704">
        <f>SUMPRODUCT((Producción_Agricola[[#This Row],[Mes Económico]]=Tipo_Cambio[Mes])*(Producción_Agricola[[#This Row],[Año Económico]]=Tipo_Cambio[Año])*(Tipo_Cambio[$/U$S]))</f>
        <v>0</v>
      </c>
      <c r="AH304" s="703">
        <f>SUMPRODUCT((Producción_Agricola[[#This Row],[Mes Económico]]=Tipo_Cambio[Mes])*(Producción_Agricola[[#This Row],[Año Económico]]=Tipo_Cambio[Año])*(Tipo_Cambio[Actualización]))</f>
        <v>0</v>
      </c>
      <c r="AI304" s="699">
        <f>IF(ISNUMBER(Producción_Agricola[[#This Row],[Fecha Financiero]])=TRUE,MONTH(Producción_Agricola[[#This Row],[Fecha Financiero]]),0)</f>
        <v>0</v>
      </c>
      <c r="AJ304" s="699">
        <f>IF(ISNUMBER(Producción_Agricola[[#This Row],[Fecha Financiero]])=TRUE,YEAR(Producción_Agricola[[#This Row],[Fecha Financiero]]),0)</f>
        <v>0</v>
      </c>
      <c r="AK304" s="704">
        <f>SUMPRODUCT((Producción_Agricola[[#This Row],[Mes Financiero]]=Tipo_Cambio[Mes])*(Producción_Agricola[[#This Row],[Año Financiero]]=Tipo_Cambio[Año])*(Tipo_Cambio[$/U$S]))</f>
        <v>0</v>
      </c>
      <c r="AL304" s="704">
        <f>SUMPRODUCT((Producción_Agricola[[#This Row],[Mes Financiero]]=Tipo_Cambio[Mes])*(Producción_Agricola[[#This Row],[Año Financiero]]=Tipo_Cambio[Año])*(Tipo_Cambio[Actualización]))</f>
        <v>0</v>
      </c>
      <c r="AM304" s="709">
        <f>IFERROR(Producción_Agricola[[#This Row],[Económico $Corrientes]]/Producción_Agricola[[#This Row],[Superficie]],0)</f>
        <v>0</v>
      </c>
      <c r="AN304" s="712">
        <f>IFERROR(Producción_Agricola[[#This Row],[Económico $Constantes]]/Producción_Agricola[[#This Row],[Superficie]],0)</f>
        <v>0</v>
      </c>
      <c r="AO304" s="712">
        <f>IFERROR(Producción_Agricola[[#This Row],[Económico U$S Dólares]]/Producción_Agricola[[#This Row],[Superficie]],0)</f>
        <v>0</v>
      </c>
      <c r="AP304" s="711">
        <f>IF(Económico!$F$4=0,0,Producción_Agricola[[#This Row],[Centro de Costo]])</f>
        <v>0</v>
      </c>
      <c r="AQ304" s="512"/>
      <c r="AR304" s="513"/>
      <c r="AS304"/>
    </row>
    <row r="305" spans="1:45" x14ac:dyDescent="0.25">
      <c r="A305" s="509"/>
      <c r="B305" s="494"/>
      <c r="C305" s="509"/>
      <c r="D305" s="478"/>
      <c r="E305" s="478"/>
      <c r="F305" s="668">
        <f t="shared" si="53"/>
        <v>0</v>
      </c>
      <c r="G305" s="673">
        <f t="shared" si="54"/>
        <v>0</v>
      </c>
      <c r="H305" s="673">
        <f t="shared" si="55"/>
        <v>0</v>
      </c>
      <c r="I305" s="675">
        <f>IFERROR(INDEX(Tabla8[],MATCH(Producción_Agricola[[#This Row],[Unidad de Negocio]],Tabla8[Unidades de Negocio],0),2),0)</f>
        <v>0</v>
      </c>
      <c r="J30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05" s="488"/>
      <c r="L305" s="482"/>
      <c r="M305" s="483"/>
      <c r="N305" s="484"/>
      <c r="O305" s="690">
        <f>Producción_Agricola[[#This Row],[Superficie]]*Producción_Agricola[[#This Row],[Cantidad]]</f>
        <v>0</v>
      </c>
      <c r="P305" s="482"/>
      <c r="Q305" s="484"/>
      <c r="R305" s="485"/>
      <c r="S30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05" s="695">
        <f>IFERROR(Producción_Agricola[[#This Row],[Económico $Corrientes]]/Producción_Agricola[[#This Row],[Indexación Económico]],0)</f>
        <v>0</v>
      </c>
      <c r="U30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0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05" s="695">
        <f>IFERROR(Producción_Agricola[[#This Row],[Financiero $Corrientes]]/Producción_Agricola[[#This Row],[Indexación Financiero]],0)</f>
        <v>0</v>
      </c>
      <c r="X30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0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05" s="699">
        <f>IFERROR(Producción_Agricola[[#This Row],[Intereses $Corrientes]]/Producción_Agricola[[#This Row],[Indexación Financiero]],0)</f>
        <v>0</v>
      </c>
      <c r="AA30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05" s="701">
        <f>IFERROR(INDEX(Produccion_Agricola_Cuentas[],MATCH(Producción_Agricola[[#This Row],[Cuenta Contable]],Produccion_Agricola_Cuentas[Cuenta Contable],0),2),0)</f>
        <v>0</v>
      </c>
      <c r="AC305" s="702">
        <f>IFERROR(INDEX(Tabla9[],MATCH(Producción_Agricola[[#This Row],[Movimiento]],Tabla9[Movimientos],0),2),0)</f>
        <v>0</v>
      </c>
      <c r="AD305" s="703">
        <f>IFERROR(INDEX(Tabla9[],MATCH(Producción_Agricola[[#This Row],[Movimiento]],Tabla9[Movimientos],0),3),0)</f>
        <v>0</v>
      </c>
      <c r="AE305" s="698">
        <f>IF(Producción_Agricola[[#This Row],[Fecha Económico]]=0,0,MONTH(Producción_Agricola[[#This Row],[Fecha Económico]]))</f>
        <v>0</v>
      </c>
      <c r="AF305" s="699">
        <f>IF(Producción_Agricola[[#This Row],[Fecha Económico]]=0,0,YEAR(Producción_Agricola[[#This Row],[Fecha Económico]]))</f>
        <v>0</v>
      </c>
      <c r="AG305" s="704">
        <f>SUMPRODUCT((Producción_Agricola[[#This Row],[Mes Económico]]=Tipo_Cambio[Mes])*(Producción_Agricola[[#This Row],[Año Económico]]=Tipo_Cambio[Año])*(Tipo_Cambio[$/U$S]))</f>
        <v>0</v>
      </c>
      <c r="AH305" s="703">
        <f>SUMPRODUCT((Producción_Agricola[[#This Row],[Mes Económico]]=Tipo_Cambio[Mes])*(Producción_Agricola[[#This Row],[Año Económico]]=Tipo_Cambio[Año])*(Tipo_Cambio[Actualización]))</f>
        <v>0</v>
      </c>
      <c r="AI305" s="699">
        <f>IF(ISNUMBER(Producción_Agricola[[#This Row],[Fecha Financiero]])=TRUE,MONTH(Producción_Agricola[[#This Row],[Fecha Financiero]]),0)</f>
        <v>0</v>
      </c>
      <c r="AJ305" s="699">
        <f>IF(ISNUMBER(Producción_Agricola[[#This Row],[Fecha Financiero]])=TRUE,YEAR(Producción_Agricola[[#This Row],[Fecha Financiero]]),0)</f>
        <v>0</v>
      </c>
      <c r="AK305" s="704">
        <f>SUMPRODUCT((Producción_Agricola[[#This Row],[Mes Financiero]]=Tipo_Cambio[Mes])*(Producción_Agricola[[#This Row],[Año Financiero]]=Tipo_Cambio[Año])*(Tipo_Cambio[$/U$S]))</f>
        <v>0</v>
      </c>
      <c r="AL305" s="704">
        <f>SUMPRODUCT((Producción_Agricola[[#This Row],[Mes Financiero]]=Tipo_Cambio[Mes])*(Producción_Agricola[[#This Row],[Año Financiero]]=Tipo_Cambio[Año])*(Tipo_Cambio[Actualización]))</f>
        <v>0</v>
      </c>
      <c r="AM305" s="709">
        <f>IFERROR(Producción_Agricola[[#This Row],[Económico $Corrientes]]/Producción_Agricola[[#This Row],[Superficie]],0)</f>
        <v>0</v>
      </c>
      <c r="AN305" s="712">
        <f>IFERROR(Producción_Agricola[[#This Row],[Económico $Constantes]]/Producción_Agricola[[#This Row],[Superficie]],0)</f>
        <v>0</v>
      </c>
      <c r="AO305" s="712">
        <f>IFERROR(Producción_Agricola[[#This Row],[Económico U$S Dólares]]/Producción_Agricola[[#This Row],[Superficie]],0)</f>
        <v>0</v>
      </c>
      <c r="AP305" s="711">
        <f>IF(Económico!$F$4=0,0,Producción_Agricola[[#This Row],[Centro de Costo]])</f>
        <v>0</v>
      </c>
      <c r="AQ305" s="512"/>
      <c r="AR305" s="513"/>
      <c r="AS305"/>
    </row>
    <row r="306" spans="1:45" x14ac:dyDescent="0.25">
      <c r="A306" s="509"/>
      <c r="B306" s="494"/>
      <c r="C306" s="509"/>
      <c r="D306" s="478"/>
      <c r="E306" s="478"/>
      <c r="F306" s="668">
        <f t="shared" si="53"/>
        <v>0</v>
      </c>
      <c r="G306" s="673">
        <f t="shared" si="54"/>
        <v>0</v>
      </c>
      <c r="H306" s="673">
        <f t="shared" si="55"/>
        <v>0</v>
      </c>
      <c r="I306" s="675">
        <f>IFERROR(INDEX(Tabla8[],MATCH(Producción_Agricola[[#This Row],[Unidad de Negocio]],Tabla8[Unidades de Negocio],0),2),0)</f>
        <v>0</v>
      </c>
      <c r="J30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06" s="488"/>
      <c r="L306" s="482"/>
      <c r="M306" s="483"/>
      <c r="N306" s="484"/>
      <c r="O306" s="690">
        <f>Producción_Agricola[[#This Row],[Superficie]]*Producción_Agricola[[#This Row],[Cantidad]]</f>
        <v>0</v>
      </c>
      <c r="P306" s="482"/>
      <c r="Q306" s="484"/>
      <c r="R306" s="485"/>
      <c r="S30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06" s="695">
        <f>IFERROR(Producción_Agricola[[#This Row],[Económico $Corrientes]]/Producción_Agricola[[#This Row],[Indexación Económico]],0)</f>
        <v>0</v>
      </c>
      <c r="U30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0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06" s="695">
        <f>IFERROR(Producción_Agricola[[#This Row],[Financiero $Corrientes]]/Producción_Agricola[[#This Row],[Indexación Financiero]],0)</f>
        <v>0</v>
      </c>
      <c r="X30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0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06" s="699">
        <f>IFERROR(Producción_Agricola[[#This Row],[Intereses $Corrientes]]/Producción_Agricola[[#This Row],[Indexación Financiero]],0)</f>
        <v>0</v>
      </c>
      <c r="AA30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06" s="701">
        <f>IFERROR(INDEX(Produccion_Agricola_Cuentas[],MATCH(Producción_Agricola[[#This Row],[Cuenta Contable]],Produccion_Agricola_Cuentas[Cuenta Contable],0),2),0)</f>
        <v>0</v>
      </c>
      <c r="AC306" s="702">
        <f>IFERROR(INDEX(Tabla9[],MATCH(Producción_Agricola[[#This Row],[Movimiento]],Tabla9[Movimientos],0),2),0)</f>
        <v>0</v>
      </c>
      <c r="AD306" s="703">
        <f>IFERROR(INDEX(Tabla9[],MATCH(Producción_Agricola[[#This Row],[Movimiento]],Tabla9[Movimientos],0),3),0)</f>
        <v>0</v>
      </c>
      <c r="AE306" s="698">
        <f>IF(Producción_Agricola[[#This Row],[Fecha Económico]]=0,0,MONTH(Producción_Agricola[[#This Row],[Fecha Económico]]))</f>
        <v>0</v>
      </c>
      <c r="AF306" s="699">
        <f>IF(Producción_Agricola[[#This Row],[Fecha Económico]]=0,0,YEAR(Producción_Agricola[[#This Row],[Fecha Económico]]))</f>
        <v>0</v>
      </c>
      <c r="AG306" s="704">
        <f>SUMPRODUCT((Producción_Agricola[[#This Row],[Mes Económico]]=Tipo_Cambio[Mes])*(Producción_Agricola[[#This Row],[Año Económico]]=Tipo_Cambio[Año])*(Tipo_Cambio[$/U$S]))</f>
        <v>0</v>
      </c>
      <c r="AH306" s="703">
        <f>SUMPRODUCT((Producción_Agricola[[#This Row],[Mes Económico]]=Tipo_Cambio[Mes])*(Producción_Agricola[[#This Row],[Año Económico]]=Tipo_Cambio[Año])*(Tipo_Cambio[Actualización]))</f>
        <v>0</v>
      </c>
      <c r="AI306" s="699">
        <f>IF(ISNUMBER(Producción_Agricola[[#This Row],[Fecha Financiero]])=TRUE,MONTH(Producción_Agricola[[#This Row],[Fecha Financiero]]),0)</f>
        <v>0</v>
      </c>
      <c r="AJ306" s="699">
        <f>IF(ISNUMBER(Producción_Agricola[[#This Row],[Fecha Financiero]])=TRUE,YEAR(Producción_Agricola[[#This Row],[Fecha Financiero]]),0)</f>
        <v>0</v>
      </c>
      <c r="AK306" s="704">
        <f>SUMPRODUCT((Producción_Agricola[[#This Row],[Mes Financiero]]=Tipo_Cambio[Mes])*(Producción_Agricola[[#This Row],[Año Financiero]]=Tipo_Cambio[Año])*(Tipo_Cambio[$/U$S]))</f>
        <v>0</v>
      </c>
      <c r="AL306" s="704">
        <f>SUMPRODUCT((Producción_Agricola[[#This Row],[Mes Financiero]]=Tipo_Cambio[Mes])*(Producción_Agricola[[#This Row],[Año Financiero]]=Tipo_Cambio[Año])*(Tipo_Cambio[Actualización]))</f>
        <v>0</v>
      </c>
      <c r="AM306" s="709">
        <f>IFERROR(Producción_Agricola[[#This Row],[Económico $Corrientes]]/Producción_Agricola[[#This Row],[Superficie]],0)</f>
        <v>0</v>
      </c>
      <c r="AN306" s="712">
        <f>IFERROR(Producción_Agricola[[#This Row],[Económico $Constantes]]/Producción_Agricola[[#This Row],[Superficie]],0)</f>
        <v>0</v>
      </c>
      <c r="AO306" s="712">
        <f>IFERROR(Producción_Agricola[[#This Row],[Económico U$S Dólares]]/Producción_Agricola[[#This Row],[Superficie]],0)</f>
        <v>0</v>
      </c>
      <c r="AP306" s="711">
        <f>IF(Económico!$F$4=0,0,Producción_Agricola[[#This Row],[Centro de Costo]])</f>
        <v>0</v>
      </c>
      <c r="AQ306" s="512"/>
      <c r="AR306" s="513"/>
      <c r="AS306"/>
    </row>
    <row r="307" spans="1:45" x14ac:dyDescent="0.25">
      <c r="A307" s="509"/>
      <c r="B307" s="494"/>
      <c r="C307" s="509"/>
      <c r="D307" s="478"/>
      <c r="E307" s="478"/>
      <c r="F307" s="668">
        <f t="shared" si="53"/>
        <v>0</v>
      </c>
      <c r="G307" s="673">
        <f t="shared" si="54"/>
        <v>0</v>
      </c>
      <c r="H307" s="673">
        <f t="shared" si="55"/>
        <v>0</v>
      </c>
      <c r="I307" s="675">
        <f>IFERROR(INDEX(Tabla8[],MATCH(Producción_Agricola[[#This Row],[Unidad de Negocio]],Tabla8[Unidades de Negocio],0),2),0)</f>
        <v>0</v>
      </c>
      <c r="J30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07" s="488"/>
      <c r="L307" s="482"/>
      <c r="M307" s="483"/>
      <c r="N307" s="484"/>
      <c r="O307" s="690">
        <f>Producción_Agricola[[#This Row],[Superficie]]*Producción_Agricola[[#This Row],[Cantidad]]</f>
        <v>0</v>
      </c>
      <c r="P307" s="482"/>
      <c r="Q307" s="484"/>
      <c r="R307" s="485"/>
      <c r="S30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07" s="695">
        <f>IFERROR(Producción_Agricola[[#This Row],[Económico $Corrientes]]/Producción_Agricola[[#This Row],[Indexación Económico]],0)</f>
        <v>0</v>
      </c>
      <c r="U30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0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07" s="695">
        <f>IFERROR(Producción_Agricola[[#This Row],[Financiero $Corrientes]]/Producción_Agricola[[#This Row],[Indexación Financiero]],0)</f>
        <v>0</v>
      </c>
      <c r="X30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0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07" s="699">
        <f>IFERROR(Producción_Agricola[[#This Row],[Intereses $Corrientes]]/Producción_Agricola[[#This Row],[Indexación Financiero]],0)</f>
        <v>0</v>
      </c>
      <c r="AA30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07" s="701">
        <f>IFERROR(INDEX(Produccion_Agricola_Cuentas[],MATCH(Producción_Agricola[[#This Row],[Cuenta Contable]],Produccion_Agricola_Cuentas[Cuenta Contable],0),2),0)</f>
        <v>0</v>
      </c>
      <c r="AC307" s="702">
        <f>IFERROR(INDEX(Tabla9[],MATCH(Producción_Agricola[[#This Row],[Movimiento]],Tabla9[Movimientos],0),2),0)</f>
        <v>0</v>
      </c>
      <c r="AD307" s="703">
        <f>IFERROR(INDEX(Tabla9[],MATCH(Producción_Agricola[[#This Row],[Movimiento]],Tabla9[Movimientos],0),3),0)</f>
        <v>0</v>
      </c>
      <c r="AE307" s="698">
        <f>IF(Producción_Agricola[[#This Row],[Fecha Económico]]=0,0,MONTH(Producción_Agricola[[#This Row],[Fecha Económico]]))</f>
        <v>0</v>
      </c>
      <c r="AF307" s="699">
        <f>IF(Producción_Agricola[[#This Row],[Fecha Económico]]=0,0,YEAR(Producción_Agricola[[#This Row],[Fecha Económico]]))</f>
        <v>0</v>
      </c>
      <c r="AG307" s="704">
        <f>SUMPRODUCT((Producción_Agricola[[#This Row],[Mes Económico]]=Tipo_Cambio[Mes])*(Producción_Agricola[[#This Row],[Año Económico]]=Tipo_Cambio[Año])*(Tipo_Cambio[$/U$S]))</f>
        <v>0</v>
      </c>
      <c r="AH307" s="703">
        <f>SUMPRODUCT((Producción_Agricola[[#This Row],[Mes Económico]]=Tipo_Cambio[Mes])*(Producción_Agricola[[#This Row],[Año Económico]]=Tipo_Cambio[Año])*(Tipo_Cambio[Actualización]))</f>
        <v>0</v>
      </c>
      <c r="AI307" s="699">
        <f>IF(ISNUMBER(Producción_Agricola[[#This Row],[Fecha Financiero]])=TRUE,MONTH(Producción_Agricola[[#This Row],[Fecha Financiero]]),0)</f>
        <v>0</v>
      </c>
      <c r="AJ307" s="699">
        <f>IF(ISNUMBER(Producción_Agricola[[#This Row],[Fecha Financiero]])=TRUE,YEAR(Producción_Agricola[[#This Row],[Fecha Financiero]]),0)</f>
        <v>0</v>
      </c>
      <c r="AK307" s="704">
        <f>SUMPRODUCT((Producción_Agricola[[#This Row],[Mes Financiero]]=Tipo_Cambio[Mes])*(Producción_Agricola[[#This Row],[Año Financiero]]=Tipo_Cambio[Año])*(Tipo_Cambio[$/U$S]))</f>
        <v>0</v>
      </c>
      <c r="AL307" s="704">
        <f>SUMPRODUCT((Producción_Agricola[[#This Row],[Mes Financiero]]=Tipo_Cambio[Mes])*(Producción_Agricola[[#This Row],[Año Financiero]]=Tipo_Cambio[Año])*(Tipo_Cambio[Actualización]))</f>
        <v>0</v>
      </c>
      <c r="AM307" s="709">
        <f>IFERROR(Producción_Agricola[[#This Row],[Económico $Corrientes]]/Producción_Agricola[[#This Row],[Superficie]],0)</f>
        <v>0</v>
      </c>
      <c r="AN307" s="712">
        <f>IFERROR(Producción_Agricola[[#This Row],[Económico $Constantes]]/Producción_Agricola[[#This Row],[Superficie]],0)</f>
        <v>0</v>
      </c>
      <c r="AO307" s="712">
        <f>IFERROR(Producción_Agricola[[#This Row],[Económico U$S Dólares]]/Producción_Agricola[[#This Row],[Superficie]],0)</f>
        <v>0</v>
      </c>
      <c r="AP307" s="711">
        <f>IF(Económico!$F$4=0,0,Producción_Agricola[[#This Row],[Centro de Costo]])</f>
        <v>0</v>
      </c>
      <c r="AQ307" s="512"/>
      <c r="AR307" s="513"/>
      <c r="AS307"/>
    </row>
    <row r="308" spans="1:45" x14ac:dyDescent="0.25">
      <c r="A308" s="509"/>
      <c r="B308" s="494"/>
      <c r="C308" s="509"/>
      <c r="D308" s="478"/>
      <c r="E308" s="478"/>
      <c r="F308" s="668">
        <f t="shared" si="53"/>
        <v>0</v>
      </c>
      <c r="G308" s="673">
        <f t="shared" si="54"/>
        <v>0</v>
      </c>
      <c r="H308" s="673">
        <f t="shared" si="55"/>
        <v>0</v>
      </c>
      <c r="I308" s="675">
        <f>IFERROR(INDEX(Tabla8[],MATCH(Producción_Agricola[[#This Row],[Unidad de Negocio]],Tabla8[Unidades de Negocio],0),2),0)</f>
        <v>0</v>
      </c>
      <c r="J30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08" s="488"/>
      <c r="L308" s="482"/>
      <c r="M308" s="483"/>
      <c r="N308" s="484"/>
      <c r="O308" s="690">
        <f>Producción_Agricola[[#This Row],[Superficie]]*Producción_Agricola[[#This Row],[Cantidad]]</f>
        <v>0</v>
      </c>
      <c r="P308" s="482"/>
      <c r="Q308" s="484"/>
      <c r="R308" s="485"/>
      <c r="S30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08" s="695">
        <f>IFERROR(Producción_Agricola[[#This Row],[Económico $Corrientes]]/Producción_Agricola[[#This Row],[Indexación Económico]],0)</f>
        <v>0</v>
      </c>
      <c r="U30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0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08" s="695">
        <f>IFERROR(Producción_Agricola[[#This Row],[Financiero $Corrientes]]/Producción_Agricola[[#This Row],[Indexación Financiero]],0)</f>
        <v>0</v>
      </c>
      <c r="X30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0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08" s="699">
        <f>IFERROR(Producción_Agricola[[#This Row],[Intereses $Corrientes]]/Producción_Agricola[[#This Row],[Indexación Financiero]],0)</f>
        <v>0</v>
      </c>
      <c r="AA30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08" s="701">
        <f>IFERROR(INDEX(Produccion_Agricola_Cuentas[],MATCH(Producción_Agricola[[#This Row],[Cuenta Contable]],Produccion_Agricola_Cuentas[Cuenta Contable],0),2),0)</f>
        <v>0</v>
      </c>
      <c r="AC308" s="702">
        <f>IFERROR(INDEX(Tabla9[],MATCH(Producción_Agricola[[#This Row],[Movimiento]],Tabla9[Movimientos],0),2),0)</f>
        <v>0</v>
      </c>
      <c r="AD308" s="703">
        <f>IFERROR(INDEX(Tabla9[],MATCH(Producción_Agricola[[#This Row],[Movimiento]],Tabla9[Movimientos],0),3),0)</f>
        <v>0</v>
      </c>
      <c r="AE308" s="698">
        <f>IF(Producción_Agricola[[#This Row],[Fecha Económico]]=0,0,MONTH(Producción_Agricola[[#This Row],[Fecha Económico]]))</f>
        <v>0</v>
      </c>
      <c r="AF308" s="699">
        <f>IF(Producción_Agricola[[#This Row],[Fecha Económico]]=0,0,YEAR(Producción_Agricola[[#This Row],[Fecha Económico]]))</f>
        <v>0</v>
      </c>
      <c r="AG308" s="704">
        <f>SUMPRODUCT((Producción_Agricola[[#This Row],[Mes Económico]]=Tipo_Cambio[Mes])*(Producción_Agricola[[#This Row],[Año Económico]]=Tipo_Cambio[Año])*(Tipo_Cambio[$/U$S]))</f>
        <v>0</v>
      </c>
      <c r="AH308" s="703">
        <f>SUMPRODUCT((Producción_Agricola[[#This Row],[Mes Económico]]=Tipo_Cambio[Mes])*(Producción_Agricola[[#This Row],[Año Económico]]=Tipo_Cambio[Año])*(Tipo_Cambio[Actualización]))</f>
        <v>0</v>
      </c>
      <c r="AI308" s="699">
        <f>IF(ISNUMBER(Producción_Agricola[[#This Row],[Fecha Financiero]])=TRUE,MONTH(Producción_Agricola[[#This Row],[Fecha Financiero]]),0)</f>
        <v>0</v>
      </c>
      <c r="AJ308" s="699">
        <f>IF(ISNUMBER(Producción_Agricola[[#This Row],[Fecha Financiero]])=TRUE,YEAR(Producción_Agricola[[#This Row],[Fecha Financiero]]),0)</f>
        <v>0</v>
      </c>
      <c r="AK308" s="704">
        <f>SUMPRODUCT((Producción_Agricola[[#This Row],[Mes Financiero]]=Tipo_Cambio[Mes])*(Producción_Agricola[[#This Row],[Año Financiero]]=Tipo_Cambio[Año])*(Tipo_Cambio[$/U$S]))</f>
        <v>0</v>
      </c>
      <c r="AL308" s="704">
        <f>SUMPRODUCT((Producción_Agricola[[#This Row],[Mes Financiero]]=Tipo_Cambio[Mes])*(Producción_Agricola[[#This Row],[Año Financiero]]=Tipo_Cambio[Año])*(Tipo_Cambio[Actualización]))</f>
        <v>0</v>
      </c>
      <c r="AM308" s="709">
        <f>IFERROR(Producción_Agricola[[#This Row],[Económico $Corrientes]]/Producción_Agricola[[#This Row],[Superficie]],0)</f>
        <v>0</v>
      </c>
      <c r="AN308" s="712">
        <f>IFERROR(Producción_Agricola[[#This Row],[Económico $Constantes]]/Producción_Agricola[[#This Row],[Superficie]],0)</f>
        <v>0</v>
      </c>
      <c r="AO308" s="712">
        <f>IFERROR(Producción_Agricola[[#This Row],[Económico U$S Dólares]]/Producción_Agricola[[#This Row],[Superficie]],0)</f>
        <v>0</v>
      </c>
      <c r="AP308" s="711">
        <f>IF(Económico!$F$4=0,0,Producción_Agricola[[#This Row],[Centro de Costo]])</f>
        <v>0</v>
      </c>
      <c r="AQ308" s="512"/>
      <c r="AR308" s="513"/>
      <c r="AS308"/>
    </row>
    <row r="309" spans="1:45" x14ac:dyDescent="0.25">
      <c r="A309" s="509"/>
      <c r="B309" s="494"/>
      <c r="C309" s="509"/>
      <c r="D309" s="478"/>
      <c r="E309" s="478"/>
      <c r="F309" s="668">
        <f t="shared" si="53"/>
        <v>0</v>
      </c>
      <c r="G309" s="673">
        <f t="shared" si="54"/>
        <v>0</v>
      </c>
      <c r="H309" s="673">
        <f t="shared" si="55"/>
        <v>0</v>
      </c>
      <c r="I309" s="675">
        <f>IFERROR(INDEX(Tabla8[],MATCH(Producción_Agricola[[#This Row],[Unidad de Negocio]],Tabla8[Unidades de Negocio],0),2),0)</f>
        <v>0</v>
      </c>
      <c r="J30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09" s="488"/>
      <c r="L309" s="482"/>
      <c r="M309" s="483"/>
      <c r="N309" s="484"/>
      <c r="O309" s="690">
        <f>Producción_Agricola[[#This Row],[Superficie]]*Producción_Agricola[[#This Row],[Cantidad]]</f>
        <v>0</v>
      </c>
      <c r="P309" s="482"/>
      <c r="Q309" s="484"/>
      <c r="R309" s="485"/>
      <c r="S30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09" s="695">
        <f>IFERROR(Producción_Agricola[[#This Row],[Económico $Corrientes]]/Producción_Agricola[[#This Row],[Indexación Económico]],0)</f>
        <v>0</v>
      </c>
      <c r="U30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0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09" s="695">
        <f>IFERROR(Producción_Agricola[[#This Row],[Financiero $Corrientes]]/Producción_Agricola[[#This Row],[Indexación Financiero]],0)</f>
        <v>0</v>
      </c>
      <c r="X30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0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09" s="699">
        <f>IFERROR(Producción_Agricola[[#This Row],[Intereses $Corrientes]]/Producción_Agricola[[#This Row],[Indexación Financiero]],0)</f>
        <v>0</v>
      </c>
      <c r="AA30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09" s="701">
        <f>IFERROR(INDEX(Produccion_Agricola_Cuentas[],MATCH(Producción_Agricola[[#This Row],[Cuenta Contable]],Produccion_Agricola_Cuentas[Cuenta Contable],0),2),0)</f>
        <v>0</v>
      </c>
      <c r="AC309" s="702">
        <f>IFERROR(INDEX(Tabla9[],MATCH(Producción_Agricola[[#This Row],[Movimiento]],Tabla9[Movimientos],0),2),0)</f>
        <v>0</v>
      </c>
      <c r="AD309" s="703">
        <f>IFERROR(INDEX(Tabla9[],MATCH(Producción_Agricola[[#This Row],[Movimiento]],Tabla9[Movimientos],0),3),0)</f>
        <v>0</v>
      </c>
      <c r="AE309" s="698">
        <f>IF(Producción_Agricola[[#This Row],[Fecha Económico]]=0,0,MONTH(Producción_Agricola[[#This Row],[Fecha Económico]]))</f>
        <v>0</v>
      </c>
      <c r="AF309" s="699">
        <f>IF(Producción_Agricola[[#This Row],[Fecha Económico]]=0,0,YEAR(Producción_Agricola[[#This Row],[Fecha Económico]]))</f>
        <v>0</v>
      </c>
      <c r="AG309" s="704">
        <f>SUMPRODUCT((Producción_Agricola[[#This Row],[Mes Económico]]=Tipo_Cambio[Mes])*(Producción_Agricola[[#This Row],[Año Económico]]=Tipo_Cambio[Año])*(Tipo_Cambio[$/U$S]))</f>
        <v>0</v>
      </c>
      <c r="AH309" s="703">
        <f>SUMPRODUCT((Producción_Agricola[[#This Row],[Mes Económico]]=Tipo_Cambio[Mes])*(Producción_Agricola[[#This Row],[Año Económico]]=Tipo_Cambio[Año])*(Tipo_Cambio[Actualización]))</f>
        <v>0</v>
      </c>
      <c r="AI309" s="699">
        <f>IF(ISNUMBER(Producción_Agricola[[#This Row],[Fecha Financiero]])=TRUE,MONTH(Producción_Agricola[[#This Row],[Fecha Financiero]]),0)</f>
        <v>0</v>
      </c>
      <c r="AJ309" s="699">
        <f>IF(ISNUMBER(Producción_Agricola[[#This Row],[Fecha Financiero]])=TRUE,YEAR(Producción_Agricola[[#This Row],[Fecha Financiero]]),0)</f>
        <v>0</v>
      </c>
      <c r="AK309" s="704">
        <f>SUMPRODUCT((Producción_Agricola[[#This Row],[Mes Financiero]]=Tipo_Cambio[Mes])*(Producción_Agricola[[#This Row],[Año Financiero]]=Tipo_Cambio[Año])*(Tipo_Cambio[$/U$S]))</f>
        <v>0</v>
      </c>
      <c r="AL309" s="704">
        <f>SUMPRODUCT((Producción_Agricola[[#This Row],[Mes Financiero]]=Tipo_Cambio[Mes])*(Producción_Agricola[[#This Row],[Año Financiero]]=Tipo_Cambio[Año])*(Tipo_Cambio[Actualización]))</f>
        <v>0</v>
      </c>
      <c r="AM309" s="709">
        <f>IFERROR(Producción_Agricola[[#This Row],[Económico $Corrientes]]/Producción_Agricola[[#This Row],[Superficie]],0)</f>
        <v>0</v>
      </c>
      <c r="AN309" s="712">
        <f>IFERROR(Producción_Agricola[[#This Row],[Económico $Constantes]]/Producción_Agricola[[#This Row],[Superficie]],0)</f>
        <v>0</v>
      </c>
      <c r="AO309" s="712">
        <f>IFERROR(Producción_Agricola[[#This Row],[Económico U$S Dólares]]/Producción_Agricola[[#This Row],[Superficie]],0)</f>
        <v>0</v>
      </c>
      <c r="AP309" s="711">
        <f>IF(Económico!$F$4=0,0,Producción_Agricola[[#This Row],[Centro de Costo]])</f>
        <v>0</v>
      </c>
      <c r="AQ309" s="512"/>
      <c r="AR309" s="513"/>
      <c r="AS309"/>
    </row>
    <row r="310" spans="1:45" x14ac:dyDescent="0.25">
      <c r="A310" s="509"/>
      <c r="B310" s="494"/>
      <c r="C310" s="509"/>
      <c r="D310" s="478"/>
      <c r="E310" s="478"/>
      <c r="F310" s="668">
        <f t="shared" si="53"/>
        <v>0</v>
      </c>
      <c r="G310" s="673">
        <f t="shared" si="54"/>
        <v>0</v>
      </c>
      <c r="H310" s="673">
        <f t="shared" si="55"/>
        <v>0</v>
      </c>
      <c r="I310" s="675">
        <f>IFERROR(INDEX(Tabla8[],MATCH(Producción_Agricola[[#This Row],[Unidad de Negocio]],Tabla8[Unidades de Negocio],0),2),0)</f>
        <v>0</v>
      </c>
      <c r="J31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10" s="488"/>
      <c r="L310" s="482"/>
      <c r="M310" s="483"/>
      <c r="N310" s="484"/>
      <c r="O310" s="690">
        <f>Producción_Agricola[[#This Row],[Superficie]]*Producción_Agricola[[#This Row],[Cantidad]]</f>
        <v>0</v>
      </c>
      <c r="P310" s="482"/>
      <c r="Q310" s="484"/>
      <c r="R310" s="485"/>
      <c r="S31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10" s="695">
        <f>IFERROR(Producción_Agricola[[#This Row],[Económico $Corrientes]]/Producción_Agricola[[#This Row],[Indexación Económico]],0)</f>
        <v>0</v>
      </c>
      <c r="U31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1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10" s="695">
        <f>IFERROR(Producción_Agricola[[#This Row],[Financiero $Corrientes]]/Producción_Agricola[[#This Row],[Indexación Financiero]],0)</f>
        <v>0</v>
      </c>
      <c r="X31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1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10" s="699">
        <f>IFERROR(Producción_Agricola[[#This Row],[Intereses $Corrientes]]/Producción_Agricola[[#This Row],[Indexación Financiero]],0)</f>
        <v>0</v>
      </c>
      <c r="AA31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10" s="701">
        <f>IFERROR(INDEX(Produccion_Agricola_Cuentas[],MATCH(Producción_Agricola[[#This Row],[Cuenta Contable]],Produccion_Agricola_Cuentas[Cuenta Contable],0),2),0)</f>
        <v>0</v>
      </c>
      <c r="AC310" s="702">
        <f>IFERROR(INDEX(Tabla9[],MATCH(Producción_Agricola[[#This Row],[Movimiento]],Tabla9[Movimientos],0),2),0)</f>
        <v>0</v>
      </c>
      <c r="AD310" s="703">
        <f>IFERROR(INDEX(Tabla9[],MATCH(Producción_Agricola[[#This Row],[Movimiento]],Tabla9[Movimientos],0),3),0)</f>
        <v>0</v>
      </c>
      <c r="AE310" s="698">
        <f>IF(Producción_Agricola[[#This Row],[Fecha Económico]]=0,0,MONTH(Producción_Agricola[[#This Row],[Fecha Económico]]))</f>
        <v>0</v>
      </c>
      <c r="AF310" s="699">
        <f>IF(Producción_Agricola[[#This Row],[Fecha Económico]]=0,0,YEAR(Producción_Agricola[[#This Row],[Fecha Económico]]))</f>
        <v>0</v>
      </c>
      <c r="AG310" s="704">
        <f>SUMPRODUCT((Producción_Agricola[[#This Row],[Mes Económico]]=Tipo_Cambio[Mes])*(Producción_Agricola[[#This Row],[Año Económico]]=Tipo_Cambio[Año])*(Tipo_Cambio[$/U$S]))</f>
        <v>0</v>
      </c>
      <c r="AH310" s="703">
        <f>SUMPRODUCT((Producción_Agricola[[#This Row],[Mes Económico]]=Tipo_Cambio[Mes])*(Producción_Agricola[[#This Row],[Año Económico]]=Tipo_Cambio[Año])*(Tipo_Cambio[Actualización]))</f>
        <v>0</v>
      </c>
      <c r="AI310" s="699">
        <f>IF(ISNUMBER(Producción_Agricola[[#This Row],[Fecha Financiero]])=TRUE,MONTH(Producción_Agricola[[#This Row],[Fecha Financiero]]),0)</f>
        <v>0</v>
      </c>
      <c r="AJ310" s="699">
        <f>IF(ISNUMBER(Producción_Agricola[[#This Row],[Fecha Financiero]])=TRUE,YEAR(Producción_Agricola[[#This Row],[Fecha Financiero]]),0)</f>
        <v>0</v>
      </c>
      <c r="AK310" s="704">
        <f>SUMPRODUCT((Producción_Agricola[[#This Row],[Mes Financiero]]=Tipo_Cambio[Mes])*(Producción_Agricola[[#This Row],[Año Financiero]]=Tipo_Cambio[Año])*(Tipo_Cambio[$/U$S]))</f>
        <v>0</v>
      </c>
      <c r="AL310" s="704">
        <f>SUMPRODUCT((Producción_Agricola[[#This Row],[Mes Financiero]]=Tipo_Cambio[Mes])*(Producción_Agricola[[#This Row],[Año Financiero]]=Tipo_Cambio[Año])*(Tipo_Cambio[Actualización]))</f>
        <v>0</v>
      </c>
      <c r="AM310" s="709">
        <f>IFERROR(Producción_Agricola[[#This Row],[Económico $Corrientes]]/Producción_Agricola[[#This Row],[Superficie]],0)</f>
        <v>0</v>
      </c>
      <c r="AN310" s="712">
        <f>IFERROR(Producción_Agricola[[#This Row],[Económico $Constantes]]/Producción_Agricola[[#This Row],[Superficie]],0)</f>
        <v>0</v>
      </c>
      <c r="AO310" s="712">
        <f>IFERROR(Producción_Agricola[[#This Row],[Económico U$S Dólares]]/Producción_Agricola[[#This Row],[Superficie]],0)</f>
        <v>0</v>
      </c>
      <c r="AP310" s="711">
        <f>IF(Económico!$F$4=0,0,Producción_Agricola[[#This Row],[Centro de Costo]])</f>
        <v>0</v>
      </c>
      <c r="AQ310" s="512"/>
      <c r="AR310" s="513"/>
      <c r="AS310"/>
    </row>
    <row r="311" spans="1:45" x14ac:dyDescent="0.25">
      <c r="A311" s="509"/>
      <c r="B311" s="494"/>
      <c r="C311" s="509"/>
      <c r="D311" s="478"/>
      <c r="E311" s="478"/>
      <c r="F311" s="668">
        <f t="shared" si="53"/>
        <v>0</v>
      </c>
      <c r="G311" s="673">
        <f t="shared" si="54"/>
        <v>0</v>
      </c>
      <c r="H311" s="673">
        <f t="shared" si="55"/>
        <v>0</v>
      </c>
      <c r="I311" s="675">
        <f>IFERROR(INDEX(Tabla8[],MATCH(Producción_Agricola[[#This Row],[Unidad de Negocio]],Tabla8[Unidades de Negocio],0),2),0)</f>
        <v>0</v>
      </c>
      <c r="J31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11" s="488"/>
      <c r="L311" s="482"/>
      <c r="M311" s="483"/>
      <c r="N311" s="484"/>
      <c r="O311" s="690">
        <f>Producción_Agricola[[#This Row],[Superficie]]*Producción_Agricola[[#This Row],[Cantidad]]</f>
        <v>0</v>
      </c>
      <c r="P311" s="482"/>
      <c r="Q311" s="484"/>
      <c r="R311" s="485"/>
      <c r="S31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11" s="695">
        <f>IFERROR(Producción_Agricola[[#This Row],[Económico $Corrientes]]/Producción_Agricola[[#This Row],[Indexación Económico]],0)</f>
        <v>0</v>
      </c>
      <c r="U31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1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11" s="695">
        <f>IFERROR(Producción_Agricola[[#This Row],[Financiero $Corrientes]]/Producción_Agricola[[#This Row],[Indexación Financiero]],0)</f>
        <v>0</v>
      </c>
      <c r="X31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1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11" s="699">
        <f>IFERROR(Producción_Agricola[[#This Row],[Intereses $Corrientes]]/Producción_Agricola[[#This Row],[Indexación Financiero]],0)</f>
        <v>0</v>
      </c>
      <c r="AA31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11" s="701">
        <f>IFERROR(INDEX(Produccion_Agricola_Cuentas[],MATCH(Producción_Agricola[[#This Row],[Cuenta Contable]],Produccion_Agricola_Cuentas[Cuenta Contable],0),2),0)</f>
        <v>0</v>
      </c>
      <c r="AC311" s="702">
        <f>IFERROR(INDEX(Tabla9[],MATCH(Producción_Agricola[[#This Row],[Movimiento]],Tabla9[Movimientos],0),2),0)</f>
        <v>0</v>
      </c>
      <c r="AD311" s="703">
        <f>IFERROR(INDEX(Tabla9[],MATCH(Producción_Agricola[[#This Row],[Movimiento]],Tabla9[Movimientos],0),3),0)</f>
        <v>0</v>
      </c>
      <c r="AE311" s="698">
        <f>IF(Producción_Agricola[[#This Row],[Fecha Económico]]=0,0,MONTH(Producción_Agricola[[#This Row],[Fecha Económico]]))</f>
        <v>0</v>
      </c>
      <c r="AF311" s="699">
        <f>IF(Producción_Agricola[[#This Row],[Fecha Económico]]=0,0,YEAR(Producción_Agricola[[#This Row],[Fecha Económico]]))</f>
        <v>0</v>
      </c>
      <c r="AG311" s="704">
        <f>SUMPRODUCT((Producción_Agricola[[#This Row],[Mes Económico]]=Tipo_Cambio[Mes])*(Producción_Agricola[[#This Row],[Año Económico]]=Tipo_Cambio[Año])*(Tipo_Cambio[$/U$S]))</f>
        <v>0</v>
      </c>
      <c r="AH311" s="703">
        <f>SUMPRODUCT((Producción_Agricola[[#This Row],[Mes Económico]]=Tipo_Cambio[Mes])*(Producción_Agricola[[#This Row],[Año Económico]]=Tipo_Cambio[Año])*(Tipo_Cambio[Actualización]))</f>
        <v>0</v>
      </c>
      <c r="AI311" s="699">
        <f>IF(ISNUMBER(Producción_Agricola[[#This Row],[Fecha Financiero]])=TRUE,MONTH(Producción_Agricola[[#This Row],[Fecha Financiero]]),0)</f>
        <v>0</v>
      </c>
      <c r="AJ311" s="699">
        <f>IF(ISNUMBER(Producción_Agricola[[#This Row],[Fecha Financiero]])=TRUE,YEAR(Producción_Agricola[[#This Row],[Fecha Financiero]]),0)</f>
        <v>0</v>
      </c>
      <c r="AK311" s="704">
        <f>SUMPRODUCT((Producción_Agricola[[#This Row],[Mes Financiero]]=Tipo_Cambio[Mes])*(Producción_Agricola[[#This Row],[Año Financiero]]=Tipo_Cambio[Año])*(Tipo_Cambio[$/U$S]))</f>
        <v>0</v>
      </c>
      <c r="AL311" s="704">
        <f>SUMPRODUCT((Producción_Agricola[[#This Row],[Mes Financiero]]=Tipo_Cambio[Mes])*(Producción_Agricola[[#This Row],[Año Financiero]]=Tipo_Cambio[Año])*(Tipo_Cambio[Actualización]))</f>
        <v>0</v>
      </c>
      <c r="AM311" s="709">
        <f>IFERROR(Producción_Agricola[[#This Row],[Económico $Corrientes]]/Producción_Agricola[[#This Row],[Superficie]],0)</f>
        <v>0</v>
      </c>
      <c r="AN311" s="712">
        <f>IFERROR(Producción_Agricola[[#This Row],[Económico $Constantes]]/Producción_Agricola[[#This Row],[Superficie]],0)</f>
        <v>0</v>
      </c>
      <c r="AO311" s="712">
        <f>IFERROR(Producción_Agricola[[#This Row],[Económico U$S Dólares]]/Producción_Agricola[[#This Row],[Superficie]],0)</f>
        <v>0</v>
      </c>
      <c r="AP311" s="711">
        <f>IF(Económico!$F$4=0,0,Producción_Agricola[[#This Row],[Centro de Costo]])</f>
        <v>0</v>
      </c>
      <c r="AQ311" s="512"/>
      <c r="AR311" s="513"/>
      <c r="AS311"/>
    </row>
    <row r="312" spans="1:45" x14ac:dyDescent="0.25">
      <c r="A312" s="509"/>
      <c r="B312" s="494"/>
      <c r="C312" s="509"/>
      <c r="D312" s="478"/>
      <c r="E312" s="478"/>
      <c r="F312" s="668">
        <f t="shared" si="53"/>
        <v>0</v>
      </c>
      <c r="G312" s="673">
        <f t="shared" si="54"/>
        <v>0</v>
      </c>
      <c r="H312" s="673">
        <f t="shared" si="55"/>
        <v>0</v>
      </c>
      <c r="I312" s="675">
        <f>IFERROR(INDEX(Tabla8[],MATCH(Producción_Agricola[[#This Row],[Unidad de Negocio]],Tabla8[Unidades de Negocio],0),2),0)</f>
        <v>0</v>
      </c>
      <c r="J31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12" s="488"/>
      <c r="L312" s="482"/>
      <c r="M312" s="483"/>
      <c r="N312" s="484"/>
      <c r="O312" s="690">
        <f>Producción_Agricola[[#This Row],[Superficie]]*Producción_Agricola[[#This Row],[Cantidad]]</f>
        <v>0</v>
      </c>
      <c r="P312" s="482"/>
      <c r="Q312" s="484"/>
      <c r="R312" s="485"/>
      <c r="S31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12" s="695">
        <f>IFERROR(Producción_Agricola[[#This Row],[Económico $Corrientes]]/Producción_Agricola[[#This Row],[Indexación Económico]],0)</f>
        <v>0</v>
      </c>
      <c r="U31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1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12" s="695">
        <f>IFERROR(Producción_Agricola[[#This Row],[Financiero $Corrientes]]/Producción_Agricola[[#This Row],[Indexación Financiero]],0)</f>
        <v>0</v>
      </c>
      <c r="X31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1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12" s="699">
        <f>IFERROR(Producción_Agricola[[#This Row],[Intereses $Corrientes]]/Producción_Agricola[[#This Row],[Indexación Financiero]],0)</f>
        <v>0</v>
      </c>
      <c r="AA31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12" s="701">
        <f>IFERROR(INDEX(Produccion_Agricola_Cuentas[],MATCH(Producción_Agricola[[#This Row],[Cuenta Contable]],Produccion_Agricola_Cuentas[Cuenta Contable],0),2),0)</f>
        <v>0</v>
      </c>
      <c r="AC312" s="702">
        <f>IFERROR(INDEX(Tabla9[],MATCH(Producción_Agricola[[#This Row],[Movimiento]],Tabla9[Movimientos],0),2),0)</f>
        <v>0</v>
      </c>
      <c r="AD312" s="703">
        <f>IFERROR(INDEX(Tabla9[],MATCH(Producción_Agricola[[#This Row],[Movimiento]],Tabla9[Movimientos],0),3),0)</f>
        <v>0</v>
      </c>
      <c r="AE312" s="698">
        <f>IF(Producción_Agricola[[#This Row],[Fecha Económico]]=0,0,MONTH(Producción_Agricola[[#This Row],[Fecha Económico]]))</f>
        <v>0</v>
      </c>
      <c r="AF312" s="699">
        <f>IF(Producción_Agricola[[#This Row],[Fecha Económico]]=0,0,YEAR(Producción_Agricola[[#This Row],[Fecha Económico]]))</f>
        <v>0</v>
      </c>
      <c r="AG312" s="704">
        <f>SUMPRODUCT((Producción_Agricola[[#This Row],[Mes Económico]]=Tipo_Cambio[Mes])*(Producción_Agricola[[#This Row],[Año Económico]]=Tipo_Cambio[Año])*(Tipo_Cambio[$/U$S]))</f>
        <v>0</v>
      </c>
      <c r="AH312" s="703">
        <f>SUMPRODUCT((Producción_Agricola[[#This Row],[Mes Económico]]=Tipo_Cambio[Mes])*(Producción_Agricola[[#This Row],[Año Económico]]=Tipo_Cambio[Año])*(Tipo_Cambio[Actualización]))</f>
        <v>0</v>
      </c>
      <c r="AI312" s="699">
        <f>IF(ISNUMBER(Producción_Agricola[[#This Row],[Fecha Financiero]])=TRUE,MONTH(Producción_Agricola[[#This Row],[Fecha Financiero]]),0)</f>
        <v>0</v>
      </c>
      <c r="AJ312" s="699">
        <f>IF(ISNUMBER(Producción_Agricola[[#This Row],[Fecha Financiero]])=TRUE,YEAR(Producción_Agricola[[#This Row],[Fecha Financiero]]),0)</f>
        <v>0</v>
      </c>
      <c r="AK312" s="704">
        <f>SUMPRODUCT((Producción_Agricola[[#This Row],[Mes Financiero]]=Tipo_Cambio[Mes])*(Producción_Agricola[[#This Row],[Año Financiero]]=Tipo_Cambio[Año])*(Tipo_Cambio[$/U$S]))</f>
        <v>0</v>
      </c>
      <c r="AL312" s="704">
        <f>SUMPRODUCT((Producción_Agricola[[#This Row],[Mes Financiero]]=Tipo_Cambio[Mes])*(Producción_Agricola[[#This Row],[Año Financiero]]=Tipo_Cambio[Año])*(Tipo_Cambio[Actualización]))</f>
        <v>0</v>
      </c>
      <c r="AM312" s="709">
        <f>IFERROR(Producción_Agricola[[#This Row],[Económico $Corrientes]]/Producción_Agricola[[#This Row],[Superficie]],0)</f>
        <v>0</v>
      </c>
      <c r="AN312" s="712">
        <f>IFERROR(Producción_Agricola[[#This Row],[Económico $Constantes]]/Producción_Agricola[[#This Row],[Superficie]],0)</f>
        <v>0</v>
      </c>
      <c r="AO312" s="712">
        <f>IFERROR(Producción_Agricola[[#This Row],[Económico U$S Dólares]]/Producción_Agricola[[#This Row],[Superficie]],0)</f>
        <v>0</v>
      </c>
      <c r="AP312" s="711">
        <f>IF(Económico!$F$4=0,0,Producción_Agricola[[#This Row],[Centro de Costo]])</f>
        <v>0</v>
      </c>
      <c r="AQ312" s="512"/>
      <c r="AR312" s="513"/>
      <c r="AS312"/>
    </row>
    <row r="313" spans="1:45" x14ac:dyDescent="0.25">
      <c r="A313" s="509"/>
      <c r="B313" s="494"/>
      <c r="C313" s="509"/>
      <c r="D313" s="478"/>
      <c r="E313" s="478"/>
      <c r="F313" s="668">
        <f t="shared" si="53"/>
        <v>0</v>
      </c>
      <c r="G313" s="673">
        <f t="shared" si="54"/>
        <v>0</v>
      </c>
      <c r="H313" s="673">
        <f t="shared" si="55"/>
        <v>0</v>
      </c>
      <c r="I313" s="675">
        <f>IFERROR(INDEX(Tabla8[],MATCH(Producción_Agricola[[#This Row],[Unidad de Negocio]],Tabla8[Unidades de Negocio],0),2),0)</f>
        <v>0</v>
      </c>
      <c r="J31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13" s="488"/>
      <c r="L313" s="482"/>
      <c r="M313" s="483"/>
      <c r="N313" s="484"/>
      <c r="O313" s="690">
        <f>Producción_Agricola[[#This Row],[Superficie]]*Producción_Agricola[[#This Row],[Cantidad]]</f>
        <v>0</v>
      </c>
      <c r="P313" s="482"/>
      <c r="Q313" s="484"/>
      <c r="R313" s="485"/>
      <c r="S31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13" s="695">
        <f>IFERROR(Producción_Agricola[[#This Row],[Económico $Corrientes]]/Producción_Agricola[[#This Row],[Indexación Económico]],0)</f>
        <v>0</v>
      </c>
      <c r="U31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1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13" s="695">
        <f>IFERROR(Producción_Agricola[[#This Row],[Financiero $Corrientes]]/Producción_Agricola[[#This Row],[Indexación Financiero]],0)</f>
        <v>0</v>
      </c>
      <c r="X31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1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13" s="699">
        <f>IFERROR(Producción_Agricola[[#This Row],[Intereses $Corrientes]]/Producción_Agricola[[#This Row],[Indexación Financiero]],0)</f>
        <v>0</v>
      </c>
      <c r="AA31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13" s="701">
        <f>IFERROR(INDEX(Produccion_Agricola_Cuentas[],MATCH(Producción_Agricola[[#This Row],[Cuenta Contable]],Produccion_Agricola_Cuentas[Cuenta Contable],0),2),0)</f>
        <v>0</v>
      </c>
      <c r="AC313" s="702">
        <f>IFERROR(INDEX(Tabla9[],MATCH(Producción_Agricola[[#This Row],[Movimiento]],Tabla9[Movimientos],0),2),0)</f>
        <v>0</v>
      </c>
      <c r="AD313" s="703">
        <f>IFERROR(INDEX(Tabla9[],MATCH(Producción_Agricola[[#This Row],[Movimiento]],Tabla9[Movimientos],0),3),0)</f>
        <v>0</v>
      </c>
      <c r="AE313" s="698">
        <f>IF(Producción_Agricola[[#This Row],[Fecha Económico]]=0,0,MONTH(Producción_Agricola[[#This Row],[Fecha Económico]]))</f>
        <v>0</v>
      </c>
      <c r="AF313" s="699">
        <f>IF(Producción_Agricola[[#This Row],[Fecha Económico]]=0,0,YEAR(Producción_Agricola[[#This Row],[Fecha Económico]]))</f>
        <v>0</v>
      </c>
      <c r="AG313" s="704">
        <f>SUMPRODUCT((Producción_Agricola[[#This Row],[Mes Económico]]=Tipo_Cambio[Mes])*(Producción_Agricola[[#This Row],[Año Económico]]=Tipo_Cambio[Año])*(Tipo_Cambio[$/U$S]))</f>
        <v>0</v>
      </c>
      <c r="AH313" s="703">
        <f>SUMPRODUCT((Producción_Agricola[[#This Row],[Mes Económico]]=Tipo_Cambio[Mes])*(Producción_Agricola[[#This Row],[Año Económico]]=Tipo_Cambio[Año])*(Tipo_Cambio[Actualización]))</f>
        <v>0</v>
      </c>
      <c r="AI313" s="699">
        <f>IF(ISNUMBER(Producción_Agricola[[#This Row],[Fecha Financiero]])=TRUE,MONTH(Producción_Agricola[[#This Row],[Fecha Financiero]]),0)</f>
        <v>0</v>
      </c>
      <c r="AJ313" s="699">
        <f>IF(ISNUMBER(Producción_Agricola[[#This Row],[Fecha Financiero]])=TRUE,YEAR(Producción_Agricola[[#This Row],[Fecha Financiero]]),0)</f>
        <v>0</v>
      </c>
      <c r="AK313" s="704">
        <f>SUMPRODUCT((Producción_Agricola[[#This Row],[Mes Financiero]]=Tipo_Cambio[Mes])*(Producción_Agricola[[#This Row],[Año Financiero]]=Tipo_Cambio[Año])*(Tipo_Cambio[$/U$S]))</f>
        <v>0</v>
      </c>
      <c r="AL313" s="704">
        <f>SUMPRODUCT((Producción_Agricola[[#This Row],[Mes Financiero]]=Tipo_Cambio[Mes])*(Producción_Agricola[[#This Row],[Año Financiero]]=Tipo_Cambio[Año])*(Tipo_Cambio[Actualización]))</f>
        <v>0</v>
      </c>
      <c r="AM313" s="709">
        <f>IFERROR(Producción_Agricola[[#This Row],[Económico $Corrientes]]/Producción_Agricola[[#This Row],[Superficie]],0)</f>
        <v>0</v>
      </c>
      <c r="AN313" s="712">
        <f>IFERROR(Producción_Agricola[[#This Row],[Económico $Constantes]]/Producción_Agricola[[#This Row],[Superficie]],0)</f>
        <v>0</v>
      </c>
      <c r="AO313" s="712">
        <f>IFERROR(Producción_Agricola[[#This Row],[Económico U$S Dólares]]/Producción_Agricola[[#This Row],[Superficie]],0)</f>
        <v>0</v>
      </c>
      <c r="AP313" s="711">
        <f>IF(Económico!$F$4=0,0,Producción_Agricola[[#This Row],[Centro de Costo]])</f>
        <v>0</v>
      </c>
      <c r="AQ313" s="512"/>
      <c r="AR313" s="513"/>
      <c r="AS313"/>
    </row>
    <row r="314" spans="1:45" x14ac:dyDescent="0.25">
      <c r="A314" s="509"/>
      <c r="B314" s="494"/>
      <c r="C314" s="509"/>
      <c r="D314" s="478"/>
      <c r="E314" s="478"/>
      <c r="F314" s="668">
        <f t="shared" si="53"/>
        <v>0</v>
      </c>
      <c r="G314" s="673">
        <f t="shared" si="54"/>
        <v>0</v>
      </c>
      <c r="H314" s="673">
        <f t="shared" si="55"/>
        <v>0</v>
      </c>
      <c r="I314" s="675">
        <f>IFERROR(INDEX(Tabla8[],MATCH(Producción_Agricola[[#This Row],[Unidad de Negocio]],Tabla8[Unidades de Negocio],0),2),0)</f>
        <v>0</v>
      </c>
      <c r="J31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14" s="488"/>
      <c r="L314" s="482"/>
      <c r="M314" s="483"/>
      <c r="N314" s="484"/>
      <c r="O314" s="690">
        <f>Producción_Agricola[[#This Row],[Superficie]]*Producción_Agricola[[#This Row],[Cantidad]]</f>
        <v>0</v>
      </c>
      <c r="P314" s="482"/>
      <c r="Q314" s="484"/>
      <c r="R314" s="485"/>
      <c r="S31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14" s="695">
        <f>IFERROR(Producción_Agricola[[#This Row],[Económico $Corrientes]]/Producción_Agricola[[#This Row],[Indexación Económico]],0)</f>
        <v>0</v>
      </c>
      <c r="U31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1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14" s="695">
        <f>IFERROR(Producción_Agricola[[#This Row],[Financiero $Corrientes]]/Producción_Agricola[[#This Row],[Indexación Financiero]],0)</f>
        <v>0</v>
      </c>
      <c r="X31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1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14" s="699">
        <f>IFERROR(Producción_Agricola[[#This Row],[Intereses $Corrientes]]/Producción_Agricola[[#This Row],[Indexación Financiero]],0)</f>
        <v>0</v>
      </c>
      <c r="AA31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14" s="701">
        <f>IFERROR(INDEX(Produccion_Agricola_Cuentas[],MATCH(Producción_Agricola[[#This Row],[Cuenta Contable]],Produccion_Agricola_Cuentas[Cuenta Contable],0),2),0)</f>
        <v>0</v>
      </c>
      <c r="AC314" s="702">
        <f>IFERROR(INDEX(Tabla9[],MATCH(Producción_Agricola[[#This Row],[Movimiento]],Tabla9[Movimientos],0),2),0)</f>
        <v>0</v>
      </c>
      <c r="AD314" s="703">
        <f>IFERROR(INDEX(Tabla9[],MATCH(Producción_Agricola[[#This Row],[Movimiento]],Tabla9[Movimientos],0),3),0)</f>
        <v>0</v>
      </c>
      <c r="AE314" s="698">
        <f>IF(Producción_Agricola[[#This Row],[Fecha Económico]]=0,0,MONTH(Producción_Agricola[[#This Row],[Fecha Económico]]))</f>
        <v>0</v>
      </c>
      <c r="AF314" s="699">
        <f>IF(Producción_Agricola[[#This Row],[Fecha Económico]]=0,0,YEAR(Producción_Agricola[[#This Row],[Fecha Económico]]))</f>
        <v>0</v>
      </c>
      <c r="AG314" s="704">
        <f>SUMPRODUCT((Producción_Agricola[[#This Row],[Mes Económico]]=Tipo_Cambio[Mes])*(Producción_Agricola[[#This Row],[Año Económico]]=Tipo_Cambio[Año])*(Tipo_Cambio[$/U$S]))</f>
        <v>0</v>
      </c>
      <c r="AH314" s="703">
        <f>SUMPRODUCT((Producción_Agricola[[#This Row],[Mes Económico]]=Tipo_Cambio[Mes])*(Producción_Agricola[[#This Row],[Año Económico]]=Tipo_Cambio[Año])*(Tipo_Cambio[Actualización]))</f>
        <v>0</v>
      </c>
      <c r="AI314" s="699">
        <f>IF(ISNUMBER(Producción_Agricola[[#This Row],[Fecha Financiero]])=TRUE,MONTH(Producción_Agricola[[#This Row],[Fecha Financiero]]),0)</f>
        <v>0</v>
      </c>
      <c r="AJ314" s="699">
        <f>IF(ISNUMBER(Producción_Agricola[[#This Row],[Fecha Financiero]])=TRUE,YEAR(Producción_Agricola[[#This Row],[Fecha Financiero]]),0)</f>
        <v>0</v>
      </c>
      <c r="AK314" s="704">
        <f>SUMPRODUCT((Producción_Agricola[[#This Row],[Mes Financiero]]=Tipo_Cambio[Mes])*(Producción_Agricola[[#This Row],[Año Financiero]]=Tipo_Cambio[Año])*(Tipo_Cambio[$/U$S]))</f>
        <v>0</v>
      </c>
      <c r="AL314" s="704">
        <f>SUMPRODUCT((Producción_Agricola[[#This Row],[Mes Financiero]]=Tipo_Cambio[Mes])*(Producción_Agricola[[#This Row],[Año Financiero]]=Tipo_Cambio[Año])*(Tipo_Cambio[Actualización]))</f>
        <v>0</v>
      </c>
      <c r="AM314" s="709">
        <f>IFERROR(Producción_Agricola[[#This Row],[Económico $Corrientes]]/Producción_Agricola[[#This Row],[Superficie]],0)</f>
        <v>0</v>
      </c>
      <c r="AN314" s="712">
        <f>IFERROR(Producción_Agricola[[#This Row],[Económico $Constantes]]/Producción_Agricola[[#This Row],[Superficie]],0)</f>
        <v>0</v>
      </c>
      <c r="AO314" s="712">
        <f>IFERROR(Producción_Agricola[[#This Row],[Económico U$S Dólares]]/Producción_Agricola[[#This Row],[Superficie]],0)</f>
        <v>0</v>
      </c>
      <c r="AP314" s="711">
        <f>IF(Económico!$F$4=0,0,Producción_Agricola[[#This Row],[Centro de Costo]])</f>
        <v>0</v>
      </c>
      <c r="AQ314" s="512"/>
      <c r="AR314" s="513"/>
      <c r="AS314"/>
    </row>
    <row r="315" spans="1:45" x14ac:dyDescent="0.25">
      <c r="A315" s="509"/>
      <c r="B315" s="494"/>
      <c r="C315" s="509"/>
      <c r="D315" s="478"/>
      <c r="E315" s="478"/>
      <c r="F315" s="668">
        <f t="shared" si="53"/>
        <v>0</v>
      </c>
      <c r="G315" s="673">
        <f t="shared" si="54"/>
        <v>0</v>
      </c>
      <c r="H315" s="673">
        <f t="shared" si="55"/>
        <v>0</v>
      </c>
      <c r="I315" s="675">
        <f>IFERROR(INDEX(Tabla8[],MATCH(Producción_Agricola[[#This Row],[Unidad de Negocio]],Tabla8[Unidades de Negocio],0),2),0)</f>
        <v>0</v>
      </c>
      <c r="J31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15" s="488"/>
      <c r="L315" s="482"/>
      <c r="M315" s="483"/>
      <c r="N315" s="484"/>
      <c r="O315" s="690">
        <f>Producción_Agricola[[#This Row],[Superficie]]*Producción_Agricola[[#This Row],[Cantidad]]</f>
        <v>0</v>
      </c>
      <c r="P315" s="482"/>
      <c r="Q315" s="484"/>
      <c r="R315" s="485"/>
      <c r="S31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15" s="695">
        <f>IFERROR(Producción_Agricola[[#This Row],[Económico $Corrientes]]/Producción_Agricola[[#This Row],[Indexación Económico]],0)</f>
        <v>0</v>
      </c>
      <c r="U31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1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15" s="695">
        <f>IFERROR(Producción_Agricola[[#This Row],[Financiero $Corrientes]]/Producción_Agricola[[#This Row],[Indexación Financiero]],0)</f>
        <v>0</v>
      </c>
      <c r="X31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1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15" s="699">
        <f>IFERROR(Producción_Agricola[[#This Row],[Intereses $Corrientes]]/Producción_Agricola[[#This Row],[Indexación Financiero]],0)</f>
        <v>0</v>
      </c>
      <c r="AA31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15" s="701">
        <f>IFERROR(INDEX(Produccion_Agricola_Cuentas[],MATCH(Producción_Agricola[[#This Row],[Cuenta Contable]],Produccion_Agricola_Cuentas[Cuenta Contable],0),2),0)</f>
        <v>0</v>
      </c>
      <c r="AC315" s="702">
        <f>IFERROR(INDEX(Tabla9[],MATCH(Producción_Agricola[[#This Row],[Movimiento]],Tabla9[Movimientos],0),2),0)</f>
        <v>0</v>
      </c>
      <c r="AD315" s="703">
        <f>IFERROR(INDEX(Tabla9[],MATCH(Producción_Agricola[[#This Row],[Movimiento]],Tabla9[Movimientos],0),3),0)</f>
        <v>0</v>
      </c>
      <c r="AE315" s="698">
        <f>IF(Producción_Agricola[[#This Row],[Fecha Económico]]=0,0,MONTH(Producción_Agricola[[#This Row],[Fecha Económico]]))</f>
        <v>0</v>
      </c>
      <c r="AF315" s="699">
        <f>IF(Producción_Agricola[[#This Row],[Fecha Económico]]=0,0,YEAR(Producción_Agricola[[#This Row],[Fecha Económico]]))</f>
        <v>0</v>
      </c>
      <c r="AG315" s="704">
        <f>SUMPRODUCT((Producción_Agricola[[#This Row],[Mes Económico]]=Tipo_Cambio[Mes])*(Producción_Agricola[[#This Row],[Año Económico]]=Tipo_Cambio[Año])*(Tipo_Cambio[$/U$S]))</f>
        <v>0</v>
      </c>
      <c r="AH315" s="703">
        <f>SUMPRODUCT((Producción_Agricola[[#This Row],[Mes Económico]]=Tipo_Cambio[Mes])*(Producción_Agricola[[#This Row],[Año Económico]]=Tipo_Cambio[Año])*(Tipo_Cambio[Actualización]))</f>
        <v>0</v>
      </c>
      <c r="AI315" s="699">
        <f>IF(ISNUMBER(Producción_Agricola[[#This Row],[Fecha Financiero]])=TRUE,MONTH(Producción_Agricola[[#This Row],[Fecha Financiero]]),0)</f>
        <v>0</v>
      </c>
      <c r="AJ315" s="699">
        <f>IF(ISNUMBER(Producción_Agricola[[#This Row],[Fecha Financiero]])=TRUE,YEAR(Producción_Agricola[[#This Row],[Fecha Financiero]]),0)</f>
        <v>0</v>
      </c>
      <c r="AK315" s="704">
        <f>SUMPRODUCT((Producción_Agricola[[#This Row],[Mes Financiero]]=Tipo_Cambio[Mes])*(Producción_Agricola[[#This Row],[Año Financiero]]=Tipo_Cambio[Año])*(Tipo_Cambio[$/U$S]))</f>
        <v>0</v>
      </c>
      <c r="AL315" s="704">
        <f>SUMPRODUCT((Producción_Agricola[[#This Row],[Mes Financiero]]=Tipo_Cambio[Mes])*(Producción_Agricola[[#This Row],[Año Financiero]]=Tipo_Cambio[Año])*(Tipo_Cambio[Actualización]))</f>
        <v>0</v>
      </c>
      <c r="AM315" s="709">
        <f>IFERROR(Producción_Agricola[[#This Row],[Económico $Corrientes]]/Producción_Agricola[[#This Row],[Superficie]],0)</f>
        <v>0</v>
      </c>
      <c r="AN315" s="712">
        <f>IFERROR(Producción_Agricola[[#This Row],[Económico $Constantes]]/Producción_Agricola[[#This Row],[Superficie]],0)</f>
        <v>0</v>
      </c>
      <c r="AO315" s="712">
        <f>IFERROR(Producción_Agricola[[#This Row],[Económico U$S Dólares]]/Producción_Agricola[[#This Row],[Superficie]],0)</f>
        <v>0</v>
      </c>
      <c r="AP315" s="711">
        <f>IF(Económico!$F$4=0,0,Producción_Agricola[[#This Row],[Centro de Costo]])</f>
        <v>0</v>
      </c>
      <c r="AQ315" s="512"/>
      <c r="AR315" s="513"/>
      <c r="AS315"/>
    </row>
    <row r="316" spans="1:45" x14ac:dyDescent="0.25">
      <c r="A316" s="509"/>
      <c r="B316" s="494"/>
      <c r="C316" s="509"/>
      <c r="D316" s="478"/>
      <c r="E316" s="478"/>
      <c r="F316" s="668">
        <f t="shared" si="53"/>
        <v>0</v>
      </c>
      <c r="G316" s="673">
        <f t="shared" si="54"/>
        <v>0</v>
      </c>
      <c r="H316" s="673">
        <f t="shared" si="55"/>
        <v>0</v>
      </c>
      <c r="I316" s="675">
        <f>IFERROR(INDEX(Tabla8[],MATCH(Producción_Agricola[[#This Row],[Unidad de Negocio]],Tabla8[Unidades de Negocio],0),2),0)</f>
        <v>0</v>
      </c>
      <c r="J31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16" s="488"/>
      <c r="L316" s="482"/>
      <c r="M316" s="483"/>
      <c r="N316" s="484"/>
      <c r="O316" s="690">
        <f>Producción_Agricola[[#This Row],[Superficie]]*Producción_Agricola[[#This Row],[Cantidad]]</f>
        <v>0</v>
      </c>
      <c r="P316" s="482"/>
      <c r="Q316" s="484"/>
      <c r="R316" s="485"/>
      <c r="S31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16" s="695">
        <f>IFERROR(Producción_Agricola[[#This Row],[Económico $Corrientes]]/Producción_Agricola[[#This Row],[Indexación Económico]],0)</f>
        <v>0</v>
      </c>
      <c r="U31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1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16" s="695">
        <f>IFERROR(Producción_Agricola[[#This Row],[Financiero $Corrientes]]/Producción_Agricola[[#This Row],[Indexación Financiero]],0)</f>
        <v>0</v>
      </c>
      <c r="X31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1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16" s="699">
        <f>IFERROR(Producción_Agricola[[#This Row],[Intereses $Corrientes]]/Producción_Agricola[[#This Row],[Indexación Financiero]],0)</f>
        <v>0</v>
      </c>
      <c r="AA31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16" s="701">
        <f>IFERROR(INDEX(Produccion_Agricola_Cuentas[],MATCH(Producción_Agricola[[#This Row],[Cuenta Contable]],Produccion_Agricola_Cuentas[Cuenta Contable],0),2),0)</f>
        <v>0</v>
      </c>
      <c r="AC316" s="702">
        <f>IFERROR(INDEX(Tabla9[],MATCH(Producción_Agricola[[#This Row],[Movimiento]],Tabla9[Movimientos],0),2),0)</f>
        <v>0</v>
      </c>
      <c r="AD316" s="703">
        <f>IFERROR(INDEX(Tabla9[],MATCH(Producción_Agricola[[#This Row],[Movimiento]],Tabla9[Movimientos],0),3),0)</f>
        <v>0</v>
      </c>
      <c r="AE316" s="698">
        <f>IF(Producción_Agricola[[#This Row],[Fecha Económico]]=0,0,MONTH(Producción_Agricola[[#This Row],[Fecha Económico]]))</f>
        <v>0</v>
      </c>
      <c r="AF316" s="699">
        <f>IF(Producción_Agricola[[#This Row],[Fecha Económico]]=0,0,YEAR(Producción_Agricola[[#This Row],[Fecha Económico]]))</f>
        <v>0</v>
      </c>
      <c r="AG316" s="704">
        <f>SUMPRODUCT((Producción_Agricola[[#This Row],[Mes Económico]]=Tipo_Cambio[Mes])*(Producción_Agricola[[#This Row],[Año Económico]]=Tipo_Cambio[Año])*(Tipo_Cambio[$/U$S]))</f>
        <v>0</v>
      </c>
      <c r="AH316" s="703">
        <f>SUMPRODUCT((Producción_Agricola[[#This Row],[Mes Económico]]=Tipo_Cambio[Mes])*(Producción_Agricola[[#This Row],[Año Económico]]=Tipo_Cambio[Año])*(Tipo_Cambio[Actualización]))</f>
        <v>0</v>
      </c>
      <c r="AI316" s="699">
        <f>IF(ISNUMBER(Producción_Agricola[[#This Row],[Fecha Financiero]])=TRUE,MONTH(Producción_Agricola[[#This Row],[Fecha Financiero]]),0)</f>
        <v>0</v>
      </c>
      <c r="AJ316" s="699">
        <f>IF(ISNUMBER(Producción_Agricola[[#This Row],[Fecha Financiero]])=TRUE,YEAR(Producción_Agricola[[#This Row],[Fecha Financiero]]),0)</f>
        <v>0</v>
      </c>
      <c r="AK316" s="704">
        <f>SUMPRODUCT((Producción_Agricola[[#This Row],[Mes Financiero]]=Tipo_Cambio[Mes])*(Producción_Agricola[[#This Row],[Año Financiero]]=Tipo_Cambio[Año])*(Tipo_Cambio[$/U$S]))</f>
        <v>0</v>
      </c>
      <c r="AL316" s="704">
        <f>SUMPRODUCT((Producción_Agricola[[#This Row],[Mes Financiero]]=Tipo_Cambio[Mes])*(Producción_Agricola[[#This Row],[Año Financiero]]=Tipo_Cambio[Año])*(Tipo_Cambio[Actualización]))</f>
        <v>0</v>
      </c>
      <c r="AM316" s="709">
        <f>IFERROR(Producción_Agricola[[#This Row],[Económico $Corrientes]]/Producción_Agricola[[#This Row],[Superficie]],0)</f>
        <v>0</v>
      </c>
      <c r="AN316" s="712">
        <f>IFERROR(Producción_Agricola[[#This Row],[Económico $Constantes]]/Producción_Agricola[[#This Row],[Superficie]],0)</f>
        <v>0</v>
      </c>
      <c r="AO316" s="712">
        <f>IFERROR(Producción_Agricola[[#This Row],[Económico U$S Dólares]]/Producción_Agricola[[#This Row],[Superficie]],0)</f>
        <v>0</v>
      </c>
      <c r="AP316" s="711">
        <f>IF(Económico!$F$4=0,0,Producción_Agricola[[#This Row],[Centro de Costo]])</f>
        <v>0</v>
      </c>
      <c r="AQ316" s="512"/>
      <c r="AR316" s="513"/>
      <c r="AS316"/>
    </row>
    <row r="317" spans="1:45" x14ac:dyDescent="0.25">
      <c r="A317" s="509"/>
      <c r="B317" s="494"/>
      <c r="C317" s="509"/>
      <c r="D317" s="478"/>
      <c r="E317" s="478"/>
      <c r="F317" s="668">
        <f t="shared" si="53"/>
        <v>0</v>
      </c>
      <c r="G317" s="673">
        <f t="shared" si="54"/>
        <v>0</v>
      </c>
      <c r="H317" s="673">
        <f t="shared" si="55"/>
        <v>0</v>
      </c>
      <c r="I317" s="675">
        <f>IFERROR(INDEX(Tabla8[],MATCH(Producción_Agricola[[#This Row],[Unidad de Negocio]],Tabla8[Unidades de Negocio],0),2),0)</f>
        <v>0</v>
      </c>
      <c r="J31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17" s="488"/>
      <c r="L317" s="482"/>
      <c r="M317" s="483"/>
      <c r="N317" s="484"/>
      <c r="O317" s="690">
        <f>Producción_Agricola[[#This Row],[Superficie]]*Producción_Agricola[[#This Row],[Cantidad]]</f>
        <v>0</v>
      </c>
      <c r="P317" s="482"/>
      <c r="Q317" s="484"/>
      <c r="R317" s="485"/>
      <c r="S31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17" s="695">
        <f>IFERROR(Producción_Agricola[[#This Row],[Económico $Corrientes]]/Producción_Agricola[[#This Row],[Indexación Económico]],0)</f>
        <v>0</v>
      </c>
      <c r="U31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1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17" s="695">
        <f>IFERROR(Producción_Agricola[[#This Row],[Financiero $Corrientes]]/Producción_Agricola[[#This Row],[Indexación Financiero]],0)</f>
        <v>0</v>
      </c>
      <c r="X31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1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17" s="699">
        <f>IFERROR(Producción_Agricola[[#This Row],[Intereses $Corrientes]]/Producción_Agricola[[#This Row],[Indexación Financiero]],0)</f>
        <v>0</v>
      </c>
      <c r="AA31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17" s="701">
        <f>IFERROR(INDEX(Produccion_Agricola_Cuentas[],MATCH(Producción_Agricola[[#This Row],[Cuenta Contable]],Produccion_Agricola_Cuentas[Cuenta Contable],0),2),0)</f>
        <v>0</v>
      </c>
      <c r="AC317" s="702">
        <f>IFERROR(INDEX(Tabla9[],MATCH(Producción_Agricola[[#This Row],[Movimiento]],Tabla9[Movimientos],0),2),0)</f>
        <v>0</v>
      </c>
      <c r="AD317" s="703">
        <f>IFERROR(INDEX(Tabla9[],MATCH(Producción_Agricola[[#This Row],[Movimiento]],Tabla9[Movimientos],0),3),0)</f>
        <v>0</v>
      </c>
      <c r="AE317" s="698">
        <f>IF(Producción_Agricola[[#This Row],[Fecha Económico]]=0,0,MONTH(Producción_Agricola[[#This Row],[Fecha Económico]]))</f>
        <v>0</v>
      </c>
      <c r="AF317" s="699">
        <f>IF(Producción_Agricola[[#This Row],[Fecha Económico]]=0,0,YEAR(Producción_Agricola[[#This Row],[Fecha Económico]]))</f>
        <v>0</v>
      </c>
      <c r="AG317" s="704">
        <f>SUMPRODUCT((Producción_Agricola[[#This Row],[Mes Económico]]=Tipo_Cambio[Mes])*(Producción_Agricola[[#This Row],[Año Económico]]=Tipo_Cambio[Año])*(Tipo_Cambio[$/U$S]))</f>
        <v>0</v>
      </c>
      <c r="AH317" s="703">
        <f>SUMPRODUCT((Producción_Agricola[[#This Row],[Mes Económico]]=Tipo_Cambio[Mes])*(Producción_Agricola[[#This Row],[Año Económico]]=Tipo_Cambio[Año])*(Tipo_Cambio[Actualización]))</f>
        <v>0</v>
      </c>
      <c r="AI317" s="699">
        <f>IF(ISNUMBER(Producción_Agricola[[#This Row],[Fecha Financiero]])=TRUE,MONTH(Producción_Agricola[[#This Row],[Fecha Financiero]]),0)</f>
        <v>0</v>
      </c>
      <c r="AJ317" s="699">
        <f>IF(ISNUMBER(Producción_Agricola[[#This Row],[Fecha Financiero]])=TRUE,YEAR(Producción_Agricola[[#This Row],[Fecha Financiero]]),0)</f>
        <v>0</v>
      </c>
      <c r="AK317" s="704">
        <f>SUMPRODUCT((Producción_Agricola[[#This Row],[Mes Financiero]]=Tipo_Cambio[Mes])*(Producción_Agricola[[#This Row],[Año Financiero]]=Tipo_Cambio[Año])*(Tipo_Cambio[$/U$S]))</f>
        <v>0</v>
      </c>
      <c r="AL317" s="704">
        <f>SUMPRODUCT((Producción_Agricola[[#This Row],[Mes Financiero]]=Tipo_Cambio[Mes])*(Producción_Agricola[[#This Row],[Año Financiero]]=Tipo_Cambio[Año])*(Tipo_Cambio[Actualización]))</f>
        <v>0</v>
      </c>
      <c r="AM317" s="709">
        <f>IFERROR(Producción_Agricola[[#This Row],[Económico $Corrientes]]/Producción_Agricola[[#This Row],[Superficie]],0)</f>
        <v>0</v>
      </c>
      <c r="AN317" s="712">
        <f>IFERROR(Producción_Agricola[[#This Row],[Económico $Constantes]]/Producción_Agricola[[#This Row],[Superficie]],0)</f>
        <v>0</v>
      </c>
      <c r="AO317" s="712">
        <f>IFERROR(Producción_Agricola[[#This Row],[Económico U$S Dólares]]/Producción_Agricola[[#This Row],[Superficie]],0)</f>
        <v>0</v>
      </c>
      <c r="AP317" s="711">
        <f>IF(Económico!$F$4=0,0,Producción_Agricola[[#This Row],[Centro de Costo]])</f>
        <v>0</v>
      </c>
      <c r="AQ317" s="512"/>
      <c r="AR317" s="513"/>
      <c r="AS317"/>
    </row>
    <row r="318" spans="1:45" x14ac:dyDescent="0.25">
      <c r="A318" s="509"/>
      <c r="B318" s="494"/>
      <c r="C318" s="509"/>
      <c r="D318" s="478"/>
      <c r="E318" s="478"/>
      <c r="F318" s="668">
        <f t="shared" si="53"/>
        <v>0</v>
      </c>
      <c r="G318" s="673">
        <f t="shared" si="54"/>
        <v>0</v>
      </c>
      <c r="H318" s="673">
        <f t="shared" si="55"/>
        <v>0</v>
      </c>
      <c r="I318" s="675">
        <f>IFERROR(INDEX(Tabla8[],MATCH(Producción_Agricola[[#This Row],[Unidad de Negocio]],Tabla8[Unidades de Negocio],0),2),0)</f>
        <v>0</v>
      </c>
      <c r="J31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18" s="488"/>
      <c r="L318" s="482"/>
      <c r="M318" s="483"/>
      <c r="N318" s="484"/>
      <c r="O318" s="690">
        <f>Producción_Agricola[[#This Row],[Superficie]]*Producción_Agricola[[#This Row],[Cantidad]]</f>
        <v>0</v>
      </c>
      <c r="P318" s="482"/>
      <c r="Q318" s="484"/>
      <c r="R318" s="485"/>
      <c r="S31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18" s="695">
        <f>IFERROR(Producción_Agricola[[#This Row],[Económico $Corrientes]]/Producción_Agricola[[#This Row],[Indexación Económico]],0)</f>
        <v>0</v>
      </c>
      <c r="U31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1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18" s="695">
        <f>IFERROR(Producción_Agricola[[#This Row],[Financiero $Corrientes]]/Producción_Agricola[[#This Row],[Indexación Financiero]],0)</f>
        <v>0</v>
      </c>
      <c r="X31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1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18" s="699">
        <f>IFERROR(Producción_Agricola[[#This Row],[Intereses $Corrientes]]/Producción_Agricola[[#This Row],[Indexación Financiero]],0)</f>
        <v>0</v>
      </c>
      <c r="AA31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18" s="701">
        <f>IFERROR(INDEX(Produccion_Agricola_Cuentas[],MATCH(Producción_Agricola[[#This Row],[Cuenta Contable]],Produccion_Agricola_Cuentas[Cuenta Contable],0),2),0)</f>
        <v>0</v>
      </c>
      <c r="AC318" s="702">
        <f>IFERROR(INDEX(Tabla9[],MATCH(Producción_Agricola[[#This Row],[Movimiento]],Tabla9[Movimientos],0),2),0)</f>
        <v>0</v>
      </c>
      <c r="AD318" s="703">
        <f>IFERROR(INDEX(Tabla9[],MATCH(Producción_Agricola[[#This Row],[Movimiento]],Tabla9[Movimientos],0),3),0)</f>
        <v>0</v>
      </c>
      <c r="AE318" s="698">
        <f>IF(Producción_Agricola[[#This Row],[Fecha Económico]]=0,0,MONTH(Producción_Agricola[[#This Row],[Fecha Económico]]))</f>
        <v>0</v>
      </c>
      <c r="AF318" s="699">
        <f>IF(Producción_Agricola[[#This Row],[Fecha Económico]]=0,0,YEAR(Producción_Agricola[[#This Row],[Fecha Económico]]))</f>
        <v>0</v>
      </c>
      <c r="AG318" s="704">
        <f>SUMPRODUCT((Producción_Agricola[[#This Row],[Mes Económico]]=Tipo_Cambio[Mes])*(Producción_Agricola[[#This Row],[Año Económico]]=Tipo_Cambio[Año])*(Tipo_Cambio[$/U$S]))</f>
        <v>0</v>
      </c>
      <c r="AH318" s="703">
        <f>SUMPRODUCT((Producción_Agricola[[#This Row],[Mes Económico]]=Tipo_Cambio[Mes])*(Producción_Agricola[[#This Row],[Año Económico]]=Tipo_Cambio[Año])*(Tipo_Cambio[Actualización]))</f>
        <v>0</v>
      </c>
      <c r="AI318" s="699">
        <f>IF(ISNUMBER(Producción_Agricola[[#This Row],[Fecha Financiero]])=TRUE,MONTH(Producción_Agricola[[#This Row],[Fecha Financiero]]),0)</f>
        <v>0</v>
      </c>
      <c r="AJ318" s="699">
        <f>IF(ISNUMBER(Producción_Agricola[[#This Row],[Fecha Financiero]])=TRUE,YEAR(Producción_Agricola[[#This Row],[Fecha Financiero]]),0)</f>
        <v>0</v>
      </c>
      <c r="AK318" s="704">
        <f>SUMPRODUCT((Producción_Agricola[[#This Row],[Mes Financiero]]=Tipo_Cambio[Mes])*(Producción_Agricola[[#This Row],[Año Financiero]]=Tipo_Cambio[Año])*(Tipo_Cambio[$/U$S]))</f>
        <v>0</v>
      </c>
      <c r="AL318" s="704">
        <f>SUMPRODUCT((Producción_Agricola[[#This Row],[Mes Financiero]]=Tipo_Cambio[Mes])*(Producción_Agricola[[#This Row],[Año Financiero]]=Tipo_Cambio[Año])*(Tipo_Cambio[Actualización]))</f>
        <v>0</v>
      </c>
      <c r="AM318" s="709">
        <f>IFERROR(Producción_Agricola[[#This Row],[Económico $Corrientes]]/Producción_Agricola[[#This Row],[Superficie]],0)</f>
        <v>0</v>
      </c>
      <c r="AN318" s="712">
        <f>IFERROR(Producción_Agricola[[#This Row],[Económico $Constantes]]/Producción_Agricola[[#This Row],[Superficie]],0)</f>
        <v>0</v>
      </c>
      <c r="AO318" s="712">
        <f>IFERROR(Producción_Agricola[[#This Row],[Económico U$S Dólares]]/Producción_Agricola[[#This Row],[Superficie]],0)</f>
        <v>0</v>
      </c>
      <c r="AP318" s="711">
        <f>IF(Económico!$F$4=0,0,Producción_Agricola[[#This Row],[Centro de Costo]])</f>
        <v>0</v>
      </c>
      <c r="AQ318" s="512"/>
      <c r="AR318" s="513"/>
      <c r="AS318"/>
    </row>
    <row r="319" spans="1:45" x14ac:dyDescent="0.25">
      <c r="A319" s="509"/>
      <c r="B319" s="494"/>
      <c r="C319" s="509"/>
      <c r="D319" s="478"/>
      <c r="E319" s="478"/>
      <c r="F319" s="668">
        <f t="shared" si="53"/>
        <v>0</v>
      </c>
      <c r="G319" s="673">
        <f t="shared" si="54"/>
        <v>0</v>
      </c>
      <c r="H319" s="673">
        <f t="shared" si="55"/>
        <v>0</v>
      </c>
      <c r="I319" s="675">
        <f>IFERROR(INDEX(Tabla8[],MATCH(Producción_Agricola[[#This Row],[Unidad de Negocio]],Tabla8[Unidades de Negocio],0),2),0)</f>
        <v>0</v>
      </c>
      <c r="J31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19" s="488"/>
      <c r="L319" s="482"/>
      <c r="M319" s="483"/>
      <c r="N319" s="484"/>
      <c r="O319" s="690">
        <f>Producción_Agricola[[#This Row],[Superficie]]*Producción_Agricola[[#This Row],[Cantidad]]</f>
        <v>0</v>
      </c>
      <c r="P319" s="482"/>
      <c r="Q319" s="484"/>
      <c r="R319" s="485"/>
      <c r="S31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19" s="695">
        <f>IFERROR(Producción_Agricola[[#This Row],[Económico $Corrientes]]/Producción_Agricola[[#This Row],[Indexación Económico]],0)</f>
        <v>0</v>
      </c>
      <c r="U31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1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19" s="695">
        <f>IFERROR(Producción_Agricola[[#This Row],[Financiero $Corrientes]]/Producción_Agricola[[#This Row],[Indexación Financiero]],0)</f>
        <v>0</v>
      </c>
      <c r="X31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1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19" s="699">
        <f>IFERROR(Producción_Agricola[[#This Row],[Intereses $Corrientes]]/Producción_Agricola[[#This Row],[Indexación Financiero]],0)</f>
        <v>0</v>
      </c>
      <c r="AA31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19" s="701">
        <f>IFERROR(INDEX(Produccion_Agricola_Cuentas[],MATCH(Producción_Agricola[[#This Row],[Cuenta Contable]],Produccion_Agricola_Cuentas[Cuenta Contable],0),2),0)</f>
        <v>0</v>
      </c>
      <c r="AC319" s="702">
        <f>IFERROR(INDEX(Tabla9[],MATCH(Producción_Agricola[[#This Row],[Movimiento]],Tabla9[Movimientos],0),2),0)</f>
        <v>0</v>
      </c>
      <c r="AD319" s="703">
        <f>IFERROR(INDEX(Tabla9[],MATCH(Producción_Agricola[[#This Row],[Movimiento]],Tabla9[Movimientos],0),3),0)</f>
        <v>0</v>
      </c>
      <c r="AE319" s="698">
        <f>IF(Producción_Agricola[[#This Row],[Fecha Económico]]=0,0,MONTH(Producción_Agricola[[#This Row],[Fecha Económico]]))</f>
        <v>0</v>
      </c>
      <c r="AF319" s="699">
        <f>IF(Producción_Agricola[[#This Row],[Fecha Económico]]=0,0,YEAR(Producción_Agricola[[#This Row],[Fecha Económico]]))</f>
        <v>0</v>
      </c>
      <c r="AG319" s="704">
        <f>SUMPRODUCT((Producción_Agricola[[#This Row],[Mes Económico]]=Tipo_Cambio[Mes])*(Producción_Agricola[[#This Row],[Año Económico]]=Tipo_Cambio[Año])*(Tipo_Cambio[$/U$S]))</f>
        <v>0</v>
      </c>
      <c r="AH319" s="703">
        <f>SUMPRODUCT((Producción_Agricola[[#This Row],[Mes Económico]]=Tipo_Cambio[Mes])*(Producción_Agricola[[#This Row],[Año Económico]]=Tipo_Cambio[Año])*(Tipo_Cambio[Actualización]))</f>
        <v>0</v>
      </c>
      <c r="AI319" s="699">
        <f>IF(ISNUMBER(Producción_Agricola[[#This Row],[Fecha Financiero]])=TRUE,MONTH(Producción_Agricola[[#This Row],[Fecha Financiero]]),0)</f>
        <v>0</v>
      </c>
      <c r="AJ319" s="699">
        <f>IF(ISNUMBER(Producción_Agricola[[#This Row],[Fecha Financiero]])=TRUE,YEAR(Producción_Agricola[[#This Row],[Fecha Financiero]]),0)</f>
        <v>0</v>
      </c>
      <c r="AK319" s="704">
        <f>SUMPRODUCT((Producción_Agricola[[#This Row],[Mes Financiero]]=Tipo_Cambio[Mes])*(Producción_Agricola[[#This Row],[Año Financiero]]=Tipo_Cambio[Año])*(Tipo_Cambio[$/U$S]))</f>
        <v>0</v>
      </c>
      <c r="AL319" s="704">
        <f>SUMPRODUCT((Producción_Agricola[[#This Row],[Mes Financiero]]=Tipo_Cambio[Mes])*(Producción_Agricola[[#This Row],[Año Financiero]]=Tipo_Cambio[Año])*(Tipo_Cambio[Actualización]))</f>
        <v>0</v>
      </c>
      <c r="AM319" s="709">
        <f>IFERROR(Producción_Agricola[[#This Row],[Económico $Corrientes]]/Producción_Agricola[[#This Row],[Superficie]],0)</f>
        <v>0</v>
      </c>
      <c r="AN319" s="712">
        <f>IFERROR(Producción_Agricola[[#This Row],[Económico $Constantes]]/Producción_Agricola[[#This Row],[Superficie]],0)</f>
        <v>0</v>
      </c>
      <c r="AO319" s="712">
        <f>IFERROR(Producción_Agricola[[#This Row],[Económico U$S Dólares]]/Producción_Agricola[[#This Row],[Superficie]],0)</f>
        <v>0</v>
      </c>
      <c r="AP319" s="711">
        <f>IF(Económico!$F$4=0,0,Producción_Agricola[[#This Row],[Centro de Costo]])</f>
        <v>0</v>
      </c>
      <c r="AQ319" s="512"/>
      <c r="AR319" s="513"/>
      <c r="AS319"/>
    </row>
    <row r="320" spans="1:45" x14ac:dyDescent="0.25">
      <c r="A320" s="509"/>
      <c r="B320" s="494"/>
      <c r="C320" s="509"/>
      <c r="D320" s="478"/>
      <c r="E320" s="478"/>
      <c r="F320" s="668">
        <f t="shared" si="53"/>
        <v>0</v>
      </c>
      <c r="G320" s="673">
        <f t="shared" si="54"/>
        <v>0</v>
      </c>
      <c r="H320" s="673">
        <f t="shared" si="55"/>
        <v>0</v>
      </c>
      <c r="I320" s="675">
        <f>IFERROR(INDEX(Tabla8[],MATCH(Producción_Agricola[[#This Row],[Unidad de Negocio]],Tabla8[Unidades de Negocio],0),2),0)</f>
        <v>0</v>
      </c>
      <c r="J32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20" s="488"/>
      <c r="L320" s="482"/>
      <c r="M320" s="483"/>
      <c r="N320" s="484"/>
      <c r="O320" s="690">
        <f>Producción_Agricola[[#This Row],[Superficie]]*Producción_Agricola[[#This Row],[Cantidad]]</f>
        <v>0</v>
      </c>
      <c r="P320" s="482"/>
      <c r="Q320" s="484"/>
      <c r="R320" s="485"/>
      <c r="S32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20" s="695">
        <f>IFERROR(Producción_Agricola[[#This Row],[Económico $Corrientes]]/Producción_Agricola[[#This Row],[Indexación Económico]],0)</f>
        <v>0</v>
      </c>
      <c r="U32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2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20" s="695">
        <f>IFERROR(Producción_Agricola[[#This Row],[Financiero $Corrientes]]/Producción_Agricola[[#This Row],[Indexación Financiero]],0)</f>
        <v>0</v>
      </c>
      <c r="X32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2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20" s="699">
        <f>IFERROR(Producción_Agricola[[#This Row],[Intereses $Corrientes]]/Producción_Agricola[[#This Row],[Indexación Financiero]],0)</f>
        <v>0</v>
      </c>
      <c r="AA32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20" s="701">
        <f>IFERROR(INDEX(Produccion_Agricola_Cuentas[],MATCH(Producción_Agricola[[#This Row],[Cuenta Contable]],Produccion_Agricola_Cuentas[Cuenta Contable],0),2),0)</f>
        <v>0</v>
      </c>
      <c r="AC320" s="702">
        <f>IFERROR(INDEX(Tabla9[],MATCH(Producción_Agricola[[#This Row],[Movimiento]],Tabla9[Movimientos],0),2),0)</f>
        <v>0</v>
      </c>
      <c r="AD320" s="703">
        <f>IFERROR(INDEX(Tabla9[],MATCH(Producción_Agricola[[#This Row],[Movimiento]],Tabla9[Movimientos],0),3),0)</f>
        <v>0</v>
      </c>
      <c r="AE320" s="698">
        <f>IF(Producción_Agricola[[#This Row],[Fecha Económico]]=0,0,MONTH(Producción_Agricola[[#This Row],[Fecha Económico]]))</f>
        <v>0</v>
      </c>
      <c r="AF320" s="699">
        <f>IF(Producción_Agricola[[#This Row],[Fecha Económico]]=0,0,YEAR(Producción_Agricola[[#This Row],[Fecha Económico]]))</f>
        <v>0</v>
      </c>
      <c r="AG320" s="704">
        <f>SUMPRODUCT((Producción_Agricola[[#This Row],[Mes Económico]]=Tipo_Cambio[Mes])*(Producción_Agricola[[#This Row],[Año Económico]]=Tipo_Cambio[Año])*(Tipo_Cambio[$/U$S]))</f>
        <v>0</v>
      </c>
      <c r="AH320" s="703">
        <f>SUMPRODUCT((Producción_Agricola[[#This Row],[Mes Económico]]=Tipo_Cambio[Mes])*(Producción_Agricola[[#This Row],[Año Económico]]=Tipo_Cambio[Año])*(Tipo_Cambio[Actualización]))</f>
        <v>0</v>
      </c>
      <c r="AI320" s="699">
        <f>IF(ISNUMBER(Producción_Agricola[[#This Row],[Fecha Financiero]])=TRUE,MONTH(Producción_Agricola[[#This Row],[Fecha Financiero]]),0)</f>
        <v>0</v>
      </c>
      <c r="AJ320" s="699">
        <f>IF(ISNUMBER(Producción_Agricola[[#This Row],[Fecha Financiero]])=TRUE,YEAR(Producción_Agricola[[#This Row],[Fecha Financiero]]),0)</f>
        <v>0</v>
      </c>
      <c r="AK320" s="704">
        <f>SUMPRODUCT((Producción_Agricola[[#This Row],[Mes Financiero]]=Tipo_Cambio[Mes])*(Producción_Agricola[[#This Row],[Año Financiero]]=Tipo_Cambio[Año])*(Tipo_Cambio[$/U$S]))</f>
        <v>0</v>
      </c>
      <c r="AL320" s="704">
        <f>SUMPRODUCT((Producción_Agricola[[#This Row],[Mes Financiero]]=Tipo_Cambio[Mes])*(Producción_Agricola[[#This Row],[Año Financiero]]=Tipo_Cambio[Año])*(Tipo_Cambio[Actualización]))</f>
        <v>0</v>
      </c>
      <c r="AM320" s="709">
        <f>IFERROR(Producción_Agricola[[#This Row],[Económico $Corrientes]]/Producción_Agricola[[#This Row],[Superficie]],0)</f>
        <v>0</v>
      </c>
      <c r="AN320" s="712">
        <f>IFERROR(Producción_Agricola[[#This Row],[Económico $Constantes]]/Producción_Agricola[[#This Row],[Superficie]],0)</f>
        <v>0</v>
      </c>
      <c r="AO320" s="712">
        <f>IFERROR(Producción_Agricola[[#This Row],[Económico U$S Dólares]]/Producción_Agricola[[#This Row],[Superficie]],0)</f>
        <v>0</v>
      </c>
      <c r="AP320" s="711">
        <f>IF(Económico!$F$4=0,0,Producción_Agricola[[#This Row],[Centro de Costo]])</f>
        <v>0</v>
      </c>
      <c r="AQ320" s="512"/>
      <c r="AR320" s="513"/>
      <c r="AS320"/>
    </row>
    <row r="321" spans="1:45" x14ac:dyDescent="0.25">
      <c r="A321" s="509"/>
      <c r="B321" s="494"/>
      <c r="C321" s="509"/>
      <c r="D321" s="478"/>
      <c r="E321" s="478"/>
      <c r="F321" s="668">
        <f t="shared" si="53"/>
        <v>0</v>
      </c>
      <c r="G321" s="673">
        <f t="shared" si="54"/>
        <v>0</v>
      </c>
      <c r="H321" s="673">
        <f t="shared" si="55"/>
        <v>0</v>
      </c>
      <c r="I321" s="675">
        <f>IFERROR(INDEX(Tabla8[],MATCH(Producción_Agricola[[#This Row],[Unidad de Negocio]],Tabla8[Unidades de Negocio],0),2),0)</f>
        <v>0</v>
      </c>
      <c r="J32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21" s="488"/>
      <c r="L321" s="482"/>
      <c r="M321" s="483"/>
      <c r="N321" s="484"/>
      <c r="O321" s="690">
        <f>Producción_Agricola[[#This Row],[Superficie]]*Producción_Agricola[[#This Row],[Cantidad]]</f>
        <v>0</v>
      </c>
      <c r="P321" s="482"/>
      <c r="Q321" s="484"/>
      <c r="R321" s="485"/>
      <c r="S32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21" s="695">
        <f>IFERROR(Producción_Agricola[[#This Row],[Económico $Corrientes]]/Producción_Agricola[[#This Row],[Indexación Económico]],0)</f>
        <v>0</v>
      </c>
      <c r="U32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2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21" s="695">
        <f>IFERROR(Producción_Agricola[[#This Row],[Financiero $Corrientes]]/Producción_Agricola[[#This Row],[Indexación Financiero]],0)</f>
        <v>0</v>
      </c>
      <c r="X32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2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21" s="699">
        <f>IFERROR(Producción_Agricola[[#This Row],[Intereses $Corrientes]]/Producción_Agricola[[#This Row],[Indexación Financiero]],0)</f>
        <v>0</v>
      </c>
      <c r="AA32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21" s="701">
        <f>IFERROR(INDEX(Produccion_Agricola_Cuentas[],MATCH(Producción_Agricola[[#This Row],[Cuenta Contable]],Produccion_Agricola_Cuentas[Cuenta Contable],0),2),0)</f>
        <v>0</v>
      </c>
      <c r="AC321" s="702">
        <f>IFERROR(INDEX(Tabla9[],MATCH(Producción_Agricola[[#This Row],[Movimiento]],Tabla9[Movimientos],0),2),0)</f>
        <v>0</v>
      </c>
      <c r="AD321" s="703">
        <f>IFERROR(INDEX(Tabla9[],MATCH(Producción_Agricola[[#This Row],[Movimiento]],Tabla9[Movimientos],0),3),0)</f>
        <v>0</v>
      </c>
      <c r="AE321" s="698">
        <f>IF(Producción_Agricola[[#This Row],[Fecha Económico]]=0,0,MONTH(Producción_Agricola[[#This Row],[Fecha Económico]]))</f>
        <v>0</v>
      </c>
      <c r="AF321" s="699">
        <f>IF(Producción_Agricola[[#This Row],[Fecha Económico]]=0,0,YEAR(Producción_Agricola[[#This Row],[Fecha Económico]]))</f>
        <v>0</v>
      </c>
      <c r="AG321" s="704">
        <f>SUMPRODUCT((Producción_Agricola[[#This Row],[Mes Económico]]=Tipo_Cambio[Mes])*(Producción_Agricola[[#This Row],[Año Económico]]=Tipo_Cambio[Año])*(Tipo_Cambio[$/U$S]))</f>
        <v>0</v>
      </c>
      <c r="AH321" s="703">
        <f>SUMPRODUCT((Producción_Agricola[[#This Row],[Mes Económico]]=Tipo_Cambio[Mes])*(Producción_Agricola[[#This Row],[Año Económico]]=Tipo_Cambio[Año])*(Tipo_Cambio[Actualización]))</f>
        <v>0</v>
      </c>
      <c r="AI321" s="699">
        <f>IF(ISNUMBER(Producción_Agricola[[#This Row],[Fecha Financiero]])=TRUE,MONTH(Producción_Agricola[[#This Row],[Fecha Financiero]]),0)</f>
        <v>0</v>
      </c>
      <c r="AJ321" s="699">
        <f>IF(ISNUMBER(Producción_Agricola[[#This Row],[Fecha Financiero]])=TRUE,YEAR(Producción_Agricola[[#This Row],[Fecha Financiero]]),0)</f>
        <v>0</v>
      </c>
      <c r="AK321" s="704">
        <f>SUMPRODUCT((Producción_Agricola[[#This Row],[Mes Financiero]]=Tipo_Cambio[Mes])*(Producción_Agricola[[#This Row],[Año Financiero]]=Tipo_Cambio[Año])*(Tipo_Cambio[$/U$S]))</f>
        <v>0</v>
      </c>
      <c r="AL321" s="704">
        <f>SUMPRODUCT((Producción_Agricola[[#This Row],[Mes Financiero]]=Tipo_Cambio[Mes])*(Producción_Agricola[[#This Row],[Año Financiero]]=Tipo_Cambio[Año])*(Tipo_Cambio[Actualización]))</f>
        <v>0</v>
      </c>
      <c r="AM321" s="709">
        <f>IFERROR(Producción_Agricola[[#This Row],[Económico $Corrientes]]/Producción_Agricola[[#This Row],[Superficie]],0)</f>
        <v>0</v>
      </c>
      <c r="AN321" s="712">
        <f>IFERROR(Producción_Agricola[[#This Row],[Económico $Constantes]]/Producción_Agricola[[#This Row],[Superficie]],0)</f>
        <v>0</v>
      </c>
      <c r="AO321" s="712">
        <f>IFERROR(Producción_Agricola[[#This Row],[Económico U$S Dólares]]/Producción_Agricola[[#This Row],[Superficie]],0)</f>
        <v>0</v>
      </c>
      <c r="AP321" s="711">
        <f>IF(Económico!$F$4=0,0,Producción_Agricola[[#This Row],[Centro de Costo]])</f>
        <v>0</v>
      </c>
      <c r="AQ321" s="512"/>
      <c r="AR321" s="513"/>
      <c r="AS321"/>
    </row>
    <row r="322" spans="1:45" x14ac:dyDescent="0.25">
      <c r="A322" s="509"/>
      <c r="B322" s="494"/>
      <c r="C322" s="509"/>
      <c r="D322" s="478"/>
      <c r="E322" s="478"/>
      <c r="F322" s="668">
        <f t="shared" si="53"/>
        <v>0</v>
      </c>
      <c r="G322" s="673">
        <f t="shared" si="54"/>
        <v>0</v>
      </c>
      <c r="H322" s="673">
        <f t="shared" si="55"/>
        <v>0</v>
      </c>
      <c r="I322" s="675">
        <f>IFERROR(INDEX(Tabla8[],MATCH(Producción_Agricola[[#This Row],[Unidad de Negocio]],Tabla8[Unidades de Negocio],0),2),0)</f>
        <v>0</v>
      </c>
      <c r="J32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22" s="488"/>
      <c r="L322" s="482"/>
      <c r="M322" s="483"/>
      <c r="N322" s="484"/>
      <c r="O322" s="690">
        <f>Producción_Agricola[[#This Row],[Superficie]]*Producción_Agricola[[#This Row],[Cantidad]]</f>
        <v>0</v>
      </c>
      <c r="P322" s="482"/>
      <c r="Q322" s="484"/>
      <c r="R322" s="485"/>
      <c r="S32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22" s="695">
        <f>IFERROR(Producción_Agricola[[#This Row],[Económico $Corrientes]]/Producción_Agricola[[#This Row],[Indexación Económico]],0)</f>
        <v>0</v>
      </c>
      <c r="U32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2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22" s="695">
        <f>IFERROR(Producción_Agricola[[#This Row],[Financiero $Corrientes]]/Producción_Agricola[[#This Row],[Indexación Financiero]],0)</f>
        <v>0</v>
      </c>
      <c r="X32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2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22" s="699">
        <f>IFERROR(Producción_Agricola[[#This Row],[Intereses $Corrientes]]/Producción_Agricola[[#This Row],[Indexación Financiero]],0)</f>
        <v>0</v>
      </c>
      <c r="AA32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22" s="701">
        <f>IFERROR(INDEX(Produccion_Agricola_Cuentas[],MATCH(Producción_Agricola[[#This Row],[Cuenta Contable]],Produccion_Agricola_Cuentas[Cuenta Contable],0),2),0)</f>
        <v>0</v>
      </c>
      <c r="AC322" s="702">
        <f>IFERROR(INDEX(Tabla9[],MATCH(Producción_Agricola[[#This Row],[Movimiento]],Tabla9[Movimientos],0),2),0)</f>
        <v>0</v>
      </c>
      <c r="AD322" s="703">
        <f>IFERROR(INDEX(Tabla9[],MATCH(Producción_Agricola[[#This Row],[Movimiento]],Tabla9[Movimientos],0),3),0)</f>
        <v>0</v>
      </c>
      <c r="AE322" s="698">
        <f>IF(Producción_Agricola[[#This Row],[Fecha Económico]]=0,0,MONTH(Producción_Agricola[[#This Row],[Fecha Económico]]))</f>
        <v>0</v>
      </c>
      <c r="AF322" s="699">
        <f>IF(Producción_Agricola[[#This Row],[Fecha Económico]]=0,0,YEAR(Producción_Agricola[[#This Row],[Fecha Económico]]))</f>
        <v>0</v>
      </c>
      <c r="AG322" s="704">
        <f>SUMPRODUCT((Producción_Agricola[[#This Row],[Mes Económico]]=Tipo_Cambio[Mes])*(Producción_Agricola[[#This Row],[Año Económico]]=Tipo_Cambio[Año])*(Tipo_Cambio[$/U$S]))</f>
        <v>0</v>
      </c>
      <c r="AH322" s="703">
        <f>SUMPRODUCT((Producción_Agricola[[#This Row],[Mes Económico]]=Tipo_Cambio[Mes])*(Producción_Agricola[[#This Row],[Año Económico]]=Tipo_Cambio[Año])*(Tipo_Cambio[Actualización]))</f>
        <v>0</v>
      </c>
      <c r="AI322" s="699">
        <f>IF(ISNUMBER(Producción_Agricola[[#This Row],[Fecha Financiero]])=TRUE,MONTH(Producción_Agricola[[#This Row],[Fecha Financiero]]),0)</f>
        <v>0</v>
      </c>
      <c r="AJ322" s="699">
        <f>IF(ISNUMBER(Producción_Agricola[[#This Row],[Fecha Financiero]])=TRUE,YEAR(Producción_Agricola[[#This Row],[Fecha Financiero]]),0)</f>
        <v>0</v>
      </c>
      <c r="AK322" s="704">
        <f>SUMPRODUCT((Producción_Agricola[[#This Row],[Mes Financiero]]=Tipo_Cambio[Mes])*(Producción_Agricola[[#This Row],[Año Financiero]]=Tipo_Cambio[Año])*(Tipo_Cambio[$/U$S]))</f>
        <v>0</v>
      </c>
      <c r="AL322" s="704">
        <f>SUMPRODUCT((Producción_Agricola[[#This Row],[Mes Financiero]]=Tipo_Cambio[Mes])*(Producción_Agricola[[#This Row],[Año Financiero]]=Tipo_Cambio[Año])*(Tipo_Cambio[Actualización]))</f>
        <v>0</v>
      </c>
      <c r="AM322" s="709">
        <f>IFERROR(Producción_Agricola[[#This Row],[Económico $Corrientes]]/Producción_Agricola[[#This Row],[Superficie]],0)</f>
        <v>0</v>
      </c>
      <c r="AN322" s="712">
        <f>IFERROR(Producción_Agricola[[#This Row],[Económico $Constantes]]/Producción_Agricola[[#This Row],[Superficie]],0)</f>
        <v>0</v>
      </c>
      <c r="AO322" s="712">
        <f>IFERROR(Producción_Agricola[[#This Row],[Económico U$S Dólares]]/Producción_Agricola[[#This Row],[Superficie]],0)</f>
        <v>0</v>
      </c>
      <c r="AP322" s="711">
        <f>IF(Económico!$F$4=0,0,Producción_Agricola[[#This Row],[Centro de Costo]])</f>
        <v>0</v>
      </c>
      <c r="AQ322" s="512"/>
      <c r="AR322" s="513"/>
      <c r="AS322"/>
    </row>
    <row r="323" spans="1:45" x14ac:dyDescent="0.25">
      <c r="A323" s="509"/>
      <c r="B323" s="494"/>
      <c r="C323" s="509"/>
      <c r="D323" s="478"/>
      <c r="E323" s="478"/>
      <c r="F323" s="668">
        <f t="shared" si="53"/>
        <v>0</v>
      </c>
      <c r="G323" s="673">
        <f t="shared" si="54"/>
        <v>0</v>
      </c>
      <c r="H323" s="673">
        <f t="shared" si="55"/>
        <v>0</v>
      </c>
      <c r="I323" s="675">
        <f>IFERROR(INDEX(Tabla8[],MATCH(Producción_Agricola[[#This Row],[Unidad de Negocio]],Tabla8[Unidades de Negocio],0),2),0)</f>
        <v>0</v>
      </c>
      <c r="J32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23" s="488"/>
      <c r="L323" s="482"/>
      <c r="M323" s="483"/>
      <c r="N323" s="484"/>
      <c r="O323" s="690">
        <f>Producción_Agricola[[#This Row],[Superficie]]*Producción_Agricola[[#This Row],[Cantidad]]</f>
        <v>0</v>
      </c>
      <c r="P323" s="482"/>
      <c r="Q323" s="484"/>
      <c r="R323" s="485"/>
      <c r="S32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23" s="695">
        <f>IFERROR(Producción_Agricola[[#This Row],[Económico $Corrientes]]/Producción_Agricola[[#This Row],[Indexación Económico]],0)</f>
        <v>0</v>
      </c>
      <c r="U32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2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23" s="695">
        <f>IFERROR(Producción_Agricola[[#This Row],[Financiero $Corrientes]]/Producción_Agricola[[#This Row],[Indexación Financiero]],0)</f>
        <v>0</v>
      </c>
      <c r="X32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2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23" s="699">
        <f>IFERROR(Producción_Agricola[[#This Row],[Intereses $Corrientes]]/Producción_Agricola[[#This Row],[Indexación Financiero]],0)</f>
        <v>0</v>
      </c>
      <c r="AA32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23" s="701">
        <f>IFERROR(INDEX(Produccion_Agricola_Cuentas[],MATCH(Producción_Agricola[[#This Row],[Cuenta Contable]],Produccion_Agricola_Cuentas[Cuenta Contable],0),2),0)</f>
        <v>0</v>
      </c>
      <c r="AC323" s="702">
        <f>IFERROR(INDEX(Tabla9[],MATCH(Producción_Agricola[[#This Row],[Movimiento]],Tabla9[Movimientos],0),2),0)</f>
        <v>0</v>
      </c>
      <c r="AD323" s="703">
        <f>IFERROR(INDEX(Tabla9[],MATCH(Producción_Agricola[[#This Row],[Movimiento]],Tabla9[Movimientos],0),3),0)</f>
        <v>0</v>
      </c>
      <c r="AE323" s="698">
        <f>IF(Producción_Agricola[[#This Row],[Fecha Económico]]=0,0,MONTH(Producción_Agricola[[#This Row],[Fecha Económico]]))</f>
        <v>0</v>
      </c>
      <c r="AF323" s="699">
        <f>IF(Producción_Agricola[[#This Row],[Fecha Económico]]=0,0,YEAR(Producción_Agricola[[#This Row],[Fecha Económico]]))</f>
        <v>0</v>
      </c>
      <c r="AG323" s="704">
        <f>SUMPRODUCT((Producción_Agricola[[#This Row],[Mes Económico]]=Tipo_Cambio[Mes])*(Producción_Agricola[[#This Row],[Año Económico]]=Tipo_Cambio[Año])*(Tipo_Cambio[$/U$S]))</f>
        <v>0</v>
      </c>
      <c r="AH323" s="703">
        <f>SUMPRODUCT((Producción_Agricola[[#This Row],[Mes Económico]]=Tipo_Cambio[Mes])*(Producción_Agricola[[#This Row],[Año Económico]]=Tipo_Cambio[Año])*(Tipo_Cambio[Actualización]))</f>
        <v>0</v>
      </c>
      <c r="AI323" s="699">
        <f>IF(ISNUMBER(Producción_Agricola[[#This Row],[Fecha Financiero]])=TRUE,MONTH(Producción_Agricola[[#This Row],[Fecha Financiero]]),0)</f>
        <v>0</v>
      </c>
      <c r="AJ323" s="699">
        <f>IF(ISNUMBER(Producción_Agricola[[#This Row],[Fecha Financiero]])=TRUE,YEAR(Producción_Agricola[[#This Row],[Fecha Financiero]]),0)</f>
        <v>0</v>
      </c>
      <c r="AK323" s="704">
        <f>SUMPRODUCT((Producción_Agricola[[#This Row],[Mes Financiero]]=Tipo_Cambio[Mes])*(Producción_Agricola[[#This Row],[Año Financiero]]=Tipo_Cambio[Año])*(Tipo_Cambio[$/U$S]))</f>
        <v>0</v>
      </c>
      <c r="AL323" s="704">
        <f>SUMPRODUCT((Producción_Agricola[[#This Row],[Mes Financiero]]=Tipo_Cambio[Mes])*(Producción_Agricola[[#This Row],[Año Financiero]]=Tipo_Cambio[Año])*(Tipo_Cambio[Actualización]))</f>
        <v>0</v>
      </c>
      <c r="AM323" s="709">
        <f>IFERROR(Producción_Agricola[[#This Row],[Económico $Corrientes]]/Producción_Agricola[[#This Row],[Superficie]],0)</f>
        <v>0</v>
      </c>
      <c r="AN323" s="712">
        <f>IFERROR(Producción_Agricola[[#This Row],[Económico $Constantes]]/Producción_Agricola[[#This Row],[Superficie]],0)</f>
        <v>0</v>
      </c>
      <c r="AO323" s="712">
        <f>IFERROR(Producción_Agricola[[#This Row],[Económico U$S Dólares]]/Producción_Agricola[[#This Row],[Superficie]],0)</f>
        <v>0</v>
      </c>
      <c r="AP323" s="711">
        <f>IF(Económico!$F$4=0,0,Producción_Agricola[[#This Row],[Centro de Costo]])</f>
        <v>0</v>
      </c>
      <c r="AQ323" s="512"/>
      <c r="AR323" s="513"/>
      <c r="AS323"/>
    </row>
    <row r="324" spans="1:45" x14ac:dyDescent="0.25">
      <c r="A324" s="509"/>
      <c r="B324" s="494"/>
      <c r="C324" s="509"/>
      <c r="D324" s="478"/>
      <c r="E324" s="478"/>
      <c r="F324" s="668">
        <f t="shared" si="53"/>
        <v>0</v>
      </c>
      <c r="G324" s="673">
        <f t="shared" si="54"/>
        <v>0</v>
      </c>
      <c r="H324" s="673">
        <f t="shared" si="55"/>
        <v>0</v>
      </c>
      <c r="I324" s="675">
        <f>IFERROR(INDEX(Tabla8[],MATCH(Producción_Agricola[[#This Row],[Unidad de Negocio]],Tabla8[Unidades de Negocio],0),2),0)</f>
        <v>0</v>
      </c>
      <c r="J32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24" s="488"/>
      <c r="L324" s="482"/>
      <c r="M324" s="483"/>
      <c r="N324" s="484"/>
      <c r="O324" s="690">
        <f>Producción_Agricola[[#This Row],[Superficie]]*Producción_Agricola[[#This Row],[Cantidad]]</f>
        <v>0</v>
      </c>
      <c r="P324" s="482"/>
      <c r="Q324" s="484"/>
      <c r="R324" s="485"/>
      <c r="S32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24" s="695">
        <f>IFERROR(Producción_Agricola[[#This Row],[Económico $Corrientes]]/Producción_Agricola[[#This Row],[Indexación Económico]],0)</f>
        <v>0</v>
      </c>
      <c r="U32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2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24" s="695">
        <f>IFERROR(Producción_Agricola[[#This Row],[Financiero $Corrientes]]/Producción_Agricola[[#This Row],[Indexación Financiero]],0)</f>
        <v>0</v>
      </c>
      <c r="X32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2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24" s="699">
        <f>IFERROR(Producción_Agricola[[#This Row],[Intereses $Corrientes]]/Producción_Agricola[[#This Row],[Indexación Financiero]],0)</f>
        <v>0</v>
      </c>
      <c r="AA32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24" s="701">
        <f>IFERROR(INDEX(Produccion_Agricola_Cuentas[],MATCH(Producción_Agricola[[#This Row],[Cuenta Contable]],Produccion_Agricola_Cuentas[Cuenta Contable],0),2),0)</f>
        <v>0</v>
      </c>
      <c r="AC324" s="702">
        <f>IFERROR(INDEX(Tabla9[],MATCH(Producción_Agricola[[#This Row],[Movimiento]],Tabla9[Movimientos],0),2),0)</f>
        <v>0</v>
      </c>
      <c r="AD324" s="703">
        <f>IFERROR(INDEX(Tabla9[],MATCH(Producción_Agricola[[#This Row],[Movimiento]],Tabla9[Movimientos],0),3),0)</f>
        <v>0</v>
      </c>
      <c r="AE324" s="698">
        <f>IF(Producción_Agricola[[#This Row],[Fecha Económico]]=0,0,MONTH(Producción_Agricola[[#This Row],[Fecha Económico]]))</f>
        <v>0</v>
      </c>
      <c r="AF324" s="699">
        <f>IF(Producción_Agricola[[#This Row],[Fecha Económico]]=0,0,YEAR(Producción_Agricola[[#This Row],[Fecha Económico]]))</f>
        <v>0</v>
      </c>
      <c r="AG324" s="704">
        <f>SUMPRODUCT((Producción_Agricola[[#This Row],[Mes Económico]]=Tipo_Cambio[Mes])*(Producción_Agricola[[#This Row],[Año Económico]]=Tipo_Cambio[Año])*(Tipo_Cambio[$/U$S]))</f>
        <v>0</v>
      </c>
      <c r="AH324" s="703">
        <f>SUMPRODUCT((Producción_Agricola[[#This Row],[Mes Económico]]=Tipo_Cambio[Mes])*(Producción_Agricola[[#This Row],[Año Económico]]=Tipo_Cambio[Año])*(Tipo_Cambio[Actualización]))</f>
        <v>0</v>
      </c>
      <c r="AI324" s="699">
        <f>IF(ISNUMBER(Producción_Agricola[[#This Row],[Fecha Financiero]])=TRUE,MONTH(Producción_Agricola[[#This Row],[Fecha Financiero]]),0)</f>
        <v>0</v>
      </c>
      <c r="AJ324" s="699">
        <f>IF(ISNUMBER(Producción_Agricola[[#This Row],[Fecha Financiero]])=TRUE,YEAR(Producción_Agricola[[#This Row],[Fecha Financiero]]),0)</f>
        <v>0</v>
      </c>
      <c r="AK324" s="704">
        <f>SUMPRODUCT((Producción_Agricola[[#This Row],[Mes Financiero]]=Tipo_Cambio[Mes])*(Producción_Agricola[[#This Row],[Año Financiero]]=Tipo_Cambio[Año])*(Tipo_Cambio[$/U$S]))</f>
        <v>0</v>
      </c>
      <c r="AL324" s="704">
        <f>SUMPRODUCT((Producción_Agricola[[#This Row],[Mes Financiero]]=Tipo_Cambio[Mes])*(Producción_Agricola[[#This Row],[Año Financiero]]=Tipo_Cambio[Año])*(Tipo_Cambio[Actualización]))</f>
        <v>0</v>
      </c>
      <c r="AM324" s="709">
        <f>IFERROR(Producción_Agricola[[#This Row],[Económico $Corrientes]]/Producción_Agricola[[#This Row],[Superficie]],0)</f>
        <v>0</v>
      </c>
      <c r="AN324" s="712">
        <f>IFERROR(Producción_Agricola[[#This Row],[Económico $Constantes]]/Producción_Agricola[[#This Row],[Superficie]],0)</f>
        <v>0</v>
      </c>
      <c r="AO324" s="712">
        <f>IFERROR(Producción_Agricola[[#This Row],[Económico U$S Dólares]]/Producción_Agricola[[#This Row],[Superficie]],0)</f>
        <v>0</v>
      </c>
      <c r="AP324" s="711">
        <f>IF(Económico!$F$4=0,0,Producción_Agricola[[#This Row],[Centro de Costo]])</f>
        <v>0</v>
      </c>
      <c r="AQ324" s="512"/>
      <c r="AR324" s="513"/>
      <c r="AS324"/>
    </row>
    <row r="325" spans="1:45" x14ac:dyDescent="0.25">
      <c r="A325" s="509"/>
      <c r="B325" s="494"/>
      <c r="C325" s="509"/>
      <c r="D325" s="478"/>
      <c r="E325" s="478"/>
      <c r="F325" s="668">
        <f t="shared" si="53"/>
        <v>0</v>
      </c>
      <c r="G325" s="673">
        <f t="shared" si="54"/>
        <v>0</v>
      </c>
      <c r="H325" s="673">
        <f t="shared" si="55"/>
        <v>0</v>
      </c>
      <c r="I325" s="675">
        <f>IFERROR(INDEX(Tabla8[],MATCH(Producción_Agricola[[#This Row],[Unidad de Negocio]],Tabla8[Unidades de Negocio],0),2),0)</f>
        <v>0</v>
      </c>
      <c r="J32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25" s="488"/>
      <c r="L325" s="482"/>
      <c r="M325" s="483"/>
      <c r="N325" s="484"/>
      <c r="O325" s="690">
        <f>Producción_Agricola[[#This Row],[Superficie]]*Producción_Agricola[[#This Row],[Cantidad]]</f>
        <v>0</v>
      </c>
      <c r="P325" s="482"/>
      <c r="Q325" s="484"/>
      <c r="R325" s="485"/>
      <c r="S32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25" s="695">
        <f>IFERROR(Producción_Agricola[[#This Row],[Económico $Corrientes]]/Producción_Agricola[[#This Row],[Indexación Económico]],0)</f>
        <v>0</v>
      </c>
      <c r="U32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2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25" s="695">
        <f>IFERROR(Producción_Agricola[[#This Row],[Financiero $Corrientes]]/Producción_Agricola[[#This Row],[Indexación Financiero]],0)</f>
        <v>0</v>
      </c>
      <c r="X32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2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25" s="699">
        <f>IFERROR(Producción_Agricola[[#This Row],[Intereses $Corrientes]]/Producción_Agricola[[#This Row],[Indexación Financiero]],0)</f>
        <v>0</v>
      </c>
      <c r="AA32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25" s="701">
        <f>IFERROR(INDEX(Produccion_Agricola_Cuentas[],MATCH(Producción_Agricola[[#This Row],[Cuenta Contable]],Produccion_Agricola_Cuentas[Cuenta Contable],0),2),0)</f>
        <v>0</v>
      </c>
      <c r="AC325" s="702">
        <f>IFERROR(INDEX(Tabla9[],MATCH(Producción_Agricola[[#This Row],[Movimiento]],Tabla9[Movimientos],0),2),0)</f>
        <v>0</v>
      </c>
      <c r="AD325" s="703">
        <f>IFERROR(INDEX(Tabla9[],MATCH(Producción_Agricola[[#This Row],[Movimiento]],Tabla9[Movimientos],0),3),0)</f>
        <v>0</v>
      </c>
      <c r="AE325" s="698">
        <f>IF(Producción_Agricola[[#This Row],[Fecha Económico]]=0,0,MONTH(Producción_Agricola[[#This Row],[Fecha Económico]]))</f>
        <v>0</v>
      </c>
      <c r="AF325" s="699">
        <f>IF(Producción_Agricola[[#This Row],[Fecha Económico]]=0,0,YEAR(Producción_Agricola[[#This Row],[Fecha Económico]]))</f>
        <v>0</v>
      </c>
      <c r="AG325" s="704">
        <f>SUMPRODUCT((Producción_Agricola[[#This Row],[Mes Económico]]=Tipo_Cambio[Mes])*(Producción_Agricola[[#This Row],[Año Económico]]=Tipo_Cambio[Año])*(Tipo_Cambio[$/U$S]))</f>
        <v>0</v>
      </c>
      <c r="AH325" s="703">
        <f>SUMPRODUCT((Producción_Agricola[[#This Row],[Mes Económico]]=Tipo_Cambio[Mes])*(Producción_Agricola[[#This Row],[Año Económico]]=Tipo_Cambio[Año])*(Tipo_Cambio[Actualización]))</f>
        <v>0</v>
      </c>
      <c r="AI325" s="699">
        <f>IF(ISNUMBER(Producción_Agricola[[#This Row],[Fecha Financiero]])=TRUE,MONTH(Producción_Agricola[[#This Row],[Fecha Financiero]]),0)</f>
        <v>0</v>
      </c>
      <c r="AJ325" s="699">
        <f>IF(ISNUMBER(Producción_Agricola[[#This Row],[Fecha Financiero]])=TRUE,YEAR(Producción_Agricola[[#This Row],[Fecha Financiero]]),0)</f>
        <v>0</v>
      </c>
      <c r="AK325" s="704">
        <f>SUMPRODUCT((Producción_Agricola[[#This Row],[Mes Financiero]]=Tipo_Cambio[Mes])*(Producción_Agricola[[#This Row],[Año Financiero]]=Tipo_Cambio[Año])*(Tipo_Cambio[$/U$S]))</f>
        <v>0</v>
      </c>
      <c r="AL325" s="704">
        <f>SUMPRODUCT((Producción_Agricola[[#This Row],[Mes Financiero]]=Tipo_Cambio[Mes])*(Producción_Agricola[[#This Row],[Año Financiero]]=Tipo_Cambio[Año])*(Tipo_Cambio[Actualización]))</f>
        <v>0</v>
      </c>
      <c r="AM325" s="709">
        <f>IFERROR(Producción_Agricola[[#This Row],[Económico $Corrientes]]/Producción_Agricola[[#This Row],[Superficie]],0)</f>
        <v>0</v>
      </c>
      <c r="AN325" s="712">
        <f>IFERROR(Producción_Agricola[[#This Row],[Económico $Constantes]]/Producción_Agricola[[#This Row],[Superficie]],0)</f>
        <v>0</v>
      </c>
      <c r="AO325" s="712">
        <f>IFERROR(Producción_Agricola[[#This Row],[Económico U$S Dólares]]/Producción_Agricola[[#This Row],[Superficie]],0)</f>
        <v>0</v>
      </c>
      <c r="AP325" s="711">
        <f>IF(Económico!$F$4=0,0,Producción_Agricola[[#This Row],[Centro de Costo]])</f>
        <v>0</v>
      </c>
      <c r="AQ325" s="512"/>
      <c r="AR325" s="513"/>
      <c r="AS325"/>
    </row>
    <row r="326" spans="1:45" ht="15.75" thickBot="1" x14ac:dyDescent="0.3">
      <c r="A326" s="509"/>
      <c r="B326" s="494" t="s">
        <v>101</v>
      </c>
      <c r="C326" s="509"/>
      <c r="D326" s="478"/>
      <c r="E326" s="478"/>
      <c r="F326" s="668">
        <f t="shared" si="53"/>
        <v>0</v>
      </c>
      <c r="G326" s="673">
        <f t="shared" si="54"/>
        <v>0</v>
      </c>
      <c r="H326" s="673">
        <f t="shared" si="55"/>
        <v>0</v>
      </c>
      <c r="I326" s="675">
        <f>IFERROR(INDEX(Tabla8[],MATCH(Producción_Agricola[[#This Row],[Unidad de Negocio]],Tabla8[Unidades de Negocio],0),2),0)</f>
        <v>0</v>
      </c>
      <c r="J32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26" s="488"/>
      <c r="L326" s="482"/>
      <c r="M326" s="483"/>
      <c r="N326" s="484"/>
      <c r="O326" s="690">
        <f>Producción_Agricola[[#This Row],[Superficie]]*Producción_Agricola[[#This Row],[Cantidad]]</f>
        <v>0</v>
      </c>
      <c r="P326" s="482"/>
      <c r="Q326" s="484"/>
      <c r="R326" s="485"/>
      <c r="S32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26" s="695">
        <f>IFERROR(Producción_Agricola[[#This Row],[Económico $Corrientes]]/Producción_Agricola[[#This Row],[Indexación Económico]],0)</f>
        <v>0</v>
      </c>
      <c r="U32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2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26" s="695">
        <f>IFERROR(Producción_Agricola[[#This Row],[Financiero $Corrientes]]/Producción_Agricola[[#This Row],[Indexación Financiero]],0)</f>
        <v>0</v>
      </c>
      <c r="X32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2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26" s="699">
        <f>IFERROR(Producción_Agricola[[#This Row],[Intereses $Corrientes]]/Producción_Agricola[[#This Row],[Indexación Financiero]],0)</f>
        <v>0</v>
      </c>
      <c r="AA32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26" s="701">
        <f>IFERROR(INDEX(Produccion_Agricola_Cuentas[],MATCH(Producción_Agricola[[#This Row],[Cuenta Contable]],Produccion_Agricola_Cuentas[Cuenta Contable],0),2),0)</f>
        <v>0</v>
      </c>
      <c r="AC326" s="702">
        <f>IFERROR(INDEX(Tabla9[],MATCH(Producción_Agricola[[#This Row],[Movimiento]],Tabla9[Movimientos],0),2),0)</f>
        <v>0</v>
      </c>
      <c r="AD326" s="703">
        <f>IFERROR(INDEX(Tabla9[],MATCH(Producción_Agricola[[#This Row],[Movimiento]],Tabla9[Movimientos],0),3),0)</f>
        <v>0</v>
      </c>
      <c r="AE326" s="698">
        <f>IF(Producción_Agricola[[#This Row],[Fecha Económico]]=0,0,MONTH(Producción_Agricola[[#This Row],[Fecha Económico]]))</f>
        <v>0</v>
      </c>
      <c r="AF326" s="699">
        <f>IF(Producción_Agricola[[#This Row],[Fecha Económico]]=0,0,YEAR(Producción_Agricola[[#This Row],[Fecha Económico]]))</f>
        <v>0</v>
      </c>
      <c r="AG326" s="704">
        <f>SUMPRODUCT((Producción_Agricola[[#This Row],[Mes Económico]]=Tipo_Cambio[Mes])*(Producción_Agricola[[#This Row],[Año Económico]]=Tipo_Cambio[Año])*(Tipo_Cambio[$/U$S]))</f>
        <v>0</v>
      </c>
      <c r="AH326" s="703">
        <f>SUMPRODUCT((Producción_Agricola[[#This Row],[Mes Económico]]=Tipo_Cambio[Mes])*(Producción_Agricola[[#This Row],[Año Económico]]=Tipo_Cambio[Año])*(Tipo_Cambio[Actualización]))</f>
        <v>0</v>
      </c>
      <c r="AI326" s="699">
        <f>IF(ISNUMBER(Producción_Agricola[[#This Row],[Fecha Financiero]])=TRUE,MONTH(Producción_Agricola[[#This Row],[Fecha Financiero]]),0)</f>
        <v>0</v>
      </c>
      <c r="AJ326" s="699">
        <f>IF(ISNUMBER(Producción_Agricola[[#This Row],[Fecha Financiero]])=TRUE,YEAR(Producción_Agricola[[#This Row],[Fecha Financiero]]),0)</f>
        <v>0</v>
      </c>
      <c r="AK326" s="704">
        <f>SUMPRODUCT((Producción_Agricola[[#This Row],[Mes Financiero]]=Tipo_Cambio[Mes])*(Producción_Agricola[[#This Row],[Año Financiero]]=Tipo_Cambio[Año])*(Tipo_Cambio[$/U$S]))</f>
        <v>0</v>
      </c>
      <c r="AL326" s="704">
        <f>SUMPRODUCT((Producción_Agricola[[#This Row],[Mes Financiero]]=Tipo_Cambio[Mes])*(Producción_Agricola[[#This Row],[Año Financiero]]=Tipo_Cambio[Año])*(Tipo_Cambio[Actualización]))</f>
        <v>0</v>
      </c>
      <c r="AM326" s="709">
        <f>IFERROR(Producción_Agricola[[#This Row],[Económico $Corrientes]]/Producción_Agricola[[#This Row],[Superficie]],0)</f>
        <v>0</v>
      </c>
      <c r="AN326" s="712">
        <f>IFERROR(Producción_Agricola[[#This Row],[Económico $Constantes]]/Producción_Agricola[[#This Row],[Superficie]],0)</f>
        <v>0</v>
      </c>
      <c r="AO326" s="712">
        <f>IFERROR(Producción_Agricola[[#This Row],[Económico U$S Dólares]]/Producción_Agricola[[#This Row],[Superficie]],0)</f>
        <v>0</v>
      </c>
      <c r="AP326" s="711">
        <f>IF(Económico!$F$4=0,0,Producción_Agricola[[#This Row],[Centro de Costo]])</f>
        <v>0</v>
      </c>
      <c r="AQ326" s="512"/>
      <c r="AR326" s="513"/>
      <c r="AS326"/>
    </row>
    <row r="327" spans="1:45" ht="15.75" thickTop="1" x14ac:dyDescent="0.25">
      <c r="A327" s="509"/>
      <c r="B327" s="477" t="s">
        <v>446</v>
      </c>
      <c r="C327" s="509"/>
      <c r="D327" s="495"/>
      <c r="E327" s="495"/>
      <c r="F327" s="679">
        <f>+$B$328</f>
        <v>0</v>
      </c>
      <c r="G327" s="680">
        <f>+$B$329</f>
        <v>0</v>
      </c>
      <c r="H327" s="680">
        <f>+$B$330</f>
        <v>0</v>
      </c>
      <c r="I327" s="685">
        <f>IFERROR(INDEX(Tabla8[],MATCH(Producción_Agricola[[#This Row],[Unidad de Negocio]],Tabla8[Unidades de Negocio],0),2),0)</f>
        <v>0</v>
      </c>
      <c r="J327" s="686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27" s="660"/>
      <c r="L327" s="497"/>
      <c r="M327" s="498"/>
      <c r="N327" s="499"/>
      <c r="O327" s="693">
        <f>Producción_Agricola[[#This Row],[Superficie]]*Producción_Agricola[[#This Row],[Cantidad]]</f>
        <v>0</v>
      </c>
      <c r="P327" s="497"/>
      <c r="Q327" s="499"/>
      <c r="R327" s="500"/>
      <c r="S327" s="74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27" s="746">
        <f>IFERROR(Producción_Agricola[[#This Row],[Económico $Corrientes]]/Producción_Agricola[[#This Row],[Indexación Económico]],0)</f>
        <v>0</v>
      </c>
      <c r="U327" s="747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27" s="748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27" s="746">
        <f>IFERROR(Producción_Agricola[[#This Row],[Financiero $Corrientes]]/Producción_Agricola[[#This Row],[Indexación Financiero]],0)</f>
        <v>0</v>
      </c>
      <c r="X327" s="749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27" s="750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27" s="751">
        <f>IFERROR(Producción_Agricola[[#This Row],[Intereses $Corrientes]]/Producción_Agricola[[#This Row],[Indexación Financiero]],0)</f>
        <v>0</v>
      </c>
      <c r="AA327" s="752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27" s="753">
        <f>IFERROR(INDEX(Produccion_Agricola_Cuentas[],MATCH(Producción_Agricola[[#This Row],[Cuenta Contable]],Produccion_Agricola_Cuentas[Cuenta Contable],0),2),0)</f>
        <v>0</v>
      </c>
      <c r="AC327" s="754">
        <f>IFERROR(INDEX(Tabla9[],MATCH(Producción_Agricola[[#This Row],[Movimiento]],Tabla9[Movimientos],0),2),0)</f>
        <v>0</v>
      </c>
      <c r="AD327" s="755">
        <f>IFERROR(INDEX(Tabla9[],MATCH(Producción_Agricola[[#This Row],[Movimiento]],Tabla9[Movimientos],0),3),0)</f>
        <v>0</v>
      </c>
      <c r="AE327" s="750">
        <f>IF(Producción_Agricola[[#This Row],[Fecha Económico]]=0,0,MONTH(Producción_Agricola[[#This Row],[Fecha Económico]]))</f>
        <v>0</v>
      </c>
      <c r="AF327" s="751">
        <f>IF(Producción_Agricola[[#This Row],[Fecha Económico]]=0,0,YEAR(Producción_Agricola[[#This Row],[Fecha Económico]]))</f>
        <v>0</v>
      </c>
      <c r="AG327" s="756">
        <f>SUMPRODUCT((Producción_Agricola[[#This Row],[Mes Económico]]=Tipo_Cambio[Mes])*(Producción_Agricola[[#This Row],[Año Económico]]=Tipo_Cambio[Año])*(Tipo_Cambio[$/U$S]))</f>
        <v>0</v>
      </c>
      <c r="AH327" s="755">
        <f>SUMPRODUCT((Producción_Agricola[[#This Row],[Mes Económico]]=Tipo_Cambio[Mes])*(Producción_Agricola[[#This Row],[Año Económico]]=Tipo_Cambio[Año])*(Tipo_Cambio[Actualización]))</f>
        <v>0</v>
      </c>
      <c r="AI327" s="751">
        <f>IF(ISNUMBER(Producción_Agricola[[#This Row],[Fecha Financiero]])=TRUE,MONTH(Producción_Agricola[[#This Row],[Fecha Financiero]]),0)</f>
        <v>0</v>
      </c>
      <c r="AJ327" s="751">
        <f>IF(ISNUMBER(Producción_Agricola[[#This Row],[Fecha Financiero]])=TRUE,YEAR(Producción_Agricola[[#This Row],[Fecha Financiero]]),0)</f>
        <v>0</v>
      </c>
      <c r="AK327" s="756">
        <f>SUMPRODUCT((Producción_Agricola[[#This Row],[Mes Financiero]]=Tipo_Cambio[Mes])*(Producción_Agricola[[#This Row],[Año Financiero]]=Tipo_Cambio[Año])*(Tipo_Cambio[$/U$S]))</f>
        <v>0</v>
      </c>
      <c r="AL327" s="756">
        <f>SUMPRODUCT((Producción_Agricola[[#This Row],[Mes Financiero]]=Tipo_Cambio[Mes])*(Producción_Agricola[[#This Row],[Año Financiero]]=Tipo_Cambio[Año])*(Tipo_Cambio[Actualización]))</f>
        <v>0</v>
      </c>
      <c r="AM327" s="757">
        <f>IFERROR(Producción_Agricola[[#This Row],[Económico $Corrientes]]/Producción_Agricola[[#This Row],[Superficie]],0)</f>
        <v>0</v>
      </c>
      <c r="AN327" s="758">
        <f>IFERROR(Producción_Agricola[[#This Row],[Económico $Constantes]]/Producción_Agricola[[#This Row],[Superficie]],0)</f>
        <v>0</v>
      </c>
      <c r="AO327" s="758">
        <f>IFERROR(Producción_Agricola[[#This Row],[Económico U$S Dólares]]/Producción_Agricola[[#This Row],[Superficie]],0)</f>
        <v>0</v>
      </c>
      <c r="AP327" s="759">
        <f>IF(Económico!$F$4=0,0,Producción_Agricola[[#This Row],[Centro de Costo]])</f>
        <v>0</v>
      </c>
      <c r="AQ327" s="516"/>
      <c r="AR327" s="662"/>
      <c r="AS327"/>
    </row>
    <row r="328" spans="1:45" x14ac:dyDescent="0.25">
      <c r="A328" s="509"/>
      <c r="B328" s="501"/>
      <c r="C328" s="509"/>
      <c r="D328" s="478"/>
      <c r="E328" s="478"/>
      <c r="F328" s="668">
        <f t="shared" ref="F328:F380" si="56">+$B$328</f>
        <v>0</v>
      </c>
      <c r="G328" s="673">
        <f t="shared" ref="G328:G380" si="57">+$B$329</f>
        <v>0</v>
      </c>
      <c r="H328" s="673">
        <f t="shared" ref="H328:H380" si="58">+$B$330</f>
        <v>0</v>
      </c>
      <c r="I328" s="687">
        <f>IFERROR(INDEX(Tabla8[],MATCH(Producción_Agricola[[#This Row],[Unidad de Negocio]],Tabla8[Unidades de Negocio],0),2),0)</f>
        <v>0</v>
      </c>
      <c r="J328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28" s="661"/>
      <c r="L328" s="482"/>
      <c r="M328" s="483"/>
      <c r="N328" s="484"/>
      <c r="O328" s="694">
        <f>Producción_Agricola[[#This Row],[Superficie]]*Producción_Agricola[[#This Row],[Cantidad]]</f>
        <v>0</v>
      </c>
      <c r="P328" s="482"/>
      <c r="Q328" s="484"/>
      <c r="R328" s="485"/>
      <c r="S328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28" s="761">
        <f>IFERROR(Producción_Agricola[[#This Row],[Económico $Corrientes]]/Producción_Agricola[[#This Row],[Indexación Económico]],0)</f>
        <v>0</v>
      </c>
      <c r="U328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28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28" s="761">
        <f>IFERROR(Producción_Agricola[[#This Row],[Financiero $Corrientes]]/Producción_Agricola[[#This Row],[Indexación Financiero]],0)</f>
        <v>0</v>
      </c>
      <c r="X328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28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28" s="766">
        <f>IFERROR(Producción_Agricola[[#This Row],[Intereses $Corrientes]]/Producción_Agricola[[#This Row],[Indexación Financiero]],0)</f>
        <v>0</v>
      </c>
      <c r="AA328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28" s="768">
        <f>IFERROR(INDEX(Produccion_Agricola_Cuentas[],MATCH(Producción_Agricola[[#This Row],[Cuenta Contable]],Produccion_Agricola_Cuentas[Cuenta Contable],0),2),0)</f>
        <v>0</v>
      </c>
      <c r="AC328" s="769">
        <f>IFERROR(INDEX(Tabla9[],MATCH(Producción_Agricola[[#This Row],[Movimiento]],Tabla9[Movimientos],0),2),0)</f>
        <v>0</v>
      </c>
      <c r="AD328" s="770">
        <f>IFERROR(INDEX(Tabla9[],MATCH(Producción_Agricola[[#This Row],[Movimiento]],Tabla9[Movimientos],0),3),0)</f>
        <v>0</v>
      </c>
      <c r="AE328" s="765">
        <f>IF(Producción_Agricola[[#This Row],[Fecha Económico]]=0,0,MONTH(Producción_Agricola[[#This Row],[Fecha Económico]]))</f>
        <v>0</v>
      </c>
      <c r="AF328" s="766">
        <f>IF(Producción_Agricola[[#This Row],[Fecha Económico]]=0,0,YEAR(Producción_Agricola[[#This Row],[Fecha Económico]]))</f>
        <v>0</v>
      </c>
      <c r="AG328" s="771">
        <f>SUMPRODUCT((Producción_Agricola[[#This Row],[Mes Económico]]=Tipo_Cambio[Mes])*(Producción_Agricola[[#This Row],[Año Económico]]=Tipo_Cambio[Año])*(Tipo_Cambio[$/U$S]))</f>
        <v>0</v>
      </c>
      <c r="AH328" s="770">
        <f>SUMPRODUCT((Producción_Agricola[[#This Row],[Mes Económico]]=Tipo_Cambio[Mes])*(Producción_Agricola[[#This Row],[Año Económico]]=Tipo_Cambio[Año])*(Tipo_Cambio[Actualización]))</f>
        <v>0</v>
      </c>
      <c r="AI328" s="766">
        <f>IF(ISNUMBER(Producción_Agricola[[#This Row],[Fecha Financiero]])=TRUE,MONTH(Producción_Agricola[[#This Row],[Fecha Financiero]]),0)</f>
        <v>0</v>
      </c>
      <c r="AJ328" s="766">
        <f>IF(ISNUMBER(Producción_Agricola[[#This Row],[Fecha Financiero]])=TRUE,YEAR(Producción_Agricola[[#This Row],[Fecha Financiero]]),0)</f>
        <v>0</v>
      </c>
      <c r="AK328" s="771">
        <f>SUMPRODUCT((Producción_Agricola[[#This Row],[Mes Financiero]]=Tipo_Cambio[Mes])*(Producción_Agricola[[#This Row],[Año Financiero]]=Tipo_Cambio[Año])*(Tipo_Cambio[$/U$S]))</f>
        <v>0</v>
      </c>
      <c r="AL328" s="771">
        <f>SUMPRODUCT((Producción_Agricola[[#This Row],[Mes Financiero]]=Tipo_Cambio[Mes])*(Producción_Agricola[[#This Row],[Año Financiero]]=Tipo_Cambio[Año])*(Tipo_Cambio[Actualización]))</f>
        <v>0</v>
      </c>
      <c r="AM328" s="772">
        <f>IFERROR(Producción_Agricola[[#This Row],[Económico $Corrientes]]/Producción_Agricola[[#This Row],[Superficie]],0)</f>
        <v>0</v>
      </c>
      <c r="AN328" s="773">
        <f>IFERROR(Producción_Agricola[[#This Row],[Económico $Constantes]]/Producción_Agricola[[#This Row],[Superficie]],0)</f>
        <v>0</v>
      </c>
      <c r="AO328" s="773">
        <f>IFERROR(Producción_Agricola[[#This Row],[Económico U$S Dólares]]/Producción_Agricola[[#This Row],[Superficie]],0)</f>
        <v>0</v>
      </c>
      <c r="AP328" s="774">
        <f>IF(Económico!$F$4=0,0,Producción_Agricola[[#This Row],[Centro de Costo]])</f>
        <v>0</v>
      </c>
      <c r="AQ328" s="512"/>
      <c r="AR328" s="663"/>
      <c r="AS328"/>
    </row>
    <row r="329" spans="1:45" x14ac:dyDescent="0.25">
      <c r="A329" s="509"/>
      <c r="B329" s="486"/>
      <c r="C329" s="509"/>
      <c r="D329" s="478"/>
      <c r="E329" s="478"/>
      <c r="F329" s="668">
        <f t="shared" si="56"/>
        <v>0</v>
      </c>
      <c r="G329" s="673">
        <f t="shared" si="57"/>
        <v>0</v>
      </c>
      <c r="H329" s="673">
        <f t="shared" si="58"/>
        <v>0</v>
      </c>
      <c r="I329" s="687">
        <f>IFERROR(INDEX(Tabla8[],MATCH(Producción_Agricola[[#This Row],[Unidad de Negocio]],Tabla8[Unidades de Negocio],0),2),0)</f>
        <v>0</v>
      </c>
      <c r="J329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29" s="661"/>
      <c r="L329" s="482"/>
      <c r="M329" s="483"/>
      <c r="N329" s="484"/>
      <c r="O329" s="694">
        <f>Producción_Agricola[[#This Row],[Superficie]]*Producción_Agricola[[#This Row],[Cantidad]]</f>
        <v>0</v>
      </c>
      <c r="P329" s="482"/>
      <c r="Q329" s="484"/>
      <c r="R329" s="485"/>
      <c r="S329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29" s="761">
        <f>IFERROR(Producción_Agricola[[#This Row],[Económico $Corrientes]]/Producción_Agricola[[#This Row],[Indexación Económico]],0)</f>
        <v>0</v>
      </c>
      <c r="U329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29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29" s="761">
        <f>IFERROR(Producción_Agricola[[#This Row],[Financiero $Corrientes]]/Producción_Agricola[[#This Row],[Indexación Financiero]],0)</f>
        <v>0</v>
      </c>
      <c r="X329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29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29" s="766">
        <f>IFERROR(Producción_Agricola[[#This Row],[Intereses $Corrientes]]/Producción_Agricola[[#This Row],[Indexación Financiero]],0)</f>
        <v>0</v>
      </c>
      <c r="AA329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29" s="768">
        <f>IFERROR(INDEX(Produccion_Agricola_Cuentas[],MATCH(Producción_Agricola[[#This Row],[Cuenta Contable]],Produccion_Agricola_Cuentas[Cuenta Contable],0),2),0)</f>
        <v>0</v>
      </c>
      <c r="AC329" s="769">
        <f>IFERROR(INDEX(Tabla9[],MATCH(Producción_Agricola[[#This Row],[Movimiento]],Tabla9[Movimientos],0),2),0)</f>
        <v>0</v>
      </c>
      <c r="AD329" s="770">
        <f>IFERROR(INDEX(Tabla9[],MATCH(Producción_Agricola[[#This Row],[Movimiento]],Tabla9[Movimientos],0),3),0)</f>
        <v>0</v>
      </c>
      <c r="AE329" s="765">
        <f>IF(Producción_Agricola[[#This Row],[Fecha Económico]]=0,0,MONTH(Producción_Agricola[[#This Row],[Fecha Económico]]))</f>
        <v>0</v>
      </c>
      <c r="AF329" s="766">
        <f>IF(Producción_Agricola[[#This Row],[Fecha Económico]]=0,0,YEAR(Producción_Agricola[[#This Row],[Fecha Económico]]))</f>
        <v>0</v>
      </c>
      <c r="AG329" s="771">
        <f>SUMPRODUCT((Producción_Agricola[[#This Row],[Mes Económico]]=Tipo_Cambio[Mes])*(Producción_Agricola[[#This Row],[Año Económico]]=Tipo_Cambio[Año])*(Tipo_Cambio[$/U$S]))</f>
        <v>0</v>
      </c>
      <c r="AH329" s="770">
        <f>SUMPRODUCT((Producción_Agricola[[#This Row],[Mes Económico]]=Tipo_Cambio[Mes])*(Producción_Agricola[[#This Row],[Año Económico]]=Tipo_Cambio[Año])*(Tipo_Cambio[Actualización]))</f>
        <v>0</v>
      </c>
      <c r="AI329" s="766">
        <f>IF(ISNUMBER(Producción_Agricola[[#This Row],[Fecha Financiero]])=TRUE,MONTH(Producción_Agricola[[#This Row],[Fecha Financiero]]),0)</f>
        <v>0</v>
      </c>
      <c r="AJ329" s="766">
        <f>IF(ISNUMBER(Producción_Agricola[[#This Row],[Fecha Financiero]])=TRUE,YEAR(Producción_Agricola[[#This Row],[Fecha Financiero]]),0)</f>
        <v>0</v>
      </c>
      <c r="AK329" s="771">
        <f>SUMPRODUCT((Producción_Agricola[[#This Row],[Mes Financiero]]=Tipo_Cambio[Mes])*(Producción_Agricola[[#This Row],[Año Financiero]]=Tipo_Cambio[Año])*(Tipo_Cambio[$/U$S]))</f>
        <v>0</v>
      </c>
      <c r="AL329" s="771">
        <f>SUMPRODUCT((Producción_Agricola[[#This Row],[Mes Financiero]]=Tipo_Cambio[Mes])*(Producción_Agricola[[#This Row],[Año Financiero]]=Tipo_Cambio[Año])*(Tipo_Cambio[Actualización]))</f>
        <v>0</v>
      </c>
      <c r="AM329" s="772">
        <f>IFERROR(Producción_Agricola[[#This Row],[Económico $Corrientes]]/Producción_Agricola[[#This Row],[Superficie]],0)</f>
        <v>0</v>
      </c>
      <c r="AN329" s="773">
        <f>IFERROR(Producción_Agricola[[#This Row],[Económico $Constantes]]/Producción_Agricola[[#This Row],[Superficie]],0)</f>
        <v>0</v>
      </c>
      <c r="AO329" s="773">
        <f>IFERROR(Producción_Agricola[[#This Row],[Económico U$S Dólares]]/Producción_Agricola[[#This Row],[Superficie]],0)</f>
        <v>0</v>
      </c>
      <c r="AP329" s="774">
        <f>IF(Económico!$F$4=0,0,Producción_Agricola[[#This Row],[Centro de Costo]])</f>
        <v>0</v>
      </c>
      <c r="AQ329" s="512"/>
      <c r="AR329" s="663"/>
      <c r="AS329"/>
    </row>
    <row r="330" spans="1:45" x14ac:dyDescent="0.25">
      <c r="A330" s="509"/>
      <c r="B330" s="486"/>
      <c r="C330" s="509"/>
      <c r="D330" s="478"/>
      <c r="E330" s="478"/>
      <c r="F330" s="668">
        <f t="shared" si="56"/>
        <v>0</v>
      </c>
      <c r="G330" s="673">
        <f t="shared" si="57"/>
        <v>0</v>
      </c>
      <c r="H330" s="673">
        <f t="shared" si="58"/>
        <v>0</v>
      </c>
      <c r="I330" s="687">
        <f>IFERROR(INDEX(Tabla8[],MATCH(Producción_Agricola[[#This Row],[Unidad de Negocio]],Tabla8[Unidades de Negocio],0),2),0)</f>
        <v>0</v>
      </c>
      <c r="J330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30" s="661"/>
      <c r="L330" s="482"/>
      <c r="M330" s="483"/>
      <c r="N330" s="484"/>
      <c r="O330" s="694">
        <f>Producción_Agricola[[#This Row],[Superficie]]*Producción_Agricola[[#This Row],[Cantidad]]</f>
        <v>0</v>
      </c>
      <c r="P330" s="482"/>
      <c r="Q330" s="484"/>
      <c r="R330" s="485"/>
      <c r="S330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30" s="761">
        <f>IFERROR(Producción_Agricola[[#This Row],[Económico $Corrientes]]/Producción_Agricola[[#This Row],[Indexación Económico]],0)</f>
        <v>0</v>
      </c>
      <c r="U330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30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30" s="761">
        <f>IFERROR(Producción_Agricola[[#This Row],[Financiero $Corrientes]]/Producción_Agricola[[#This Row],[Indexación Financiero]],0)</f>
        <v>0</v>
      </c>
      <c r="X330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30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30" s="766">
        <f>IFERROR(Producción_Agricola[[#This Row],[Intereses $Corrientes]]/Producción_Agricola[[#This Row],[Indexación Financiero]],0)</f>
        <v>0</v>
      </c>
      <c r="AA330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30" s="768">
        <f>IFERROR(INDEX(Produccion_Agricola_Cuentas[],MATCH(Producción_Agricola[[#This Row],[Cuenta Contable]],Produccion_Agricola_Cuentas[Cuenta Contable],0),2),0)</f>
        <v>0</v>
      </c>
      <c r="AC330" s="769">
        <f>IFERROR(INDEX(Tabla9[],MATCH(Producción_Agricola[[#This Row],[Movimiento]],Tabla9[Movimientos],0),2),0)</f>
        <v>0</v>
      </c>
      <c r="AD330" s="770">
        <f>IFERROR(INDEX(Tabla9[],MATCH(Producción_Agricola[[#This Row],[Movimiento]],Tabla9[Movimientos],0),3),0)</f>
        <v>0</v>
      </c>
      <c r="AE330" s="765">
        <f>IF(Producción_Agricola[[#This Row],[Fecha Económico]]=0,0,MONTH(Producción_Agricola[[#This Row],[Fecha Económico]]))</f>
        <v>0</v>
      </c>
      <c r="AF330" s="766">
        <f>IF(Producción_Agricola[[#This Row],[Fecha Económico]]=0,0,YEAR(Producción_Agricola[[#This Row],[Fecha Económico]]))</f>
        <v>0</v>
      </c>
      <c r="AG330" s="771">
        <f>SUMPRODUCT((Producción_Agricola[[#This Row],[Mes Económico]]=Tipo_Cambio[Mes])*(Producción_Agricola[[#This Row],[Año Económico]]=Tipo_Cambio[Año])*(Tipo_Cambio[$/U$S]))</f>
        <v>0</v>
      </c>
      <c r="AH330" s="770">
        <f>SUMPRODUCT((Producción_Agricola[[#This Row],[Mes Económico]]=Tipo_Cambio[Mes])*(Producción_Agricola[[#This Row],[Año Económico]]=Tipo_Cambio[Año])*(Tipo_Cambio[Actualización]))</f>
        <v>0</v>
      </c>
      <c r="AI330" s="766">
        <f>IF(ISNUMBER(Producción_Agricola[[#This Row],[Fecha Financiero]])=TRUE,MONTH(Producción_Agricola[[#This Row],[Fecha Financiero]]),0)</f>
        <v>0</v>
      </c>
      <c r="AJ330" s="766">
        <f>IF(ISNUMBER(Producción_Agricola[[#This Row],[Fecha Financiero]])=TRUE,YEAR(Producción_Agricola[[#This Row],[Fecha Financiero]]),0)</f>
        <v>0</v>
      </c>
      <c r="AK330" s="771">
        <f>SUMPRODUCT((Producción_Agricola[[#This Row],[Mes Financiero]]=Tipo_Cambio[Mes])*(Producción_Agricola[[#This Row],[Año Financiero]]=Tipo_Cambio[Año])*(Tipo_Cambio[$/U$S]))</f>
        <v>0</v>
      </c>
      <c r="AL330" s="771">
        <f>SUMPRODUCT((Producción_Agricola[[#This Row],[Mes Financiero]]=Tipo_Cambio[Mes])*(Producción_Agricola[[#This Row],[Año Financiero]]=Tipo_Cambio[Año])*(Tipo_Cambio[Actualización]))</f>
        <v>0</v>
      </c>
      <c r="AM330" s="772">
        <f>IFERROR(Producción_Agricola[[#This Row],[Económico $Corrientes]]/Producción_Agricola[[#This Row],[Superficie]],0)</f>
        <v>0</v>
      </c>
      <c r="AN330" s="773">
        <f>IFERROR(Producción_Agricola[[#This Row],[Económico $Constantes]]/Producción_Agricola[[#This Row],[Superficie]],0)</f>
        <v>0</v>
      </c>
      <c r="AO330" s="773">
        <f>IFERROR(Producción_Agricola[[#This Row],[Económico U$S Dólares]]/Producción_Agricola[[#This Row],[Superficie]],0)</f>
        <v>0</v>
      </c>
      <c r="AP330" s="774">
        <f>IF(Económico!$F$4=0,0,Producción_Agricola[[#This Row],[Centro de Costo]])</f>
        <v>0</v>
      </c>
      <c r="AQ330" s="512"/>
      <c r="AR330" s="663"/>
      <c r="AS330"/>
    </row>
    <row r="331" spans="1:45" x14ac:dyDescent="0.25">
      <c r="A331" s="509"/>
      <c r="B331" s="487">
        <f>+$J$327</f>
        <v>0</v>
      </c>
      <c r="C331" s="509"/>
      <c r="D331" s="478"/>
      <c r="E331" s="478"/>
      <c r="F331" s="668">
        <f t="shared" si="56"/>
        <v>0</v>
      </c>
      <c r="G331" s="673">
        <f t="shared" si="57"/>
        <v>0</v>
      </c>
      <c r="H331" s="673">
        <f t="shared" si="58"/>
        <v>0</v>
      </c>
      <c r="I331" s="687">
        <f>IFERROR(INDEX(Tabla8[],MATCH(Producción_Agricola[[#This Row],[Unidad de Negocio]],Tabla8[Unidades de Negocio],0),2),0)</f>
        <v>0</v>
      </c>
      <c r="J331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31" s="661"/>
      <c r="L331" s="482"/>
      <c r="M331" s="483"/>
      <c r="N331" s="484"/>
      <c r="O331" s="694">
        <f>Producción_Agricola[[#This Row],[Superficie]]*Producción_Agricola[[#This Row],[Cantidad]]</f>
        <v>0</v>
      </c>
      <c r="P331" s="482"/>
      <c r="Q331" s="484"/>
      <c r="R331" s="485"/>
      <c r="S331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31" s="761">
        <f>IFERROR(Producción_Agricola[[#This Row],[Económico $Corrientes]]/Producción_Agricola[[#This Row],[Indexación Económico]],0)</f>
        <v>0</v>
      </c>
      <c r="U331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31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31" s="761">
        <f>IFERROR(Producción_Agricola[[#This Row],[Financiero $Corrientes]]/Producción_Agricola[[#This Row],[Indexación Financiero]],0)</f>
        <v>0</v>
      </c>
      <c r="X331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31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31" s="766">
        <f>IFERROR(Producción_Agricola[[#This Row],[Intereses $Corrientes]]/Producción_Agricola[[#This Row],[Indexación Financiero]],0)</f>
        <v>0</v>
      </c>
      <c r="AA331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31" s="768">
        <f>IFERROR(INDEX(Produccion_Agricola_Cuentas[],MATCH(Producción_Agricola[[#This Row],[Cuenta Contable]],Produccion_Agricola_Cuentas[Cuenta Contable],0),2),0)</f>
        <v>0</v>
      </c>
      <c r="AC331" s="769">
        <f>IFERROR(INDEX(Tabla9[],MATCH(Producción_Agricola[[#This Row],[Movimiento]],Tabla9[Movimientos],0),2),0)</f>
        <v>0</v>
      </c>
      <c r="AD331" s="770">
        <f>IFERROR(INDEX(Tabla9[],MATCH(Producción_Agricola[[#This Row],[Movimiento]],Tabla9[Movimientos],0),3),0)</f>
        <v>0</v>
      </c>
      <c r="AE331" s="765">
        <f>IF(Producción_Agricola[[#This Row],[Fecha Económico]]=0,0,MONTH(Producción_Agricola[[#This Row],[Fecha Económico]]))</f>
        <v>0</v>
      </c>
      <c r="AF331" s="766">
        <f>IF(Producción_Agricola[[#This Row],[Fecha Económico]]=0,0,YEAR(Producción_Agricola[[#This Row],[Fecha Económico]]))</f>
        <v>0</v>
      </c>
      <c r="AG331" s="771">
        <f>SUMPRODUCT((Producción_Agricola[[#This Row],[Mes Económico]]=Tipo_Cambio[Mes])*(Producción_Agricola[[#This Row],[Año Económico]]=Tipo_Cambio[Año])*(Tipo_Cambio[$/U$S]))</f>
        <v>0</v>
      </c>
      <c r="AH331" s="770">
        <f>SUMPRODUCT((Producción_Agricola[[#This Row],[Mes Económico]]=Tipo_Cambio[Mes])*(Producción_Agricola[[#This Row],[Año Económico]]=Tipo_Cambio[Año])*(Tipo_Cambio[Actualización]))</f>
        <v>0</v>
      </c>
      <c r="AI331" s="766">
        <f>IF(ISNUMBER(Producción_Agricola[[#This Row],[Fecha Financiero]])=TRUE,MONTH(Producción_Agricola[[#This Row],[Fecha Financiero]]),0)</f>
        <v>0</v>
      </c>
      <c r="AJ331" s="766">
        <f>IF(ISNUMBER(Producción_Agricola[[#This Row],[Fecha Financiero]])=TRUE,YEAR(Producción_Agricola[[#This Row],[Fecha Financiero]]),0)</f>
        <v>0</v>
      </c>
      <c r="AK331" s="771">
        <f>SUMPRODUCT((Producción_Agricola[[#This Row],[Mes Financiero]]=Tipo_Cambio[Mes])*(Producción_Agricola[[#This Row],[Año Financiero]]=Tipo_Cambio[Año])*(Tipo_Cambio[$/U$S]))</f>
        <v>0</v>
      </c>
      <c r="AL331" s="771">
        <f>SUMPRODUCT((Producción_Agricola[[#This Row],[Mes Financiero]]=Tipo_Cambio[Mes])*(Producción_Agricola[[#This Row],[Año Financiero]]=Tipo_Cambio[Año])*(Tipo_Cambio[Actualización]))</f>
        <v>0</v>
      </c>
      <c r="AM331" s="772">
        <f>IFERROR(Producción_Agricola[[#This Row],[Económico $Corrientes]]/Producción_Agricola[[#This Row],[Superficie]],0)</f>
        <v>0</v>
      </c>
      <c r="AN331" s="773">
        <f>IFERROR(Producción_Agricola[[#This Row],[Económico $Constantes]]/Producción_Agricola[[#This Row],[Superficie]],0)</f>
        <v>0</v>
      </c>
      <c r="AO331" s="773">
        <f>IFERROR(Producción_Agricola[[#This Row],[Económico U$S Dólares]]/Producción_Agricola[[#This Row],[Superficie]],0)</f>
        <v>0</v>
      </c>
      <c r="AP331" s="774">
        <f>IF(Económico!$F$4=0,0,Producción_Agricola[[#This Row],[Centro de Costo]])</f>
        <v>0</v>
      </c>
      <c r="AQ331" s="512"/>
      <c r="AR331" s="663"/>
      <c r="AS331"/>
    </row>
    <row r="332" spans="1:45" x14ac:dyDescent="0.25">
      <c r="A332" s="509"/>
      <c r="B332" s="494"/>
      <c r="C332" s="509"/>
      <c r="D332" s="478"/>
      <c r="E332" s="478"/>
      <c r="F332" s="668">
        <f t="shared" si="56"/>
        <v>0</v>
      </c>
      <c r="G332" s="673">
        <f t="shared" si="57"/>
        <v>0</v>
      </c>
      <c r="H332" s="673">
        <f t="shared" si="58"/>
        <v>0</v>
      </c>
      <c r="I332" s="687">
        <f>IFERROR(INDEX(Tabla8[],MATCH(Producción_Agricola[[#This Row],[Unidad de Negocio]],Tabla8[Unidades de Negocio],0),2),0)</f>
        <v>0</v>
      </c>
      <c r="J332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32" s="661"/>
      <c r="L332" s="482"/>
      <c r="M332" s="483"/>
      <c r="N332" s="484"/>
      <c r="O332" s="694">
        <f>Producción_Agricola[[#This Row],[Superficie]]*Producción_Agricola[[#This Row],[Cantidad]]</f>
        <v>0</v>
      </c>
      <c r="P332" s="482"/>
      <c r="Q332" s="484"/>
      <c r="R332" s="485"/>
      <c r="S332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32" s="761">
        <f>IFERROR(Producción_Agricola[[#This Row],[Económico $Corrientes]]/Producción_Agricola[[#This Row],[Indexación Económico]],0)</f>
        <v>0</v>
      </c>
      <c r="U332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32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32" s="761">
        <f>IFERROR(Producción_Agricola[[#This Row],[Financiero $Corrientes]]/Producción_Agricola[[#This Row],[Indexación Financiero]],0)</f>
        <v>0</v>
      </c>
      <c r="X332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32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32" s="766">
        <f>IFERROR(Producción_Agricola[[#This Row],[Intereses $Corrientes]]/Producción_Agricola[[#This Row],[Indexación Financiero]],0)</f>
        <v>0</v>
      </c>
      <c r="AA332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32" s="768">
        <f>IFERROR(INDEX(Produccion_Agricola_Cuentas[],MATCH(Producción_Agricola[[#This Row],[Cuenta Contable]],Produccion_Agricola_Cuentas[Cuenta Contable],0),2),0)</f>
        <v>0</v>
      </c>
      <c r="AC332" s="769">
        <f>IFERROR(INDEX(Tabla9[],MATCH(Producción_Agricola[[#This Row],[Movimiento]],Tabla9[Movimientos],0),2),0)</f>
        <v>0</v>
      </c>
      <c r="AD332" s="770">
        <f>IFERROR(INDEX(Tabla9[],MATCH(Producción_Agricola[[#This Row],[Movimiento]],Tabla9[Movimientos],0),3),0)</f>
        <v>0</v>
      </c>
      <c r="AE332" s="765">
        <f>IF(Producción_Agricola[[#This Row],[Fecha Económico]]=0,0,MONTH(Producción_Agricola[[#This Row],[Fecha Económico]]))</f>
        <v>0</v>
      </c>
      <c r="AF332" s="766">
        <f>IF(Producción_Agricola[[#This Row],[Fecha Económico]]=0,0,YEAR(Producción_Agricola[[#This Row],[Fecha Económico]]))</f>
        <v>0</v>
      </c>
      <c r="AG332" s="771">
        <f>SUMPRODUCT((Producción_Agricola[[#This Row],[Mes Económico]]=Tipo_Cambio[Mes])*(Producción_Agricola[[#This Row],[Año Económico]]=Tipo_Cambio[Año])*(Tipo_Cambio[$/U$S]))</f>
        <v>0</v>
      </c>
      <c r="AH332" s="770">
        <f>SUMPRODUCT((Producción_Agricola[[#This Row],[Mes Económico]]=Tipo_Cambio[Mes])*(Producción_Agricola[[#This Row],[Año Económico]]=Tipo_Cambio[Año])*(Tipo_Cambio[Actualización]))</f>
        <v>0</v>
      </c>
      <c r="AI332" s="766">
        <f>IF(ISNUMBER(Producción_Agricola[[#This Row],[Fecha Financiero]])=TRUE,MONTH(Producción_Agricola[[#This Row],[Fecha Financiero]]),0)</f>
        <v>0</v>
      </c>
      <c r="AJ332" s="766">
        <f>IF(ISNUMBER(Producción_Agricola[[#This Row],[Fecha Financiero]])=TRUE,YEAR(Producción_Agricola[[#This Row],[Fecha Financiero]]),0)</f>
        <v>0</v>
      </c>
      <c r="AK332" s="771">
        <f>SUMPRODUCT((Producción_Agricola[[#This Row],[Mes Financiero]]=Tipo_Cambio[Mes])*(Producción_Agricola[[#This Row],[Año Financiero]]=Tipo_Cambio[Año])*(Tipo_Cambio[$/U$S]))</f>
        <v>0</v>
      </c>
      <c r="AL332" s="771">
        <f>SUMPRODUCT((Producción_Agricola[[#This Row],[Mes Financiero]]=Tipo_Cambio[Mes])*(Producción_Agricola[[#This Row],[Año Financiero]]=Tipo_Cambio[Año])*(Tipo_Cambio[Actualización]))</f>
        <v>0</v>
      </c>
      <c r="AM332" s="772">
        <f>IFERROR(Producción_Agricola[[#This Row],[Económico $Corrientes]]/Producción_Agricola[[#This Row],[Superficie]],0)</f>
        <v>0</v>
      </c>
      <c r="AN332" s="773">
        <f>IFERROR(Producción_Agricola[[#This Row],[Económico $Constantes]]/Producción_Agricola[[#This Row],[Superficie]],0)</f>
        <v>0</v>
      </c>
      <c r="AO332" s="773">
        <f>IFERROR(Producción_Agricola[[#This Row],[Económico U$S Dólares]]/Producción_Agricola[[#This Row],[Superficie]],0)</f>
        <v>0</v>
      </c>
      <c r="AP332" s="774">
        <f>IF(Económico!$F$4=0,0,Producción_Agricola[[#This Row],[Centro de Costo]])</f>
        <v>0</v>
      </c>
      <c r="AQ332" s="512"/>
      <c r="AR332" s="663"/>
      <c r="AS332"/>
    </row>
    <row r="333" spans="1:45" x14ac:dyDescent="0.25">
      <c r="A333" s="509"/>
      <c r="B333" s="494"/>
      <c r="C333" s="509"/>
      <c r="D333" s="478"/>
      <c r="E333" s="478"/>
      <c r="F333" s="668">
        <f t="shared" si="56"/>
        <v>0</v>
      </c>
      <c r="G333" s="673">
        <f t="shared" si="57"/>
        <v>0</v>
      </c>
      <c r="H333" s="673">
        <f t="shared" si="58"/>
        <v>0</v>
      </c>
      <c r="I333" s="687">
        <f>IFERROR(INDEX(Tabla8[],MATCH(Producción_Agricola[[#This Row],[Unidad de Negocio]],Tabla8[Unidades de Negocio],0),2),0)</f>
        <v>0</v>
      </c>
      <c r="J333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33" s="661"/>
      <c r="L333" s="482"/>
      <c r="M333" s="483"/>
      <c r="N333" s="484"/>
      <c r="O333" s="694">
        <f>Producción_Agricola[[#This Row],[Superficie]]*Producción_Agricola[[#This Row],[Cantidad]]</f>
        <v>0</v>
      </c>
      <c r="P333" s="482"/>
      <c r="Q333" s="484"/>
      <c r="R333" s="485"/>
      <c r="S333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33" s="761">
        <f>IFERROR(Producción_Agricola[[#This Row],[Económico $Corrientes]]/Producción_Agricola[[#This Row],[Indexación Económico]],0)</f>
        <v>0</v>
      </c>
      <c r="U333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33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33" s="761">
        <f>IFERROR(Producción_Agricola[[#This Row],[Financiero $Corrientes]]/Producción_Agricola[[#This Row],[Indexación Financiero]],0)</f>
        <v>0</v>
      </c>
      <c r="X333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33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33" s="766">
        <f>IFERROR(Producción_Agricola[[#This Row],[Intereses $Corrientes]]/Producción_Agricola[[#This Row],[Indexación Financiero]],0)</f>
        <v>0</v>
      </c>
      <c r="AA333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33" s="768">
        <f>IFERROR(INDEX(Produccion_Agricola_Cuentas[],MATCH(Producción_Agricola[[#This Row],[Cuenta Contable]],Produccion_Agricola_Cuentas[Cuenta Contable],0),2),0)</f>
        <v>0</v>
      </c>
      <c r="AC333" s="769">
        <f>IFERROR(INDEX(Tabla9[],MATCH(Producción_Agricola[[#This Row],[Movimiento]],Tabla9[Movimientos],0),2),0)</f>
        <v>0</v>
      </c>
      <c r="AD333" s="770">
        <f>IFERROR(INDEX(Tabla9[],MATCH(Producción_Agricola[[#This Row],[Movimiento]],Tabla9[Movimientos],0),3),0)</f>
        <v>0</v>
      </c>
      <c r="AE333" s="765">
        <f>IF(Producción_Agricola[[#This Row],[Fecha Económico]]=0,0,MONTH(Producción_Agricola[[#This Row],[Fecha Económico]]))</f>
        <v>0</v>
      </c>
      <c r="AF333" s="766">
        <f>IF(Producción_Agricola[[#This Row],[Fecha Económico]]=0,0,YEAR(Producción_Agricola[[#This Row],[Fecha Económico]]))</f>
        <v>0</v>
      </c>
      <c r="AG333" s="771">
        <f>SUMPRODUCT((Producción_Agricola[[#This Row],[Mes Económico]]=Tipo_Cambio[Mes])*(Producción_Agricola[[#This Row],[Año Económico]]=Tipo_Cambio[Año])*(Tipo_Cambio[$/U$S]))</f>
        <v>0</v>
      </c>
      <c r="AH333" s="770">
        <f>SUMPRODUCT((Producción_Agricola[[#This Row],[Mes Económico]]=Tipo_Cambio[Mes])*(Producción_Agricola[[#This Row],[Año Económico]]=Tipo_Cambio[Año])*(Tipo_Cambio[Actualización]))</f>
        <v>0</v>
      </c>
      <c r="AI333" s="766">
        <f>IF(ISNUMBER(Producción_Agricola[[#This Row],[Fecha Financiero]])=TRUE,MONTH(Producción_Agricola[[#This Row],[Fecha Financiero]]),0)</f>
        <v>0</v>
      </c>
      <c r="AJ333" s="766">
        <f>IF(ISNUMBER(Producción_Agricola[[#This Row],[Fecha Financiero]])=TRUE,YEAR(Producción_Agricola[[#This Row],[Fecha Financiero]]),0)</f>
        <v>0</v>
      </c>
      <c r="AK333" s="771">
        <f>SUMPRODUCT((Producción_Agricola[[#This Row],[Mes Financiero]]=Tipo_Cambio[Mes])*(Producción_Agricola[[#This Row],[Año Financiero]]=Tipo_Cambio[Año])*(Tipo_Cambio[$/U$S]))</f>
        <v>0</v>
      </c>
      <c r="AL333" s="771">
        <f>SUMPRODUCT((Producción_Agricola[[#This Row],[Mes Financiero]]=Tipo_Cambio[Mes])*(Producción_Agricola[[#This Row],[Año Financiero]]=Tipo_Cambio[Año])*(Tipo_Cambio[Actualización]))</f>
        <v>0</v>
      </c>
      <c r="AM333" s="772">
        <f>IFERROR(Producción_Agricola[[#This Row],[Económico $Corrientes]]/Producción_Agricola[[#This Row],[Superficie]],0)</f>
        <v>0</v>
      </c>
      <c r="AN333" s="773">
        <f>IFERROR(Producción_Agricola[[#This Row],[Económico $Constantes]]/Producción_Agricola[[#This Row],[Superficie]],0)</f>
        <v>0</v>
      </c>
      <c r="AO333" s="773">
        <f>IFERROR(Producción_Agricola[[#This Row],[Económico U$S Dólares]]/Producción_Agricola[[#This Row],[Superficie]],0)</f>
        <v>0</v>
      </c>
      <c r="AP333" s="774">
        <f>IF(Económico!$F$4=0,0,Producción_Agricola[[#This Row],[Centro de Costo]])</f>
        <v>0</v>
      </c>
      <c r="AQ333" s="512"/>
      <c r="AR333" s="663"/>
      <c r="AS333"/>
    </row>
    <row r="334" spans="1:45" x14ac:dyDescent="0.25">
      <c r="A334" s="509"/>
      <c r="B334" s="494"/>
      <c r="C334" s="509"/>
      <c r="D334" s="478"/>
      <c r="E334" s="478"/>
      <c r="F334" s="668">
        <f t="shared" si="56"/>
        <v>0</v>
      </c>
      <c r="G334" s="673">
        <f t="shared" si="57"/>
        <v>0</v>
      </c>
      <c r="H334" s="673">
        <f t="shared" si="58"/>
        <v>0</v>
      </c>
      <c r="I334" s="687">
        <f>IFERROR(INDEX(Tabla8[],MATCH(Producción_Agricola[[#This Row],[Unidad de Negocio]],Tabla8[Unidades de Negocio],0),2),0)</f>
        <v>0</v>
      </c>
      <c r="J334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34" s="661"/>
      <c r="L334" s="482"/>
      <c r="M334" s="483"/>
      <c r="N334" s="484"/>
      <c r="O334" s="694">
        <f>Producción_Agricola[[#This Row],[Superficie]]*Producción_Agricola[[#This Row],[Cantidad]]</f>
        <v>0</v>
      </c>
      <c r="P334" s="482"/>
      <c r="Q334" s="484"/>
      <c r="R334" s="485"/>
      <c r="S334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34" s="761">
        <f>IFERROR(Producción_Agricola[[#This Row],[Económico $Corrientes]]/Producción_Agricola[[#This Row],[Indexación Económico]],0)</f>
        <v>0</v>
      </c>
      <c r="U334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34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34" s="761">
        <f>IFERROR(Producción_Agricola[[#This Row],[Financiero $Corrientes]]/Producción_Agricola[[#This Row],[Indexación Financiero]],0)</f>
        <v>0</v>
      </c>
      <c r="X334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34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34" s="766">
        <f>IFERROR(Producción_Agricola[[#This Row],[Intereses $Corrientes]]/Producción_Agricola[[#This Row],[Indexación Financiero]],0)</f>
        <v>0</v>
      </c>
      <c r="AA334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34" s="768">
        <f>IFERROR(INDEX(Produccion_Agricola_Cuentas[],MATCH(Producción_Agricola[[#This Row],[Cuenta Contable]],Produccion_Agricola_Cuentas[Cuenta Contable],0),2),0)</f>
        <v>0</v>
      </c>
      <c r="AC334" s="769">
        <f>IFERROR(INDEX(Tabla9[],MATCH(Producción_Agricola[[#This Row],[Movimiento]],Tabla9[Movimientos],0),2),0)</f>
        <v>0</v>
      </c>
      <c r="AD334" s="770">
        <f>IFERROR(INDEX(Tabla9[],MATCH(Producción_Agricola[[#This Row],[Movimiento]],Tabla9[Movimientos],0),3),0)</f>
        <v>0</v>
      </c>
      <c r="AE334" s="765">
        <f>IF(Producción_Agricola[[#This Row],[Fecha Económico]]=0,0,MONTH(Producción_Agricola[[#This Row],[Fecha Económico]]))</f>
        <v>0</v>
      </c>
      <c r="AF334" s="766">
        <f>IF(Producción_Agricola[[#This Row],[Fecha Económico]]=0,0,YEAR(Producción_Agricola[[#This Row],[Fecha Económico]]))</f>
        <v>0</v>
      </c>
      <c r="AG334" s="771">
        <f>SUMPRODUCT((Producción_Agricola[[#This Row],[Mes Económico]]=Tipo_Cambio[Mes])*(Producción_Agricola[[#This Row],[Año Económico]]=Tipo_Cambio[Año])*(Tipo_Cambio[$/U$S]))</f>
        <v>0</v>
      </c>
      <c r="AH334" s="770">
        <f>SUMPRODUCT((Producción_Agricola[[#This Row],[Mes Económico]]=Tipo_Cambio[Mes])*(Producción_Agricola[[#This Row],[Año Económico]]=Tipo_Cambio[Año])*(Tipo_Cambio[Actualización]))</f>
        <v>0</v>
      </c>
      <c r="AI334" s="766">
        <f>IF(ISNUMBER(Producción_Agricola[[#This Row],[Fecha Financiero]])=TRUE,MONTH(Producción_Agricola[[#This Row],[Fecha Financiero]]),0)</f>
        <v>0</v>
      </c>
      <c r="AJ334" s="766">
        <f>IF(ISNUMBER(Producción_Agricola[[#This Row],[Fecha Financiero]])=TRUE,YEAR(Producción_Agricola[[#This Row],[Fecha Financiero]]),0)</f>
        <v>0</v>
      </c>
      <c r="AK334" s="771">
        <f>SUMPRODUCT((Producción_Agricola[[#This Row],[Mes Financiero]]=Tipo_Cambio[Mes])*(Producción_Agricola[[#This Row],[Año Financiero]]=Tipo_Cambio[Año])*(Tipo_Cambio[$/U$S]))</f>
        <v>0</v>
      </c>
      <c r="AL334" s="771">
        <f>SUMPRODUCT((Producción_Agricola[[#This Row],[Mes Financiero]]=Tipo_Cambio[Mes])*(Producción_Agricola[[#This Row],[Año Financiero]]=Tipo_Cambio[Año])*(Tipo_Cambio[Actualización]))</f>
        <v>0</v>
      </c>
      <c r="AM334" s="772">
        <f>IFERROR(Producción_Agricola[[#This Row],[Económico $Corrientes]]/Producción_Agricola[[#This Row],[Superficie]],0)</f>
        <v>0</v>
      </c>
      <c r="AN334" s="773">
        <f>IFERROR(Producción_Agricola[[#This Row],[Económico $Constantes]]/Producción_Agricola[[#This Row],[Superficie]],0)</f>
        <v>0</v>
      </c>
      <c r="AO334" s="773">
        <f>IFERROR(Producción_Agricola[[#This Row],[Económico U$S Dólares]]/Producción_Agricola[[#This Row],[Superficie]],0)</f>
        <v>0</v>
      </c>
      <c r="AP334" s="774">
        <f>IF(Económico!$F$4=0,0,Producción_Agricola[[#This Row],[Centro de Costo]])</f>
        <v>0</v>
      </c>
      <c r="AQ334" s="512"/>
      <c r="AR334" s="663"/>
      <c r="AS334"/>
    </row>
    <row r="335" spans="1:45" x14ac:dyDescent="0.25">
      <c r="A335" s="509"/>
      <c r="B335" s="494"/>
      <c r="C335" s="509"/>
      <c r="D335" s="478"/>
      <c r="E335" s="478"/>
      <c r="F335" s="668">
        <f t="shared" si="56"/>
        <v>0</v>
      </c>
      <c r="G335" s="673">
        <f t="shared" si="57"/>
        <v>0</v>
      </c>
      <c r="H335" s="673">
        <f t="shared" si="58"/>
        <v>0</v>
      </c>
      <c r="I335" s="687">
        <f>IFERROR(INDEX(Tabla8[],MATCH(Producción_Agricola[[#This Row],[Unidad de Negocio]],Tabla8[Unidades de Negocio],0),2),0)</f>
        <v>0</v>
      </c>
      <c r="J335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35" s="661"/>
      <c r="L335" s="482"/>
      <c r="M335" s="483"/>
      <c r="N335" s="484"/>
      <c r="O335" s="694">
        <f>Producción_Agricola[[#This Row],[Superficie]]*Producción_Agricola[[#This Row],[Cantidad]]</f>
        <v>0</v>
      </c>
      <c r="P335" s="482"/>
      <c r="Q335" s="484"/>
      <c r="R335" s="485"/>
      <c r="S335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35" s="761">
        <f>IFERROR(Producción_Agricola[[#This Row],[Económico $Corrientes]]/Producción_Agricola[[#This Row],[Indexación Económico]],0)</f>
        <v>0</v>
      </c>
      <c r="U335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35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35" s="761">
        <f>IFERROR(Producción_Agricola[[#This Row],[Financiero $Corrientes]]/Producción_Agricola[[#This Row],[Indexación Financiero]],0)</f>
        <v>0</v>
      </c>
      <c r="X335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35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35" s="766">
        <f>IFERROR(Producción_Agricola[[#This Row],[Intereses $Corrientes]]/Producción_Agricola[[#This Row],[Indexación Financiero]],0)</f>
        <v>0</v>
      </c>
      <c r="AA335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35" s="768">
        <f>IFERROR(INDEX(Produccion_Agricola_Cuentas[],MATCH(Producción_Agricola[[#This Row],[Cuenta Contable]],Produccion_Agricola_Cuentas[Cuenta Contable],0),2),0)</f>
        <v>0</v>
      </c>
      <c r="AC335" s="769">
        <f>IFERROR(INDEX(Tabla9[],MATCH(Producción_Agricola[[#This Row],[Movimiento]],Tabla9[Movimientos],0),2),0)</f>
        <v>0</v>
      </c>
      <c r="AD335" s="770">
        <f>IFERROR(INDEX(Tabla9[],MATCH(Producción_Agricola[[#This Row],[Movimiento]],Tabla9[Movimientos],0),3),0)</f>
        <v>0</v>
      </c>
      <c r="AE335" s="765">
        <f>IF(Producción_Agricola[[#This Row],[Fecha Económico]]=0,0,MONTH(Producción_Agricola[[#This Row],[Fecha Económico]]))</f>
        <v>0</v>
      </c>
      <c r="AF335" s="766">
        <f>IF(Producción_Agricola[[#This Row],[Fecha Económico]]=0,0,YEAR(Producción_Agricola[[#This Row],[Fecha Económico]]))</f>
        <v>0</v>
      </c>
      <c r="AG335" s="771">
        <f>SUMPRODUCT((Producción_Agricola[[#This Row],[Mes Económico]]=Tipo_Cambio[Mes])*(Producción_Agricola[[#This Row],[Año Económico]]=Tipo_Cambio[Año])*(Tipo_Cambio[$/U$S]))</f>
        <v>0</v>
      </c>
      <c r="AH335" s="770">
        <f>SUMPRODUCT((Producción_Agricola[[#This Row],[Mes Económico]]=Tipo_Cambio[Mes])*(Producción_Agricola[[#This Row],[Año Económico]]=Tipo_Cambio[Año])*(Tipo_Cambio[Actualización]))</f>
        <v>0</v>
      </c>
      <c r="AI335" s="766">
        <f>IF(ISNUMBER(Producción_Agricola[[#This Row],[Fecha Financiero]])=TRUE,MONTH(Producción_Agricola[[#This Row],[Fecha Financiero]]),0)</f>
        <v>0</v>
      </c>
      <c r="AJ335" s="766">
        <f>IF(ISNUMBER(Producción_Agricola[[#This Row],[Fecha Financiero]])=TRUE,YEAR(Producción_Agricola[[#This Row],[Fecha Financiero]]),0)</f>
        <v>0</v>
      </c>
      <c r="AK335" s="771">
        <f>SUMPRODUCT((Producción_Agricola[[#This Row],[Mes Financiero]]=Tipo_Cambio[Mes])*(Producción_Agricola[[#This Row],[Año Financiero]]=Tipo_Cambio[Año])*(Tipo_Cambio[$/U$S]))</f>
        <v>0</v>
      </c>
      <c r="AL335" s="771">
        <f>SUMPRODUCT((Producción_Agricola[[#This Row],[Mes Financiero]]=Tipo_Cambio[Mes])*(Producción_Agricola[[#This Row],[Año Financiero]]=Tipo_Cambio[Año])*(Tipo_Cambio[Actualización]))</f>
        <v>0</v>
      </c>
      <c r="AM335" s="772">
        <f>IFERROR(Producción_Agricola[[#This Row],[Económico $Corrientes]]/Producción_Agricola[[#This Row],[Superficie]],0)</f>
        <v>0</v>
      </c>
      <c r="AN335" s="773">
        <f>IFERROR(Producción_Agricola[[#This Row],[Económico $Constantes]]/Producción_Agricola[[#This Row],[Superficie]],0)</f>
        <v>0</v>
      </c>
      <c r="AO335" s="773">
        <f>IFERROR(Producción_Agricola[[#This Row],[Económico U$S Dólares]]/Producción_Agricola[[#This Row],[Superficie]],0)</f>
        <v>0</v>
      </c>
      <c r="AP335" s="774">
        <f>IF(Económico!$F$4=0,0,Producción_Agricola[[#This Row],[Centro de Costo]])</f>
        <v>0</v>
      </c>
      <c r="AQ335" s="512"/>
      <c r="AR335" s="663"/>
      <c r="AS335"/>
    </row>
    <row r="336" spans="1:45" x14ac:dyDescent="0.25">
      <c r="A336" s="509"/>
      <c r="B336" s="494"/>
      <c r="C336" s="509"/>
      <c r="D336" s="478"/>
      <c r="E336" s="478"/>
      <c r="F336" s="668">
        <f t="shared" si="56"/>
        <v>0</v>
      </c>
      <c r="G336" s="673">
        <f t="shared" si="57"/>
        <v>0</v>
      </c>
      <c r="H336" s="673">
        <f t="shared" si="58"/>
        <v>0</v>
      </c>
      <c r="I336" s="687">
        <f>IFERROR(INDEX(Tabla8[],MATCH(Producción_Agricola[[#This Row],[Unidad de Negocio]],Tabla8[Unidades de Negocio],0),2),0)</f>
        <v>0</v>
      </c>
      <c r="J336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36" s="661"/>
      <c r="L336" s="482"/>
      <c r="M336" s="483"/>
      <c r="N336" s="484"/>
      <c r="O336" s="694">
        <f>Producción_Agricola[[#This Row],[Superficie]]*Producción_Agricola[[#This Row],[Cantidad]]</f>
        <v>0</v>
      </c>
      <c r="P336" s="482"/>
      <c r="Q336" s="484"/>
      <c r="R336" s="485"/>
      <c r="S336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36" s="761">
        <f>IFERROR(Producción_Agricola[[#This Row],[Económico $Corrientes]]/Producción_Agricola[[#This Row],[Indexación Económico]],0)</f>
        <v>0</v>
      </c>
      <c r="U336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36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36" s="761">
        <f>IFERROR(Producción_Agricola[[#This Row],[Financiero $Corrientes]]/Producción_Agricola[[#This Row],[Indexación Financiero]],0)</f>
        <v>0</v>
      </c>
      <c r="X336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36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36" s="766">
        <f>IFERROR(Producción_Agricola[[#This Row],[Intereses $Corrientes]]/Producción_Agricola[[#This Row],[Indexación Financiero]],0)</f>
        <v>0</v>
      </c>
      <c r="AA336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36" s="768">
        <f>IFERROR(INDEX(Produccion_Agricola_Cuentas[],MATCH(Producción_Agricola[[#This Row],[Cuenta Contable]],Produccion_Agricola_Cuentas[Cuenta Contable],0),2),0)</f>
        <v>0</v>
      </c>
      <c r="AC336" s="769">
        <f>IFERROR(INDEX(Tabla9[],MATCH(Producción_Agricola[[#This Row],[Movimiento]],Tabla9[Movimientos],0),2),0)</f>
        <v>0</v>
      </c>
      <c r="AD336" s="770">
        <f>IFERROR(INDEX(Tabla9[],MATCH(Producción_Agricola[[#This Row],[Movimiento]],Tabla9[Movimientos],0),3),0)</f>
        <v>0</v>
      </c>
      <c r="AE336" s="765">
        <f>IF(Producción_Agricola[[#This Row],[Fecha Económico]]=0,0,MONTH(Producción_Agricola[[#This Row],[Fecha Económico]]))</f>
        <v>0</v>
      </c>
      <c r="AF336" s="766">
        <f>IF(Producción_Agricola[[#This Row],[Fecha Económico]]=0,0,YEAR(Producción_Agricola[[#This Row],[Fecha Económico]]))</f>
        <v>0</v>
      </c>
      <c r="AG336" s="771">
        <f>SUMPRODUCT((Producción_Agricola[[#This Row],[Mes Económico]]=Tipo_Cambio[Mes])*(Producción_Agricola[[#This Row],[Año Económico]]=Tipo_Cambio[Año])*(Tipo_Cambio[$/U$S]))</f>
        <v>0</v>
      </c>
      <c r="AH336" s="770">
        <f>SUMPRODUCT((Producción_Agricola[[#This Row],[Mes Económico]]=Tipo_Cambio[Mes])*(Producción_Agricola[[#This Row],[Año Económico]]=Tipo_Cambio[Año])*(Tipo_Cambio[Actualización]))</f>
        <v>0</v>
      </c>
      <c r="AI336" s="766">
        <f>IF(ISNUMBER(Producción_Agricola[[#This Row],[Fecha Financiero]])=TRUE,MONTH(Producción_Agricola[[#This Row],[Fecha Financiero]]),0)</f>
        <v>0</v>
      </c>
      <c r="AJ336" s="766">
        <f>IF(ISNUMBER(Producción_Agricola[[#This Row],[Fecha Financiero]])=TRUE,YEAR(Producción_Agricola[[#This Row],[Fecha Financiero]]),0)</f>
        <v>0</v>
      </c>
      <c r="AK336" s="771">
        <f>SUMPRODUCT((Producción_Agricola[[#This Row],[Mes Financiero]]=Tipo_Cambio[Mes])*(Producción_Agricola[[#This Row],[Año Financiero]]=Tipo_Cambio[Año])*(Tipo_Cambio[$/U$S]))</f>
        <v>0</v>
      </c>
      <c r="AL336" s="771">
        <f>SUMPRODUCT((Producción_Agricola[[#This Row],[Mes Financiero]]=Tipo_Cambio[Mes])*(Producción_Agricola[[#This Row],[Año Financiero]]=Tipo_Cambio[Año])*(Tipo_Cambio[Actualización]))</f>
        <v>0</v>
      </c>
      <c r="AM336" s="772">
        <f>IFERROR(Producción_Agricola[[#This Row],[Económico $Corrientes]]/Producción_Agricola[[#This Row],[Superficie]],0)</f>
        <v>0</v>
      </c>
      <c r="AN336" s="773">
        <f>IFERROR(Producción_Agricola[[#This Row],[Económico $Constantes]]/Producción_Agricola[[#This Row],[Superficie]],0)</f>
        <v>0</v>
      </c>
      <c r="AO336" s="773">
        <f>IFERROR(Producción_Agricola[[#This Row],[Económico U$S Dólares]]/Producción_Agricola[[#This Row],[Superficie]],0)</f>
        <v>0</v>
      </c>
      <c r="AP336" s="774">
        <f>IF(Económico!$F$4=0,0,Producción_Agricola[[#This Row],[Centro de Costo]])</f>
        <v>0</v>
      </c>
      <c r="AQ336" s="512"/>
      <c r="AR336" s="663"/>
      <c r="AS336"/>
    </row>
    <row r="337" spans="1:45" x14ac:dyDescent="0.25">
      <c r="A337" s="509"/>
      <c r="B337" s="494"/>
      <c r="C337" s="509"/>
      <c r="D337" s="478"/>
      <c r="E337" s="478"/>
      <c r="F337" s="668">
        <f t="shared" si="56"/>
        <v>0</v>
      </c>
      <c r="G337" s="673">
        <f t="shared" si="57"/>
        <v>0</v>
      </c>
      <c r="H337" s="673">
        <f t="shared" si="58"/>
        <v>0</v>
      </c>
      <c r="I337" s="687">
        <f>IFERROR(INDEX(Tabla8[],MATCH(Producción_Agricola[[#This Row],[Unidad de Negocio]],Tabla8[Unidades de Negocio],0),2),0)</f>
        <v>0</v>
      </c>
      <c r="J337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37" s="661"/>
      <c r="L337" s="482"/>
      <c r="M337" s="483"/>
      <c r="N337" s="484"/>
      <c r="O337" s="694">
        <f>Producción_Agricola[[#This Row],[Superficie]]*Producción_Agricola[[#This Row],[Cantidad]]</f>
        <v>0</v>
      </c>
      <c r="P337" s="482"/>
      <c r="Q337" s="484"/>
      <c r="R337" s="485"/>
      <c r="S337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37" s="761">
        <f>IFERROR(Producción_Agricola[[#This Row],[Económico $Corrientes]]/Producción_Agricola[[#This Row],[Indexación Económico]],0)</f>
        <v>0</v>
      </c>
      <c r="U337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37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37" s="761">
        <f>IFERROR(Producción_Agricola[[#This Row],[Financiero $Corrientes]]/Producción_Agricola[[#This Row],[Indexación Financiero]],0)</f>
        <v>0</v>
      </c>
      <c r="X337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37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37" s="766">
        <f>IFERROR(Producción_Agricola[[#This Row],[Intereses $Corrientes]]/Producción_Agricola[[#This Row],[Indexación Financiero]],0)</f>
        <v>0</v>
      </c>
      <c r="AA337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37" s="768">
        <f>IFERROR(INDEX(Produccion_Agricola_Cuentas[],MATCH(Producción_Agricola[[#This Row],[Cuenta Contable]],Produccion_Agricola_Cuentas[Cuenta Contable],0),2),0)</f>
        <v>0</v>
      </c>
      <c r="AC337" s="769">
        <f>IFERROR(INDEX(Tabla9[],MATCH(Producción_Agricola[[#This Row],[Movimiento]],Tabla9[Movimientos],0),2),0)</f>
        <v>0</v>
      </c>
      <c r="AD337" s="770">
        <f>IFERROR(INDEX(Tabla9[],MATCH(Producción_Agricola[[#This Row],[Movimiento]],Tabla9[Movimientos],0),3),0)</f>
        <v>0</v>
      </c>
      <c r="AE337" s="765">
        <f>IF(Producción_Agricola[[#This Row],[Fecha Económico]]=0,0,MONTH(Producción_Agricola[[#This Row],[Fecha Económico]]))</f>
        <v>0</v>
      </c>
      <c r="AF337" s="766">
        <f>IF(Producción_Agricola[[#This Row],[Fecha Económico]]=0,0,YEAR(Producción_Agricola[[#This Row],[Fecha Económico]]))</f>
        <v>0</v>
      </c>
      <c r="AG337" s="771">
        <f>SUMPRODUCT((Producción_Agricola[[#This Row],[Mes Económico]]=Tipo_Cambio[Mes])*(Producción_Agricola[[#This Row],[Año Económico]]=Tipo_Cambio[Año])*(Tipo_Cambio[$/U$S]))</f>
        <v>0</v>
      </c>
      <c r="AH337" s="770">
        <f>SUMPRODUCT((Producción_Agricola[[#This Row],[Mes Económico]]=Tipo_Cambio[Mes])*(Producción_Agricola[[#This Row],[Año Económico]]=Tipo_Cambio[Año])*(Tipo_Cambio[Actualización]))</f>
        <v>0</v>
      </c>
      <c r="AI337" s="766">
        <f>IF(ISNUMBER(Producción_Agricola[[#This Row],[Fecha Financiero]])=TRUE,MONTH(Producción_Agricola[[#This Row],[Fecha Financiero]]),0)</f>
        <v>0</v>
      </c>
      <c r="AJ337" s="766">
        <f>IF(ISNUMBER(Producción_Agricola[[#This Row],[Fecha Financiero]])=TRUE,YEAR(Producción_Agricola[[#This Row],[Fecha Financiero]]),0)</f>
        <v>0</v>
      </c>
      <c r="AK337" s="771">
        <f>SUMPRODUCT((Producción_Agricola[[#This Row],[Mes Financiero]]=Tipo_Cambio[Mes])*(Producción_Agricola[[#This Row],[Año Financiero]]=Tipo_Cambio[Año])*(Tipo_Cambio[$/U$S]))</f>
        <v>0</v>
      </c>
      <c r="AL337" s="771">
        <f>SUMPRODUCT((Producción_Agricola[[#This Row],[Mes Financiero]]=Tipo_Cambio[Mes])*(Producción_Agricola[[#This Row],[Año Financiero]]=Tipo_Cambio[Año])*(Tipo_Cambio[Actualización]))</f>
        <v>0</v>
      </c>
      <c r="AM337" s="772">
        <f>IFERROR(Producción_Agricola[[#This Row],[Económico $Corrientes]]/Producción_Agricola[[#This Row],[Superficie]],0)</f>
        <v>0</v>
      </c>
      <c r="AN337" s="773">
        <f>IFERROR(Producción_Agricola[[#This Row],[Económico $Constantes]]/Producción_Agricola[[#This Row],[Superficie]],0)</f>
        <v>0</v>
      </c>
      <c r="AO337" s="773">
        <f>IFERROR(Producción_Agricola[[#This Row],[Económico U$S Dólares]]/Producción_Agricola[[#This Row],[Superficie]],0)</f>
        <v>0</v>
      </c>
      <c r="AP337" s="774">
        <f>IF(Económico!$F$4=0,0,Producción_Agricola[[#This Row],[Centro de Costo]])</f>
        <v>0</v>
      </c>
      <c r="AQ337" s="512"/>
      <c r="AR337" s="663"/>
      <c r="AS337"/>
    </row>
    <row r="338" spans="1:45" x14ac:dyDescent="0.25">
      <c r="A338" s="509"/>
      <c r="B338" s="494"/>
      <c r="C338" s="509"/>
      <c r="D338" s="478"/>
      <c r="E338" s="478"/>
      <c r="F338" s="668">
        <f t="shared" si="56"/>
        <v>0</v>
      </c>
      <c r="G338" s="673">
        <f t="shared" si="57"/>
        <v>0</v>
      </c>
      <c r="H338" s="673">
        <f t="shared" si="58"/>
        <v>0</v>
      </c>
      <c r="I338" s="687">
        <f>IFERROR(INDEX(Tabla8[],MATCH(Producción_Agricola[[#This Row],[Unidad de Negocio]],Tabla8[Unidades de Negocio],0),2),0)</f>
        <v>0</v>
      </c>
      <c r="J338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38" s="661"/>
      <c r="L338" s="482"/>
      <c r="M338" s="483"/>
      <c r="N338" s="484"/>
      <c r="O338" s="694">
        <f>Producción_Agricola[[#This Row],[Superficie]]*Producción_Agricola[[#This Row],[Cantidad]]</f>
        <v>0</v>
      </c>
      <c r="P338" s="482"/>
      <c r="Q338" s="484"/>
      <c r="R338" s="485"/>
      <c r="S338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38" s="761">
        <f>IFERROR(Producción_Agricola[[#This Row],[Económico $Corrientes]]/Producción_Agricola[[#This Row],[Indexación Económico]],0)</f>
        <v>0</v>
      </c>
      <c r="U338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38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38" s="761">
        <f>IFERROR(Producción_Agricola[[#This Row],[Financiero $Corrientes]]/Producción_Agricola[[#This Row],[Indexación Financiero]],0)</f>
        <v>0</v>
      </c>
      <c r="X338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38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38" s="766">
        <f>IFERROR(Producción_Agricola[[#This Row],[Intereses $Corrientes]]/Producción_Agricola[[#This Row],[Indexación Financiero]],0)</f>
        <v>0</v>
      </c>
      <c r="AA338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38" s="768">
        <f>IFERROR(INDEX(Produccion_Agricola_Cuentas[],MATCH(Producción_Agricola[[#This Row],[Cuenta Contable]],Produccion_Agricola_Cuentas[Cuenta Contable],0),2),0)</f>
        <v>0</v>
      </c>
      <c r="AC338" s="769">
        <f>IFERROR(INDEX(Tabla9[],MATCH(Producción_Agricola[[#This Row],[Movimiento]],Tabla9[Movimientos],0),2),0)</f>
        <v>0</v>
      </c>
      <c r="AD338" s="770">
        <f>IFERROR(INDEX(Tabla9[],MATCH(Producción_Agricola[[#This Row],[Movimiento]],Tabla9[Movimientos],0),3),0)</f>
        <v>0</v>
      </c>
      <c r="AE338" s="765">
        <f>IF(Producción_Agricola[[#This Row],[Fecha Económico]]=0,0,MONTH(Producción_Agricola[[#This Row],[Fecha Económico]]))</f>
        <v>0</v>
      </c>
      <c r="AF338" s="766">
        <f>IF(Producción_Agricola[[#This Row],[Fecha Económico]]=0,0,YEAR(Producción_Agricola[[#This Row],[Fecha Económico]]))</f>
        <v>0</v>
      </c>
      <c r="AG338" s="771">
        <f>SUMPRODUCT((Producción_Agricola[[#This Row],[Mes Económico]]=Tipo_Cambio[Mes])*(Producción_Agricola[[#This Row],[Año Económico]]=Tipo_Cambio[Año])*(Tipo_Cambio[$/U$S]))</f>
        <v>0</v>
      </c>
      <c r="AH338" s="770">
        <f>SUMPRODUCT((Producción_Agricola[[#This Row],[Mes Económico]]=Tipo_Cambio[Mes])*(Producción_Agricola[[#This Row],[Año Económico]]=Tipo_Cambio[Año])*(Tipo_Cambio[Actualización]))</f>
        <v>0</v>
      </c>
      <c r="AI338" s="766">
        <f>IF(ISNUMBER(Producción_Agricola[[#This Row],[Fecha Financiero]])=TRUE,MONTH(Producción_Agricola[[#This Row],[Fecha Financiero]]),0)</f>
        <v>0</v>
      </c>
      <c r="AJ338" s="766">
        <f>IF(ISNUMBER(Producción_Agricola[[#This Row],[Fecha Financiero]])=TRUE,YEAR(Producción_Agricola[[#This Row],[Fecha Financiero]]),0)</f>
        <v>0</v>
      </c>
      <c r="AK338" s="771">
        <f>SUMPRODUCT((Producción_Agricola[[#This Row],[Mes Financiero]]=Tipo_Cambio[Mes])*(Producción_Agricola[[#This Row],[Año Financiero]]=Tipo_Cambio[Año])*(Tipo_Cambio[$/U$S]))</f>
        <v>0</v>
      </c>
      <c r="AL338" s="771">
        <f>SUMPRODUCT((Producción_Agricola[[#This Row],[Mes Financiero]]=Tipo_Cambio[Mes])*(Producción_Agricola[[#This Row],[Año Financiero]]=Tipo_Cambio[Año])*(Tipo_Cambio[Actualización]))</f>
        <v>0</v>
      </c>
      <c r="AM338" s="772">
        <f>IFERROR(Producción_Agricola[[#This Row],[Económico $Corrientes]]/Producción_Agricola[[#This Row],[Superficie]],0)</f>
        <v>0</v>
      </c>
      <c r="AN338" s="773">
        <f>IFERROR(Producción_Agricola[[#This Row],[Económico $Constantes]]/Producción_Agricola[[#This Row],[Superficie]],0)</f>
        <v>0</v>
      </c>
      <c r="AO338" s="773">
        <f>IFERROR(Producción_Agricola[[#This Row],[Económico U$S Dólares]]/Producción_Agricola[[#This Row],[Superficie]],0)</f>
        <v>0</v>
      </c>
      <c r="AP338" s="774">
        <f>IF(Económico!$F$4=0,0,Producción_Agricola[[#This Row],[Centro de Costo]])</f>
        <v>0</v>
      </c>
      <c r="AQ338" s="512"/>
      <c r="AR338" s="663"/>
      <c r="AS338"/>
    </row>
    <row r="339" spans="1:45" x14ac:dyDescent="0.25">
      <c r="A339" s="509"/>
      <c r="B339" s="494"/>
      <c r="C339" s="509"/>
      <c r="D339" s="478"/>
      <c r="E339" s="478"/>
      <c r="F339" s="668">
        <f t="shared" si="56"/>
        <v>0</v>
      </c>
      <c r="G339" s="673">
        <f t="shared" si="57"/>
        <v>0</v>
      </c>
      <c r="H339" s="673">
        <f t="shared" si="58"/>
        <v>0</v>
      </c>
      <c r="I339" s="687">
        <f>IFERROR(INDEX(Tabla8[],MATCH(Producción_Agricola[[#This Row],[Unidad de Negocio]],Tabla8[Unidades de Negocio],0),2),0)</f>
        <v>0</v>
      </c>
      <c r="J339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39" s="661"/>
      <c r="L339" s="482"/>
      <c r="M339" s="483"/>
      <c r="N339" s="484"/>
      <c r="O339" s="694">
        <f>Producción_Agricola[[#This Row],[Superficie]]*Producción_Agricola[[#This Row],[Cantidad]]</f>
        <v>0</v>
      </c>
      <c r="P339" s="482"/>
      <c r="Q339" s="484"/>
      <c r="R339" s="485"/>
      <c r="S339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39" s="761">
        <f>IFERROR(Producción_Agricola[[#This Row],[Económico $Corrientes]]/Producción_Agricola[[#This Row],[Indexación Económico]],0)</f>
        <v>0</v>
      </c>
      <c r="U339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39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39" s="761">
        <f>IFERROR(Producción_Agricola[[#This Row],[Financiero $Corrientes]]/Producción_Agricola[[#This Row],[Indexación Financiero]],0)</f>
        <v>0</v>
      </c>
      <c r="X339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39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39" s="766">
        <f>IFERROR(Producción_Agricola[[#This Row],[Intereses $Corrientes]]/Producción_Agricola[[#This Row],[Indexación Financiero]],0)</f>
        <v>0</v>
      </c>
      <c r="AA339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39" s="768">
        <f>IFERROR(INDEX(Produccion_Agricola_Cuentas[],MATCH(Producción_Agricola[[#This Row],[Cuenta Contable]],Produccion_Agricola_Cuentas[Cuenta Contable],0),2),0)</f>
        <v>0</v>
      </c>
      <c r="AC339" s="769">
        <f>IFERROR(INDEX(Tabla9[],MATCH(Producción_Agricola[[#This Row],[Movimiento]],Tabla9[Movimientos],0),2),0)</f>
        <v>0</v>
      </c>
      <c r="AD339" s="770">
        <f>IFERROR(INDEX(Tabla9[],MATCH(Producción_Agricola[[#This Row],[Movimiento]],Tabla9[Movimientos],0),3),0)</f>
        <v>0</v>
      </c>
      <c r="AE339" s="765">
        <f>IF(Producción_Agricola[[#This Row],[Fecha Económico]]=0,0,MONTH(Producción_Agricola[[#This Row],[Fecha Económico]]))</f>
        <v>0</v>
      </c>
      <c r="AF339" s="766">
        <f>IF(Producción_Agricola[[#This Row],[Fecha Económico]]=0,0,YEAR(Producción_Agricola[[#This Row],[Fecha Económico]]))</f>
        <v>0</v>
      </c>
      <c r="AG339" s="771">
        <f>SUMPRODUCT((Producción_Agricola[[#This Row],[Mes Económico]]=Tipo_Cambio[Mes])*(Producción_Agricola[[#This Row],[Año Económico]]=Tipo_Cambio[Año])*(Tipo_Cambio[$/U$S]))</f>
        <v>0</v>
      </c>
      <c r="AH339" s="770">
        <f>SUMPRODUCT((Producción_Agricola[[#This Row],[Mes Económico]]=Tipo_Cambio[Mes])*(Producción_Agricola[[#This Row],[Año Económico]]=Tipo_Cambio[Año])*(Tipo_Cambio[Actualización]))</f>
        <v>0</v>
      </c>
      <c r="AI339" s="766">
        <f>IF(ISNUMBER(Producción_Agricola[[#This Row],[Fecha Financiero]])=TRUE,MONTH(Producción_Agricola[[#This Row],[Fecha Financiero]]),0)</f>
        <v>0</v>
      </c>
      <c r="AJ339" s="766">
        <f>IF(ISNUMBER(Producción_Agricola[[#This Row],[Fecha Financiero]])=TRUE,YEAR(Producción_Agricola[[#This Row],[Fecha Financiero]]),0)</f>
        <v>0</v>
      </c>
      <c r="AK339" s="771">
        <f>SUMPRODUCT((Producción_Agricola[[#This Row],[Mes Financiero]]=Tipo_Cambio[Mes])*(Producción_Agricola[[#This Row],[Año Financiero]]=Tipo_Cambio[Año])*(Tipo_Cambio[$/U$S]))</f>
        <v>0</v>
      </c>
      <c r="AL339" s="771">
        <f>SUMPRODUCT((Producción_Agricola[[#This Row],[Mes Financiero]]=Tipo_Cambio[Mes])*(Producción_Agricola[[#This Row],[Año Financiero]]=Tipo_Cambio[Año])*(Tipo_Cambio[Actualización]))</f>
        <v>0</v>
      </c>
      <c r="AM339" s="772">
        <f>IFERROR(Producción_Agricola[[#This Row],[Económico $Corrientes]]/Producción_Agricola[[#This Row],[Superficie]],0)</f>
        <v>0</v>
      </c>
      <c r="AN339" s="773">
        <f>IFERROR(Producción_Agricola[[#This Row],[Económico $Constantes]]/Producción_Agricola[[#This Row],[Superficie]],0)</f>
        <v>0</v>
      </c>
      <c r="AO339" s="773">
        <f>IFERROR(Producción_Agricola[[#This Row],[Económico U$S Dólares]]/Producción_Agricola[[#This Row],[Superficie]],0)</f>
        <v>0</v>
      </c>
      <c r="AP339" s="774">
        <f>IF(Económico!$F$4=0,0,Producción_Agricola[[#This Row],[Centro de Costo]])</f>
        <v>0</v>
      </c>
      <c r="AQ339" s="512"/>
      <c r="AR339" s="663"/>
      <c r="AS339"/>
    </row>
    <row r="340" spans="1:45" x14ac:dyDescent="0.25">
      <c r="A340" s="509"/>
      <c r="B340" s="494"/>
      <c r="C340" s="509"/>
      <c r="D340" s="478"/>
      <c r="E340" s="478"/>
      <c r="F340" s="668">
        <f t="shared" si="56"/>
        <v>0</v>
      </c>
      <c r="G340" s="673">
        <f t="shared" si="57"/>
        <v>0</v>
      </c>
      <c r="H340" s="673">
        <f t="shared" si="58"/>
        <v>0</v>
      </c>
      <c r="I340" s="687">
        <f>IFERROR(INDEX(Tabla8[],MATCH(Producción_Agricola[[#This Row],[Unidad de Negocio]],Tabla8[Unidades de Negocio],0),2),0)</f>
        <v>0</v>
      </c>
      <c r="J340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40" s="661"/>
      <c r="L340" s="482"/>
      <c r="M340" s="483"/>
      <c r="N340" s="484"/>
      <c r="O340" s="694">
        <f>Producción_Agricola[[#This Row],[Superficie]]*Producción_Agricola[[#This Row],[Cantidad]]</f>
        <v>0</v>
      </c>
      <c r="P340" s="482"/>
      <c r="Q340" s="484"/>
      <c r="R340" s="485"/>
      <c r="S340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40" s="761">
        <f>IFERROR(Producción_Agricola[[#This Row],[Económico $Corrientes]]/Producción_Agricola[[#This Row],[Indexación Económico]],0)</f>
        <v>0</v>
      </c>
      <c r="U340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40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40" s="761">
        <f>IFERROR(Producción_Agricola[[#This Row],[Financiero $Corrientes]]/Producción_Agricola[[#This Row],[Indexación Financiero]],0)</f>
        <v>0</v>
      </c>
      <c r="X340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40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40" s="766">
        <f>IFERROR(Producción_Agricola[[#This Row],[Intereses $Corrientes]]/Producción_Agricola[[#This Row],[Indexación Financiero]],0)</f>
        <v>0</v>
      </c>
      <c r="AA340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40" s="768">
        <f>IFERROR(INDEX(Produccion_Agricola_Cuentas[],MATCH(Producción_Agricola[[#This Row],[Cuenta Contable]],Produccion_Agricola_Cuentas[Cuenta Contable],0),2),0)</f>
        <v>0</v>
      </c>
      <c r="AC340" s="769">
        <f>IFERROR(INDEX(Tabla9[],MATCH(Producción_Agricola[[#This Row],[Movimiento]],Tabla9[Movimientos],0),2),0)</f>
        <v>0</v>
      </c>
      <c r="AD340" s="770">
        <f>IFERROR(INDEX(Tabla9[],MATCH(Producción_Agricola[[#This Row],[Movimiento]],Tabla9[Movimientos],0),3),0)</f>
        <v>0</v>
      </c>
      <c r="AE340" s="765">
        <f>IF(Producción_Agricola[[#This Row],[Fecha Económico]]=0,0,MONTH(Producción_Agricola[[#This Row],[Fecha Económico]]))</f>
        <v>0</v>
      </c>
      <c r="AF340" s="766">
        <f>IF(Producción_Agricola[[#This Row],[Fecha Económico]]=0,0,YEAR(Producción_Agricola[[#This Row],[Fecha Económico]]))</f>
        <v>0</v>
      </c>
      <c r="AG340" s="771">
        <f>SUMPRODUCT((Producción_Agricola[[#This Row],[Mes Económico]]=Tipo_Cambio[Mes])*(Producción_Agricola[[#This Row],[Año Económico]]=Tipo_Cambio[Año])*(Tipo_Cambio[$/U$S]))</f>
        <v>0</v>
      </c>
      <c r="AH340" s="770">
        <f>SUMPRODUCT((Producción_Agricola[[#This Row],[Mes Económico]]=Tipo_Cambio[Mes])*(Producción_Agricola[[#This Row],[Año Económico]]=Tipo_Cambio[Año])*(Tipo_Cambio[Actualización]))</f>
        <v>0</v>
      </c>
      <c r="AI340" s="766">
        <f>IF(ISNUMBER(Producción_Agricola[[#This Row],[Fecha Financiero]])=TRUE,MONTH(Producción_Agricola[[#This Row],[Fecha Financiero]]),0)</f>
        <v>0</v>
      </c>
      <c r="AJ340" s="766">
        <f>IF(ISNUMBER(Producción_Agricola[[#This Row],[Fecha Financiero]])=TRUE,YEAR(Producción_Agricola[[#This Row],[Fecha Financiero]]),0)</f>
        <v>0</v>
      </c>
      <c r="AK340" s="771">
        <f>SUMPRODUCT((Producción_Agricola[[#This Row],[Mes Financiero]]=Tipo_Cambio[Mes])*(Producción_Agricola[[#This Row],[Año Financiero]]=Tipo_Cambio[Año])*(Tipo_Cambio[$/U$S]))</f>
        <v>0</v>
      </c>
      <c r="AL340" s="771">
        <f>SUMPRODUCT((Producción_Agricola[[#This Row],[Mes Financiero]]=Tipo_Cambio[Mes])*(Producción_Agricola[[#This Row],[Año Financiero]]=Tipo_Cambio[Año])*(Tipo_Cambio[Actualización]))</f>
        <v>0</v>
      </c>
      <c r="AM340" s="772">
        <f>IFERROR(Producción_Agricola[[#This Row],[Económico $Corrientes]]/Producción_Agricola[[#This Row],[Superficie]],0)</f>
        <v>0</v>
      </c>
      <c r="AN340" s="773">
        <f>IFERROR(Producción_Agricola[[#This Row],[Económico $Constantes]]/Producción_Agricola[[#This Row],[Superficie]],0)</f>
        <v>0</v>
      </c>
      <c r="AO340" s="773">
        <f>IFERROR(Producción_Agricola[[#This Row],[Económico U$S Dólares]]/Producción_Agricola[[#This Row],[Superficie]],0)</f>
        <v>0</v>
      </c>
      <c r="AP340" s="774">
        <f>IF(Económico!$F$4=0,0,Producción_Agricola[[#This Row],[Centro de Costo]])</f>
        <v>0</v>
      </c>
      <c r="AQ340" s="512"/>
      <c r="AR340" s="663"/>
      <c r="AS340"/>
    </row>
    <row r="341" spans="1:45" x14ac:dyDescent="0.25">
      <c r="A341" s="509"/>
      <c r="B341" s="494"/>
      <c r="C341" s="509"/>
      <c r="D341" s="478"/>
      <c r="E341" s="478"/>
      <c r="F341" s="668">
        <f t="shared" si="56"/>
        <v>0</v>
      </c>
      <c r="G341" s="673">
        <f t="shared" si="57"/>
        <v>0</v>
      </c>
      <c r="H341" s="673">
        <f t="shared" si="58"/>
        <v>0</v>
      </c>
      <c r="I341" s="687">
        <f>IFERROR(INDEX(Tabla8[],MATCH(Producción_Agricola[[#This Row],[Unidad de Negocio]],Tabla8[Unidades de Negocio],0),2),0)</f>
        <v>0</v>
      </c>
      <c r="J341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41" s="661"/>
      <c r="L341" s="482"/>
      <c r="M341" s="483"/>
      <c r="N341" s="484"/>
      <c r="O341" s="694">
        <f>Producción_Agricola[[#This Row],[Superficie]]*Producción_Agricola[[#This Row],[Cantidad]]</f>
        <v>0</v>
      </c>
      <c r="P341" s="482"/>
      <c r="Q341" s="484"/>
      <c r="R341" s="485"/>
      <c r="S341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41" s="761">
        <f>IFERROR(Producción_Agricola[[#This Row],[Económico $Corrientes]]/Producción_Agricola[[#This Row],[Indexación Económico]],0)</f>
        <v>0</v>
      </c>
      <c r="U341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41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41" s="761">
        <f>IFERROR(Producción_Agricola[[#This Row],[Financiero $Corrientes]]/Producción_Agricola[[#This Row],[Indexación Financiero]],0)</f>
        <v>0</v>
      </c>
      <c r="X341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41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41" s="766">
        <f>IFERROR(Producción_Agricola[[#This Row],[Intereses $Corrientes]]/Producción_Agricola[[#This Row],[Indexación Financiero]],0)</f>
        <v>0</v>
      </c>
      <c r="AA341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41" s="768">
        <f>IFERROR(INDEX(Produccion_Agricola_Cuentas[],MATCH(Producción_Agricola[[#This Row],[Cuenta Contable]],Produccion_Agricola_Cuentas[Cuenta Contable],0),2),0)</f>
        <v>0</v>
      </c>
      <c r="AC341" s="769">
        <f>IFERROR(INDEX(Tabla9[],MATCH(Producción_Agricola[[#This Row],[Movimiento]],Tabla9[Movimientos],0),2),0)</f>
        <v>0</v>
      </c>
      <c r="AD341" s="770">
        <f>IFERROR(INDEX(Tabla9[],MATCH(Producción_Agricola[[#This Row],[Movimiento]],Tabla9[Movimientos],0),3),0)</f>
        <v>0</v>
      </c>
      <c r="AE341" s="765">
        <f>IF(Producción_Agricola[[#This Row],[Fecha Económico]]=0,0,MONTH(Producción_Agricola[[#This Row],[Fecha Económico]]))</f>
        <v>0</v>
      </c>
      <c r="AF341" s="766">
        <f>IF(Producción_Agricola[[#This Row],[Fecha Económico]]=0,0,YEAR(Producción_Agricola[[#This Row],[Fecha Económico]]))</f>
        <v>0</v>
      </c>
      <c r="AG341" s="771">
        <f>SUMPRODUCT((Producción_Agricola[[#This Row],[Mes Económico]]=Tipo_Cambio[Mes])*(Producción_Agricola[[#This Row],[Año Económico]]=Tipo_Cambio[Año])*(Tipo_Cambio[$/U$S]))</f>
        <v>0</v>
      </c>
      <c r="AH341" s="770">
        <f>SUMPRODUCT((Producción_Agricola[[#This Row],[Mes Económico]]=Tipo_Cambio[Mes])*(Producción_Agricola[[#This Row],[Año Económico]]=Tipo_Cambio[Año])*(Tipo_Cambio[Actualización]))</f>
        <v>0</v>
      </c>
      <c r="AI341" s="766">
        <f>IF(ISNUMBER(Producción_Agricola[[#This Row],[Fecha Financiero]])=TRUE,MONTH(Producción_Agricola[[#This Row],[Fecha Financiero]]),0)</f>
        <v>0</v>
      </c>
      <c r="AJ341" s="766">
        <f>IF(ISNUMBER(Producción_Agricola[[#This Row],[Fecha Financiero]])=TRUE,YEAR(Producción_Agricola[[#This Row],[Fecha Financiero]]),0)</f>
        <v>0</v>
      </c>
      <c r="AK341" s="771">
        <f>SUMPRODUCT((Producción_Agricola[[#This Row],[Mes Financiero]]=Tipo_Cambio[Mes])*(Producción_Agricola[[#This Row],[Año Financiero]]=Tipo_Cambio[Año])*(Tipo_Cambio[$/U$S]))</f>
        <v>0</v>
      </c>
      <c r="AL341" s="771">
        <f>SUMPRODUCT((Producción_Agricola[[#This Row],[Mes Financiero]]=Tipo_Cambio[Mes])*(Producción_Agricola[[#This Row],[Año Financiero]]=Tipo_Cambio[Año])*(Tipo_Cambio[Actualización]))</f>
        <v>0</v>
      </c>
      <c r="AM341" s="772">
        <f>IFERROR(Producción_Agricola[[#This Row],[Económico $Corrientes]]/Producción_Agricola[[#This Row],[Superficie]],0)</f>
        <v>0</v>
      </c>
      <c r="AN341" s="773">
        <f>IFERROR(Producción_Agricola[[#This Row],[Económico $Constantes]]/Producción_Agricola[[#This Row],[Superficie]],0)</f>
        <v>0</v>
      </c>
      <c r="AO341" s="773">
        <f>IFERROR(Producción_Agricola[[#This Row],[Económico U$S Dólares]]/Producción_Agricola[[#This Row],[Superficie]],0)</f>
        <v>0</v>
      </c>
      <c r="AP341" s="774">
        <f>IF(Económico!$F$4=0,0,Producción_Agricola[[#This Row],[Centro de Costo]])</f>
        <v>0</v>
      </c>
      <c r="AQ341" s="512"/>
      <c r="AR341" s="663"/>
      <c r="AS341"/>
    </row>
    <row r="342" spans="1:45" x14ac:dyDescent="0.25">
      <c r="A342" s="509"/>
      <c r="B342" s="494"/>
      <c r="C342" s="509"/>
      <c r="D342" s="478"/>
      <c r="E342" s="478"/>
      <c r="F342" s="668">
        <f t="shared" si="56"/>
        <v>0</v>
      </c>
      <c r="G342" s="673">
        <f t="shared" si="57"/>
        <v>0</v>
      </c>
      <c r="H342" s="673">
        <f t="shared" si="58"/>
        <v>0</v>
      </c>
      <c r="I342" s="687">
        <f>IFERROR(INDEX(Tabla8[],MATCH(Producción_Agricola[[#This Row],[Unidad de Negocio]],Tabla8[Unidades de Negocio],0),2),0)</f>
        <v>0</v>
      </c>
      <c r="J342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42" s="661"/>
      <c r="L342" s="482"/>
      <c r="M342" s="483"/>
      <c r="N342" s="484"/>
      <c r="O342" s="694">
        <f>Producción_Agricola[[#This Row],[Superficie]]*Producción_Agricola[[#This Row],[Cantidad]]</f>
        <v>0</v>
      </c>
      <c r="P342" s="482"/>
      <c r="Q342" s="484"/>
      <c r="R342" s="485"/>
      <c r="S342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42" s="761">
        <f>IFERROR(Producción_Agricola[[#This Row],[Económico $Corrientes]]/Producción_Agricola[[#This Row],[Indexación Económico]],0)</f>
        <v>0</v>
      </c>
      <c r="U342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42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42" s="761">
        <f>IFERROR(Producción_Agricola[[#This Row],[Financiero $Corrientes]]/Producción_Agricola[[#This Row],[Indexación Financiero]],0)</f>
        <v>0</v>
      </c>
      <c r="X342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42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42" s="766">
        <f>IFERROR(Producción_Agricola[[#This Row],[Intereses $Corrientes]]/Producción_Agricola[[#This Row],[Indexación Financiero]],0)</f>
        <v>0</v>
      </c>
      <c r="AA342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42" s="768">
        <f>IFERROR(INDEX(Produccion_Agricola_Cuentas[],MATCH(Producción_Agricola[[#This Row],[Cuenta Contable]],Produccion_Agricola_Cuentas[Cuenta Contable],0),2),0)</f>
        <v>0</v>
      </c>
      <c r="AC342" s="769">
        <f>IFERROR(INDEX(Tabla9[],MATCH(Producción_Agricola[[#This Row],[Movimiento]],Tabla9[Movimientos],0),2),0)</f>
        <v>0</v>
      </c>
      <c r="AD342" s="770">
        <f>IFERROR(INDEX(Tabla9[],MATCH(Producción_Agricola[[#This Row],[Movimiento]],Tabla9[Movimientos],0),3),0)</f>
        <v>0</v>
      </c>
      <c r="AE342" s="765">
        <f>IF(Producción_Agricola[[#This Row],[Fecha Económico]]=0,0,MONTH(Producción_Agricola[[#This Row],[Fecha Económico]]))</f>
        <v>0</v>
      </c>
      <c r="AF342" s="766">
        <f>IF(Producción_Agricola[[#This Row],[Fecha Económico]]=0,0,YEAR(Producción_Agricola[[#This Row],[Fecha Económico]]))</f>
        <v>0</v>
      </c>
      <c r="AG342" s="771">
        <f>SUMPRODUCT((Producción_Agricola[[#This Row],[Mes Económico]]=Tipo_Cambio[Mes])*(Producción_Agricola[[#This Row],[Año Económico]]=Tipo_Cambio[Año])*(Tipo_Cambio[$/U$S]))</f>
        <v>0</v>
      </c>
      <c r="AH342" s="770">
        <f>SUMPRODUCT((Producción_Agricola[[#This Row],[Mes Económico]]=Tipo_Cambio[Mes])*(Producción_Agricola[[#This Row],[Año Económico]]=Tipo_Cambio[Año])*(Tipo_Cambio[Actualización]))</f>
        <v>0</v>
      </c>
      <c r="AI342" s="766">
        <f>IF(ISNUMBER(Producción_Agricola[[#This Row],[Fecha Financiero]])=TRUE,MONTH(Producción_Agricola[[#This Row],[Fecha Financiero]]),0)</f>
        <v>0</v>
      </c>
      <c r="AJ342" s="766">
        <f>IF(ISNUMBER(Producción_Agricola[[#This Row],[Fecha Financiero]])=TRUE,YEAR(Producción_Agricola[[#This Row],[Fecha Financiero]]),0)</f>
        <v>0</v>
      </c>
      <c r="AK342" s="771">
        <f>SUMPRODUCT((Producción_Agricola[[#This Row],[Mes Financiero]]=Tipo_Cambio[Mes])*(Producción_Agricola[[#This Row],[Año Financiero]]=Tipo_Cambio[Año])*(Tipo_Cambio[$/U$S]))</f>
        <v>0</v>
      </c>
      <c r="AL342" s="771">
        <f>SUMPRODUCT((Producción_Agricola[[#This Row],[Mes Financiero]]=Tipo_Cambio[Mes])*(Producción_Agricola[[#This Row],[Año Financiero]]=Tipo_Cambio[Año])*(Tipo_Cambio[Actualización]))</f>
        <v>0</v>
      </c>
      <c r="AM342" s="772">
        <f>IFERROR(Producción_Agricola[[#This Row],[Económico $Corrientes]]/Producción_Agricola[[#This Row],[Superficie]],0)</f>
        <v>0</v>
      </c>
      <c r="AN342" s="773">
        <f>IFERROR(Producción_Agricola[[#This Row],[Económico $Constantes]]/Producción_Agricola[[#This Row],[Superficie]],0)</f>
        <v>0</v>
      </c>
      <c r="AO342" s="773">
        <f>IFERROR(Producción_Agricola[[#This Row],[Económico U$S Dólares]]/Producción_Agricola[[#This Row],[Superficie]],0)</f>
        <v>0</v>
      </c>
      <c r="AP342" s="774">
        <f>IF(Económico!$F$4=0,0,Producción_Agricola[[#This Row],[Centro de Costo]])</f>
        <v>0</v>
      </c>
      <c r="AQ342" s="512"/>
      <c r="AR342" s="663"/>
      <c r="AS342"/>
    </row>
    <row r="343" spans="1:45" x14ac:dyDescent="0.25">
      <c r="A343" s="509"/>
      <c r="B343" s="494"/>
      <c r="C343" s="509"/>
      <c r="D343" s="478"/>
      <c r="E343" s="478"/>
      <c r="F343" s="668">
        <f t="shared" si="56"/>
        <v>0</v>
      </c>
      <c r="G343" s="673">
        <f t="shared" si="57"/>
        <v>0</v>
      </c>
      <c r="H343" s="673">
        <f t="shared" si="58"/>
        <v>0</v>
      </c>
      <c r="I343" s="687">
        <f>IFERROR(INDEX(Tabla8[],MATCH(Producción_Agricola[[#This Row],[Unidad de Negocio]],Tabla8[Unidades de Negocio],0),2),0)</f>
        <v>0</v>
      </c>
      <c r="J343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43" s="661"/>
      <c r="L343" s="482"/>
      <c r="M343" s="483"/>
      <c r="N343" s="484"/>
      <c r="O343" s="694">
        <f>Producción_Agricola[[#This Row],[Superficie]]*Producción_Agricola[[#This Row],[Cantidad]]</f>
        <v>0</v>
      </c>
      <c r="P343" s="482"/>
      <c r="Q343" s="484"/>
      <c r="R343" s="485"/>
      <c r="S343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43" s="761">
        <f>IFERROR(Producción_Agricola[[#This Row],[Económico $Corrientes]]/Producción_Agricola[[#This Row],[Indexación Económico]],0)</f>
        <v>0</v>
      </c>
      <c r="U343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43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43" s="761">
        <f>IFERROR(Producción_Agricola[[#This Row],[Financiero $Corrientes]]/Producción_Agricola[[#This Row],[Indexación Financiero]],0)</f>
        <v>0</v>
      </c>
      <c r="X343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43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43" s="766">
        <f>IFERROR(Producción_Agricola[[#This Row],[Intereses $Corrientes]]/Producción_Agricola[[#This Row],[Indexación Financiero]],0)</f>
        <v>0</v>
      </c>
      <c r="AA343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43" s="768">
        <f>IFERROR(INDEX(Produccion_Agricola_Cuentas[],MATCH(Producción_Agricola[[#This Row],[Cuenta Contable]],Produccion_Agricola_Cuentas[Cuenta Contable],0),2),0)</f>
        <v>0</v>
      </c>
      <c r="AC343" s="769">
        <f>IFERROR(INDEX(Tabla9[],MATCH(Producción_Agricola[[#This Row],[Movimiento]],Tabla9[Movimientos],0),2),0)</f>
        <v>0</v>
      </c>
      <c r="AD343" s="770">
        <f>IFERROR(INDEX(Tabla9[],MATCH(Producción_Agricola[[#This Row],[Movimiento]],Tabla9[Movimientos],0),3),0)</f>
        <v>0</v>
      </c>
      <c r="AE343" s="765">
        <f>IF(Producción_Agricola[[#This Row],[Fecha Económico]]=0,0,MONTH(Producción_Agricola[[#This Row],[Fecha Económico]]))</f>
        <v>0</v>
      </c>
      <c r="AF343" s="766">
        <f>IF(Producción_Agricola[[#This Row],[Fecha Económico]]=0,0,YEAR(Producción_Agricola[[#This Row],[Fecha Económico]]))</f>
        <v>0</v>
      </c>
      <c r="AG343" s="771">
        <f>SUMPRODUCT((Producción_Agricola[[#This Row],[Mes Económico]]=Tipo_Cambio[Mes])*(Producción_Agricola[[#This Row],[Año Económico]]=Tipo_Cambio[Año])*(Tipo_Cambio[$/U$S]))</f>
        <v>0</v>
      </c>
      <c r="AH343" s="770">
        <f>SUMPRODUCT((Producción_Agricola[[#This Row],[Mes Económico]]=Tipo_Cambio[Mes])*(Producción_Agricola[[#This Row],[Año Económico]]=Tipo_Cambio[Año])*(Tipo_Cambio[Actualización]))</f>
        <v>0</v>
      </c>
      <c r="AI343" s="766">
        <f>IF(ISNUMBER(Producción_Agricola[[#This Row],[Fecha Financiero]])=TRUE,MONTH(Producción_Agricola[[#This Row],[Fecha Financiero]]),0)</f>
        <v>0</v>
      </c>
      <c r="AJ343" s="766">
        <f>IF(ISNUMBER(Producción_Agricola[[#This Row],[Fecha Financiero]])=TRUE,YEAR(Producción_Agricola[[#This Row],[Fecha Financiero]]),0)</f>
        <v>0</v>
      </c>
      <c r="AK343" s="771">
        <f>SUMPRODUCT((Producción_Agricola[[#This Row],[Mes Financiero]]=Tipo_Cambio[Mes])*(Producción_Agricola[[#This Row],[Año Financiero]]=Tipo_Cambio[Año])*(Tipo_Cambio[$/U$S]))</f>
        <v>0</v>
      </c>
      <c r="AL343" s="771">
        <f>SUMPRODUCT((Producción_Agricola[[#This Row],[Mes Financiero]]=Tipo_Cambio[Mes])*(Producción_Agricola[[#This Row],[Año Financiero]]=Tipo_Cambio[Año])*(Tipo_Cambio[Actualización]))</f>
        <v>0</v>
      </c>
      <c r="AM343" s="772">
        <f>IFERROR(Producción_Agricola[[#This Row],[Económico $Corrientes]]/Producción_Agricola[[#This Row],[Superficie]],0)</f>
        <v>0</v>
      </c>
      <c r="AN343" s="773">
        <f>IFERROR(Producción_Agricola[[#This Row],[Económico $Constantes]]/Producción_Agricola[[#This Row],[Superficie]],0)</f>
        <v>0</v>
      </c>
      <c r="AO343" s="773">
        <f>IFERROR(Producción_Agricola[[#This Row],[Económico U$S Dólares]]/Producción_Agricola[[#This Row],[Superficie]],0)</f>
        <v>0</v>
      </c>
      <c r="AP343" s="774">
        <f>IF(Económico!$F$4=0,0,Producción_Agricola[[#This Row],[Centro de Costo]])</f>
        <v>0</v>
      </c>
      <c r="AQ343" s="512"/>
      <c r="AR343" s="663"/>
      <c r="AS343"/>
    </row>
    <row r="344" spans="1:45" x14ac:dyDescent="0.25">
      <c r="A344" s="509"/>
      <c r="B344" s="494"/>
      <c r="C344" s="509"/>
      <c r="D344" s="478"/>
      <c r="E344" s="478"/>
      <c r="F344" s="668">
        <f t="shared" si="56"/>
        <v>0</v>
      </c>
      <c r="G344" s="673">
        <f t="shared" si="57"/>
        <v>0</v>
      </c>
      <c r="H344" s="673">
        <f t="shared" si="58"/>
        <v>0</v>
      </c>
      <c r="I344" s="687">
        <f>IFERROR(INDEX(Tabla8[],MATCH(Producción_Agricola[[#This Row],[Unidad de Negocio]],Tabla8[Unidades de Negocio],0),2),0)</f>
        <v>0</v>
      </c>
      <c r="J344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44" s="661"/>
      <c r="L344" s="482"/>
      <c r="M344" s="483"/>
      <c r="N344" s="484"/>
      <c r="O344" s="694">
        <f>Producción_Agricola[[#This Row],[Superficie]]*Producción_Agricola[[#This Row],[Cantidad]]</f>
        <v>0</v>
      </c>
      <c r="P344" s="482"/>
      <c r="Q344" s="484"/>
      <c r="R344" s="485"/>
      <c r="S344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44" s="761">
        <f>IFERROR(Producción_Agricola[[#This Row],[Económico $Corrientes]]/Producción_Agricola[[#This Row],[Indexación Económico]],0)</f>
        <v>0</v>
      </c>
      <c r="U344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44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44" s="761">
        <f>IFERROR(Producción_Agricola[[#This Row],[Financiero $Corrientes]]/Producción_Agricola[[#This Row],[Indexación Financiero]],0)</f>
        <v>0</v>
      </c>
      <c r="X344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44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44" s="766">
        <f>IFERROR(Producción_Agricola[[#This Row],[Intereses $Corrientes]]/Producción_Agricola[[#This Row],[Indexación Financiero]],0)</f>
        <v>0</v>
      </c>
      <c r="AA344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44" s="768">
        <f>IFERROR(INDEX(Produccion_Agricola_Cuentas[],MATCH(Producción_Agricola[[#This Row],[Cuenta Contable]],Produccion_Agricola_Cuentas[Cuenta Contable],0),2),0)</f>
        <v>0</v>
      </c>
      <c r="AC344" s="769">
        <f>IFERROR(INDEX(Tabla9[],MATCH(Producción_Agricola[[#This Row],[Movimiento]],Tabla9[Movimientos],0),2),0)</f>
        <v>0</v>
      </c>
      <c r="AD344" s="770">
        <f>IFERROR(INDEX(Tabla9[],MATCH(Producción_Agricola[[#This Row],[Movimiento]],Tabla9[Movimientos],0),3),0)</f>
        <v>0</v>
      </c>
      <c r="AE344" s="765">
        <f>IF(Producción_Agricola[[#This Row],[Fecha Económico]]=0,0,MONTH(Producción_Agricola[[#This Row],[Fecha Económico]]))</f>
        <v>0</v>
      </c>
      <c r="AF344" s="766">
        <f>IF(Producción_Agricola[[#This Row],[Fecha Económico]]=0,0,YEAR(Producción_Agricola[[#This Row],[Fecha Económico]]))</f>
        <v>0</v>
      </c>
      <c r="AG344" s="771">
        <f>SUMPRODUCT((Producción_Agricola[[#This Row],[Mes Económico]]=Tipo_Cambio[Mes])*(Producción_Agricola[[#This Row],[Año Económico]]=Tipo_Cambio[Año])*(Tipo_Cambio[$/U$S]))</f>
        <v>0</v>
      </c>
      <c r="AH344" s="770">
        <f>SUMPRODUCT((Producción_Agricola[[#This Row],[Mes Económico]]=Tipo_Cambio[Mes])*(Producción_Agricola[[#This Row],[Año Económico]]=Tipo_Cambio[Año])*(Tipo_Cambio[Actualización]))</f>
        <v>0</v>
      </c>
      <c r="AI344" s="766">
        <f>IF(ISNUMBER(Producción_Agricola[[#This Row],[Fecha Financiero]])=TRUE,MONTH(Producción_Agricola[[#This Row],[Fecha Financiero]]),0)</f>
        <v>0</v>
      </c>
      <c r="AJ344" s="766">
        <f>IF(ISNUMBER(Producción_Agricola[[#This Row],[Fecha Financiero]])=TRUE,YEAR(Producción_Agricola[[#This Row],[Fecha Financiero]]),0)</f>
        <v>0</v>
      </c>
      <c r="AK344" s="771">
        <f>SUMPRODUCT((Producción_Agricola[[#This Row],[Mes Financiero]]=Tipo_Cambio[Mes])*(Producción_Agricola[[#This Row],[Año Financiero]]=Tipo_Cambio[Año])*(Tipo_Cambio[$/U$S]))</f>
        <v>0</v>
      </c>
      <c r="AL344" s="771">
        <f>SUMPRODUCT((Producción_Agricola[[#This Row],[Mes Financiero]]=Tipo_Cambio[Mes])*(Producción_Agricola[[#This Row],[Año Financiero]]=Tipo_Cambio[Año])*(Tipo_Cambio[Actualización]))</f>
        <v>0</v>
      </c>
      <c r="AM344" s="772">
        <f>IFERROR(Producción_Agricola[[#This Row],[Económico $Corrientes]]/Producción_Agricola[[#This Row],[Superficie]],0)</f>
        <v>0</v>
      </c>
      <c r="AN344" s="773">
        <f>IFERROR(Producción_Agricola[[#This Row],[Económico $Constantes]]/Producción_Agricola[[#This Row],[Superficie]],0)</f>
        <v>0</v>
      </c>
      <c r="AO344" s="773">
        <f>IFERROR(Producción_Agricola[[#This Row],[Económico U$S Dólares]]/Producción_Agricola[[#This Row],[Superficie]],0)</f>
        <v>0</v>
      </c>
      <c r="AP344" s="774">
        <f>IF(Económico!$F$4=0,0,Producción_Agricola[[#This Row],[Centro de Costo]])</f>
        <v>0</v>
      </c>
      <c r="AQ344" s="512"/>
      <c r="AR344" s="663"/>
      <c r="AS344"/>
    </row>
    <row r="345" spans="1:45" x14ac:dyDescent="0.25">
      <c r="A345" s="509"/>
      <c r="B345" s="494"/>
      <c r="C345" s="509"/>
      <c r="D345" s="478"/>
      <c r="E345" s="478"/>
      <c r="F345" s="668">
        <f t="shared" si="56"/>
        <v>0</v>
      </c>
      <c r="G345" s="673">
        <f t="shared" si="57"/>
        <v>0</v>
      </c>
      <c r="H345" s="673">
        <f t="shared" si="58"/>
        <v>0</v>
      </c>
      <c r="I345" s="687">
        <f>IFERROR(INDEX(Tabla8[],MATCH(Producción_Agricola[[#This Row],[Unidad de Negocio]],Tabla8[Unidades de Negocio],0),2),0)</f>
        <v>0</v>
      </c>
      <c r="J345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45" s="661"/>
      <c r="L345" s="482"/>
      <c r="M345" s="483"/>
      <c r="N345" s="484"/>
      <c r="O345" s="694">
        <f>Producción_Agricola[[#This Row],[Superficie]]*Producción_Agricola[[#This Row],[Cantidad]]</f>
        <v>0</v>
      </c>
      <c r="P345" s="482"/>
      <c r="Q345" s="484"/>
      <c r="R345" s="485"/>
      <c r="S345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45" s="761">
        <f>IFERROR(Producción_Agricola[[#This Row],[Económico $Corrientes]]/Producción_Agricola[[#This Row],[Indexación Económico]],0)</f>
        <v>0</v>
      </c>
      <c r="U345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45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45" s="761">
        <f>IFERROR(Producción_Agricola[[#This Row],[Financiero $Corrientes]]/Producción_Agricola[[#This Row],[Indexación Financiero]],0)</f>
        <v>0</v>
      </c>
      <c r="X345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45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45" s="766">
        <f>IFERROR(Producción_Agricola[[#This Row],[Intereses $Corrientes]]/Producción_Agricola[[#This Row],[Indexación Financiero]],0)</f>
        <v>0</v>
      </c>
      <c r="AA345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45" s="768">
        <f>IFERROR(INDEX(Produccion_Agricola_Cuentas[],MATCH(Producción_Agricola[[#This Row],[Cuenta Contable]],Produccion_Agricola_Cuentas[Cuenta Contable],0),2),0)</f>
        <v>0</v>
      </c>
      <c r="AC345" s="769">
        <f>IFERROR(INDEX(Tabla9[],MATCH(Producción_Agricola[[#This Row],[Movimiento]],Tabla9[Movimientos],0),2),0)</f>
        <v>0</v>
      </c>
      <c r="AD345" s="770">
        <f>IFERROR(INDEX(Tabla9[],MATCH(Producción_Agricola[[#This Row],[Movimiento]],Tabla9[Movimientos],0),3),0)</f>
        <v>0</v>
      </c>
      <c r="AE345" s="765">
        <f>IF(Producción_Agricola[[#This Row],[Fecha Económico]]=0,0,MONTH(Producción_Agricola[[#This Row],[Fecha Económico]]))</f>
        <v>0</v>
      </c>
      <c r="AF345" s="766">
        <f>IF(Producción_Agricola[[#This Row],[Fecha Económico]]=0,0,YEAR(Producción_Agricola[[#This Row],[Fecha Económico]]))</f>
        <v>0</v>
      </c>
      <c r="AG345" s="771">
        <f>SUMPRODUCT((Producción_Agricola[[#This Row],[Mes Económico]]=Tipo_Cambio[Mes])*(Producción_Agricola[[#This Row],[Año Económico]]=Tipo_Cambio[Año])*(Tipo_Cambio[$/U$S]))</f>
        <v>0</v>
      </c>
      <c r="AH345" s="770">
        <f>SUMPRODUCT((Producción_Agricola[[#This Row],[Mes Económico]]=Tipo_Cambio[Mes])*(Producción_Agricola[[#This Row],[Año Económico]]=Tipo_Cambio[Año])*(Tipo_Cambio[Actualización]))</f>
        <v>0</v>
      </c>
      <c r="AI345" s="766">
        <f>IF(ISNUMBER(Producción_Agricola[[#This Row],[Fecha Financiero]])=TRUE,MONTH(Producción_Agricola[[#This Row],[Fecha Financiero]]),0)</f>
        <v>0</v>
      </c>
      <c r="AJ345" s="766">
        <f>IF(ISNUMBER(Producción_Agricola[[#This Row],[Fecha Financiero]])=TRUE,YEAR(Producción_Agricola[[#This Row],[Fecha Financiero]]),0)</f>
        <v>0</v>
      </c>
      <c r="AK345" s="771">
        <f>SUMPRODUCT((Producción_Agricola[[#This Row],[Mes Financiero]]=Tipo_Cambio[Mes])*(Producción_Agricola[[#This Row],[Año Financiero]]=Tipo_Cambio[Año])*(Tipo_Cambio[$/U$S]))</f>
        <v>0</v>
      </c>
      <c r="AL345" s="771">
        <f>SUMPRODUCT((Producción_Agricola[[#This Row],[Mes Financiero]]=Tipo_Cambio[Mes])*(Producción_Agricola[[#This Row],[Año Financiero]]=Tipo_Cambio[Año])*(Tipo_Cambio[Actualización]))</f>
        <v>0</v>
      </c>
      <c r="AM345" s="772">
        <f>IFERROR(Producción_Agricola[[#This Row],[Económico $Corrientes]]/Producción_Agricola[[#This Row],[Superficie]],0)</f>
        <v>0</v>
      </c>
      <c r="AN345" s="773">
        <f>IFERROR(Producción_Agricola[[#This Row],[Económico $Constantes]]/Producción_Agricola[[#This Row],[Superficie]],0)</f>
        <v>0</v>
      </c>
      <c r="AO345" s="773">
        <f>IFERROR(Producción_Agricola[[#This Row],[Económico U$S Dólares]]/Producción_Agricola[[#This Row],[Superficie]],0)</f>
        <v>0</v>
      </c>
      <c r="AP345" s="774">
        <f>IF(Económico!$F$4=0,0,Producción_Agricola[[#This Row],[Centro de Costo]])</f>
        <v>0</v>
      </c>
      <c r="AQ345" s="512"/>
      <c r="AR345" s="663"/>
      <c r="AS345"/>
    </row>
    <row r="346" spans="1:45" x14ac:dyDescent="0.25">
      <c r="A346" s="509"/>
      <c r="B346" s="494"/>
      <c r="C346" s="509"/>
      <c r="D346" s="478"/>
      <c r="E346" s="478"/>
      <c r="F346" s="668">
        <f t="shared" si="56"/>
        <v>0</v>
      </c>
      <c r="G346" s="673">
        <f t="shared" si="57"/>
        <v>0</v>
      </c>
      <c r="H346" s="673">
        <f t="shared" si="58"/>
        <v>0</v>
      </c>
      <c r="I346" s="687">
        <f>IFERROR(INDEX(Tabla8[],MATCH(Producción_Agricola[[#This Row],[Unidad de Negocio]],Tabla8[Unidades de Negocio],0),2),0)</f>
        <v>0</v>
      </c>
      <c r="J346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46" s="661"/>
      <c r="L346" s="482"/>
      <c r="M346" s="483"/>
      <c r="N346" s="484"/>
      <c r="O346" s="694">
        <f>Producción_Agricola[[#This Row],[Superficie]]*Producción_Agricola[[#This Row],[Cantidad]]</f>
        <v>0</v>
      </c>
      <c r="P346" s="482"/>
      <c r="Q346" s="484"/>
      <c r="R346" s="485"/>
      <c r="S346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46" s="761">
        <f>IFERROR(Producción_Agricola[[#This Row],[Económico $Corrientes]]/Producción_Agricola[[#This Row],[Indexación Económico]],0)</f>
        <v>0</v>
      </c>
      <c r="U346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46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46" s="761">
        <f>IFERROR(Producción_Agricola[[#This Row],[Financiero $Corrientes]]/Producción_Agricola[[#This Row],[Indexación Financiero]],0)</f>
        <v>0</v>
      </c>
      <c r="X346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46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46" s="766">
        <f>IFERROR(Producción_Agricola[[#This Row],[Intereses $Corrientes]]/Producción_Agricola[[#This Row],[Indexación Financiero]],0)</f>
        <v>0</v>
      </c>
      <c r="AA346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46" s="768">
        <f>IFERROR(INDEX(Produccion_Agricola_Cuentas[],MATCH(Producción_Agricola[[#This Row],[Cuenta Contable]],Produccion_Agricola_Cuentas[Cuenta Contable],0),2),0)</f>
        <v>0</v>
      </c>
      <c r="AC346" s="769">
        <f>IFERROR(INDEX(Tabla9[],MATCH(Producción_Agricola[[#This Row],[Movimiento]],Tabla9[Movimientos],0),2),0)</f>
        <v>0</v>
      </c>
      <c r="AD346" s="770">
        <f>IFERROR(INDEX(Tabla9[],MATCH(Producción_Agricola[[#This Row],[Movimiento]],Tabla9[Movimientos],0),3),0)</f>
        <v>0</v>
      </c>
      <c r="AE346" s="765">
        <f>IF(Producción_Agricola[[#This Row],[Fecha Económico]]=0,0,MONTH(Producción_Agricola[[#This Row],[Fecha Económico]]))</f>
        <v>0</v>
      </c>
      <c r="AF346" s="766">
        <f>IF(Producción_Agricola[[#This Row],[Fecha Económico]]=0,0,YEAR(Producción_Agricola[[#This Row],[Fecha Económico]]))</f>
        <v>0</v>
      </c>
      <c r="AG346" s="771">
        <f>SUMPRODUCT((Producción_Agricola[[#This Row],[Mes Económico]]=Tipo_Cambio[Mes])*(Producción_Agricola[[#This Row],[Año Económico]]=Tipo_Cambio[Año])*(Tipo_Cambio[$/U$S]))</f>
        <v>0</v>
      </c>
      <c r="AH346" s="770">
        <f>SUMPRODUCT((Producción_Agricola[[#This Row],[Mes Económico]]=Tipo_Cambio[Mes])*(Producción_Agricola[[#This Row],[Año Económico]]=Tipo_Cambio[Año])*(Tipo_Cambio[Actualización]))</f>
        <v>0</v>
      </c>
      <c r="AI346" s="766">
        <f>IF(ISNUMBER(Producción_Agricola[[#This Row],[Fecha Financiero]])=TRUE,MONTH(Producción_Agricola[[#This Row],[Fecha Financiero]]),0)</f>
        <v>0</v>
      </c>
      <c r="AJ346" s="766">
        <f>IF(ISNUMBER(Producción_Agricola[[#This Row],[Fecha Financiero]])=TRUE,YEAR(Producción_Agricola[[#This Row],[Fecha Financiero]]),0)</f>
        <v>0</v>
      </c>
      <c r="AK346" s="771">
        <f>SUMPRODUCT((Producción_Agricola[[#This Row],[Mes Financiero]]=Tipo_Cambio[Mes])*(Producción_Agricola[[#This Row],[Año Financiero]]=Tipo_Cambio[Año])*(Tipo_Cambio[$/U$S]))</f>
        <v>0</v>
      </c>
      <c r="AL346" s="771">
        <f>SUMPRODUCT((Producción_Agricola[[#This Row],[Mes Financiero]]=Tipo_Cambio[Mes])*(Producción_Agricola[[#This Row],[Año Financiero]]=Tipo_Cambio[Año])*(Tipo_Cambio[Actualización]))</f>
        <v>0</v>
      </c>
      <c r="AM346" s="772">
        <f>IFERROR(Producción_Agricola[[#This Row],[Económico $Corrientes]]/Producción_Agricola[[#This Row],[Superficie]],0)</f>
        <v>0</v>
      </c>
      <c r="AN346" s="773">
        <f>IFERROR(Producción_Agricola[[#This Row],[Económico $Constantes]]/Producción_Agricola[[#This Row],[Superficie]],0)</f>
        <v>0</v>
      </c>
      <c r="AO346" s="773">
        <f>IFERROR(Producción_Agricola[[#This Row],[Económico U$S Dólares]]/Producción_Agricola[[#This Row],[Superficie]],0)</f>
        <v>0</v>
      </c>
      <c r="AP346" s="774">
        <f>IF(Económico!$F$4=0,0,Producción_Agricola[[#This Row],[Centro de Costo]])</f>
        <v>0</v>
      </c>
      <c r="AQ346" s="512"/>
      <c r="AR346" s="663"/>
      <c r="AS346"/>
    </row>
    <row r="347" spans="1:45" x14ac:dyDescent="0.25">
      <c r="A347" s="509"/>
      <c r="B347" s="494"/>
      <c r="C347" s="509"/>
      <c r="D347" s="478"/>
      <c r="E347" s="478"/>
      <c r="F347" s="668">
        <f t="shared" si="56"/>
        <v>0</v>
      </c>
      <c r="G347" s="673">
        <f t="shared" si="57"/>
        <v>0</v>
      </c>
      <c r="H347" s="673">
        <f t="shared" si="58"/>
        <v>0</v>
      </c>
      <c r="I347" s="687">
        <f>IFERROR(INDEX(Tabla8[],MATCH(Producción_Agricola[[#This Row],[Unidad de Negocio]],Tabla8[Unidades de Negocio],0),2),0)</f>
        <v>0</v>
      </c>
      <c r="J347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47" s="661"/>
      <c r="L347" s="482"/>
      <c r="M347" s="483"/>
      <c r="N347" s="484"/>
      <c r="O347" s="694">
        <f>Producción_Agricola[[#This Row],[Superficie]]*Producción_Agricola[[#This Row],[Cantidad]]</f>
        <v>0</v>
      </c>
      <c r="P347" s="482"/>
      <c r="Q347" s="484"/>
      <c r="R347" s="485"/>
      <c r="S347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47" s="761">
        <f>IFERROR(Producción_Agricola[[#This Row],[Económico $Corrientes]]/Producción_Agricola[[#This Row],[Indexación Económico]],0)</f>
        <v>0</v>
      </c>
      <c r="U347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47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47" s="761">
        <f>IFERROR(Producción_Agricola[[#This Row],[Financiero $Corrientes]]/Producción_Agricola[[#This Row],[Indexación Financiero]],0)</f>
        <v>0</v>
      </c>
      <c r="X347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47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47" s="766">
        <f>IFERROR(Producción_Agricola[[#This Row],[Intereses $Corrientes]]/Producción_Agricola[[#This Row],[Indexación Financiero]],0)</f>
        <v>0</v>
      </c>
      <c r="AA347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47" s="768">
        <f>IFERROR(INDEX(Produccion_Agricola_Cuentas[],MATCH(Producción_Agricola[[#This Row],[Cuenta Contable]],Produccion_Agricola_Cuentas[Cuenta Contable],0),2),0)</f>
        <v>0</v>
      </c>
      <c r="AC347" s="769">
        <f>IFERROR(INDEX(Tabla9[],MATCH(Producción_Agricola[[#This Row],[Movimiento]],Tabla9[Movimientos],0),2),0)</f>
        <v>0</v>
      </c>
      <c r="AD347" s="770">
        <f>IFERROR(INDEX(Tabla9[],MATCH(Producción_Agricola[[#This Row],[Movimiento]],Tabla9[Movimientos],0),3),0)</f>
        <v>0</v>
      </c>
      <c r="AE347" s="765">
        <f>IF(Producción_Agricola[[#This Row],[Fecha Económico]]=0,0,MONTH(Producción_Agricola[[#This Row],[Fecha Económico]]))</f>
        <v>0</v>
      </c>
      <c r="AF347" s="766">
        <f>IF(Producción_Agricola[[#This Row],[Fecha Económico]]=0,0,YEAR(Producción_Agricola[[#This Row],[Fecha Económico]]))</f>
        <v>0</v>
      </c>
      <c r="AG347" s="771">
        <f>SUMPRODUCT((Producción_Agricola[[#This Row],[Mes Económico]]=Tipo_Cambio[Mes])*(Producción_Agricola[[#This Row],[Año Económico]]=Tipo_Cambio[Año])*(Tipo_Cambio[$/U$S]))</f>
        <v>0</v>
      </c>
      <c r="AH347" s="770">
        <f>SUMPRODUCT((Producción_Agricola[[#This Row],[Mes Económico]]=Tipo_Cambio[Mes])*(Producción_Agricola[[#This Row],[Año Económico]]=Tipo_Cambio[Año])*(Tipo_Cambio[Actualización]))</f>
        <v>0</v>
      </c>
      <c r="AI347" s="766">
        <f>IF(ISNUMBER(Producción_Agricola[[#This Row],[Fecha Financiero]])=TRUE,MONTH(Producción_Agricola[[#This Row],[Fecha Financiero]]),0)</f>
        <v>0</v>
      </c>
      <c r="AJ347" s="766">
        <f>IF(ISNUMBER(Producción_Agricola[[#This Row],[Fecha Financiero]])=TRUE,YEAR(Producción_Agricola[[#This Row],[Fecha Financiero]]),0)</f>
        <v>0</v>
      </c>
      <c r="AK347" s="771">
        <f>SUMPRODUCT((Producción_Agricola[[#This Row],[Mes Financiero]]=Tipo_Cambio[Mes])*(Producción_Agricola[[#This Row],[Año Financiero]]=Tipo_Cambio[Año])*(Tipo_Cambio[$/U$S]))</f>
        <v>0</v>
      </c>
      <c r="AL347" s="771">
        <f>SUMPRODUCT((Producción_Agricola[[#This Row],[Mes Financiero]]=Tipo_Cambio[Mes])*(Producción_Agricola[[#This Row],[Año Financiero]]=Tipo_Cambio[Año])*(Tipo_Cambio[Actualización]))</f>
        <v>0</v>
      </c>
      <c r="AM347" s="772">
        <f>IFERROR(Producción_Agricola[[#This Row],[Económico $Corrientes]]/Producción_Agricola[[#This Row],[Superficie]],0)</f>
        <v>0</v>
      </c>
      <c r="AN347" s="773">
        <f>IFERROR(Producción_Agricola[[#This Row],[Económico $Constantes]]/Producción_Agricola[[#This Row],[Superficie]],0)</f>
        <v>0</v>
      </c>
      <c r="AO347" s="773">
        <f>IFERROR(Producción_Agricola[[#This Row],[Económico U$S Dólares]]/Producción_Agricola[[#This Row],[Superficie]],0)</f>
        <v>0</v>
      </c>
      <c r="AP347" s="774">
        <f>IF(Económico!$F$4=0,0,Producción_Agricola[[#This Row],[Centro de Costo]])</f>
        <v>0</v>
      </c>
      <c r="AQ347" s="512"/>
      <c r="AR347" s="663"/>
      <c r="AS347"/>
    </row>
    <row r="348" spans="1:45" x14ac:dyDescent="0.25">
      <c r="A348" s="509"/>
      <c r="B348" s="494"/>
      <c r="C348" s="509"/>
      <c r="D348" s="478"/>
      <c r="E348" s="478"/>
      <c r="F348" s="668">
        <f t="shared" si="56"/>
        <v>0</v>
      </c>
      <c r="G348" s="673">
        <f t="shared" si="57"/>
        <v>0</v>
      </c>
      <c r="H348" s="673">
        <f t="shared" si="58"/>
        <v>0</v>
      </c>
      <c r="I348" s="687">
        <f>IFERROR(INDEX(Tabla8[],MATCH(Producción_Agricola[[#This Row],[Unidad de Negocio]],Tabla8[Unidades de Negocio],0),2),0)</f>
        <v>0</v>
      </c>
      <c r="J348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48" s="661"/>
      <c r="L348" s="482"/>
      <c r="M348" s="483"/>
      <c r="N348" s="484"/>
      <c r="O348" s="694">
        <f>Producción_Agricola[[#This Row],[Superficie]]*Producción_Agricola[[#This Row],[Cantidad]]</f>
        <v>0</v>
      </c>
      <c r="P348" s="482"/>
      <c r="Q348" s="484"/>
      <c r="R348" s="485"/>
      <c r="S348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48" s="761">
        <f>IFERROR(Producción_Agricola[[#This Row],[Económico $Corrientes]]/Producción_Agricola[[#This Row],[Indexación Económico]],0)</f>
        <v>0</v>
      </c>
      <c r="U348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48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48" s="761">
        <f>IFERROR(Producción_Agricola[[#This Row],[Financiero $Corrientes]]/Producción_Agricola[[#This Row],[Indexación Financiero]],0)</f>
        <v>0</v>
      </c>
      <c r="X348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48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48" s="766">
        <f>IFERROR(Producción_Agricola[[#This Row],[Intereses $Corrientes]]/Producción_Agricola[[#This Row],[Indexación Financiero]],0)</f>
        <v>0</v>
      </c>
      <c r="AA348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48" s="768">
        <f>IFERROR(INDEX(Produccion_Agricola_Cuentas[],MATCH(Producción_Agricola[[#This Row],[Cuenta Contable]],Produccion_Agricola_Cuentas[Cuenta Contable],0),2),0)</f>
        <v>0</v>
      </c>
      <c r="AC348" s="769">
        <f>IFERROR(INDEX(Tabla9[],MATCH(Producción_Agricola[[#This Row],[Movimiento]],Tabla9[Movimientos],0),2),0)</f>
        <v>0</v>
      </c>
      <c r="AD348" s="770">
        <f>IFERROR(INDEX(Tabla9[],MATCH(Producción_Agricola[[#This Row],[Movimiento]],Tabla9[Movimientos],0),3),0)</f>
        <v>0</v>
      </c>
      <c r="AE348" s="765">
        <f>IF(Producción_Agricola[[#This Row],[Fecha Económico]]=0,0,MONTH(Producción_Agricola[[#This Row],[Fecha Económico]]))</f>
        <v>0</v>
      </c>
      <c r="AF348" s="766">
        <f>IF(Producción_Agricola[[#This Row],[Fecha Económico]]=0,0,YEAR(Producción_Agricola[[#This Row],[Fecha Económico]]))</f>
        <v>0</v>
      </c>
      <c r="AG348" s="771">
        <f>SUMPRODUCT((Producción_Agricola[[#This Row],[Mes Económico]]=Tipo_Cambio[Mes])*(Producción_Agricola[[#This Row],[Año Económico]]=Tipo_Cambio[Año])*(Tipo_Cambio[$/U$S]))</f>
        <v>0</v>
      </c>
      <c r="AH348" s="770">
        <f>SUMPRODUCT((Producción_Agricola[[#This Row],[Mes Económico]]=Tipo_Cambio[Mes])*(Producción_Agricola[[#This Row],[Año Económico]]=Tipo_Cambio[Año])*(Tipo_Cambio[Actualización]))</f>
        <v>0</v>
      </c>
      <c r="AI348" s="766">
        <f>IF(ISNUMBER(Producción_Agricola[[#This Row],[Fecha Financiero]])=TRUE,MONTH(Producción_Agricola[[#This Row],[Fecha Financiero]]),0)</f>
        <v>0</v>
      </c>
      <c r="AJ348" s="766">
        <f>IF(ISNUMBER(Producción_Agricola[[#This Row],[Fecha Financiero]])=TRUE,YEAR(Producción_Agricola[[#This Row],[Fecha Financiero]]),0)</f>
        <v>0</v>
      </c>
      <c r="AK348" s="771">
        <f>SUMPRODUCT((Producción_Agricola[[#This Row],[Mes Financiero]]=Tipo_Cambio[Mes])*(Producción_Agricola[[#This Row],[Año Financiero]]=Tipo_Cambio[Año])*(Tipo_Cambio[$/U$S]))</f>
        <v>0</v>
      </c>
      <c r="AL348" s="771">
        <f>SUMPRODUCT((Producción_Agricola[[#This Row],[Mes Financiero]]=Tipo_Cambio[Mes])*(Producción_Agricola[[#This Row],[Año Financiero]]=Tipo_Cambio[Año])*(Tipo_Cambio[Actualización]))</f>
        <v>0</v>
      </c>
      <c r="AM348" s="772">
        <f>IFERROR(Producción_Agricola[[#This Row],[Económico $Corrientes]]/Producción_Agricola[[#This Row],[Superficie]],0)</f>
        <v>0</v>
      </c>
      <c r="AN348" s="773">
        <f>IFERROR(Producción_Agricola[[#This Row],[Económico $Constantes]]/Producción_Agricola[[#This Row],[Superficie]],0)</f>
        <v>0</v>
      </c>
      <c r="AO348" s="773">
        <f>IFERROR(Producción_Agricola[[#This Row],[Económico U$S Dólares]]/Producción_Agricola[[#This Row],[Superficie]],0)</f>
        <v>0</v>
      </c>
      <c r="AP348" s="774">
        <f>IF(Económico!$F$4=0,0,Producción_Agricola[[#This Row],[Centro de Costo]])</f>
        <v>0</v>
      </c>
      <c r="AQ348" s="512"/>
      <c r="AR348" s="663"/>
      <c r="AS348"/>
    </row>
    <row r="349" spans="1:45" x14ac:dyDescent="0.25">
      <c r="A349" s="509"/>
      <c r="B349" s="494"/>
      <c r="C349" s="509"/>
      <c r="D349" s="478"/>
      <c r="E349" s="478"/>
      <c r="F349" s="668">
        <f t="shared" si="56"/>
        <v>0</v>
      </c>
      <c r="G349" s="673">
        <f t="shared" si="57"/>
        <v>0</v>
      </c>
      <c r="H349" s="673">
        <f t="shared" si="58"/>
        <v>0</v>
      </c>
      <c r="I349" s="687">
        <f>IFERROR(INDEX(Tabla8[],MATCH(Producción_Agricola[[#This Row],[Unidad de Negocio]],Tabla8[Unidades de Negocio],0),2),0)</f>
        <v>0</v>
      </c>
      <c r="J349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49" s="661"/>
      <c r="L349" s="482"/>
      <c r="M349" s="483"/>
      <c r="N349" s="484"/>
      <c r="O349" s="694">
        <f>Producción_Agricola[[#This Row],[Superficie]]*Producción_Agricola[[#This Row],[Cantidad]]</f>
        <v>0</v>
      </c>
      <c r="P349" s="482"/>
      <c r="Q349" s="484"/>
      <c r="R349" s="485"/>
      <c r="S349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49" s="761">
        <f>IFERROR(Producción_Agricola[[#This Row],[Económico $Corrientes]]/Producción_Agricola[[#This Row],[Indexación Económico]],0)</f>
        <v>0</v>
      </c>
      <c r="U349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49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49" s="761">
        <f>IFERROR(Producción_Agricola[[#This Row],[Financiero $Corrientes]]/Producción_Agricola[[#This Row],[Indexación Financiero]],0)</f>
        <v>0</v>
      </c>
      <c r="X349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49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49" s="766">
        <f>IFERROR(Producción_Agricola[[#This Row],[Intereses $Corrientes]]/Producción_Agricola[[#This Row],[Indexación Financiero]],0)</f>
        <v>0</v>
      </c>
      <c r="AA349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49" s="768">
        <f>IFERROR(INDEX(Produccion_Agricola_Cuentas[],MATCH(Producción_Agricola[[#This Row],[Cuenta Contable]],Produccion_Agricola_Cuentas[Cuenta Contable],0),2),0)</f>
        <v>0</v>
      </c>
      <c r="AC349" s="769">
        <f>IFERROR(INDEX(Tabla9[],MATCH(Producción_Agricola[[#This Row],[Movimiento]],Tabla9[Movimientos],0),2),0)</f>
        <v>0</v>
      </c>
      <c r="AD349" s="770">
        <f>IFERROR(INDEX(Tabla9[],MATCH(Producción_Agricola[[#This Row],[Movimiento]],Tabla9[Movimientos],0),3),0)</f>
        <v>0</v>
      </c>
      <c r="AE349" s="765">
        <f>IF(Producción_Agricola[[#This Row],[Fecha Económico]]=0,0,MONTH(Producción_Agricola[[#This Row],[Fecha Económico]]))</f>
        <v>0</v>
      </c>
      <c r="AF349" s="766">
        <f>IF(Producción_Agricola[[#This Row],[Fecha Económico]]=0,0,YEAR(Producción_Agricola[[#This Row],[Fecha Económico]]))</f>
        <v>0</v>
      </c>
      <c r="AG349" s="771">
        <f>SUMPRODUCT((Producción_Agricola[[#This Row],[Mes Económico]]=Tipo_Cambio[Mes])*(Producción_Agricola[[#This Row],[Año Económico]]=Tipo_Cambio[Año])*(Tipo_Cambio[$/U$S]))</f>
        <v>0</v>
      </c>
      <c r="AH349" s="770">
        <f>SUMPRODUCT((Producción_Agricola[[#This Row],[Mes Económico]]=Tipo_Cambio[Mes])*(Producción_Agricola[[#This Row],[Año Económico]]=Tipo_Cambio[Año])*(Tipo_Cambio[Actualización]))</f>
        <v>0</v>
      </c>
      <c r="AI349" s="766">
        <f>IF(ISNUMBER(Producción_Agricola[[#This Row],[Fecha Financiero]])=TRUE,MONTH(Producción_Agricola[[#This Row],[Fecha Financiero]]),0)</f>
        <v>0</v>
      </c>
      <c r="AJ349" s="766">
        <f>IF(ISNUMBER(Producción_Agricola[[#This Row],[Fecha Financiero]])=TRUE,YEAR(Producción_Agricola[[#This Row],[Fecha Financiero]]),0)</f>
        <v>0</v>
      </c>
      <c r="AK349" s="771">
        <f>SUMPRODUCT((Producción_Agricola[[#This Row],[Mes Financiero]]=Tipo_Cambio[Mes])*(Producción_Agricola[[#This Row],[Año Financiero]]=Tipo_Cambio[Año])*(Tipo_Cambio[$/U$S]))</f>
        <v>0</v>
      </c>
      <c r="AL349" s="771">
        <f>SUMPRODUCT((Producción_Agricola[[#This Row],[Mes Financiero]]=Tipo_Cambio[Mes])*(Producción_Agricola[[#This Row],[Año Financiero]]=Tipo_Cambio[Año])*(Tipo_Cambio[Actualización]))</f>
        <v>0</v>
      </c>
      <c r="AM349" s="772">
        <f>IFERROR(Producción_Agricola[[#This Row],[Económico $Corrientes]]/Producción_Agricola[[#This Row],[Superficie]],0)</f>
        <v>0</v>
      </c>
      <c r="AN349" s="773">
        <f>IFERROR(Producción_Agricola[[#This Row],[Económico $Constantes]]/Producción_Agricola[[#This Row],[Superficie]],0)</f>
        <v>0</v>
      </c>
      <c r="AO349" s="773">
        <f>IFERROR(Producción_Agricola[[#This Row],[Económico U$S Dólares]]/Producción_Agricola[[#This Row],[Superficie]],0)</f>
        <v>0</v>
      </c>
      <c r="AP349" s="774">
        <f>IF(Económico!$F$4=0,0,Producción_Agricola[[#This Row],[Centro de Costo]])</f>
        <v>0</v>
      </c>
      <c r="AQ349" s="512"/>
      <c r="AR349" s="663"/>
      <c r="AS349"/>
    </row>
    <row r="350" spans="1:45" x14ac:dyDescent="0.25">
      <c r="A350" s="509"/>
      <c r="B350" s="494"/>
      <c r="C350" s="509"/>
      <c r="D350" s="478"/>
      <c r="E350" s="478"/>
      <c r="F350" s="668">
        <f t="shared" si="56"/>
        <v>0</v>
      </c>
      <c r="G350" s="673">
        <f t="shared" si="57"/>
        <v>0</v>
      </c>
      <c r="H350" s="673">
        <f t="shared" si="58"/>
        <v>0</v>
      </c>
      <c r="I350" s="687">
        <f>IFERROR(INDEX(Tabla8[],MATCH(Producción_Agricola[[#This Row],[Unidad de Negocio]],Tabla8[Unidades de Negocio],0),2),0)</f>
        <v>0</v>
      </c>
      <c r="J350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50" s="661"/>
      <c r="L350" s="482"/>
      <c r="M350" s="483"/>
      <c r="N350" s="484"/>
      <c r="O350" s="694">
        <f>Producción_Agricola[[#This Row],[Superficie]]*Producción_Agricola[[#This Row],[Cantidad]]</f>
        <v>0</v>
      </c>
      <c r="P350" s="482"/>
      <c r="Q350" s="484"/>
      <c r="R350" s="485"/>
      <c r="S350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50" s="761">
        <f>IFERROR(Producción_Agricola[[#This Row],[Económico $Corrientes]]/Producción_Agricola[[#This Row],[Indexación Económico]],0)</f>
        <v>0</v>
      </c>
      <c r="U350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50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50" s="761">
        <f>IFERROR(Producción_Agricola[[#This Row],[Financiero $Corrientes]]/Producción_Agricola[[#This Row],[Indexación Financiero]],0)</f>
        <v>0</v>
      </c>
      <c r="X350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50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50" s="766">
        <f>IFERROR(Producción_Agricola[[#This Row],[Intereses $Corrientes]]/Producción_Agricola[[#This Row],[Indexación Financiero]],0)</f>
        <v>0</v>
      </c>
      <c r="AA350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50" s="768">
        <f>IFERROR(INDEX(Produccion_Agricola_Cuentas[],MATCH(Producción_Agricola[[#This Row],[Cuenta Contable]],Produccion_Agricola_Cuentas[Cuenta Contable],0),2),0)</f>
        <v>0</v>
      </c>
      <c r="AC350" s="769">
        <f>IFERROR(INDEX(Tabla9[],MATCH(Producción_Agricola[[#This Row],[Movimiento]],Tabla9[Movimientos],0),2),0)</f>
        <v>0</v>
      </c>
      <c r="AD350" s="770">
        <f>IFERROR(INDEX(Tabla9[],MATCH(Producción_Agricola[[#This Row],[Movimiento]],Tabla9[Movimientos],0),3),0)</f>
        <v>0</v>
      </c>
      <c r="AE350" s="765">
        <f>IF(Producción_Agricola[[#This Row],[Fecha Económico]]=0,0,MONTH(Producción_Agricola[[#This Row],[Fecha Económico]]))</f>
        <v>0</v>
      </c>
      <c r="AF350" s="766">
        <f>IF(Producción_Agricola[[#This Row],[Fecha Económico]]=0,0,YEAR(Producción_Agricola[[#This Row],[Fecha Económico]]))</f>
        <v>0</v>
      </c>
      <c r="AG350" s="771">
        <f>SUMPRODUCT((Producción_Agricola[[#This Row],[Mes Económico]]=Tipo_Cambio[Mes])*(Producción_Agricola[[#This Row],[Año Económico]]=Tipo_Cambio[Año])*(Tipo_Cambio[$/U$S]))</f>
        <v>0</v>
      </c>
      <c r="AH350" s="770">
        <f>SUMPRODUCT((Producción_Agricola[[#This Row],[Mes Económico]]=Tipo_Cambio[Mes])*(Producción_Agricola[[#This Row],[Año Económico]]=Tipo_Cambio[Año])*(Tipo_Cambio[Actualización]))</f>
        <v>0</v>
      </c>
      <c r="AI350" s="766">
        <f>IF(ISNUMBER(Producción_Agricola[[#This Row],[Fecha Financiero]])=TRUE,MONTH(Producción_Agricola[[#This Row],[Fecha Financiero]]),0)</f>
        <v>0</v>
      </c>
      <c r="AJ350" s="766">
        <f>IF(ISNUMBER(Producción_Agricola[[#This Row],[Fecha Financiero]])=TRUE,YEAR(Producción_Agricola[[#This Row],[Fecha Financiero]]),0)</f>
        <v>0</v>
      </c>
      <c r="AK350" s="771">
        <f>SUMPRODUCT((Producción_Agricola[[#This Row],[Mes Financiero]]=Tipo_Cambio[Mes])*(Producción_Agricola[[#This Row],[Año Financiero]]=Tipo_Cambio[Año])*(Tipo_Cambio[$/U$S]))</f>
        <v>0</v>
      </c>
      <c r="AL350" s="771">
        <f>SUMPRODUCT((Producción_Agricola[[#This Row],[Mes Financiero]]=Tipo_Cambio[Mes])*(Producción_Agricola[[#This Row],[Año Financiero]]=Tipo_Cambio[Año])*(Tipo_Cambio[Actualización]))</f>
        <v>0</v>
      </c>
      <c r="AM350" s="772">
        <f>IFERROR(Producción_Agricola[[#This Row],[Económico $Corrientes]]/Producción_Agricola[[#This Row],[Superficie]],0)</f>
        <v>0</v>
      </c>
      <c r="AN350" s="773">
        <f>IFERROR(Producción_Agricola[[#This Row],[Económico $Constantes]]/Producción_Agricola[[#This Row],[Superficie]],0)</f>
        <v>0</v>
      </c>
      <c r="AO350" s="773">
        <f>IFERROR(Producción_Agricola[[#This Row],[Económico U$S Dólares]]/Producción_Agricola[[#This Row],[Superficie]],0)</f>
        <v>0</v>
      </c>
      <c r="AP350" s="774">
        <f>IF(Económico!$F$4=0,0,Producción_Agricola[[#This Row],[Centro de Costo]])</f>
        <v>0</v>
      </c>
      <c r="AQ350" s="512"/>
      <c r="AR350" s="663"/>
      <c r="AS350"/>
    </row>
    <row r="351" spans="1:45" x14ac:dyDescent="0.25">
      <c r="A351" s="509"/>
      <c r="B351" s="494"/>
      <c r="C351" s="509"/>
      <c r="D351" s="478"/>
      <c r="E351" s="478"/>
      <c r="F351" s="668">
        <f t="shared" si="56"/>
        <v>0</v>
      </c>
      <c r="G351" s="673">
        <f t="shared" si="57"/>
        <v>0</v>
      </c>
      <c r="H351" s="673">
        <f t="shared" si="58"/>
        <v>0</v>
      </c>
      <c r="I351" s="687">
        <f>IFERROR(INDEX(Tabla8[],MATCH(Producción_Agricola[[#This Row],[Unidad de Negocio]],Tabla8[Unidades de Negocio],0),2),0)</f>
        <v>0</v>
      </c>
      <c r="J351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51" s="661"/>
      <c r="L351" s="482"/>
      <c r="M351" s="483"/>
      <c r="N351" s="484"/>
      <c r="O351" s="694">
        <f>Producción_Agricola[[#This Row],[Superficie]]*Producción_Agricola[[#This Row],[Cantidad]]</f>
        <v>0</v>
      </c>
      <c r="P351" s="482"/>
      <c r="Q351" s="484"/>
      <c r="R351" s="485"/>
      <c r="S351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51" s="761">
        <f>IFERROR(Producción_Agricola[[#This Row],[Económico $Corrientes]]/Producción_Agricola[[#This Row],[Indexación Económico]],0)</f>
        <v>0</v>
      </c>
      <c r="U351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51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51" s="761">
        <f>IFERROR(Producción_Agricola[[#This Row],[Financiero $Corrientes]]/Producción_Agricola[[#This Row],[Indexación Financiero]],0)</f>
        <v>0</v>
      </c>
      <c r="X351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51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51" s="766">
        <f>IFERROR(Producción_Agricola[[#This Row],[Intereses $Corrientes]]/Producción_Agricola[[#This Row],[Indexación Financiero]],0)</f>
        <v>0</v>
      </c>
      <c r="AA351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51" s="768">
        <f>IFERROR(INDEX(Produccion_Agricola_Cuentas[],MATCH(Producción_Agricola[[#This Row],[Cuenta Contable]],Produccion_Agricola_Cuentas[Cuenta Contable],0),2),0)</f>
        <v>0</v>
      </c>
      <c r="AC351" s="769">
        <f>IFERROR(INDEX(Tabla9[],MATCH(Producción_Agricola[[#This Row],[Movimiento]],Tabla9[Movimientos],0),2),0)</f>
        <v>0</v>
      </c>
      <c r="AD351" s="770">
        <f>IFERROR(INDEX(Tabla9[],MATCH(Producción_Agricola[[#This Row],[Movimiento]],Tabla9[Movimientos],0),3),0)</f>
        <v>0</v>
      </c>
      <c r="AE351" s="765">
        <f>IF(Producción_Agricola[[#This Row],[Fecha Económico]]=0,0,MONTH(Producción_Agricola[[#This Row],[Fecha Económico]]))</f>
        <v>0</v>
      </c>
      <c r="AF351" s="766">
        <f>IF(Producción_Agricola[[#This Row],[Fecha Económico]]=0,0,YEAR(Producción_Agricola[[#This Row],[Fecha Económico]]))</f>
        <v>0</v>
      </c>
      <c r="AG351" s="771">
        <f>SUMPRODUCT((Producción_Agricola[[#This Row],[Mes Económico]]=Tipo_Cambio[Mes])*(Producción_Agricola[[#This Row],[Año Económico]]=Tipo_Cambio[Año])*(Tipo_Cambio[$/U$S]))</f>
        <v>0</v>
      </c>
      <c r="AH351" s="770">
        <f>SUMPRODUCT((Producción_Agricola[[#This Row],[Mes Económico]]=Tipo_Cambio[Mes])*(Producción_Agricola[[#This Row],[Año Económico]]=Tipo_Cambio[Año])*(Tipo_Cambio[Actualización]))</f>
        <v>0</v>
      </c>
      <c r="AI351" s="766">
        <f>IF(ISNUMBER(Producción_Agricola[[#This Row],[Fecha Financiero]])=TRUE,MONTH(Producción_Agricola[[#This Row],[Fecha Financiero]]),0)</f>
        <v>0</v>
      </c>
      <c r="AJ351" s="766">
        <f>IF(ISNUMBER(Producción_Agricola[[#This Row],[Fecha Financiero]])=TRUE,YEAR(Producción_Agricola[[#This Row],[Fecha Financiero]]),0)</f>
        <v>0</v>
      </c>
      <c r="AK351" s="771">
        <f>SUMPRODUCT((Producción_Agricola[[#This Row],[Mes Financiero]]=Tipo_Cambio[Mes])*(Producción_Agricola[[#This Row],[Año Financiero]]=Tipo_Cambio[Año])*(Tipo_Cambio[$/U$S]))</f>
        <v>0</v>
      </c>
      <c r="AL351" s="771">
        <f>SUMPRODUCT((Producción_Agricola[[#This Row],[Mes Financiero]]=Tipo_Cambio[Mes])*(Producción_Agricola[[#This Row],[Año Financiero]]=Tipo_Cambio[Año])*(Tipo_Cambio[Actualización]))</f>
        <v>0</v>
      </c>
      <c r="AM351" s="772">
        <f>IFERROR(Producción_Agricola[[#This Row],[Económico $Corrientes]]/Producción_Agricola[[#This Row],[Superficie]],0)</f>
        <v>0</v>
      </c>
      <c r="AN351" s="773">
        <f>IFERROR(Producción_Agricola[[#This Row],[Económico $Constantes]]/Producción_Agricola[[#This Row],[Superficie]],0)</f>
        <v>0</v>
      </c>
      <c r="AO351" s="773">
        <f>IFERROR(Producción_Agricola[[#This Row],[Económico U$S Dólares]]/Producción_Agricola[[#This Row],[Superficie]],0)</f>
        <v>0</v>
      </c>
      <c r="AP351" s="774">
        <f>IF(Económico!$F$4=0,0,Producción_Agricola[[#This Row],[Centro de Costo]])</f>
        <v>0</v>
      </c>
      <c r="AQ351" s="512"/>
      <c r="AR351" s="663"/>
      <c r="AS351"/>
    </row>
    <row r="352" spans="1:45" x14ac:dyDescent="0.25">
      <c r="A352" s="509"/>
      <c r="B352" s="494"/>
      <c r="C352" s="509"/>
      <c r="D352" s="478"/>
      <c r="E352" s="478"/>
      <c r="F352" s="668">
        <f t="shared" si="56"/>
        <v>0</v>
      </c>
      <c r="G352" s="673">
        <f t="shared" si="57"/>
        <v>0</v>
      </c>
      <c r="H352" s="673">
        <f t="shared" si="58"/>
        <v>0</v>
      </c>
      <c r="I352" s="687">
        <f>IFERROR(INDEX(Tabla8[],MATCH(Producción_Agricola[[#This Row],[Unidad de Negocio]],Tabla8[Unidades de Negocio],0),2),0)</f>
        <v>0</v>
      </c>
      <c r="J352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52" s="661"/>
      <c r="L352" s="482"/>
      <c r="M352" s="483"/>
      <c r="N352" s="484"/>
      <c r="O352" s="694">
        <f>Producción_Agricola[[#This Row],[Superficie]]*Producción_Agricola[[#This Row],[Cantidad]]</f>
        <v>0</v>
      </c>
      <c r="P352" s="482"/>
      <c r="Q352" s="484"/>
      <c r="R352" s="485"/>
      <c r="S352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52" s="761">
        <f>IFERROR(Producción_Agricola[[#This Row],[Económico $Corrientes]]/Producción_Agricola[[#This Row],[Indexación Económico]],0)</f>
        <v>0</v>
      </c>
      <c r="U352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52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52" s="761">
        <f>IFERROR(Producción_Agricola[[#This Row],[Financiero $Corrientes]]/Producción_Agricola[[#This Row],[Indexación Financiero]],0)</f>
        <v>0</v>
      </c>
      <c r="X352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52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52" s="766">
        <f>IFERROR(Producción_Agricola[[#This Row],[Intereses $Corrientes]]/Producción_Agricola[[#This Row],[Indexación Financiero]],0)</f>
        <v>0</v>
      </c>
      <c r="AA352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52" s="768">
        <f>IFERROR(INDEX(Produccion_Agricola_Cuentas[],MATCH(Producción_Agricola[[#This Row],[Cuenta Contable]],Produccion_Agricola_Cuentas[Cuenta Contable],0),2),0)</f>
        <v>0</v>
      </c>
      <c r="AC352" s="769">
        <f>IFERROR(INDEX(Tabla9[],MATCH(Producción_Agricola[[#This Row],[Movimiento]],Tabla9[Movimientos],0),2),0)</f>
        <v>0</v>
      </c>
      <c r="AD352" s="770">
        <f>IFERROR(INDEX(Tabla9[],MATCH(Producción_Agricola[[#This Row],[Movimiento]],Tabla9[Movimientos],0),3),0)</f>
        <v>0</v>
      </c>
      <c r="AE352" s="765">
        <f>IF(Producción_Agricola[[#This Row],[Fecha Económico]]=0,0,MONTH(Producción_Agricola[[#This Row],[Fecha Económico]]))</f>
        <v>0</v>
      </c>
      <c r="AF352" s="766">
        <f>IF(Producción_Agricola[[#This Row],[Fecha Económico]]=0,0,YEAR(Producción_Agricola[[#This Row],[Fecha Económico]]))</f>
        <v>0</v>
      </c>
      <c r="AG352" s="771">
        <f>SUMPRODUCT((Producción_Agricola[[#This Row],[Mes Económico]]=Tipo_Cambio[Mes])*(Producción_Agricola[[#This Row],[Año Económico]]=Tipo_Cambio[Año])*(Tipo_Cambio[$/U$S]))</f>
        <v>0</v>
      </c>
      <c r="AH352" s="770">
        <f>SUMPRODUCT((Producción_Agricola[[#This Row],[Mes Económico]]=Tipo_Cambio[Mes])*(Producción_Agricola[[#This Row],[Año Económico]]=Tipo_Cambio[Año])*(Tipo_Cambio[Actualización]))</f>
        <v>0</v>
      </c>
      <c r="AI352" s="766">
        <f>IF(ISNUMBER(Producción_Agricola[[#This Row],[Fecha Financiero]])=TRUE,MONTH(Producción_Agricola[[#This Row],[Fecha Financiero]]),0)</f>
        <v>0</v>
      </c>
      <c r="AJ352" s="766">
        <f>IF(ISNUMBER(Producción_Agricola[[#This Row],[Fecha Financiero]])=TRUE,YEAR(Producción_Agricola[[#This Row],[Fecha Financiero]]),0)</f>
        <v>0</v>
      </c>
      <c r="AK352" s="771">
        <f>SUMPRODUCT((Producción_Agricola[[#This Row],[Mes Financiero]]=Tipo_Cambio[Mes])*(Producción_Agricola[[#This Row],[Año Financiero]]=Tipo_Cambio[Año])*(Tipo_Cambio[$/U$S]))</f>
        <v>0</v>
      </c>
      <c r="AL352" s="771">
        <f>SUMPRODUCT((Producción_Agricola[[#This Row],[Mes Financiero]]=Tipo_Cambio[Mes])*(Producción_Agricola[[#This Row],[Año Financiero]]=Tipo_Cambio[Año])*(Tipo_Cambio[Actualización]))</f>
        <v>0</v>
      </c>
      <c r="AM352" s="772">
        <f>IFERROR(Producción_Agricola[[#This Row],[Económico $Corrientes]]/Producción_Agricola[[#This Row],[Superficie]],0)</f>
        <v>0</v>
      </c>
      <c r="AN352" s="773">
        <f>IFERROR(Producción_Agricola[[#This Row],[Económico $Constantes]]/Producción_Agricola[[#This Row],[Superficie]],0)</f>
        <v>0</v>
      </c>
      <c r="AO352" s="773">
        <f>IFERROR(Producción_Agricola[[#This Row],[Económico U$S Dólares]]/Producción_Agricola[[#This Row],[Superficie]],0)</f>
        <v>0</v>
      </c>
      <c r="AP352" s="774">
        <f>IF(Económico!$F$4=0,0,Producción_Agricola[[#This Row],[Centro de Costo]])</f>
        <v>0</v>
      </c>
      <c r="AQ352" s="512"/>
      <c r="AR352" s="663"/>
      <c r="AS352"/>
    </row>
    <row r="353" spans="1:45" x14ac:dyDescent="0.25">
      <c r="A353" s="509"/>
      <c r="B353" s="494"/>
      <c r="C353" s="509"/>
      <c r="D353" s="478"/>
      <c r="E353" s="478"/>
      <c r="F353" s="668">
        <f t="shared" si="56"/>
        <v>0</v>
      </c>
      <c r="G353" s="673">
        <f t="shared" si="57"/>
        <v>0</v>
      </c>
      <c r="H353" s="673">
        <f t="shared" si="58"/>
        <v>0</v>
      </c>
      <c r="I353" s="687">
        <f>IFERROR(INDEX(Tabla8[],MATCH(Producción_Agricola[[#This Row],[Unidad de Negocio]],Tabla8[Unidades de Negocio],0),2),0)</f>
        <v>0</v>
      </c>
      <c r="J353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53" s="661"/>
      <c r="L353" s="482"/>
      <c r="M353" s="483"/>
      <c r="N353" s="484"/>
      <c r="O353" s="694">
        <f>Producción_Agricola[[#This Row],[Superficie]]*Producción_Agricola[[#This Row],[Cantidad]]</f>
        <v>0</v>
      </c>
      <c r="P353" s="482"/>
      <c r="Q353" s="484"/>
      <c r="R353" s="485"/>
      <c r="S353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53" s="761">
        <f>IFERROR(Producción_Agricola[[#This Row],[Económico $Corrientes]]/Producción_Agricola[[#This Row],[Indexación Económico]],0)</f>
        <v>0</v>
      </c>
      <c r="U353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53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53" s="761">
        <f>IFERROR(Producción_Agricola[[#This Row],[Financiero $Corrientes]]/Producción_Agricola[[#This Row],[Indexación Financiero]],0)</f>
        <v>0</v>
      </c>
      <c r="X353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53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53" s="766">
        <f>IFERROR(Producción_Agricola[[#This Row],[Intereses $Corrientes]]/Producción_Agricola[[#This Row],[Indexación Financiero]],0)</f>
        <v>0</v>
      </c>
      <c r="AA353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53" s="768">
        <f>IFERROR(INDEX(Produccion_Agricola_Cuentas[],MATCH(Producción_Agricola[[#This Row],[Cuenta Contable]],Produccion_Agricola_Cuentas[Cuenta Contable],0),2),0)</f>
        <v>0</v>
      </c>
      <c r="AC353" s="769">
        <f>IFERROR(INDEX(Tabla9[],MATCH(Producción_Agricola[[#This Row],[Movimiento]],Tabla9[Movimientos],0),2),0)</f>
        <v>0</v>
      </c>
      <c r="AD353" s="770">
        <f>IFERROR(INDEX(Tabla9[],MATCH(Producción_Agricola[[#This Row],[Movimiento]],Tabla9[Movimientos],0),3),0)</f>
        <v>0</v>
      </c>
      <c r="AE353" s="765">
        <f>IF(Producción_Agricola[[#This Row],[Fecha Económico]]=0,0,MONTH(Producción_Agricola[[#This Row],[Fecha Económico]]))</f>
        <v>0</v>
      </c>
      <c r="AF353" s="766">
        <f>IF(Producción_Agricola[[#This Row],[Fecha Económico]]=0,0,YEAR(Producción_Agricola[[#This Row],[Fecha Económico]]))</f>
        <v>0</v>
      </c>
      <c r="AG353" s="771">
        <f>SUMPRODUCT((Producción_Agricola[[#This Row],[Mes Económico]]=Tipo_Cambio[Mes])*(Producción_Agricola[[#This Row],[Año Económico]]=Tipo_Cambio[Año])*(Tipo_Cambio[$/U$S]))</f>
        <v>0</v>
      </c>
      <c r="AH353" s="770">
        <f>SUMPRODUCT((Producción_Agricola[[#This Row],[Mes Económico]]=Tipo_Cambio[Mes])*(Producción_Agricola[[#This Row],[Año Económico]]=Tipo_Cambio[Año])*(Tipo_Cambio[Actualización]))</f>
        <v>0</v>
      </c>
      <c r="AI353" s="766">
        <f>IF(ISNUMBER(Producción_Agricola[[#This Row],[Fecha Financiero]])=TRUE,MONTH(Producción_Agricola[[#This Row],[Fecha Financiero]]),0)</f>
        <v>0</v>
      </c>
      <c r="AJ353" s="766">
        <f>IF(ISNUMBER(Producción_Agricola[[#This Row],[Fecha Financiero]])=TRUE,YEAR(Producción_Agricola[[#This Row],[Fecha Financiero]]),0)</f>
        <v>0</v>
      </c>
      <c r="AK353" s="771">
        <f>SUMPRODUCT((Producción_Agricola[[#This Row],[Mes Financiero]]=Tipo_Cambio[Mes])*(Producción_Agricola[[#This Row],[Año Financiero]]=Tipo_Cambio[Año])*(Tipo_Cambio[$/U$S]))</f>
        <v>0</v>
      </c>
      <c r="AL353" s="771">
        <f>SUMPRODUCT((Producción_Agricola[[#This Row],[Mes Financiero]]=Tipo_Cambio[Mes])*(Producción_Agricola[[#This Row],[Año Financiero]]=Tipo_Cambio[Año])*(Tipo_Cambio[Actualización]))</f>
        <v>0</v>
      </c>
      <c r="AM353" s="772">
        <f>IFERROR(Producción_Agricola[[#This Row],[Económico $Corrientes]]/Producción_Agricola[[#This Row],[Superficie]],0)</f>
        <v>0</v>
      </c>
      <c r="AN353" s="773">
        <f>IFERROR(Producción_Agricola[[#This Row],[Económico $Constantes]]/Producción_Agricola[[#This Row],[Superficie]],0)</f>
        <v>0</v>
      </c>
      <c r="AO353" s="773">
        <f>IFERROR(Producción_Agricola[[#This Row],[Económico U$S Dólares]]/Producción_Agricola[[#This Row],[Superficie]],0)</f>
        <v>0</v>
      </c>
      <c r="AP353" s="774">
        <f>IF(Económico!$F$4=0,0,Producción_Agricola[[#This Row],[Centro de Costo]])</f>
        <v>0</v>
      </c>
      <c r="AQ353" s="512"/>
      <c r="AR353" s="663"/>
      <c r="AS353"/>
    </row>
    <row r="354" spans="1:45" x14ac:dyDescent="0.25">
      <c r="A354" s="509"/>
      <c r="B354" s="494"/>
      <c r="C354" s="509"/>
      <c r="D354" s="478"/>
      <c r="E354" s="478"/>
      <c r="F354" s="668">
        <f t="shared" si="56"/>
        <v>0</v>
      </c>
      <c r="G354" s="673">
        <f t="shared" si="57"/>
        <v>0</v>
      </c>
      <c r="H354" s="673">
        <f t="shared" si="58"/>
        <v>0</v>
      </c>
      <c r="I354" s="687">
        <f>IFERROR(INDEX(Tabla8[],MATCH(Producción_Agricola[[#This Row],[Unidad de Negocio]],Tabla8[Unidades de Negocio],0),2),0)</f>
        <v>0</v>
      </c>
      <c r="J354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54" s="661"/>
      <c r="L354" s="482"/>
      <c r="M354" s="483"/>
      <c r="N354" s="484"/>
      <c r="O354" s="694">
        <f>Producción_Agricola[[#This Row],[Superficie]]*Producción_Agricola[[#This Row],[Cantidad]]</f>
        <v>0</v>
      </c>
      <c r="P354" s="482"/>
      <c r="Q354" s="484"/>
      <c r="R354" s="485"/>
      <c r="S354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54" s="761">
        <f>IFERROR(Producción_Agricola[[#This Row],[Económico $Corrientes]]/Producción_Agricola[[#This Row],[Indexación Económico]],0)</f>
        <v>0</v>
      </c>
      <c r="U354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54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54" s="761">
        <f>IFERROR(Producción_Agricola[[#This Row],[Financiero $Corrientes]]/Producción_Agricola[[#This Row],[Indexación Financiero]],0)</f>
        <v>0</v>
      </c>
      <c r="X354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54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54" s="766">
        <f>IFERROR(Producción_Agricola[[#This Row],[Intereses $Corrientes]]/Producción_Agricola[[#This Row],[Indexación Financiero]],0)</f>
        <v>0</v>
      </c>
      <c r="AA354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54" s="768">
        <f>IFERROR(INDEX(Produccion_Agricola_Cuentas[],MATCH(Producción_Agricola[[#This Row],[Cuenta Contable]],Produccion_Agricola_Cuentas[Cuenta Contable],0),2),0)</f>
        <v>0</v>
      </c>
      <c r="AC354" s="769">
        <f>IFERROR(INDEX(Tabla9[],MATCH(Producción_Agricola[[#This Row],[Movimiento]],Tabla9[Movimientos],0),2),0)</f>
        <v>0</v>
      </c>
      <c r="AD354" s="770">
        <f>IFERROR(INDEX(Tabla9[],MATCH(Producción_Agricola[[#This Row],[Movimiento]],Tabla9[Movimientos],0),3),0)</f>
        <v>0</v>
      </c>
      <c r="AE354" s="765">
        <f>IF(Producción_Agricola[[#This Row],[Fecha Económico]]=0,0,MONTH(Producción_Agricola[[#This Row],[Fecha Económico]]))</f>
        <v>0</v>
      </c>
      <c r="AF354" s="766">
        <f>IF(Producción_Agricola[[#This Row],[Fecha Económico]]=0,0,YEAR(Producción_Agricola[[#This Row],[Fecha Económico]]))</f>
        <v>0</v>
      </c>
      <c r="AG354" s="771">
        <f>SUMPRODUCT((Producción_Agricola[[#This Row],[Mes Económico]]=Tipo_Cambio[Mes])*(Producción_Agricola[[#This Row],[Año Económico]]=Tipo_Cambio[Año])*(Tipo_Cambio[$/U$S]))</f>
        <v>0</v>
      </c>
      <c r="AH354" s="770">
        <f>SUMPRODUCT((Producción_Agricola[[#This Row],[Mes Económico]]=Tipo_Cambio[Mes])*(Producción_Agricola[[#This Row],[Año Económico]]=Tipo_Cambio[Año])*(Tipo_Cambio[Actualización]))</f>
        <v>0</v>
      </c>
      <c r="AI354" s="766">
        <f>IF(ISNUMBER(Producción_Agricola[[#This Row],[Fecha Financiero]])=TRUE,MONTH(Producción_Agricola[[#This Row],[Fecha Financiero]]),0)</f>
        <v>0</v>
      </c>
      <c r="AJ354" s="766">
        <f>IF(ISNUMBER(Producción_Agricola[[#This Row],[Fecha Financiero]])=TRUE,YEAR(Producción_Agricola[[#This Row],[Fecha Financiero]]),0)</f>
        <v>0</v>
      </c>
      <c r="AK354" s="771">
        <f>SUMPRODUCT((Producción_Agricola[[#This Row],[Mes Financiero]]=Tipo_Cambio[Mes])*(Producción_Agricola[[#This Row],[Año Financiero]]=Tipo_Cambio[Año])*(Tipo_Cambio[$/U$S]))</f>
        <v>0</v>
      </c>
      <c r="AL354" s="771">
        <f>SUMPRODUCT((Producción_Agricola[[#This Row],[Mes Financiero]]=Tipo_Cambio[Mes])*(Producción_Agricola[[#This Row],[Año Financiero]]=Tipo_Cambio[Año])*(Tipo_Cambio[Actualización]))</f>
        <v>0</v>
      </c>
      <c r="AM354" s="772">
        <f>IFERROR(Producción_Agricola[[#This Row],[Económico $Corrientes]]/Producción_Agricola[[#This Row],[Superficie]],0)</f>
        <v>0</v>
      </c>
      <c r="AN354" s="773">
        <f>IFERROR(Producción_Agricola[[#This Row],[Económico $Constantes]]/Producción_Agricola[[#This Row],[Superficie]],0)</f>
        <v>0</v>
      </c>
      <c r="AO354" s="773">
        <f>IFERROR(Producción_Agricola[[#This Row],[Económico U$S Dólares]]/Producción_Agricola[[#This Row],[Superficie]],0)</f>
        <v>0</v>
      </c>
      <c r="AP354" s="774">
        <f>IF(Económico!$F$4=0,0,Producción_Agricola[[#This Row],[Centro de Costo]])</f>
        <v>0</v>
      </c>
      <c r="AQ354" s="512"/>
      <c r="AR354" s="663"/>
      <c r="AS354"/>
    </row>
    <row r="355" spans="1:45" x14ac:dyDescent="0.25">
      <c r="A355" s="509"/>
      <c r="B355" s="494"/>
      <c r="C355" s="509"/>
      <c r="D355" s="478"/>
      <c r="E355" s="478"/>
      <c r="F355" s="668">
        <f t="shared" si="56"/>
        <v>0</v>
      </c>
      <c r="G355" s="673">
        <f t="shared" si="57"/>
        <v>0</v>
      </c>
      <c r="H355" s="673">
        <f t="shared" si="58"/>
        <v>0</v>
      </c>
      <c r="I355" s="687">
        <f>IFERROR(INDEX(Tabla8[],MATCH(Producción_Agricola[[#This Row],[Unidad de Negocio]],Tabla8[Unidades de Negocio],0),2),0)</f>
        <v>0</v>
      </c>
      <c r="J355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55" s="661"/>
      <c r="L355" s="482"/>
      <c r="M355" s="483"/>
      <c r="N355" s="484"/>
      <c r="O355" s="694">
        <f>Producción_Agricola[[#This Row],[Superficie]]*Producción_Agricola[[#This Row],[Cantidad]]</f>
        <v>0</v>
      </c>
      <c r="P355" s="482"/>
      <c r="Q355" s="484"/>
      <c r="R355" s="485"/>
      <c r="S355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55" s="761">
        <f>IFERROR(Producción_Agricola[[#This Row],[Económico $Corrientes]]/Producción_Agricola[[#This Row],[Indexación Económico]],0)</f>
        <v>0</v>
      </c>
      <c r="U355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55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55" s="761">
        <f>IFERROR(Producción_Agricola[[#This Row],[Financiero $Corrientes]]/Producción_Agricola[[#This Row],[Indexación Financiero]],0)</f>
        <v>0</v>
      </c>
      <c r="X355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55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55" s="766">
        <f>IFERROR(Producción_Agricola[[#This Row],[Intereses $Corrientes]]/Producción_Agricola[[#This Row],[Indexación Financiero]],0)</f>
        <v>0</v>
      </c>
      <c r="AA355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55" s="768">
        <f>IFERROR(INDEX(Produccion_Agricola_Cuentas[],MATCH(Producción_Agricola[[#This Row],[Cuenta Contable]],Produccion_Agricola_Cuentas[Cuenta Contable],0),2),0)</f>
        <v>0</v>
      </c>
      <c r="AC355" s="769">
        <f>IFERROR(INDEX(Tabla9[],MATCH(Producción_Agricola[[#This Row],[Movimiento]],Tabla9[Movimientos],0),2),0)</f>
        <v>0</v>
      </c>
      <c r="AD355" s="770">
        <f>IFERROR(INDEX(Tabla9[],MATCH(Producción_Agricola[[#This Row],[Movimiento]],Tabla9[Movimientos],0),3),0)</f>
        <v>0</v>
      </c>
      <c r="AE355" s="765">
        <f>IF(Producción_Agricola[[#This Row],[Fecha Económico]]=0,0,MONTH(Producción_Agricola[[#This Row],[Fecha Económico]]))</f>
        <v>0</v>
      </c>
      <c r="AF355" s="766">
        <f>IF(Producción_Agricola[[#This Row],[Fecha Económico]]=0,0,YEAR(Producción_Agricola[[#This Row],[Fecha Económico]]))</f>
        <v>0</v>
      </c>
      <c r="AG355" s="771">
        <f>SUMPRODUCT((Producción_Agricola[[#This Row],[Mes Económico]]=Tipo_Cambio[Mes])*(Producción_Agricola[[#This Row],[Año Económico]]=Tipo_Cambio[Año])*(Tipo_Cambio[$/U$S]))</f>
        <v>0</v>
      </c>
      <c r="AH355" s="770">
        <f>SUMPRODUCT((Producción_Agricola[[#This Row],[Mes Económico]]=Tipo_Cambio[Mes])*(Producción_Agricola[[#This Row],[Año Económico]]=Tipo_Cambio[Año])*(Tipo_Cambio[Actualización]))</f>
        <v>0</v>
      </c>
      <c r="AI355" s="766">
        <f>IF(ISNUMBER(Producción_Agricola[[#This Row],[Fecha Financiero]])=TRUE,MONTH(Producción_Agricola[[#This Row],[Fecha Financiero]]),0)</f>
        <v>0</v>
      </c>
      <c r="AJ355" s="766">
        <f>IF(ISNUMBER(Producción_Agricola[[#This Row],[Fecha Financiero]])=TRUE,YEAR(Producción_Agricola[[#This Row],[Fecha Financiero]]),0)</f>
        <v>0</v>
      </c>
      <c r="AK355" s="771">
        <f>SUMPRODUCT((Producción_Agricola[[#This Row],[Mes Financiero]]=Tipo_Cambio[Mes])*(Producción_Agricola[[#This Row],[Año Financiero]]=Tipo_Cambio[Año])*(Tipo_Cambio[$/U$S]))</f>
        <v>0</v>
      </c>
      <c r="AL355" s="771">
        <f>SUMPRODUCT((Producción_Agricola[[#This Row],[Mes Financiero]]=Tipo_Cambio[Mes])*(Producción_Agricola[[#This Row],[Año Financiero]]=Tipo_Cambio[Año])*(Tipo_Cambio[Actualización]))</f>
        <v>0</v>
      </c>
      <c r="AM355" s="772">
        <f>IFERROR(Producción_Agricola[[#This Row],[Económico $Corrientes]]/Producción_Agricola[[#This Row],[Superficie]],0)</f>
        <v>0</v>
      </c>
      <c r="AN355" s="773">
        <f>IFERROR(Producción_Agricola[[#This Row],[Económico $Constantes]]/Producción_Agricola[[#This Row],[Superficie]],0)</f>
        <v>0</v>
      </c>
      <c r="AO355" s="773">
        <f>IFERROR(Producción_Agricola[[#This Row],[Económico U$S Dólares]]/Producción_Agricola[[#This Row],[Superficie]],0)</f>
        <v>0</v>
      </c>
      <c r="AP355" s="774">
        <f>IF(Económico!$F$4=0,0,Producción_Agricola[[#This Row],[Centro de Costo]])</f>
        <v>0</v>
      </c>
      <c r="AQ355" s="512"/>
      <c r="AR355" s="663"/>
      <c r="AS355"/>
    </row>
    <row r="356" spans="1:45" x14ac:dyDescent="0.25">
      <c r="A356" s="509"/>
      <c r="B356" s="494"/>
      <c r="C356" s="509"/>
      <c r="D356" s="478"/>
      <c r="E356" s="478"/>
      <c r="F356" s="668">
        <f t="shared" si="56"/>
        <v>0</v>
      </c>
      <c r="G356" s="673">
        <f t="shared" si="57"/>
        <v>0</v>
      </c>
      <c r="H356" s="673">
        <f t="shared" si="58"/>
        <v>0</v>
      </c>
      <c r="I356" s="687">
        <f>IFERROR(INDEX(Tabla8[],MATCH(Producción_Agricola[[#This Row],[Unidad de Negocio]],Tabla8[Unidades de Negocio],0),2),0)</f>
        <v>0</v>
      </c>
      <c r="J356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56" s="661"/>
      <c r="L356" s="482"/>
      <c r="M356" s="483"/>
      <c r="N356" s="484"/>
      <c r="O356" s="694">
        <f>Producción_Agricola[[#This Row],[Superficie]]*Producción_Agricola[[#This Row],[Cantidad]]</f>
        <v>0</v>
      </c>
      <c r="P356" s="482"/>
      <c r="Q356" s="484"/>
      <c r="R356" s="485"/>
      <c r="S356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56" s="761">
        <f>IFERROR(Producción_Agricola[[#This Row],[Económico $Corrientes]]/Producción_Agricola[[#This Row],[Indexación Económico]],0)</f>
        <v>0</v>
      </c>
      <c r="U356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56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56" s="761">
        <f>IFERROR(Producción_Agricola[[#This Row],[Financiero $Corrientes]]/Producción_Agricola[[#This Row],[Indexación Financiero]],0)</f>
        <v>0</v>
      </c>
      <c r="X356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56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56" s="766">
        <f>IFERROR(Producción_Agricola[[#This Row],[Intereses $Corrientes]]/Producción_Agricola[[#This Row],[Indexación Financiero]],0)</f>
        <v>0</v>
      </c>
      <c r="AA356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56" s="768">
        <f>IFERROR(INDEX(Produccion_Agricola_Cuentas[],MATCH(Producción_Agricola[[#This Row],[Cuenta Contable]],Produccion_Agricola_Cuentas[Cuenta Contable],0),2),0)</f>
        <v>0</v>
      </c>
      <c r="AC356" s="769">
        <f>IFERROR(INDEX(Tabla9[],MATCH(Producción_Agricola[[#This Row],[Movimiento]],Tabla9[Movimientos],0),2),0)</f>
        <v>0</v>
      </c>
      <c r="AD356" s="770">
        <f>IFERROR(INDEX(Tabla9[],MATCH(Producción_Agricola[[#This Row],[Movimiento]],Tabla9[Movimientos],0),3),0)</f>
        <v>0</v>
      </c>
      <c r="AE356" s="765">
        <f>IF(Producción_Agricola[[#This Row],[Fecha Económico]]=0,0,MONTH(Producción_Agricola[[#This Row],[Fecha Económico]]))</f>
        <v>0</v>
      </c>
      <c r="AF356" s="766">
        <f>IF(Producción_Agricola[[#This Row],[Fecha Económico]]=0,0,YEAR(Producción_Agricola[[#This Row],[Fecha Económico]]))</f>
        <v>0</v>
      </c>
      <c r="AG356" s="771">
        <f>SUMPRODUCT((Producción_Agricola[[#This Row],[Mes Económico]]=Tipo_Cambio[Mes])*(Producción_Agricola[[#This Row],[Año Económico]]=Tipo_Cambio[Año])*(Tipo_Cambio[$/U$S]))</f>
        <v>0</v>
      </c>
      <c r="AH356" s="770">
        <f>SUMPRODUCT((Producción_Agricola[[#This Row],[Mes Económico]]=Tipo_Cambio[Mes])*(Producción_Agricola[[#This Row],[Año Económico]]=Tipo_Cambio[Año])*(Tipo_Cambio[Actualización]))</f>
        <v>0</v>
      </c>
      <c r="AI356" s="766">
        <f>IF(ISNUMBER(Producción_Agricola[[#This Row],[Fecha Financiero]])=TRUE,MONTH(Producción_Agricola[[#This Row],[Fecha Financiero]]),0)</f>
        <v>0</v>
      </c>
      <c r="AJ356" s="766">
        <f>IF(ISNUMBER(Producción_Agricola[[#This Row],[Fecha Financiero]])=TRUE,YEAR(Producción_Agricola[[#This Row],[Fecha Financiero]]),0)</f>
        <v>0</v>
      </c>
      <c r="AK356" s="771">
        <f>SUMPRODUCT((Producción_Agricola[[#This Row],[Mes Financiero]]=Tipo_Cambio[Mes])*(Producción_Agricola[[#This Row],[Año Financiero]]=Tipo_Cambio[Año])*(Tipo_Cambio[$/U$S]))</f>
        <v>0</v>
      </c>
      <c r="AL356" s="771">
        <f>SUMPRODUCT((Producción_Agricola[[#This Row],[Mes Financiero]]=Tipo_Cambio[Mes])*(Producción_Agricola[[#This Row],[Año Financiero]]=Tipo_Cambio[Año])*(Tipo_Cambio[Actualización]))</f>
        <v>0</v>
      </c>
      <c r="AM356" s="772">
        <f>IFERROR(Producción_Agricola[[#This Row],[Económico $Corrientes]]/Producción_Agricola[[#This Row],[Superficie]],0)</f>
        <v>0</v>
      </c>
      <c r="AN356" s="773">
        <f>IFERROR(Producción_Agricola[[#This Row],[Económico $Constantes]]/Producción_Agricola[[#This Row],[Superficie]],0)</f>
        <v>0</v>
      </c>
      <c r="AO356" s="773">
        <f>IFERROR(Producción_Agricola[[#This Row],[Económico U$S Dólares]]/Producción_Agricola[[#This Row],[Superficie]],0)</f>
        <v>0</v>
      </c>
      <c r="AP356" s="774">
        <f>IF(Económico!$F$4=0,0,Producción_Agricola[[#This Row],[Centro de Costo]])</f>
        <v>0</v>
      </c>
      <c r="AQ356" s="512"/>
      <c r="AR356" s="663"/>
      <c r="AS356"/>
    </row>
    <row r="357" spans="1:45" x14ac:dyDescent="0.25">
      <c r="A357" s="509"/>
      <c r="B357" s="494"/>
      <c r="C357" s="509"/>
      <c r="D357" s="478"/>
      <c r="E357" s="478"/>
      <c r="F357" s="668">
        <f t="shared" si="56"/>
        <v>0</v>
      </c>
      <c r="G357" s="673">
        <f t="shared" si="57"/>
        <v>0</v>
      </c>
      <c r="H357" s="673">
        <f t="shared" si="58"/>
        <v>0</v>
      </c>
      <c r="I357" s="687">
        <f>IFERROR(INDEX(Tabla8[],MATCH(Producción_Agricola[[#This Row],[Unidad de Negocio]],Tabla8[Unidades de Negocio],0),2),0)</f>
        <v>0</v>
      </c>
      <c r="J357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57" s="661"/>
      <c r="L357" s="482"/>
      <c r="M357" s="483"/>
      <c r="N357" s="484"/>
      <c r="O357" s="694">
        <f>Producción_Agricola[[#This Row],[Superficie]]*Producción_Agricola[[#This Row],[Cantidad]]</f>
        <v>0</v>
      </c>
      <c r="P357" s="482"/>
      <c r="Q357" s="484"/>
      <c r="R357" s="485"/>
      <c r="S357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57" s="761">
        <f>IFERROR(Producción_Agricola[[#This Row],[Económico $Corrientes]]/Producción_Agricola[[#This Row],[Indexación Económico]],0)</f>
        <v>0</v>
      </c>
      <c r="U357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57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57" s="761">
        <f>IFERROR(Producción_Agricola[[#This Row],[Financiero $Corrientes]]/Producción_Agricola[[#This Row],[Indexación Financiero]],0)</f>
        <v>0</v>
      </c>
      <c r="X357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57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57" s="766">
        <f>IFERROR(Producción_Agricola[[#This Row],[Intereses $Corrientes]]/Producción_Agricola[[#This Row],[Indexación Financiero]],0)</f>
        <v>0</v>
      </c>
      <c r="AA357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57" s="768">
        <f>IFERROR(INDEX(Produccion_Agricola_Cuentas[],MATCH(Producción_Agricola[[#This Row],[Cuenta Contable]],Produccion_Agricola_Cuentas[Cuenta Contable],0),2),0)</f>
        <v>0</v>
      </c>
      <c r="AC357" s="769">
        <f>IFERROR(INDEX(Tabla9[],MATCH(Producción_Agricola[[#This Row],[Movimiento]],Tabla9[Movimientos],0),2),0)</f>
        <v>0</v>
      </c>
      <c r="AD357" s="770">
        <f>IFERROR(INDEX(Tabla9[],MATCH(Producción_Agricola[[#This Row],[Movimiento]],Tabla9[Movimientos],0),3),0)</f>
        <v>0</v>
      </c>
      <c r="AE357" s="765">
        <f>IF(Producción_Agricola[[#This Row],[Fecha Económico]]=0,0,MONTH(Producción_Agricola[[#This Row],[Fecha Económico]]))</f>
        <v>0</v>
      </c>
      <c r="AF357" s="766">
        <f>IF(Producción_Agricola[[#This Row],[Fecha Económico]]=0,0,YEAR(Producción_Agricola[[#This Row],[Fecha Económico]]))</f>
        <v>0</v>
      </c>
      <c r="AG357" s="771">
        <f>SUMPRODUCT((Producción_Agricola[[#This Row],[Mes Económico]]=Tipo_Cambio[Mes])*(Producción_Agricola[[#This Row],[Año Económico]]=Tipo_Cambio[Año])*(Tipo_Cambio[$/U$S]))</f>
        <v>0</v>
      </c>
      <c r="AH357" s="770">
        <f>SUMPRODUCT((Producción_Agricola[[#This Row],[Mes Económico]]=Tipo_Cambio[Mes])*(Producción_Agricola[[#This Row],[Año Económico]]=Tipo_Cambio[Año])*(Tipo_Cambio[Actualización]))</f>
        <v>0</v>
      </c>
      <c r="AI357" s="766">
        <f>IF(ISNUMBER(Producción_Agricola[[#This Row],[Fecha Financiero]])=TRUE,MONTH(Producción_Agricola[[#This Row],[Fecha Financiero]]),0)</f>
        <v>0</v>
      </c>
      <c r="AJ357" s="766">
        <f>IF(ISNUMBER(Producción_Agricola[[#This Row],[Fecha Financiero]])=TRUE,YEAR(Producción_Agricola[[#This Row],[Fecha Financiero]]),0)</f>
        <v>0</v>
      </c>
      <c r="AK357" s="771">
        <f>SUMPRODUCT((Producción_Agricola[[#This Row],[Mes Financiero]]=Tipo_Cambio[Mes])*(Producción_Agricola[[#This Row],[Año Financiero]]=Tipo_Cambio[Año])*(Tipo_Cambio[$/U$S]))</f>
        <v>0</v>
      </c>
      <c r="AL357" s="771">
        <f>SUMPRODUCT((Producción_Agricola[[#This Row],[Mes Financiero]]=Tipo_Cambio[Mes])*(Producción_Agricola[[#This Row],[Año Financiero]]=Tipo_Cambio[Año])*(Tipo_Cambio[Actualización]))</f>
        <v>0</v>
      </c>
      <c r="AM357" s="772">
        <f>IFERROR(Producción_Agricola[[#This Row],[Económico $Corrientes]]/Producción_Agricola[[#This Row],[Superficie]],0)</f>
        <v>0</v>
      </c>
      <c r="AN357" s="773">
        <f>IFERROR(Producción_Agricola[[#This Row],[Económico $Constantes]]/Producción_Agricola[[#This Row],[Superficie]],0)</f>
        <v>0</v>
      </c>
      <c r="AO357" s="773">
        <f>IFERROR(Producción_Agricola[[#This Row],[Económico U$S Dólares]]/Producción_Agricola[[#This Row],[Superficie]],0)</f>
        <v>0</v>
      </c>
      <c r="AP357" s="774">
        <f>IF(Económico!$F$4=0,0,Producción_Agricola[[#This Row],[Centro de Costo]])</f>
        <v>0</v>
      </c>
      <c r="AQ357" s="512"/>
      <c r="AR357" s="663"/>
      <c r="AS357"/>
    </row>
    <row r="358" spans="1:45" x14ac:dyDescent="0.25">
      <c r="A358" s="509"/>
      <c r="B358" s="494"/>
      <c r="C358" s="509"/>
      <c r="D358" s="478"/>
      <c r="E358" s="478"/>
      <c r="F358" s="668">
        <f t="shared" si="56"/>
        <v>0</v>
      </c>
      <c r="G358" s="673">
        <f t="shared" si="57"/>
        <v>0</v>
      </c>
      <c r="H358" s="673">
        <f t="shared" si="58"/>
        <v>0</v>
      </c>
      <c r="I358" s="687">
        <f>IFERROR(INDEX(Tabla8[],MATCH(Producción_Agricola[[#This Row],[Unidad de Negocio]],Tabla8[Unidades de Negocio],0),2),0)</f>
        <v>0</v>
      </c>
      <c r="J358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58" s="661"/>
      <c r="L358" s="482"/>
      <c r="M358" s="483"/>
      <c r="N358" s="484"/>
      <c r="O358" s="694">
        <f>Producción_Agricola[[#This Row],[Superficie]]*Producción_Agricola[[#This Row],[Cantidad]]</f>
        <v>0</v>
      </c>
      <c r="P358" s="482"/>
      <c r="Q358" s="484"/>
      <c r="R358" s="485"/>
      <c r="S358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58" s="761">
        <f>IFERROR(Producción_Agricola[[#This Row],[Económico $Corrientes]]/Producción_Agricola[[#This Row],[Indexación Económico]],0)</f>
        <v>0</v>
      </c>
      <c r="U358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58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58" s="761">
        <f>IFERROR(Producción_Agricola[[#This Row],[Financiero $Corrientes]]/Producción_Agricola[[#This Row],[Indexación Financiero]],0)</f>
        <v>0</v>
      </c>
      <c r="X358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58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58" s="766">
        <f>IFERROR(Producción_Agricola[[#This Row],[Intereses $Corrientes]]/Producción_Agricola[[#This Row],[Indexación Financiero]],0)</f>
        <v>0</v>
      </c>
      <c r="AA358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58" s="768">
        <f>IFERROR(INDEX(Produccion_Agricola_Cuentas[],MATCH(Producción_Agricola[[#This Row],[Cuenta Contable]],Produccion_Agricola_Cuentas[Cuenta Contable],0),2),0)</f>
        <v>0</v>
      </c>
      <c r="AC358" s="769">
        <f>IFERROR(INDEX(Tabla9[],MATCH(Producción_Agricola[[#This Row],[Movimiento]],Tabla9[Movimientos],0),2),0)</f>
        <v>0</v>
      </c>
      <c r="AD358" s="770">
        <f>IFERROR(INDEX(Tabla9[],MATCH(Producción_Agricola[[#This Row],[Movimiento]],Tabla9[Movimientos],0),3),0)</f>
        <v>0</v>
      </c>
      <c r="AE358" s="765">
        <f>IF(Producción_Agricola[[#This Row],[Fecha Económico]]=0,0,MONTH(Producción_Agricola[[#This Row],[Fecha Económico]]))</f>
        <v>0</v>
      </c>
      <c r="AF358" s="766">
        <f>IF(Producción_Agricola[[#This Row],[Fecha Económico]]=0,0,YEAR(Producción_Agricola[[#This Row],[Fecha Económico]]))</f>
        <v>0</v>
      </c>
      <c r="AG358" s="771">
        <f>SUMPRODUCT((Producción_Agricola[[#This Row],[Mes Económico]]=Tipo_Cambio[Mes])*(Producción_Agricola[[#This Row],[Año Económico]]=Tipo_Cambio[Año])*(Tipo_Cambio[$/U$S]))</f>
        <v>0</v>
      </c>
      <c r="AH358" s="770">
        <f>SUMPRODUCT((Producción_Agricola[[#This Row],[Mes Económico]]=Tipo_Cambio[Mes])*(Producción_Agricola[[#This Row],[Año Económico]]=Tipo_Cambio[Año])*(Tipo_Cambio[Actualización]))</f>
        <v>0</v>
      </c>
      <c r="AI358" s="766">
        <f>IF(ISNUMBER(Producción_Agricola[[#This Row],[Fecha Financiero]])=TRUE,MONTH(Producción_Agricola[[#This Row],[Fecha Financiero]]),0)</f>
        <v>0</v>
      </c>
      <c r="AJ358" s="766">
        <f>IF(ISNUMBER(Producción_Agricola[[#This Row],[Fecha Financiero]])=TRUE,YEAR(Producción_Agricola[[#This Row],[Fecha Financiero]]),0)</f>
        <v>0</v>
      </c>
      <c r="AK358" s="771">
        <f>SUMPRODUCT((Producción_Agricola[[#This Row],[Mes Financiero]]=Tipo_Cambio[Mes])*(Producción_Agricola[[#This Row],[Año Financiero]]=Tipo_Cambio[Año])*(Tipo_Cambio[$/U$S]))</f>
        <v>0</v>
      </c>
      <c r="AL358" s="771">
        <f>SUMPRODUCT((Producción_Agricola[[#This Row],[Mes Financiero]]=Tipo_Cambio[Mes])*(Producción_Agricola[[#This Row],[Año Financiero]]=Tipo_Cambio[Año])*(Tipo_Cambio[Actualización]))</f>
        <v>0</v>
      </c>
      <c r="AM358" s="772">
        <f>IFERROR(Producción_Agricola[[#This Row],[Económico $Corrientes]]/Producción_Agricola[[#This Row],[Superficie]],0)</f>
        <v>0</v>
      </c>
      <c r="AN358" s="773">
        <f>IFERROR(Producción_Agricola[[#This Row],[Económico $Constantes]]/Producción_Agricola[[#This Row],[Superficie]],0)</f>
        <v>0</v>
      </c>
      <c r="AO358" s="773">
        <f>IFERROR(Producción_Agricola[[#This Row],[Económico U$S Dólares]]/Producción_Agricola[[#This Row],[Superficie]],0)</f>
        <v>0</v>
      </c>
      <c r="AP358" s="774">
        <f>IF(Económico!$F$4=0,0,Producción_Agricola[[#This Row],[Centro de Costo]])</f>
        <v>0</v>
      </c>
      <c r="AQ358" s="512"/>
      <c r="AR358" s="663"/>
      <c r="AS358"/>
    </row>
    <row r="359" spans="1:45" x14ac:dyDescent="0.25">
      <c r="A359" s="509"/>
      <c r="B359" s="494"/>
      <c r="C359" s="509"/>
      <c r="D359" s="478"/>
      <c r="E359" s="478"/>
      <c r="F359" s="668">
        <f t="shared" si="56"/>
        <v>0</v>
      </c>
      <c r="G359" s="673">
        <f t="shared" si="57"/>
        <v>0</v>
      </c>
      <c r="H359" s="673">
        <f t="shared" si="58"/>
        <v>0</v>
      </c>
      <c r="I359" s="687">
        <f>IFERROR(INDEX(Tabla8[],MATCH(Producción_Agricola[[#This Row],[Unidad de Negocio]],Tabla8[Unidades de Negocio],0),2),0)</f>
        <v>0</v>
      </c>
      <c r="J359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59" s="661"/>
      <c r="L359" s="482"/>
      <c r="M359" s="483"/>
      <c r="N359" s="484"/>
      <c r="O359" s="694">
        <f>Producción_Agricola[[#This Row],[Superficie]]*Producción_Agricola[[#This Row],[Cantidad]]</f>
        <v>0</v>
      </c>
      <c r="P359" s="482"/>
      <c r="Q359" s="484"/>
      <c r="R359" s="485"/>
      <c r="S359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59" s="761">
        <f>IFERROR(Producción_Agricola[[#This Row],[Económico $Corrientes]]/Producción_Agricola[[#This Row],[Indexación Económico]],0)</f>
        <v>0</v>
      </c>
      <c r="U359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59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59" s="761">
        <f>IFERROR(Producción_Agricola[[#This Row],[Financiero $Corrientes]]/Producción_Agricola[[#This Row],[Indexación Financiero]],0)</f>
        <v>0</v>
      </c>
      <c r="X359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59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59" s="766">
        <f>IFERROR(Producción_Agricola[[#This Row],[Intereses $Corrientes]]/Producción_Agricola[[#This Row],[Indexación Financiero]],0)</f>
        <v>0</v>
      </c>
      <c r="AA359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59" s="768">
        <f>IFERROR(INDEX(Produccion_Agricola_Cuentas[],MATCH(Producción_Agricola[[#This Row],[Cuenta Contable]],Produccion_Agricola_Cuentas[Cuenta Contable],0),2),0)</f>
        <v>0</v>
      </c>
      <c r="AC359" s="769">
        <f>IFERROR(INDEX(Tabla9[],MATCH(Producción_Agricola[[#This Row],[Movimiento]],Tabla9[Movimientos],0),2),0)</f>
        <v>0</v>
      </c>
      <c r="AD359" s="770">
        <f>IFERROR(INDEX(Tabla9[],MATCH(Producción_Agricola[[#This Row],[Movimiento]],Tabla9[Movimientos],0),3),0)</f>
        <v>0</v>
      </c>
      <c r="AE359" s="765">
        <f>IF(Producción_Agricola[[#This Row],[Fecha Económico]]=0,0,MONTH(Producción_Agricola[[#This Row],[Fecha Económico]]))</f>
        <v>0</v>
      </c>
      <c r="AF359" s="766">
        <f>IF(Producción_Agricola[[#This Row],[Fecha Económico]]=0,0,YEAR(Producción_Agricola[[#This Row],[Fecha Económico]]))</f>
        <v>0</v>
      </c>
      <c r="AG359" s="771">
        <f>SUMPRODUCT((Producción_Agricola[[#This Row],[Mes Económico]]=Tipo_Cambio[Mes])*(Producción_Agricola[[#This Row],[Año Económico]]=Tipo_Cambio[Año])*(Tipo_Cambio[$/U$S]))</f>
        <v>0</v>
      </c>
      <c r="AH359" s="770">
        <f>SUMPRODUCT((Producción_Agricola[[#This Row],[Mes Económico]]=Tipo_Cambio[Mes])*(Producción_Agricola[[#This Row],[Año Económico]]=Tipo_Cambio[Año])*(Tipo_Cambio[Actualización]))</f>
        <v>0</v>
      </c>
      <c r="AI359" s="766">
        <f>IF(ISNUMBER(Producción_Agricola[[#This Row],[Fecha Financiero]])=TRUE,MONTH(Producción_Agricola[[#This Row],[Fecha Financiero]]),0)</f>
        <v>0</v>
      </c>
      <c r="AJ359" s="766">
        <f>IF(ISNUMBER(Producción_Agricola[[#This Row],[Fecha Financiero]])=TRUE,YEAR(Producción_Agricola[[#This Row],[Fecha Financiero]]),0)</f>
        <v>0</v>
      </c>
      <c r="AK359" s="771">
        <f>SUMPRODUCT((Producción_Agricola[[#This Row],[Mes Financiero]]=Tipo_Cambio[Mes])*(Producción_Agricola[[#This Row],[Año Financiero]]=Tipo_Cambio[Año])*(Tipo_Cambio[$/U$S]))</f>
        <v>0</v>
      </c>
      <c r="AL359" s="771">
        <f>SUMPRODUCT((Producción_Agricola[[#This Row],[Mes Financiero]]=Tipo_Cambio[Mes])*(Producción_Agricola[[#This Row],[Año Financiero]]=Tipo_Cambio[Año])*(Tipo_Cambio[Actualización]))</f>
        <v>0</v>
      </c>
      <c r="AM359" s="772">
        <f>IFERROR(Producción_Agricola[[#This Row],[Económico $Corrientes]]/Producción_Agricola[[#This Row],[Superficie]],0)</f>
        <v>0</v>
      </c>
      <c r="AN359" s="773">
        <f>IFERROR(Producción_Agricola[[#This Row],[Económico $Constantes]]/Producción_Agricola[[#This Row],[Superficie]],0)</f>
        <v>0</v>
      </c>
      <c r="AO359" s="773">
        <f>IFERROR(Producción_Agricola[[#This Row],[Económico U$S Dólares]]/Producción_Agricola[[#This Row],[Superficie]],0)</f>
        <v>0</v>
      </c>
      <c r="AP359" s="774">
        <f>IF(Económico!$F$4=0,0,Producción_Agricola[[#This Row],[Centro de Costo]])</f>
        <v>0</v>
      </c>
      <c r="AQ359" s="512"/>
      <c r="AR359" s="663"/>
      <c r="AS359"/>
    </row>
    <row r="360" spans="1:45" x14ac:dyDescent="0.25">
      <c r="A360" s="509"/>
      <c r="B360" s="494"/>
      <c r="C360" s="509"/>
      <c r="D360" s="478"/>
      <c r="E360" s="478"/>
      <c r="F360" s="668">
        <f t="shared" si="56"/>
        <v>0</v>
      </c>
      <c r="G360" s="673">
        <f t="shared" si="57"/>
        <v>0</v>
      </c>
      <c r="H360" s="673">
        <f t="shared" si="58"/>
        <v>0</v>
      </c>
      <c r="I360" s="687">
        <f>IFERROR(INDEX(Tabla8[],MATCH(Producción_Agricola[[#This Row],[Unidad de Negocio]],Tabla8[Unidades de Negocio],0),2),0)</f>
        <v>0</v>
      </c>
      <c r="J360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60" s="661"/>
      <c r="L360" s="482"/>
      <c r="M360" s="483"/>
      <c r="N360" s="484"/>
      <c r="O360" s="694">
        <f>Producción_Agricola[[#This Row],[Superficie]]*Producción_Agricola[[#This Row],[Cantidad]]</f>
        <v>0</v>
      </c>
      <c r="P360" s="482"/>
      <c r="Q360" s="484"/>
      <c r="R360" s="485"/>
      <c r="S360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60" s="761">
        <f>IFERROR(Producción_Agricola[[#This Row],[Económico $Corrientes]]/Producción_Agricola[[#This Row],[Indexación Económico]],0)</f>
        <v>0</v>
      </c>
      <c r="U360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60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60" s="761">
        <f>IFERROR(Producción_Agricola[[#This Row],[Financiero $Corrientes]]/Producción_Agricola[[#This Row],[Indexación Financiero]],0)</f>
        <v>0</v>
      </c>
      <c r="X360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60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60" s="766">
        <f>IFERROR(Producción_Agricola[[#This Row],[Intereses $Corrientes]]/Producción_Agricola[[#This Row],[Indexación Financiero]],0)</f>
        <v>0</v>
      </c>
      <c r="AA360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60" s="768">
        <f>IFERROR(INDEX(Produccion_Agricola_Cuentas[],MATCH(Producción_Agricola[[#This Row],[Cuenta Contable]],Produccion_Agricola_Cuentas[Cuenta Contable],0),2),0)</f>
        <v>0</v>
      </c>
      <c r="AC360" s="769">
        <f>IFERROR(INDEX(Tabla9[],MATCH(Producción_Agricola[[#This Row],[Movimiento]],Tabla9[Movimientos],0),2),0)</f>
        <v>0</v>
      </c>
      <c r="AD360" s="770">
        <f>IFERROR(INDEX(Tabla9[],MATCH(Producción_Agricola[[#This Row],[Movimiento]],Tabla9[Movimientos],0),3),0)</f>
        <v>0</v>
      </c>
      <c r="AE360" s="765">
        <f>IF(Producción_Agricola[[#This Row],[Fecha Económico]]=0,0,MONTH(Producción_Agricola[[#This Row],[Fecha Económico]]))</f>
        <v>0</v>
      </c>
      <c r="AF360" s="766">
        <f>IF(Producción_Agricola[[#This Row],[Fecha Económico]]=0,0,YEAR(Producción_Agricola[[#This Row],[Fecha Económico]]))</f>
        <v>0</v>
      </c>
      <c r="AG360" s="771">
        <f>SUMPRODUCT((Producción_Agricola[[#This Row],[Mes Económico]]=Tipo_Cambio[Mes])*(Producción_Agricola[[#This Row],[Año Económico]]=Tipo_Cambio[Año])*(Tipo_Cambio[$/U$S]))</f>
        <v>0</v>
      </c>
      <c r="AH360" s="770">
        <f>SUMPRODUCT((Producción_Agricola[[#This Row],[Mes Económico]]=Tipo_Cambio[Mes])*(Producción_Agricola[[#This Row],[Año Económico]]=Tipo_Cambio[Año])*(Tipo_Cambio[Actualización]))</f>
        <v>0</v>
      </c>
      <c r="AI360" s="766">
        <f>IF(ISNUMBER(Producción_Agricola[[#This Row],[Fecha Financiero]])=TRUE,MONTH(Producción_Agricola[[#This Row],[Fecha Financiero]]),0)</f>
        <v>0</v>
      </c>
      <c r="AJ360" s="766">
        <f>IF(ISNUMBER(Producción_Agricola[[#This Row],[Fecha Financiero]])=TRUE,YEAR(Producción_Agricola[[#This Row],[Fecha Financiero]]),0)</f>
        <v>0</v>
      </c>
      <c r="AK360" s="771">
        <f>SUMPRODUCT((Producción_Agricola[[#This Row],[Mes Financiero]]=Tipo_Cambio[Mes])*(Producción_Agricola[[#This Row],[Año Financiero]]=Tipo_Cambio[Año])*(Tipo_Cambio[$/U$S]))</f>
        <v>0</v>
      </c>
      <c r="AL360" s="771">
        <f>SUMPRODUCT((Producción_Agricola[[#This Row],[Mes Financiero]]=Tipo_Cambio[Mes])*(Producción_Agricola[[#This Row],[Año Financiero]]=Tipo_Cambio[Año])*(Tipo_Cambio[Actualización]))</f>
        <v>0</v>
      </c>
      <c r="AM360" s="772">
        <f>IFERROR(Producción_Agricola[[#This Row],[Económico $Corrientes]]/Producción_Agricola[[#This Row],[Superficie]],0)</f>
        <v>0</v>
      </c>
      <c r="AN360" s="773">
        <f>IFERROR(Producción_Agricola[[#This Row],[Económico $Constantes]]/Producción_Agricola[[#This Row],[Superficie]],0)</f>
        <v>0</v>
      </c>
      <c r="AO360" s="773">
        <f>IFERROR(Producción_Agricola[[#This Row],[Económico U$S Dólares]]/Producción_Agricola[[#This Row],[Superficie]],0)</f>
        <v>0</v>
      </c>
      <c r="AP360" s="774">
        <f>IF(Económico!$F$4=0,0,Producción_Agricola[[#This Row],[Centro de Costo]])</f>
        <v>0</v>
      </c>
      <c r="AQ360" s="512"/>
      <c r="AR360" s="663"/>
      <c r="AS360"/>
    </row>
    <row r="361" spans="1:45" x14ac:dyDescent="0.25">
      <c r="A361" s="509"/>
      <c r="B361" s="494"/>
      <c r="C361" s="509"/>
      <c r="D361" s="478"/>
      <c r="E361" s="478"/>
      <c r="F361" s="668">
        <f t="shared" si="56"/>
        <v>0</v>
      </c>
      <c r="G361" s="673">
        <f t="shared" si="57"/>
        <v>0</v>
      </c>
      <c r="H361" s="673">
        <f t="shared" si="58"/>
        <v>0</v>
      </c>
      <c r="I361" s="687">
        <f>IFERROR(INDEX(Tabla8[],MATCH(Producción_Agricola[[#This Row],[Unidad de Negocio]],Tabla8[Unidades de Negocio],0),2),0)</f>
        <v>0</v>
      </c>
      <c r="J361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61" s="661"/>
      <c r="L361" s="482"/>
      <c r="M361" s="483"/>
      <c r="N361" s="484"/>
      <c r="O361" s="694">
        <f>Producción_Agricola[[#This Row],[Superficie]]*Producción_Agricola[[#This Row],[Cantidad]]</f>
        <v>0</v>
      </c>
      <c r="P361" s="482"/>
      <c r="Q361" s="484"/>
      <c r="R361" s="485"/>
      <c r="S361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61" s="761">
        <f>IFERROR(Producción_Agricola[[#This Row],[Económico $Corrientes]]/Producción_Agricola[[#This Row],[Indexación Económico]],0)</f>
        <v>0</v>
      </c>
      <c r="U361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61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61" s="761">
        <f>IFERROR(Producción_Agricola[[#This Row],[Financiero $Corrientes]]/Producción_Agricola[[#This Row],[Indexación Financiero]],0)</f>
        <v>0</v>
      </c>
      <c r="X361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61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61" s="766">
        <f>IFERROR(Producción_Agricola[[#This Row],[Intereses $Corrientes]]/Producción_Agricola[[#This Row],[Indexación Financiero]],0)</f>
        <v>0</v>
      </c>
      <c r="AA361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61" s="768">
        <f>IFERROR(INDEX(Produccion_Agricola_Cuentas[],MATCH(Producción_Agricola[[#This Row],[Cuenta Contable]],Produccion_Agricola_Cuentas[Cuenta Contable],0),2),0)</f>
        <v>0</v>
      </c>
      <c r="AC361" s="769">
        <f>IFERROR(INDEX(Tabla9[],MATCH(Producción_Agricola[[#This Row],[Movimiento]],Tabla9[Movimientos],0),2),0)</f>
        <v>0</v>
      </c>
      <c r="AD361" s="770">
        <f>IFERROR(INDEX(Tabla9[],MATCH(Producción_Agricola[[#This Row],[Movimiento]],Tabla9[Movimientos],0),3),0)</f>
        <v>0</v>
      </c>
      <c r="AE361" s="765">
        <f>IF(Producción_Agricola[[#This Row],[Fecha Económico]]=0,0,MONTH(Producción_Agricola[[#This Row],[Fecha Económico]]))</f>
        <v>0</v>
      </c>
      <c r="AF361" s="766">
        <f>IF(Producción_Agricola[[#This Row],[Fecha Económico]]=0,0,YEAR(Producción_Agricola[[#This Row],[Fecha Económico]]))</f>
        <v>0</v>
      </c>
      <c r="AG361" s="771">
        <f>SUMPRODUCT((Producción_Agricola[[#This Row],[Mes Económico]]=Tipo_Cambio[Mes])*(Producción_Agricola[[#This Row],[Año Económico]]=Tipo_Cambio[Año])*(Tipo_Cambio[$/U$S]))</f>
        <v>0</v>
      </c>
      <c r="AH361" s="770">
        <f>SUMPRODUCT((Producción_Agricola[[#This Row],[Mes Económico]]=Tipo_Cambio[Mes])*(Producción_Agricola[[#This Row],[Año Económico]]=Tipo_Cambio[Año])*(Tipo_Cambio[Actualización]))</f>
        <v>0</v>
      </c>
      <c r="AI361" s="766">
        <f>IF(ISNUMBER(Producción_Agricola[[#This Row],[Fecha Financiero]])=TRUE,MONTH(Producción_Agricola[[#This Row],[Fecha Financiero]]),0)</f>
        <v>0</v>
      </c>
      <c r="AJ361" s="766">
        <f>IF(ISNUMBER(Producción_Agricola[[#This Row],[Fecha Financiero]])=TRUE,YEAR(Producción_Agricola[[#This Row],[Fecha Financiero]]),0)</f>
        <v>0</v>
      </c>
      <c r="AK361" s="771">
        <f>SUMPRODUCT((Producción_Agricola[[#This Row],[Mes Financiero]]=Tipo_Cambio[Mes])*(Producción_Agricola[[#This Row],[Año Financiero]]=Tipo_Cambio[Año])*(Tipo_Cambio[$/U$S]))</f>
        <v>0</v>
      </c>
      <c r="AL361" s="771">
        <f>SUMPRODUCT((Producción_Agricola[[#This Row],[Mes Financiero]]=Tipo_Cambio[Mes])*(Producción_Agricola[[#This Row],[Año Financiero]]=Tipo_Cambio[Año])*(Tipo_Cambio[Actualización]))</f>
        <v>0</v>
      </c>
      <c r="AM361" s="772">
        <f>IFERROR(Producción_Agricola[[#This Row],[Económico $Corrientes]]/Producción_Agricola[[#This Row],[Superficie]],0)</f>
        <v>0</v>
      </c>
      <c r="AN361" s="773">
        <f>IFERROR(Producción_Agricola[[#This Row],[Económico $Constantes]]/Producción_Agricola[[#This Row],[Superficie]],0)</f>
        <v>0</v>
      </c>
      <c r="AO361" s="773">
        <f>IFERROR(Producción_Agricola[[#This Row],[Económico U$S Dólares]]/Producción_Agricola[[#This Row],[Superficie]],0)</f>
        <v>0</v>
      </c>
      <c r="AP361" s="774">
        <f>IF(Económico!$F$4=0,0,Producción_Agricola[[#This Row],[Centro de Costo]])</f>
        <v>0</v>
      </c>
      <c r="AQ361" s="512"/>
      <c r="AR361" s="663"/>
      <c r="AS361"/>
    </row>
    <row r="362" spans="1:45" x14ac:dyDescent="0.25">
      <c r="A362" s="509"/>
      <c r="B362" s="494"/>
      <c r="C362" s="509"/>
      <c r="D362" s="478"/>
      <c r="E362" s="478"/>
      <c r="F362" s="668">
        <f t="shared" si="56"/>
        <v>0</v>
      </c>
      <c r="G362" s="673">
        <f t="shared" si="57"/>
        <v>0</v>
      </c>
      <c r="H362" s="673">
        <f t="shared" si="58"/>
        <v>0</v>
      </c>
      <c r="I362" s="687">
        <f>IFERROR(INDEX(Tabla8[],MATCH(Producción_Agricola[[#This Row],[Unidad de Negocio]],Tabla8[Unidades de Negocio],0),2),0)</f>
        <v>0</v>
      </c>
      <c r="J362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62" s="661"/>
      <c r="L362" s="482"/>
      <c r="M362" s="483"/>
      <c r="N362" s="484"/>
      <c r="O362" s="694">
        <f>Producción_Agricola[[#This Row],[Superficie]]*Producción_Agricola[[#This Row],[Cantidad]]</f>
        <v>0</v>
      </c>
      <c r="P362" s="482"/>
      <c r="Q362" s="484"/>
      <c r="R362" s="485"/>
      <c r="S362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62" s="761">
        <f>IFERROR(Producción_Agricola[[#This Row],[Económico $Corrientes]]/Producción_Agricola[[#This Row],[Indexación Económico]],0)</f>
        <v>0</v>
      </c>
      <c r="U362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62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62" s="761">
        <f>IFERROR(Producción_Agricola[[#This Row],[Financiero $Corrientes]]/Producción_Agricola[[#This Row],[Indexación Financiero]],0)</f>
        <v>0</v>
      </c>
      <c r="X362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62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62" s="766">
        <f>IFERROR(Producción_Agricola[[#This Row],[Intereses $Corrientes]]/Producción_Agricola[[#This Row],[Indexación Financiero]],0)</f>
        <v>0</v>
      </c>
      <c r="AA362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62" s="768">
        <f>IFERROR(INDEX(Produccion_Agricola_Cuentas[],MATCH(Producción_Agricola[[#This Row],[Cuenta Contable]],Produccion_Agricola_Cuentas[Cuenta Contable],0),2),0)</f>
        <v>0</v>
      </c>
      <c r="AC362" s="769">
        <f>IFERROR(INDEX(Tabla9[],MATCH(Producción_Agricola[[#This Row],[Movimiento]],Tabla9[Movimientos],0),2),0)</f>
        <v>0</v>
      </c>
      <c r="AD362" s="770">
        <f>IFERROR(INDEX(Tabla9[],MATCH(Producción_Agricola[[#This Row],[Movimiento]],Tabla9[Movimientos],0),3),0)</f>
        <v>0</v>
      </c>
      <c r="AE362" s="765">
        <f>IF(Producción_Agricola[[#This Row],[Fecha Económico]]=0,0,MONTH(Producción_Agricola[[#This Row],[Fecha Económico]]))</f>
        <v>0</v>
      </c>
      <c r="AF362" s="766">
        <f>IF(Producción_Agricola[[#This Row],[Fecha Económico]]=0,0,YEAR(Producción_Agricola[[#This Row],[Fecha Económico]]))</f>
        <v>0</v>
      </c>
      <c r="AG362" s="771">
        <f>SUMPRODUCT((Producción_Agricola[[#This Row],[Mes Económico]]=Tipo_Cambio[Mes])*(Producción_Agricola[[#This Row],[Año Económico]]=Tipo_Cambio[Año])*(Tipo_Cambio[$/U$S]))</f>
        <v>0</v>
      </c>
      <c r="AH362" s="770">
        <f>SUMPRODUCT((Producción_Agricola[[#This Row],[Mes Económico]]=Tipo_Cambio[Mes])*(Producción_Agricola[[#This Row],[Año Económico]]=Tipo_Cambio[Año])*(Tipo_Cambio[Actualización]))</f>
        <v>0</v>
      </c>
      <c r="AI362" s="766">
        <f>IF(ISNUMBER(Producción_Agricola[[#This Row],[Fecha Financiero]])=TRUE,MONTH(Producción_Agricola[[#This Row],[Fecha Financiero]]),0)</f>
        <v>0</v>
      </c>
      <c r="AJ362" s="766">
        <f>IF(ISNUMBER(Producción_Agricola[[#This Row],[Fecha Financiero]])=TRUE,YEAR(Producción_Agricola[[#This Row],[Fecha Financiero]]),0)</f>
        <v>0</v>
      </c>
      <c r="AK362" s="771">
        <f>SUMPRODUCT((Producción_Agricola[[#This Row],[Mes Financiero]]=Tipo_Cambio[Mes])*(Producción_Agricola[[#This Row],[Año Financiero]]=Tipo_Cambio[Año])*(Tipo_Cambio[$/U$S]))</f>
        <v>0</v>
      </c>
      <c r="AL362" s="771">
        <f>SUMPRODUCT((Producción_Agricola[[#This Row],[Mes Financiero]]=Tipo_Cambio[Mes])*(Producción_Agricola[[#This Row],[Año Financiero]]=Tipo_Cambio[Año])*(Tipo_Cambio[Actualización]))</f>
        <v>0</v>
      </c>
      <c r="AM362" s="772">
        <f>IFERROR(Producción_Agricola[[#This Row],[Económico $Corrientes]]/Producción_Agricola[[#This Row],[Superficie]],0)</f>
        <v>0</v>
      </c>
      <c r="AN362" s="773">
        <f>IFERROR(Producción_Agricola[[#This Row],[Económico $Constantes]]/Producción_Agricola[[#This Row],[Superficie]],0)</f>
        <v>0</v>
      </c>
      <c r="AO362" s="773">
        <f>IFERROR(Producción_Agricola[[#This Row],[Económico U$S Dólares]]/Producción_Agricola[[#This Row],[Superficie]],0)</f>
        <v>0</v>
      </c>
      <c r="AP362" s="774">
        <f>IF(Económico!$F$4=0,0,Producción_Agricola[[#This Row],[Centro de Costo]])</f>
        <v>0</v>
      </c>
      <c r="AQ362" s="512"/>
      <c r="AR362" s="663"/>
      <c r="AS362"/>
    </row>
    <row r="363" spans="1:45" x14ac:dyDescent="0.25">
      <c r="A363" s="509"/>
      <c r="B363" s="494"/>
      <c r="C363" s="509"/>
      <c r="D363" s="478"/>
      <c r="E363" s="478"/>
      <c r="F363" s="668">
        <f t="shared" si="56"/>
        <v>0</v>
      </c>
      <c r="G363" s="673">
        <f t="shared" si="57"/>
        <v>0</v>
      </c>
      <c r="H363" s="673">
        <f t="shared" si="58"/>
        <v>0</v>
      </c>
      <c r="I363" s="687">
        <f>IFERROR(INDEX(Tabla8[],MATCH(Producción_Agricola[[#This Row],[Unidad de Negocio]],Tabla8[Unidades de Negocio],0),2),0)</f>
        <v>0</v>
      </c>
      <c r="J363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63" s="661"/>
      <c r="L363" s="482"/>
      <c r="M363" s="483"/>
      <c r="N363" s="484"/>
      <c r="O363" s="694">
        <f>Producción_Agricola[[#This Row],[Superficie]]*Producción_Agricola[[#This Row],[Cantidad]]</f>
        <v>0</v>
      </c>
      <c r="P363" s="482"/>
      <c r="Q363" s="484"/>
      <c r="R363" s="485"/>
      <c r="S363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63" s="761">
        <f>IFERROR(Producción_Agricola[[#This Row],[Económico $Corrientes]]/Producción_Agricola[[#This Row],[Indexación Económico]],0)</f>
        <v>0</v>
      </c>
      <c r="U363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63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63" s="761">
        <f>IFERROR(Producción_Agricola[[#This Row],[Financiero $Corrientes]]/Producción_Agricola[[#This Row],[Indexación Financiero]],0)</f>
        <v>0</v>
      </c>
      <c r="X363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63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63" s="766">
        <f>IFERROR(Producción_Agricola[[#This Row],[Intereses $Corrientes]]/Producción_Agricola[[#This Row],[Indexación Financiero]],0)</f>
        <v>0</v>
      </c>
      <c r="AA363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63" s="768">
        <f>IFERROR(INDEX(Produccion_Agricola_Cuentas[],MATCH(Producción_Agricola[[#This Row],[Cuenta Contable]],Produccion_Agricola_Cuentas[Cuenta Contable],0),2),0)</f>
        <v>0</v>
      </c>
      <c r="AC363" s="769">
        <f>IFERROR(INDEX(Tabla9[],MATCH(Producción_Agricola[[#This Row],[Movimiento]],Tabla9[Movimientos],0),2),0)</f>
        <v>0</v>
      </c>
      <c r="AD363" s="770">
        <f>IFERROR(INDEX(Tabla9[],MATCH(Producción_Agricola[[#This Row],[Movimiento]],Tabla9[Movimientos],0),3),0)</f>
        <v>0</v>
      </c>
      <c r="AE363" s="765">
        <f>IF(Producción_Agricola[[#This Row],[Fecha Económico]]=0,0,MONTH(Producción_Agricola[[#This Row],[Fecha Económico]]))</f>
        <v>0</v>
      </c>
      <c r="AF363" s="766">
        <f>IF(Producción_Agricola[[#This Row],[Fecha Económico]]=0,0,YEAR(Producción_Agricola[[#This Row],[Fecha Económico]]))</f>
        <v>0</v>
      </c>
      <c r="AG363" s="771">
        <f>SUMPRODUCT((Producción_Agricola[[#This Row],[Mes Económico]]=Tipo_Cambio[Mes])*(Producción_Agricola[[#This Row],[Año Económico]]=Tipo_Cambio[Año])*(Tipo_Cambio[$/U$S]))</f>
        <v>0</v>
      </c>
      <c r="AH363" s="770">
        <f>SUMPRODUCT((Producción_Agricola[[#This Row],[Mes Económico]]=Tipo_Cambio[Mes])*(Producción_Agricola[[#This Row],[Año Económico]]=Tipo_Cambio[Año])*(Tipo_Cambio[Actualización]))</f>
        <v>0</v>
      </c>
      <c r="AI363" s="766">
        <f>IF(ISNUMBER(Producción_Agricola[[#This Row],[Fecha Financiero]])=TRUE,MONTH(Producción_Agricola[[#This Row],[Fecha Financiero]]),0)</f>
        <v>0</v>
      </c>
      <c r="AJ363" s="766">
        <f>IF(ISNUMBER(Producción_Agricola[[#This Row],[Fecha Financiero]])=TRUE,YEAR(Producción_Agricola[[#This Row],[Fecha Financiero]]),0)</f>
        <v>0</v>
      </c>
      <c r="AK363" s="771">
        <f>SUMPRODUCT((Producción_Agricola[[#This Row],[Mes Financiero]]=Tipo_Cambio[Mes])*(Producción_Agricola[[#This Row],[Año Financiero]]=Tipo_Cambio[Año])*(Tipo_Cambio[$/U$S]))</f>
        <v>0</v>
      </c>
      <c r="AL363" s="771">
        <f>SUMPRODUCT((Producción_Agricola[[#This Row],[Mes Financiero]]=Tipo_Cambio[Mes])*(Producción_Agricola[[#This Row],[Año Financiero]]=Tipo_Cambio[Año])*(Tipo_Cambio[Actualización]))</f>
        <v>0</v>
      </c>
      <c r="AM363" s="772">
        <f>IFERROR(Producción_Agricola[[#This Row],[Económico $Corrientes]]/Producción_Agricola[[#This Row],[Superficie]],0)</f>
        <v>0</v>
      </c>
      <c r="AN363" s="773">
        <f>IFERROR(Producción_Agricola[[#This Row],[Económico $Constantes]]/Producción_Agricola[[#This Row],[Superficie]],0)</f>
        <v>0</v>
      </c>
      <c r="AO363" s="773">
        <f>IFERROR(Producción_Agricola[[#This Row],[Económico U$S Dólares]]/Producción_Agricola[[#This Row],[Superficie]],0)</f>
        <v>0</v>
      </c>
      <c r="AP363" s="774">
        <f>IF(Económico!$F$4=0,0,Producción_Agricola[[#This Row],[Centro de Costo]])</f>
        <v>0</v>
      </c>
      <c r="AQ363" s="512"/>
      <c r="AR363" s="663"/>
      <c r="AS363"/>
    </row>
    <row r="364" spans="1:45" x14ac:dyDescent="0.25">
      <c r="A364" s="509"/>
      <c r="B364" s="494"/>
      <c r="C364" s="509"/>
      <c r="D364" s="478"/>
      <c r="E364" s="478"/>
      <c r="F364" s="668">
        <f t="shared" si="56"/>
        <v>0</v>
      </c>
      <c r="G364" s="673">
        <f t="shared" si="57"/>
        <v>0</v>
      </c>
      <c r="H364" s="673">
        <f t="shared" si="58"/>
        <v>0</v>
      </c>
      <c r="I364" s="687">
        <f>IFERROR(INDEX(Tabla8[],MATCH(Producción_Agricola[[#This Row],[Unidad de Negocio]],Tabla8[Unidades de Negocio],0),2),0)</f>
        <v>0</v>
      </c>
      <c r="J364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64" s="661"/>
      <c r="L364" s="482"/>
      <c r="M364" s="483"/>
      <c r="N364" s="484"/>
      <c r="O364" s="694">
        <f>Producción_Agricola[[#This Row],[Superficie]]*Producción_Agricola[[#This Row],[Cantidad]]</f>
        <v>0</v>
      </c>
      <c r="P364" s="482"/>
      <c r="Q364" s="484"/>
      <c r="R364" s="485"/>
      <c r="S364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64" s="761">
        <f>IFERROR(Producción_Agricola[[#This Row],[Económico $Corrientes]]/Producción_Agricola[[#This Row],[Indexación Económico]],0)</f>
        <v>0</v>
      </c>
      <c r="U364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64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64" s="761">
        <f>IFERROR(Producción_Agricola[[#This Row],[Financiero $Corrientes]]/Producción_Agricola[[#This Row],[Indexación Financiero]],0)</f>
        <v>0</v>
      </c>
      <c r="X364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64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64" s="766">
        <f>IFERROR(Producción_Agricola[[#This Row],[Intereses $Corrientes]]/Producción_Agricola[[#This Row],[Indexación Financiero]],0)</f>
        <v>0</v>
      </c>
      <c r="AA364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64" s="768">
        <f>IFERROR(INDEX(Produccion_Agricola_Cuentas[],MATCH(Producción_Agricola[[#This Row],[Cuenta Contable]],Produccion_Agricola_Cuentas[Cuenta Contable],0),2),0)</f>
        <v>0</v>
      </c>
      <c r="AC364" s="769">
        <f>IFERROR(INDEX(Tabla9[],MATCH(Producción_Agricola[[#This Row],[Movimiento]],Tabla9[Movimientos],0),2),0)</f>
        <v>0</v>
      </c>
      <c r="AD364" s="770">
        <f>IFERROR(INDEX(Tabla9[],MATCH(Producción_Agricola[[#This Row],[Movimiento]],Tabla9[Movimientos],0),3),0)</f>
        <v>0</v>
      </c>
      <c r="AE364" s="765">
        <f>IF(Producción_Agricola[[#This Row],[Fecha Económico]]=0,0,MONTH(Producción_Agricola[[#This Row],[Fecha Económico]]))</f>
        <v>0</v>
      </c>
      <c r="AF364" s="766">
        <f>IF(Producción_Agricola[[#This Row],[Fecha Económico]]=0,0,YEAR(Producción_Agricola[[#This Row],[Fecha Económico]]))</f>
        <v>0</v>
      </c>
      <c r="AG364" s="771">
        <f>SUMPRODUCT((Producción_Agricola[[#This Row],[Mes Económico]]=Tipo_Cambio[Mes])*(Producción_Agricola[[#This Row],[Año Económico]]=Tipo_Cambio[Año])*(Tipo_Cambio[$/U$S]))</f>
        <v>0</v>
      </c>
      <c r="AH364" s="770">
        <f>SUMPRODUCT((Producción_Agricola[[#This Row],[Mes Económico]]=Tipo_Cambio[Mes])*(Producción_Agricola[[#This Row],[Año Económico]]=Tipo_Cambio[Año])*(Tipo_Cambio[Actualización]))</f>
        <v>0</v>
      </c>
      <c r="AI364" s="766">
        <f>IF(ISNUMBER(Producción_Agricola[[#This Row],[Fecha Financiero]])=TRUE,MONTH(Producción_Agricola[[#This Row],[Fecha Financiero]]),0)</f>
        <v>0</v>
      </c>
      <c r="AJ364" s="766">
        <f>IF(ISNUMBER(Producción_Agricola[[#This Row],[Fecha Financiero]])=TRUE,YEAR(Producción_Agricola[[#This Row],[Fecha Financiero]]),0)</f>
        <v>0</v>
      </c>
      <c r="AK364" s="771">
        <f>SUMPRODUCT((Producción_Agricola[[#This Row],[Mes Financiero]]=Tipo_Cambio[Mes])*(Producción_Agricola[[#This Row],[Año Financiero]]=Tipo_Cambio[Año])*(Tipo_Cambio[$/U$S]))</f>
        <v>0</v>
      </c>
      <c r="AL364" s="771">
        <f>SUMPRODUCT((Producción_Agricola[[#This Row],[Mes Financiero]]=Tipo_Cambio[Mes])*(Producción_Agricola[[#This Row],[Año Financiero]]=Tipo_Cambio[Año])*(Tipo_Cambio[Actualización]))</f>
        <v>0</v>
      </c>
      <c r="AM364" s="772">
        <f>IFERROR(Producción_Agricola[[#This Row],[Económico $Corrientes]]/Producción_Agricola[[#This Row],[Superficie]],0)</f>
        <v>0</v>
      </c>
      <c r="AN364" s="773">
        <f>IFERROR(Producción_Agricola[[#This Row],[Económico $Constantes]]/Producción_Agricola[[#This Row],[Superficie]],0)</f>
        <v>0</v>
      </c>
      <c r="AO364" s="773">
        <f>IFERROR(Producción_Agricola[[#This Row],[Económico U$S Dólares]]/Producción_Agricola[[#This Row],[Superficie]],0)</f>
        <v>0</v>
      </c>
      <c r="AP364" s="774">
        <f>IF(Económico!$F$4=0,0,Producción_Agricola[[#This Row],[Centro de Costo]])</f>
        <v>0</v>
      </c>
      <c r="AQ364" s="512"/>
      <c r="AR364" s="663"/>
      <c r="AS364"/>
    </row>
    <row r="365" spans="1:45" x14ac:dyDescent="0.25">
      <c r="A365" s="509"/>
      <c r="B365" s="494"/>
      <c r="C365" s="509"/>
      <c r="D365" s="478"/>
      <c r="E365" s="478"/>
      <c r="F365" s="668">
        <f t="shared" si="56"/>
        <v>0</v>
      </c>
      <c r="G365" s="673">
        <f t="shared" si="57"/>
        <v>0</v>
      </c>
      <c r="H365" s="673">
        <f t="shared" si="58"/>
        <v>0</v>
      </c>
      <c r="I365" s="687">
        <f>IFERROR(INDEX(Tabla8[],MATCH(Producción_Agricola[[#This Row],[Unidad de Negocio]],Tabla8[Unidades de Negocio],0),2),0)</f>
        <v>0</v>
      </c>
      <c r="J365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65" s="661"/>
      <c r="L365" s="482"/>
      <c r="M365" s="483"/>
      <c r="N365" s="484"/>
      <c r="O365" s="694">
        <f>Producción_Agricola[[#This Row],[Superficie]]*Producción_Agricola[[#This Row],[Cantidad]]</f>
        <v>0</v>
      </c>
      <c r="P365" s="482"/>
      <c r="Q365" s="484"/>
      <c r="R365" s="485"/>
      <c r="S365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65" s="761">
        <f>IFERROR(Producción_Agricola[[#This Row],[Económico $Corrientes]]/Producción_Agricola[[#This Row],[Indexación Económico]],0)</f>
        <v>0</v>
      </c>
      <c r="U365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65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65" s="761">
        <f>IFERROR(Producción_Agricola[[#This Row],[Financiero $Corrientes]]/Producción_Agricola[[#This Row],[Indexación Financiero]],0)</f>
        <v>0</v>
      </c>
      <c r="X365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65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65" s="766">
        <f>IFERROR(Producción_Agricola[[#This Row],[Intereses $Corrientes]]/Producción_Agricola[[#This Row],[Indexación Financiero]],0)</f>
        <v>0</v>
      </c>
      <c r="AA365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65" s="768">
        <f>IFERROR(INDEX(Produccion_Agricola_Cuentas[],MATCH(Producción_Agricola[[#This Row],[Cuenta Contable]],Produccion_Agricola_Cuentas[Cuenta Contable],0),2),0)</f>
        <v>0</v>
      </c>
      <c r="AC365" s="769">
        <f>IFERROR(INDEX(Tabla9[],MATCH(Producción_Agricola[[#This Row],[Movimiento]],Tabla9[Movimientos],0),2),0)</f>
        <v>0</v>
      </c>
      <c r="AD365" s="770">
        <f>IFERROR(INDEX(Tabla9[],MATCH(Producción_Agricola[[#This Row],[Movimiento]],Tabla9[Movimientos],0),3),0)</f>
        <v>0</v>
      </c>
      <c r="AE365" s="765">
        <f>IF(Producción_Agricola[[#This Row],[Fecha Económico]]=0,0,MONTH(Producción_Agricola[[#This Row],[Fecha Económico]]))</f>
        <v>0</v>
      </c>
      <c r="AF365" s="766">
        <f>IF(Producción_Agricola[[#This Row],[Fecha Económico]]=0,0,YEAR(Producción_Agricola[[#This Row],[Fecha Económico]]))</f>
        <v>0</v>
      </c>
      <c r="AG365" s="771">
        <f>SUMPRODUCT((Producción_Agricola[[#This Row],[Mes Económico]]=Tipo_Cambio[Mes])*(Producción_Agricola[[#This Row],[Año Económico]]=Tipo_Cambio[Año])*(Tipo_Cambio[$/U$S]))</f>
        <v>0</v>
      </c>
      <c r="AH365" s="770">
        <f>SUMPRODUCT((Producción_Agricola[[#This Row],[Mes Económico]]=Tipo_Cambio[Mes])*(Producción_Agricola[[#This Row],[Año Económico]]=Tipo_Cambio[Año])*(Tipo_Cambio[Actualización]))</f>
        <v>0</v>
      </c>
      <c r="AI365" s="766">
        <f>IF(ISNUMBER(Producción_Agricola[[#This Row],[Fecha Financiero]])=TRUE,MONTH(Producción_Agricola[[#This Row],[Fecha Financiero]]),0)</f>
        <v>0</v>
      </c>
      <c r="AJ365" s="766">
        <f>IF(ISNUMBER(Producción_Agricola[[#This Row],[Fecha Financiero]])=TRUE,YEAR(Producción_Agricola[[#This Row],[Fecha Financiero]]),0)</f>
        <v>0</v>
      </c>
      <c r="AK365" s="771">
        <f>SUMPRODUCT((Producción_Agricola[[#This Row],[Mes Financiero]]=Tipo_Cambio[Mes])*(Producción_Agricola[[#This Row],[Año Financiero]]=Tipo_Cambio[Año])*(Tipo_Cambio[$/U$S]))</f>
        <v>0</v>
      </c>
      <c r="AL365" s="771">
        <f>SUMPRODUCT((Producción_Agricola[[#This Row],[Mes Financiero]]=Tipo_Cambio[Mes])*(Producción_Agricola[[#This Row],[Año Financiero]]=Tipo_Cambio[Año])*(Tipo_Cambio[Actualización]))</f>
        <v>0</v>
      </c>
      <c r="AM365" s="772">
        <f>IFERROR(Producción_Agricola[[#This Row],[Económico $Corrientes]]/Producción_Agricola[[#This Row],[Superficie]],0)</f>
        <v>0</v>
      </c>
      <c r="AN365" s="773">
        <f>IFERROR(Producción_Agricola[[#This Row],[Económico $Constantes]]/Producción_Agricola[[#This Row],[Superficie]],0)</f>
        <v>0</v>
      </c>
      <c r="AO365" s="773">
        <f>IFERROR(Producción_Agricola[[#This Row],[Económico U$S Dólares]]/Producción_Agricola[[#This Row],[Superficie]],0)</f>
        <v>0</v>
      </c>
      <c r="AP365" s="774">
        <f>IF(Económico!$F$4=0,0,Producción_Agricola[[#This Row],[Centro de Costo]])</f>
        <v>0</v>
      </c>
      <c r="AQ365" s="512"/>
      <c r="AR365" s="663"/>
      <c r="AS365"/>
    </row>
    <row r="366" spans="1:45" x14ac:dyDescent="0.25">
      <c r="A366" s="509"/>
      <c r="B366" s="494"/>
      <c r="C366" s="509"/>
      <c r="D366" s="478"/>
      <c r="E366" s="478"/>
      <c r="F366" s="668">
        <f t="shared" si="56"/>
        <v>0</v>
      </c>
      <c r="G366" s="673">
        <f t="shared" si="57"/>
        <v>0</v>
      </c>
      <c r="H366" s="673">
        <f t="shared" si="58"/>
        <v>0</v>
      </c>
      <c r="I366" s="687">
        <f>IFERROR(INDEX(Tabla8[],MATCH(Producción_Agricola[[#This Row],[Unidad de Negocio]],Tabla8[Unidades de Negocio],0),2),0)</f>
        <v>0</v>
      </c>
      <c r="J366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66" s="661"/>
      <c r="L366" s="482"/>
      <c r="M366" s="483"/>
      <c r="N366" s="484"/>
      <c r="O366" s="694">
        <f>Producción_Agricola[[#This Row],[Superficie]]*Producción_Agricola[[#This Row],[Cantidad]]</f>
        <v>0</v>
      </c>
      <c r="P366" s="482"/>
      <c r="Q366" s="484"/>
      <c r="R366" s="485"/>
      <c r="S366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66" s="761">
        <f>IFERROR(Producción_Agricola[[#This Row],[Económico $Corrientes]]/Producción_Agricola[[#This Row],[Indexación Económico]],0)</f>
        <v>0</v>
      </c>
      <c r="U366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66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66" s="761">
        <f>IFERROR(Producción_Agricola[[#This Row],[Financiero $Corrientes]]/Producción_Agricola[[#This Row],[Indexación Financiero]],0)</f>
        <v>0</v>
      </c>
      <c r="X366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66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66" s="766">
        <f>IFERROR(Producción_Agricola[[#This Row],[Intereses $Corrientes]]/Producción_Agricola[[#This Row],[Indexación Financiero]],0)</f>
        <v>0</v>
      </c>
      <c r="AA366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66" s="768">
        <f>IFERROR(INDEX(Produccion_Agricola_Cuentas[],MATCH(Producción_Agricola[[#This Row],[Cuenta Contable]],Produccion_Agricola_Cuentas[Cuenta Contable],0),2),0)</f>
        <v>0</v>
      </c>
      <c r="AC366" s="769">
        <f>IFERROR(INDEX(Tabla9[],MATCH(Producción_Agricola[[#This Row],[Movimiento]],Tabla9[Movimientos],0),2),0)</f>
        <v>0</v>
      </c>
      <c r="AD366" s="770">
        <f>IFERROR(INDEX(Tabla9[],MATCH(Producción_Agricola[[#This Row],[Movimiento]],Tabla9[Movimientos],0),3),0)</f>
        <v>0</v>
      </c>
      <c r="AE366" s="765">
        <f>IF(Producción_Agricola[[#This Row],[Fecha Económico]]=0,0,MONTH(Producción_Agricola[[#This Row],[Fecha Económico]]))</f>
        <v>0</v>
      </c>
      <c r="AF366" s="766">
        <f>IF(Producción_Agricola[[#This Row],[Fecha Económico]]=0,0,YEAR(Producción_Agricola[[#This Row],[Fecha Económico]]))</f>
        <v>0</v>
      </c>
      <c r="AG366" s="771">
        <f>SUMPRODUCT((Producción_Agricola[[#This Row],[Mes Económico]]=Tipo_Cambio[Mes])*(Producción_Agricola[[#This Row],[Año Económico]]=Tipo_Cambio[Año])*(Tipo_Cambio[$/U$S]))</f>
        <v>0</v>
      </c>
      <c r="AH366" s="770">
        <f>SUMPRODUCT((Producción_Agricola[[#This Row],[Mes Económico]]=Tipo_Cambio[Mes])*(Producción_Agricola[[#This Row],[Año Económico]]=Tipo_Cambio[Año])*(Tipo_Cambio[Actualización]))</f>
        <v>0</v>
      </c>
      <c r="AI366" s="766">
        <f>IF(ISNUMBER(Producción_Agricola[[#This Row],[Fecha Financiero]])=TRUE,MONTH(Producción_Agricola[[#This Row],[Fecha Financiero]]),0)</f>
        <v>0</v>
      </c>
      <c r="AJ366" s="766">
        <f>IF(ISNUMBER(Producción_Agricola[[#This Row],[Fecha Financiero]])=TRUE,YEAR(Producción_Agricola[[#This Row],[Fecha Financiero]]),0)</f>
        <v>0</v>
      </c>
      <c r="AK366" s="771">
        <f>SUMPRODUCT((Producción_Agricola[[#This Row],[Mes Financiero]]=Tipo_Cambio[Mes])*(Producción_Agricola[[#This Row],[Año Financiero]]=Tipo_Cambio[Año])*(Tipo_Cambio[$/U$S]))</f>
        <v>0</v>
      </c>
      <c r="AL366" s="771">
        <f>SUMPRODUCT((Producción_Agricola[[#This Row],[Mes Financiero]]=Tipo_Cambio[Mes])*(Producción_Agricola[[#This Row],[Año Financiero]]=Tipo_Cambio[Año])*(Tipo_Cambio[Actualización]))</f>
        <v>0</v>
      </c>
      <c r="AM366" s="772">
        <f>IFERROR(Producción_Agricola[[#This Row],[Económico $Corrientes]]/Producción_Agricola[[#This Row],[Superficie]],0)</f>
        <v>0</v>
      </c>
      <c r="AN366" s="773">
        <f>IFERROR(Producción_Agricola[[#This Row],[Económico $Constantes]]/Producción_Agricola[[#This Row],[Superficie]],0)</f>
        <v>0</v>
      </c>
      <c r="AO366" s="773">
        <f>IFERROR(Producción_Agricola[[#This Row],[Económico U$S Dólares]]/Producción_Agricola[[#This Row],[Superficie]],0)</f>
        <v>0</v>
      </c>
      <c r="AP366" s="774">
        <f>IF(Económico!$F$4=0,0,Producción_Agricola[[#This Row],[Centro de Costo]])</f>
        <v>0</v>
      </c>
      <c r="AQ366" s="512"/>
      <c r="AR366" s="663"/>
      <c r="AS366"/>
    </row>
    <row r="367" spans="1:45" x14ac:dyDescent="0.25">
      <c r="A367" s="509"/>
      <c r="B367" s="494"/>
      <c r="C367" s="509"/>
      <c r="D367" s="478"/>
      <c r="E367" s="478"/>
      <c r="F367" s="668">
        <f t="shared" si="56"/>
        <v>0</v>
      </c>
      <c r="G367" s="673">
        <f t="shared" si="57"/>
        <v>0</v>
      </c>
      <c r="H367" s="673">
        <f t="shared" si="58"/>
        <v>0</v>
      </c>
      <c r="I367" s="687">
        <f>IFERROR(INDEX(Tabla8[],MATCH(Producción_Agricola[[#This Row],[Unidad de Negocio]],Tabla8[Unidades de Negocio],0),2),0)</f>
        <v>0</v>
      </c>
      <c r="J367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67" s="661"/>
      <c r="L367" s="482"/>
      <c r="M367" s="483"/>
      <c r="N367" s="484"/>
      <c r="O367" s="694">
        <f>Producción_Agricola[[#This Row],[Superficie]]*Producción_Agricola[[#This Row],[Cantidad]]</f>
        <v>0</v>
      </c>
      <c r="P367" s="482"/>
      <c r="Q367" s="484"/>
      <c r="R367" s="485"/>
      <c r="S367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67" s="761">
        <f>IFERROR(Producción_Agricola[[#This Row],[Económico $Corrientes]]/Producción_Agricola[[#This Row],[Indexación Económico]],0)</f>
        <v>0</v>
      </c>
      <c r="U367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67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67" s="761">
        <f>IFERROR(Producción_Agricola[[#This Row],[Financiero $Corrientes]]/Producción_Agricola[[#This Row],[Indexación Financiero]],0)</f>
        <v>0</v>
      </c>
      <c r="X367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67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67" s="766">
        <f>IFERROR(Producción_Agricola[[#This Row],[Intereses $Corrientes]]/Producción_Agricola[[#This Row],[Indexación Financiero]],0)</f>
        <v>0</v>
      </c>
      <c r="AA367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67" s="768">
        <f>IFERROR(INDEX(Produccion_Agricola_Cuentas[],MATCH(Producción_Agricola[[#This Row],[Cuenta Contable]],Produccion_Agricola_Cuentas[Cuenta Contable],0),2),0)</f>
        <v>0</v>
      </c>
      <c r="AC367" s="769">
        <f>IFERROR(INDEX(Tabla9[],MATCH(Producción_Agricola[[#This Row],[Movimiento]],Tabla9[Movimientos],0),2),0)</f>
        <v>0</v>
      </c>
      <c r="AD367" s="770">
        <f>IFERROR(INDEX(Tabla9[],MATCH(Producción_Agricola[[#This Row],[Movimiento]],Tabla9[Movimientos],0),3),0)</f>
        <v>0</v>
      </c>
      <c r="AE367" s="765">
        <f>IF(Producción_Agricola[[#This Row],[Fecha Económico]]=0,0,MONTH(Producción_Agricola[[#This Row],[Fecha Económico]]))</f>
        <v>0</v>
      </c>
      <c r="AF367" s="766">
        <f>IF(Producción_Agricola[[#This Row],[Fecha Económico]]=0,0,YEAR(Producción_Agricola[[#This Row],[Fecha Económico]]))</f>
        <v>0</v>
      </c>
      <c r="AG367" s="771">
        <f>SUMPRODUCT((Producción_Agricola[[#This Row],[Mes Económico]]=Tipo_Cambio[Mes])*(Producción_Agricola[[#This Row],[Año Económico]]=Tipo_Cambio[Año])*(Tipo_Cambio[$/U$S]))</f>
        <v>0</v>
      </c>
      <c r="AH367" s="770">
        <f>SUMPRODUCT((Producción_Agricola[[#This Row],[Mes Económico]]=Tipo_Cambio[Mes])*(Producción_Agricola[[#This Row],[Año Económico]]=Tipo_Cambio[Año])*(Tipo_Cambio[Actualización]))</f>
        <v>0</v>
      </c>
      <c r="AI367" s="766">
        <f>IF(ISNUMBER(Producción_Agricola[[#This Row],[Fecha Financiero]])=TRUE,MONTH(Producción_Agricola[[#This Row],[Fecha Financiero]]),0)</f>
        <v>0</v>
      </c>
      <c r="AJ367" s="766">
        <f>IF(ISNUMBER(Producción_Agricola[[#This Row],[Fecha Financiero]])=TRUE,YEAR(Producción_Agricola[[#This Row],[Fecha Financiero]]),0)</f>
        <v>0</v>
      </c>
      <c r="AK367" s="771">
        <f>SUMPRODUCT((Producción_Agricola[[#This Row],[Mes Financiero]]=Tipo_Cambio[Mes])*(Producción_Agricola[[#This Row],[Año Financiero]]=Tipo_Cambio[Año])*(Tipo_Cambio[$/U$S]))</f>
        <v>0</v>
      </c>
      <c r="AL367" s="771">
        <f>SUMPRODUCT((Producción_Agricola[[#This Row],[Mes Financiero]]=Tipo_Cambio[Mes])*(Producción_Agricola[[#This Row],[Año Financiero]]=Tipo_Cambio[Año])*(Tipo_Cambio[Actualización]))</f>
        <v>0</v>
      </c>
      <c r="AM367" s="772">
        <f>IFERROR(Producción_Agricola[[#This Row],[Económico $Corrientes]]/Producción_Agricola[[#This Row],[Superficie]],0)</f>
        <v>0</v>
      </c>
      <c r="AN367" s="773">
        <f>IFERROR(Producción_Agricola[[#This Row],[Económico $Constantes]]/Producción_Agricola[[#This Row],[Superficie]],0)</f>
        <v>0</v>
      </c>
      <c r="AO367" s="773">
        <f>IFERROR(Producción_Agricola[[#This Row],[Económico U$S Dólares]]/Producción_Agricola[[#This Row],[Superficie]],0)</f>
        <v>0</v>
      </c>
      <c r="AP367" s="774">
        <f>IF(Económico!$F$4=0,0,Producción_Agricola[[#This Row],[Centro de Costo]])</f>
        <v>0</v>
      </c>
      <c r="AQ367" s="512"/>
      <c r="AR367" s="663"/>
      <c r="AS367"/>
    </row>
    <row r="368" spans="1:45" x14ac:dyDescent="0.25">
      <c r="A368" s="509"/>
      <c r="B368" s="494"/>
      <c r="C368" s="509"/>
      <c r="D368" s="478"/>
      <c r="E368" s="478"/>
      <c r="F368" s="668">
        <f t="shared" si="56"/>
        <v>0</v>
      </c>
      <c r="G368" s="673">
        <f t="shared" si="57"/>
        <v>0</v>
      </c>
      <c r="H368" s="673">
        <f t="shared" si="58"/>
        <v>0</v>
      </c>
      <c r="I368" s="687">
        <f>IFERROR(INDEX(Tabla8[],MATCH(Producción_Agricola[[#This Row],[Unidad de Negocio]],Tabla8[Unidades de Negocio],0),2),0)</f>
        <v>0</v>
      </c>
      <c r="J368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68" s="661"/>
      <c r="L368" s="482"/>
      <c r="M368" s="483"/>
      <c r="N368" s="484"/>
      <c r="O368" s="694">
        <f>Producción_Agricola[[#This Row],[Superficie]]*Producción_Agricola[[#This Row],[Cantidad]]</f>
        <v>0</v>
      </c>
      <c r="P368" s="482"/>
      <c r="Q368" s="484"/>
      <c r="R368" s="485"/>
      <c r="S368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68" s="761">
        <f>IFERROR(Producción_Agricola[[#This Row],[Económico $Corrientes]]/Producción_Agricola[[#This Row],[Indexación Económico]],0)</f>
        <v>0</v>
      </c>
      <c r="U368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68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68" s="761">
        <f>IFERROR(Producción_Agricola[[#This Row],[Financiero $Corrientes]]/Producción_Agricola[[#This Row],[Indexación Financiero]],0)</f>
        <v>0</v>
      </c>
      <c r="X368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68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68" s="766">
        <f>IFERROR(Producción_Agricola[[#This Row],[Intereses $Corrientes]]/Producción_Agricola[[#This Row],[Indexación Financiero]],0)</f>
        <v>0</v>
      </c>
      <c r="AA368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68" s="768">
        <f>IFERROR(INDEX(Produccion_Agricola_Cuentas[],MATCH(Producción_Agricola[[#This Row],[Cuenta Contable]],Produccion_Agricola_Cuentas[Cuenta Contable],0),2),0)</f>
        <v>0</v>
      </c>
      <c r="AC368" s="769">
        <f>IFERROR(INDEX(Tabla9[],MATCH(Producción_Agricola[[#This Row],[Movimiento]],Tabla9[Movimientos],0),2),0)</f>
        <v>0</v>
      </c>
      <c r="AD368" s="770">
        <f>IFERROR(INDEX(Tabla9[],MATCH(Producción_Agricola[[#This Row],[Movimiento]],Tabla9[Movimientos],0),3),0)</f>
        <v>0</v>
      </c>
      <c r="AE368" s="765">
        <f>IF(Producción_Agricola[[#This Row],[Fecha Económico]]=0,0,MONTH(Producción_Agricola[[#This Row],[Fecha Económico]]))</f>
        <v>0</v>
      </c>
      <c r="AF368" s="766">
        <f>IF(Producción_Agricola[[#This Row],[Fecha Económico]]=0,0,YEAR(Producción_Agricola[[#This Row],[Fecha Económico]]))</f>
        <v>0</v>
      </c>
      <c r="AG368" s="771">
        <f>SUMPRODUCT((Producción_Agricola[[#This Row],[Mes Económico]]=Tipo_Cambio[Mes])*(Producción_Agricola[[#This Row],[Año Económico]]=Tipo_Cambio[Año])*(Tipo_Cambio[$/U$S]))</f>
        <v>0</v>
      </c>
      <c r="AH368" s="770">
        <f>SUMPRODUCT((Producción_Agricola[[#This Row],[Mes Económico]]=Tipo_Cambio[Mes])*(Producción_Agricola[[#This Row],[Año Económico]]=Tipo_Cambio[Año])*(Tipo_Cambio[Actualización]))</f>
        <v>0</v>
      </c>
      <c r="AI368" s="766">
        <f>IF(ISNUMBER(Producción_Agricola[[#This Row],[Fecha Financiero]])=TRUE,MONTH(Producción_Agricola[[#This Row],[Fecha Financiero]]),0)</f>
        <v>0</v>
      </c>
      <c r="AJ368" s="766">
        <f>IF(ISNUMBER(Producción_Agricola[[#This Row],[Fecha Financiero]])=TRUE,YEAR(Producción_Agricola[[#This Row],[Fecha Financiero]]),0)</f>
        <v>0</v>
      </c>
      <c r="AK368" s="771">
        <f>SUMPRODUCT((Producción_Agricola[[#This Row],[Mes Financiero]]=Tipo_Cambio[Mes])*(Producción_Agricola[[#This Row],[Año Financiero]]=Tipo_Cambio[Año])*(Tipo_Cambio[$/U$S]))</f>
        <v>0</v>
      </c>
      <c r="AL368" s="771">
        <f>SUMPRODUCT((Producción_Agricola[[#This Row],[Mes Financiero]]=Tipo_Cambio[Mes])*(Producción_Agricola[[#This Row],[Año Financiero]]=Tipo_Cambio[Año])*(Tipo_Cambio[Actualización]))</f>
        <v>0</v>
      </c>
      <c r="AM368" s="772">
        <f>IFERROR(Producción_Agricola[[#This Row],[Económico $Corrientes]]/Producción_Agricola[[#This Row],[Superficie]],0)</f>
        <v>0</v>
      </c>
      <c r="AN368" s="773">
        <f>IFERROR(Producción_Agricola[[#This Row],[Económico $Constantes]]/Producción_Agricola[[#This Row],[Superficie]],0)</f>
        <v>0</v>
      </c>
      <c r="AO368" s="773">
        <f>IFERROR(Producción_Agricola[[#This Row],[Económico U$S Dólares]]/Producción_Agricola[[#This Row],[Superficie]],0)</f>
        <v>0</v>
      </c>
      <c r="AP368" s="774">
        <f>IF(Económico!$F$4=0,0,Producción_Agricola[[#This Row],[Centro de Costo]])</f>
        <v>0</v>
      </c>
      <c r="AQ368" s="512"/>
      <c r="AR368" s="663"/>
      <c r="AS368"/>
    </row>
    <row r="369" spans="1:45" x14ac:dyDescent="0.25">
      <c r="A369" s="509"/>
      <c r="B369" s="494"/>
      <c r="C369" s="509"/>
      <c r="D369" s="478"/>
      <c r="E369" s="478"/>
      <c r="F369" s="668">
        <f t="shared" si="56"/>
        <v>0</v>
      </c>
      <c r="G369" s="673">
        <f t="shared" si="57"/>
        <v>0</v>
      </c>
      <c r="H369" s="673">
        <f t="shared" si="58"/>
        <v>0</v>
      </c>
      <c r="I369" s="687">
        <f>IFERROR(INDEX(Tabla8[],MATCH(Producción_Agricola[[#This Row],[Unidad de Negocio]],Tabla8[Unidades de Negocio],0),2),0)</f>
        <v>0</v>
      </c>
      <c r="J369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69" s="661"/>
      <c r="L369" s="482"/>
      <c r="M369" s="483"/>
      <c r="N369" s="484"/>
      <c r="O369" s="694">
        <f>Producción_Agricola[[#This Row],[Superficie]]*Producción_Agricola[[#This Row],[Cantidad]]</f>
        <v>0</v>
      </c>
      <c r="P369" s="482"/>
      <c r="Q369" s="484"/>
      <c r="R369" s="485"/>
      <c r="S369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69" s="761">
        <f>IFERROR(Producción_Agricola[[#This Row],[Económico $Corrientes]]/Producción_Agricola[[#This Row],[Indexación Económico]],0)</f>
        <v>0</v>
      </c>
      <c r="U369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69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69" s="761">
        <f>IFERROR(Producción_Agricola[[#This Row],[Financiero $Corrientes]]/Producción_Agricola[[#This Row],[Indexación Financiero]],0)</f>
        <v>0</v>
      </c>
      <c r="X369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69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69" s="766">
        <f>IFERROR(Producción_Agricola[[#This Row],[Intereses $Corrientes]]/Producción_Agricola[[#This Row],[Indexación Financiero]],0)</f>
        <v>0</v>
      </c>
      <c r="AA369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69" s="768">
        <f>IFERROR(INDEX(Produccion_Agricola_Cuentas[],MATCH(Producción_Agricola[[#This Row],[Cuenta Contable]],Produccion_Agricola_Cuentas[Cuenta Contable],0),2),0)</f>
        <v>0</v>
      </c>
      <c r="AC369" s="769">
        <f>IFERROR(INDEX(Tabla9[],MATCH(Producción_Agricola[[#This Row],[Movimiento]],Tabla9[Movimientos],0),2),0)</f>
        <v>0</v>
      </c>
      <c r="AD369" s="770">
        <f>IFERROR(INDEX(Tabla9[],MATCH(Producción_Agricola[[#This Row],[Movimiento]],Tabla9[Movimientos],0),3),0)</f>
        <v>0</v>
      </c>
      <c r="AE369" s="765">
        <f>IF(Producción_Agricola[[#This Row],[Fecha Económico]]=0,0,MONTH(Producción_Agricola[[#This Row],[Fecha Económico]]))</f>
        <v>0</v>
      </c>
      <c r="AF369" s="766">
        <f>IF(Producción_Agricola[[#This Row],[Fecha Económico]]=0,0,YEAR(Producción_Agricola[[#This Row],[Fecha Económico]]))</f>
        <v>0</v>
      </c>
      <c r="AG369" s="771">
        <f>SUMPRODUCT((Producción_Agricola[[#This Row],[Mes Económico]]=Tipo_Cambio[Mes])*(Producción_Agricola[[#This Row],[Año Económico]]=Tipo_Cambio[Año])*(Tipo_Cambio[$/U$S]))</f>
        <v>0</v>
      </c>
      <c r="AH369" s="770">
        <f>SUMPRODUCT((Producción_Agricola[[#This Row],[Mes Económico]]=Tipo_Cambio[Mes])*(Producción_Agricola[[#This Row],[Año Económico]]=Tipo_Cambio[Año])*(Tipo_Cambio[Actualización]))</f>
        <v>0</v>
      </c>
      <c r="AI369" s="766">
        <f>IF(ISNUMBER(Producción_Agricola[[#This Row],[Fecha Financiero]])=TRUE,MONTH(Producción_Agricola[[#This Row],[Fecha Financiero]]),0)</f>
        <v>0</v>
      </c>
      <c r="AJ369" s="766">
        <f>IF(ISNUMBER(Producción_Agricola[[#This Row],[Fecha Financiero]])=TRUE,YEAR(Producción_Agricola[[#This Row],[Fecha Financiero]]),0)</f>
        <v>0</v>
      </c>
      <c r="AK369" s="771">
        <f>SUMPRODUCT((Producción_Agricola[[#This Row],[Mes Financiero]]=Tipo_Cambio[Mes])*(Producción_Agricola[[#This Row],[Año Financiero]]=Tipo_Cambio[Año])*(Tipo_Cambio[$/U$S]))</f>
        <v>0</v>
      </c>
      <c r="AL369" s="771">
        <f>SUMPRODUCT((Producción_Agricola[[#This Row],[Mes Financiero]]=Tipo_Cambio[Mes])*(Producción_Agricola[[#This Row],[Año Financiero]]=Tipo_Cambio[Año])*(Tipo_Cambio[Actualización]))</f>
        <v>0</v>
      </c>
      <c r="AM369" s="772">
        <f>IFERROR(Producción_Agricola[[#This Row],[Económico $Corrientes]]/Producción_Agricola[[#This Row],[Superficie]],0)</f>
        <v>0</v>
      </c>
      <c r="AN369" s="773">
        <f>IFERROR(Producción_Agricola[[#This Row],[Económico $Constantes]]/Producción_Agricola[[#This Row],[Superficie]],0)</f>
        <v>0</v>
      </c>
      <c r="AO369" s="773">
        <f>IFERROR(Producción_Agricola[[#This Row],[Económico U$S Dólares]]/Producción_Agricola[[#This Row],[Superficie]],0)</f>
        <v>0</v>
      </c>
      <c r="AP369" s="774">
        <f>IF(Económico!$F$4=0,0,Producción_Agricola[[#This Row],[Centro de Costo]])</f>
        <v>0</v>
      </c>
      <c r="AQ369" s="512"/>
      <c r="AR369" s="663"/>
      <c r="AS369"/>
    </row>
    <row r="370" spans="1:45" x14ac:dyDescent="0.25">
      <c r="A370" s="509"/>
      <c r="B370" s="494"/>
      <c r="C370" s="509"/>
      <c r="D370" s="478"/>
      <c r="E370" s="478"/>
      <c r="F370" s="668">
        <f t="shared" si="56"/>
        <v>0</v>
      </c>
      <c r="G370" s="673">
        <f t="shared" si="57"/>
        <v>0</v>
      </c>
      <c r="H370" s="673">
        <f t="shared" si="58"/>
        <v>0</v>
      </c>
      <c r="I370" s="687">
        <f>IFERROR(INDEX(Tabla8[],MATCH(Producción_Agricola[[#This Row],[Unidad de Negocio]],Tabla8[Unidades de Negocio],0),2),0)</f>
        <v>0</v>
      </c>
      <c r="J370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70" s="661"/>
      <c r="L370" s="482"/>
      <c r="M370" s="483"/>
      <c r="N370" s="484"/>
      <c r="O370" s="694">
        <f>Producción_Agricola[[#This Row],[Superficie]]*Producción_Agricola[[#This Row],[Cantidad]]</f>
        <v>0</v>
      </c>
      <c r="P370" s="482"/>
      <c r="Q370" s="484"/>
      <c r="R370" s="485"/>
      <c r="S370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70" s="761">
        <f>IFERROR(Producción_Agricola[[#This Row],[Económico $Corrientes]]/Producción_Agricola[[#This Row],[Indexación Económico]],0)</f>
        <v>0</v>
      </c>
      <c r="U370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70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70" s="761">
        <f>IFERROR(Producción_Agricola[[#This Row],[Financiero $Corrientes]]/Producción_Agricola[[#This Row],[Indexación Financiero]],0)</f>
        <v>0</v>
      </c>
      <c r="X370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70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70" s="766">
        <f>IFERROR(Producción_Agricola[[#This Row],[Intereses $Corrientes]]/Producción_Agricola[[#This Row],[Indexación Financiero]],0)</f>
        <v>0</v>
      </c>
      <c r="AA370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70" s="768">
        <f>IFERROR(INDEX(Produccion_Agricola_Cuentas[],MATCH(Producción_Agricola[[#This Row],[Cuenta Contable]],Produccion_Agricola_Cuentas[Cuenta Contable],0),2),0)</f>
        <v>0</v>
      </c>
      <c r="AC370" s="769">
        <f>IFERROR(INDEX(Tabla9[],MATCH(Producción_Agricola[[#This Row],[Movimiento]],Tabla9[Movimientos],0),2),0)</f>
        <v>0</v>
      </c>
      <c r="AD370" s="770">
        <f>IFERROR(INDEX(Tabla9[],MATCH(Producción_Agricola[[#This Row],[Movimiento]],Tabla9[Movimientos],0),3),0)</f>
        <v>0</v>
      </c>
      <c r="AE370" s="765">
        <f>IF(Producción_Agricola[[#This Row],[Fecha Económico]]=0,0,MONTH(Producción_Agricola[[#This Row],[Fecha Económico]]))</f>
        <v>0</v>
      </c>
      <c r="AF370" s="766">
        <f>IF(Producción_Agricola[[#This Row],[Fecha Económico]]=0,0,YEAR(Producción_Agricola[[#This Row],[Fecha Económico]]))</f>
        <v>0</v>
      </c>
      <c r="AG370" s="771">
        <f>SUMPRODUCT((Producción_Agricola[[#This Row],[Mes Económico]]=Tipo_Cambio[Mes])*(Producción_Agricola[[#This Row],[Año Económico]]=Tipo_Cambio[Año])*(Tipo_Cambio[$/U$S]))</f>
        <v>0</v>
      </c>
      <c r="AH370" s="770">
        <f>SUMPRODUCT((Producción_Agricola[[#This Row],[Mes Económico]]=Tipo_Cambio[Mes])*(Producción_Agricola[[#This Row],[Año Económico]]=Tipo_Cambio[Año])*(Tipo_Cambio[Actualización]))</f>
        <v>0</v>
      </c>
      <c r="AI370" s="766">
        <f>IF(ISNUMBER(Producción_Agricola[[#This Row],[Fecha Financiero]])=TRUE,MONTH(Producción_Agricola[[#This Row],[Fecha Financiero]]),0)</f>
        <v>0</v>
      </c>
      <c r="AJ370" s="766">
        <f>IF(ISNUMBER(Producción_Agricola[[#This Row],[Fecha Financiero]])=TRUE,YEAR(Producción_Agricola[[#This Row],[Fecha Financiero]]),0)</f>
        <v>0</v>
      </c>
      <c r="AK370" s="771">
        <f>SUMPRODUCT((Producción_Agricola[[#This Row],[Mes Financiero]]=Tipo_Cambio[Mes])*(Producción_Agricola[[#This Row],[Año Financiero]]=Tipo_Cambio[Año])*(Tipo_Cambio[$/U$S]))</f>
        <v>0</v>
      </c>
      <c r="AL370" s="771">
        <f>SUMPRODUCT((Producción_Agricola[[#This Row],[Mes Financiero]]=Tipo_Cambio[Mes])*(Producción_Agricola[[#This Row],[Año Financiero]]=Tipo_Cambio[Año])*(Tipo_Cambio[Actualización]))</f>
        <v>0</v>
      </c>
      <c r="AM370" s="772">
        <f>IFERROR(Producción_Agricola[[#This Row],[Económico $Corrientes]]/Producción_Agricola[[#This Row],[Superficie]],0)</f>
        <v>0</v>
      </c>
      <c r="AN370" s="773">
        <f>IFERROR(Producción_Agricola[[#This Row],[Económico $Constantes]]/Producción_Agricola[[#This Row],[Superficie]],0)</f>
        <v>0</v>
      </c>
      <c r="AO370" s="773">
        <f>IFERROR(Producción_Agricola[[#This Row],[Económico U$S Dólares]]/Producción_Agricola[[#This Row],[Superficie]],0)</f>
        <v>0</v>
      </c>
      <c r="AP370" s="774">
        <f>IF(Económico!$F$4=0,0,Producción_Agricola[[#This Row],[Centro de Costo]])</f>
        <v>0</v>
      </c>
      <c r="AQ370" s="512"/>
      <c r="AR370" s="663"/>
      <c r="AS370"/>
    </row>
    <row r="371" spans="1:45" x14ac:dyDescent="0.25">
      <c r="A371" s="509"/>
      <c r="B371" s="494"/>
      <c r="C371" s="509"/>
      <c r="D371" s="478"/>
      <c r="E371" s="478"/>
      <c r="F371" s="668">
        <f t="shared" si="56"/>
        <v>0</v>
      </c>
      <c r="G371" s="673">
        <f t="shared" si="57"/>
        <v>0</v>
      </c>
      <c r="H371" s="673">
        <f t="shared" si="58"/>
        <v>0</v>
      </c>
      <c r="I371" s="687">
        <f>IFERROR(INDEX(Tabla8[],MATCH(Producción_Agricola[[#This Row],[Unidad de Negocio]],Tabla8[Unidades de Negocio],0),2),0)</f>
        <v>0</v>
      </c>
      <c r="J371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71" s="661"/>
      <c r="L371" s="482"/>
      <c r="M371" s="483"/>
      <c r="N371" s="484"/>
      <c r="O371" s="694">
        <f>Producción_Agricola[[#This Row],[Superficie]]*Producción_Agricola[[#This Row],[Cantidad]]</f>
        <v>0</v>
      </c>
      <c r="P371" s="482"/>
      <c r="Q371" s="484"/>
      <c r="R371" s="485"/>
      <c r="S371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71" s="761">
        <f>IFERROR(Producción_Agricola[[#This Row],[Económico $Corrientes]]/Producción_Agricola[[#This Row],[Indexación Económico]],0)</f>
        <v>0</v>
      </c>
      <c r="U371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71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71" s="761">
        <f>IFERROR(Producción_Agricola[[#This Row],[Financiero $Corrientes]]/Producción_Agricola[[#This Row],[Indexación Financiero]],0)</f>
        <v>0</v>
      </c>
      <c r="X371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71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71" s="766">
        <f>IFERROR(Producción_Agricola[[#This Row],[Intereses $Corrientes]]/Producción_Agricola[[#This Row],[Indexación Financiero]],0)</f>
        <v>0</v>
      </c>
      <c r="AA371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71" s="768">
        <f>IFERROR(INDEX(Produccion_Agricola_Cuentas[],MATCH(Producción_Agricola[[#This Row],[Cuenta Contable]],Produccion_Agricola_Cuentas[Cuenta Contable],0),2),0)</f>
        <v>0</v>
      </c>
      <c r="AC371" s="769">
        <f>IFERROR(INDEX(Tabla9[],MATCH(Producción_Agricola[[#This Row],[Movimiento]],Tabla9[Movimientos],0),2),0)</f>
        <v>0</v>
      </c>
      <c r="AD371" s="770">
        <f>IFERROR(INDEX(Tabla9[],MATCH(Producción_Agricola[[#This Row],[Movimiento]],Tabla9[Movimientos],0),3),0)</f>
        <v>0</v>
      </c>
      <c r="AE371" s="765">
        <f>IF(Producción_Agricola[[#This Row],[Fecha Económico]]=0,0,MONTH(Producción_Agricola[[#This Row],[Fecha Económico]]))</f>
        <v>0</v>
      </c>
      <c r="AF371" s="766">
        <f>IF(Producción_Agricola[[#This Row],[Fecha Económico]]=0,0,YEAR(Producción_Agricola[[#This Row],[Fecha Económico]]))</f>
        <v>0</v>
      </c>
      <c r="AG371" s="771">
        <f>SUMPRODUCT((Producción_Agricola[[#This Row],[Mes Económico]]=Tipo_Cambio[Mes])*(Producción_Agricola[[#This Row],[Año Económico]]=Tipo_Cambio[Año])*(Tipo_Cambio[$/U$S]))</f>
        <v>0</v>
      </c>
      <c r="AH371" s="770">
        <f>SUMPRODUCT((Producción_Agricola[[#This Row],[Mes Económico]]=Tipo_Cambio[Mes])*(Producción_Agricola[[#This Row],[Año Económico]]=Tipo_Cambio[Año])*(Tipo_Cambio[Actualización]))</f>
        <v>0</v>
      </c>
      <c r="AI371" s="766">
        <f>IF(ISNUMBER(Producción_Agricola[[#This Row],[Fecha Financiero]])=TRUE,MONTH(Producción_Agricola[[#This Row],[Fecha Financiero]]),0)</f>
        <v>0</v>
      </c>
      <c r="AJ371" s="766">
        <f>IF(ISNUMBER(Producción_Agricola[[#This Row],[Fecha Financiero]])=TRUE,YEAR(Producción_Agricola[[#This Row],[Fecha Financiero]]),0)</f>
        <v>0</v>
      </c>
      <c r="AK371" s="771">
        <f>SUMPRODUCT((Producción_Agricola[[#This Row],[Mes Financiero]]=Tipo_Cambio[Mes])*(Producción_Agricola[[#This Row],[Año Financiero]]=Tipo_Cambio[Año])*(Tipo_Cambio[$/U$S]))</f>
        <v>0</v>
      </c>
      <c r="AL371" s="771">
        <f>SUMPRODUCT((Producción_Agricola[[#This Row],[Mes Financiero]]=Tipo_Cambio[Mes])*(Producción_Agricola[[#This Row],[Año Financiero]]=Tipo_Cambio[Año])*(Tipo_Cambio[Actualización]))</f>
        <v>0</v>
      </c>
      <c r="AM371" s="772">
        <f>IFERROR(Producción_Agricola[[#This Row],[Económico $Corrientes]]/Producción_Agricola[[#This Row],[Superficie]],0)</f>
        <v>0</v>
      </c>
      <c r="AN371" s="773">
        <f>IFERROR(Producción_Agricola[[#This Row],[Económico $Constantes]]/Producción_Agricola[[#This Row],[Superficie]],0)</f>
        <v>0</v>
      </c>
      <c r="AO371" s="773">
        <f>IFERROR(Producción_Agricola[[#This Row],[Económico U$S Dólares]]/Producción_Agricola[[#This Row],[Superficie]],0)</f>
        <v>0</v>
      </c>
      <c r="AP371" s="774">
        <f>IF(Económico!$F$4=0,0,Producción_Agricola[[#This Row],[Centro de Costo]])</f>
        <v>0</v>
      </c>
      <c r="AQ371" s="512"/>
      <c r="AR371" s="663"/>
      <c r="AS371"/>
    </row>
    <row r="372" spans="1:45" x14ac:dyDescent="0.25">
      <c r="A372" s="509"/>
      <c r="B372" s="494"/>
      <c r="C372" s="509"/>
      <c r="D372" s="478"/>
      <c r="E372" s="478"/>
      <c r="F372" s="668">
        <f t="shared" si="56"/>
        <v>0</v>
      </c>
      <c r="G372" s="673">
        <f t="shared" si="57"/>
        <v>0</v>
      </c>
      <c r="H372" s="673">
        <f t="shared" si="58"/>
        <v>0</v>
      </c>
      <c r="I372" s="687">
        <f>IFERROR(INDEX(Tabla8[],MATCH(Producción_Agricola[[#This Row],[Unidad de Negocio]],Tabla8[Unidades de Negocio],0),2),0)</f>
        <v>0</v>
      </c>
      <c r="J372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72" s="661"/>
      <c r="L372" s="482"/>
      <c r="M372" s="483"/>
      <c r="N372" s="484"/>
      <c r="O372" s="694">
        <f>Producción_Agricola[[#This Row],[Superficie]]*Producción_Agricola[[#This Row],[Cantidad]]</f>
        <v>0</v>
      </c>
      <c r="P372" s="482"/>
      <c r="Q372" s="484"/>
      <c r="R372" s="485"/>
      <c r="S372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72" s="761">
        <f>IFERROR(Producción_Agricola[[#This Row],[Económico $Corrientes]]/Producción_Agricola[[#This Row],[Indexación Económico]],0)</f>
        <v>0</v>
      </c>
      <c r="U372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72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72" s="761">
        <f>IFERROR(Producción_Agricola[[#This Row],[Financiero $Corrientes]]/Producción_Agricola[[#This Row],[Indexación Financiero]],0)</f>
        <v>0</v>
      </c>
      <c r="X372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72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72" s="766">
        <f>IFERROR(Producción_Agricola[[#This Row],[Intereses $Corrientes]]/Producción_Agricola[[#This Row],[Indexación Financiero]],0)</f>
        <v>0</v>
      </c>
      <c r="AA372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72" s="768">
        <f>IFERROR(INDEX(Produccion_Agricola_Cuentas[],MATCH(Producción_Agricola[[#This Row],[Cuenta Contable]],Produccion_Agricola_Cuentas[Cuenta Contable],0),2),0)</f>
        <v>0</v>
      </c>
      <c r="AC372" s="769">
        <f>IFERROR(INDEX(Tabla9[],MATCH(Producción_Agricola[[#This Row],[Movimiento]],Tabla9[Movimientos],0),2),0)</f>
        <v>0</v>
      </c>
      <c r="AD372" s="770">
        <f>IFERROR(INDEX(Tabla9[],MATCH(Producción_Agricola[[#This Row],[Movimiento]],Tabla9[Movimientos],0),3),0)</f>
        <v>0</v>
      </c>
      <c r="AE372" s="765">
        <f>IF(Producción_Agricola[[#This Row],[Fecha Económico]]=0,0,MONTH(Producción_Agricola[[#This Row],[Fecha Económico]]))</f>
        <v>0</v>
      </c>
      <c r="AF372" s="766">
        <f>IF(Producción_Agricola[[#This Row],[Fecha Económico]]=0,0,YEAR(Producción_Agricola[[#This Row],[Fecha Económico]]))</f>
        <v>0</v>
      </c>
      <c r="AG372" s="771">
        <f>SUMPRODUCT((Producción_Agricola[[#This Row],[Mes Económico]]=Tipo_Cambio[Mes])*(Producción_Agricola[[#This Row],[Año Económico]]=Tipo_Cambio[Año])*(Tipo_Cambio[$/U$S]))</f>
        <v>0</v>
      </c>
      <c r="AH372" s="770">
        <f>SUMPRODUCT((Producción_Agricola[[#This Row],[Mes Económico]]=Tipo_Cambio[Mes])*(Producción_Agricola[[#This Row],[Año Económico]]=Tipo_Cambio[Año])*(Tipo_Cambio[Actualización]))</f>
        <v>0</v>
      </c>
      <c r="AI372" s="766">
        <f>IF(ISNUMBER(Producción_Agricola[[#This Row],[Fecha Financiero]])=TRUE,MONTH(Producción_Agricola[[#This Row],[Fecha Financiero]]),0)</f>
        <v>0</v>
      </c>
      <c r="AJ372" s="766">
        <f>IF(ISNUMBER(Producción_Agricola[[#This Row],[Fecha Financiero]])=TRUE,YEAR(Producción_Agricola[[#This Row],[Fecha Financiero]]),0)</f>
        <v>0</v>
      </c>
      <c r="AK372" s="771">
        <f>SUMPRODUCT((Producción_Agricola[[#This Row],[Mes Financiero]]=Tipo_Cambio[Mes])*(Producción_Agricola[[#This Row],[Año Financiero]]=Tipo_Cambio[Año])*(Tipo_Cambio[$/U$S]))</f>
        <v>0</v>
      </c>
      <c r="AL372" s="771">
        <f>SUMPRODUCT((Producción_Agricola[[#This Row],[Mes Financiero]]=Tipo_Cambio[Mes])*(Producción_Agricola[[#This Row],[Año Financiero]]=Tipo_Cambio[Año])*(Tipo_Cambio[Actualización]))</f>
        <v>0</v>
      </c>
      <c r="AM372" s="772">
        <f>IFERROR(Producción_Agricola[[#This Row],[Económico $Corrientes]]/Producción_Agricola[[#This Row],[Superficie]],0)</f>
        <v>0</v>
      </c>
      <c r="AN372" s="773">
        <f>IFERROR(Producción_Agricola[[#This Row],[Económico $Constantes]]/Producción_Agricola[[#This Row],[Superficie]],0)</f>
        <v>0</v>
      </c>
      <c r="AO372" s="773">
        <f>IFERROR(Producción_Agricola[[#This Row],[Económico U$S Dólares]]/Producción_Agricola[[#This Row],[Superficie]],0)</f>
        <v>0</v>
      </c>
      <c r="AP372" s="774">
        <f>IF(Económico!$F$4=0,0,Producción_Agricola[[#This Row],[Centro de Costo]])</f>
        <v>0</v>
      </c>
      <c r="AQ372" s="512"/>
      <c r="AR372" s="663"/>
      <c r="AS372"/>
    </row>
    <row r="373" spans="1:45" x14ac:dyDescent="0.25">
      <c r="A373" s="509"/>
      <c r="B373" s="494"/>
      <c r="C373" s="509"/>
      <c r="D373" s="478"/>
      <c r="E373" s="478"/>
      <c r="F373" s="668">
        <f t="shared" si="56"/>
        <v>0</v>
      </c>
      <c r="G373" s="673">
        <f t="shared" si="57"/>
        <v>0</v>
      </c>
      <c r="H373" s="673">
        <f t="shared" si="58"/>
        <v>0</v>
      </c>
      <c r="I373" s="687">
        <f>IFERROR(INDEX(Tabla8[],MATCH(Producción_Agricola[[#This Row],[Unidad de Negocio]],Tabla8[Unidades de Negocio],0),2),0)</f>
        <v>0</v>
      </c>
      <c r="J373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73" s="661"/>
      <c r="L373" s="482"/>
      <c r="M373" s="483"/>
      <c r="N373" s="484"/>
      <c r="O373" s="694">
        <f>Producción_Agricola[[#This Row],[Superficie]]*Producción_Agricola[[#This Row],[Cantidad]]</f>
        <v>0</v>
      </c>
      <c r="P373" s="482"/>
      <c r="Q373" s="484"/>
      <c r="R373" s="485"/>
      <c r="S373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73" s="761">
        <f>IFERROR(Producción_Agricola[[#This Row],[Económico $Corrientes]]/Producción_Agricola[[#This Row],[Indexación Económico]],0)</f>
        <v>0</v>
      </c>
      <c r="U373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73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73" s="761">
        <f>IFERROR(Producción_Agricola[[#This Row],[Financiero $Corrientes]]/Producción_Agricola[[#This Row],[Indexación Financiero]],0)</f>
        <v>0</v>
      </c>
      <c r="X373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73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73" s="766">
        <f>IFERROR(Producción_Agricola[[#This Row],[Intereses $Corrientes]]/Producción_Agricola[[#This Row],[Indexación Financiero]],0)</f>
        <v>0</v>
      </c>
      <c r="AA373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73" s="768">
        <f>IFERROR(INDEX(Produccion_Agricola_Cuentas[],MATCH(Producción_Agricola[[#This Row],[Cuenta Contable]],Produccion_Agricola_Cuentas[Cuenta Contable],0),2),0)</f>
        <v>0</v>
      </c>
      <c r="AC373" s="769">
        <f>IFERROR(INDEX(Tabla9[],MATCH(Producción_Agricola[[#This Row],[Movimiento]],Tabla9[Movimientos],0),2),0)</f>
        <v>0</v>
      </c>
      <c r="AD373" s="770">
        <f>IFERROR(INDEX(Tabla9[],MATCH(Producción_Agricola[[#This Row],[Movimiento]],Tabla9[Movimientos],0),3),0)</f>
        <v>0</v>
      </c>
      <c r="AE373" s="765">
        <f>IF(Producción_Agricola[[#This Row],[Fecha Económico]]=0,0,MONTH(Producción_Agricola[[#This Row],[Fecha Económico]]))</f>
        <v>0</v>
      </c>
      <c r="AF373" s="766">
        <f>IF(Producción_Agricola[[#This Row],[Fecha Económico]]=0,0,YEAR(Producción_Agricola[[#This Row],[Fecha Económico]]))</f>
        <v>0</v>
      </c>
      <c r="AG373" s="771">
        <f>SUMPRODUCT((Producción_Agricola[[#This Row],[Mes Económico]]=Tipo_Cambio[Mes])*(Producción_Agricola[[#This Row],[Año Económico]]=Tipo_Cambio[Año])*(Tipo_Cambio[$/U$S]))</f>
        <v>0</v>
      </c>
      <c r="AH373" s="770">
        <f>SUMPRODUCT((Producción_Agricola[[#This Row],[Mes Económico]]=Tipo_Cambio[Mes])*(Producción_Agricola[[#This Row],[Año Económico]]=Tipo_Cambio[Año])*(Tipo_Cambio[Actualización]))</f>
        <v>0</v>
      </c>
      <c r="AI373" s="766">
        <f>IF(ISNUMBER(Producción_Agricola[[#This Row],[Fecha Financiero]])=TRUE,MONTH(Producción_Agricola[[#This Row],[Fecha Financiero]]),0)</f>
        <v>0</v>
      </c>
      <c r="AJ373" s="766">
        <f>IF(ISNUMBER(Producción_Agricola[[#This Row],[Fecha Financiero]])=TRUE,YEAR(Producción_Agricola[[#This Row],[Fecha Financiero]]),0)</f>
        <v>0</v>
      </c>
      <c r="AK373" s="771">
        <f>SUMPRODUCT((Producción_Agricola[[#This Row],[Mes Financiero]]=Tipo_Cambio[Mes])*(Producción_Agricola[[#This Row],[Año Financiero]]=Tipo_Cambio[Año])*(Tipo_Cambio[$/U$S]))</f>
        <v>0</v>
      </c>
      <c r="AL373" s="771">
        <f>SUMPRODUCT((Producción_Agricola[[#This Row],[Mes Financiero]]=Tipo_Cambio[Mes])*(Producción_Agricola[[#This Row],[Año Financiero]]=Tipo_Cambio[Año])*(Tipo_Cambio[Actualización]))</f>
        <v>0</v>
      </c>
      <c r="AM373" s="772">
        <f>IFERROR(Producción_Agricola[[#This Row],[Económico $Corrientes]]/Producción_Agricola[[#This Row],[Superficie]],0)</f>
        <v>0</v>
      </c>
      <c r="AN373" s="773">
        <f>IFERROR(Producción_Agricola[[#This Row],[Económico $Constantes]]/Producción_Agricola[[#This Row],[Superficie]],0)</f>
        <v>0</v>
      </c>
      <c r="AO373" s="773">
        <f>IFERROR(Producción_Agricola[[#This Row],[Económico U$S Dólares]]/Producción_Agricola[[#This Row],[Superficie]],0)</f>
        <v>0</v>
      </c>
      <c r="AP373" s="774">
        <f>IF(Económico!$F$4=0,0,Producción_Agricola[[#This Row],[Centro de Costo]])</f>
        <v>0</v>
      </c>
      <c r="AQ373" s="512"/>
      <c r="AR373" s="663"/>
      <c r="AS373"/>
    </row>
    <row r="374" spans="1:45" x14ac:dyDescent="0.25">
      <c r="A374" s="509"/>
      <c r="B374" s="494"/>
      <c r="C374" s="509"/>
      <c r="D374" s="478"/>
      <c r="E374" s="478"/>
      <c r="F374" s="668">
        <f t="shared" si="56"/>
        <v>0</v>
      </c>
      <c r="G374" s="673">
        <f t="shared" si="57"/>
        <v>0</v>
      </c>
      <c r="H374" s="673">
        <f t="shared" si="58"/>
        <v>0</v>
      </c>
      <c r="I374" s="687">
        <f>IFERROR(INDEX(Tabla8[],MATCH(Producción_Agricola[[#This Row],[Unidad de Negocio]],Tabla8[Unidades de Negocio],0),2),0)</f>
        <v>0</v>
      </c>
      <c r="J374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74" s="661"/>
      <c r="L374" s="482"/>
      <c r="M374" s="483"/>
      <c r="N374" s="484"/>
      <c r="O374" s="694">
        <f>Producción_Agricola[[#This Row],[Superficie]]*Producción_Agricola[[#This Row],[Cantidad]]</f>
        <v>0</v>
      </c>
      <c r="P374" s="482"/>
      <c r="Q374" s="484"/>
      <c r="R374" s="485"/>
      <c r="S374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74" s="761">
        <f>IFERROR(Producción_Agricola[[#This Row],[Económico $Corrientes]]/Producción_Agricola[[#This Row],[Indexación Económico]],0)</f>
        <v>0</v>
      </c>
      <c r="U374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74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74" s="761">
        <f>IFERROR(Producción_Agricola[[#This Row],[Financiero $Corrientes]]/Producción_Agricola[[#This Row],[Indexación Financiero]],0)</f>
        <v>0</v>
      </c>
      <c r="X374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74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74" s="766">
        <f>IFERROR(Producción_Agricola[[#This Row],[Intereses $Corrientes]]/Producción_Agricola[[#This Row],[Indexación Financiero]],0)</f>
        <v>0</v>
      </c>
      <c r="AA374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74" s="768">
        <f>IFERROR(INDEX(Produccion_Agricola_Cuentas[],MATCH(Producción_Agricola[[#This Row],[Cuenta Contable]],Produccion_Agricola_Cuentas[Cuenta Contable],0),2),0)</f>
        <v>0</v>
      </c>
      <c r="AC374" s="769">
        <f>IFERROR(INDEX(Tabla9[],MATCH(Producción_Agricola[[#This Row],[Movimiento]],Tabla9[Movimientos],0),2),0)</f>
        <v>0</v>
      </c>
      <c r="AD374" s="770">
        <f>IFERROR(INDEX(Tabla9[],MATCH(Producción_Agricola[[#This Row],[Movimiento]],Tabla9[Movimientos],0),3),0)</f>
        <v>0</v>
      </c>
      <c r="AE374" s="765">
        <f>IF(Producción_Agricola[[#This Row],[Fecha Económico]]=0,0,MONTH(Producción_Agricola[[#This Row],[Fecha Económico]]))</f>
        <v>0</v>
      </c>
      <c r="AF374" s="766">
        <f>IF(Producción_Agricola[[#This Row],[Fecha Económico]]=0,0,YEAR(Producción_Agricola[[#This Row],[Fecha Económico]]))</f>
        <v>0</v>
      </c>
      <c r="AG374" s="771">
        <f>SUMPRODUCT((Producción_Agricola[[#This Row],[Mes Económico]]=Tipo_Cambio[Mes])*(Producción_Agricola[[#This Row],[Año Económico]]=Tipo_Cambio[Año])*(Tipo_Cambio[$/U$S]))</f>
        <v>0</v>
      </c>
      <c r="AH374" s="770">
        <f>SUMPRODUCT((Producción_Agricola[[#This Row],[Mes Económico]]=Tipo_Cambio[Mes])*(Producción_Agricola[[#This Row],[Año Económico]]=Tipo_Cambio[Año])*(Tipo_Cambio[Actualización]))</f>
        <v>0</v>
      </c>
      <c r="AI374" s="766">
        <f>IF(ISNUMBER(Producción_Agricola[[#This Row],[Fecha Financiero]])=TRUE,MONTH(Producción_Agricola[[#This Row],[Fecha Financiero]]),0)</f>
        <v>0</v>
      </c>
      <c r="AJ374" s="766">
        <f>IF(ISNUMBER(Producción_Agricola[[#This Row],[Fecha Financiero]])=TRUE,YEAR(Producción_Agricola[[#This Row],[Fecha Financiero]]),0)</f>
        <v>0</v>
      </c>
      <c r="AK374" s="771">
        <f>SUMPRODUCT((Producción_Agricola[[#This Row],[Mes Financiero]]=Tipo_Cambio[Mes])*(Producción_Agricola[[#This Row],[Año Financiero]]=Tipo_Cambio[Año])*(Tipo_Cambio[$/U$S]))</f>
        <v>0</v>
      </c>
      <c r="AL374" s="771">
        <f>SUMPRODUCT((Producción_Agricola[[#This Row],[Mes Financiero]]=Tipo_Cambio[Mes])*(Producción_Agricola[[#This Row],[Año Financiero]]=Tipo_Cambio[Año])*(Tipo_Cambio[Actualización]))</f>
        <v>0</v>
      </c>
      <c r="AM374" s="772">
        <f>IFERROR(Producción_Agricola[[#This Row],[Económico $Corrientes]]/Producción_Agricola[[#This Row],[Superficie]],0)</f>
        <v>0</v>
      </c>
      <c r="AN374" s="773">
        <f>IFERROR(Producción_Agricola[[#This Row],[Económico $Constantes]]/Producción_Agricola[[#This Row],[Superficie]],0)</f>
        <v>0</v>
      </c>
      <c r="AO374" s="773">
        <f>IFERROR(Producción_Agricola[[#This Row],[Económico U$S Dólares]]/Producción_Agricola[[#This Row],[Superficie]],0)</f>
        <v>0</v>
      </c>
      <c r="AP374" s="774">
        <f>IF(Económico!$F$4=0,0,Producción_Agricola[[#This Row],[Centro de Costo]])</f>
        <v>0</v>
      </c>
      <c r="AQ374" s="512"/>
      <c r="AR374" s="663"/>
      <c r="AS374"/>
    </row>
    <row r="375" spans="1:45" x14ac:dyDescent="0.25">
      <c r="A375" s="509"/>
      <c r="B375" s="494"/>
      <c r="C375" s="509"/>
      <c r="D375" s="478"/>
      <c r="E375" s="478"/>
      <c r="F375" s="668">
        <f t="shared" si="56"/>
        <v>0</v>
      </c>
      <c r="G375" s="673">
        <f t="shared" si="57"/>
        <v>0</v>
      </c>
      <c r="H375" s="673">
        <f t="shared" si="58"/>
        <v>0</v>
      </c>
      <c r="I375" s="687">
        <f>IFERROR(INDEX(Tabla8[],MATCH(Producción_Agricola[[#This Row],[Unidad de Negocio]],Tabla8[Unidades de Negocio],0),2),0)</f>
        <v>0</v>
      </c>
      <c r="J375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75" s="661"/>
      <c r="L375" s="482"/>
      <c r="M375" s="483"/>
      <c r="N375" s="484"/>
      <c r="O375" s="694">
        <f>Producción_Agricola[[#This Row],[Superficie]]*Producción_Agricola[[#This Row],[Cantidad]]</f>
        <v>0</v>
      </c>
      <c r="P375" s="482"/>
      <c r="Q375" s="484"/>
      <c r="R375" s="485"/>
      <c r="S375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75" s="761">
        <f>IFERROR(Producción_Agricola[[#This Row],[Económico $Corrientes]]/Producción_Agricola[[#This Row],[Indexación Económico]],0)</f>
        <v>0</v>
      </c>
      <c r="U375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75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75" s="761">
        <f>IFERROR(Producción_Agricola[[#This Row],[Financiero $Corrientes]]/Producción_Agricola[[#This Row],[Indexación Financiero]],0)</f>
        <v>0</v>
      </c>
      <c r="X375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75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75" s="766">
        <f>IFERROR(Producción_Agricola[[#This Row],[Intereses $Corrientes]]/Producción_Agricola[[#This Row],[Indexación Financiero]],0)</f>
        <v>0</v>
      </c>
      <c r="AA375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75" s="768">
        <f>IFERROR(INDEX(Produccion_Agricola_Cuentas[],MATCH(Producción_Agricola[[#This Row],[Cuenta Contable]],Produccion_Agricola_Cuentas[Cuenta Contable],0),2),0)</f>
        <v>0</v>
      </c>
      <c r="AC375" s="769">
        <f>IFERROR(INDEX(Tabla9[],MATCH(Producción_Agricola[[#This Row],[Movimiento]],Tabla9[Movimientos],0),2),0)</f>
        <v>0</v>
      </c>
      <c r="AD375" s="770">
        <f>IFERROR(INDEX(Tabla9[],MATCH(Producción_Agricola[[#This Row],[Movimiento]],Tabla9[Movimientos],0),3),0)</f>
        <v>0</v>
      </c>
      <c r="AE375" s="765">
        <f>IF(Producción_Agricola[[#This Row],[Fecha Económico]]=0,0,MONTH(Producción_Agricola[[#This Row],[Fecha Económico]]))</f>
        <v>0</v>
      </c>
      <c r="AF375" s="766">
        <f>IF(Producción_Agricola[[#This Row],[Fecha Económico]]=0,0,YEAR(Producción_Agricola[[#This Row],[Fecha Económico]]))</f>
        <v>0</v>
      </c>
      <c r="AG375" s="771">
        <f>SUMPRODUCT((Producción_Agricola[[#This Row],[Mes Económico]]=Tipo_Cambio[Mes])*(Producción_Agricola[[#This Row],[Año Económico]]=Tipo_Cambio[Año])*(Tipo_Cambio[$/U$S]))</f>
        <v>0</v>
      </c>
      <c r="AH375" s="770">
        <f>SUMPRODUCT((Producción_Agricola[[#This Row],[Mes Económico]]=Tipo_Cambio[Mes])*(Producción_Agricola[[#This Row],[Año Económico]]=Tipo_Cambio[Año])*(Tipo_Cambio[Actualización]))</f>
        <v>0</v>
      </c>
      <c r="AI375" s="766">
        <f>IF(ISNUMBER(Producción_Agricola[[#This Row],[Fecha Financiero]])=TRUE,MONTH(Producción_Agricola[[#This Row],[Fecha Financiero]]),0)</f>
        <v>0</v>
      </c>
      <c r="AJ375" s="766">
        <f>IF(ISNUMBER(Producción_Agricola[[#This Row],[Fecha Financiero]])=TRUE,YEAR(Producción_Agricola[[#This Row],[Fecha Financiero]]),0)</f>
        <v>0</v>
      </c>
      <c r="AK375" s="771">
        <f>SUMPRODUCT((Producción_Agricola[[#This Row],[Mes Financiero]]=Tipo_Cambio[Mes])*(Producción_Agricola[[#This Row],[Año Financiero]]=Tipo_Cambio[Año])*(Tipo_Cambio[$/U$S]))</f>
        <v>0</v>
      </c>
      <c r="AL375" s="771">
        <f>SUMPRODUCT((Producción_Agricola[[#This Row],[Mes Financiero]]=Tipo_Cambio[Mes])*(Producción_Agricola[[#This Row],[Año Financiero]]=Tipo_Cambio[Año])*(Tipo_Cambio[Actualización]))</f>
        <v>0</v>
      </c>
      <c r="AM375" s="772">
        <f>IFERROR(Producción_Agricola[[#This Row],[Económico $Corrientes]]/Producción_Agricola[[#This Row],[Superficie]],0)</f>
        <v>0</v>
      </c>
      <c r="AN375" s="773">
        <f>IFERROR(Producción_Agricola[[#This Row],[Económico $Constantes]]/Producción_Agricola[[#This Row],[Superficie]],0)</f>
        <v>0</v>
      </c>
      <c r="AO375" s="773">
        <f>IFERROR(Producción_Agricola[[#This Row],[Económico U$S Dólares]]/Producción_Agricola[[#This Row],[Superficie]],0)</f>
        <v>0</v>
      </c>
      <c r="AP375" s="774">
        <f>IF(Económico!$F$4=0,0,Producción_Agricola[[#This Row],[Centro de Costo]])</f>
        <v>0</v>
      </c>
      <c r="AQ375" s="512"/>
      <c r="AR375" s="663"/>
      <c r="AS375"/>
    </row>
    <row r="376" spans="1:45" x14ac:dyDescent="0.25">
      <c r="A376" s="509"/>
      <c r="B376" s="494"/>
      <c r="C376" s="509"/>
      <c r="D376" s="478"/>
      <c r="E376" s="478"/>
      <c r="F376" s="668">
        <f t="shared" si="56"/>
        <v>0</v>
      </c>
      <c r="G376" s="673">
        <f t="shared" si="57"/>
        <v>0</v>
      </c>
      <c r="H376" s="673">
        <f t="shared" si="58"/>
        <v>0</v>
      </c>
      <c r="I376" s="687">
        <f>IFERROR(INDEX(Tabla8[],MATCH(Producción_Agricola[[#This Row],[Unidad de Negocio]],Tabla8[Unidades de Negocio],0),2),0)</f>
        <v>0</v>
      </c>
      <c r="J376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76" s="661"/>
      <c r="L376" s="482"/>
      <c r="M376" s="483"/>
      <c r="N376" s="484"/>
      <c r="O376" s="694">
        <f>Producción_Agricola[[#This Row],[Superficie]]*Producción_Agricola[[#This Row],[Cantidad]]</f>
        <v>0</v>
      </c>
      <c r="P376" s="482"/>
      <c r="Q376" s="484"/>
      <c r="R376" s="485"/>
      <c r="S376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76" s="761">
        <f>IFERROR(Producción_Agricola[[#This Row],[Económico $Corrientes]]/Producción_Agricola[[#This Row],[Indexación Económico]],0)</f>
        <v>0</v>
      </c>
      <c r="U376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76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76" s="761">
        <f>IFERROR(Producción_Agricola[[#This Row],[Financiero $Corrientes]]/Producción_Agricola[[#This Row],[Indexación Financiero]],0)</f>
        <v>0</v>
      </c>
      <c r="X376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76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76" s="766">
        <f>IFERROR(Producción_Agricola[[#This Row],[Intereses $Corrientes]]/Producción_Agricola[[#This Row],[Indexación Financiero]],0)</f>
        <v>0</v>
      </c>
      <c r="AA376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76" s="768">
        <f>IFERROR(INDEX(Produccion_Agricola_Cuentas[],MATCH(Producción_Agricola[[#This Row],[Cuenta Contable]],Produccion_Agricola_Cuentas[Cuenta Contable],0),2),0)</f>
        <v>0</v>
      </c>
      <c r="AC376" s="769">
        <f>IFERROR(INDEX(Tabla9[],MATCH(Producción_Agricola[[#This Row],[Movimiento]],Tabla9[Movimientos],0),2),0)</f>
        <v>0</v>
      </c>
      <c r="AD376" s="770">
        <f>IFERROR(INDEX(Tabla9[],MATCH(Producción_Agricola[[#This Row],[Movimiento]],Tabla9[Movimientos],0),3),0)</f>
        <v>0</v>
      </c>
      <c r="AE376" s="765">
        <f>IF(Producción_Agricola[[#This Row],[Fecha Económico]]=0,0,MONTH(Producción_Agricola[[#This Row],[Fecha Económico]]))</f>
        <v>0</v>
      </c>
      <c r="AF376" s="766">
        <f>IF(Producción_Agricola[[#This Row],[Fecha Económico]]=0,0,YEAR(Producción_Agricola[[#This Row],[Fecha Económico]]))</f>
        <v>0</v>
      </c>
      <c r="AG376" s="771">
        <f>SUMPRODUCT((Producción_Agricola[[#This Row],[Mes Económico]]=Tipo_Cambio[Mes])*(Producción_Agricola[[#This Row],[Año Económico]]=Tipo_Cambio[Año])*(Tipo_Cambio[$/U$S]))</f>
        <v>0</v>
      </c>
      <c r="AH376" s="770">
        <f>SUMPRODUCT((Producción_Agricola[[#This Row],[Mes Económico]]=Tipo_Cambio[Mes])*(Producción_Agricola[[#This Row],[Año Económico]]=Tipo_Cambio[Año])*(Tipo_Cambio[Actualización]))</f>
        <v>0</v>
      </c>
      <c r="AI376" s="766">
        <f>IF(ISNUMBER(Producción_Agricola[[#This Row],[Fecha Financiero]])=TRUE,MONTH(Producción_Agricola[[#This Row],[Fecha Financiero]]),0)</f>
        <v>0</v>
      </c>
      <c r="AJ376" s="766">
        <f>IF(ISNUMBER(Producción_Agricola[[#This Row],[Fecha Financiero]])=TRUE,YEAR(Producción_Agricola[[#This Row],[Fecha Financiero]]),0)</f>
        <v>0</v>
      </c>
      <c r="AK376" s="771">
        <f>SUMPRODUCT((Producción_Agricola[[#This Row],[Mes Financiero]]=Tipo_Cambio[Mes])*(Producción_Agricola[[#This Row],[Año Financiero]]=Tipo_Cambio[Año])*(Tipo_Cambio[$/U$S]))</f>
        <v>0</v>
      </c>
      <c r="AL376" s="771">
        <f>SUMPRODUCT((Producción_Agricola[[#This Row],[Mes Financiero]]=Tipo_Cambio[Mes])*(Producción_Agricola[[#This Row],[Año Financiero]]=Tipo_Cambio[Año])*(Tipo_Cambio[Actualización]))</f>
        <v>0</v>
      </c>
      <c r="AM376" s="772">
        <f>IFERROR(Producción_Agricola[[#This Row],[Económico $Corrientes]]/Producción_Agricola[[#This Row],[Superficie]],0)</f>
        <v>0</v>
      </c>
      <c r="AN376" s="773">
        <f>IFERROR(Producción_Agricola[[#This Row],[Económico $Constantes]]/Producción_Agricola[[#This Row],[Superficie]],0)</f>
        <v>0</v>
      </c>
      <c r="AO376" s="773">
        <f>IFERROR(Producción_Agricola[[#This Row],[Económico U$S Dólares]]/Producción_Agricola[[#This Row],[Superficie]],0)</f>
        <v>0</v>
      </c>
      <c r="AP376" s="774">
        <f>IF(Económico!$F$4=0,0,Producción_Agricola[[#This Row],[Centro de Costo]])</f>
        <v>0</v>
      </c>
      <c r="AQ376" s="512"/>
      <c r="AR376" s="663"/>
      <c r="AS376"/>
    </row>
    <row r="377" spans="1:45" x14ac:dyDescent="0.25">
      <c r="A377" s="509"/>
      <c r="B377" s="494"/>
      <c r="C377" s="509"/>
      <c r="D377" s="478"/>
      <c r="E377" s="478"/>
      <c r="F377" s="668">
        <f t="shared" si="56"/>
        <v>0</v>
      </c>
      <c r="G377" s="673">
        <f t="shared" si="57"/>
        <v>0</v>
      </c>
      <c r="H377" s="673">
        <f t="shared" si="58"/>
        <v>0</v>
      </c>
      <c r="I377" s="687">
        <f>IFERROR(INDEX(Tabla8[],MATCH(Producción_Agricola[[#This Row],[Unidad de Negocio]],Tabla8[Unidades de Negocio],0),2),0)</f>
        <v>0</v>
      </c>
      <c r="J377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77" s="661"/>
      <c r="L377" s="482"/>
      <c r="M377" s="483"/>
      <c r="N377" s="484"/>
      <c r="O377" s="694">
        <f>Producción_Agricola[[#This Row],[Superficie]]*Producción_Agricola[[#This Row],[Cantidad]]</f>
        <v>0</v>
      </c>
      <c r="P377" s="482"/>
      <c r="Q377" s="484"/>
      <c r="R377" s="485"/>
      <c r="S377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77" s="761">
        <f>IFERROR(Producción_Agricola[[#This Row],[Económico $Corrientes]]/Producción_Agricola[[#This Row],[Indexación Económico]],0)</f>
        <v>0</v>
      </c>
      <c r="U377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77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77" s="761">
        <f>IFERROR(Producción_Agricola[[#This Row],[Financiero $Corrientes]]/Producción_Agricola[[#This Row],[Indexación Financiero]],0)</f>
        <v>0</v>
      </c>
      <c r="X377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77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77" s="766">
        <f>IFERROR(Producción_Agricola[[#This Row],[Intereses $Corrientes]]/Producción_Agricola[[#This Row],[Indexación Financiero]],0)</f>
        <v>0</v>
      </c>
      <c r="AA377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77" s="768">
        <f>IFERROR(INDEX(Produccion_Agricola_Cuentas[],MATCH(Producción_Agricola[[#This Row],[Cuenta Contable]],Produccion_Agricola_Cuentas[Cuenta Contable],0),2),0)</f>
        <v>0</v>
      </c>
      <c r="AC377" s="769">
        <f>IFERROR(INDEX(Tabla9[],MATCH(Producción_Agricola[[#This Row],[Movimiento]],Tabla9[Movimientos],0),2),0)</f>
        <v>0</v>
      </c>
      <c r="AD377" s="770">
        <f>IFERROR(INDEX(Tabla9[],MATCH(Producción_Agricola[[#This Row],[Movimiento]],Tabla9[Movimientos],0),3),0)</f>
        <v>0</v>
      </c>
      <c r="AE377" s="765">
        <f>IF(Producción_Agricola[[#This Row],[Fecha Económico]]=0,0,MONTH(Producción_Agricola[[#This Row],[Fecha Económico]]))</f>
        <v>0</v>
      </c>
      <c r="AF377" s="766">
        <f>IF(Producción_Agricola[[#This Row],[Fecha Económico]]=0,0,YEAR(Producción_Agricola[[#This Row],[Fecha Económico]]))</f>
        <v>0</v>
      </c>
      <c r="AG377" s="771">
        <f>SUMPRODUCT((Producción_Agricola[[#This Row],[Mes Económico]]=Tipo_Cambio[Mes])*(Producción_Agricola[[#This Row],[Año Económico]]=Tipo_Cambio[Año])*(Tipo_Cambio[$/U$S]))</f>
        <v>0</v>
      </c>
      <c r="AH377" s="770">
        <f>SUMPRODUCT((Producción_Agricola[[#This Row],[Mes Económico]]=Tipo_Cambio[Mes])*(Producción_Agricola[[#This Row],[Año Económico]]=Tipo_Cambio[Año])*(Tipo_Cambio[Actualización]))</f>
        <v>0</v>
      </c>
      <c r="AI377" s="766">
        <f>IF(ISNUMBER(Producción_Agricola[[#This Row],[Fecha Financiero]])=TRUE,MONTH(Producción_Agricola[[#This Row],[Fecha Financiero]]),0)</f>
        <v>0</v>
      </c>
      <c r="AJ377" s="766">
        <f>IF(ISNUMBER(Producción_Agricola[[#This Row],[Fecha Financiero]])=TRUE,YEAR(Producción_Agricola[[#This Row],[Fecha Financiero]]),0)</f>
        <v>0</v>
      </c>
      <c r="AK377" s="771">
        <f>SUMPRODUCT((Producción_Agricola[[#This Row],[Mes Financiero]]=Tipo_Cambio[Mes])*(Producción_Agricola[[#This Row],[Año Financiero]]=Tipo_Cambio[Año])*(Tipo_Cambio[$/U$S]))</f>
        <v>0</v>
      </c>
      <c r="AL377" s="771">
        <f>SUMPRODUCT((Producción_Agricola[[#This Row],[Mes Financiero]]=Tipo_Cambio[Mes])*(Producción_Agricola[[#This Row],[Año Financiero]]=Tipo_Cambio[Año])*(Tipo_Cambio[Actualización]))</f>
        <v>0</v>
      </c>
      <c r="AM377" s="772">
        <f>IFERROR(Producción_Agricola[[#This Row],[Económico $Corrientes]]/Producción_Agricola[[#This Row],[Superficie]],0)</f>
        <v>0</v>
      </c>
      <c r="AN377" s="773">
        <f>IFERROR(Producción_Agricola[[#This Row],[Económico $Constantes]]/Producción_Agricola[[#This Row],[Superficie]],0)</f>
        <v>0</v>
      </c>
      <c r="AO377" s="773">
        <f>IFERROR(Producción_Agricola[[#This Row],[Económico U$S Dólares]]/Producción_Agricola[[#This Row],[Superficie]],0)</f>
        <v>0</v>
      </c>
      <c r="AP377" s="774">
        <f>IF(Económico!$F$4=0,0,Producción_Agricola[[#This Row],[Centro de Costo]])</f>
        <v>0</v>
      </c>
      <c r="AQ377" s="512"/>
      <c r="AR377" s="663"/>
      <c r="AS377"/>
    </row>
    <row r="378" spans="1:45" x14ac:dyDescent="0.25">
      <c r="A378" s="509"/>
      <c r="B378" s="494"/>
      <c r="C378" s="509"/>
      <c r="D378" s="478"/>
      <c r="E378" s="478"/>
      <c r="F378" s="668">
        <f t="shared" si="56"/>
        <v>0</v>
      </c>
      <c r="G378" s="673">
        <f t="shared" si="57"/>
        <v>0</v>
      </c>
      <c r="H378" s="673">
        <f t="shared" si="58"/>
        <v>0</v>
      </c>
      <c r="I378" s="687">
        <f>IFERROR(INDEX(Tabla8[],MATCH(Producción_Agricola[[#This Row],[Unidad de Negocio]],Tabla8[Unidades de Negocio],0),2),0)</f>
        <v>0</v>
      </c>
      <c r="J378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78" s="661"/>
      <c r="L378" s="482"/>
      <c r="M378" s="483"/>
      <c r="N378" s="484"/>
      <c r="O378" s="694">
        <f>Producción_Agricola[[#This Row],[Superficie]]*Producción_Agricola[[#This Row],[Cantidad]]</f>
        <v>0</v>
      </c>
      <c r="P378" s="482"/>
      <c r="Q378" s="484"/>
      <c r="R378" s="485"/>
      <c r="S378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78" s="761">
        <f>IFERROR(Producción_Agricola[[#This Row],[Económico $Corrientes]]/Producción_Agricola[[#This Row],[Indexación Económico]],0)</f>
        <v>0</v>
      </c>
      <c r="U378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78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78" s="761">
        <f>IFERROR(Producción_Agricola[[#This Row],[Financiero $Corrientes]]/Producción_Agricola[[#This Row],[Indexación Financiero]],0)</f>
        <v>0</v>
      </c>
      <c r="X378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78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78" s="766">
        <f>IFERROR(Producción_Agricola[[#This Row],[Intereses $Corrientes]]/Producción_Agricola[[#This Row],[Indexación Financiero]],0)</f>
        <v>0</v>
      </c>
      <c r="AA378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78" s="768">
        <f>IFERROR(INDEX(Produccion_Agricola_Cuentas[],MATCH(Producción_Agricola[[#This Row],[Cuenta Contable]],Produccion_Agricola_Cuentas[Cuenta Contable],0),2),0)</f>
        <v>0</v>
      </c>
      <c r="AC378" s="769">
        <f>IFERROR(INDEX(Tabla9[],MATCH(Producción_Agricola[[#This Row],[Movimiento]],Tabla9[Movimientos],0),2),0)</f>
        <v>0</v>
      </c>
      <c r="AD378" s="770">
        <f>IFERROR(INDEX(Tabla9[],MATCH(Producción_Agricola[[#This Row],[Movimiento]],Tabla9[Movimientos],0),3),0)</f>
        <v>0</v>
      </c>
      <c r="AE378" s="765">
        <f>IF(Producción_Agricola[[#This Row],[Fecha Económico]]=0,0,MONTH(Producción_Agricola[[#This Row],[Fecha Económico]]))</f>
        <v>0</v>
      </c>
      <c r="AF378" s="766">
        <f>IF(Producción_Agricola[[#This Row],[Fecha Económico]]=0,0,YEAR(Producción_Agricola[[#This Row],[Fecha Económico]]))</f>
        <v>0</v>
      </c>
      <c r="AG378" s="771">
        <f>SUMPRODUCT((Producción_Agricola[[#This Row],[Mes Económico]]=Tipo_Cambio[Mes])*(Producción_Agricola[[#This Row],[Año Económico]]=Tipo_Cambio[Año])*(Tipo_Cambio[$/U$S]))</f>
        <v>0</v>
      </c>
      <c r="AH378" s="770">
        <f>SUMPRODUCT((Producción_Agricola[[#This Row],[Mes Económico]]=Tipo_Cambio[Mes])*(Producción_Agricola[[#This Row],[Año Económico]]=Tipo_Cambio[Año])*(Tipo_Cambio[Actualización]))</f>
        <v>0</v>
      </c>
      <c r="AI378" s="766">
        <f>IF(ISNUMBER(Producción_Agricola[[#This Row],[Fecha Financiero]])=TRUE,MONTH(Producción_Agricola[[#This Row],[Fecha Financiero]]),0)</f>
        <v>0</v>
      </c>
      <c r="AJ378" s="766">
        <f>IF(ISNUMBER(Producción_Agricola[[#This Row],[Fecha Financiero]])=TRUE,YEAR(Producción_Agricola[[#This Row],[Fecha Financiero]]),0)</f>
        <v>0</v>
      </c>
      <c r="AK378" s="771">
        <f>SUMPRODUCT((Producción_Agricola[[#This Row],[Mes Financiero]]=Tipo_Cambio[Mes])*(Producción_Agricola[[#This Row],[Año Financiero]]=Tipo_Cambio[Año])*(Tipo_Cambio[$/U$S]))</f>
        <v>0</v>
      </c>
      <c r="AL378" s="771">
        <f>SUMPRODUCT((Producción_Agricola[[#This Row],[Mes Financiero]]=Tipo_Cambio[Mes])*(Producción_Agricola[[#This Row],[Año Financiero]]=Tipo_Cambio[Año])*(Tipo_Cambio[Actualización]))</f>
        <v>0</v>
      </c>
      <c r="AM378" s="772">
        <f>IFERROR(Producción_Agricola[[#This Row],[Económico $Corrientes]]/Producción_Agricola[[#This Row],[Superficie]],0)</f>
        <v>0</v>
      </c>
      <c r="AN378" s="773">
        <f>IFERROR(Producción_Agricola[[#This Row],[Económico $Constantes]]/Producción_Agricola[[#This Row],[Superficie]],0)</f>
        <v>0</v>
      </c>
      <c r="AO378" s="773">
        <f>IFERROR(Producción_Agricola[[#This Row],[Económico U$S Dólares]]/Producción_Agricola[[#This Row],[Superficie]],0)</f>
        <v>0</v>
      </c>
      <c r="AP378" s="774">
        <f>IF(Económico!$F$4=0,0,Producción_Agricola[[#This Row],[Centro de Costo]])</f>
        <v>0</v>
      </c>
      <c r="AQ378" s="512"/>
      <c r="AR378" s="663"/>
      <c r="AS378"/>
    </row>
    <row r="379" spans="1:45" x14ac:dyDescent="0.25">
      <c r="A379" s="509"/>
      <c r="B379" s="494"/>
      <c r="C379" s="509"/>
      <c r="D379" s="478"/>
      <c r="E379" s="478"/>
      <c r="F379" s="668">
        <f t="shared" si="56"/>
        <v>0</v>
      </c>
      <c r="G379" s="673">
        <f t="shared" si="57"/>
        <v>0</v>
      </c>
      <c r="H379" s="673">
        <f t="shared" si="58"/>
        <v>0</v>
      </c>
      <c r="I379" s="687">
        <f>IFERROR(INDEX(Tabla8[],MATCH(Producción_Agricola[[#This Row],[Unidad de Negocio]],Tabla8[Unidades de Negocio],0),2),0)</f>
        <v>0</v>
      </c>
      <c r="J379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79" s="661"/>
      <c r="L379" s="482"/>
      <c r="M379" s="483"/>
      <c r="N379" s="484"/>
      <c r="O379" s="694">
        <f>Producción_Agricola[[#This Row],[Superficie]]*Producción_Agricola[[#This Row],[Cantidad]]</f>
        <v>0</v>
      </c>
      <c r="P379" s="482"/>
      <c r="Q379" s="484"/>
      <c r="R379" s="485"/>
      <c r="S379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79" s="761">
        <f>IFERROR(Producción_Agricola[[#This Row],[Económico $Corrientes]]/Producción_Agricola[[#This Row],[Indexación Económico]],0)</f>
        <v>0</v>
      </c>
      <c r="U379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79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79" s="761">
        <f>IFERROR(Producción_Agricola[[#This Row],[Financiero $Corrientes]]/Producción_Agricola[[#This Row],[Indexación Financiero]],0)</f>
        <v>0</v>
      </c>
      <c r="X379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79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79" s="766">
        <f>IFERROR(Producción_Agricola[[#This Row],[Intereses $Corrientes]]/Producción_Agricola[[#This Row],[Indexación Financiero]],0)</f>
        <v>0</v>
      </c>
      <c r="AA379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79" s="768">
        <f>IFERROR(INDEX(Produccion_Agricola_Cuentas[],MATCH(Producción_Agricola[[#This Row],[Cuenta Contable]],Produccion_Agricola_Cuentas[Cuenta Contable],0),2),0)</f>
        <v>0</v>
      </c>
      <c r="AC379" s="769">
        <f>IFERROR(INDEX(Tabla9[],MATCH(Producción_Agricola[[#This Row],[Movimiento]],Tabla9[Movimientos],0),2),0)</f>
        <v>0</v>
      </c>
      <c r="AD379" s="770">
        <f>IFERROR(INDEX(Tabla9[],MATCH(Producción_Agricola[[#This Row],[Movimiento]],Tabla9[Movimientos],0),3),0)</f>
        <v>0</v>
      </c>
      <c r="AE379" s="765">
        <f>IF(Producción_Agricola[[#This Row],[Fecha Económico]]=0,0,MONTH(Producción_Agricola[[#This Row],[Fecha Económico]]))</f>
        <v>0</v>
      </c>
      <c r="AF379" s="766">
        <f>IF(Producción_Agricola[[#This Row],[Fecha Económico]]=0,0,YEAR(Producción_Agricola[[#This Row],[Fecha Económico]]))</f>
        <v>0</v>
      </c>
      <c r="AG379" s="771">
        <f>SUMPRODUCT((Producción_Agricola[[#This Row],[Mes Económico]]=Tipo_Cambio[Mes])*(Producción_Agricola[[#This Row],[Año Económico]]=Tipo_Cambio[Año])*(Tipo_Cambio[$/U$S]))</f>
        <v>0</v>
      </c>
      <c r="AH379" s="770">
        <f>SUMPRODUCT((Producción_Agricola[[#This Row],[Mes Económico]]=Tipo_Cambio[Mes])*(Producción_Agricola[[#This Row],[Año Económico]]=Tipo_Cambio[Año])*(Tipo_Cambio[Actualización]))</f>
        <v>0</v>
      </c>
      <c r="AI379" s="766">
        <f>IF(ISNUMBER(Producción_Agricola[[#This Row],[Fecha Financiero]])=TRUE,MONTH(Producción_Agricola[[#This Row],[Fecha Financiero]]),0)</f>
        <v>0</v>
      </c>
      <c r="AJ379" s="766">
        <f>IF(ISNUMBER(Producción_Agricola[[#This Row],[Fecha Financiero]])=TRUE,YEAR(Producción_Agricola[[#This Row],[Fecha Financiero]]),0)</f>
        <v>0</v>
      </c>
      <c r="AK379" s="771">
        <f>SUMPRODUCT((Producción_Agricola[[#This Row],[Mes Financiero]]=Tipo_Cambio[Mes])*(Producción_Agricola[[#This Row],[Año Financiero]]=Tipo_Cambio[Año])*(Tipo_Cambio[$/U$S]))</f>
        <v>0</v>
      </c>
      <c r="AL379" s="771">
        <f>SUMPRODUCT((Producción_Agricola[[#This Row],[Mes Financiero]]=Tipo_Cambio[Mes])*(Producción_Agricola[[#This Row],[Año Financiero]]=Tipo_Cambio[Año])*(Tipo_Cambio[Actualización]))</f>
        <v>0</v>
      </c>
      <c r="AM379" s="772">
        <f>IFERROR(Producción_Agricola[[#This Row],[Económico $Corrientes]]/Producción_Agricola[[#This Row],[Superficie]],0)</f>
        <v>0</v>
      </c>
      <c r="AN379" s="773">
        <f>IFERROR(Producción_Agricola[[#This Row],[Económico $Constantes]]/Producción_Agricola[[#This Row],[Superficie]],0)</f>
        <v>0</v>
      </c>
      <c r="AO379" s="773">
        <f>IFERROR(Producción_Agricola[[#This Row],[Económico U$S Dólares]]/Producción_Agricola[[#This Row],[Superficie]],0)</f>
        <v>0</v>
      </c>
      <c r="AP379" s="774">
        <f>IF(Económico!$F$4=0,0,Producción_Agricola[[#This Row],[Centro de Costo]])</f>
        <v>0</v>
      </c>
      <c r="AQ379" s="512"/>
      <c r="AR379" s="663"/>
      <c r="AS379"/>
    </row>
    <row r="380" spans="1:45" ht="15.75" thickBot="1" x14ac:dyDescent="0.3">
      <c r="A380" s="509"/>
      <c r="B380" s="494" t="s">
        <v>101</v>
      </c>
      <c r="C380" s="509"/>
      <c r="D380" s="478"/>
      <c r="E380" s="478"/>
      <c r="F380" s="668">
        <f t="shared" si="56"/>
        <v>0</v>
      </c>
      <c r="G380" s="673">
        <f t="shared" si="57"/>
        <v>0</v>
      </c>
      <c r="H380" s="673">
        <f t="shared" si="58"/>
        <v>0</v>
      </c>
      <c r="I380" s="687">
        <f>IFERROR(INDEX(Tabla8[],MATCH(Producción_Agricola[[#This Row],[Unidad de Negocio]],Tabla8[Unidades de Negocio],0),2),0)</f>
        <v>0</v>
      </c>
      <c r="J380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80" s="661"/>
      <c r="L380" s="482"/>
      <c r="M380" s="483"/>
      <c r="N380" s="484"/>
      <c r="O380" s="694">
        <f>Producción_Agricola[[#This Row],[Superficie]]*Producción_Agricola[[#This Row],[Cantidad]]</f>
        <v>0</v>
      </c>
      <c r="P380" s="482"/>
      <c r="Q380" s="484"/>
      <c r="R380" s="485"/>
      <c r="S380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80" s="761">
        <f>IFERROR(Producción_Agricola[[#This Row],[Económico $Corrientes]]/Producción_Agricola[[#This Row],[Indexación Económico]],0)</f>
        <v>0</v>
      </c>
      <c r="U380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80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80" s="761">
        <f>IFERROR(Producción_Agricola[[#This Row],[Financiero $Corrientes]]/Producción_Agricola[[#This Row],[Indexación Financiero]],0)</f>
        <v>0</v>
      </c>
      <c r="X380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80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80" s="766">
        <f>IFERROR(Producción_Agricola[[#This Row],[Intereses $Corrientes]]/Producción_Agricola[[#This Row],[Indexación Financiero]],0)</f>
        <v>0</v>
      </c>
      <c r="AA380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80" s="768">
        <f>IFERROR(INDEX(Produccion_Agricola_Cuentas[],MATCH(Producción_Agricola[[#This Row],[Cuenta Contable]],Produccion_Agricola_Cuentas[Cuenta Contable],0),2),0)</f>
        <v>0</v>
      </c>
      <c r="AC380" s="769">
        <f>IFERROR(INDEX(Tabla9[],MATCH(Producción_Agricola[[#This Row],[Movimiento]],Tabla9[Movimientos],0),2),0)</f>
        <v>0</v>
      </c>
      <c r="AD380" s="770">
        <f>IFERROR(INDEX(Tabla9[],MATCH(Producción_Agricola[[#This Row],[Movimiento]],Tabla9[Movimientos],0),3),0)</f>
        <v>0</v>
      </c>
      <c r="AE380" s="765">
        <f>IF(Producción_Agricola[[#This Row],[Fecha Económico]]=0,0,MONTH(Producción_Agricola[[#This Row],[Fecha Económico]]))</f>
        <v>0</v>
      </c>
      <c r="AF380" s="766">
        <f>IF(Producción_Agricola[[#This Row],[Fecha Económico]]=0,0,YEAR(Producción_Agricola[[#This Row],[Fecha Económico]]))</f>
        <v>0</v>
      </c>
      <c r="AG380" s="771">
        <f>SUMPRODUCT((Producción_Agricola[[#This Row],[Mes Económico]]=Tipo_Cambio[Mes])*(Producción_Agricola[[#This Row],[Año Económico]]=Tipo_Cambio[Año])*(Tipo_Cambio[$/U$S]))</f>
        <v>0</v>
      </c>
      <c r="AH380" s="770">
        <f>SUMPRODUCT((Producción_Agricola[[#This Row],[Mes Económico]]=Tipo_Cambio[Mes])*(Producción_Agricola[[#This Row],[Año Económico]]=Tipo_Cambio[Año])*(Tipo_Cambio[Actualización]))</f>
        <v>0</v>
      </c>
      <c r="AI380" s="766">
        <f>IF(ISNUMBER(Producción_Agricola[[#This Row],[Fecha Financiero]])=TRUE,MONTH(Producción_Agricola[[#This Row],[Fecha Financiero]]),0)</f>
        <v>0</v>
      </c>
      <c r="AJ380" s="766">
        <f>IF(ISNUMBER(Producción_Agricola[[#This Row],[Fecha Financiero]])=TRUE,YEAR(Producción_Agricola[[#This Row],[Fecha Financiero]]),0)</f>
        <v>0</v>
      </c>
      <c r="AK380" s="771">
        <f>SUMPRODUCT((Producción_Agricola[[#This Row],[Mes Financiero]]=Tipo_Cambio[Mes])*(Producción_Agricola[[#This Row],[Año Financiero]]=Tipo_Cambio[Año])*(Tipo_Cambio[$/U$S]))</f>
        <v>0</v>
      </c>
      <c r="AL380" s="771">
        <f>SUMPRODUCT((Producción_Agricola[[#This Row],[Mes Financiero]]=Tipo_Cambio[Mes])*(Producción_Agricola[[#This Row],[Año Financiero]]=Tipo_Cambio[Año])*(Tipo_Cambio[Actualización]))</f>
        <v>0</v>
      </c>
      <c r="AM380" s="772">
        <f>IFERROR(Producción_Agricola[[#This Row],[Económico $Corrientes]]/Producción_Agricola[[#This Row],[Superficie]],0)</f>
        <v>0</v>
      </c>
      <c r="AN380" s="773">
        <f>IFERROR(Producción_Agricola[[#This Row],[Económico $Constantes]]/Producción_Agricola[[#This Row],[Superficie]],0)</f>
        <v>0</v>
      </c>
      <c r="AO380" s="773">
        <f>IFERROR(Producción_Agricola[[#This Row],[Económico U$S Dólares]]/Producción_Agricola[[#This Row],[Superficie]],0)</f>
        <v>0</v>
      </c>
      <c r="AP380" s="774">
        <f>IF(Económico!$F$4=0,0,Producción_Agricola[[#This Row],[Centro de Costo]])</f>
        <v>0</v>
      </c>
      <c r="AQ380" s="512"/>
      <c r="AR380" s="663"/>
      <c r="AS380"/>
    </row>
    <row r="381" spans="1:45" ht="15.75" thickTop="1" x14ac:dyDescent="0.25">
      <c r="A381" s="509"/>
      <c r="B381" s="477" t="s">
        <v>447</v>
      </c>
      <c r="C381" s="509"/>
      <c r="D381" s="495"/>
      <c r="E381" s="495"/>
      <c r="F381" s="679">
        <f>+$B$382</f>
        <v>0</v>
      </c>
      <c r="G381" s="680">
        <f>+$B$383</f>
        <v>0</v>
      </c>
      <c r="H381" s="680">
        <f>+$B$384</f>
        <v>0</v>
      </c>
      <c r="I381" s="683">
        <f>IFERROR(INDEX(Tabla8[],MATCH(Producción_Agricola[[#This Row],[Unidad de Negocio]],Tabla8[Unidades de Negocio],0),2),0)</f>
        <v>0</v>
      </c>
      <c r="J381" s="684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81" s="508"/>
      <c r="L381" s="497"/>
      <c r="M381" s="498"/>
      <c r="N381" s="499"/>
      <c r="O381" s="691">
        <f>Producción_Agricola[[#This Row],[Superficie]]*Producción_Agricola[[#This Row],[Cantidad]]</f>
        <v>0</v>
      </c>
      <c r="P381" s="497"/>
      <c r="Q381" s="499"/>
      <c r="R381" s="500"/>
      <c r="S381" s="74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81" s="714">
        <f>IFERROR(Producción_Agricola[[#This Row],[Económico $Corrientes]]/Producción_Agricola[[#This Row],[Indexación Económico]],0)</f>
        <v>0</v>
      </c>
      <c r="U381" s="741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81" s="715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81" s="714">
        <f>IFERROR(Producción_Agricola[[#This Row],[Financiero $Corrientes]]/Producción_Agricola[[#This Row],[Indexación Financiero]],0)</f>
        <v>0</v>
      </c>
      <c r="X381" s="716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81" s="717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81" s="718">
        <f>IFERROR(Producción_Agricola[[#This Row],[Intereses $Corrientes]]/Producción_Agricola[[#This Row],[Indexación Financiero]],0)</f>
        <v>0</v>
      </c>
      <c r="AA381" s="719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81" s="720">
        <f>IFERROR(INDEX(Produccion_Agricola_Cuentas[],MATCH(Producción_Agricola[[#This Row],[Cuenta Contable]],Produccion_Agricola_Cuentas[Cuenta Contable],0),2),0)</f>
        <v>0</v>
      </c>
      <c r="AC381" s="721">
        <f>IFERROR(INDEX(Tabla9[],MATCH(Producción_Agricola[[#This Row],[Movimiento]],Tabla9[Movimientos],0),2),0)</f>
        <v>0</v>
      </c>
      <c r="AD381" s="722">
        <f>IFERROR(INDEX(Tabla9[],MATCH(Producción_Agricola[[#This Row],[Movimiento]],Tabla9[Movimientos],0),3),0)</f>
        <v>0</v>
      </c>
      <c r="AE381" s="717">
        <f>IF(Producción_Agricola[[#This Row],[Fecha Económico]]=0,0,MONTH(Producción_Agricola[[#This Row],[Fecha Económico]]))</f>
        <v>0</v>
      </c>
      <c r="AF381" s="718">
        <f>IF(Producción_Agricola[[#This Row],[Fecha Económico]]=0,0,YEAR(Producción_Agricola[[#This Row],[Fecha Económico]]))</f>
        <v>0</v>
      </c>
      <c r="AG381" s="723">
        <f>SUMPRODUCT((Producción_Agricola[[#This Row],[Mes Económico]]=Tipo_Cambio[Mes])*(Producción_Agricola[[#This Row],[Año Económico]]=Tipo_Cambio[Año])*(Tipo_Cambio[$/U$S]))</f>
        <v>0</v>
      </c>
      <c r="AH381" s="722">
        <f>SUMPRODUCT((Producción_Agricola[[#This Row],[Mes Económico]]=Tipo_Cambio[Mes])*(Producción_Agricola[[#This Row],[Año Económico]]=Tipo_Cambio[Año])*(Tipo_Cambio[Actualización]))</f>
        <v>0</v>
      </c>
      <c r="AI381" s="718">
        <f>IF(ISNUMBER(Producción_Agricola[[#This Row],[Fecha Financiero]])=TRUE,MONTH(Producción_Agricola[[#This Row],[Fecha Financiero]]),0)</f>
        <v>0</v>
      </c>
      <c r="AJ381" s="718">
        <f>IF(ISNUMBER(Producción_Agricola[[#This Row],[Fecha Financiero]])=TRUE,YEAR(Producción_Agricola[[#This Row],[Fecha Financiero]]),0)</f>
        <v>0</v>
      </c>
      <c r="AK381" s="723">
        <f>SUMPRODUCT((Producción_Agricola[[#This Row],[Mes Financiero]]=Tipo_Cambio[Mes])*(Producción_Agricola[[#This Row],[Año Financiero]]=Tipo_Cambio[Año])*(Tipo_Cambio[$/U$S]))</f>
        <v>0</v>
      </c>
      <c r="AL381" s="723">
        <f>SUMPRODUCT((Producción_Agricola[[#This Row],[Mes Financiero]]=Tipo_Cambio[Mes])*(Producción_Agricola[[#This Row],[Año Financiero]]=Tipo_Cambio[Año])*(Tipo_Cambio[Actualización]))</f>
        <v>0</v>
      </c>
      <c r="AM381" s="742">
        <f>IFERROR(Producción_Agricola[[#This Row],[Económico $Corrientes]]/Producción_Agricola[[#This Row],[Superficie]],0)</f>
        <v>0</v>
      </c>
      <c r="AN381" s="743">
        <f>IFERROR(Producción_Agricola[[#This Row],[Económico $Constantes]]/Producción_Agricola[[#This Row],[Superficie]],0)</f>
        <v>0</v>
      </c>
      <c r="AO381" s="743">
        <f>IFERROR(Producción_Agricola[[#This Row],[Económico U$S Dólares]]/Producción_Agricola[[#This Row],[Superficie]],0)</f>
        <v>0</v>
      </c>
      <c r="AP381" s="744">
        <f>IF(Económico!$F$4=0,0,Producción_Agricola[[#This Row],[Centro de Costo]])</f>
        <v>0</v>
      </c>
      <c r="AQ381" s="516"/>
      <c r="AR381" s="517"/>
      <c r="AS381"/>
    </row>
    <row r="382" spans="1:45" x14ac:dyDescent="0.25">
      <c r="A382" s="509"/>
      <c r="B382" s="501"/>
      <c r="C382" s="509"/>
      <c r="D382" s="478"/>
      <c r="E382" s="478"/>
      <c r="F382" s="668">
        <f t="shared" ref="F382:F434" si="59">+$B$382</f>
        <v>0</v>
      </c>
      <c r="G382" s="673">
        <f t="shared" ref="G382:G434" si="60">+$B$383</f>
        <v>0</v>
      </c>
      <c r="H382" s="673">
        <f t="shared" ref="H382:H434" si="61">+$B$384</f>
        <v>0</v>
      </c>
      <c r="I382" s="675">
        <f>IFERROR(INDEX(Tabla8[],MATCH(Producción_Agricola[[#This Row],[Unidad de Negocio]],Tabla8[Unidades de Negocio],0),2),0)</f>
        <v>0</v>
      </c>
      <c r="J38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82" s="488"/>
      <c r="L382" s="482"/>
      <c r="M382" s="483"/>
      <c r="N382" s="484"/>
      <c r="O382" s="690">
        <f>Producción_Agricola[[#This Row],[Superficie]]*Producción_Agricola[[#This Row],[Cantidad]]</f>
        <v>0</v>
      </c>
      <c r="P382" s="482"/>
      <c r="Q382" s="484"/>
      <c r="R382" s="485"/>
      <c r="S38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82" s="695">
        <f>IFERROR(Producción_Agricola[[#This Row],[Económico $Corrientes]]/Producción_Agricola[[#This Row],[Indexación Económico]],0)</f>
        <v>0</v>
      </c>
      <c r="U38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8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82" s="695">
        <f>IFERROR(Producción_Agricola[[#This Row],[Financiero $Corrientes]]/Producción_Agricola[[#This Row],[Indexación Financiero]],0)</f>
        <v>0</v>
      </c>
      <c r="X38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8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82" s="699">
        <f>IFERROR(Producción_Agricola[[#This Row],[Intereses $Corrientes]]/Producción_Agricola[[#This Row],[Indexación Financiero]],0)</f>
        <v>0</v>
      </c>
      <c r="AA38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82" s="701">
        <f>IFERROR(INDEX(Produccion_Agricola_Cuentas[],MATCH(Producción_Agricola[[#This Row],[Cuenta Contable]],Produccion_Agricola_Cuentas[Cuenta Contable],0),2),0)</f>
        <v>0</v>
      </c>
      <c r="AC382" s="702">
        <f>IFERROR(INDEX(Tabla9[],MATCH(Producción_Agricola[[#This Row],[Movimiento]],Tabla9[Movimientos],0),2),0)</f>
        <v>0</v>
      </c>
      <c r="AD382" s="703">
        <f>IFERROR(INDEX(Tabla9[],MATCH(Producción_Agricola[[#This Row],[Movimiento]],Tabla9[Movimientos],0),3),0)</f>
        <v>0</v>
      </c>
      <c r="AE382" s="698">
        <f>IF(Producción_Agricola[[#This Row],[Fecha Económico]]=0,0,MONTH(Producción_Agricola[[#This Row],[Fecha Económico]]))</f>
        <v>0</v>
      </c>
      <c r="AF382" s="699">
        <f>IF(Producción_Agricola[[#This Row],[Fecha Económico]]=0,0,YEAR(Producción_Agricola[[#This Row],[Fecha Económico]]))</f>
        <v>0</v>
      </c>
      <c r="AG382" s="704">
        <f>SUMPRODUCT((Producción_Agricola[[#This Row],[Mes Económico]]=Tipo_Cambio[Mes])*(Producción_Agricola[[#This Row],[Año Económico]]=Tipo_Cambio[Año])*(Tipo_Cambio[$/U$S]))</f>
        <v>0</v>
      </c>
      <c r="AH382" s="703">
        <f>SUMPRODUCT((Producción_Agricola[[#This Row],[Mes Económico]]=Tipo_Cambio[Mes])*(Producción_Agricola[[#This Row],[Año Económico]]=Tipo_Cambio[Año])*(Tipo_Cambio[Actualización]))</f>
        <v>0</v>
      </c>
      <c r="AI382" s="699">
        <f>IF(ISNUMBER(Producción_Agricola[[#This Row],[Fecha Financiero]])=TRUE,MONTH(Producción_Agricola[[#This Row],[Fecha Financiero]]),0)</f>
        <v>0</v>
      </c>
      <c r="AJ382" s="699">
        <f>IF(ISNUMBER(Producción_Agricola[[#This Row],[Fecha Financiero]])=TRUE,YEAR(Producción_Agricola[[#This Row],[Fecha Financiero]]),0)</f>
        <v>0</v>
      </c>
      <c r="AK382" s="704">
        <f>SUMPRODUCT((Producción_Agricola[[#This Row],[Mes Financiero]]=Tipo_Cambio[Mes])*(Producción_Agricola[[#This Row],[Año Financiero]]=Tipo_Cambio[Año])*(Tipo_Cambio[$/U$S]))</f>
        <v>0</v>
      </c>
      <c r="AL382" s="704">
        <f>SUMPRODUCT((Producción_Agricola[[#This Row],[Mes Financiero]]=Tipo_Cambio[Mes])*(Producción_Agricola[[#This Row],[Año Financiero]]=Tipo_Cambio[Año])*(Tipo_Cambio[Actualización]))</f>
        <v>0</v>
      </c>
      <c r="AM382" s="709">
        <f>IFERROR(Producción_Agricola[[#This Row],[Económico $Corrientes]]/Producción_Agricola[[#This Row],[Superficie]],0)</f>
        <v>0</v>
      </c>
      <c r="AN382" s="712">
        <f>IFERROR(Producción_Agricola[[#This Row],[Económico $Constantes]]/Producción_Agricola[[#This Row],[Superficie]],0)</f>
        <v>0</v>
      </c>
      <c r="AO382" s="712">
        <f>IFERROR(Producción_Agricola[[#This Row],[Económico U$S Dólares]]/Producción_Agricola[[#This Row],[Superficie]],0)</f>
        <v>0</v>
      </c>
      <c r="AP382" s="711">
        <f>IF(Económico!$F$4=0,0,Producción_Agricola[[#This Row],[Centro de Costo]])</f>
        <v>0</v>
      </c>
      <c r="AQ382" s="512"/>
      <c r="AR382" s="513"/>
      <c r="AS382"/>
    </row>
    <row r="383" spans="1:45" x14ac:dyDescent="0.25">
      <c r="A383" s="509"/>
      <c r="B383" s="486"/>
      <c r="C383" s="509"/>
      <c r="D383" s="478"/>
      <c r="E383" s="478"/>
      <c r="F383" s="668">
        <f t="shared" si="59"/>
        <v>0</v>
      </c>
      <c r="G383" s="673">
        <f t="shared" si="60"/>
        <v>0</v>
      </c>
      <c r="H383" s="673">
        <f t="shared" si="61"/>
        <v>0</v>
      </c>
      <c r="I383" s="675">
        <f>IFERROR(INDEX(Tabla8[],MATCH(Producción_Agricola[[#This Row],[Unidad de Negocio]],Tabla8[Unidades de Negocio],0),2),0)</f>
        <v>0</v>
      </c>
      <c r="J38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83" s="488"/>
      <c r="L383" s="482"/>
      <c r="M383" s="483"/>
      <c r="N383" s="484"/>
      <c r="O383" s="690">
        <f>Producción_Agricola[[#This Row],[Superficie]]*Producción_Agricola[[#This Row],[Cantidad]]</f>
        <v>0</v>
      </c>
      <c r="P383" s="482"/>
      <c r="Q383" s="484"/>
      <c r="R383" s="485"/>
      <c r="S38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83" s="695">
        <f>IFERROR(Producción_Agricola[[#This Row],[Económico $Corrientes]]/Producción_Agricola[[#This Row],[Indexación Económico]],0)</f>
        <v>0</v>
      </c>
      <c r="U38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8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83" s="695">
        <f>IFERROR(Producción_Agricola[[#This Row],[Financiero $Corrientes]]/Producción_Agricola[[#This Row],[Indexación Financiero]],0)</f>
        <v>0</v>
      </c>
      <c r="X38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8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83" s="699">
        <f>IFERROR(Producción_Agricola[[#This Row],[Intereses $Corrientes]]/Producción_Agricola[[#This Row],[Indexación Financiero]],0)</f>
        <v>0</v>
      </c>
      <c r="AA38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83" s="701">
        <f>IFERROR(INDEX(Produccion_Agricola_Cuentas[],MATCH(Producción_Agricola[[#This Row],[Cuenta Contable]],Produccion_Agricola_Cuentas[Cuenta Contable],0),2),0)</f>
        <v>0</v>
      </c>
      <c r="AC383" s="702">
        <f>IFERROR(INDEX(Tabla9[],MATCH(Producción_Agricola[[#This Row],[Movimiento]],Tabla9[Movimientos],0),2),0)</f>
        <v>0</v>
      </c>
      <c r="AD383" s="703">
        <f>IFERROR(INDEX(Tabla9[],MATCH(Producción_Agricola[[#This Row],[Movimiento]],Tabla9[Movimientos],0),3),0)</f>
        <v>0</v>
      </c>
      <c r="AE383" s="698">
        <f>IF(Producción_Agricola[[#This Row],[Fecha Económico]]=0,0,MONTH(Producción_Agricola[[#This Row],[Fecha Económico]]))</f>
        <v>0</v>
      </c>
      <c r="AF383" s="699">
        <f>IF(Producción_Agricola[[#This Row],[Fecha Económico]]=0,0,YEAR(Producción_Agricola[[#This Row],[Fecha Económico]]))</f>
        <v>0</v>
      </c>
      <c r="AG383" s="704">
        <f>SUMPRODUCT((Producción_Agricola[[#This Row],[Mes Económico]]=Tipo_Cambio[Mes])*(Producción_Agricola[[#This Row],[Año Económico]]=Tipo_Cambio[Año])*(Tipo_Cambio[$/U$S]))</f>
        <v>0</v>
      </c>
      <c r="AH383" s="703">
        <f>SUMPRODUCT((Producción_Agricola[[#This Row],[Mes Económico]]=Tipo_Cambio[Mes])*(Producción_Agricola[[#This Row],[Año Económico]]=Tipo_Cambio[Año])*(Tipo_Cambio[Actualización]))</f>
        <v>0</v>
      </c>
      <c r="AI383" s="699">
        <f>IF(ISNUMBER(Producción_Agricola[[#This Row],[Fecha Financiero]])=TRUE,MONTH(Producción_Agricola[[#This Row],[Fecha Financiero]]),0)</f>
        <v>0</v>
      </c>
      <c r="AJ383" s="699">
        <f>IF(ISNUMBER(Producción_Agricola[[#This Row],[Fecha Financiero]])=TRUE,YEAR(Producción_Agricola[[#This Row],[Fecha Financiero]]),0)</f>
        <v>0</v>
      </c>
      <c r="AK383" s="704">
        <f>SUMPRODUCT((Producción_Agricola[[#This Row],[Mes Financiero]]=Tipo_Cambio[Mes])*(Producción_Agricola[[#This Row],[Año Financiero]]=Tipo_Cambio[Año])*(Tipo_Cambio[$/U$S]))</f>
        <v>0</v>
      </c>
      <c r="AL383" s="704">
        <f>SUMPRODUCT((Producción_Agricola[[#This Row],[Mes Financiero]]=Tipo_Cambio[Mes])*(Producción_Agricola[[#This Row],[Año Financiero]]=Tipo_Cambio[Año])*(Tipo_Cambio[Actualización]))</f>
        <v>0</v>
      </c>
      <c r="AM383" s="709">
        <f>IFERROR(Producción_Agricola[[#This Row],[Económico $Corrientes]]/Producción_Agricola[[#This Row],[Superficie]],0)</f>
        <v>0</v>
      </c>
      <c r="AN383" s="712">
        <f>IFERROR(Producción_Agricola[[#This Row],[Económico $Constantes]]/Producción_Agricola[[#This Row],[Superficie]],0)</f>
        <v>0</v>
      </c>
      <c r="AO383" s="712">
        <f>IFERROR(Producción_Agricola[[#This Row],[Económico U$S Dólares]]/Producción_Agricola[[#This Row],[Superficie]],0)</f>
        <v>0</v>
      </c>
      <c r="AP383" s="711">
        <f>IF(Económico!$F$4=0,0,Producción_Agricola[[#This Row],[Centro de Costo]])</f>
        <v>0</v>
      </c>
      <c r="AQ383" s="512"/>
      <c r="AR383" s="513"/>
      <c r="AS383"/>
    </row>
    <row r="384" spans="1:45" x14ac:dyDescent="0.25">
      <c r="A384" s="509"/>
      <c r="B384" s="486"/>
      <c r="C384" s="509"/>
      <c r="D384" s="478"/>
      <c r="E384" s="478"/>
      <c r="F384" s="668">
        <f t="shared" si="59"/>
        <v>0</v>
      </c>
      <c r="G384" s="673">
        <f t="shared" si="60"/>
        <v>0</v>
      </c>
      <c r="H384" s="673">
        <f t="shared" si="61"/>
        <v>0</v>
      </c>
      <c r="I384" s="675">
        <f>IFERROR(INDEX(Tabla8[],MATCH(Producción_Agricola[[#This Row],[Unidad de Negocio]],Tabla8[Unidades de Negocio],0),2),0)</f>
        <v>0</v>
      </c>
      <c r="J38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84" s="488"/>
      <c r="L384" s="482"/>
      <c r="M384" s="483"/>
      <c r="N384" s="484"/>
      <c r="O384" s="690">
        <f>Producción_Agricola[[#This Row],[Superficie]]*Producción_Agricola[[#This Row],[Cantidad]]</f>
        <v>0</v>
      </c>
      <c r="P384" s="482"/>
      <c r="Q384" s="484"/>
      <c r="R384" s="485"/>
      <c r="S38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84" s="695">
        <f>IFERROR(Producción_Agricola[[#This Row],[Económico $Corrientes]]/Producción_Agricola[[#This Row],[Indexación Económico]],0)</f>
        <v>0</v>
      </c>
      <c r="U38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8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84" s="695">
        <f>IFERROR(Producción_Agricola[[#This Row],[Financiero $Corrientes]]/Producción_Agricola[[#This Row],[Indexación Financiero]],0)</f>
        <v>0</v>
      </c>
      <c r="X38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8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84" s="699">
        <f>IFERROR(Producción_Agricola[[#This Row],[Intereses $Corrientes]]/Producción_Agricola[[#This Row],[Indexación Financiero]],0)</f>
        <v>0</v>
      </c>
      <c r="AA38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84" s="701">
        <f>IFERROR(INDEX(Produccion_Agricola_Cuentas[],MATCH(Producción_Agricola[[#This Row],[Cuenta Contable]],Produccion_Agricola_Cuentas[Cuenta Contable],0),2),0)</f>
        <v>0</v>
      </c>
      <c r="AC384" s="702">
        <f>IFERROR(INDEX(Tabla9[],MATCH(Producción_Agricola[[#This Row],[Movimiento]],Tabla9[Movimientos],0),2),0)</f>
        <v>0</v>
      </c>
      <c r="AD384" s="703">
        <f>IFERROR(INDEX(Tabla9[],MATCH(Producción_Agricola[[#This Row],[Movimiento]],Tabla9[Movimientos],0),3),0)</f>
        <v>0</v>
      </c>
      <c r="AE384" s="698">
        <f>IF(Producción_Agricola[[#This Row],[Fecha Económico]]=0,0,MONTH(Producción_Agricola[[#This Row],[Fecha Económico]]))</f>
        <v>0</v>
      </c>
      <c r="AF384" s="699">
        <f>IF(Producción_Agricola[[#This Row],[Fecha Económico]]=0,0,YEAR(Producción_Agricola[[#This Row],[Fecha Económico]]))</f>
        <v>0</v>
      </c>
      <c r="AG384" s="704">
        <f>SUMPRODUCT((Producción_Agricola[[#This Row],[Mes Económico]]=Tipo_Cambio[Mes])*(Producción_Agricola[[#This Row],[Año Económico]]=Tipo_Cambio[Año])*(Tipo_Cambio[$/U$S]))</f>
        <v>0</v>
      </c>
      <c r="AH384" s="703">
        <f>SUMPRODUCT((Producción_Agricola[[#This Row],[Mes Económico]]=Tipo_Cambio[Mes])*(Producción_Agricola[[#This Row],[Año Económico]]=Tipo_Cambio[Año])*(Tipo_Cambio[Actualización]))</f>
        <v>0</v>
      </c>
      <c r="AI384" s="699">
        <f>IF(ISNUMBER(Producción_Agricola[[#This Row],[Fecha Financiero]])=TRUE,MONTH(Producción_Agricola[[#This Row],[Fecha Financiero]]),0)</f>
        <v>0</v>
      </c>
      <c r="AJ384" s="699">
        <f>IF(ISNUMBER(Producción_Agricola[[#This Row],[Fecha Financiero]])=TRUE,YEAR(Producción_Agricola[[#This Row],[Fecha Financiero]]),0)</f>
        <v>0</v>
      </c>
      <c r="AK384" s="704">
        <f>SUMPRODUCT((Producción_Agricola[[#This Row],[Mes Financiero]]=Tipo_Cambio[Mes])*(Producción_Agricola[[#This Row],[Año Financiero]]=Tipo_Cambio[Año])*(Tipo_Cambio[$/U$S]))</f>
        <v>0</v>
      </c>
      <c r="AL384" s="704">
        <f>SUMPRODUCT((Producción_Agricola[[#This Row],[Mes Financiero]]=Tipo_Cambio[Mes])*(Producción_Agricola[[#This Row],[Año Financiero]]=Tipo_Cambio[Año])*(Tipo_Cambio[Actualización]))</f>
        <v>0</v>
      </c>
      <c r="AM384" s="709">
        <f>IFERROR(Producción_Agricola[[#This Row],[Económico $Corrientes]]/Producción_Agricola[[#This Row],[Superficie]],0)</f>
        <v>0</v>
      </c>
      <c r="AN384" s="712">
        <f>IFERROR(Producción_Agricola[[#This Row],[Económico $Constantes]]/Producción_Agricola[[#This Row],[Superficie]],0)</f>
        <v>0</v>
      </c>
      <c r="AO384" s="712">
        <f>IFERROR(Producción_Agricola[[#This Row],[Económico U$S Dólares]]/Producción_Agricola[[#This Row],[Superficie]],0)</f>
        <v>0</v>
      </c>
      <c r="AP384" s="711">
        <f>IF(Económico!$F$4=0,0,Producción_Agricola[[#This Row],[Centro de Costo]])</f>
        <v>0</v>
      </c>
      <c r="AQ384" s="512"/>
      <c r="AR384" s="513"/>
      <c r="AS384"/>
    </row>
    <row r="385" spans="1:45" x14ac:dyDescent="0.25">
      <c r="A385" s="509"/>
      <c r="B385" s="487">
        <f>+$J$381</f>
        <v>0</v>
      </c>
      <c r="C385" s="509"/>
      <c r="D385" s="478"/>
      <c r="E385" s="478"/>
      <c r="F385" s="668">
        <f t="shared" si="59"/>
        <v>0</v>
      </c>
      <c r="G385" s="673">
        <f t="shared" si="60"/>
        <v>0</v>
      </c>
      <c r="H385" s="673">
        <f t="shared" si="61"/>
        <v>0</v>
      </c>
      <c r="I385" s="675">
        <f>IFERROR(INDEX(Tabla8[],MATCH(Producción_Agricola[[#This Row],[Unidad de Negocio]],Tabla8[Unidades de Negocio],0),2),0)</f>
        <v>0</v>
      </c>
      <c r="J38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85" s="488"/>
      <c r="L385" s="482"/>
      <c r="M385" s="483"/>
      <c r="N385" s="484"/>
      <c r="O385" s="690">
        <f>Producción_Agricola[[#This Row],[Superficie]]*Producción_Agricola[[#This Row],[Cantidad]]</f>
        <v>0</v>
      </c>
      <c r="P385" s="482"/>
      <c r="Q385" s="484"/>
      <c r="R385" s="485"/>
      <c r="S38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85" s="695">
        <f>IFERROR(Producción_Agricola[[#This Row],[Económico $Corrientes]]/Producción_Agricola[[#This Row],[Indexación Económico]],0)</f>
        <v>0</v>
      </c>
      <c r="U38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8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85" s="695">
        <f>IFERROR(Producción_Agricola[[#This Row],[Financiero $Corrientes]]/Producción_Agricola[[#This Row],[Indexación Financiero]],0)</f>
        <v>0</v>
      </c>
      <c r="X38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8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85" s="699">
        <f>IFERROR(Producción_Agricola[[#This Row],[Intereses $Corrientes]]/Producción_Agricola[[#This Row],[Indexación Financiero]],0)</f>
        <v>0</v>
      </c>
      <c r="AA38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85" s="701">
        <f>IFERROR(INDEX(Produccion_Agricola_Cuentas[],MATCH(Producción_Agricola[[#This Row],[Cuenta Contable]],Produccion_Agricola_Cuentas[Cuenta Contable],0),2),0)</f>
        <v>0</v>
      </c>
      <c r="AC385" s="702">
        <f>IFERROR(INDEX(Tabla9[],MATCH(Producción_Agricola[[#This Row],[Movimiento]],Tabla9[Movimientos],0),2),0)</f>
        <v>0</v>
      </c>
      <c r="AD385" s="703">
        <f>IFERROR(INDEX(Tabla9[],MATCH(Producción_Agricola[[#This Row],[Movimiento]],Tabla9[Movimientos],0),3),0)</f>
        <v>0</v>
      </c>
      <c r="AE385" s="698">
        <f>IF(Producción_Agricola[[#This Row],[Fecha Económico]]=0,0,MONTH(Producción_Agricola[[#This Row],[Fecha Económico]]))</f>
        <v>0</v>
      </c>
      <c r="AF385" s="699">
        <f>IF(Producción_Agricola[[#This Row],[Fecha Económico]]=0,0,YEAR(Producción_Agricola[[#This Row],[Fecha Económico]]))</f>
        <v>0</v>
      </c>
      <c r="AG385" s="704">
        <f>SUMPRODUCT((Producción_Agricola[[#This Row],[Mes Económico]]=Tipo_Cambio[Mes])*(Producción_Agricola[[#This Row],[Año Económico]]=Tipo_Cambio[Año])*(Tipo_Cambio[$/U$S]))</f>
        <v>0</v>
      </c>
      <c r="AH385" s="703">
        <f>SUMPRODUCT((Producción_Agricola[[#This Row],[Mes Económico]]=Tipo_Cambio[Mes])*(Producción_Agricola[[#This Row],[Año Económico]]=Tipo_Cambio[Año])*(Tipo_Cambio[Actualización]))</f>
        <v>0</v>
      </c>
      <c r="AI385" s="699">
        <f>IF(ISNUMBER(Producción_Agricola[[#This Row],[Fecha Financiero]])=TRUE,MONTH(Producción_Agricola[[#This Row],[Fecha Financiero]]),0)</f>
        <v>0</v>
      </c>
      <c r="AJ385" s="699">
        <f>IF(ISNUMBER(Producción_Agricola[[#This Row],[Fecha Financiero]])=TRUE,YEAR(Producción_Agricola[[#This Row],[Fecha Financiero]]),0)</f>
        <v>0</v>
      </c>
      <c r="AK385" s="704">
        <f>SUMPRODUCT((Producción_Agricola[[#This Row],[Mes Financiero]]=Tipo_Cambio[Mes])*(Producción_Agricola[[#This Row],[Año Financiero]]=Tipo_Cambio[Año])*(Tipo_Cambio[$/U$S]))</f>
        <v>0</v>
      </c>
      <c r="AL385" s="704">
        <f>SUMPRODUCT((Producción_Agricola[[#This Row],[Mes Financiero]]=Tipo_Cambio[Mes])*(Producción_Agricola[[#This Row],[Año Financiero]]=Tipo_Cambio[Año])*(Tipo_Cambio[Actualización]))</f>
        <v>0</v>
      </c>
      <c r="AM385" s="709">
        <f>IFERROR(Producción_Agricola[[#This Row],[Económico $Corrientes]]/Producción_Agricola[[#This Row],[Superficie]],0)</f>
        <v>0</v>
      </c>
      <c r="AN385" s="712">
        <f>IFERROR(Producción_Agricola[[#This Row],[Económico $Constantes]]/Producción_Agricola[[#This Row],[Superficie]],0)</f>
        <v>0</v>
      </c>
      <c r="AO385" s="712">
        <f>IFERROR(Producción_Agricola[[#This Row],[Económico U$S Dólares]]/Producción_Agricola[[#This Row],[Superficie]],0)</f>
        <v>0</v>
      </c>
      <c r="AP385" s="711">
        <f>IF(Económico!$F$4=0,0,Producción_Agricola[[#This Row],[Centro de Costo]])</f>
        <v>0</v>
      </c>
      <c r="AQ385" s="512"/>
      <c r="AR385" s="513"/>
      <c r="AS385"/>
    </row>
    <row r="386" spans="1:45" x14ac:dyDescent="0.25">
      <c r="A386" s="509"/>
      <c r="B386" s="494"/>
      <c r="C386" s="509"/>
      <c r="D386" s="478"/>
      <c r="E386" s="478"/>
      <c r="F386" s="668">
        <f t="shared" si="59"/>
        <v>0</v>
      </c>
      <c r="G386" s="673">
        <f t="shared" si="60"/>
        <v>0</v>
      </c>
      <c r="H386" s="673">
        <f t="shared" si="61"/>
        <v>0</v>
      </c>
      <c r="I386" s="675">
        <f>IFERROR(INDEX(Tabla8[],MATCH(Producción_Agricola[[#This Row],[Unidad de Negocio]],Tabla8[Unidades de Negocio],0),2),0)</f>
        <v>0</v>
      </c>
      <c r="J38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86" s="488"/>
      <c r="L386" s="482"/>
      <c r="M386" s="483"/>
      <c r="N386" s="484"/>
      <c r="O386" s="690">
        <f>Producción_Agricola[[#This Row],[Superficie]]*Producción_Agricola[[#This Row],[Cantidad]]</f>
        <v>0</v>
      </c>
      <c r="P386" s="482"/>
      <c r="Q386" s="484"/>
      <c r="R386" s="485"/>
      <c r="S38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86" s="695">
        <f>IFERROR(Producción_Agricola[[#This Row],[Económico $Corrientes]]/Producción_Agricola[[#This Row],[Indexación Económico]],0)</f>
        <v>0</v>
      </c>
      <c r="U38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8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86" s="695">
        <f>IFERROR(Producción_Agricola[[#This Row],[Financiero $Corrientes]]/Producción_Agricola[[#This Row],[Indexación Financiero]],0)</f>
        <v>0</v>
      </c>
      <c r="X38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8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86" s="699">
        <f>IFERROR(Producción_Agricola[[#This Row],[Intereses $Corrientes]]/Producción_Agricola[[#This Row],[Indexación Financiero]],0)</f>
        <v>0</v>
      </c>
      <c r="AA38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86" s="701">
        <f>IFERROR(INDEX(Produccion_Agricola_Cuentas[],MATCH(Producción_Agricola[[#This Row],[Cuenta Contable]],Produccion_Agricola_Cuentas[Cuenta Contable],0),2),0)</f>
        <v>0</v>
      </c>
      <c r="AC386" s="702">
        <f>IFERROR(INDEX(Tabla9[],MATCH(Producción_Agricola[[#This Row],[Movimiento]],Tabla9[Movimientos],0),2),0)</f>
        <v>0</v>
      </c>
      <c r="AD386" s="703">
        <f>IFERROR(INDEX(Tabla9[],MATCH(Producción_Agricola[[#This Row],[Movimiento]],Tabla9[Movimientos],0),3),0)</f>
        <v>0</v>
      </c>
      <c r="AE386" s="698">
        <f>IF(Producción_Agricola[[#This Row],[Fecha Económico]]=0,0,MONTH(Producción_Agricola[[#This Row],[Fecha Económico]]))</f>
        <v>0</v>
      </c>
      <c r="AF386" s="699">
        <f>IF(Producción_Agricola[[#This Row],[Fecha Económico]]=0,0,YEAR(Producción_Agricola[[#This Row],[Fecha Económico]]))</f>
        <v>0</v>
      </c>
      <c r="AG386" s="704">
        <f>SUMPRODUCT((Producción_Agricola[[#This Row],[Mes Económico]]=Tipo_Cambio[Mes])*(Producción_Agricola[[#This Row],[Año Económico]]=Tipo_Cambio[Año])*(Tipo_Cambio[$/U$S]))</f>
        <v>0</v>
      </c>
      <c r="AH386" s="703">
        <f>SUMPRODUCT((Producción_Agricola[[#This Row],[Mes Económico]]=Tipo_Cambio[Mes])*(Producción_Agricola[[#This Row],[Año Económico]]=Tipo_Cambio[Año])*(Tipo_Cambio[Actualización]))</f>
        <v>0</v>
      </c>
      <c r="AI386" s="699">
        <f>IF(ISNUMBER(Producción_Agricola[[#This Row],[Fecha Financiero]])=TRUE,MONTH(Producción_Agricola[[#This Row],[Fecha Financiero]]),0)</f>
        <v>0</v>
      </c>
      <c r="AJ386" s="699">
        <f>IF(ISNUMBER(Producción_Agricola[[#This Row],[Fecha Financiero]])=TRUE,YEAR(Producción_Agricola[[#This Row],[Fecha Financiero]]),0)</f>
        <v>0</v>
      </c>
      <c r="AK386" s="704">
        <f>SUMPRODUCT((Producción_Agricola[[#This Row],[Mes Financiero]]=Tipo_Cambio[Mes])*(Producción_Agricola[[#This Row],[Año Financiero]]=Tipo_Cambio[Año])*(Tipo_Cambio[$/U$S]))</f>
        <v>0</v>
      </c>
      <c r="AL386" s="704">
        <f>SUMPRODUCT((Producción_Agricola[[#This Row],[Mes Financiero]]=Tipo_Cambio[Mes])*(Producción_Agricola[[#This Row],[Año Financiero]]=Tipo_Cambio[Año])*(Tipo_Cambio[Actualización]))</f>
        <v>0</v>
      </c>
      <c r="AM386" s="709">
        <f>IFERROR(Producción_Agricola[[#This Row],[Económico $Corrientes]]/Producción_Agricola[[#This Row],[Superficie]],0)</f>
        <v>0</v>
      </c>
      <c r="AN386" s="712">
        <f>IFERROR(Producción_Agricola[[#This Row],[Económico $Constantes]]/Producción_Agricola[[#This Row],[Superficie]],0)</f>
        <v>0</v>
      </c>
      <c r="AO386" s="712">
        <f>IFERROR(Producción_Agricola[[#This Row],[Económico U$S Dólares]]/Producción_Agricola[[#This Row],[Superficie]],0)</f>
        <v>0</v>
      </c>
      <c r="AP386" s="711">
        <f>IF(Económico!$F$4=0,0,Producción_Agricola[[#This Row],[Centro de Costo]])</f>
        <v>0</v>
      </c>
      <c r="AQ386" s="512"/>
      <c r="AR386" s="513"/>
      <c r="AS386"/>
    </row>
    <row r="387" spans="1:45" x14ac:dyDescent="0.25">
      <c r="A387" s="509"/>
      <c r="B387" s="494"/>
      <c r="C387" s="509"/>
      <c r="D387" s="478"/>
      <c r="E387" s="478"/>
      <c r="F387" s="668">
        <f t="shared" si="59"/>
        <v>0</v>
      </c>
      <c r="G387" s="673">
        <f t="shared" si="60"/>
        <v>0</v>
      </c>
      <c r="H387" s="673">
        <f t="shared" si="61"/>
        <v>0</v>
      </c>
      <c r="I387" s="675">
        <f>IFERROR(INDEX(Tabla8[],MATCH(Producción_Agricola[[#This Row],[Unidad de Negocio]],Tabla8[Unidades de Negocio],0),2),0)</f>
        <v>0</v>
      </c>
      <c r="J38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87" s="488"/>
      <c r="L387" s="482"/>
      <c r="M387" s="483"/>
      <c r="N387" s="484"/>
      <c r="O387" s="690">
        <f>Producción_Agricola[[#This Row],[Superficie]]*Producción_Agricola[[#This Row],[Cantidad]]</f>
        <v>0</v>
      </c>
      <c r="P387" s="482"/>
      <c r="Q387" s="484"/>
      <c r="R387" s="485"/>
      <c r="S38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87" s="695">
        <f>IFERROR(Producción_Agricola[[#This Row],[Económico $Corrientes]]/Producción_Agricola[[#This Row],[Indexación Económico]],0)</f>
        <v>0</v>
      </c>
      <c r="U38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8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87" s="695">
        <f>IFERROR(Producción_Agricola[[#This Row],[Financiero $Corrientes]]/Producción_Agricola[[#This Row],[Indexación Financiero]],0)</f>
        <v>0</v>
      </c>
      <c r="X38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8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87" s="699">
        <f>IFERROR(Producción_Agricola[[#This Row],[Intereses $Corrientes]]/Producción_Agricola[[#This Row],[Indexación Financiero]],0)</f>
        <v>0</v>
      </c>
      <c r="AA38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87" s="701">
        <f>IFERROR(INDEX(Produccion_Agricola_Cuentas[],MATCH(Producción_Agricola[[#This Row],[Cuenta Contable]],Produccion_Agricola_Cuentas[Cuenta Contable],0),2),0)</f>
        <v>0</v>
      </c>
      <c r="AC387" s="702">
        <f>IFERROR(INDEX(Tabla9[],MATCH(Producción_Agricola[[#This Row],[Movimiento]],Tabla9[Movimientos],0),2),0)</f>
        <v>0</v>
      </c>
      <c r="AD387" s="703">
        <f>IFERROR(INDEX(Tabla9[],MATCH(Producción_Agricola[[#This Row],[Movimiento]],Tabla9[Movimientos],0),3),0)</f>
        <v>0</v>
      </c>
      <c r="AE387" s="698">
        <f>IF(Producción_Agricola[[#This Row],[Fecha Económico]]=0,0,MONTH(Producción_Agricola[[#This Row],[Fecha Económico]]))</f>
        <v>0</v>
      </c>
      <c r="AF387" s="699">
        <f>IF(Producción_Agricola[[#This Row],[Fecha Económico]]=0,0,YEAR(Producción_Agricola[[#This Row],[Fecha Económico]]))</f>
        <v>0</v>
      </c>
      <c r="AG387" s="704">
        <f>SUMPRODUCT((Producción_Agricola[[#This Row],[Mes Económico]]=Tipo_Cambio[Mes])*(Producción_Agricola[[#This Row],[Año Económico]]=Tipo_Cambio[Año])*(Tipo_Cambio[$/U$S]))</f>
        <v>0</v>
      </c>
      <c r="AH387" s="703">
        <f>SUMPRODUCT((Producción_Agricola[[#This Row],[Mes Económico]]=Tipo_Cambio[Mes])*(Producción_Agricola[[#This Row],[Año Económico]]=Tipo_Cambio[Año])*(Tipo_Cambio[Actualización]))</f>
        <v>0</v>
      </c>
      <c r="AI387" s="699">
        <f>IF(ISNUMBER(Producción_Agricola[[#This Row],[Fecha Financiero]])=TRUE,MONTH(Producción_Agricola[[#This Row],[Fecha Financiero]]),0)</f>
        <v>0</v>
      </c>
      <c r="AJ387" s="699">
        <f>IF(ISNUMBER(Producción_Agricola[[#This Row],[Fecha Financiero]])=TRUE,YEAR(Producción_Agricola[[#This Row],[Fecha Financiero]]),0)</f>
        <v>0</v>
      </c>
      <c r="AK387" s="704">
        <f>SUMPRODUCT((Producción_Agricola[[#This Row],[Mes Financiero]]=Tipo_Cambio[Mes])*(Producción_Agricola[[#This Row],[Año Financiero]]=Tipo_Cambio[Año])*(Tipo_Cambio[$/U$S]))</f>
        <v>0</v>
      </c>
      <c r="AL387" s="704">
        <f>SUMPRODUCT((Producción_Agricola[[#This Row],[Mes Financiero]]=Tipo_Cambio[Mes])*(Producción_Agricola[[#This Row],[Año Financiero]]=Tipo_Cambio[Año])*(Tipo_Cambio[Actualización]))</f>
        <v>0</v>
      </c>
      <c r="AM387" s="709">
        <f>IFERROR(Producción_Agricola[[#This Row],[Económico $Corrientes]]/Producción_Agricola[[#This Row],[Superficie]],0)</f>
        <v>0</v>
      </c>
      <c r="AN387" s="712">
        <f>IFERROR(Producción_Agricola[[#This Row],[Económico $Constantes]]/Producción_Agricola[[#This Row],[Superficie]],0)</f>
        <v>0</v>
      </c>
      <c r="AO387" s="712">
        <f>IFERROR(Producción_Agricola[[#This Row],[Económico U$S Dólares]]/Producción_Agricola[[#This Row],[Superficie]],0)</f>
        <v>0</v>
      </c>
      <c r="AP387" s="711">
        <f>IF(Económico!$F$4=0,0,Producción_Agricola[[#This Row],[Centro de Costo]])</f>
        <v>0</v>
      </c>
      <c r="AQ387" s="512"/>
      <c r="AR387" s="513"/>
      <c r="AS387"/>
    </row>
    <row r="388" spans="1:45" x14ac:dyDescent="0.25">
      <c r="A388" s="509"/>
      <c r="B388" s="494"/>
      <c r="C388" s="509"/>
      <c r="D388" s="478"/>
      <c r="E388" s="478"/>
      <c r="F388" s="668">
        <f t="shared" si="59"/>
        <v>0</v>
      </c>
      <c r="G388" s="673">
        <f t="shared" si="60"/>
        <v>0</v>
      </c>
      <c r="H388" s="673">
        <f t="shared" si="61"/>
        <v>0</v>
      </c>
      <c r="I388" s="675">
        <f>IFERROR(INDEX(Tabla8[],MATCH(Producción_Agricola[[#This Row],[Unidad de Negocio]],Tabla8[Unidades de Negocio],0),2),0)</f>
        <v>0</v>
      </c>
      <c r="J38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88" s="488"/>
      <c r="L388" s="482"/>
      <c r="M388" s="483"/>
      <c r="N388" s="484"/>
      <c r="O388" s="690">
        <f>Producción_Agricola[[#This Row],[Superficie]]*Producción_Agricola[[#This Row],[Cantidad]]</f>
        <v>0</v>
      </c>
      <c r="P388" s="482"/>
      <c r="Q388" s="484"/>
      <c r="R388" s="485"/>
      <c r="S38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88" s="695">
        <f>IFERROR(Producción_Agricola[[#This Row],[Económico $Corrientes]]/Producción_Agricola[[#This Row],[Indexación Económico]],0)</f>
        <v>0</v>
      </c>
      <c r="U38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8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88" s="695">
        <f>IFERROR(Producción_Agricola[[#This Row],[Financiero $Corrientes]]/Producción_Agricola[[#This Row],[Indexación Financiero]],0)</f>
        <v>0</v>
      </c>
      <c r="X38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8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88" s="699">
        <f>IFERROR(Producción_Agricola[[#This Row],[Intereses $Corrientes]]/Producción_Agricola[[#This Row],[Indexación Financiero]],0)</f>
        <v>0</v>
      </c>
      <c r="AA38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88" s="701">
        <f>IFERROR(INDEX(Produccion_Agricola_Cuentas[],MATCH(Producción_Agricola[[#This Row],[Cuenta Contable]],Produccion_Agricola_Cuentas[Cuenta Contable],0),2),0)</f>
        <v>0</v>
      </c>
      <c r="AC388" s="702">
        <f>IFERROR(INDEX(Tabla9[],MATCH(Producción_Agricola[[#This Row],[Movimiento]],Tabla9[Movimientos],0),2),0)</f>
        <v>0</v>
      </c>
      <c r="AD388" s="703">
        <f>IFERROR(INDEX(Tabla9[],MATCH(Producción_Agricola[[#This Row],[Movimiento]],Tabla9[Movimientos],0),3),0)</f>
        <v>0</v>
      </c>
      <c r="AE388" s="698">
        <f>IF(Producción_Agricola[[#This Row],[Fecha Económico]]=0,0,MONTH(Producción_Agricola[[#This Row],[Fecha Económico]]))</f>
        <v>0</v>
      </c>
      <c r="AF388" s="699">
        <f>IF(Producción_Agricola[[#This Row],[Fecha Económico]]=0,0,YEAR(Producción_Agricola[[#This Row],[Fecha Económico]]))</f>
        <v>0</v>
      </c>
      <c r="AG388" s="704">
        <f>SUMPRODUCT((Producción_Agricola[[#This Row],[Mes Económico]]=Tipo_Cambio[Mes])*(Producción_Agricola[[#This Row],[Año Económico]]=Tipo_Cambio[Año])*(Tipo_Cambio[$/U$S]))</f>
        <v>0</v>
      </c>
      <c r="AH388" s="703">
        <f>SUMPRODUCT((Producción_Agricola[[#This Row],[Mes Económico]]=Tipo_Cambio[Mes])*(Producción_Agricola[[#This Row],[Año Económico]]=Tipo_Cambio[Año])*(Tipo_Cambio[Actualización]))</f>
        <v>0</v>
      </c>
      <c r="AI388" s="699">
        <f>IF(ISNUMBER(Producción_Agricola[[#This Row],[Fecha Financiero]])=TRUE,MONTH(Producción_Agricola[[#This Row],[Fecha Financiero]]),0)</f>
        <v>0</v>
      </c>
      <c r="AJ388" s="699">
        <f>IF(ISNUMBER(Producción_Agricola[[#This Row],[Fecha Financiero]])=TRUE,YEAR(Producción_Agricola[[#This Row],[Fecha Financiero]]),0)</f>
        <v>0</v>
      </c>
      <c r="AK388" s="704">
        <f>SUMPRODUCT((Producción_Agricola[[#This Row],[Mes Financiero]]=Tipo_Cambio[Mes])*(Producción_Agricola[[#This Row],[Año Financiero]]=Tipo_Cambio[Año])*(Tipo_Cambio[$/U$S]))</f>
        <v>0</v>
      </c>
      <c r="AL388" s="704">
        <f>SUMPRODUCT((Producción_Agricola[[#This Row],[Mes Financiero]]=Tipo_Cambio[Mes])*(Producción_Agricola[[#This Row],[Año Financiero]]=Tipo_Cambio[Año])*(Tipo_Cambio[Actualización]))</f>
        <v>0</v>
      </c>
      <c r="AM388" s="709">
        <f>IFERROR(Producción_Agricola[[#This Row],[Económico $Corrientes]]/Producción_Agricola[[#This Row],[Superficie]],0)</f>
        <v>0</v>
      </c>
      <c r="AN388" s="712">
        <f>IFERROR(Producción_Agricola[[#This Row],[Económico $Constantes]]/Producción_Agricola[[#This Row],[Superficie]],0)</f>
        <v>0</v>
      </c>
      <c r="AO388" s="712">
        <f>IFERROR(Producción_Agricola[[#This Row],[Económico U$S Dólares]]/Producción_Agricola[[#This Row],[Superficie]],0)</f>
        <v>0</v>
      </c>
      <c r="AP388" s="711">
        <f>IF(Económico!$F$4=0,0,Producción_Agricola[[#This Row],[Centro de Costo]])</f>
        <v>0</v>
      </c>
      <c r="AQ388" s="512"/>
      <c r="AR388" s="513"/>
      <c r="AS388"/>
    </row>
    <row r="389" spans="1:45" x14ac:dyDescent="0.25">
      <c r="A389" s="509"/>
      <c r="B389" s="494"/>
      <c r="C389" s="509"/>
      <c r="D389" s="478"/>
      <c r="E389" s="478"/>
      <c r="F389" s="668">
        <f t="shared" si="59"/>
        <v>0</v>
      </c>
      <c r="G389" s="673">
        <f t="shared" si="60"/>
        <v>0</v>
      </c>
      <c r="H389" s="673">
        <f t="shared" si="61"/>
        <v>0</v>
      </c>
      <c r="I389" s="675">
        <f>IFERROR(INDEX(Tabla8[],MATCH(Producción_Agricola[[#This Row],[Unidad de Negocio]],Tabla8[Unidades de Negocio],0),2),0)</f>
        <v>0</v>
      </c>
      <c r="J38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89" s="488"/>
      <c r="L389" s="482"/>
      <c r="M389" s="483"/>
      <c r="N389" s="484"/>
      <c r="O389" s="690">
        <f>Producción_Agricola[[#This Row],[Superficie]]*Producción_Agricola[[#This Row],[Cantidad]]</f>
        <v>0</v>
      </c>
      <c r="P389" s="482"/>
      <c r="Q389" s="484"/>
      <c r="R389" s="485"/>
      <c r="S38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89" s="695">
        <f>IFERROR(Producción_Agricola[[#This Row],[Económico $Corrientes]]/Producción_Agricola[[#This Row],[Indexación Económico]],0)</f>
        <v>0</v>
      </c>
      <c r="U38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8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89" s="695">
        <f>IFERROR(Producción_Agricola[[#This Row],[Financiero $Corrientes]]/Producción_Agricola[[#This Row],[Indexación Financiero]],0)</f>
        <v>0</v>
      </c>
      <c r="X38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8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89" s="699">
        <f>IFERROR(Producción_Agricola[[#This Row],[Intereses $Corrientes]]/Producción_Agricola[[#This Row],[Indexación Financiero]],0)</f>
        <v>0</v>
      </c>
      <c r="AA38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89" s="701">
        <f>IFERROR(INDEX(Produccion_Agricola_Cuentas[],MATCH(Producción_Agricola[[#This Row],[Cuenta Contable]],Produccion_Agricola_Cuentas[Cuenta Contable],0),2),0)</f>
        <v>0</v>
      </c>
      <c r="AC389" s="702">
        <f>IFERROR(INDEX(Tabla9[],MATCH(Producción_Agricola[[#This Row],[Movimiento]],Tabla9[Movimientos],0),2),0)</f>
        <v>0</v>
      </c>
      <c r="AD389" s="703">
        <f>IFERROR(INDEX(Tabla9[],MATCH(Producción_Agricola[[#This Row],[Movimiento]],Tabla9[Movimientos],0),3),0)</f>
        <v>0</v>
      </c>
      <c r="AE389" s="698">
        <f>IF(Producción_Agricola[[#This Row],[Fecha Económico]]=0,0,MONTH(Producción_Agricola[[#This Row],[Fecha Económico]]))</f>
        <v>0</v>
      </c>
      <c r="AF389" s="699">
        <f>IF(Producción_Agricola[[#This Row],[Fecha Económico]]=0,0,YEAR(Producción_Agricola[[#This Row],[Fecha Económico]]))</f>
        <v>0</v>
      </c>
      <c r="AG389" s="704">
        <f>SUMPRODUCT((Producción_Agricola[[#This Row],[Mes Económico]]=Tipo_Cambio[Mes])*(Producción_Agricola[[#This Row],[Año Económico]]=Tipo_Cambio[Año])*(Tipo_Cambio[$/U$S]))</f>
        <v>0</v>
      </c>
      <c r="AH389" s="703">
        <f>SUMPRODUCT((Producción_Agricola[[#This Row],[Mes Económico]]=Tipo_Cambio[Mes])*(Producción_Agricola[[#This Row],[Año Económico]]=Tipo_Cambio[Año])*(Tipo_Cambio[Actualización]))</f>
        <v>0</v>
      </c>
      <c r="AI389" s="699">
        <f>IF(ISNUMBER(Producción_Agricola[[#This Row],[Fecha Financiero]])=TRUE,MONTH(Producción_Agricola[[#This Row],[Fecha Financiero]]),0)</f>
        <v>0</v>
      </c>
      <c r="AJ389" s="699">
        <f>IF(ISNUMBER(Producción_Agricola[[#This Row],[Fecha Financiero]])=TRUE,YEAR(Producción_Agricola[[#This Row],[Fecha Financiero]]),0)</f>
        <v>0</v>
      </c>
      <c r="AK389" s="704">
        <f>SUMPRODUCT((Producción_Agricola[[#This Row],[Mes Financiero]]=Tipo_Cambio[Mes])*(Producción_Agricola[[#This Row],[Año Financiero]]=Tipo_Cambio[Año])*(Tipo_Cambio[$/U$S]))</f>
        <v>0</v>
      </c>
      <c r="AL389" s="704">
        <f>SUMPRODUCT((Producción_Agricola[[#This Row],[Mes Financiero]]=Tipo_Cambio[Mes])*(Producción_Agricola[[#This Row],[Año Financiero]]=Tipo_Cambio[Año])*(Tipo_Cambio[Actualización]))</f>
        <v>0</v>
      </c>
      <c r="AM389" s="709">
        <f>IFERROR(Producción_Agricola[[#This Row],[Económico $Corrientes]]/Producción_Agricola[[#This Row],[Superficie]],0)</f>
        <v>0</v>
      </c>
      <c r="AN389" s="712">
        <f>IFERROR(Producción_Agricola[[#This Row],[Económico $Constantes]]/Producción_Agricola[[#This Row],[Superficie]],0)</f>
        <v>0</v>
      </c>
      <c r="AO389" s="712">
        <f>IFERROR(Producción_Agricola[[#This Row],[Económico U$S Dólares]]/Producción_Agricola[[#This Row],[Superficie]],0)</f>
        <v>0</v>
      </c>
      <c r="AP389" s="711">
        <f>IF(Económico!$F$4=0,0,Producción_Agricola[[#This Row],[Centro de Costo]])</f>
        <v>0</v>
      </c>
      <c r="AQ389" s="512"/>
      <c r="AR389" s="513"/>
      <c r="AS389"/>
    </row>
    <row r="390" spans="1:45" x14ac:dyDescent="0.25">
      <c r="A390" s="509"/>
      <c r="B390" s="494"/>
      <c r="C390" s="509"/>
      <c r="D390" s="478"/>
      <c r="E390" s="478"/>
      <c r="F390" s="668">
        <f t="shared" si="59"/>
        <v>0</v>
      </c>
      <c r="G390" s="673">
        <f t="shared" si="60"/>
        <v>0</v>
      </c>
      <c r="H390" s="673">
        <f t="shared" si="61"/>
        <v>0</v>
      </c>
      <c r="I390" s="675">
        <f>IFERROR(INDEX(Tabla8[],MATCH(Producción_Agricola[[#This Row],[Unidad de Negocio]],Tabla8[Unidades de Negocio],0),2),0)</f>
        <v>0</v>
      </c>
      <c r="J39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90" s="488"/>
      <c r="L390" s="482"/>
      <c r="M390" s="483"/>
      <c r="N390" s="484"/>
      <c r="O390" s="690">
        <f>Producción_Agricola[[#This Row],[Superficie]]*Producción_Agricola[[#This Row],[Cantidad]]</f>
        <v>0</v>
      </c>
      <c r="P390" s="482"/>
      <c r="Q390" s="484"/>
      <c r="R390" s="485"/>
      <c r="S39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90" s="695">
        <f>IFERROR(Producción_Agricola[[#This Row],[Económico $Corrientes]]/Producción_Agricola[[#This Row],[Indexación Económico]],0)</f>
        <v>0</v>
      </c>
      <c r="U39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9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90" s="695">
        <f>IFERROR(Producción_Agricola[[#This Row],[Financiero $Corrientes]]/Producción_Agricola[[#This Row],[Indexación Financiero]],0)</f>
        <v>0</v>
      </c>
      <c r="X39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9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90" s="699">
        <f>IFERROR(Producción_Agricola[[#This Row],[Intereses $Corrientes]]/Producción_Agricola[[#This Row],[Indexación Financiero]],0)</f>
        <v>0</v>
      </c>
      <c r="AA39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90" s="701">
        <f>IFERROR(INDEX(Produccion_Agricola_Cuentas[],MATCH(Producción_Agricola[[#This Row],[Cuenta Contable]],Produccion_Agricola_Cuentas[Cuenta Contable],0),2),0)</f>
        <v>0</v>
      </c>
      <c r="AC390" s="702">
        <f>IFERROR(INDEX(Tabla9[],MATCH(Producción_Agricola[[#This Row],[Movimiento]],Tabla9[Movimientos],0),2),0)</f>
        <v>0</v>
      </c>
      <c r="AD390" s="703">
        <f>IFERROR(INDEX(Tabla9[],MATCH(Producción_Agricola[[#This Row],[Movimiento]],Tabla9[Movimientos],0),3),0)</f>
        <v>0</v>
      </c>
      <c r="AE390" s="698">
        <f>IF(Producción_Agricola[[#This Row],[Fecha Económico]]=0,0,MONTH(Producción_Agricola[[#This Row],[Fecha Económico]]))</f>
        <v>0</v>
      </c>
      <c r="AF390" s="699">
        <f>IF(Producción_Agricola[[#This Row],[Fecha Económico]]=0,0,YEAR(Producción_Agricola[[#This Row],[Fecha Económico]]))</f>
        <v>0</v>
      </c>
      <c r="AG390" s="704">
        <f>SUMPRODUCT((Producción_Agricola[[#This Row],[Mes Económico]]=Tipo_Cambio[Mes])*(Producción_Agricola[[#This Row],[Año Económico]]=Tipo_Cambio[Año])*(Tipo_Cambio[$/U$S]))</f>
        <v>0</v>
      </c>
      <c r="AH390" s="703">
        <f>SUMPRODUCT((Producción_Agricola[[#This Row],[Mes Económico]]=Tipo_Cambio[Mes])*(Producción_Agricola[[#This Row],[Año Económico]]=Tipo_Cambio[Año])*(Tipo_Cambio[Actualización]))</f>
        <v>0</v>
      </c>
      <c r="AI390" s="699">
        <f>IF(ISNUMBER(Producción_Agricola[[#This Row],[Fecha Financiero]])=TRUE,MONTH(Producción_Agricola[[#This Row],[Fecha Financiero]]),0)</f>
        <v>0</v>
      </c>
      <c r="AJ390" s="699">
        <f>IF(ISNUMBER(Producción_Agricola[[#This Row],[Fecha Financiero]])=TRUE,YEAR(Producción_Agricola[[#This Row],[Fecha Financiero]]),0)</f>
        <v>0</v>
      </c>
      <c r="AK390" s="704">
        <f>SUMPRODUCT((Producción_Agricola[[#This Row],[Mes Financiero]]=Tipo_Cambio[Mes])*(Producción_Agricola[[#This Row],[Año Financiero]]=Tipo_Cambio[Año])*(Tipo_Cambio[$/U$S]))</f>
        <v>0</v>
      </c>
      <c r="AL390" s="704">
        <f>SUMPRODUCT((Producción_Agricola[[#This Row],[Mes Financiero]]=Tipo_Cambio[Mes])*(Producción_Agricola[[#This Row],[Año Financiero]]=Tipo_Cambio[Año])*(Tipo_Cambio[Actualización]))</f>
        <v>0</v>
      </c>
      <c r="AM390" s="709">
        <f>IFERROR(Producción_Agricola[[#This Row],[Económico $Corrientes]]/Producción_Agricola[[#This Row],[Superficie]],0)</f>
        <v>0</v>
      </c>
      <c r="AN390" s="712">
        <f>IFERROR(Producción_Agricola[[#This Row],[Económico $Constantes]]/Producción_Agricola[[#This Row],[Superficie]],0)</f>
        <v>0</v>
      </c>
      <c r="AO390" s="712">
        <f>IFERROR(Producción_Agricola[[#This Row],[Económico U$S Dólares]]/Producción_Agricola[[#This Row],[Superficie]],0)</f>
        <v>0</v>
      </c>
      <c r="AP390" s="711">
        <f>IF(Económico!$F$4=0,0,Producción_Agricola[[#This Row],[Centro de Costo]])</f>
        <v>0</v>
      </c>
      <c r="AQ390" s="512"/>
      <c r="AR390" s="513"/>
      <c r="AS390"/>
    </row>
    <row r="391" spans="1:45" x14ac:dyDescent="0.25">
      <c r="A391" s="509"/>
      <c r="B391" s="494"/>
      <c r="C391" s="509"/>
      <c r="D391" s="478"/>
      <c r="E391" s="478"/>
      <c r="F391" s="668">
        <f t="shared" si="59"/>
        <v>0</v>
      </c>
      <c r="G391" s="673">
        <f t="shared" si="60"/>
        <v>0</v>
      </c>
      <c r="H391" s="673">
        <f t="shared" si="61"/>
        <v>0</v>
      </c>
      <c r="I391" s="675">
        <f>IFERROR(INDEX(Tabla8[],MATCH(Producción_Agricola[[#This Row],[Unidad de Negocio]],Tabla8[Unidades de Negocio],0),2),0)</f>
        <v>0</v>
      </c>
      <c r="J39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91" s="488"/>
      <c r="L391" s="482"/>
      <c r="M391" s="483"/>
      <c r="N391" s="484"/>
      <c r="O391" s="690">
        <f>Producción_Agricola[[#This Row],[Superficie]]*Producción_Agricola[[#This Row],[Cantidad]]</f>
        <v>0</v>
      </c>
      <c r="P391" s="482"/>
      <c r="Q391" s="484"/>
      <c r="R391" s="485"/>
      <c r="S39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91" s="695">
        <f>IFERROR(Producción_Agricola[[#This Row],[Económico $Corrientes]]/Producción_Agricola[[#This Row],[Indexación Económico]],0)</f>
        <v>0</v>
      </c>
      <c r="U39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9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91" s="695">
        <f>IFERROR(Producción_Agricola[[#This Row],[Financiero $Corrientes]]/Producción_Agricola[[#This Row],[Indexación Financiero]],0)</f>
        <v>0</v>
      </c>
      <c r="X39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9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91" s="699">
        <f>IFERROR(Producción_Agricola[[#This Row],[Intereses $Corrientes]]/Producción_Agricola[[#This Row],[Indexación Financiero]],0)</f>
        <v>0</v>
      </c>
      <c r="AA39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91" s="701">
        <f>IFERROR(INDEX(Produccion_Agricola_Cuentas[],MATCH(Producción_Agricola[[#This Row],[Cuenta Contable]],Produccion_Agricola_Cuentas[Cuenta Contable],0),2),0)</f>
        <v>0</v>
      </c>
      <c r="AC391" s="702">
        <f>IFERROR(INDEX(Tabla9[],MATCH(Producción_Agricola[[#This Row],[Movimiento]],Tabla9[Movimientos],0),2),0)</f>
        <v>0</v>
      </c>
      <c r="AD391" s="703">
        <f>IFERROR(INDEX(Tabla9[],MATCH(Producción_Agricola[[#This Row],[Movimiento]],Tabla9[Movimientos],0),3),0)</f>
        <v>0</v>
      </c>
      <c r="AE391" s="698">
        <f>IF(Producción_Agricola[[#This Row],[Fecha Económico]]=0,0,MONTH(Producción_Agricola[[#This Row],[Fecha Económico]]))</f>
        <v>0</v>
      </c>
      <c r="AF391" s="699">
        <f>IF(Producción_Agricola[[#This Row],[Fecha Económico]]=0,0,YEAR(Producción_Agricola[[#This Row],[Fecha Económico]]))</f>
        <v>0</v>
      </c>
      <c r="AG391" s="704">
        <f>SUMPRODUCT((Producción_Agricola[[#This Row],[Mes Económico]]=Tipo_Cambio[Mes])*(Producción_Agricola[[#This Row],[Año Económico]]=Tipo_Cambio[Año])*(Tipo_Cambio[$/U$S]))</f>
        <v>0</v>
      </c>
      <c r="AH391" s="703">
        <f>SUMPRODUCT((Producción_Agricola[[#This Row],[Mes Económico]]=Tipo_Cambio[Mes])*(Producción_Agricola[[#This Row],[Año Económico]]=Tipo_Cambio[Año])*(Tipo_Cambio[Actualización]))</f>
        <v>0</v>
      </c>
      <c r="AI391" s="699">
        <f>IF(ISNUMBER(Producción_Agricola[[#This Row],[Fecha Financiero]])=TRUE,MONTH(Producción_Agricola[[#This Row],[Fecha Financiero]]),0)</f>
        <v>0</v>
      </c>
      <c r="AJ391" s="699">
        <f>IF(ISNUMBER(Producción_Agricola[[#This Row],[Fecha Financiero]])=TRUE,YEAR(Producción_Agricola[[#This Row],[Fecha Financiero]]),0)</f>
        <v>0</v>
      </c>
      <c r="AK391" s="704">
        <f>SUMPRODUCT((Producción_Agricola[[#This Row],[Mes Financiero]]=Tipo_Cambio[Mes])*(Producción_Agricola[[#This Row],[Año Financiero]]=Tipo_Cambio[Año])*(Tipo_Cambio[$/U$S]))</f>
        <v>0</v>
      </c>
      <c r="AL391" s="704">
        <f>SUMPRODUCT((Producción_Agricola[[#This Row],[Mes Financiero]]=Tipo_Cambio[Mes])*(Producción_Agricola[[#This Row],[Año Financiero]]=Tipo_Cambio[Año])*(Tipo_Cambio[Actualización]))</f>
        <v>0</v>
      </c>
      <c r="AM391" s="709">
        <f>IFERROR(Producción_Agricola[[#This Row],[Económico $Corrientes]]/Producción_Agricola[[#This Row],[Superficie]],0)</f>
        <v>0</v>
      </c>
      <c r="AN391" s="712">
        <f>IFERROR(Producción_Agricola[[#This Row],[Económico $Constantes]]/Producción_Agricola[[#This Row],[Superficie]],0)</f>
        <v>0</v>
      </c>
      <c r="AO391" s="712">
        <f>IFERROR(Producción_Agricola[[#This Row],[Económico U$S Dólares]]/Producción_Agricola[[#This Row],[Superficie]],0)</f>
        <v>0</v>
      </c>
      <c r="AP391" s="711">
        <f>IF(Económico!$F$4=0,0,Producción_Agricola[[#This Row],[Centro de Costo]])</f>
        <v>0</v>
      </c>
      <c r="AQ391" s="512"/>
      <c r="AR391" s="513"/>
      <c r="AS391"/>
    </row>
    <row r="392" spans="1:45" x14ac:dyDescent="0.25">
      <c r="A392" s="509"/>
      <c r="B392" s="494"/>
      <c r="C392" s="509"/>
      <c r="D392" s="478"/>
      <c r="E392" s="478"/>
      <c r="F392" s="668">
        <f t="shared" si="59"/>
        <v>0</v>
      </c>
      <c r="G392" s="673">
        <f t="shared" si="60"/>
        <v>0</v>
      </c>
      <c r="H392" s="673">
        <f t="shared" si="61"/>
        <v>0</v>
      </c>
      <c r="I392" s="675">
        <f>IFERROR(INDEX(Tabla8[],MATCH(Producción_Agricola[[#This Row],[Unidad de Negocio]],Tabla8[Unidades de Negocio],0),2),0)</f>
        <v>0</v>
      </c>
      <c r="J39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92" s="488"/>
      <c r="L392" s="482"/>
      <c r="M392" s="483"/>
      <c r="N392" s="484"/>
      <c r="O392" s="690">
        <f>Producción_Agricola[[#This Row],[Superficie]]*Producción_Agricola[[#This Row],[Cantidad]]</f>
        <v>0</v>
      </c>
      <c r="P392" s="482"/>
      <c r="Q392" s="484"/>
      <c r="R392" s="485"/>
      <c r="S39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92" s="695">
        <f>IFERROR(Producción_Agricola[[#This Row],[Económico $Corrientes]]/Producción_Agricola[[#This Row],[Indexación Económico]],0)</f>
        <v>0</v>
      </c>
      <c r="U39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9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92" s="695">
        <f>IFERROR(Producción_Agricola[[#This Row],[Financiero $Corrientes]]/Producción_Agricola[[#This Row],[Indexación Financiero]],0)</f>
        <v>0</v>
      </c>
      <c r="X39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9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92" s="699">
        <f>IFERROR(Producción_Agricola[[#This Row],[Intereses $Corrientes]]/Producción_Agricola[[#This Row],[Indexación Financiero]],0)</f>
        <v>0</v>
      </c>
      <c r="AA39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92" s="701">
        <f>IFERROR(INDEX(Produccion_Agricola_Cuentas[],MATCH(Producción_Agricola[[#This Row],[Cuenta Contable]],Produccion_Agricola_Cuentas[Cuenta Contable],0),2),0)</f>
        <v>0</v>
      </c>
      <c r="AC392" s="702">
        <f>IFERROR(INDEX(Tabla9[],MATCH(Producción_Agricola[[#This Row],[Movimiento]],Tabla9[Movimientos],0),2),0)</f>
        <v>0</v>
      </c>
      <c r="AD392" s="703">
        <f>IFERROR(INDEX(Tabla9[],MATCH(Producción_Agricola[[#This Row],[Movimiento]],Tabla9[Movimientos],0),3),0)</f>
        <v>0</v>
      </c>
      <c r="AE392" s="698">
        <f>IF(Producción_Agricola[[#This Row],[Fecha Económico]]=0,0,MONTH(Producción_Agricola[[#This Row],[Fecha Económico]]))</f>
        <v>0</v>
      </c>
      <c r="AF392" s="699">
        <f>IF(Producción_Agricola[[#This Row],[Fecha Económico]]=0,0,YEAR(Producción_Agricola[[#This Row],[Fecha Económico]]))</f>
        <v>0</v>
      </c>
      <c r="AG392" s="704">
        <f>SUMPRODUCT((Producción_Agricola[[#This Row],[Mes Económico]]=Tipo_Cambio[Mes])*(Producción_Agricola[[#This Row],[Año Económico]]=Tipo_Cambio[Año])*(Tipo_Cambio[$/U$S]))</f>
        <v>0</v>
      </c>
      <c r="AH392" s="703">
        <f>SUMPRODUCT((Producción_Agricola[[#This Row],[Mes Económico]]=Tipo_Cambio[Mes])*(Producción_Agricola[[#This Row],[Año Económico]]=Tipo_Cambio[Año])*(Tipo_Cambio[Actualización]))</f>
        <v>0</v>
      </c>
      <c r="AI392" s="699">
        <f>IF(ISNUMBER(Producción_Agricola[[#This Row],[Fecha Financiero]])=TRUE,MONTH(Producción_Agricola[[#This Row],[Fecha Financiero]]),0)</f>
        <v>0</v>
      </c>
      <c r="AJ392" s="699">
        <f>IF(ISNUMBER(Producción_Agricola[[#This Row],[Fecha Financiero]])=TRUE,YEAR(Producción_Agricola[[#This Row],[Fecha Financiero]]),0)</f>
        <v>0</v>
      </c>
      <c r="AK392" s="704">
        <f>SUMPRODUCT((Producción_Agricola[[#This Row],[Mes Financiero]]=Tipo_Cambio[Mes])*(Producción_Agricola[[#This Row],[Año Financiero]]=Tipo_Cambio[Año])*(Tipo_Cambio[$/U$S]))</f>
        <v>0</v>
      </c>
      <c r="AL392" s="704">
        <f>SUMPRODUCT((Producción_Agricola[[#This Row],[Mes Financiero]]=Tipo_Cambio[Mes])*(Producción_Agricola[[#This Row],[Año Financiero]]=Tipo_Cambio[Año])*(Tipo_Cambio[Actualización]))</f>
        <v>0</v>
      </c>
      <c r="AM392" s="709">
        <f>IFERROR(Producción_Agricola[[#This Row],[Económico $Corrientes]]/Producción_Agricola[[#This Row],[Superficie]],0)</f>
        <v>0</v>
      </c>
      <c r="AN392" s="712">
        <f>IFERROR(Producción_Agricola[[#This Row],[Económico $Constantes]]/Producción_Agricola[[#This Row],[Superficie]],0)</f>
        <v>0</v>
      </c>
      <c r="AO392" s="712">
        <f>IFERROR(Producción_Agricola[[#This Row],[Económico U$S Dólares]]/Producción_Agricola[[#This Row],[Superficie]],0)</f>
        <v>0</v>
      </c>
      <c r="AP392" s="711">
        <f>IF(Económico!$F$4=0,0,Producción_Agricola[[#This Row],[Centro de Costo]])</f>
        <v>0</v>
      </c>
      <c r="AQ392" s="512"/>
      <c r="AR392" s="513"/>
      <c r="AS392"/>
    </row>
    <row r="393" spans="1:45" x14ac:dyDescent="0.25">
      <c r="A393" s="509"/>
      <c r="B393" s="494"/>
      <c r="C393" s="509"/>
      <c r="D393" s="478"/>
      <c r="E393" s="478"/>
      <c r="F393" s="668">
        <f t="shared" si="59"/>
        <v>0</v>
      </c>
      <c r="G393" s="673">
        <f t="shared" si="60"/>
        <v>0</v>
      </c>
      <c r="H393" s="673">
        <f t="shared" si="61"/>
        <v>0</v>
      </c>
      <c r="I393" s="675">
        <f>IFERROR(INDEX(Tabla8[],MATCH(Producción_Agricola[[#This Row],[Unidad de Negocio]],Tabla8[Unidades de Negocio],0),2),0)</f>
        <v>0</v>
      </c>
      <c r="J39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93" s="488"/>
      <c r="L393" s="482"/>
      <c r="M393" s="483"/>
      <c r="N393" s="484"/>
      <c r="O393" s="690">
        <f>Producción_Agricola[[#This Row],[Superficie]]*Producción_Agricola[[#This Row],[Cantidad]]</f>
        <v>0</v>
      </c>
      <c r="P393" s="482"/>
      <c r="Q393" s="484"/>
      <c r="R393" s="485"/>
      <c r="S39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93" s="695">
        <f>IFERROR(Producción_Agricola[[#This Row],[Económico $Corrientes]]/Producción_Agricola[[#This Row],[Indexación Económico]],0)</f>
        <v>0</v>
      </c>
      <c r="U39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9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93" s="695">
        <f>IFERROR(Producción_Agricola[[#This Row],[Financiero $Corrientes]]/Producción_Agricola[[#This Row],[Indexación Financiero]],0)</f>
        <v>0</v>
      </c>
      <c r="X39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9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93" s="699">
        <f>IFERROR(Producción_Agricola[[#This Row],[Intereses $Corrientes]]/Producción_Agricola[[#This Row],[Indexación Financiero]],0)</f>
        <v>0</v>
      </c>
      <c r="AA39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93" s="701">
        <f>IFERROR(INDEX(Produccion_Agricola_Cuentas[],MATCH(Producción_Agricola[[#This Row],[Cuenta Contable]],Produccion_Agricola_Cuentas[Cuenta Contable],0),2),0)</f>
        <v>0</v>
      </c>
      <c r="AC393" s="702">
        <f>IFERROR(INDEX(Tabla9[],MATCH(Producción_Agricola[[#This Row],[Movimiento]],Tabla9[Movimientos],0),2),0)</f>
        <v>0</v>
      </c>
      <c r="AD393" s="703">
        <f>IFERROR(INDEX(Tabla9[],MATCH(Producción_Agricola[[#This Row],[Movimiento]],Tabla9[Movimientos],0),3),0)</f>
        <v>0</v>
      </c>
      <c r="AE393" s="698">
        <f>IF(Producción_Agricola[[#This Row],[Fecha Económico]]=0,0,MONTH(Producción_Agricola[[#This Row],[Fecha Económico]]))</f>
        <v>0</v>
      </c>
      <c r="AF393" s="699">
        <f>IF(Producción_Agricola[[#This Row],[Fecha Económico]]=0,0,YEAR(Producción_Agricola[[#This Row],[Fecha Económico]]))</f>
        <v>0</v>
      </c>
      <c r="AG393" s="704">
        <f>SUMPRODUCT((Producción_Agricola[[#This Row],[Mes Económico]]=Tipo_Cambio[Mes])*(Producción_Agricola[[#This Row],[Año Económico]]=Tipo_Cambio[Año])*(Tipo_Cambio[$/U$S]))</f>
        <v>0</v>
      </c>
      <c r="AH393" s="703">
        <f>SUMPRODUCT((Producción_Agricola[[#This Row],[Mes Económico]]=Tipo_Cambio[Mes])*(Producción_Agricola[[#This Row],[Año Económico]]=Tipo_Cambio[Año])*(Tipo_Cambio[Actualización]))</f>
        <v>0</v>
      </c>
      <c r="AI393" s="699">
        <f>IF(ISNUMBER(Producción_Agricola[[#This Row],[Fecha Financiero]])=TRUE,MONTH(Producción_Agricola[[#This Row],[Fecha Financiero]]),0)</f>
        <v>0</v>
      </c>
      <c r="AJ393" s="699">
        <f>IF(ISNUMBER(Producción_Agricola[[#This Row],[Fecha Financiero]])=TRUE,YEAR(Producción_Agricola[[#This Row],[Fecha Financiero]]),0)</f>
        <v>0</v>
      </c>
      <c r="AK393" s="704">
        <f>SUMPRODUCT((Producción_Agricola[[#This Row],[Mes Financiero]]=Tipo_Cambio[Mes])*(Producción_Agricola[[#This Row],[Año Financiero]]=Tipo_Cambio[Año])*(Tipo_Cambio[$/U$S]))</f>
        <v>0</v>
      </c>
      <c r="AL393" s="704">
        <f>SUMPRODUCT((Producción_Agricola[[#This Row],[Mes Financiero]]=Tipo_Cambio[Mes])*(Producción_Agricola[[#This Row],[Año Financiero]]=Tipo_Cambio[Año])*(Tipo_Cambio[Actualización]))</f>
        <v>0</v>
      </c>
      <c r="AM393" s="709">
        <f>IFERROR(Producción_Agricola[[#This Row],[Económico $Corrientes]]/Producción_Agricola[[#This Row],[Superficie]],0)</f>
        <v>0</v>
      </c>
      <c r="AN393" s="712">
        <f>IFERROR(Producción_Agricola[[#This Row],[Económico $Constantes]]/Producción_Agricola[[#This Row],[Superficie]],0)</f>
        <v>0</v>
      </c>
      <c r="AO393" s="712">
        <f>IFERROR(Producción_Agricola[[#This Row],[Económico U$S Dólares]]/Producción_Agricola[[#This Row],[Superficie]],0)</f>
        <v>0</v>
      </c>
      <c r="AP393" s="711">
        <f>IF(Económico!$F$4=0,0,Producción_Agricola[[#This Row],[Centro de Costo]])</f>
        <v>0</v>
      </c>
      <c r="AQ393" s="512"/>
      <c r="AR393" s="513"/>
      <c r="AS393"/>
    </row>
    <row r="394" spans="1:45" x14ac:dyDescent="0.25">
      <c r="A394" s="509"/>
      <c r="B394" s="494"/>
      <c r="C394" s="509"/>
      <c r="D394" s="478"/>
      <c r="E394" s="478"/>
      <c r="F394" s="668">
        <f t="shared" si="59"/>
        <v>0</v>
      </c>
      <c r="G394" s="673">
        <f t="shared" si="60"/>
        <v>0</v>
      </c>
      <c r="H394" s="673">
        <f t="shared" si="61"/>
        <v>0</v>
      </c>
      <c r="I394" s="675">
        <f>IFERROR(INDEX(Tabla8[],MATCH(Producción_Agricola[[#This Row],[Unidad de Negocio]],Tabla8[Unidades de Negocio],0),2),0)</f>
        <v>0</v>
      </c>
      <c r="J39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94" s="488"/>
      <c r="L394" s="482"/>
      <c r="M394" s="483"/>
      <c r="N394" s="484"/>
      <c r="O394" s="690">
        <f>Producción_Agricola[[#This Row],[Superficie]]*Producción_Agricola[[#This Row],[Cantidad]]</f>
        <v>0</v>
      </c>
      <c r="P394" s="482"/>
      <c r="Q394" s="484"/>
      <c r="R394" s="485"/>
      <c r="S39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94" s="695">
        <f>IFERROR(Producción_Agricola[[#This Row],[Económico $Corrientes]]/Producción_Agricola[[#This Row],[Indexación Económico]],0)</f>
        <v>0</v>
      </c>
      <c r="U39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9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94" s="695">
        <f>IFERROR(Producción_Agricola[[#This Row],[Financiero $Corrientes]]/Producción_Agricola[[#This Row],[Indexación Financiero]],0)</f>
        <v>0</v>
      </c>
      <c r="X39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9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94" s="699">
        <f>IFERROR(Producción_Agricola[[#This Row],[Intereses $Corrientes]]/Producción_Agricola[[#This Row],[Indexación Financiero]],0)</f>
        <v>0</v>
      </c>
      <c r="AA39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94" s="701">
        <f>IFERROR(INDEX(Produccion_Agricola_Cuentas[],MATCH(Producción_Agricola[[#This Row],[Cuenta Contable]],Produccion_Agricola_Cuentas[Cuenta Contable],0),2),0)</f>
        <v>0</v>
      </c>
      <c r="AC394" s="702">
        <f>IFERROR(INDEX(Tabla9[],MATCH(Producción_Agricola[[#This Row],[Movimiento]],Tabla9[Movimientos],0),2),0)</f>
        <v>0</v>
      </c>
      <c r="AD394" s="703">
        <f>IFERROR(INDEX(Tabla9[],MATCH(Producción_Agricola[[#This Row],[Movimiento]],Tabla9[Movimientos],0),3),0)</f>
        <v>0</v>
      </c>
      <c r="AE394" s="698">
        <f>IF(Producción_Agricola[[#This Row],[Fecha Económico]]=0,0,MONTH(Producción_Agricola[[#This Row],[Fecha Económico]]))</f>
        <v>0</v>
      </c>
      <c r="AF394" s="699">
        <f>IF(Producción_Agricola[[#This Row],[Fecha Económico]]=0,0,YEAR(Producción_Agricola[[#This Row],[Fecha Económico]]))</f>
        <v>0</v>
      </c>
      <c r="AG394" s="704">
        <f>SUMPRODUCT((Producción_Agricola[[#This Row],[Mes Económico]]=Tipo_Cambio[Mes])*(Producción_Agricola[[#This Row],[Año Económico]]=Tipo_Cambio[Año])*(Tipo_Cambio[$/U$S]))</f>
        <v>0</v>
      </c>
      <c r="AH394" s="703">
        <f>SUMPRODUCT((Producción_Agricola[[#This Row],[Mes Económico]]=Tipo_Cambio[Mes])*(Producción_Agricola[[#This Row],[Año Económico]]=Tipo_Cambio[Año])*(Tipo_Cambio[Actualización]))</f>
        <v>0</v>
      </c>
      <c r="AI394" s="699">
        <f>IF(ISNUMBER(Producción_Agricola[[#This Row],[Fecha Financiero]])=TRUE,MONTH(Producción_Agricola[[#This Row],[Fecha Financiero]]),0)</f>
        <v>0</v>
      </c>
      <c r="AJ394" s="699">
        <f>IF(ISNUMBER(Producción_Agricola[[#This Row],[Fecha Financiero]])=TRUE,YEAR(Producción_Agricola[[#This Row],[Fecha Financiero]]),0)</f>
        <v>0</v>
      </c>
      <c r="AK394" s="704">
        <f>SUMPRODUCT((Producción_Agricola[[#This Row],[Mes Financiero]]=Tipo_Cambio[Mes])*(Producción_Agricola[[#This Row],[Año Financiero]]=Tipo_Cambio[Año])*(Tipo_Cambio[$/U$S]))</f>
        <v>0</v>
      </c>
      <c r="AL394" s="704">
        <f>SUMPRODUCT((Producción_Agricola[[#This Row],[Mes Financiero]]=Tipo_Cambio[Mes])*(Producción_Agricola[[#This Row],[Año Financiero]]=Tipo_Cambio[Año])*(Tipo_Cambio[Actualización]))</f>
        <v>0</v>
      </c>
      <c r="AM394" s="709">
        <f>IFERROR(Producción_Agricola[[#This Row],[Económico $Corrientes]]/Producción_Agricola[[#This Row],[Superficie]],0)</f>
        <v>0</v>
      </c>
      <c r="AN394" s="712">
        <f>IFERROR(Producción_Agricola[[#This Row],[Económico $Constantes]]/Producción_Agricola[[#This Row],[Superficie]],0)</f>
        <v>0</v>
      </c>
      <c r="AO394" s="712">
        <f>IFERROR(Producción_Agricola[[#This Row],[Económico U$S Dólares]]/Producción_Agricola[[#This Row],[Superficie]],0)</f>
        <v>0</v>
      </c>
      <c r="AP394" s="711">
        <f>IF(Económico!$F$4=0,0,Producción_Agricola[[#This Row],[Centro de Costo]])</f>
        <v>0</v>
      </c>
      <c r="AQ394" s="512"/>
      <c r="AR394" s="513"/>
      <c r="AS394"/>
    </row>
    <row r="395" spans="1:45" x14ac:dyDescent="0.25">
      <c r="A395" s="509"/>
      <c r="B395" s="494"/>
      <c r="C395" s="509"/>
      <c r="D395" s="478"/>
      <c r="E395" s="478"/>
      <c r="F395" s="668">
        <f t="shared" si="59"/>
        <v>0</v>
      </c>
      <c r="G395" s="673">
        <f t="shared" si="60"/>
        <v>0</v>
      </c>
      <c r="H395" s="673">
        <f t="shared" si="61"/>
        <v>0</v>
      </c>
      <c r="I395" s="675">
        <f>IFERROR(INDEX(Tabla8[],MATCH(Producción_Agricola[[#This Row],[Unidad de Negocio]],Tabla8[Unidades de Negocio],0),2),0)</f>
        <v>0</v>
      </c>
      <c r="J39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95" s="488"/>
      <c r="L395" s="482"/>
      <c r="M395" s="483"/>
      <c r="N395" s="484"/>
      <c r="O395" s="690">
        <f>Producción_Agricola[[#This Row],[Superficie]]*Producción_Agricola[[#This Row],[Cantidad]]</f>
        <v>0</v>
      </c>
      <c r="P395" s="482"/>
      <c r="Q395" s="484"/>
      <c r="R395" s="485"/>
      <c r="S39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95" s="695">
        <f>IFERROR(Producción_Agricola[[#This Row],[Económico $Corrientes]]/Producción_Agricola[[#This Row],[Indexación Económico]],0)</f>
        <v>0</v>
      </c>
      <c r="U39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9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95" s="695">
        <f>IFERROR(Producción_Agricola[[#This Row],[Financiero $Corrientes]]/Producción_Agricola[[#This Row],[Indexación Financiero]],0)</f>
        <v>0</v>
      </c>
      <c r="X39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9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95" s="699">
        <f>IFERROR(Producción_Agricola[[#This Row],[Intereses $Corrientes]]/Producción_Agricola[[#This Row],[Indexación Financiero]],0)</f>
        <v>0</v>
      </c>
      <c r="AA39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95" s="701">
        <f>IFERROR(INDEX(Produccion_Agricola_Cuentas[],MATCH(Producción_Agricola[[#This Row],[Cuenta Contable]],Produccion_Agricola_Cuentas[Cuenta Contable],0),2),0)</f>
        <v>0</v>
      </c>
      <c r="AC395" s="702">
        <f>IFERROR(INDEX(Tabla9[],MATCH(Producción_Agricola[[#This Row],[Movimiento]],Tabla9[Movimientos],0),2),0)</f>
        <v>0</v>
      </c>
      <c r="AD395" s="703">
        <f>IFERROR(INDEX(Tabla9[],MATCH(Producción_Agricola[[#This Row],[Movimiento]],Tabla9[Movimientos],0),3),0)</f>
        <v>0</v>
      </c>
      <c r="AE395" s="698">
        <f>IF(Producción_Agricola[[#This Row],[Fecha Económico]]=0,0,MONTH(Producción_Agricola[[#This Row],[Fecha Económico]]))</f>
        <v>0</v>
      </c>
      <c r="AF395" s="699">
        <f>IF(Producción_Agricola[[#This Row],[Fecha Económico]]=0,0,YEAR(Producción_Agricola[[#This Row],[Fecha Económico]]))</f>
        <v>0</v>
      </c>
      <c r="AG395" s="704">
        <f>SUMPRODUCT((Producción_Agricola[[#This Row],[Mes Económico]]=Tipo_Cambio[Mes])*(Producción_Agricola[[#This Row],[Año Económico]]=Tipo_Cambio[Año])*(Tipo_Cambio[$/U$S]))</f>
        <v>0</v>
      </c>
      <c r="AH395" s="703">
        <f>SUMPRODUCT((Producción_Agricola[[#This Row],[Mes Económico]]=Tipo_Cambio[Mes])*(Producción_Agricola[[#This Row],[Año Económico]]=Tipo_Cambio[Año])*(Tipo_Cambio[Actualización]))</f>
        <v>0</v>
      </c>
      <c r="AI395" s="699">
        <f>IF(ISNUMBER(Producción_Agricola[[#This Row],[Fecha Financiero]])=TRUE,MONTH(Producción_Agricola[[#This Row],[Fecha Financiero]]),0)</f>
        <v>0</v>
      </c>
      <c r="AJ395" s="699">
        <f>IF(ISNUMBER(Producción_Agricola[[#This Row],[Fecha Financiero]])=TRUE,YEAR(Producción_Agricola[[#This Row],[Fecha Financiero]]),0)</f>
        <v>0</v>
      </c>
      <c r="AK395" s="704">
        <f>SUMPRODUCT((Producción_Agricola[[#This Row],[Mes Financiero]]=Tipo_Cambio[Mes])*(Producción_Agricola[[#This Row],[Año Financiero]]=Tipo_Cambio[Año])*(Tipo_Cambio[$/U$S]))</f>
        <v>0</v>
      </c>
      <c r="AL395" s="704">
        <f>SUMPRODUCT((Producción_Agricola[[#This Row],[Mes Financiero]]=Tipo_Cambio[Mes])*(Producción_Agricola[[#This Row],[Año Financiero]]=Tipo_Cambio[Año])*(Tipo_Cambio[Actualización]))</f>
        <v>0</v>
      </c>
      <c r="AM395" s="709">
        <f>IFERROR(Producción_Agricola[[#This Row],[Económico $Corrientes]]/Producción_Agricola[[#This Row],[Superficie]],0)</f>
        <v>0</v>
      </c>
      <c r="AN395" s="712">
        <f>IFERROR(Producción_Agricola[[#This Row],[Económico $Constantes]]/Producción_Agricola[[#This Row],[Superficie]],0)</f>
        <v>0</v>
      </c>
      <c r="AO395" s="712">
        <f>IFERROR(Producción_Agricola[[#This Row],[Económico U$S Dólares]]/Producción_Agricola[[#This Row],[Superficie]],0)</f>
        <v>0</v>
      </c>
      <c r="AP395" s="711">
        <f>IF(Económico!$F$4=0,0,Producción_Agricola[[#This Row],[Centro de Costo]])</f>
        <v>0</v>
      </c>
      <c r="AQ395" s="512"/>
      <c r="AR395" s="513"/>
      <c r="AS395"/>
    </row>
    <row r="396" spans="1:45" x14ac:dyDescent="0.25">
      <c r="A396" s="509"/>
      <c r="B396" s="494"/>
      <c r="C396" s="509"/>
      <c r="D396" s="478"/>
      <c r="E396" s="478"/>
      <c r="F396" s="668">
        <f t="shared" si="59"/>
        <v>0</v>
      </c>
      <c r="G396" s="673">
        <f t="shared" si="60"/>
        <v>0</v>
      </c>
      <c r="H396" s="673">
        <f t="shared" si="61"/>
        <v>0</v>
      </c>
      <c r="I396" s="675">
        <f>IFERROR(INDEX(Tabla8[],MATCH(Producción_Agricola[[#This Row],[Unidad de Negocio]],Tabla8[Unidades de Negocio],0),2),0)</f>
        <v>0</v>
      </c>
      <c r="J39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96" s="488"/>
      <c r="L396" s="482"/>
      <c r="M396" s="483"/>
      <c r="N396" s="484"/>
      <c r="O396" s="690">
        <f>Producción_Agricola[[#This Row],[Superficie]]*Producción_Agricola[[#This Row],[Cantidad]]</f>
        <v>0</v>
      </c>
      <c r="P396" s="482"/>
      <c r="Q396" s="484"/>
      <c r="R396" s="485"/>
      <c r="S39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96" s="695">
        <f>IFERROR(Producción_Agricola[[#This Row],[Económico $Corrientes]]/Producción_Agricola[[#This Row],[Indexación Económico]],0)</f>
        <v>0</v>
      </c>
      <c r="U39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9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96" s="695">
        <f>IFERROR(Producción_Agricola[[#This Row],[Financiero $Corrientes]]/Producción_Agricola[[#This Row],[Indexación Financiero]],0)</f>
        <v>0</v>
      </c>
      <c r="X39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9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96" s="699">
        <f>IFERROR(Producción_Agricola[[#This Row],[Intereses $Corrientes]]/Producción_Agricola[[#This Row],[Indexación Financiero]],0)</f>
        <v>0</v>
      </c>
      <c r="AA39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96" s="701">
        <f>IFERROR(INDEX(Produccion_Agricola_Cuentas[],MATCH(Producción_Agricola[[#This Row],[Cuenta Contable]],Produccion_Agricola_Cuentas[Cuenta Contable],0),2),0)</f>
        <v>0</v>
      </c>
      <c r="AC396" s="702">
        <f>IFERROR(INDEX(Tabla9[],MATCH(Producción_Agricola[[#This Row],[Movimiento]],Tabla9[Movimientos],0),2),0)</f>
        <v>0</v>
      </c>
      <c r="AD396" s="703">
        <f>IFERROR(INDEX(Tabla9[],MATCH(Producción_Agricola[[#This Row],[Movimiento]],Tabla9[Movimientos],0),3),0)</f>
        <v>0</v>
      </c>
      <c r="AE396" s="698">
        <f>IF(Producción_Agricola[[#This Row],[Fecha Económico]]=0,0,MONTH(Producción_Agricola[[#This Row],[Fecha Económico]]))</f>
        <v>0</v>
      </c>
      <c r="AF396" s="699">
        <f>IF(Producción_Agricola[[#This Row],[Fecha Económico]]=0,0,YEAR(Producción_Agricola[[#This Row],[Fecha Económico]]))</f>
        <v>0</v>
      </c>
      <c r="AG396" s="704">
        <f>SUMPRODUCT((Producción_Agricola[[#This Row],[Mes Económico]]=Tipo_Cambio[Mes])*(Producción_Agricola[[#This Row],[Año Económico]]=Tipo_Cambio[Año])*(Tipo_Cambio[$/U$S]))</f>
        <v>0</v>
      </c>
      <c r="AH396" s="703">
        <f>SUMPRODUCT((Producción_Agricola[[#This Row],[Mes Económico]]=Tipo_Cambio[Mes])*(Producción_Agricola[[#This Row],[Año Económico]]=Tipo_Cambio[Año])*(Tipo_Cambio[Actualización]))</f>
        <v>0</v>
      </c>
      <c r="AI396" s="699">
        <f>IF(ISNUMBER(Producción_Agricola[[#This Row],[Fecha Financiero]])=TRUE,MONTH(Producción_Agricola[[#This Row],[Fecha Financiero]]),0)</f>
        <v>0</v>
      </c>
      <c r="AJ396" s="699">
        <f>IF(ISNUMBER(Producción_Agricola[[#This Row],[Fecha Financiero]])=TRUE,YEAR(Producción_Agricola[[#This Row],[Fecha Financiero]]),0)</f>
        <v>0</v>
      </c>
      <c r="AK396" s="704">
        <f>SUMPRODUCT((Producción_Agricola[[#This Row],[Mes Financiero]]=Tipo_Cambio[Mes])*(Producción_Agricola[[#This Row],[Año Financiero]]=Tipo_Cambio[Año])*(Tipo_Cambio[$/U$S]))</f>
        <v>0</v>
      </c>
      <c r="AL396" s="704">
        <f>SUMPRODUCT((Producción_Agricola[[#This Row],[Mes Financiero]]=Tipo_Cambio[Mes])*(Producción_Agricola[[#This Row],[Año Financiero]]=Tipo_Cambio[Año])*(Tipo_Cambio[Actualización]))</f>
        <v>0</v>
      </c>
      <c r="AM396" s="709">
        <f>IFERROR(Producción_Agricola[[#This Row],[Económico $Corrientes]]/Producción_Agricola[[#This Row],[Superficie]],0)</f>
        <v>0</v>
      </c>
      <c r="AN396" s="712">
        <f>IFERROR(Producción_Agricola[[#This Row],[Económico $Constantes]]/Producción_Agricola[[#This Row],[Superficie]],0)</f>
        <v>0</v>
      </c>
      <c r="AO396" s="712">
        <f>IFERROR(Producción_Agricola[[#This Row],[Económico U$S Dólares]]/Producción_Agricola[[#This Row],[Superficie]],0)</f>
        <v>0</v>
      </c>
      <c r="AP396" s="711">
        <f>IF(Económico!$F$4=0,0,Producción_Agricola[[#This Row],[Centro de Costo]])</f>
        <v>0</v>
      </c>
      <c r="AQ396" s="512"/>
      <c r="AR396" s="513"/>
      <c r="AS396"/>
    </row>
    <row r="397" spans="1:45" x14ac:dyDescent="0.25">
      <c r="A397" s="509"/>
      <c r="B397" s="494"/>
      <c r="C397" s="509"/>
      <c r="D397" s="478"/>
      <c r="E397" s="478"/>
      <c r="F397" s="668">
        <f t="shared" si="59"/>
        <v>0</v>
      </c>
      <c r="G397" s="673">
        <f t="shared" si="60"/>
        <v>0</v>
      </c>
      <c r="H397" s="673">
        <f t="shared" si="61"/>
        <v>0</v>
      </c>
      <c r="I397" s="675">
        <f>IFERROR(INDEX(Tabla8[],MATCH(Producción_Agricola[[#This Row],[Unidad de Negocio]],Tabla8[Unidades de Negocio],0),2),0)</f>
        <v>0</v>
      </c>
      <c r="J39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97" s="488"/>
      <c r="L397" s="482"/>
      <c r="M397" s="483"/>
      <c r="N397" s="484"/>
      <c r="O397" s="690">
        <f>Producción_Agricola[[#This Row],[Superficie]]*Producción_Agricola[[#This Row],[Cantidad]]</f>
        <v>0</v>
      </c>
      <c r="P397" s="482"/>
      <c r="Q397" s="484"/>
      <c r="R397" s="485"/>
      <c r="S39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97" s="695">
        <f>IFERROR(Producción_Agricola[[#This Row],[Económico $Corrientes]]/Producción_Agricola[[#This Row],[Indexación Económico]],0)</f>
        <v>0</v>
      </c>
      <c r="U39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9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97" s="695">
        <f>IFERROR(Producción_Agricola[[#This Row],[Financiero $Corrientes]]/Producción_Agricola[[#This Row],[Indexación Financiero]],0)</f>
        <v>0</v>
      </c>
      <c r="X39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9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97" s="699">
        <f>IFERROR(Producción_Agricola[[#This Row],[Intereses $Corrientes]]/Producción_Agricola[[#This Row],[Indexación Financiero]],0)</f>
        <v>0</v>
      </c>
      <c r="AA39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97" s="701">
        <f>IFERROR(INDEX(Produccion_Agricola_Cuentas[],MATCH(Producción_Agricola[[#This Row],[Cuenta Contable]],Produccion_Agricola_Cuentas[Cuenta Contable],0),2),0)</f>
        <v>0</v>
      </c>
      <c r="AC397" s="702">
        <f>IFERROR(INDEX(Tabla9[],MATCH(Producción_Agricola[[#This Row],[Movimiento]],Tabla9[Movimientos],0),2),0)</f>
        <v>0</v>
      </c>
      <c r="AD397" s="703">
        <f>IFERROR(INDEX(Tabla9[],MATCH(Producción_Agricola[[#This Row],[Movimiento]],Tabla9[Movimientos],0),3),0)</f>
        <v>0</v>
      </c>
      <c r="AE397" s="698">
        <f>IF(Producción_Agricola[[#This Row],[Fecha Económico]]=0,0,MONTH(Producción_Agricola[[#This Row],[Fecha Económico]]))</f>
        <v>0</v>
      </c>
      <c r="AF397" s="699">
        <f>IF(Producción_Agricola[[#This Row],[Fecha Económico]]=0,0,YEAR(Producción_Agricola[[#This Row],[Fecha Económico]]))</f>
        <v>0</v>
      </c>
      <c r="AG397" s="704">
        <f>SUMPRODUCT((Producción_Agricola[[#This Row],[Mes Económico]]=Tipo_Cambio[Mes])*(Producción_Agricola[[#This Row],[Año Económico]]=Tipo_Cambio[Año])*(Tipo_Cambio[$/U$S]))</f>
        <v>0</v>
      </c>
      <c r="AH397" s="703">
        <f>SUMPRODUCT((Producción_Agricola[[#This Row],[Mes Económico]]=Tipo_Cambio[Mes])*(Producción_Agricola[[#This Row],[Año Económico]]=Tipo_Cambio[Año])*(Tipo_Cambio[Actualización]))</f>
        <v>0</v>
      </c>
      <c r="AI397" s="699">
        <f>IF(ISNUMBER(Producción_Agricola[[#This Row],[Fecha Financiero]])=TRUE,MONTH(Producción_Agricola[[#This Row],[Fecha Financiero]]),0)</f>
        <v>0</v>
      </c>
      <c r="AJ397" s="699">
        <f>IF(ISNUMBER(Producción_Agricola[[#This Row],[Fecha Financiero]])=TRUE,YEAR(Producción_Agricola[[#This Row],[Fecha Financiero]]),0)</f>
        <v>0</v>
      </c>
      <c r="AK397" s="704">
        <f>SUMPRODUCT((Producción_Agricola[[#This Row],[Mes Financiero]]=Tipo_Cambio[Mes])*(Producción_Agricola[[#This Row],[Año Financiero]]=Tipo_Cambio[Año])*(Tipo_Cambio[$/U$S]))</f>
        <v>0</v>
      </c>
      <c r="AL397" s="704">
        <f>SUMPRODUCT((Producción_Agricola[[#This Row],[Mes Financiero]]=Tipo_Cambio[Mes])*(Producción_Agricola[[#This Row],[Año Financiero]]=Tipo_Cambio[Año])*(Tipo_Cambio[Actualización]))</f>
        <v>0</v>
      </c>
      <c r="AM397" s="709">
        <f>IFERROR(Producción_Agricola[[#This Row],[Económico $Corrientes]]/Producción_Agricola[[#This Row],[Superficie]],0)</f>
        <v>0</v>
      </c>
      <c r="AN397" s="712">
        <f>IFERROR(Producción_Agricola[[#This Row],[Económico $Constantes]]/Producción_Agricola[[#This Row],[Superficie]],0)</f>
        <v>0</v>
      </c>
      <c r="AO397" s="712">
        <f>IFERROR(Producción_Agricola[[#This Row],[Económico U$S Dólares]]/Producción_Agricola[[#This Row],[Superficie]],0)</f>
        <v>0</v>
      </c>
      <c r="AP397" s="711">
        <f>IF(Económico!$F$4=0,0,Producción_Agricola[[#This Row],[Centro de Costo]])</f>
        <v>0</v>
      </c>
      <c r="AQ397" s="512"/>
      <c r="AR397" s="513"/>
      <c r="AS397"/>
    </row>
    <row r="398" spans="1:45" x14ac:dyDescent="0.25">
      <c r="A398" s="509"/>
      <c r="B398" s="494"/>
      <c r="C398" s="509"/>
      <c r="D398" s="478"/>
      <c r="E398" s="478"/>
      <c r="F398" s="668">
        <f t="shared" si="59"/>
        <v>0</v>
      </c>
      <c r="G398" s="673">
        <f t="shared" si="60"/>
        <v>0</v>
      </c>
      <c r="H398" s="673">
        <f t="shared" si="61"/>
        <v>0</v>
      </c>
      <c r="I398" s="675">
        <f>IFERROR(INDEX(Tabla8[],MATCH(Producción_Agricola[[#This Row],[Unidad de Negocio]],Tabla8[Unidades de Negocio],0),2),0)</f>
        <v>0</v>
      </c>
      <c r="J39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98" s="488"/>
      <c r="L398" s="482"/>
      <c r="M398" s="483"/>
      <c r="N398" s="484"/>
      <c r="O398" s="690">
        <f>Producción_Agricola[[#This Row],[Superficie]]*Producción_Agricola[[#This Row],[Cantidad]]</f>
        <v>0</v>
      </c>
      <c r="P398" s="482"/>
      <c r="Q398" s="484"/>
      <c r="R398" s="485"/>
      <c r="S39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98" s="695">
        <f>IFERROR(Producción_Agricola[[#This Row],[Económico $Corrientes]]/Producción_Agricola[[#This Row],[Indexación Económico]],0)</f>
        <v>0</v>
      </c>
      <c r="U39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9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98" s="695">
        <f>IFERROR(Producción_Agricola[[#This Row],[Financiero $Corrientes]]/Producción_Agricola[[#This Row],[Indexación Financiero]],0)</f>
        <v>0</v>
      </c>
      <c r="X39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9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98" s="699">
        <f>IFERROR(Producción_Agricola[[#This Row],[Intereses $Corrientes]]/Producción_Agricola[[#This Row],[Indexación Financiero]],0)</f>
        <v>0</v>
      </c>
      <c r="AA39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98" s="701">
        <f>IFERROR(INDEX(Produccion_Agricola_Cuentas[],MATCH(Producción_Agricola[[#This Row],[Cuenta Contable]],Produccion_Agricola_Cuentas[Cuenta Contable],0),2),0)</f>
        <v>0</v>
      </c>
      <c r="AC398" s="702">
        <f>IFERROR(INDEX(Tabla9[],MATCH(Producción_Agricola[[#This Row],[Movimiento]],Tabla9[Movimientos],0),2),0)</f>
        <v>0</v>
      </c>
      <c r="AD398" s="703">
        <f>IFERROR(INDEX(Tabla9[],MATCH(Producción_Agricola[[#This Row],[Movimiento]],Tabla9[Movimientos],0),3),0)</f>
        <v>0</v>
      </c>
      <c r="AE398" s="698">
        <f>IF(Producción_Agricola[[#This Row],[Fecha Económico]]=0,0,MONTH(Producción_Agricola[[#This Row],[Fecha Económico]]))</f>
        <v>0</v>
      </c>
      <c r="AF398" s="699">
        <f>IF(Producción_Agricola[[#This Row],[Fecha Económico]]=0,0,YEAR(Producción_Agricola[[#This Row],[Fecha Económico]]))</f>
        <v>0</v>
      </c>
      <c r="AG398" s="704">
        <f>SUMPRODUCT((Producción_Agricola[[#This Row],[Mes Económico]]=Tipo_Cambio[Mes])*(Producción_Agricola[[#This Row],[Año Económico]]=Tipo_Cambio[Año])*(Tipo_Cambio[$/U$S]))</f>
        <v>0</v>
      </c>
      <c r="AH398" s="703">
        <f>SUMPRODUCT((Producción_Agricola[[#This Row],[Mes Económico]]=Tipo_Cambio[Mes])*(Producción_Agricola[[#This Row],[Año Económico]]=Tipo_Cambio[Año])*(Tipo_Cambio[Actualización]))</f>
        <v>0</v>
      </c>
      <c r="AI398" s="699">
        <f>IF(ISNUMBER(Producción_Agricola[[#This Row],[Fecha Financiero]])=TRUE,MONTH(Producción_Agricola[[#This Row],[Fecha Financiero]]),0)</f>
        <v>0</v>
      </c>
      <c r="AJ398" s="699">
        <f>IF(ISNUMBER(Producción_Agricola[[#This Row],[Fecha Financiero]])=TRUE,YEAR(Producción_Agricola[[#This Row],[Fecha Financiero]]),0)</f>
        <v>0</v>
      </c>
      <c r="AK398" s="704">
        <f>SUMPRODUCT((Producción_Agricola[[#This Row],[Mes Financiero]]=Tipo_Cambio[Mes])*(Producción_Agricola[[#This Row],[Año Financiero]]=Tipo_Cambio[Año])*(Tipo_Cambio[$/U$S]))</f>
        <v>0</v>
      </c>
      <c r="AL398" s="704">
        <f>SUMPRODUCT((Producción_Agricola[[#This Row],[Mes Financiero]]=Tipo_Cambio[Mes])*(Producción_Agricola[[#This Row],[Año Financiero]]=Tipo_Cambio[Año])*(Tipo_Cambio[Actualización]))</f>
        <v>0</v>
      </c>
      <c r="AM398" s="709">
        <f>IFERROR(Producción_Agricola[[#This Row],[Económico $Corrientes]]/Producción_Agricola[[#This Row],[Superficie]],0)</f>
        <v>0</v>
      </c>
      <c r="AN398" s="712">
        <f>IFERROR(Producción_Agricola[[#This Row],[Económico $Constantes]]/Producción_Agricola[[#This Row],[Superficie]],0)</f>
        <v>0</v>
      </c>
      <c r="AO398" s="712">
        <f>IFERROR(Producción_Agricola[[#This Row],[Económico U$S Dólares]]/Producción_Agricola[[#This Row],[Superficie]],0)</f>
        <v>0</v>
      </c>
      <c r="AP398" s="711">
        <f>IF(Económico!$F$4=0,0,Producción_Agricola[[#This Row],[Centro de Costo]])</f>
        <v>0</v>
      </c>
      <c r="AQ398" s="512"/>
      <c r="AR398" s="513"/>
      <c r="AS398"/>
    </row>
    <row r="399" spans="1:45" x14ac:dyDescent="0.25">
      <c r="A399" s="509"/>
      <c r="B399" s="494"/>
      <c r="C399" s="509"/>
      <c r="D399" s="478"/>
      <c r="E399" s="478"/>
      <c r="F399" s="668">
        <f t="shared" si="59"/>
        <v>0</v>
      </c>
      <c r="G399" s="673">
        <f t="shared" si="60"/>
        <v>0</v>
      </c>
      <c r="H399" s="673">
        <f t="shared" si="61"/>
        <v>0</v>
      </c>
      <c r="I399" s="675">
        <f>IFERROR(INDEX(Tabla8[],MATCH(Producción_Agricola[[#This Row],[Unidad de Negocio]],Tabla8[Unidades de Negocio],0),2),0)</f>
        <v>0</v>
      </c>
      <c r="J39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399" s="488"/>
      <c r="L399" s="482"/>
      <c r="M399" s="483"/>
      <c r="N399" s="484"/>
      <c r="O399" s="690">
        <f>Producción_Agricola[[#This Row],[Superficie]]*Producción_Agricola[[#This Row],[Cantidad]]</f>
        <v>0</v>
      </c>
      <c r="P399" s="482"/>
      <c r="Q399" s="484"/>
      <c r="R399" s="485"/>
      <c r="S39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399" s="695">
        <f>IFERROR(Producción_Agricola[[#This Row],[Económico $Corrientes]]/Producción_Agricola[[#This Row],[Indexación Económico]],0)</f>
        <v>0</v>
      </c>
      <c r="U39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39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399" s="695">
        <f>IFERROR(Producción_Agricola[[#This Row],[Financiero $Corrientes]]/Producción_Agricola[[#This Row],[Indexación Financiero]],0)</f>
        <v>0</v>
      </c>
      <c r="X39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39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399" s="699">
        <f>IFERROR(Producción_Agricola[[#This Row],[Intereses $Corrientes]]/Producción_Agricola[[#This Row],[Indexación Financiero]],0)</f>
        <v>0</v>
      </c>
      <c r="AA39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399" s="701">
        <f>IFERROR(INDEX(Produccion_Agricola_Cuentas[],MATCH(Producción_Agricola[[#This Row],[Cuenta Contable]],Produccion_Agricola_Cuentas[Cuenta Contable],0),2),0)</f>
        <v>0</v>
      </c>
      <c r="AC399" s="702">
        <f>IFERROR(INDEX(Tabla9[],MATCH(Producción_Agricola[[#This Row],[Movimiento]],Tabla9[Movimientos],0),2),0)</f>
        <v>0</v>
      </c>
      <c r="AD399" s="703">
        <f>IFERROR(INDEX(Tabla9[],MATCH(Producción_Agricola[[#This Row],[Movimiento]],Tabla9[Movimientos],0),3),0)</f>
        <v>0</v>
      </c>
      <c r="AE399" s="698">
        <f>IF(Producción_Agricola[[#This Row],[Fecha Económico]]=0,0,MONTH(Producción_Agricola[[#This Row],[Fecha Económico]]))</f>
        <v>0</v>
      </c>
      <c r="AF399" s="699">
        <f>IF(Producción_Agricola[[#This Row],[Fecha Económico]]=0,0,YEAR(Producción_Agricola[[#This Row],[Fecha Económico]]))</f>
        <v>0</v>
      </c>
      <c r="AG399" s="704">
        <f>SUMPRODUCT((Producción_Agricola[[#This Row],[Mes Económico]]=Tipo_Cambio[Mes])*(Producción_Agricola[[#This Row],[Año Económico]]=Tipo_Cambio[Año])*(Tipo_Cambio[$/U$S]))</f>
        <v>0</v>
      </c>
      <c r="AH399" s="703">
        <f>SUMPRODUCT((Producción_Agricola[[#This Row],[Mes Económico]]=Tipo_Cambio[Mes])*(Producción_Agricola[[#This Row],[Año Económico]]=Tipo_Cambio[Año])*(Tipo_Cambio[Actualización]))</f>
        <v>0</v>
      </c>
      <c r="AI399" s="699">
        <f>IF(ISNUMBER(Producción_Agricola[[#This Row],[Fecha Financiero]])=TRUE,MONTH(Producción_Agricola[[#This Row],[Fecha Financiero]]),0)</f>
        <v>0</v>
      </c>
      <c r="AJ399" s="699">
        <f>IF(ISNUMBER(Producción_Agricola[[#This Row],[Fecha Financiero]])=TRUE,YEAR(Producción_Agricola[[#This Row],[Fecha Financiero]]),0)</f>
        <v>0</v>
      </c>
      <c r="AK399" s="704">
        <f>SUMPRODUCT((Producción_Agricola[[#This Row],[Mes Financiero]]=Tipo_Cambio[Mes])*(Producción_Agricola[[#This Row],[Año Financiero]]=Tipo_Cambio[Año])*(Tipo_Cambio[$/U$S]))</f>
        <v>0</v>
      </c>
      <c r="AL399" s="704">
        <f>SUMPRODUCT((Producción_Agricola[[#This Row],[Mes Financiero]]=Tipo_Cambio[Mes])*(Producción_Agricola[[#This Row],[Año Financiero]]=Tipo_Cambio[Año])*(Tipo_Cambio[Actualización]))</f>
        <v>0</v>
      </c>
      <c r="AM399" s="709">
        <f>IFERROR(Producción_Agricola[[#This Row],[Económico $Corrientes]]/Producción_Agricola[[#This Row],[Superficie]],0)</f>
        <v>0</v>
      </c>
      <c r="AN399" s="712">
        <f>IFERROR(Producción_Agricola[[#This Row],[Económico $Constantes]]/Producción_Agricola[[#This Row],[Superficie]],0)</f>
        <v>0</v>
      </c>
      <c r="AO399" s="712">
        <f>IFERROR(Producción_Agricola[[#This Row],[Económico U$S Dólares]]/Producción_Agricola[[#This Row],[Superficie]],0)</f>
        <v>0</v>
      </c>
      <c r="AP399" s="711">
        <f>IF(Económico!$F$4=0,0,Producción_Agricola[[#This Row],[Centro de Costo]])</f>
        <v>0</v>
      </c>
      <c r="AQ399" s="512"/>
      <c r="AR399" s="513"/>
      <c r="AS399"/>
    </row>
    <row r="400" spans="1:45" x14ac:dyDescent="0.25">
      <c r="A400" s="509"/>
      <c r="B400" s="494"/>
      <c r="C400" s="509"/>
      <c r="D400" s="478"/>
      <c r="E400" s="478"/>
      <c r="F400" s="668">
        <f t="shared" si="59"/>
        <v>0</v>
      </c>
      <c r="G400" s="673">
        <f t="shared" si="60"/>
        <v>0</v>
      </c>
      <c r="H400" s="673">
        <f t="shared" si="61"/>
        <v>0</v>
      </c>
      <c r="I400" s="675">
        <f>IFERROR(INDEX(Tabla8[],MATCH(Producción_Agricola[[#This Row],[Unidad de Negocio]],Tabla8[Unidades de Negocio],0),2),0)</f>
        <v>0</v>
      </c>
      <c r="J40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00" s="488"/>
      <c r="L400" s="482"/>
      <c r="M400" s="483"/>
      <c r="N400" s="484"/>
      <c r="O400" s="690">
        <f>Producción_Agricola[[#This Row],[Superficie]]*Producción_Agricola[[#This Row],[Cantidad]]</f>
        <v>0</v>
      </c>
      <c r="P400" s="482"/>
      <c r="Q400" s="484"/>
      <c r="R400" s="485"/>
      <c r="S40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00" s="695">
        <f>IFERROR(Producción_Agricola[[#This Row],[Económico $Corrientes]]/Producción_Agricola[[#This Row],[Indexación Económico]],0)</f>
        <v>0</v>
      </c>
      <c r="U40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0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00" s="695">
        <f>IFERROR(Producción_Agricola[[#This Row],[Financiero $Corrientes]]/Producción_Agricola[[#This Row],[Indexación Financiero]],0)</f>
        <v>0</v>
      </c>
      <c r="X40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0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00" s="699">
        <f>IFERROR(Producción_Agricola[[#This Row],[Intereses $Corrientes]]/Producción_Agricola[[#This Row],[Indexación Financiero]],0)</f>
        <v>0</v>
      </c>
      <c r="AA40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00" s="701">
        <f>IFERROR(INDEX(Produccion_Agricola_Cuentas[],MATCH(Producción_Agricola[[#This Row],[Cuenta Contable]],Produccion_Agricola_Cuentas[Cuenta Contable],0),2),0)</f>
        <v>0</v>
      </c>
      <c r="AC400" s="702">
        <f>IFERROR(INDEX(Tabla9[],MATCH(Producción_Agricola[[#This Row],[Movimiento]],Tabla9[Movimientos],0),2),0)</f>
        <v>0</v>
      </c>
      <c r="AD400" s="703">
        <f>IFERROR(INDEX(Tabla9[],MATCH(Producción_Agricola[[#This Row],[Movimiento]],Tabla9[Movimientos],0),3),0)</f>
        <v>0</v>
      </c>
      <c r="AE400" s="698">
        <f>IF(Producción_Agricola[[#This Row],[Fecha Económico]]=0,0,MONTH(Producción_Agricola[[#This Row],[Fecha Económico]]))</f>
        <v>0</v>
      </c>
      <c r="AF400" s="699">
        <f>IF(Producción_Agricola[[#This Row],[Fecha Económico]]=0,0,YEAR(Producción_Agricola[[#This Row],[Fecha Económico]]))</f>
        <v>0</v>
      </c>
      <c r="AG400" s="704">
        <f>SUMPRODUCT((Producción_Agricola[[#This Row],[Mes Económico]]=Tipo_Cambio[Mes])*(Producción_Agricola[[#This Row],[Año Económico]]=Tipo_Cambio[Año])*(Tipo_Cambio[$/U$S]))</f>
        <v>0</v>
      </c>
      <c r="AH400" s="703">
        <f>SUMPRODUCT((Producción_Agricola[[#This Row],[Mes Económico]]=Tipo_Cambio[Mes])*(Producción_Agricola[[#This Row],[Año Económico]]=Tipo_Cambio[Año])*(Tipo_Cambio[Actualización]))</f>
        <v>0</v>
      </c>
      <c r="AI400" s="699">
        <f>IF(ISNUMBER(Producción_Agricola[[#This Row],[Fecha Financiero]])=TRUE,MONTH(Producción_Agricola[[#This Row],[Fecha Financiero]]),0)</f>
        <v>0</v>
      </c>
      <c r="AJ400" s="699">
        <f>IF(ISNUMBER(Producción_Agricola[[#This Row],[Fecha Financiero]])=TRUE,YEAR(Producción_Agricola[[#This Row],[Fecha Financiero]]),0)</f>
        <v>0</v>
      </c>
      <c r="AK400" s="704">
        <f>SUMPRODUCT((Producción_Agricola[[#This Row],[Mes Financiero]]=Tipo_Cambio[Mes])*(Producción_Agricola[[#This Row],[Año Financiero]]=Tipo_Cambio[Año])*(Tipo_Cambio[$/U$S]))</f>
        <v>0</v>
      </c>
      <c r="AL400" s="704">
        <f>SUMPRODUCT((Producción_Agricola[[#This Row],[Mes Financiero]]=Tipo_Cambio[Mes])*(Producción_Agricola[[#This Row],[Año Financiero]]=Tipo_Cambio[Año])*(Tipo_Cambio[Actualización]))</f>
        <v>0</v>
      </c>
      <c r="AM400" s="709">
        <f>IFERROR(Producción_Agricola[[#This Row],[Económico $Corrientes]]/Producción_Agricola[[#This Row],[Superficie]],0)</f>
        <v>0</v>
      </c>
      <c r="AN400" s="712">
        <f>IFERROR(Producción_Agricola[[#This Row],[Económico $Constantes]]/Producción_Agricola[[#This Row],[Superficie]],0)</f>
        <v>0</v>
      </c>
      <c r="AO400" s="712">
        <f>IFERROR(Producción_Agricola[[#This Row],[Económico U$S Dólares]]/Producción_Agricola[[#This Row],[Superficie]],0)</f>
        <v>0</v>
      </c>
      <c r="AP400" s="711">
        <f>IF(Económico!$F$4=0,0,Producción_Agricola[[#This Row],[Centro de Costo]])</f>
        <v>0</v>
      </c>
      <c r="AQ400" s="512"/>
      <c r="AR400" s="513"/>
      <c r="AS400"/>
    </row>
    <row r="401" spans="1:45" x14ac:dyDescent="0.25">
      <c r="A401" s="509"/>
      <c r="B401" s="494"/>
      <c r="C401" s="509"/>
      <c r="D401" s="478"/>
      <c r="E401" s="478"/>
      <c r="F401" s="668">
        <f t="shared" si="59"/>
        <v>0</v>
      </c>
      <c r="G401" s="673">
        <f t="shared" si="60"/>
        <v>0</v>
      </c>
      <c r="H401" s="673">
        <f t="shared" si="61"/>
        <v>0</v>
      </c>
      <c r="I401" s="675">
        <f>IFERROR(INDEX(Tabla8[],MATCH(Producción_Agricola[[#This Row],[Unidad de Negocio]],Tabla8[Unidades de Negocio],0),2),0)</f>
        <v>0</v>
      </c>
      <c r="J40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01" s="488"/>
      <c r="L401" s="482"/>
      <c r="M401" s="483"/>
      <c r="N401" s="484"/>
      <c r="O401" s="690">
        <f>Producción_Agricola[[#This Row],[Superficie]]*Producción_Agricola[[#This Row],[Cantidad]]</f>
        <v>0</v>
      </c>
      <c r="P401" s="482"/>
      <c r="Q401" s="484"/>
      <c r="R401" s="485"/>
      <c r="S40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01" s="695">
        <f>IFERROR(Producción_Agricola[[#This Row],[Económico $Corrientes]]/Producción_Agricola[[#This Row],[Indexación Económico]],0)</f>
        <v>0</v>
      </c>
      <c r="U40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0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01" s="695">
        <f>IFERROR(Producción_Agricola[[#This Row],[Financiero $Corrientes]]/Producción_Agricola[[#This Row],[Indexación Financiero]],0)</f>
        <v>0</v>
      </c>
      <c r="X40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0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01" s="699">
        <f>IFERROR(Producción_Agricola[[#This Row],[Intereses $Corrientes]]/Producción_Agricola[[#This Row],[Indexación Financiero]],0)</f>
        <v>0</v>
      </c>
      <c r="AA40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01" s="701">
        <f>IFERROR(INDEX(Produccion_Agricola_Cuentas[],MATCH(Producción_Agricola[[#This Row],[Cuenta Contable]],Produccion_Agricola_Cuentas[Cuenta Contable],0),2),0)</f>
        <v>0</v>
      </c>
      <c r="AC401" s="702">
        <f>IFERROR(INDEX(Tabla9[],MATCH(Producción_Agricola[[#This Row],[Movimiento]],Tabla9[Movimientos],0),2),0)</f>
        <v>0</v>
      </c>
      <c r="AD401" s="703">
        <f>IFERROR(INDEX(Tabla9[],MATCH(Producción_Agricola[[#This Row],[Movimiento]],Tabla9[Movimientos],0),3),0)</f>
        <v>0</v>
      </c>
      <c r="AE401" s="698">
        <f>IF(Producción_Agricola[[#This Row],[Fecha Económico]]=0,0,MONTH(Producción_Agricola[[#This Row],[Fecha Económico]]))</f>
        <v>0</v>
      </c>
      <c r="AF401" s="699">
        <f>IF(Producción_Agricola[[#This Row],[Fecha Económico]]=0,0,YEAR(Producción_Agricola[[#This Row],[Fecha Económico]]))</f>
        <v>0</v>
      </c>
      <c r="AG401" s="704">
        <f>SUMPRODUCT((Producción_Agricola[[#This Row],[Mes Económico]]=Tipo_Cambio[Mes])*(Producción_Agricola[[#This Row],[Año Económico]]=Tipo_Cambio[Año])*(Tipo_Cambio[$/U$S]))</f>
        <v>0</v>
      </c>
      <c r="AH401" s="703">
        <f>SUMPRODUCT((Producción_Agricola[[#This Row],[Mes Económico]]=Tipo_Cambio[Mes])*(Producción_Agricola[[#This Row],[Año Económico]]=Tipo_Cambio[Año])*(Tipo_Cambio[Actualización]))</f>
        <v>0</v>
      </c>
      <c r="AI401" s="699">
        <f>IF(ISNUMBER(Producción_Agricola[[#This Row],[Fecha Financiero]])=TRUE,MONTH(Producción_Agricola[[#This Row],[Fecha Financiero]]),0)</f>
        <v>0</v>
      </c>
      <c r="AJ401" s="699">
        <f>IF(ISNUMBER(Producción_Agricola[[#This Row],[Fecha Financiero]])=TRUE,YEAR(Producción_Agricola[[#This Row],[Fecha Financiero]]),0)</f>
        <v>0</v>
      </c>
      <c r="AK401" s="704">
        <f>SUMPRODUCT((Producción_Agricola[[#This Row],[Mes Financiero]]=Tipo_Cambio[Mes])*(Producción_Agricola[[#This Row],[Año Financiero]]=Tipo_Cambio[Año])*(Tipo_Cambio[$/U$S]))</f>
        <v>0</v>
      </c>
      <c r="AL401" s="704">
        <f>SUMPRODUCT((Producción_Agricola[[#This Row],[Mes Financiero]]=Tipo_Cambio[Mes])*(Producción_Agricola[[#This Row],[Año Financiero]]=Tipo_Cambio[Año])*(Tipo_Cambio[Actualización]))</f>
        <v>0</v>
      </c>
      <c r="AM401" s="709">
        <f>IFERROR(Producción_Agricola[[#This Row],[Económico $Corrientes]]/Producción_Agricola[[#This Row],[Superficie]],0)</f>
        <v>0</v>
      </c>
      <c r="AN401" s="712">
        <f>IFERROR(Producción_Agricola[[#This Row],[Económico $Constantes]]/Producción_Agricola[[#This Row],[Superficie]],0)</f>
        <v>0</v>
      </c>
      <c r="AO401" s="712">
        <f>IFERROR(Producción_Agricola[[#This Row],[Económico U$S Dólares]]/Producción_Agricola[[#This Row],[Superficie]],0)</f>
        <v>0</v>
      </c>
      <c r="AP401" s="711">
        <f>IF(Económico!$F$4=0,0,Producción_Agricola[[#This Row],[Centro de Costo]])</f>
        <v>0</v>
      </c>
      <c r="AQ401" s="512"/>
      <c r="AR401" s="513"/>
      <c r="AS401"/>
    </row>
    <row r="402" spans="1:45" x14ac:dyDescent="0.25">
      <c r="A402" s="509"/>
      <c r="B402" s="494"/>
      <c r="C402" s="509"/>
      <c r="D402" s="478"/>
      <c r="E402" s="478"/>
      <c r="F402" s="668">
        <f t="shared" si="59"/>
        <v>0</v>
      </c>
      <c r="G402" s="673">
        <f t="shared" si="60"/>
        <v>0</v>
      </c>
      <c r="H402" s="673">
        <f t="shared" si="61"/>
        <v>0</v>
      </c>
      <c r="I402" s="675">
        <f>IFERROR(INDEX(Tabla8[],MATCH(Producción_Agricola[[#This Row],[Unidad de Negocio]],Tabla8[Unidades de Negocio],0),2),0)</f>
        <v>0</v>
      </c>
      <c r="J40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02" s="488"/>
      <c r="L402" s="482"/>
      <c r="M402" s="483"/>
      <c r="N402" s="484"/>
      <c r="O402" s="690">
        <f>Producción_Agricola[[#This Row],[Superficie]]*Producción_Agricola[[#This Row],[Cantidad]]</f>
        <v>0</v>
      </c>
      <c r="P402" s="482"/>
      <c r="Q402" s="484"/>
      <c r="R402" s="485"/>
      <c r="S40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02" s="695">
        <f>IFERROR(Producción_Agricola[[#This Row],[Económico $Corrientes]]/Producción_Agricola[[#This Row],[Indexación Económico]],0)</f>
        <v>0</v>
      </c>
      <c r="U40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0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02" s="695">
        <f>IFERROR(Producción_Agricola[[#This Row],[Financiero $Corrientes]]/Producción_Agricola[[#This Row],[Indexación Financiero]],0)</f>
        <v>0</v>
      </c>
      <c r="X40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0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02" s="699">
        <f>IFERROR(Producción_Agricola[[#This Row],[Intereses $Corrientes]]/Producción_Agricola[[#This Row],[Indexación Financiero]],0)</f>
        <v>0</v>
      </c>
      <c r="AA40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02" s="701">
        <f>IFERROR(INDEX(Produccion_Agricola_Cuentas[],MATCH(Producción_Agricola[[#This Row],[Cuenta Contable]],Produccion_Agricola_Cuentas[Cuenta Contable],0),2),0)</f>
        <v>0</v>
      </c>
      <c r="AC402" s="702">
        <f>IFERROR(INDEX(Tabla9[],MATCH(Producción_Agricola[[#This Row],[Movimiento]],Tabla9[Movimientos],0),2),0)</f>
        <v>0</v>
      </c>
      <c r="AD402" s="703">
        <f>IFERROR(INDEX(Tabla9[],MATCH(Producción_Agricola[[#This Row],[Movimiento]],Tabla9[Movimientos],0),3),0)</f>
        <v>0</v>
      </c>
      <c r="AE402" s="698">
        <f>IF(Producción_Agricola[[#This Row],[Fecha Económico]]=0,0,MONTH(Producción_Agricola[[#This Row],[Fecha Económico]]))</f>
        <v>0</v>
      </c>
      <c r="AF402" s="699">
        <f>IF(Producción_Agricola[[#This Row],[Fecha Económico]]=0,0,YEAR(Producción_Agricola[[#This Row],[Fecha Económico]]))</f>
        <v>0</v>
      </c>
      <c r="AG402" s="704">
        <f>SUMPRODUCT((Producción_Agricola[[#This Row],[Mes Económico]]=Tipo_Cambio[Mes])*(Producción_Agricola[[#This Row],[Año Económico]]=Tipo_Cambio[Año])*(Tipo_Cambio[$/U$S]))</f>
        <v>0</v>
      </c>
      <c r="AH402" s="703">
        <f>SUMPRODUCT((Producción_Agricola[[#This Row],[Mes Económico]]=Tipo_Cambio[Mes])*(Producción_Agricola[[#This Row],[Año Económico]]=Tipo_Cambio[Año])*(Tipo_Cambio[Actualización]))</f>
        <v>0</v>
      </c>
      <c r="AI402" s="699">
        <f>IF(ISNUMBER(Producción_Agricola[[#This Row],[Fecha Financiero]])=TRUE,MONTH(Producción_Agricola[[#This Row],[Fecha Financiero]]),0)</f>
        <v>0</v>
      </c>
      <c r="AJ402" s="699">
        <f>IF(ISNUMBER(Producción_Agricola[[#This Row],[Fecha Financiero]])=TRUE,YEAR(Producción_Agricola[[#This Row],[Fecha Financiero]]),0)</f>
        <v>0</v>
      </c>
      <c r="AK402" s="704">
        <f>SUMPRODUCT((Producción_Agricola[[#This Row],[Mes Financiero]]=Tipo_Cambio[Mes])*(Producción_Agricola[[#This Row],[Año Financiero]]=Tipo_Cambio[Año])*(Tipo_Cambio[$/U$S]))</f>
        <v>0</v>
      </c>
      <c r="AL402" s="704">
        <f>SUMPRODUCT((Producción_Agricola[[#This Row],[Mes Financiero]]=Tipo_Cambio[Mes])*(Producción_Agricola[[#This Row],[Año Financiero]]=Tipo_Cambio[Año])*(Tipo_Cambio[Actualización]))</f>
        <v>0</v>
      </c>
      <c r="AM402" s="709">
        <f>IFERROR(Producción_Agricola[[#This Row],[Económico $Corrientes]]/Producción_Agricola[[#This Row],[Superficie]],0)</f>
        <v>0</v>
      </c>
      <c r="AN402" s="712">
        <f>IFERROR(Producción_Agricola[[#This Row],[Económico $Constantes]]/Producción_Agricola[[#This Row],[Superficie]],0)</f>
        <v>0</v>
      </c>
      <c r="AO402" s="712">
        <f>IFERROR(Producción_Agricola[[#This Row],[Económico U$S Dólares]]/Producción_Agricola[[#This Row],[Superficie]],0)</f>
        <v>0</v>
      </c>
      <c r="AP402" s="711">
        <f>IF(Económico!$F$4=0,0,Producción_Agricola[[#This Row],[Centro de Costo]])</f>
        <v>0</v>
      </c>
      <c r="AQ402" s="512"/>
      <c r="AR402" s="513"/>
      <c r="AS402"/>
    </row>
    <row r="403" spans="1:45" x14ac:dyDescent="0.25">
      <c r="A403" s="509"/>
      <c r="B403" s="494"/>
      <c r="C403" s="509"/>
      <c r="D403" s="478"/>
      <c r="E403" s="478"/>
      <c r="F403" s="668">
        <f t="shared" si="59"/>
        <v>0</v>
      </c>
      <c r="G403" s="673">
        <f t="shared" si="60"/>
        <v>0</v>
      </c>
      <c r="H403" s="673">
        <f t="shared" si="61"/>
        <v>0</v>
      </c>
      <c r="I403" s="675">
        <f>IFERROR(INDEX(Tabla8[],MATCH(Producción_Agricola[[#This Row],[Unidad de Negocio]],Tabla8[Unidades de Negocio],0),2),0)</f>
        <v>0</v>
      </c>
      <c r="J40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03" s="488"/>
      <c r="L403" s="482"/>
      <c r="M403" s="483"/>
      <c r="N403" s="484"/>
      <c r="O403" s="690">
        <f>Producción_Agricola[[#This Row],[Superficie]]*Producción_Agricola[[#This Row],[Cantidad]]</f>
        <v>0</v>
      </c>
      <c r="P403" s="482"/>
      <c r="Q403" s="484"/>
      <c r="R403" s="485"/>
      <c r="S40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03" s="695">
        <f>IFERROR(Producción_Agricola[[#This Row],[Económico $Corrientes]]/Producción_Agricola[[#This Row],[Indexación Económico]],0)</f>
        <v>0</v>
      </c>
      <c r="U40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0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03" s="695">
        <f>IFERROR(Producción_Agricola[[#This Row],[Financiero $Corrientes]]/Producción_Agricola[[#This Row],[Indexación Financiero]],0)</f>
        <v>0</v>
      </c>
      <c r="X40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0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03" s="699">
        <f>IFERROR(Producción_Agricola[[#This Row],[Intereses $Corrientes]]/Producción_Agricola[[#This Row],[Indexación Financiero]],0)</f>
        <v>0</v>
      </c>
      <c r="AA40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03" s="701">
        <f>IFERROR(INDEX(Produccion_Agricola_Cuentas[],MATCH(Producción_Agricola[[#This Row],[Cuenta Contable]],Produccion_Agricola_Cuentas[Cuenta Contable],0),2),0)</f>
        <v>0</v>
      </c>
      <c r="AC403" s="702">
        <f>IFERROR(INDEX(Tabla9[],MATCH(Producción_Agricola[[#This Row],[Movimiento]],Tabla9[Movimientos],0),2),0)</f>
        <v>0</v>
      </c>
      <c r="AD403" s="703">
        <f>IFERROR(INDEX(Tabla9[],MATCH(Producción_Agricola[[#This Row],[Movimiento]],Tabla9[Movimientos],0),3),0)</f>
        <v>0</v>
      </c>
      <c r="AE403" s="698">
        <f>IF(Producción_Agricola[[#This Row],[Fecha Económico]]=0,0,MONTH(Producción_Agricola[[#This Row],[Fecha Económico]]))</f>
        <v>0</v>
      </c>
      <c r="AF403" s="699">
        <f>IF(Producción_Agricola[[#This Row],[Fecha Económico]]=0,0,YEAR(Producción_Agricola[[#This Row],[Fecha Económico]]))</f>
        <v>0</v>
      </c>
      <c r="AG403" s="704">
        <f>SUMPRODUCT((Producción_Agricola[[#This Row],[Mes Económico]]=Tipo_Cambio[Mes])*(Producción_Agricola[[#This Row],[Año Económico]]=Tipo_Cambio[Año])*(Tipo_Cambio[$/U$S]))</f>
        <v>0</v>
      </c>
      <c r="AH403" s="703">
        <f>SUMPRODUCT((Producción_Agricola[[#This Row],[Mes Económico]]=Tipo_Cambio[Mes])*(Producción_Agricola[[#This Row],[Año Económico]]=Tipo_Cambio[Año])*(Tipo_Cambio[Actualización]))</f>
        <v>0</v>
      </c>
      <c r="AI403" s="699">
        <f>IF(ISNUMBER(Producción_Agricola[[#This Row],[Fecha Financiero]])=TRUE,MONTH(Producción_Agricola[[#This Row],[Fecha Financiero]]),0)</f>
        <v>0</v>
      </c>
      <c r="AJ403" s="699">
        <f>IF(ISNUMBER(Producción_Agricola[[#This Row],[Fecha Financiero]])=TRUE,YEAR(Producción_Agricola[[#This Row],[Fecha Financiero]]),0)</f>
        <v>0</v>
      </c>
      <c r="AK403" s="704">
        <f>SUMPRODUCT((Producción_Agricola[[#This Row],[Mes Financiero]]=Tipo_Cambio[Mes])*(Producción_Agricola[[#This Row],[Año Financiero]]=Tipo_Cambio[Año])*(Tipo_Cambio[$/U$S]))</f>
        <v>0</v>
      </c>
      <c r="AL403" s="704">
        <f>SUMPRODUCT((Producción_Agricola[[#This Row],[Mes Financiero]]=Tipo_Cambio[Mes])*(Producción_Agricola[[#This Row],[Año Financiero]]=Tipo_Cambio[Año])*(Tipo_Cambio[Actualización]))</f>
        <v>0</v>
      </c>
      <c r="AM403" s="709">
        <f>IFERROR(Producción_Agricola[[#This Row],[Económico $Corrientes]]/Producción_Agricola[[#This Row],[Superficie]],0)</f>
        <v>0</v>
      </c>
      <c r="AN403" s="712">
        <f>IFERROR(Producción_Agricola[[#This Row],[Económico $Constantes]]/Producción_Agricola[[#This Row],[Superficie]],0)</f>
        <v>0</v>
      </c>
      <c r="AO403" s="712">
        <f>IFERROR(Producción_Agricola[[#This Row],[Económico U$S Dólares]]/Producción_Agricola[[#This Row],[Superficie]],0)</f>
        <v>0</v>
      </c>
      <c r="AP403" s="711">
        <f>IF(Económico!$F$4=0,0,Producción_Agricola[[#This Row],[Centro de Costo]])</f>
        <v>0</v>
      </c>
      <c r="AQ403" s="512"/>
      <c r="AR403" s="513"/>
      <c r="AS403"/>
    </row>
    <row r="404" spans="1:45" x14ac:dyDescent="0.25">
      <c r="A404" s="509"/>
      <c r="B404" s="494"/>
      <c r="C404" s="509"/>
      <c r="D404" s="478"/>
      <c r="E404" s="478"/>
      <c r="F404" s="668">
        <f t="shared" si="59"/>
        <v>0</v>
      </c>
      <c r="G404" s="673">
        <f t="shared" si="60"/>
        <v>0</v>
      </c>
      <c r="H404" s="673">
        <f t="shared" si="61"/>
        <v>0</v>
      </c>
      <c r="I404" s="675">
        <f>IFERROR(INDEX(Tabla8[],MATCH(Producción_Agricola[[#This Row],[Unidad de Negocio]],Tabla8[Unidades de Negocio],0),2),0)</f>
        <v>0</v>
      </c>
      <c r="J40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04" s="488"/>
      <c r="L404" s="482"/>
      <c r="M404" s="483"/>
      <c r="N404" s="484"/>
      <c r="O404" s="690">
        <f>Producción_Agricola[[#This Row],[Superficie]]*Producción_Agricola[[#This Row],[Cantidad]]</f>
        <v>0</v>
      </c>
      <c r="P404" s="482"/>
      <c r="Q404" s="484"/>
      <c r="R404" s="485"/>
      <c r="S40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04" s="695">
        <f>IFERROR(Producción_Agricola[[#This Row],[Económico $Corrientes]]/Producción_Agricola[[#This Row],[Indexación Económico]],0)</f>
        <v>0</v>
      </c>
      <c r="U40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0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04" s="695">
        <f>IFERROR(Producción_Agricola[[#This Row],[Financiero $Corrientes]]/Producción_Agricola[[#This Row],[Indexación Financiero]],0)</f>
        <v>0</v>
      </c>
      <c r="X40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0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04" s="699">
        <f>IFERROR(Producción_Agricola[[#This Row],[Intereses $Corrientes]]/Producción_Agricola[[#This Row],[Indexación Financiero]],0)</f>
        <v>0</v>
      </c>
      <c r="AA40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04" s="701">
        <f>IFERROR(INDEX(Produccion_Agricola_Cuentas[],MATCH(Producción_Agricola[[#This Row],[Cuenta Contable]],Produccion_Agricola_Cuentas[Cuenta Contable],0),2),0)</f>
        <v>0</v>
      </c>
      <c r="AC404" s="702">
        <f>IFERROR(INDEX(Tabla9[],MATCH(Producción_Agricola[[#This Row],[Movimiento]],Tabla9[Movimientos],0),2),0)</f>
        <v>0</v>
      </c>
      <c r="AD404" s="703">
        <f>IFERROR(INDEX(Tabla9[],MATCH(Producción_Agricola[[#This Row],[Movimiento]],Tabla9[Movimientos],0),3),0)</f>
        <v>0</v>
      </c>
      <c r="AE404" s="698">
        <f>IF(Producción_Agricola[[#This Row],[Fecha Económico]]=0,0,MONTH(Producción_Agricola[[#This Row],[Fecha Económico]]))</f>
        <v>0</v>
      </c>
      <c r="AF404" s="699">
        <f>IF(Producción_Agricola[[#This Row],[Fecha Económico]]=0,0,YEAR(Producción_Agricola[[#This Row],[Fecha Económico]]))</f>
        <v>0</v>
      </c>
      <c r="AG404" s="704">
        <f>SUMPRODUCT((Producción_Agricola[[#This Row],[Mes Económico]]=Tipo_Cambio[Mes])*(Producción_Agricola[[#This Row],[Año Económico]]=Tipo_Cambio[Año])*(Tipo_Cambio[$/U$S]))</f>
        <v>0</v>
      </c>
      <c r="AH404" s="703">
        <f>SUMPRODUCT((Producción_Agricola[[#This Row],[Mes Económico]]=Tipo_Cambio[Mes])*(Producción_Agricola[[#This Row],[Año Económico]]=Tipo_Cambio[Año])*(Tipo_Cambio[Actualización]))</f>
        <v>0</v>
      </c>
      <c r="AI404" s="699">
        <f>IF(ISNUMBER(Producción_Agricola[[#This Row],[Fecha Financiero]])=TRUE,MONTH(Producción_Agricola[[#This Row],[Fecha Financiero]]),0)</f>
        <v>0</v>
      </c>
      <c r="AJ404" s="699">
        <f>IF(ISNUMBER(Producción_Agricola[[#This Row],[Fecha Financiero]])=TRUE,YEAR(Producción_Agricola[[#This Row],[Fecha Financiero]]),0)</f>
        <v>0</v>
      </c>
      <c r="AK404" s="704">
        <f>SUMPRODUCT((Producción_Agricola[[#This Row],[Mes Financiero]]=Tipo_Cambio[Mes])*(Producción_Agricola[[#This Row],[Año Financiero]]=Tipo_Cambio[Año])*(Tipo_Cambio[$/U$S]))</f>
        <v>0</v>
      </c>
      <c r="AL404" s="704">
        <f>SUMPRODUCT((Producción_Agricola[[#This Row],[Mes Financiero]]=Tipo_Cambio[Mes])*(Producción_Agricola[[#This Row],[Año Financiero]]=Tipo_Cambio[Año])*(Tipo_Cambio[Actualización]))</f>
        <v>0</v>
      </c>
      <c r="AM404" s="709">
        <f>IFERROR(Producción_Agricola[[#This Row],[Económico $Corrientes]]/Producción_Agricola[[#This Row],[Superficie]],0)</f>
        <v>0</v>
      </c>
      <c r="AN404" s="712">
        <f>IFERROR(Producción_Agricola[[#This Row],[Económico $Constantes]]/Producción_Agricola[[#This Row],[Superficie]],0)</f>
        <v>0</v>
      </c>
      <c r="AO404" s="712">
        <f>IFERROR(Producción_Agricola[[#This Row],[Económico U$S Dólares]]/Producción_Agricola[[#This Row],[Superficie]],0)</f>
        <v>0</v>
      </c>
      <c r="AP404" s="711">
        <f>IF(Económico!$F$4=0,0,Producción_Agricola[[#This Row],[Centro de Costo]])</f>
        <v>0</v>
      </c>
      <c r="AQ404" s="512"/>
      <c r="AR404" s="513"/>
      <c r="AS404"/>
    </row>
    <row r="405" spans="1:45" x14ac:dyDescent="0.25">
      <c r="A405" s="509"/>
      <c r="B405" s="494"/>
      <c r="C405" s="509"/>
      <c r="D405" s="478"/>
      <c r="E405" s="478"/>
      <c r="F405" s="668">
        <f t="shared" si="59"/>
        <v>0</v>
      </c>
      <c r="G405" s="673">
        <f t="shared" si="60"/>
        <v>0</v>
      </c>
      <c r="H405" s="673">
        <f t="shared" si="61"/>
        <v>0</v>
      </c>
      <c r="I405" s="675">
        <f>IFERROR(INDEX(Tabla8[],MATCH(Producción_Agricola[[#This Row],[Unidad de Negocio]],Tabla8[Unidades de Negocio],0),2),0)</f>
        <v>0</v>
      </c>
      <c r="J40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05" s="488"/>
      <c r="L405" s="482"/>
      <c r="M405" s="483"/>
      <c r="N405" s="484"/>
      <c r="O405" s="690">
        <f>Producción_Agricola[[#This Row],[Superficie]]*Producción_Agricola[[#This Row],[Cantidad]]</f>
        <v>0</v>
      </c>
      <c r="P405" s="482"/>
      <c r="Q405" s="484"/>
      <c r="R405" s="485"/>
      <c r="S40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05" s="695">
        <f>IFERROR(Producción_Agricola[[#This Row],[Económico $Corrientes]]/Producción_Agricola[[#This Row],[Indexación Económico]],0)</f>
        <v>0</v>
      </c>
      <c r="U40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0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05" s="695">
        <f>IFERROR(Producción_Agricola[[#This Row],[Financiero $Corrientes]]/Producción_Agricola[[#This Row],[Indexación Financiero]],0)</f>
        <v>0</v>
      </c>
      <c r="X40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0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05" s="699">
        <f>IFERROR(Producción_Agricola[[#This Row],[Intereses $Corrientes]]/Producción_Agricola[[#This Row],[Indexación Financiero]],0)</f>
        <v>0</v>
      </c>
      <c r="AA40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05" s="701">
        <f>IFERROR(INDEX(Produccion_Agricola_Cuentas[],MATCH(Producción_Agricola[[#This Row],[Cuenta Contable]],Produccion_Agricola_Cuentas[Cuenta Contable],0),2),0)</f>
        <v>0</v>
      </c>
      <c r="AC405" s="702">
        <f>IFERROR(INDEX(Tabla9[],MATCH(Producción_Agricola[[#This Row],[Movimiento]],Tabla9[Movimientos],0),2),0)</f>
        <v>0</v>
      </c>
      <c r="AD405" s="703">
        <f>IFERROR(INDEX(Tabla9[],MATCH(Producción_Agricola[[#This Row],[Movimiento]],Tabla9[Movimientos],0),3),0)</f>
        <v>0</v>
      </c>
      <c r="AE405" s="698">
        <f>IF(Producción_Agricola[[#This Row],[Fecha Económico]]=0,0,MONTH(Producción_Agricola[[#This Row],[Fecha Económico]]))</f>
        <v>0</v>
      </c>
      <c r="AF405" s="699">
        <f>IF(Producción_Agricola[[#This Row],[Fecha Económico]]=0,0,YEAR(Producción_Agricola[[#This Row],[Fecha Económico]]))</f>
        <v>0</v>
      </c>
      <c r="AG405" s="704">
        <f>SUMPRODUCT((Producción_Agricola[[#This Row],[Mes Económico]]=Tipo_Cambio[Mes])*(Producción_Agricola[[#This Row],[Año Económico]]=Tipo_Cambio[Año])*(Tipo_Cambio[$/U$S]))</f>
        <v>0</v>
      </c>
      <c r="AH405" s="703">
        <f>SUMPRODUCT((Producción_Agricola[[#This Row],[Mes Económico]]=Tipo_Cambio[Mes])*(Producción_Agricola[[#This Row],[Año Económico]]=Tipo_Cambio[Año])*(Tipo_Cambio[Actualización]))</f>
        <v>0</v>
      </c>
      <c r="AI405" s="699">
        <f>IF(ISNUMBER(Producción_Agricola[[#This Row],[Fecha Financiero]])=TRUE,MONTH(Producción_Agricola[[#This Row],[Fecha Financiero]]),0)</f>
        <v>0</v>
      </c>
      <c r="AJ405" s="699">
        <f>IF(ISNUMBER(Producción_Agricola[[#This Row],[Fecha Financiero]])=TRUE,YEAR(Producción_Agricola[[#This Row],[Fecha Financiero]]),0)</f>
        <v>0</v>
      </c>
      <c r="AK405" s="704">
        <f>SUMPRODUCT((Producción_Agricola[[#This Row],[Mes Financiero]]=Tipo_Cambio[Mes])*(Producción_Agricola[[#This Row],[Año Financiero]]=Tipo_Cambio[Año])*(Tipo_Cambio[$/U$S]))</f>
        <v>0</v>
      </c>
      <c r="AL405" s="704">
        <f>SUMPRODUCT((Producción_Agricola[[#This Row],[Mes Financiero]]=Tipo_Cambio[Mes])*(Producción_Agricola[[#This Row],[Año Financiero]]=Tipo_Cambio[Año])*(Tipo_Cambio[Actualización]))</f>
        <v>0</v>
      </c>
      <c r="AM405" s="709">
        <f>IFERROR(Producción_Agricola[[#This Row],[Económico $Corrientes]]/Producción_Agricola[[#This Row],[Superficie]],0)</f>
        <v>0</v>
      </c>
      <c r="AN405" s="712">
        <f>IFERROR(Producción_Agricola[[#This Row],[Económico $Constantes]]/Producción_Agricola[[#This Row],[Superficie]],0)</f>
        <v>0</v>
      </c>
      <c r="AO405" s="712">
        <f>IFERROR(Producción_Agricola[[#This Row],[Económico U$S Dólares]]/Producción_Agricola[[#This Row],[Superficie]],0)</f>
        <v>0</v>
      </c>
      <c r="AP405" s="711">
        <f>IF(Económico!$F$4=0,0,Producción_Agricola[[#This Row],[Centro de Costo]])</f>
        <v>0</v>
      </c>
      <c r="AQ405" s="512"/>
      <c r="AR405" s="513"/>
      <c r="AS405"/>
    </row>
    <row r="406" spans="1:45" x14ac:dyDescent="0.25">
      <c r="A406" s="509"/>
      <c r="B406" s="494"/>
      <c r="C406" s="509"/>
      <c r="D406" s="478"/>
      <c r="E406" s="478"/>
      <c r="F406" s="668">
        <f t="shared" si="59"/>
        <v>0</v>
      </c>
      <c r="G406" s="673">
        <f t="shared" si="60"/>
        <v>0</v>
      </c>
      <c r="H406" s="673">
        <f t="shared" si="61"/>
        <v>0</v>
      </c>
      <c r="I406" s="675">
        <f>IFERROR(INDEX(Tabla8[],MATCH(Producción_Agricola[[#This Row],[Unidad de Negocio]],Tabla8[Unidades de Negocio],0),2),0)</f>
        <v>0</v>
      </c>
      <c r="J40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06" s="488"/>
      <c r="L406" s="482"/>
      <c r="M406" s="483"/>
      <c r="N406" s="484"/>
      <c r="O406" s="690">
        <f>Producción_Agricola[[#This Row],[Superficie]]*Producción_Agricola[[#This Row],[Cantidad]]</f>
        <v>0</v>
      </c>
      <c r="P406" s="482"/>
      <c r="Q406" s="484"/>
      <c r="R406" s="485"/>
      <c r="S40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06" s="695">
        <f>IFERROR(Producción_Agricola[[#This Row],[Económico $Corrientes]]/Producción_Agricola[[#This Row],[Indexación Económico]],0)</f>
        <v>0</v>
      </c>
      <c r="U40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0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06" s="695">
        <f>IFERROR(Producción_Agricola[[#This Row],[Financiero $Corrientes]]/Producción_Agricola[[#This Row],[Indexación Financiero]],0)</f>
        <v>0</v>
      </c>
      <c r="X40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0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06" s="699">
        <f>IFERROR(Producción_Agricola[[#This Row],[Intereses $Corrientes]]/Producción_Agricola[[#This Row],[Indexación Financiero]],0)</f>
        <v>0</v>
      </c>
      <c r="AA40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06" s="701">
        <f>IFERROR(INDEX(Produccion_Agricola_Cuentas[],MATCH(Producción_Agricola[[#This Row],[Cuenta Contable]],Produccion_Agricola_Cuentas[Cuenta Contable],0),2),0)</f>
        <v>0</v>
      </c>
      <c r="AC406" s="702">
        <f>IFERROR(INDEX(Tabla9[],MATCH(Producción_Agricola[[#This Row],[Movimiento]],Tabla9[Movimientos],0),2),0)</f>
        <v>0</v>
      </c>
      <c r="AD406" s="703">
        <f>IFERROR(INDEX(Tabla9[],MATCH(Producción_Agricola[[#This Row],[Movimiento]],Tabla9[Movimientos],0),3),0)</f>
        <v>0</v>
      </c>
      <c r="AE406" s="698">
        <f>IF(Producción_Agricola[[#This Row],[Fecha Económico]]=0,0,MONTH(Producción_Agricola[[#This Row],[Fecha Económico]]))</f>
        <v>0</v>
      </c>
      <c r="AF406" s="699">
        <f>IF(Producción_Agricola[[#This Row],[Fecha Económico]]=0,0,YEAR(Producción_Agricola[[#This Row],[Fecha Económico]]))</f>
        <v>0</v>
      </c>
      <c r="AG406" s="704">
        <f>SUMPRODUCT((Producción_Agricola[[#This Row],[Mes Económico]]=Tipo_Cambio[Mes])*(Producción_Agricola[[#This Row],[Año Económico]]=Tipo_Cambio[Año])*(Tipo_Cambio[$/U$S]))</f>
        <v>0</v>
      </c>
      <c r="AH406" s="703">
        <f>SUMPRODUCT((Producción_Agricola[[#This Row],[Mes Económico]]=Tipo_Cambio[Mes])*(Producción_Agricola[[#This Row],[Año Económico]]=Tipo_Cambio[Año])*(Tipo_Cambio[Actualización]))</f>
        <v>0</v>
      </c>
      <c r="AI406" s="699">
        <f>IF(ISNUMBER(Producción_Agricola[[#This Row],[Fecha Financiero]])=TRUE,MONTH(Producción_Agricola[[#This Row],[Fecha Financiero]]),0)</f>
        <v>0</v>
      </c>
      <c r="AJ406" s="699">
        <f>IF(ISNUMBER(Producción_Agricola[[#This Row],[Fecha Financiero]])=TRUE,YEAR(Producción_Agricola[[#This Row],[Fecha Financiero]]),0)</f>
        <v>0</v>
      </c>
      <c r="AK406" s="704">
        <f>SUMPRODUCT((Producción_Agricola[[#This Row],[Mes Financiero]]=Tipo_Cambio[Mes])*(Producción_Agricola[[#This Row],[Año Financiero]]=Tipo_Cambio[Año])*(Tipo_Cambio[$/U$S]))</f>
        <v>0</v>
      </c>
      <c r="AL406" s="704">
        <f>SUMPRODUCT((Producción_Agricola[[#This Row],[Mes Financiero]]=Tipo_Cambio[Mes])*(Producción_Agricola[[#This Row],[Año Financiero]]=Tipo_Cambio[Año])*(Tipo_Cambio[Actualización]))</f>
        <v>0</v>
      </c>
      <c r="AM406" s="709">
        <f>IFERROR(Producción_Agricola[[#This Row],[Económico $Corrientes]]/Producción_Agricola[[#This Row],[Superficie]],0)</f>
        <v>0</v>
      </c>
      <c r="AN406" s="712">
        <f>IFERROR(Producción_Agricola[[#This Row],[Económico $Constantes]]/Producción_Agricola[[#This Row],[Superficie]],0)</f>
        <v>0</v>
      </c>
      <c r="AO406" s="712">
        <f>IFERROR(Producción_Agricola[[#This Row],[Económico U$S Dólares]]/Producción_Agricola[[#This Row],[Superficie]],0)</f>
        <v>0</v>
      </c>
      <c r="AP406" s="711">
        <f>IF(Económico!$F$4=0,0,Producción_Agricola[[#This Row],[Centro de Costo]])</f>
        <v>0</v>
      </c>
      <c r="AQ406" s="512"/>
      <c r="AR406" s="513"/>
      <c r="AS406"/>
    </row>
    <row r="407" spans="1:45" x14ac:dyDescent="0.25">
      <c r="A407" s="509"/>
      <c r="B407" s="494"/>
      <c r="C407" s="509"/>
      <c r="D407" s="478"/>
      <c r="E407" s="478"/>
      <c r="F407" s="668">
        <f t="shared" si="59"/>
        <v>0</v>
      </c>
      <c r="G407" s="673">
        <f t="shared" si="60"/>
        <v>0</v>
      </c>
      <c r="H407" s="673">
        <f t="shared" si="61"/>
        <v>0</v>
      </c>
      <c r="I407" s="675">
        <f>IFERROR(INDEX(Tabla8[],MATCH(Producción_Agricola[[#This Row],[Unidad de Negocio]],Tabla8[Unidades de Negocio],0),2),0)</f>
        <v>0</v>
      </c>
      <c r="J40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07" s="488"/>
      <c r="L407" s="482"/>
      <c r="M407" s="483"/>
      <c r="N407" s="484"/>
      <c r="O407" s="690">
        <f>Producción_Agricola[[#This Row],[Superficie]]*Producción_Agricola[[#This Row],[Cantidad]]</f>
        <v>0</v>
      </c>
      <c r="P407" s="482"/>
      <c r="Q407" s="484"/>
      <c r="R407" s="485"/>
      <c r="S40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07" s="695">
        <f>IFERROR(Producción_Agricola[[#This Row],[Económico $Corrientes]]/Producción_Agricola[[#This Row],[Indexación Económico]],0)</f>
        <v>0</v>
      </c>
      <c r="U40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0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07" s="695">
        <f>IFERROR(Producción_Agricola[[#This Row],[Financiero $Corrientes]]/Producción_Agricola[[#This Row],[Indexación Financiero]],0)</f>
        <v>0</v>
      </c>
      <c r="X40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0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07" s="699">
        <f>IFERROR(Producción_Agricola[[#This Row],[Intereses $Corrientes]]/Producción_Agricola[[#This Row],[Indexación Financiero]],0)</f>
        <v>0</v>
      </c>
      <c r="AA40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07" s="701">
        <f>IFERROR(INDEX(Produccion_Agricola_Cuentas[],MATCH(Producción_Agricola[[#This Row],[Cuenta Contable]],Produccion_Agricola_Cuentas[Cuenta Contable],0),2),0)</f>
        <v>0</v>
      </c>
      <c r="AC407" s="702">
        <f>IFERROR(INDEX(Tabla9[],MATCH(Producción_Agricola[[#This Row],[Movimiento]],Tabla9[Movimientos],0),2),0)</f>
        <v>0</v>
      </c>
      <c r="AD407" s="703">
        <f>IFERROR(INDEX(Tabla9[],MATCH(Producción_Agricola[[#This Row],[Movimiento]],Tabla9[Movimientos],0),3),0)</f>
        <v>0</v>
      </c>
      <c r="AE407" s="698">
        <f>IF(Producción_Agricola[[#This Row],[Fecha Económico]]=0,0,MONTH(Producción_Agricola[[#This Row],[Fecha Económico]]))</f>
        <v>0</v>
      </c>
      <c r="AF407" s="699">
        <f>IF(Producción_Agricola[[#This Row],[Fecha Económico]]=0,0,YEAR(Producción_Agricola[[#This Row],[Fecha Económico]]))</f>
        <v>0</v>
      </c>
      <c r="AG407" s="704">
        <f>SUMPRODUCT((Producción_Agricola[[#This Row],[Mes Económico]]=Tipo_Cambio[Mes])*(Producción_Agricola[[#This Row],[Año Económico]]=Tipo_Cambio[Año])*(Tipo_Cambio[$/U$S]))</f>
        <v>0</v>
      </c>
      <c r="AH407" s="703">
        <f>SUMPRODUCT((Producción_Agricola[[#This Row],[Mes Económico]]=Tipo_Cambio[Mes])*(Producción_Agricola[[#This Row],[Año Económico]]=Tipo_Cambio[Año])*(Tipo_Cambio[Actualización]))</f>
        <v>0</v>
      </c>
      <c r="AI407" s="699">
        <f>IF(ISNUMBER(Producción_Agricola[[#This Row],[Fecha Financiero]])=TRUE,MONTH(Producción_Agricola[[#This Row],[Fecha Financiero]]),0)</f>
        <v>0</v>
      </c>
      <c r="AJ407" s="699">
        <f>IF(ISNUMBER(Producción_Agricola[[#This Row],[Fecha Financiero]])=TRUE,YEAR(Producción_Agricola[[#This Row],[Fecha Financiero]]),0)</f>
        <v>0</v>
      </c>
      <c r="AK407" s="704">
        <f>SUMPRODUCT((Producción_Agricola[[#This Row],[Mes Financiero]]=Tipo_Cambio[Mes])*(Producción_Agricola[[#This Row],[Año Financiero]]=Tipo_Cambio[Año])*(Tipo_Cambio[$/U$S]))</f>
        <v>0</v>
      </c>
      <c r="AL407" s="704">
        <f>SUMPRODUCT((Producción_Agricola[[#This Row],[Mes Financiero]]=Tipo_Cambio[Mes])*(Producción_Agricola[[#This Row],[Año Financiero]]=Tipo_Cambio[Año])*(Tipo_Cambio[Actualización]))</f>
        <v>0</v>
      </c>
      <c r="AM407" s="709">
        <f>IFERROR(Producción_Agricola[[#This Row],[Económico $Corrientes]]/Producción_Agricola[[#This Row],[Superficie]],0)</f>
        <v>0</v>
      </c>
      <c r="AN407" s="712">
        <f>IFERROR(Producción_Agricola[[#This Row],[Económico $Constantes]]/Producción_Agricola[[#This Row],[Superficie]],0)</f>
        <v>0</v>
      </c>
      <c r="AO407" s="712">
        <f>IFERROR(Producción_Agricola[[#This Row],[Económico U$S Dólares]]/Producción_Agricola[[#This Row],[Superficie]],0)</f>
        <v>0</v>
      </c>
      <c r="AP407" s="711">
        <f>IF(Económico!$F$4=0,0,Producción_Agricola[[#This Row],[Centro de Costo]])</f>
        <v>0</v>
      </c>
      <c r="AQ407" s="512"/>
      <c r="AR407" s="513"/>
      <c r="AS407"/>
    </row>
    <row r="408" spans="1:45" x14ac:dyDescent="0.25">
      <c r="A408" s="509"/>
      <c r="B408" s="494"/>
      <c r="C408" s="509"/>
      <c r="D408" s="478"/>
      <c r="E408" s="478"/>
      <c r="F408" s="668">
        <f t="shared" si="59"/>
        <v>0</v>
      </c>
      <c r="G408" s="673">
        <f t="shared" si="60"/>
        <v>0</v>
      </c>
      <c r="H408" s="673">
        <f t="shared" si="61"/>
        <v>0</v>
      </c>
      <c r="I408" s="675">
        <f>IFERROR(INDEX(Tabla8[],MATCH(Producción_Agricola[[#This Row],[Unidad de Negocio]],Tabla8[Unidades de Negocio],0),2),0)</f>
        <v>0</v>
      </c>
      <c r="J40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08" s="488"/>
      <c r="L408" s="482"/>
      <c r="M408" s="483"/>
      <c r="N408" s="484"/>
      <c r="O408" s="690">
        <f>Producción_Agricola[[#This Row],[Superficie]]*Producción_Agricola[[#This Row],[Cantidad]]</f>
        <v>0</v>
      </c>
      <c r="P408" s="482"/>
      <c r="Q408" s="484"/>
      <c r="R408" s="485"/>
      <c r="S40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08" s="695">
        <f>IFERROR(Producción_Agricola[[#This Row],[Económico $Corrientes]]/Producción_Agricola[[#This Row],[Indexación Económico]],0)</f>
        <v>0</v>
      </c>
      <c r="U40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0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08" s="695">
        <f>IFERROR(Producción_Agricola[[#This Row],[Financiero $Corrientes]]/Producción_Agricola[[#This Row],[Indexación Financiero]],0)</f>
        <v>0</v>
      </c>
      <c r="X40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0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08" s="699">
        <f>IFERROR(Producción_Agricola[[#This Row],[Intereses $Corrientes]]/Producción_Agricola[[#This Row],[Indexación Financiero]],0)</f>
        <v>0</v>
      </c>
      <c r="AA40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08" s="701">
        <f>IFERROR(INDEX(Produccion_Agricola_Cuentas[],MATCH(Producción_Agricola[[#This Row],[Cuenta Contable]],Produccion_Agricola_Cuentas[Cuenta Contable],0),2),0)</f>
        <v>0</v>
      </c>
      <c r="AC408" s="702">
        <f>IFERROR(INDEX(Tabla9[],MATCH(Producción_Agricola[[#This Row],[Movimiento]],Tabla9[Movimientos],0),2),0)</f>
        <v>0</v>
      </c>
      <c r="AD408" s="703">
        <f>IFERROR(INDEX(Tabla9[],MATCH(Producción_Agricola[[#This Row],[Movimiento]],Tabla9[Movimientos],0),3),0)</f>
        <v>0</v>
      </c>
      <c r="AE408" s="698">
        <f>IF(Producción_Agricola[[#This Row],[Fecha Económico]]=0,0,MONTH(Producción_Agricola[[#This Row],[Fecha Económico]]))</f>
        <v>0</v>
      </c>
      <c r="AF408" s="699">
        <f>IF(Producción_Agricola[[#This Row],[Fecha Económico]]=0,0,YEAR(Producción_Agricola[[#This Row],[Fecha Económico]]))</f>
        <v>0</v>
      </c>
      <c r="AG408" s="704">
        <f>SUMPRODUCT((Producción_Agricola[[#This Row],[Mes Económico]]=Tipo_Cambio[Mes])*(Producción_Agricola[[#This Row],[Año Económico]]=Tipo_Cambio[Año])*(Tipo_Cambio[$/U$S]))</f>
        <v>0</v>
      </c>
      <c r="AH408" s="703">
        <f>SUMPRODUCT((Producción_Agricola[[#This Row],[Mes Económico]]=Tipo_Cambio[Mes])*(Producción_Agricola[[#This Row],[Año Económico]]=Tipo_Cambio[Año])*(Tipo_Cambio[Actualización]))</f>
        <v>0</v>
      </c>
      <c r="AI408" s="699">
        <f>IF(ISNUMBER(Producción_Agricola[[#This Row],[Fecha Financiero]])=TRUE,MONTH(Producción_Agricola[[#This Row],[Fecha Financiero]]),0)</f>
        <v>0</v>
      </c>
      <c r="AJ408" s="699">
        <f>IF(ISNUMBER(Producción_Agricola[[#This Row],[Fecha Financiero]])=TRUE,YEAR(Producción_Agricola[[#This Row],[Fecha Financiero]]),0)</f>
        <v>0</v>
      </c>
      <c r="AK408" s="704">
        <f>SUMPRODUCT((Producción_Agricola[[#This Row],[Mes Financiero]]=Tipo_Cambio[Mes])*(Producción_Agricola[[#This Row],[Año Financiero]]=Tipo_Cambio[Año])*(Tipo_Cambio[$/U$S]))</f>
        <v>0</v>
      </c>
      <c r="AL408" s="704">
        <f>SUMPRODUCT((Producción_Agricola[[#This Row],[Mes Financiero]]=Tipo_Cambio[Mes])*(Producción_Agricola[[#This Row],[Año Financiero]]=Tipo_Cambio[Año])*(Tipo_Cambio[Actualización]))</f>
        <v>0</v>
      </c>
      <c r="AM408" s="709">
        <f>IFERROR(Producción_Agricola[[#This Row],[Económico $Corrientes]]/Producción_Agricola[[#This Row],[Superficie]],0)</f>
        <v>0</v>
      </c>
      <c r="AN408" s="712">
        <f>IFERROR(Producción_Agricola[[#This Row],[Económico $Constantes]]/Producción_Agricola[[#This Row],[Superficie]],0)</f>
        <v>0</v>
      </c>
      <c r="AO408" s="712">
        <f>IFERROR(Producción_Agricola[[#This Row],[Económico U$S Dólares]]/Producción_Agricola[[#This Row],[Superficie]],0)</f>
        <v>0</v>
      </c>
      <c r="AP408" s="711">
        <f>IF(Económico!$F$4=0,0,Producción_Agricola[[#This Row],[Centro de Costo]])</f>
        <v>0</v>
      </c>
      <c r="AQ408" s="512"/>
      <c r="AR408" s="513"/>
      <c r="AS408"/>
    </row>
    <row r="409" spans="1:45" x14ac:dyDescent="0.25">
      <c r="A409" s="509"/>
      <c r="B409" s="494"/>
      <c r="C409" s="509"/>
      <c r="D409" s="478"/>
      <c r="E409" s="478"/>
      <c r="F409" s="668">
        <f t="shared" si="59"/>
        <v>0</v>
      </c>
      <c r="G409" s="673">
        <f t="shared" si="60"/>
        <v>0</v>
      </c>
      <c r="H409" s="673">
        <f t="shared" si="61"/>
        <v>0</v>
      </c>
      <c r="I409" s="675">
        <f>IFERROR(INDEX(Tabla8[],MATCH(Producción_Agricola[[#This Row],[Unidad de Negocio]],Tabla8[Unidades de Negocio],0),2),0)</f>
        <v>0</v>
      </c>
      <c r="J40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09" s="488"/>
      <c r="L409" s="482"/>
      <c r="M409" s="483"/>
      <c r="N409" s="484"/>
      <c r="O409" s="690">
        <f>Producción_Agricola[[#This Row],[Superficie]]*Producción_Agricola[[#This Row],[Cantidad]]</f>
        <v>0</v>
      </c>
      <c r="P409" s="482"/>
      <c r="Q409" s="484"/>
      <c r="R409" s="485"/>
      <c r="S40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09" s="695">
        <f>IFERROR(Producción_Agricola[[#This Row],[Económico $Corrientes]]/Producción_Agricola[[#This Row],[Indexación Económico]],0)</f>
        <v>0</v>
      </c>
      <c r="U40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0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09" s="695">
        <f>IFERROR(Producción_Agricola[[#This Row],[Financiero $Corrientes]]/Producción_Agricola[[#This Row],[Indexación Financiero]],0)</f>
        <v>0</v>
      </c>
      <c r="X40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0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09" s="699">
        <f>IFERROR(Producción_Agricola[[#This Row],[Intereses $Corrientes]]/Producción_Agricola[[#This Row],[Indexación Financiero]],0)</f>
        <v>0</v>
      </c>
      <c r="AA40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09" s="701">
        <f>IFERROR(INDEX(Produccion_Agricola_Cuentas[],MATCH(Producción_Agricola[[#This Row],[Cuenta Contable]],Produccion_Agricola_Cuentas[Cuenta Contable],0),2),0)</f>
        <v>0</v>
      </c>
      <c r="AC409" s="702">
        <f>IFERROR(INDEX(Tabla9[],MATCH(Producción_Agricola[[#This Row],[Movimiento]],Tabla9[Movimientos],0),2),0)</f>
        <v>0</v>
      </c>
      <c r="AD409" s="703">
        <f>IFERROR(INDEX(Tabla9[],MATCH(Producción_Agricola[[#This Row],[Movimiento]],Tabla9[Movimientos],0),3),0)</f>
        <v>0</v>
      </c>
      <c r="AE409" s="698">
        <f>IF(Producción_Agricola[[#This Row],[Fecha Económico]]=0,0,MONTH(Producción_Agricola[[#This Row],[Fecha Económico]]))</f>
        <v>0</v>
      </c>
      <c r="AF409" s="699">
        <f>IF(Producción_Agricola[[#This Row],[Fecha Económico]]=0,0,YEAR(Producción_Agricola[[#This Row],[Fecha Económico]]))</f>
        <v>0</v>
      </c>
      <c r="AG409" s="704">
        <f>SUMPRODUCT((Producción_Agricola[[#This Row],[Mes Económico]]=Tipo_Cambio[Mes])*(Producción_Agricola[[#This Row],[Año Económico]]=Tipo_Cambio[Año])*(Tipo_Cambio[$/U$S]))</f>
        <v>0</v>
      </c>
      <c r="AH409" s="703">
        <f>SUMPRODUCT((Producción_Agricola[[#This Row],[Mes Económico]]=Tipo_Cambio[Mes])*(Producción_Agricola[[#This Row],[Año Económico]]=Tipo_Cambio[Año])*(Tipo_Cambio[Actualización]))</f>
        <v>0</v>
      </c>
      <c r="AI409" s="699">
        <f>IF(ISNUMBER(Producción_Agricola[[#This Row],[Fecha Financiero]])=TRUE,MONTH(Producción_Agricola[[#This Row],[Fecha Financiero]]),0)</f>
        <v>0</v>
      </c>
      <c r="AJ409" s="699">
        <f>IF(ISNUMBER(Producción_Agricola[[#This Row],[Fecha Financiero]])=TRUE,YEAR(Producción_Agricola[[#This Row],[Fecha Financiero]]),0)</f>
        <v>0</v>
      </c>
      <c r="AK409" s="704">
        <f>SUMPRODUCT((Producción_Agricola[[#This Row],[Mes Financiero]]=Tipo_Cambio[Mes])*(Producción_Agricola[[#This Row],[Año Financiero]]=Tipo_Cambio[Año])*(Tipo_Cambio[$/U$S]))</f>
        <v>0</v>
      </c>
      <c r="AL409" s="704">
        <f>SUMPRODUCT((Producción_Agricola[[#This Row],[Mes Financiero]]=Tipo_Cambio[Mes])*(Producción_Agricola[[#This Row],[Año Financiero]]=Tipo_Cambio[Año])*(Tipo_Cambio[Actualización]))</f>
        <v>0</v>
      </c>
      <c r="AM409" s="709">
        <f>IFERROR(Producción_Agricola[[#This Row],[Económico $Corrientes]]/Producción_Agricola[[#This Row],[Superficie]],0)</f>
        <v>0</v>
      </c>
      <c r="AN409" s="712">
        <f>IFERROR(Producción_Agricola[[#This Row],[Económico $Constantes]]/Producción_Agricola[[#This Row],[Superficie]],0)</f>
        <v>0</v>
      </c>
      <c r="AO409" s="712">
        <f>IFERROR(Producción_Agricola[[#This Row],[Económico U$S Dólares]]/Producción_Agricola[[#This Row],[Superficie]],0)</f>
        <v>0</v>
      </c>
      <c r="AP409" s="711">
        <f>IF(Económico!$F$4=0,0,Producción_Agricola[[#This Row],[Centro de Costo]])</f>
        <v>0</v>
      </c>
      <c r="AQ409" s="512"/>
      <c r="AR409" s="513"/>
      <c r="AS409"/>
    </row>
    <row r="410" spans="1:45" x14ac:dyDescent="0.25">
      <c r="A410" s="509"/>
      <c r="B410" s="494"/>
      <c r="C410" s="509"/>
      <c r="D410" s="478"/>
      <c r="E410" s="478"/>
      <c r="F410" s="668">
        <f t="shared" si="59"/>
        <v>0</v>
      </c>
      <c r="G410" s="673">
        <f t="shared" si="60"/>
        <v>0</v>
      </c>
      <c r="H410" s="673">
        <f t="shared" si="61"/>
        <v>0</v>
      </c>
      <c r="I410" s="675">
        <f>IFERROR(INDEX(Tabla8[],MATCH(Producción_Agricola[[#This Row],[Unidad de Negocio]],Tabla8[Unidades de Negocio],0),2),0)</f>
        <v>0</v>
      </c>
      <c r="J41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10" s="488"/>
      <c r="L410" s="482"/>
      <c r="M410" s="483"/>
      <c r="N410" s="484"/>
      <c r="O410" s="690">
        <f>Producción_Agricola[[#This Row],[Superficie]]*Producción_Agricola[[#This Row],[Cantidad]]</f>
        <v>0</v>
      </c>
      <c r="P410" s="482"/>
      <c r="Q410" s="484"/>
      <c r="R410" s="485"/>
      <c r="S41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10" s="695">
        <f>IFERROR(Producción_Agricola[[#This Row],[Económico $Corrientes]]/Producción_Agricola[[#This Row],[Indexación Económico]],0)</f>
        <v>0</v>
      </c>
      <c r="U41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1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10" s="695">
        <f>IFERROR(Producción_Agricola[[#This Row],[Financiero $Corrientes]]/Producción_Agricola[[#This Row],[Indexación Financiero]],0)</f>
        <v>0</v>
      </c>
      <c r="X41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1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10" s="699">
        <f>IFERROR(Producción_Agricola[[#This Row],[Intereses $Corrientes]]/Producción_Agricola[[#This Row],[Indexación Financiero]],0)</f>
        <v>0</v>
      </c>
      <c r="AA41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10" s="701">
        <f>IFERROR(INDEX(Produccion_Agricola_Cuentas[],MATCH(Producción_Agricola[[#This Row],[Cuenta Contable]],Produccion_Agricola_Cuentas[Cuenta Contable],0),2),0)</f>
        <v>0</v>
      </c>
      <c r="AC410" s="702">
        <f>IFERROR(INDEX(Tabla9[],MATCH(Producción_Agricola[[#This Row],[Movimiento]],Tabla9[Movimientos],0),2),0)</f>
        <v>0</v>
      </c>
      <c r="AD410" s="703">
        <f>IFERROR(INDEX(Tabla9[],MATCH(Producción_Agricola[[#This Row],[Movimiento]],Tabla9[Movimientos],0),3),0)</f>
        <v>0</v>
      </c>
      <c r="AE410" s="698">
        <f>IF(Producción_Agricola[[#This Row],[Fecha Económico]]=0,0,MONTH(Producción_Agricola[[#This Row],[Fecha Económico]]))</f>
        <v>0</v>
      </c>
      <c r="AF410" s="699">
        <f>IF(Producción_Agricola[[#This Row],[Fecha Económico]]=0,0,YEAR(Producción_Agricola[[#This Row],[Fecha Económico]]))</f>
        <v>0</v>
      </c>
      <c r="AG410" s="704">
        <f>SUMPRODUCT((Producción_Agricola[[#This Row],[Mes Económico]]=Tipo_Cambio[Mes])*(Producción_Agricola[[#This Row],[Año Económico]]=Tipo_Cambio[Año])*(Tipo_Cambio[$/U$S]))</f>
        <v>0</v>
      </c>
      <c r="AH410" s="703">
        <f>SUMPRODUCT((Producción_Agricola[[#This Row],[Mes Económico]]=Tipo_Cambio[Mes])*(Producción_Agricola[[#This Row],[Año Económico]]=Tipo_Cambio[Año])*(Tipo_Cambio[Actualización]))</f>
        <v>0</v>
      </c>
      <c r="AI410" s="699">
        <f>IF(ISNUMBER(Producción_Agricola[[#This Row],[Fecha Financiero]])=TRUE,MONTH(Producción_Agricola[[#This Row],[Fecha Financiero]]),0)</f>
        <v>0</v>
      </c>
      <c r="AJ410" s="699">
        <f>IF(ISNUMBER(Producción_Agricola[[#This Row],[Fecha Financiero]])=TRUE,YEAR(Producción_Agricola[[#This Row],[Fecha Financiero]]),0)</f>
        <v>0</v>
      </c>
      <c r="AK410" s="704">
        <f>SUMPRODUCT((Producción_Agricola[[#This Row],[Mes Financiero]]=Tipo_Cambio[Mes])*(Producción_Agricola[[#This Row],[Año Financiero]]=Tipo_Cambio[Año])*(Tipo_Cambio[$/U$S]))</f>
        <v>0</v>
      </c>
      <c r="AL410" s="704">
        <f>SUMPRODUCT((Producción_Agricola[[#This Row],[Mes Financiero]]=Tipo_Cambio[Mes])*(Producción_Agricola[[#This Row],[Año Financiero]]=Tipo_Cambio[Año])*(Tipo_Cambio[Actualización]))</f>
        <v>0</v>
      </c>
      <c r="AM410" s="709">
        <f>IFERROR(Producción_Agricola[[#This Row],[Económico $Corrientes]]/Producción_Agricola[[#This Row],[Superficie]],0)</f>
        <v>0</v>
      </c>
      <c r="AN410" s="712">
        <f>IFERROR(Producción_Agricola[[#This Row],[Económico $Constantes]]/Producción_Agricola[[#This Row],[Superficie]],0)</f>
        <v>0</v>
      </c>
      <c r="AO410" s="712">
        <f>IFERROR(Producción_Agricola[[#This Row],[Económico U$S Dólares]]/Producción_Agricola[[#This Row],[Superficie]],0)</f>
        <v>0</v>
      </c>
      <c r="AP410" s="711">
        <f>IF(Económico!$F$4=0,0,Producción_Agricola[[#This Row],[Centro de Costo]])</f>
        <v>0</v>
      </c>
      <c r="AQ410" s="512"/>
      <c r="AR410" s="513"/>
      <c r="AS410"/>
    </row>
    <row r="411" spans="1:45" x14ac:dyDescent="0.25">
      <c r="A411" s="509"/>
      <c r="B411" s="494"/>
      <c r="C411" s="509"/>
      <c r="D411" s="478"/>
      <c r="E411" s="478"/>
      <c r="F411" s="668">
        <f t="shared" si="59"/>
        <v>0</v>
      </c>
      <c r="G411" s="673">
        <f t="shared" si="60"/>
        <v>0</v>
      </c>
      <c r="H411" s="673">
        <f t="shared" si="61"/>
        <v>0</v>
      </c>
      <c r="I411" s="675">
        <f>IFERROR(INDEX(Tabla8[],MATCH(Producción_Agricola[[#This Row],[Unidad de Negocio]],Tabla8[Unidades de Negocio],0),2),0)</f>
        <v>0</v>
      </c>
      <c r="J41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11" s="488"/>
      <c r="L411" s="482"/>
      <c r="M411" s="483"/>
      <c r="N411" s="484"/>
      <c r="O411" s="690">
        <f>Producción_Agricola[[#This Row],[Superficie]]*Producción_Agricola[[#This Row],[Cantidad]]</f>
        <v>0</v>
      </c>
      <c r="P411" s="482"/>
      <c r="Q411" s="484"/>
      <c r="R411" s="485"/>
      <c r="S41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11" s="695">
        <f>IFERROR(Producción_Agricola[[#This Row],[Económico $Corrientes]]/Producción_Agricola[[#This Row],[Indexación Económico]],0)</f>
        <v>0</v>
      </c>
      <c r="U41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1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11" s="695">
        <f>IFERROR(Producción_Agricola[[#This Row],[Financiero $Corrientes]]/Producción_Agricola[[#This Row],[Indexación Financiero]],0)</f>
        <v>0</v>
      </c>
      <c r="X41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1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11" s="699">
        <f>IFERROR(Producción_Agricola[[#This Row],[Intereses $Corrientes]]/Producción_Agricola[[#This Row],[Indexación Financiero]],0)</f>
        <v>0</v>
      </c>
      <c r="AA41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11" s="701">
        <f>IFERROR(INDEX(Produccion_Agricola_Cuentas[],MATCH(Producción_Agricola[[#This Row],[Cuenta Contable]],Produccion_Agricola_Cuentas[Cuenta Contable],0),2),0)</f>
        <v>0</v>
      </c>
      <c r="AC411" s="702">
        <f>IFERROR(INDEX(Tabla9[],MATCH(Producción_Agricola[[#This Row],[Movimiento]],Tabla9[Movimientos],0),2),0)</f>
        <v>0</v>
      </c>
      <c r="AD411" s="703">
        <f>IFERROR(INDEX(Tabla9[],MATCH(Producción_Agricola[[#This Row],[Movimiento]],Tabla9[Movimientos],0),3),0)</f>
        <v>0</v>
      </c>
      <c r="AE411" s="698">
        <f>IF(Producción_Agricola[[#This Row],[Fecha Económico]]=0,0,MONTH(Producción_Agricola[[#This Row],[Fecha Económico]]))</f>
        <v>0</v>
      </c>
      <c r="AF411" s="699">
        <f>IF(Producción_Agricola[[#This Row],[Fecha Económico]]=0,0,YEAR(Producción_Agricola[[#This Row],[Fecha Económico]]))</f>
        <v>0</v>
      </c>
      <c r="AG411" s="704">
        <f>SUMPRODUCT((Producción_Agricola[[#This Row],[Mes Económico]]=Tipo_Cambio[Mes])*(Producción_Agricola[[#This Row],[Año Económico]]=Tipo_Cambio[Año])*(Tipo_Cambio[$/U$S]))</f>
        <v>0</v>
      </c>
      <c r="AH411" s="703">
        <f>SUMPRODUCT((Producción_Agricola[[#This Row],[Mes Económico]]=Tipo_Cambio[Mes])*(Producción_Agricola[[#This Row],[Año Económico]]=Tipo_Cambio[Año])*(Tipo_Cambio[Actualización]))</f>
        <v>0</v>
      </c>
      <c r="AI411" s="699">
        <f>IF(ISNUMBER(Producción_Agricola[[#This Row],[Fecha Financiero]])=TRUE,MONTH(Producción_Agricola[[#This Row],[Fecha Financiero]]),0)</f>
        <v>0</v>
      </c>
      <c r="AJ411" s="699">
        <f>IF(ISNUMBER(Producción_Agricola[[#This Row],[Fecha Financiero]])=TRUE,YEAR(Producción_Agricola[[#This Row],[Fecha Financiero]]),0)</f>
        <v>0</v>
      </c>
      <c r="AK411" s="704">
        <f>SUMPRODUCT((Producción_Agricola[[#This Row],[Mes Financiero]]=Tipo_Cambio[Mes])*(Producción_Agricola[[#This Row],[Año Financiero]]=Tipo_Cambio[Año])*(Tipo_Cambio[$/U$S]))</f>
        <v>0</v>
      </c>
      <c r="AL411" s="704">
        <f>SUMPRODUCT((Producción_Agricola[[#This Row],[Mes Financiero]]=Tipo_Cambio[Mes])*(Producción_Agricola[[#This Row],[Año Financiero]]=Tipo_Cambio[Año])*(Tipo_Cambio[Actualización]))</f>
        <v>0</v>
      </c>
      <c r="AM411" s="709">
        <f>IFERROR(Producción_Agricola[[#This Row],[Económico $Corrientes]]/Producción_Agricola[[#This Row],[Superficie]],0)</f>
        <v>0</v>
      </c>
      <c r="AN411" s="712">
        <f>IFERROR(Producción_Agricola[[#This Row],[Económico $Constantes]]/Producción_Agricola[[#This Row],[Superficie]],0)</f>
        <v>0</v>
      </c>
      <c r="AO411" s="712">
        <f>IFERROR(Producción_Agricola[[#This Row],[Económico U$S Dólares]]/Producción_Agricola[[#This Row],[Superficie]],0)</f>
        <v>0</v>
      </c>
      <c r="AP411" s="711">
        <f>IF(Económico!$F$4=0,0,Producción_Agricola[[#This Row],[Centro de Costo]])</f>
        <v>0</v>
      </c>
      <c r="AQ411" s="512"/>
      <c r="AR411" s="513"/>
      <c r="AS411"/>
    </row>
    <row r="412" spans="1:45" x14ac:dyDescent="0.25">
      <c r="A412" s="509"/>
      <c r="B412" s="494"/>
      <c r="C412" s="509"/>
      <c r="D412" s="478"/>
      <c r="E412" s="478"/>
      <c r="F412" s="668">
        <f t="shared" si="59"/>
        <v>0</v>
      </c>
      <c r="G412" s="673">
        <f t="shared" si="60"/>
        <v>0</v>
      </c>
      <c r="H412" s="673">
        <f t="shared" si="61"/>
        <v>0</v>
      </c>
      <c r="I412" s="675">
        <f>IFERROR(INDEX(Tabla8[],MATCH(Producción_Agricola[[#This Row],[Unidad de Negocio]],Tabla8[Unidades de Negocio],0),2),0)</f>
        <v>0</v>
      </c>
      <c r="J41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12" s="488"/>
      <c r="L412" s="482"/>
      <c r="M412" s="483"/>
      <c r="N412" s="484"/>
      <c r="O412" s="690">
        <f>Producción_Agricola[[#This Row],[Superficie]]*Producción_Agricola[[#This Row],[Cantidad]]</f>
        <v>0</v>
      </c>
      <c r="P412" s="482"/>
      <c r="Q412" s="484"/>
      <c r="R412" s="485"/>
      <c r="S41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12" s="695">
        <f>IFERROR(Producción_Agricola[[#This Row],[Económico $Corrientes]]/Producción_Agricola[[#This Row],[Indexación Económico]],0)</f>
        <v>0</v>
      </c>
      <c r="U41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1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12" s="695">
        <f>IFERROR(Producción_Agricola[[#This Row],[Financiero $Corrientes]]/Producción_Agricola[[#This Row],[Indexación Financiero]],0)</f>
        <v>0</v>
      </c>
      <c r="X41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1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12" s="699">
        <f>IFERROR(Producción_Agricola[[#This Row],[Intereses $Corrientes]]/Producción_Agricola[[#This Row],[Indexación Financiero]],0)</f>
        <v>0</v>
      </c>
      <c r="AA41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12" s="701">
        <f>IFERROR(INDEX(Produccion_Agricola_Cuentas[],MATCH(Producción_Agricola[[#This Row],[Cuenta Contable]],Produccion_Agricola_Cuentas[Cuenta Contable],0),2),0)</f>
        <v>0</v>
      </c>
      <c r="AC412" s="702">
        <f>IFERROR(INDEX(Tabla9[],MATCH(Producción_Agricola[[#This Row],[Movimiento]],Tabla9[Movimientos],0),2),0)</f>
        <v>0</v>
      </c>
      <c r="AD412" s="703">
        <f>IFERROR(INDEX(Tabla9[],MATCH(Producción_Agricola[[#This Row],[Movimiento]],Tabla9[Movimientos],0),3),0)</f>
        <v>0</v>
      </c>
      <c r="AE412" s="698">
        <f>IF(Producción_Agricola[[#This Row],[Fecha Económico]]=0,0,MONTH(Producción_Agricola[[#This Row],[Fecha Económico]]))</f>
        <v>0</v>
      </c>
      <c r="AF412" s="699">
        <f>IF(Producción_Agricola[[#This Row],[Fecha Económico]]=0,0,YEAR(Producción_Agricola[[#This Row],[Fecha Económico]]))</f>
        <v>0</v>
      </c>
      <c r="AG412" s="704">
        <f>SUMPRODUCT((Producción_Agricola[[#This Row],[Mes Económico]]=Tipo_Cambio[Mes])*(Producción_Agricola[[#This Row],[Año Económico]]=Tipo_Cambio[Año])*(Tipo_Cambio[$/U$S]))</f>
        <v>0</v>
      </c>
      <c r="AH412" s="703">
        <f>SUMPRODUCT((Producción_Agricola[[#This Row],[Mes Económico]]=Tipo_Cambio[Mes])*(Producción_Agricola[[#This Row],[Año Económico]]=Tipo_Cambio[Año])*(Tipo_Cambio[Actualización]))</f>
        <v>0</v>
      </c>
      <c r="AI412" s="699">
        <f>IF(ISNUMBER(Producción_Agricola[[#This Row],[Fecha Financiero]])=TRUE,MONTH(Producción_Agricola[[#This Row],[Fecha Financiero]]),0)</f>
        <v>0</v>
      </c>
      <c r="AJ412" s="699">
        <f>IF(ISNUMBER(Producción_Agricola[[#This Row],[Fecha Financiero]])=TRUE,YEAR(Producción_Agricola[[#This Row],[Fecha Financiero]]),0)</f>
        <v>0</v>
      </c>
      <c r="AK412" s="704">
        <f>SUMPRODUCT((Producción_Agricola[[#This Row],[Mes Financiero]]=Tipo_Cambio[Mes])*(Producción_Agricola[[#This Row],[Año Financiero]]=Tipo_Cambio[Año])*(Tipo_Cambio[$/U$S]))</f>
        <v>0</v>
      </c>
      <c r="AL412" s="704">
        <f>SUMPRODUCT((Producción_Agricola[[#This Row],[Mes Financiero]]=Tipo_Cambio[Mes])*(Producción_Agricola[[#This Row],[Año Financiero]]=Tipo_Cambio[Año])*(Tipo_Cambio[Actualización]))</f>
        <v>0</v>
      </c>
      <c r="AM412" s="709">
        <f>IFERROR(Producción_Agricola[[#This Row],[Económico $Corrientes]]/Producción_Agricola[[#This Row],[Superficie]],0)</f>
        <v>0</v>
      </c>
      <c r="AN412" s="712">
        <f>IFERROR(Producción_Agricola[[#This Row],[Económico $Constantes]]/Producción_Agricola[[#This Row],[Superficie]],0)</f>
        <v>0</v>
      </c>
      <c r="AO412" s="712">
        <f>IFERROR(Producción_Agricola[[#This Row],[Económico U$S Dólares]]/Producción_Agricola[[#This Row],[Superficie]],0)</f>
        <v>0</v>
      </c>
      <c r="AP412" s="711">
        <f>IF(Económico!$F$4=0,0,Producción_Agricola[[#This Row],[Centro de Costo]])</f>
        <v>0</v>
      </c>
      <c r="AQ412" s="512"/>
      <c r="AR412" s="513"/>
      <c r="AS412"/>
    </row>
    <row r="413" spans="1:45" x14ac:dyDescent="0.25">
      <c r="A413" s="509"/>
      <c r="B413" s="494"/>
      <c r="C413" s="509"/>
      <c r="D413" s="478"/>
      <c r="E413" s="478"/>
      <c r="F413" s="668">
        <f t="shared" si="59"/>
        <v>0</v>
      </c>
      <c r="G413" s="673">
        <f t="shared" si="60"/>
        <v>0</v>
      </c>
      <c r="H413" s="673">
        <f t="shared" si="61"/>
        <v>0</v>
      </c>
      <c r="I413" s="675">
        <f>IFERROR(INDEX(Tabla8[],MATCH(Producción_Agricola[[#This Row],[Unidad de Negocio]],Tabla8[Unidades de Negocio],0),2),0)</f>
        <v>0</v>
      </c>
      <c r="J41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13" s="488"/>
      <c r="L413" s="482"/>
      <c r="M413" s="483"/>
      <c r="N413" s="484"/>
      <c r="O413" s="690">
        <f>Producción_Agricola[[#This Row],[Superficie]]*Producción_Agricola[[#This Row],[Cantidad]]</f>
        <v>0</v>
      </c>
      <c r="P413" s="482"/>
      <c r="Q413" s="484"/>
      <c r="R413" s="485"/>
      <c r="S41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13" s="695">
        <f>IFERROR(Producción_Agricola[[#This Row],[Económico $Corrientes]]/Producción_Agricola[[#This Row],[Indexación Económico]],0)</f>
        <v>0</v>
      </c>
      <c r="U41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1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13" s="695">
        <f>IFERROR(Producción_Agricola[[#This Row],[Financiero $Corrientes]]/Producción_Agricola[[#This Row],[Indexación Financiero]],0)</f>
        <v>0</v>
      </c>
      <c r="X41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1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13" s="699">
        <f>IFERROR(Producción_Agricola[[#This Row],[Intereses $Corrientes]]/Producción_Agricola[[#This Row],[Indexación Financiero]],0)</f>
        <v>0</v>
      </c>
      <c r="AA41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13" s="701">
        <f>IFERROR(INDEX(Produccion_Agricola_Cuentas[],MATCH(Producción_Agricola[[#This Row],[Cuenta Contable]],Produccion_Agricola_Cuentas[Cuenta Contable],0),2),0)</f>
        <v>0</v>
      </c>
      <c r="AC413" s="702">
        <f>IFERROR(INDEX(Tabla9[],MATCH(Producción_Agricola[[#This Row],[Movimiento]],Tabla9[Movimientos],0),2),0)</f>
        <v>0</v>
      </c>
      <c r="AD413" s="703">
        <f>IFERROR(INDEX(Tabla9[],MATCH(Producción_Agricola[[#This Row],[Movimiento]],Tabla9[Movimientos],0),3),0)</f>
        <v>0</v>
      </c>
      <c r="AE413" s="698">
        <f>IF(Producción_Agricola[[#This Row],[Fecha Económico]]=0,0,MONTH(Producción_Agricola[[#This Row],[Fecha Económico]]))</f>
        <v>0</v>
      </c>
      <c r="AF413" s="699">
        <f>IF(Producción_Agricola[[#This Row],[Fecha Económico]]=0,0,YEAR(Producción_Agricola[[#This Row],[Fecha Económico]]))</f>
        <v>0</v>
      </c>
      <c r="AG413" s="704">
        <f>SUMPRODUCT((Producción_Agricola[[#This Row],[Mes Económico]]=Tipo_Cambio[Mes])*(Producción_Agricola[[#This Row],[Año Económico]]=Tipo_Cambio[Año])*(Tipo_Cambio[$/U$S]))</f>
        <v>0</v>
      </c>
      <c r="AH413" s="703">
        <f>SUMPRODUCT((Producción_Agricola[[#This Row],[Mes Económico]]=Tipo_Cambio[Mes])*(Producción_Agricola[[#This Row],[Año Económico]]=Tipo_Cambio[Año])*(Tipo_Cambio[Actualización]))</f>
        <v>0</v>
      </c>
      <c r="AI413" s="699">
        <f>IF(ISNUMBER(Producción_Agricola[[#This Row],[Fecha Financiero]])=TRUE,MONTH(Producción_Agricola[[#This Row],[Fecha Financiero]]),0)</f>
        <v>0</v>
      </c>
      <c r="AJ413" s="699">
        <f>IF(ISNUMBER(Producción_Agricola[[#This Row],[Fecha Financiero]])=TRUE,YEAR(Producción_Agricola[[#This Row],[Fecha Financiero]]),0)</f>
        <v>0</v>
      </c>
      <c r="AK413" s="704">
        <f>SUMPRODUCT((Producción_Agricola[[#This Row],[Mes Financiero]]=Tipo_Cambio[Mes])*(Producción_Agricola[[#This Row],[Año Financiero]]=Tipo_Cambio[Año])*(Tipo_Cambio[$/U$S]))</f>
        <v>0</v>
      </c>
      <c r="AL413" s="704">
        <f>SUMPRODUCT((Producción_Agricola[[#This Row],[Mes Financiero]]=Tipo_Cambio[Mes])*(Producción_Agricola[[#This Row],[Año Financiero]]=Tipo_Cambio[Año])*(Tipo_Cambio[Actualización]))</f>
        <v>0</v>
      </c>
      <c r="AM413" s="709">
        <f>IFERROR(Producción_Agricola[[#This Row],[Económico $Corrientes]]/Producción_Agricola[[#This Row],[Superficie]],0)</f>
        <v>0</v>
      </c>
      <c r="AN413" s="712">
        <f>IFERROR(Producción_Agricola[[#This Row],[Económico $Constantes]]/Producción_Agricola[[#This Row],[Superficie]],0)</f>
        <v>0</v>
      </c>
      <c r="AO413" s="712">
        <f>IFERROR(Producción_Agricola[[#This Row],[Económico U$S Dólares]]/Producción_Agricola[[#This Row],[Superficie]],0)</f>
        <v>0</v>
      </c>
      <c r="AP413" s="711">
        <f>IF(Económico!$F$4=0,0,Producción_Agricola[[#This Row],[Centro de Costo]])</f>
        <v>0</v>
      </c>
      <c r="AQ413" s="512"/>
      <c r="AR413" s="513"/>
      <c r="AS413"/>
    </row>
    <row r="414" spans="1:45" x14ac:dyDescent="0.25">
      <c r="A414" s="509"/>
      <c r="B414" s="494"/>
      <c r="C414" s="509"/>
      <c r="D414" s="478"/>
      <c r="E414" s="478"/>
      <c r="F414" s="668">
        <f t="shared" si="59"/>
        <v>0</v>
      </c>
      <c r="G414" s="673">
        <f t="shared" si="60"/>
        <v>0</v>
      </c>
      <c r="H414" s="673">
        <f t="shared" si="61"/>
        <v>0</v>
      </c>
      <c r="I414" s="675">
        <f>IFERROR(INDEX(Tabla8[],MATCH(Producción_Agricola[[#This Row],[Unidad de Negocio]],Tabla8[Unidades de Negocio],0),2),0)</f>
        <v>0</v>
      </c>
      <c r="J41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14" s="488"/>
      <c r="L414" s="482"/>
      <c r="M414" s="483"/>
      <c r="N414" s="484"/>
      <c r="O414" s="690">
        <f>Producción_Agricola[[#This Row],[Superficie]]*Producción_Agricola[[#This Row],[Cantidad]]</f>
        <v>0</v>
      </c>
      <c r="P414" s="482"/>
      <c r="Q414" s="484"/>
      <c r="R414" s="485"/>
      <c r="S41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14" s="695">
        <f>IFERROR(Producción_Agricola[[#This Row],[Económico $Corrientes]]/Producción_Agricola[[#This Row],[Indexación Económico]],0)</f>
        <v>0</v>
      </c>
      <c r="U41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1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14" s="695">
        <f>IFERROR(Producción_Agricola[[#This Row],[Financiero $Corrientes]]/Producción_Agricola[[#This Row],[Indexación Financiero]],0)</f>
        <v>0</v>
      </c>
      <c r="X41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1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14" s="699">
        <f>IFERROR(Producción_Agricola[[#This Row],[Intereses $Corrientes]]/Producción_Agricola[[#This Row],[Indexación Financiero]],0)</f>
        <v>0</v>
      </c>
      <c r="AA41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14" s="701">
        <f>IFERROR(INDEX(Produccion_Agricola_Cuentas[],MATCH(Producción_Agricola[[#This Row],[Cuenta Contable]],Produccion_Agricola_Cuentas[Cuenta Contable],0),2),0)</f>
        <v>0</v>
      </c>
      <c r="AC414" s="702">
        <f>IFERROR(INDEX(Tabla9[],MATCH(Producción_Agricola[[#This Row],[Movimiento]],Tabla9[Movimientos],0),2),0)</f>
        <v>0</v>
      </c>
      <c r="AD414" s="703">
        <f>IFERROR(INDEX(Tabla9[],MATCH(Producción_Agricola[[#This Row],[Movimiento]],Tabla9[Movimientos],0),3),0)</f>
        <v>0</v>
      </c>
      <c r="AE414" s="698">
        <f>IF(Producción_Agricola[[#This Row],[Fecha Económico]]=0,0,MONTH(Producción_Agricola[[#This Row],[Fecha Económico]]))</f>
        <v>0</v>
      </c>
      <c r="AF414" s="699">
        <f>IF(Producción_Agricola[[#This Row],[Fecha Económico]]=0,0,YEAR(Producción_Agricola[[#This Row],[Fecha Económico]]))</f>
        <v>0</v>
      </c>
      <c r="AG414" s="704">
        <f>SUMPRODUCT((Producción_Agricola[[#This Row],[Mes Económico]]=Tipo_Cambio[Mes])*(Producción_Agricola[[#This Row],[Año Económico]]=Tipo_Cambio[Año])*(Tipo_Cambio[$/U$S]))</f>
        <v>0</v>
      </c>
      <c r="AH414" s="703">
        <f>SUMPRODUCT((Producción_Agricola[[#This Row],[Mes Económico]]=Tipo_Cambio[Mes])*(Producción_Agricola[[#This Row],[Año Económico]]=Tipo_Cambio[Año])*(Tipo_Cambio[Actualización]))</f>
        <v>0</v>
      </c>
      <c r="AI414" s="699">
        <f>IF(ISNUMBER(Producción_Agricola[[#This Row],[Fecha Financiero]])=TRUE,MONTH(Producción_Agricola[[#This Row],[Fecha Financiero]]),0)</f>
        <v>0</v>
      </c>
      <c r="AJ414" s="699">
        <f>IF(ISNUMBER(Producción_Agricola[[#This Row],[Fecha Financiero]])=TRUE,YEAR(Producción_Agricola[[#This Row],[Fecha Financiero]]),0)</f>
        <v>0</v>
      </c>
      <c r="AK414" s="704">
        <f>SUMPRODUCT((Producción_Agricola[[#This Row],[Mes Financiero]]=Tipo_Cambio[Mes])*(Producción_Agricola[[#This Row],[Año Financiero]]=Tipo_Cambio[Año])*(Tipo_Cambio[$/U$S]))</f>
        <v>0</v>
      </c>
      <c r="AL414" s="704">
        <f>SUMPRODUCT((Producción_Agricola[[#This Row],[Mes Financiero]]=Tipo_Cambio[Mes])*(Producción_Agricola[[#This Row],[Año Financiero]]=Tipo_Cambio[Año])*(Tipo_Cambio[Actualización]))</f>
        <v>0</v>
      </c>
      <c r="AM414" s="709">
        <f>IFERROR(Producción_Agricola[[#This Row],[Económico $Corrientes]]/Producción_Agricola[[#This Row],[Superficie]],0)</f>
        <v>0</v>
      </c>
      <c r="AN414" s="712">
        <f>IFERROR(Producción_Agricola[[#This Row],[Económico $Constantes]]/Producción_Agricola[[#This Row],[Superficie]],0)</f>
        <v>0</v>
      </c>
      <c r="AO414" s="712">
        <f>IFERROR(Producción_Agricola[[#This Row],[Económico U$S Dólares]]/Producción_Agricola[[#This Row],[Superficie]],0)</f>
        <v>0</v>
      </c>
      <c r="AP414" s="711">
        <f>IF(Económico!$F$4=0,0,Producción_Agricola[[#This Row],[Centro de Costo]])</f>
        <v>0</v>
      </c>
      <c r="AQ414" s="512"/>
      <c r="AR414" s="513"/>
      <c r="AS414"/>
    </row>
    <row r="415" spans="1:45" x14ac:dyDescent="0.25">
      <c r="A415" s="509"/>
      <c r="B415" s="494"/>
      <c r="C415" s="509"/>
      <c r="D415" s="478"/>
      <c r="E415" s="478"/>
      <c r="F415" s="668">
        <f t="shared" si="59"/>
        <v>0</v>
      </c>
      <c r="G415" s="673">
        <f t="shared" si="60"/>
        <v>0</v>
      </c>
      <c r="H415" s="673">
        <f t="shared" si="61"/>
        <v>0</v>
      </c>
      <c r="I415" s="675">
        <f>IFERROR(INDEX(Tabla8[],MATCH(Producción_Agricola[[#This Row],[Unidad de Negocio]],Tabla8[Unidades de Negocio],0),2),0)</f>
        <v>0</v>
      </c>
      <c r="J41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15" s="488"/>
      <c r="L415" s="482"/>
      <c r="M415" s="483"/>
      <c r="N415" s="484"/>
      <c r="O415" s="690">
        <f>Producción_Agricola[[#This Row],[Superficie]]*Producción_Agricola[[#This Row],[Cantidad]]</f>
        <v>0</v>
      </c>
      <c r="P415" s="482"/>
      <c r="Q415" s="484"/>
      <c r="R415" s="485"/>
      <c r="S41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15" s="695">
        <f>IFERROR(Producción_Agricola[[#This Row],[Económico $Corrientes]]/Producción_Agricola[[#This Row],[Indexación Económico]],0)</f>
        <v>0</v>
      </c>
      <c r="U41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1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15" s="695">
        <f>IFERROR(Producción_Agricola[[#This Row],[Financiero $Corrientes]]/Producción_Agricola[[#This Row],[Indexación Financiero]],0)</f>
        <v>0</v>
      </c>
      <c r="X41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1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15" s="699">
        <f>IFERROR(Producción_Agricola[[#This Row],[Intereses $Corrientes]]/Producción_Agricola[[#This Row],[Indexación Financiero]],0)</f>
        <v>0</v>
      </c>
      <c r="AA41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15" s="701">
        <f>IFERROR(INDEX(Produccion_Agricola_Cuentas[],MATCH(Producción_Agricola[[#This Row],[Cuenta Contable]],Produccion_Agricola_Cuentas[Cuenta Contable],0),2),0)</f>
        <v>0</v>
      </c>
      <c r="AC415" s="702">
        <f>IFERROR(INDEX(Tabla9[],MATCH(Producción_Agricola[[#This Row],[Movimiento]],Tabla9[Movimientos],0),2),0)</f>
        <v>0</v>
      </c>
      <c r="AD415" s="703">
        <f>IFERROR(INDEX(Tabla9[],MATCH(Producción_Agricola[[#This Row],[Movimiento]],Tabla9[Movimientos],0),3),0)</f>
        <v>0</v>
      </c>
      <c r="AE415" s="698">
        <f>IF(Producción_Agricola[[#This Row],[Fecha Económico]]=0,0,MONTH(Producción_Agricola[[#This Row],[Fecha Económico]]))</f>
        <v>0</v>
      </c>
      <c r="AF415" s="699">
        <f>IF(Producción_Agricola[[#This Row],[Fecha Económico]]=0,0,YEAR(Producción_Agricola[[#This Row],[Fecha Económico]]))</f>
        <v>0</v>
      </c>
      <c r="AG415" s="704">
        <f>SUMPRODUCT((Producción_Agricola[[#This Row],[Mes Económico]]=Tipo_Cambio[Mes])*(Producción_Agricola[[#This Row],[Año Económico]]=Tipo_Cambio[Año])*(Tipo_Cambio[$/U$S]))</f>
        <v>0</v>
      </c>
      <c r="AH415" s="703">
        <f>SUMPRODUCT((Producción_Agricola[[#This Row],[Mes Económico]]=Tipo_Cambio[Mes])*(Producción_Agricola[[#This Row],[Año Económico]]=Tipo_Cambio[Año])*(Tipo_Cambio[Actualización]))</f>
        <v>0</v>
      </c>
      <c r="AI415" s="699">
        <f>IF(ISNUMBER(Producción_Agricola[[#This Row],[Fecha Financiero]])=TRUE,MONTH(Producción_Agricola[[#This Row],[Fecha Financiero]]),0)</f>
        <v>0</v>
      </c>
      <c r="AJ415" s="699">
        <f>IF(ISNUMBER(Producción_Agricola[[#This Row],[Fecha Financiero]])=TRUE,YEAR(Producción_Agricola[[#This Row],[Fecha Financiero]]),0)</f>
        <v>0</v>
      </c>
      <c r="AK415" s="704">
        <f>SUMPRODUCT((Producción_Agricola[[#This Row],[Mes Financiero]]=Tipo_Cambio[Mes])*(Producción_Agricola[[#This Row],[Año Financiero]]=Tipo_Cambio[Año])*(Tipo_Cambio[$/U$S]))</f>
        <v>0</v>
      </c>
      <c r="AL415" s="704">
        <f>SUMPRODUCT((Producción_Agricola[[#This Row],[Mes Financiero]]=Tipo_Cambio[Mes])*(Producción_Agricola[[#This Row],[Año Financiero]]=Tipo_Cambio[Año])*(Tipo_Cambio[Actualización]))</f>
        <v>0</v>
      </c>
      <c r="AM415" s="709">
        <f>IFERROR(Producción_Agricola[[#This Row],[Económico $Corrientes]]/Producción_Agricola[[#This Row],[Superficie]],0)</f>
        <v>0</v>
      </c>
      <c r="AN415" s="712">
        <f>IFERROR(Producción_Agricola[[#This Row],[Económico $Constantes]]/Producción_Agricola[[#This Row],[Superficie]],0)</f>
        <v>0</v>
      </c>
      <c r="AO415" s="712">
        <f>IFERROR(Producción_Agricola[[#This Row],[Económico U$S Dólares]]/Producción_Agricola[[#This Row],[Superficie]],0)</f>
        <v>0</v>
      </c>
      <c r="AP415" s="711">
        <f>IF(Económico!$F$4=0,0,Producción_Agricola[[#This Row],[Centro de Costo]])</f>
        <v>0</v>
      </c>
      <c r="AQ415" s="512"/>
      <c r="AR415" s="513"/>
      <c r="AS415"/>
    </row>
    <row r="416" spans="1:45" x14ac:dyDescent="0.25">
      <c r="A416" s="509"/>
      <c r="B416" s="494"/>
      <c r="C416" s="509"/>
      <c r="D416" s="478"/>
      <c r="E416" s="478"/>
      <c r="F416" s="668">
        <f t="shared" si="59"/>
        <v>0</v>
      </c>
      <c r="G416" s="673">
        <f t="shared" si="60"/>
        <v>0</v>
      </c>
      <c r="H416" s="673">
        <f t="shared" si="61"/>
        <v>0</v>
      </c>
      <c r="I416" s="675">
        <f>IFERROR(INDEX(Tabla8[],MATCH(Producción_Agricola[[#This Row],[Unidad de Negocio]],Tabla8[Unidades de Negocio],0),2),0)</f>
        <v>0</v>
      </c>
      <c r="J41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16" s="488"/>
      <c r="L416" s="482"/>
      <c r="M416" s="483"/>
      <c r="N416" s="484"/>
      <c r="O416" s="690">
        <f>Producción_Agricola[[#This Row],[Superficie]]*Producción_Agricola[[#This Row],[Cantidad]]</f>
        <v>0</v>
      </c>
      <c r="P416" s="482"/>
      <c r="Q416" s="484"/>
      <c r="R416" s="485"/>
      <c r="S41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16" s="695">
        <f>IFERROR(Producción_Agricola[[#This Row],[Económico $Corrientes]]/Producción_Agricola[[#This Row],[Indexación Económico]],0)</f>
        <v>0</v>
      </c>
      <c r="U41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1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16" s="695">
        <f>IFERROR(Producción_Agricola[[#This Row],[Financiero $Corrientes]]/Producción_Agricola[[#This Row],[Indexación Financiero]],0)</f>
        <v>0</v>
      </c>
      <c r="X41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1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16" s="699">
        <f>IFERROR(Producción_Agricola[[#This Row],[Intereses $Corrientes]]/Producción_Agricola[[#This Row],[Indexación Financiero]],0)</f>
        <v>0</v>
      </c>
      <c r="AA41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16" s="701">
        <f>IFERROR(INDEX(Produccion_Agricola_Cuentas[],MATCH(Producción_Agricola[[#This Row],[Cuenta Contable]],Produccion_Agricola_Cuentas[Cuenta Contable],0),2),0)</f>
        <v>0</v>
      </c>
      <c r="AC416" s="702">
        <f>IFERROR(INDEX(Tabla9[],MATCH(Producción_Agricola[[#This Row],[Movimiento]],Tabla9[Movimientos],0),2),0)</f>
        <v>0</v>
      </c>
      <c r="AD416" s="703">
        <f>IFERROR(INDEX(Tabla9[],MATCH(Producción_Agricola[[#This Row],[Movimiento]],Tabla9[Movimientos],0),3),0)</f>
        <v>0</v>
      </c>
      <c r="AE416" s="698">
        <f>IF(Producción_Agricola[[#This Row],[Fecha Económico]]=0,0,MONTH(Producción_Agricola[[#This Row],[Fecha Económico]]))</f>
        <v>0</v>
      </c>
      <c r="AF416" s="699">
        <f>IF(Producción_Agricola[[#This Row],[Fecha Económico]]=0,0,YEAR(Producción_Agricola[[#This Row],[Fecha Económico]]))</f>
        <v>0</v>
      </c>
      <c r="AG416" s="704">
        <f>SUMPRODUCT((Producción_Agricola[[#This Row],[Mes Económico]]=Tipo_Cambio[Mes])*(Producción_Agricola[[#This Row],[Año Económico]]=Tipo_Cambio[Año])*(Tipo_Cambio[$/U$S]))</f>
        <v>0</v>
      </c>
      <c r="AH416" s="703">
        <f>SUMPRODUCT((Producción_Agricola[[#This Row],[Mes Económico]]=Tipo_Cambio[Mes])*(Producción_Agricola[[#This Row],[Año Económico]]=Tipo_Cambio[Año])*(Tipo_Cambio[Actualización]))</f>
        <v>0</v>
      </c>
      <c r="AI416" s="699">
        <f>IF(ISNUMBER(Producción_Agricola[[#This Row],[Fecha Financiero]])=TRUE,MONTH(Producción_Agricola[[#This Row],[Fecha Financiero]]),0)</f>
        <v>0</v>
      </c>
      <c r="AJ416" s="699">
        <f>IF(ISNUMBER(Producción_Agricola[[#This Row],[Fecha Financiero]])=TRUE,YEAR(Producción_Agricola[[#This Row],[Fecha Financiero]]),0)</f>
        <v>0</v>
      </c>
      <c r="AK416" s="704">
        <f>SUMPRODUCT((Producción_Agricola[[#This Row],[Mes Financiero]]=Tipo_Cambio[Mes])*(Producción_Agricola[[#This Row],[Año Financiero]]=Tipo_Cambio[Año])*(Tipo_Cambio[$/U$S]))</f>
        <v>0</v>
      </c>
      <c r="AL416" s="704">
        <f>SUMPRODUCT((Producción_Agricola[[#This Row],[Mes Financiero]]=Tipo_Cambio[Mes])*(Producción_Agricola[[#This Row],[Año Financiero]]=Tipo_Cambio[Año])*(Tipo_Cambio[Actualización]))</f>
        <v>0</v>
      </c>
      <c r="AM416" s="709">
        <f>IFERROR(Producción_Agricola[[#This Row],[Económico $Corrientes]]/Producción_Agricola[[#This Row],[Superficie]],0)</f>
        <v>0</v>
      </c>
      <c r="AN416" s="712">
        <f>IFERROR(Producción_Agricola[[#This Row],[Económico $Constantes]]/Producción_Agricola[[#This Row],[Superficie]],0)</f>
        <v>0</v>
      </c>
      <c r="AO416" s="712">
        <f>IFERROR(Producción_Agricola[[#This Row],[Económico U$S Dólares]]/Producción_Agricola[[#This Row],[Superficie]],0)</f>
        <v>0</v>
      </c>
      <c r="AP416" s="711">
        <f>IF(Económico!$F$4=0,0,Producción_Agricola[[#This Row],[Centro de Costo]])</f>
        <v>0</v>
      </c>
      <c r="AQ416" s="512"/>
      <c r="AR416" s="513"/>
      <c r="AS416"/>
    </row>
    <row r="417" spans="1:45" x14ac:dyDescent="0.25">
      <c r="A417" s="509"/>
      <c r="B417" s="494"/>
      <c r="C417" s="509"/>
      <c r="D417" s="478"/>
      <c r="E417" s="478"/>
      <c r="F417" s="668">
        <f t="shared" si="59"/>
        <v>0</v>
      </c>
      <c r="G417" s="673">
        <f t="shared" si="60"/>
        <v>0</v>
      </c>
      <c r="H417" s="673">
        <f t="shared" si="61"/>
        <v>0</v>
      </c>
      <c r="I417" s="675">
        <f>IFERROR(INDEX(Tabla8[],MATCH(Producción_Agricola[[#This Row],[Unidad de Negocio]],Tabla8[Unidades de Negocio],0),2),0)</f>
        <v>0</v>
      </c>
      <c r="J41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17" s="488"/>
      <c r="L417" s="482"/>
      <c r="M417" s="483"/>
      <c r="N417" s="484"/>
      <c r="O417" s="690">
        <f>Producción_Agricola[[#This Row],[Superficie]]*Producción_Agricola[[#This Row],[Cantidad]]</f>
        <v>0</v>
      </c>
      <c r="P417" s="482"/>
      <c r="Q417" s="484"/>
      <c r="R417" s="485"/>
      <c r="S41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17" s="695">
        <f>IFERROR(Producción_Agricola[[#This Row],[Económico $Corrientes]]/Producción_Agricola[[#This Row],[Indexación Económico]],0)</f>
        <v>0</v>
      </c>
      <c r="U41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1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17" s="695">
        <f>IFERROR(Producción_Agricola[[#This Row],[Financiero $Corrientes]]/Producción_Agricola[[#This Row],[Indexación Financiero]],0)</f>
        <v>0</v>
      </c>
      <c r="X41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1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17" s="699">
        <f>IFERROR(Producción_Agricola[[#This Row],[Intereses $Corrientes]]/Producción_Agricola[[#This Row],[Indexación Financiero]],0)</f>
        <v>0</v>
      </c>
      <c r="AA41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17" s="701">
        <f>IFERROR(INDEX(Produccion_Agricola_Cuentas[],MATCH(Producción_Agricola[[#This Row],[Cuenta Contable]],Produccion_Agricola_Cuentas[Cuenta Contable],0),2),0)</f>
        <v>0</v>
      </c>
      <c r="AC417" s="702">
        <f>IFERROR(INDEX(Tabla9[],MATCH(Producción_Agricola[[#This Row],[Movimiento]],Tabla9[Movimientos],0),2),0)</f>
        <v>0</v>
      </c>
      <c r="AD417" s="703">
        <f>IFERROR(INDEX(Tabla9[],MATCH(Producción_Agricola[[#This Row],[Movimiento]],Tabla9[Movimientos],0),3),0)</f>
        <v>0</v>
      </c>
      <c r="AE417" s="698">
        <f>IF(Producción_Agricola[[#This Row],[Fecha Económico]]=0,0,MONTH(Producción_Agricola[[#This Row],[Fecha Económico]]))</f>
        <v>0</v>
      </c>
      <c r="AF417" s="699">
        <f>IF(Producción_Agricola[[#This Row],[Fecha Económico]]=0,0,YEAR(Producción_Agricola[[#This Row],[Fecha Económico]]))</f>
        <v>0</v>
      </c>
      <c r="AG417" s="704">
        <f>SUMPRODUCT((Producción_Agricola[[#This Row],[Mes Económico]]=Tipo_Cambio[Mes])*(Producción_Agricola[[#This Row],[Año Económico]]=Tipo_Cambio[Año])*(Tipo_Cambio[$/U$S]))</f>
        <v>0</v>
      </c>
      <c r="AH417" s="703">
        <f>SUMPRODUCT((Producción_Agricola[[#This Row],[Mes Económico]]=Tipo_Cambio[Mes])*(Producción_Agricola[[#This Row],[Año Económico]]=Tipo_Cambio[Año])*(Tipo_Cambio[Actualización]))</f>
        <v>0</v>
      </c>
      <c r="AI417" s="699">
        <f>IF(ISNUMBER(Producción_Agricola[[#This Row],[Fecha Financiero]])=TRUE,MONTH(Producción_Agricola[[#This Row],[Fecha Financiero]]),0)</f>
        <v>0</v>
      </c>
      <c r="AJ417" s="699">
        <f>IF(ISNUMBER(Producción_Agricola[[#This Row],[Fecha Financiero]])=TRUE,YEAR(Producción_Agricola[[#This Row],[Fecha Financiero]]),0)</f>
        <v>0</v>
      </c>
      <c r="AK417" s="704">
        <f>SUMPRODUCT((Producción_Agricola[[#This Row],[Mes Financiero]]=Tipo_Cambio[Mes])*(Producción_Agricola[[#This Row],[Año Financiero]]=Tipo_Cambio[Año])*(Tipo_Cambio[$/U$S]))</f>
        <v>0</v>
      </c>
      <c r="AL417" s="704">
        <f>SUMPRODUCT((Producción_Agricola[[#This Row],[Mes Financiero]]=Tipo_Cambio[Mes])*(Producción_Agricola[[#This Row],[Año Financiero]]=Tipo_Cambio[Año])*(Tipo_Cambio[Actualización]))</f>
        <v>0</v>
      </c>
      <c r="AM417" s="709">
        <f>IFERROR(Producción_Agricola[[#This Row],[Económico $Corrientes]]/Producción_Agricola[[#This Row],[Superficie]],0)</f>
        <v>0</v>
      </c>
      <c r="AN417" s="712">
        <f>IFERROR(Producción_Agricola[[#This Row],[Económico $Constantes]]/Producción_Agricola[[#This Row],[Superficie]],0)</f>
        <v>0</v>
      </c>
      <c r="AO417" s="712">
        <f>IFERROR(Producción_Agricola[[#This Row],[Económico U$S Dólares]]/Producción_Agricola[[#This Row],[Superficie]],0)</f>
        <v>0</v>
      </c>
      <c r="AP417" s="711">
        <f>IF(Económico!$F$4=0,0,Producción_Agricola[[#This Row],[Centro de Costo]])</f>
        <v>0</v>
      </c>
      <c r="AQ417" s="512"/>
      <c r="AR417" s="513"/>
      <c r="AS417"/>
    </row>
    <row r="418" spans="1:45" x14ac:dyDescent="0.25">
      <c r="A418" s="509"/>
      <c r="B418" s="494"/>
      <c r="C418" s="509"/>
      <c r="D418" s="478"/>
      <c r="E418" s="478"/>
      <c r="F418" s="668">
        <f t="shared" si="59"/>
        <v>0</v>
      </c>
      <c r="G418" s="673">
        <f t="shared" si="60"/>
        <v>0</v>
      </c>
      <c r="H418" s="673">
        <f t="shared" si="61"/>
        <v>0</v>
      </c>
      <c r="I418" s="675">
        <f>IFERROR(INDEX(Tabla8[],MATCH(Producción_Agricola[[#This Row],[Unidad de Negocio]],Tabla8[Unidades de Negocio],0),2),0)</f>
        <v>0</v>
      </c>
      <c r="J41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18" s="488"/>
      <c r="L418" s="482"/>
      <c r="M418" s="483"/>
      <c r="N418" s="484"/>
      <c r="O418" s="690">
        <f>Producción_Agricola[[#This Row],[Superficie]]*Producción_Agricola[[#This Row],[Cantidad]]</f>
        <v>0</v>
      </c>
      <c r="P418" s="482"/>
      <c r="Q418" s="484"/>
      <c r="R418" s="485"/>
      <c r="S41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18" s="695">
        <f>IFERROR(Producción_Agricola[[#This Row],[Económico $Corrientes]]/Producción_Agricola[[#This Row],[Indexación Económico]],0)</f>
        <v>0</v>
      </c>
      <c r="U41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1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18" s="695">
        <f>IFERROR(Producción_Agricola[[#This Row],[Financiero $Corrientes]]/Producción_Agricola[[#This Row],[Indexación Financiero]],0)</f>
        <v>0</v>
      </c>
      <c r="X41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1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18" s="699">
        <f>IFERROR(Producción_Agricola[[#This Row],[Intereses $Corrientes]]/Producción_Agricola[[#This Row],[Indexación Financiero]],0)</f>
        <v>0</v>
      </c>
      <c r="AA41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18" s="701">
        <f>IFERROR(INDEX(Produccion_Agricola_Cuentas[],MATCH(Producción_Agricola[[#This Row],[Cuenta Contable]],Produccion_Agricola_Cuentas[Cuenta Contable],0),2),0)</f>
        <v>0</v>
      </c>
      <c r="AC418" s="702">
        <f>IFERROR(INDEX(Tabla9[],MATCH(Producción_Agricola[[#This Row],[Movimiento]],Tabla9[Movimientos],0),2),0)</f>
        <v>0</v>
      </c>
      <c r="AD418" s="703">
        <f>IFERROR(INDEX(Tabla9[],MATCH(Producción_Agricola[[#This Row],[Movimiento]],Tabla9[Movimientos],0),3),0)</f>
        <v>0</v>
      </c>
      <c r="AE418" s="698">
        <f>IF(Producción_Agricola[[#This Row],[Fecha Económico]]=0,0,MONTH(Producción_Agricola[[#This Row],[Fecha Económico]]))</f>
        <v>0</v>
      </c>
      <c r="AF418" s="699">
        <f>IF(Producción_Agricola[[#This Row],[Fecha Económico]]=0,0,YEAR(Producción_Agricola[[#This Row],[Fecha Económico]]))</f>
        <v>0</v>
      </c>
      <c r="AG418" s="704">
        <f>SUMPRODUCT((Producción_Agricola[[#This Row],[Mes Económico]]=Tipo_Cambio[Mes])*(Producción_Agricola[[#This Row],[Año Económico]]=Tipo_Cambio[Año])*(Tipo_Cambio[$/U$S]))</f>
        <v>0</v>
      </c>
      <c r="AH418" s="703">
        <f>SUMPRODUCT((Producción_Agricola[[#This Row],[Mes Económico]]=Tipo_Cambio[Mes])*(Producción_Agricola[[#This Row],[Año Económico]]=Tipo_Cambio[Año])*(Tipo_Cambio[Actualización]))</f>
        <v>0</v>
      </c>
      <c r="AI418" s="699">
        <f>IF(ISNUMBER(Producción_Agricola[[#This Row],[Fecha Financiero]])=TRUE,MONTH(Producción_Agricola[[#This Row],[Fecha Financiero]]),0)</f>
        <v>0</v>
      </c>
      <c r="AJ418" s="699">
        <f>IF(ISNUMBER(Producción_Agricola[[#This Row],[Fecha Financiero]])=TRUE,YEAR(Producción_Agricola[[#This Row],[Fecha Financiero]]),0)</f>
        <v>0</v>
      </c>
      <c r="AK418" s="704">
        <f>SUMPRODUCT((Producción_Agricola[[#This Row],[Mes Financiero]]=Tipo_Cambio[Mes])*(Producción_Agricola[[#This Row],[Año Financiero]]=Tipo_Cambio[Año])*(Tipo_Cambio[$/U$S]))</f>
        <v>0</v>
      </c>
      <c r="AL418" s="704">
        <f>SUMPRODUCT((Producción_Agricola[[#This Row],[Mes Financiero]]=Tipo_Cambio[Mes])*(Producción_Agricola[[#This Row],[Año Financiero]]=Tipo_Cambio[Año])*(Tipo_Cambio[Actualización]))</f>
        <v>0</v>
      </c>
      <c r="AM418" s="709">
        <f>IFERROR(Producción_Agricola[[#This Row],[Económico $Corrientes]]/Producción_Agricola[[#This Row],[Superficie]],0)</f>
        <v>0</v>
      </c>
      <c r="AN418" s="712">
        <f>IFERROR(Producción_Agricola[[#This Row],[Económico $Constantes]]/Producción_Agricola[[#This Row],[Superficie]],0)</f>
        <v>0</v>
      </c>
      <c r="AO418" s="712">
        <f>IFERROR(Producción_Agricola[[#This Row],[Económico U$S Dólares]]/Producción_Agricola[[#This Row],[Superficie]],0)</f>
        <v>0</v>
      </c>
      <c r="AP418" s="711">
        <f>IF(Económico!$F$4=0,0,Producción_Agricola[[#This Row],[Centro de Costo]])</f>
        <v>0</v>
      </c>
      <c r="AQ418" s="512"/>
      <c r="AR418" s="513"/>
      <c r="AS418"/>
    </row>
    <row r="419" spans="1:45" x14ac:dyDescent="0.25">
      <c r="A419" s="509"/>
      <c r="B419" s="494"/>
      <c r="C419" s="509"/>
      <c r="D419" s="478"/>
      <c r="E419" s="478"/>
      <c r="F419" s="668">
        <f t="shared" si="59"/>
        <v>0</v>
      </c>
      <c r="G419" s="673">
        <f t="shared" si="60"/>
        <v>0</v>
      </c>
      <c r="H419" s="673">
        <f t="shared" si="61"/>
        <v>0</v>
      </c>
      <c r="I419" s="675">
        <f>IFERROR(INDEX(Tabla8[],MATCH(Producción_Agricola[[#This Row],[Unidad de Negocio]],Tabla8[Unidades de Negocio],0),2),0)</f>
        <v>0</v>
      </c>
      <c r="J41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19" s="488"/>
      <c r="L419" s="482"/>
      <c r="M419" s="483"/>
      <c r="N419" s="484"/>
      <c r="O419" s="690">
        <f>Producción_Agricola[[#This Row],[Superficie]]*Producción_Agricola[[#This Row],[Cantidad]]</f>
        <v>0</v>
      </c>
      <c r="P419" s="482"/>
      <c r="Q419" s="484"/>
      <c r="R419" s="485"/>
      <c r="S41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19" s="695">
        <f>IFERROR(Producción_Agricola[[#This Row],[Económico $Corrientes]]/Producción_Agricola[[#This Row],[Indexación Económico]],0)</f>
        <v>0</v>
      </c>
      <c r="U41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1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19" s="695">
        <f>IFERROR(Producción_Agricola[[#This Row],[Financiero $Corrientes]]/Producción_Agricola[[#This Row],[Indexación Financiero]],0)</f>
        <v>0</v>
      </c>
      <c r="X41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1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19" s="699">
        <f>IFERROR(Producción_Agricola[[#This Row],[Intereses $Corrientes]]/Producción_Agricola[[#This Row],[Indexación Financiero]],0)</f>
        <v>0</v>
      </c>
      <c r="AA41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19" s="701">
        <f>IFERROR(INDEX(Produccion_Agricola_Cuentas[],MATCH(Producción_Agricola[[#This Row],[Cuenta Contable]],Produccion_Agricola_Cuentas[Cuenta Contable],0),2),0)</f>
        <v>0</v>
      </c>
      <c r="AC419" s="702">
        <f>IFERROR(INDEX(Tabla9[],MATCH(Producción_Agricola[[#This Row],[Movimiento]],Tabla9[Movimientos],0),2),0)</f>
        <v>0</v>
      </c>
      <c r="AD419" s="703">
        <f>IFERROR(INDEX(Tabla9[],MATCH(Producción_Agricola[[#This Row],[Movimiento]],Tabla9[Movimientos],0),3),0)</f>
        <v>0</v>
      </c>
      <c r="AE419" s="698">
        <f>IF(Producción_Agricola[[#This Row],[Fecha Económico]]=0,0,MONTH(Producción_Agricola[[#This Row],[Fecha Económico]]))</f>
        <v>0</v>
      </c>
      <c r="AF419" s="699">
        <f>IF(Producción_Agricola[[#This Row],[Fecha Económico]]=0,0,YEAR(Producción_Agricola[[#This Row],[Fecha Económico]]))</f>
        <v>0</v>
      </c>
      <c r="AG419" s="704">
        <f>SUMPRODUCT((Producción_Agricola[[#This Row],[Mes Económico]]=Tipo_Cambio[Mes])*(Producción_Agricola[[#This Row],[Año Económico]]=Tipo_Cambio[Año])*(Tipo_Cambio[$/U$S]))</f>
        <v>0</v>
      </c>
      <c r="AH419" s="703">
        <f>SUMPRODUCT((Producción_Agricola[[#This Row],[Mes Económico]]=Tipo_Cambio[Mes])*(Producción_Agricola[[#This Row],[Año Económico]]=Tipo_Cambio[Año])*(Tipo_Cambio[Actualización]))</f>
        <v>0</v>
      </c>
      <c r="AI419" s="699">
        <f>IF(ISNUMBER(Producción_Agricola[[#This Row],[Fecha Financiero]])=TRUE,MONTH(Producción_Agricola[[#This Row],[Fecha Financiero]]),0)</f>
        <v>0</v>
      </c>
      <c r="AJ419" s="699">
        <f>IF(ISNUMBER(Producción_Agricola[[#This Row],[Fecha Financiero]])=TRUE,YEAR(Producción_Agricola[[#This Row],[Fecha Financiero]]),0)</f>
        <v>0</v>
      </c>
      <c r="AK419" s="704">
        <f>SUMPRODUCT((Producción_Agricola[[#This Row],[Mes Financiero]]=Tipo_Cambio[Mes])*(Producción_Agricola[[#This Row],[Año Financiero]]=Tipo_Cambio[Año])*(Tipo_Cambio[$/U$S]))</f>
        <v>0</v>
      </c>
      <c r="AL419" s="704">
        <f>SUMPRODUCT((Producción_Agricola[[#This Row],[Mes Financiero]]=Tipo_Cambio[Mes])*(Producción_Agricola[[#This Row],[Año Financiero]]=Tipo_Cambio[Año])*(Tipo_Cambio[Actualización]))</f>
        <v>0</v>
      </c>
      <c r="AM419" s="709">
        <f>IFERROR(Producción_Agricola[[#This Row],[Económico $Corrientes]]/Producción_Agricola[[#This Row],[Superficie]],0)</f>
        <v>0</v>
      </c>
      <c r="AN419" s="712">
        <f>IFERROR(Producción_Agricola[[#This Row],[Económico $Constantes]]/Producción_Agricola[[#This Row],[Superficie]],0)</f>
        <v>0</v>
      </c>
      <c r="AO419" s="712">
        <f>IFERROR(Producción_Agricola[[#This Row],[Económico U$S Dólares]]/Producción_Agricola[[#This Row],[Superficie]],0)</f>
        <v>0</v>
      </c>
      <c r="AP419" s="711">
        <f>IF(Económico!$F$4=0,0,Producción_Agricola[[#This Row],[Centro de Costo]])</f>
        <v>0</v>
      </c>
      <c r="AQ419" s="512"/>
      <c r="AR419" s="513"/>
      <c r="AS419"/>
    </row>
    <row r="420" spans="1:45" x14ac:dyDescent="0.25">
      <c r="A420" s="509"/>
      <c r="B420" s="494"/>
      <c r="C420" s="509"/>
      <c r="D420" s="478"/>
      <c r="E420" s="478"/>
      <c r="F420" s="668">
        <f t="shared" si="59"/>
        <v>0</v>
      </c>
      <c r="G420" s="673">
        <f t="shared" si="60"/>
        <v>0</v>
      </c>
      <c r="H420" s="673">
        <f t="shared" si="61"/>
        <v>0</v>
      </c>
      <c r="I420" s="675">
        <f>IFERROR(INDEX(Tabla8[],MATCH(Producción_Agricola[[#This Row],[Unidad de Negocio]],Tabla8[Unidades de Negocio],0),2),0)</f>
        <v>0</v>
      </c>
      <c r="J42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20" s="488"/>
      <c r="L420" s="482"/>
      <c r="M420" s="483"/>
      <c r="N420" s="484"/>
      <c r="O420" s="690">
        <f>Producción_Agricola[[#This Row],[Superficie]]*Producción_Agricola[[#This Row],[Cantidad]]</f>
        <v>0</v>
      </c>
      <c r="P420" s="482"/>
      <c r="Q420" s="484"/>
      <c r="R420" s="485"/>
      <c r="S42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20" s="695">
        <f>IFERROR(Producción_Agricola[[#This Row],[Económico $Corrientes]]/Producción_Agricola[[#This Row],[Indexación Económico]],0)</f>
        <v>0</v>
      </c>
      <c r="U42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2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20" s="695">
        <f>IFERROR(Producción_Agricola[[#This Row],[Financiero $Corrientes]]/Producción_Agricola[[#This Row],[Indexación Financiero]],0)</f>
        <v>0</v>
      </c>
      <c r="X42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2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20" s="699">
        <f>IFERROR(Producción_Agricola[[#This Row],[Intereses $Corrientes]]/Producción_Agricola[[#This Row],[Indexación Financiero]],0)</f>
        <v>0</v>
      </c>
      <c r="AA42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20" s="701">
        <f>IFERROR(INDEX(Produccion_Agricola_Cuentas[],MATCH(Producción_Agricola[[#This Row],[Cuenta Contable]],Produccion_Agricola_Cuentas[Cuenta Contable],0),2),0)</f>
        <v>0</v>
      </c>
      <c r="AC420" s="702">
        <f>IFERROR(INDEX(Tabla9[],MATCH(Producción_Agricola[[#This Row],[Movimiento]],Tabla9[Movimientos],0),2),0)</f>
        <v>0</v>
      </c>
      <c r="AD420" s="703">
        <f>IFERROR(INDEX(Tabla9[],MATCH(Producción_Agricola[[#This Row],[Movimiento]],Tabla9[Movimientos],0),3),0)</f>
        <v>0</v>
      </c>
      <c r="AE420" s="698">
        <f>IF(Producción_Agricola[[#This Row],[Fecha Económico]]=0,0,MONTH(Producción_Agricola[[#This Row],[Fecha Económico]]))</f>
        <v>0</v>
      </c>
      <c r="AF420" s="699">
        <f>IF(Producción_Agricola[[#This Row],[Fecha Económico]]=0,0,YEAR(Producción_Agricola[[#This Row],[Fecha Económico]]))</f>
        <v>0</v>
      </c>
      <c r="AG420" s="704">
        <f>SUMPRODUCT((Producción_Agricola[[#This Row],[Mes Económico]]=Tipo_Cambio[Mes])*(Producción_Agricola[[#This Row],[Año Económico]]=Tipo_Cambio[Año])*(Tipo_Cambio[$/U$S]))</f>
        <v>0</v>
      </c>
      <c r="AH420" s="703">
        <f>SUMPRODUCT((Producción_Agricola[[#This Row],[Mes Económico]]=Tipo_Cambio[Mes])*(Producción_Agricola[[#This Row],[Año Económico]]=Tipo_Cambio[Año])*(Tipo_Cambio[Actualización]))</f>
        <v>0</v>
      </c>
      <c r="AI420" s="699">
        <f>IF(ISNUMBER(Producción_Agricola[[#This Row],[Fecha Financiero]])=TRUE,MONTH(Producción_Agricola[[#This Row],[Fecha Financiero]]),0)</f>
        <v>0</v>
      </c>
      <c r="AJ420" s="699">
        <f>IF(ISNUMBER(Producción_Agricola[[#This Row],[Fecha Financiero]])=TRUE,YEAR(Producción_Agricola[[#This Row],[Fecha Financiero]]),0)</f>
        <v>0</v>
      </c>
      <c r="AK420" s="704">
        <f>SUMPRODUCT((Producción_Agricola[[#This Row],[Mes Financiero]]=Tipo_Cambio[Mes])*(Producción_Agricola[[#This Row],[Año Financiero]]=Tipo_Cambio[Año])*(Tipo_Cambio[$/U$S]))</f>
        <v>0</v>
      </c>
      <c r="AL420" s="704">
        <f>SUMPRODUCT((Producción_Agricola[[#This Row],[Mes Financiero]]=Tipo_Cambio[Mes])*(Producción_Agricola[[#This Row],[Año Financiero]]=Tipo_Cambio[Año])*(Tipo_Cambio[Actualización]))</f>
        <v>0</v>
      </c>
      <c r="AM420" s="709">
        <f>IFERROR(Producción_Agricola[[#This Row],[Económico $Corrientes]]/Producción_Agricola[[#This Row],[Superficie]],0)</f>
        <v>0</v>
      </c>
      <c r="AN420" s="712">
        <f>IFERROR(Producción_Agricola[[#This Row],[Económico $Constantes]]/Producción_Agricola[[#This Row],[Superficie]],0)</f>
        <v>0</v>
      </c>
      <c r="AO420" s="712">
        <f>IFERROR(Producción_Agricola[[#This Row],[Económico U$S Dólares]]/Producción_Agricola[[#This Row],[Superficie]],0)</f>
        <v>0</v>
      </c>
      <c r="AP420" s="711">
        <f>IF(Económico!$F$4=0,0,Producción_Agricola[[#This Row],[Centro de Costo]])</f>
        <v>0</v>
      </c>
      <c r="AQ420" s="512"/>
      <c r="AR420" s="513"/>
      <c r="AS420"/>
    </row>
    <row r="421" spans="1:45" x14ac:dyDescent="0.25">
      <c r="A421" s="509"/>
      <c r="B421" s="494"/>
      <c r="C421" s="509"/>
      <c r="D421" s="478"/>
      <c r="E421" s="478"/>
      <c r="F421" s="668">
        <f t="shared" si="59"/>
        <v>0</v>
      </c>
      <c r="G421" s="673">
        <f t="shared" si="60"/>
        <v>0</v>
      </c>
      <c r="H421" s="673">
        <f t="shared" si="61"/>
        <v>0</v>
      </c>
      <c r="I421" s="675">
        <f>IFERROR(INDEX(Tabla8[],MATCH(Producción_Agricola[[#This Row],[Unidad de Negocio]],Tabla8[Unidades de Negocio],0),2),0)</f>
        <v>0</v>
      </c>
      <c r="J42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21" s="488"/>
      <c r="L421" s="482"/>
      <c r="M421" s="483"/>
      <c r="N421" s="484"/>
      <c r="O421" s="690">
        <f>Producción_Agricola[[#This Row],[Superficie]]*Producción_Agricola[[#This Row],[Cantidad]]</f>
        <v>0</v>
      </c>
      <c r="P421" s="482"/>
      <c r="Q421" s="484"/>
      <c r="R421" s="485"/>
      <c r="S42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21" s="695">
        <f>IFERROR(Producción_Agricola[[#This Row],[Económico $Corrientes]]/Producción_Agricola[[#This Row],[Indexación Económico]],0)</f>
        <v>0</v>
      </c>
      <c r="U42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2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21" s="695">
        <f>IFERROR(Producción_Agricola[[#This Row],[Financiero $Corrientes]]/Producción_Agricola[[#This Row],[Indexación Financiero]],0)</f>
        <v>0</v>
      </c>
      <c r="X42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2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21" s="699">
        <f>IFERROR(Producción_Agricola[[#This Row],[Intereses $Corrientes]]/Producción_Agricola[[#This Row],[Indexación Financiero]],0)</f>
        <v>0</v>
      </c>
      <c r="AA42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21" s="701">
        <f>IFERROR(INDEX(Produccion_Agricola_Cuentas[],MATCH(Producción_Agricola[[#This Row],[Cuenta Contable]],Produccion_Agricola_Cuentas[Cuenta Contable],0),2),0)</f>
        <v>0</v>
      </c>
      <c r="AC421" s="702">
        <f>IFERROR(INDEX(Tabla9[],MATCH(Producción_Agricola[[#This Row],[Movimiento]],Tabla9[Movimientos],0),2),0)</f>
        <v>0</v>
      </c>
      <c r="AD421" s="703">
        <f>IFERROR(INDEX(Tabla9[],MATCH(Producción_Agricola[[#This Row],[Movimiento]],Tabla9[Movimientos],0),3),0)</f>
        <v>0</v>
      </c>
      <c r="AE421" s="698">
        <f>IF(Producción_Agricola[[#This Row],[Fecha Económico]]=0,0,MONTH(Producción_Agricola[[#This Row],[Fecha Económico]]))</f>
        <v>0</v>
      </c>
      <c r="AF421" s="699">
        <f>IF(Producción_Agricola[[#This Row],[Fecha Económico]]=0,0,YEAR(Producción_Agricola[[#This Row],[Fecha Económico]]))</f>
        <v>0</v>
      </c>
      <c r="AG421" s="704">
        <f>SUMPRODUCT((Producción_Agricola[[#This Row],[Mes Económico]]=Tipo_Cambio[Mes])*(Producción_Agricola[[#This Row],[Año Económico]]=Tipo_Cambio[Año])*(Tipo_Cambio[$/U$S]))</f>
        <v>0</v>
      </c>
      <c r="AH421" s="703">
        <f>SUMPRODUCT((Producción_Agricola[[#This Row],[Mes Económico]]=Tipo_Cambio[Mes])*(Producción_Agricola[[#This Row],[Año Económico]]=Tipo_Cambio[Año])*(Tipo_Cambio[Actualización]))</f>
        <v>0</v>
      </c>
      <c r="AI421" s="699">
        <f>IF(ISNUMBER(Producción_Agricola[[#This Row],[Fecha Financiero]])=TRUE,MONTH(Producción_Agricola[[#This Row],[Fecha Financiero]]),0)</f>
        <v>0</v>
      </c>
      <c r="AJ421" s="699">
        <f>IF(ISNUMBER(Producción_Agricola[[#This Row],[Fecha Financiero]])=TRUE,YEAR(Producción_Agricola[[#This Row],[Fecha Financiero]]),0)</f>
        <v>0</v>
      </c>
      <c r="AK421" s="704">
        <f>SUMPRODUCT((Producción_Agricola[[#This Row],[Mes Financiero]]=Tipo_Cambio[Mes])*(Producción_Agricola[[#This Row],[Año Financiero]]=Tipo_Cambio[Año])*(Tipo_Cambio[$/U$S]))</f>
        <v>0</v>
      </c>
      <c r="AL421" s="704">
        <f>SUMPRODUCT((Producción_Agricola[[#This Row],[Mes Financiero]]=Tipo_Cambio[Mes])*(Producción_Agricola[[#This Row],[Año Financiero]]=Tipo_Cambio[Año])*(Tipo_Cambio[Actualización]))</f>
        <v>0</v>
      </c>
      <c r="AM421" s="709">
        <f>IFERROR(Producción_Agricola[[#This Row],[Económico $Corrientes]]/Producción_Agricola[[#This Row],[Superficie]],0)</f>
        <v>0</v>
      </c>
      <c r="AN421" s="712">
        <f>IFERROR(Producción_Agricola[[#This Row],[Económico $Constantes]]/Producción_Agricola[[#This Row],[Superficie]],0)</f>
        <v>0</v>
      </c>
      <c r="AO421" s="712">
        <f>IFERROR(Producción_Agricola[[#This Row],[Económico U$S Dólares]]/Producción_Agricola[[#This Row],[Superficie]],0)</f>
        <v>0</v>
      </c>
      <c r="AP421" s="711">
        <f>IF(Económico!$F$4=0,0,Producción_Agricola[[#This Row],[Centro de Costo]])</f>
        <v>0</v>
      </c>
      <c r="AQ421" s="512"/>
      <c r="AR421" s="513"/>
      <c r="AS421"/>
    </row>
    <row r="422" spans="1:45" x14ac:dyDescent="0.25">
      <c r="A422" s="509"/>
      <c r="B422" s="494"/>
      <c r="C422" s="509"/>
      <c r="D422" s="478"/>
      <c r="E422" s="478"/>
      <c r="F422" s="668">
        <f t="shared" si="59"/>
        <v>0</v>
      </c>
      <c r="G422" s="673">
        <f t="shared" si="60"/>
        <v>0</v>
      </c>
      <c r="H422" s="673">
        <f t="shared" si="61"/>
        <v>0</v>
      </c>
      <c r="I422" s="675">
        <f>IFERROR(INDEX(Tabla8[],MATCH(Producción_Agricola[[#This Row],[Unidad de Negocio]],Tabla8[Unidades de Negocio],0),2),0)</f>
        <v>0</v>
      </c>
      <c r="J42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22" s="488"/>
      <c r="L422" s="482"/>
      <c r="M422" s="483"/>
      <c r="N422" s="484"/>
      <c r="O422" s="690">
        <f>Producción_Agricola[[#This Row],[Superficie]]*Producción_Agricola[[#This Row],[Cantidad]]</f>
        <v>0</v>
      </c>
      <c r="P422" s="482"/>
      <c r="Q422" s="484"/>
      <c r="R422" s="485"/>
      <c r="S42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22" s="695">
        <f>IFERROR(Producción_Agricola[[#This Row],[Económico $Corrientes]]/Producción_Agricola[[#This Row],[Indexación Económico]],0)</f>
        <v>0</v>
      </c>
      <c r="U42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2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22" s="695">
        <f>IFERROR(Producción_Agricola[[#This Row],[Financiero $Corrientes]]/Producción_Agricola[[#This Row],[Indexación Financiero]],0)</f>
        <v>0</v>
      </c>
      <c r="X42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2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22" s="699">
        <f>IFERROR(Producción_Agricola[[#This Row],[Intereses $Corrientes]]/Producción_Agricola[[#This Row],[Indexación Financiero]],0)</f>
        <v>0</v>
      </c>
      <c r="AA42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22" s="701">
        <f>IFERROR(INDEX(Produccion_Agricola_Cuentas[],MATCH(Producción_Agricola[[#This Row],[Cuenta Contable]],Produccion_Agricola_Cuentas[Cuenta Contable],0),2),0)</f>
        <v>0</v>
      </c>
      <c r="AC422" s="702">
        <f>IFERROR(INDEX(Tabla9[],MATCH(Producción_Agricola[[#This Row],[Movimiento]],Tabla9[Movimientos],0),2),0)</f>
        <v>0</v>
      </c>
      <c r="AD422" s="703">
        <f>IFERROR(INDEX(Tabla9[],MATCH(Producción_Agricola[[#This Row],[Movimiento]],Tabla9[Movimientos],0),3),0)</f>
        <v>0</v>
      </c>
      <c r="AE422" s="698">
        <f>IF(Producción_Agricola[[#This Row],[Fecha Económico]]=0,0,MONTH(Producción_Agricola[[#This Row],[Fecha Económico]]))</f>
        <v>0</v>
      </c>
      <c r="AF422" s="699">
        <f>IF(Producción_Agricola[[#This Row],[Fecha Económico]]=0,0,YEAR(Producción_Agricola[[#This Row],[Fecha Económico]]))</f>
        <v>0</v>
      </c>
      <c r="AG422" s="704">
        <f>SUMPRODUCT((Producción_Agricola[[#This Row],[Mes Económico]]=Tipo_Cambio[Mes])*(Producción_Agricola[[#This Row],[Año Económico]]=Tipo_Cambio[Año])*(Tipo_Cambio[$/U$S]))</f>
        <v>0</v>
      </c>
      <c r="AH422" s="703">
        <f>SUMPRODUCT((Producción_Agricola[[#This Row],[Mes Económico]]=Tipo_Cambio[Mes])*(Producción_Agricola[[#This Row],[Año Económico]]=Tipo_Cambio[Año])*(Tipo_Cambio[Actualización]))</f>
        <v>0</v>
      </c>
      <c r="AI422" s="699">
        <f>IF(ISNUMBER(Producción_Agricola[[#This Row],[Fecha Financiero]])=TRUE,MONTH(Producción_Agricola[[#This Row],[Fecha Financiero]]),0)</f>
        <v>0</v>
      </c>
      <c r="AJ422" s="699">
        <f>IF(ISNUMBER(Producción_Agricola[[#This Row],[Fecha Financiero]])=TRUE,YEAR(Producción_Agricola[[#This Row],[Fecha Financiero]]),0)</f>
        <v>0</v>
      </c>
      <c r="AK422" s="704">
        <f>SUMPRODUCT((Producción_Agricola[[#This Row],[Mes Financiero]]=Tipo_Cambio[Mes])*(Producción_Agricola[[#This Row],[Año Financiero]]=Tipo_Cambio[Año])*(Tipo_Cambio[$/U$S]))</f>
        <v>0</v>
      </c>
      <c r="AL422" s="704">
        <f>SUMPRODUCT((Producción_Agricola[[#This Row],[Mes Financiero]]=Tipo_Cambio[Mes])*(Producción_Agricola[[#This Row],[Año Financiero]]=Tipo_Cambio[Año])*(Tipo_Cambio[Actualización]))</f>
        <v>0</v>
      </c>
      <c r="AM422" s="709">
        <f>IFERROR(Producción_Agricola[[#This Row],[Económico $Corrientes]]/Producción_Agricola[[#This Row],[Superficie]],0)</f>
        <v>0</v>
      </c>
      <c r="AN422" s="712">
        <f>IFERROR(Producción_Agricola[[#This Row],[Económico $Constantes]]/Producción_Agricola[[#This Row],[Superficie]],0)</f>
        <v>0</v>
      </c>
      <c r="AO422" s="712">
        <f>IFERROR(Producción_Agricola[[#This Row],[Económico U$S Dólares]]/Producción_Agricola[[#This Row],[Superficie]],0)</f>
        <v>0</v>
      </c>
      <c r="AP422" s="711">
        <f>IF(Económico!$F$4=0,0,Producción_Agricola[[#This Row],[Centro de Costo]])</f>
        <v>0</v>
      </c>
      <c r="AQ422" s="512"/>
      <c r="AR422" s="513"/>
      <c r="AS422"/>
    </row>
    <row r="423" spans="1:45" x14ac:dyDescent="0.25">
      <c r="A423" s="509"/>
      <c r="B423" s="494"/>
      <c r="C423" s="509"/>
      <c r="D423" s="478"/>
      <c r="E423" s="478"/>
      <c r="F423" s="668">
        <f t="shared" si="59"/>
        <v>0</v>
      </c>
      <c r="G423" s="673">
        <f t="shared" si="60"/>
        <v>0</v>
      </c>
      <c r="H423" s="673">
        <f t="shared" si="61"/>
        <v>0</v>
      </c>
      <c r="I423" s="675">
        <f>IFERROR(INDEX(Tabla8[],MATCH(Producción_Agricola[[#This Row],[Unidad de Negocio]],Tabla8[Unidades de Negocio],0),2),0)</f>
        <v>0</v>
      </c>
      <c r="J42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23" s="488"/>
      <c r="L423" s="482"/>
      <c r="M423" s="483"/>
      <c r="N423" s="484"/>
      <c r="O423" s="690">
        <f>Producción_Agricola[[#This Row],[Superficie]]*Producción_Agricola[[#This Row],[Cantidad]]</f>
        <v>0</v>
      </c>
      <c r="P423" s="482"/>
      <c r="Q423" s="484"/>
      <c r="R423" s="485"/>
      <c r="S42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23" s="695">
        <f>IFERROR(Producción_Agricola[[#This Row],[Económico $Corrientes]]/Producción_Agricola[[#This Row],[Indexación Económico]],0)</f>
        <v>0</v>
      </c>
      <c r="U42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2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23" s="695">
        <f>IFERROR(Producción_Agricola[[#This Row],[Financiero $Corrientes]]/Producción_Agricola[[#This Row],[Indexación Financiero]],0)</f>
        <v>0</v>
      </c>
      <c r="X42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2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23" s="699">
        <f>IFERROR(Producción_Agricola[[#This Row],[Intereses $Corrientes]]/Producción_Agricola[[#This Row],[Indexación Financiero]],0)</f>
        <v>0</v>
      </c>
      <c r="AA42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23" s="701">
        <f>IFERROR(INDEX(Produccion_Agricola_Cuentas[],MATCH(Producción_Agricola[[#This Row],[Cuenta Contable]],Produccion_Agricola_Cuentas[Cuenta Contable],0),2),0)</f>
        <v>0</v>
      </c>
      <c r="AC423" s="702">
        <f>IFERROR(INDEX(Tabla9[],MATCH(Producción_Agricola[[#This Row],[Movimiento]],Tabla9[Movimientos],0),2),0)</f>
        <v>0</v>
      </c>
      <c r="AD423" s="703">
        <f>IFERROR(INDEX(Tabla9[],MATCH(Producción_Agricola[[#This Row],[Movimiento]],Tabla9[Movimientos],0),3),0)</f>
        <v>0</v>
      </c>
      <c r="AE423" s="698">
        <f>IF(Producción_Agricola[[#This Row],[Fecha Económico]]=0,0,MONTH(Producción_Agricola[[#This Row],[Fecha Económico]]))</f>
        <v>0</v>
      </c>
      <c r="AF423" s="699">
        <f>IF(Producción_Agricola[[#This Row],[Fecha Económico]]=0,0,YEAR(Producción_Agricola[[#This Row],[Fecha Económico]]))</f>
        <v>0</v>
      </c>
      <c r="AG423" s="704">
        <f>SUMPRODUCT((Producción_Agricola[[#This Row],[Mes Económico]]=Tipo_Cambio[Mes])*(Producción_Agricola[[#This Row],[Año Económico]]=Tipo_Cambio[Año])*(Tipo_Cambio[$/U$S]))</f>
        <v>0</v>
      </c>
      <c r="AH423" s="703">
        <f>SUMPRODUCT((Producción_Agricola[[#This Row],[Mes Económico]]=Tipo_Cambio[Mes])*(Producción_Agricola[[#This Row],[Año Económico]]=Tipo_Cambio[Año])*(Tipo_Cambio[Actualización]))</f>
        <v>0</v>
      </c>
      <c r="AI423" s="699">
        <f>IF(ISNUMBER(Producción_Agricola[[#This Row],[Fecha Financiero]])=TRUE,MONTH(Producción_Agricola[[#This Row],[Fecha Financiero]]),0)</f>
        <v>0</v>
      </c>
      <c r="AJ423" s="699">
        <f>IF(ISNUMBER(Producción_Agricola[[#This Row],[Fecha Financiero]])=TRUE,YEAR(Producción_Agricola[[#This Row],[Fecha Financiero]]),0)</f>
        <v>0</v>
      </c>
      <c r="AK423" s="704">
        <f>SUMPRODUCT((Producción_Agricola[[#This Row],[Mes Financiero]]=Tipo_Cambio[Mes])*(Producción_Agricola[[#This Row],[Año Financiero]]=Tipo_Cambio[Año])*(Tipo_Cambio[$/U$S]))</f>
        <v>0</v>
      </c>
      <c r="AL423" s="704">
        <f>SUMPRODUCT((Producción_Agricola[[#This Row],[Mes Financiero]]=Tipo_Cambio[Mes])*(Producción_Agricola[[#This Row],[Año Financiero]]=Tipo_Cambio[Año])*(Tipo_Cambio[Actualización]))</f>
        <v>0</v>
      </c>
      <c r="AM423" s="709">
        <f>IFERROR(Producción_Agricola[[#This Row],[Económico $Corrientes]]/Producción_Agricola[[#This Row],[Superficie]],0)</f>
        <v>0</v>
      </c>
      <c r="AN423" s="712">
        <f>IFERROR(Producción_Agricola[[#This Row],[Económico $Constantes]]/Producción_Agricola[[#This Row],[Superficie]],0)</f>
        <v>0</v>
      </c>
      <c r="AO423" s="712">
        <f>IFERROR(Producción_Agricola[[#This Row],[Económico U$S Dólares]]/Producción_Agricola[[#This Row],[Superficie]],0)</f>
        <v>0</v>
      </c>
      <c r="AP423" s="711">
        <f>IF(Económico!$F$4=0,0,Producción_Agricola[[#This Row],[Centro de Costo]])</f>
        <v>0</v>
      </c>
      <c r="AQ423" s="512"/>
      <c r="AR423" s="513"/>
      <c r="AS423"/>
    </row>
    <row r="424" spans="1:45" x14ac:dyDescent="0.25">
      <c r="A424" s="509"/>
      <c r="B424" s="494"/>
      <c r="C424" s="509"/>
      <c r="D424" s="478"/>
      <c r="E424" s="478"/>
      <c r="F424" s="668">
        <f t="shared" si="59"/>
        <v>0</v>
      </c>
      <c r="G424" s="673">
        <f t="shared" si="60"/>
        <v>0</v>
      </c>
      <c r="H424" s="673">
        <f t="shared" si="61"/>
        <v>0</v>
      </c>
      <c r="I424" s="675">
        <f>IFERROR(INDEX(Tabla8[],MATCH(Producción_Agricola[[#This Row],[Unidad de Negocio]],Tabla8[Unidades de Negocio],0),2),0)</f>
        <v>0</v>
      </c>
      <c r="J42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24" s="488"/>
      <c r="L424" s="482"/>
      <c r="M424" s="483"/>
      <c r="N424" s="484"/>
      <c r="O424" s="690">
        <f>Producción_Agricola[[#This Row],[Superficie]]*Producción_Agricola[[#This Row],[Cantidad]]</f>
        <v>0</v>
      </c>
      <c r="P424" s="482"/>
      <c r="Q424" s="484"/>
      <c r="R424" s="485"/>
      <c r="S42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24" s="695">
        <f>IFERROR(Producción_Agricola[[#This Row],[Económico $Corrientes]]/Producción_Agricola[[#This Row],[Indexación Económico]],0)</f>
        <v>0</v>
      </c>
      <c r="U42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2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24" s="695">
        <f>IFERROR(Producción_Agricola[[#This Row],[Financiero $Corrientes]]/Producción_Agricola[[#This Row],[Indexación Financiero]],0)</f>
        <v>0</v>
      </c>
      <c r="X42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2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24" s="699">
        <f>IFERROR(Producción_Agricola[[#This Row],[Intereses $Corrientes]]/Producción_Agricola[[#This Row],[Indexación Financiero]],0)</f>
        <v>0</v>
      </c>
      <c r="AA42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24" s="701">
        <f>IFERROR(INDEX(Produccion_Agricola_Cuentas[],MATCH(Producción_Agricola[[#This Row],[Cuenta Contable]],Produccion_Agricola_Cuentas[Cuenta Contable],0),2),0)</f>
        <v>0</v>
      </c>
      <c r="AC424" s="702">
        <f>IFERROR(INDEX(Tabla9[],MATCH(Producción_Agricola[[#This Row],[Movimiento]],Tabla9[Movimientos],0),2),0)</f>
        <v>0</v>
      </c>
      <c r="AD424" s="703">
        <f>IFERROR(INDEX(Tabla9[],MATCH(Producción_Agricola[[#This Row],[Movimiento]],Tabla9[Movimientos],0),3),0)</f>
        <v>0</v>
      </c>
      <c r="AE424" s="698">
        <f>IF(Producción_Agricola[[#This Row],[Fecha Económico]]=0,0,MONTH(Producción_Agricola[[#This Row],[Fecha Económico]]))</f>
        <v>0</v>
      </c>
      <c r="AF424" s="699">
        <f>IF(Producción_Agricola[[#This Row],[Fecha Económico]]=0,0,YEAR(Producción_Agricola[[#This Row],[Fecha Económico]]))</f>
        <v>0</v>
      </c>
      <c r="AG424" s="704">
        <f>SUMPRODUCT((Producción_Agricola[[#This Row],[Mes Económico]]=Tipo_Cambio[Mes])*(Producción_Agricola[[#This Row],[Año Económico]]=Tipo_Cambio[Año])*(Tipo_Cambio[$/U$S]))</f>
        <v>0</v>
      </c>
      <c r="AH424" s="703">
        <f>SUMPRODUCT((Producción_Agricola[[#This Row],[Mes Económico]]=Tipo_Cambio[Mes])*(Producción_Agricola[[#This Row],[Año Económico]]=Tipo_Cambio[Año])*(Tipo_Cambio[Actualización]))</f>
        <v>0</v>
      </c>
      <c r="AI424" s="699">
        <f>IF(ISNUMBER(Producción_Agricola[[#This Row],[Fecha Financiero]])=TRUE,MONTH(Producción_Agricola[[#This Row],[Fecha Financiero]]),0)</f>
        <v>0</v>
      </c>
      <c r="AJ424" s="699">
        <f>IF(ISNUMBER(Producción_Agricola[[#This Row],[Fecha Financiero]])=TRUE,YEAR(Producción_Agricola[[#This Row],[Fecha Financiero]]),0)</f>
        <v>0</v>
      </c>
      <c r="AK424" s="704">
        <f>SUMPRODUCT((Producción_Agricola[[#This Row],[Mes Financiero]]=Tipo_Cambio[Mes])*(Producción_Agricola[[#This Row],[Año Financiero]]=Tipo_Cambio[Año])*(Tipo_Cambio[$/U$S]))</f>
        <v>0</v>
      </c>
      <c r="AL424" s="704">
        <f>SUMPRODUCT((Producción_Agricola[[#This Row],[Mes Financiero]]=Tipo_Cambio[Mes])*(Producción_Agricola[[#This Row],[Año Financiero]]=Tipo_Cambio[Año])*(Tipo_Cambio[Actualización]))</f>
        <v>0</v>
      </c>
      <c r="AM424" s="709">
        <f>IFERROR(Producción_Agricola[[#This Row],[Económico $Corrientes]]/Producción_Agricola[[#This Row],[Superficie]],0)</f>
        <v>0</v>
      </c>
      <c r="AN424" s="712">
        <f>IFERROR(Producción_Agricola[[#This Row],[Económico $Constantes]]/Producción_Agricola[[#This Row],[Superficie]],0)</f>
        <v>0</v>
      </c>
      <c r="AO424" s="712">
        <f>IFERROR(Producción_Agricola[[#This Row],[Económico U$S Dólares]]/Producción_Agricola[[#This Row],[Superficie]],0)</f>
        <v>0</v>
      </c>
      <c r="AP424" s="711">
        <f>IF(Económico!$F$4=0,0,Producción_Agricola[[#This Row],[Centro de Costo]])</f>
        <v>0</v>
      </c>
      <c r="AQ424" s="512"/>
      <c r="AR424" s="513"/>
      <c r="AS424"/>
    </row>
    <row r="425" spans="1:45" x14ac:dyDescent="0.25">
      <c r="A425" s="509"/>
      <c r="B425" s="494"/>
      <c r="C425" s="509"/>
      <c r="D425" s="478"/>
      <c r="E425" s="478"/>
      <c r="F425" s="668">
        <f t="shared" si="59"/>
        <v>0</v>
      </c>
      <c r="G425" s="673">
        <f t="shared" si="60"/>
        <v>0</v>
      </c>
      <c r="H425" s="673">
        <f t="shared" si="61"/>
        <v>0</v>
      </c>
      <c r="I425" s="675">
        <f>IFERROR(INDEX(Tabla8[],MATCH(Producción_Agricola[[#This Row],[Unidad de Negocio]],Tabla8[Unidades de Negocio],0),2),0)</f>
        <v>0</v>
      </c>
      <c r="J42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25" s="488"/>
      <c r="L425" s="482"/>
      <c r="M425" s="483"/>
      <c r="N425" s="484"/>
      <c r="O425" s="690">
        <f>Producción_Agricola[[#This Row],[Superficie]]*Producción_Agricola[[#This Row],[Cantidad]]</f>
        <v>0</v>
      </c>
      <c r="P425" s="482"/>
      <c r="Q425" s="484"/>
      <c r="R425" s="485"/>
      <c r="S42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25" s="695">
        <f>IFERROR(Producción_Agricola[[#This Row],[Económico $Corrientes]]/Producción_Agricola[[#This Row],[Indexación Económico]],0)</f>
        <v>0</v>
      </c>
      <c r="U42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2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25" s="695">
        <f>IFERROR(Producción_Agricola[[#This Row],[Financiero $Corrientes]]/Producción_Agricola[[#This Row],[Indexación Financiero]],0)</f>
        <v>0</v>
      </c>
      <c r="X42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2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25" s="699">
        <f>IFERROR(Producción_Agricola[[#This Row],[Intereses $Corrientes]]/Producción_Agricola[[#This Row],[Indexación Financiero]],0)</f>
        <v>0</v>
      </c>
      <c r="AA42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25" s="701">
        <f>IFERROR(INDEX(Produccion_Agricola_Cuentas[],MATCH(Producción_Agricola[[#This Row],[Cuenta Contable]],Produccion_Agricola_Cuentas[Cuenta Contable],0),2),0)</f>
        <v>0</v>
      </c>
      <c r="AC425" s="702">
        <f>IFERROR(INDEX(Tabla9[],MATCH(Producción_Agricola[[#This Row],[Movimiento]],Tabla9[Movimientos],0),2),0)</f>
        <v>0</v>
      </c>
      <c r="AD425" s="703">
        <f>IFERROR(INDEX(Tabla9[],MATCH(Producción_Agricola[[#This Row],[Movimiento]],Tabla9[Movimientos],0),3),0)</f>
        <v>0</v>
      </c>
      <c r="AE425" s="698">
        <f>IF(Producción_Agricola[[#This Row],[Fecha Económico]]=0,0,MONTH(Producción_Agricola[[#This Row],[Fecha Económico]]))</f>
        <v>0</v>
      </c>
      <c r="AF425" s="699">
        <f>IF(Producción_Agricola[[#This Row],[Fecha Económico]]=0,0,YEAR(Producción_Agricola[[#This Row],[Fecha Económico]]))</f>
        <v>0</v>
      </c>
      <c r="AG425" s="704">
        <f>SUMPRODUCT((Producción_Agricola[[#This Row],[Mes Económico]]=Tipo_Cambio[Mes])*(Producción_Agricola[[#This Row],[Año Económico]]=Tipo_Cambio[Año])*(Tipo_Cambio[$/U$S]))</f>
        <v>0</v>
      </c>
      <c r="AH425" s="703">
        <f>SUMPRODUCT((Producción_Agricola[[#This Row],[Mes Económico]]=Tipo_Cambio[Mes])*(Producción_Agricola[[#This Row],[Año Económico]]=Tipo_Cambio[Año])*(Tipo_Cambio[Actualización]))</f>
        <v>0</v>
      </c>
      <c r="AI425" s="699">
        <f>IF(ISNUMBER(Producción_Agricola[[#This Row],[Fecha Financiero]])=TRUE,MONTH(Producción_Agricola[[#This Row],[Fecha Financiero]]),0)</f>
        <v>0</v>
      </c>
      <c r="AJ425" s="699">
        <f>IF(ISNUMBER(Producción_Agricola[[#This Row],[Fecha Financiero]])=TRUE,YEAR(Producción_Agricola[[#This Row],[Fecha Financiero]]),0)</f>
        <v>0</v>
      </c>
      <c r="AK425" s="704">
        <f>SUMPRODUCT((Producción_Agricola[[#This Row],[Mes Financiero]]=Tipo_Cambio[Mes])*(Producción_Agricola[[#This Row],[Año Financiero]]=Tipo_Cambio[Año])*(Tipo_Cambio[$/U$S]))</f>
        <v>0</v>
      </c>
      <c r="AL425" s="704">
        <f>SUMPRODUCT((Producción_Agricola[[#This Row],[Mes Financiero]]=Tipo_Cambio[Mes])*(Producción_Agricola[[#This Row],[Año Financiero]]=Tipo_Cambio[Año])*(Tipo_Cambio[Actualización]))</f>
        <v>0</v>
      </c>
      <c r="AM425" s="709">
        <f>IFERROR(Producción_Agricola[[#This Row],[Económico $Corrientes]]/Producción_Agricola[[#This Row],[Superficie]],0)</f>
        <v>0</v>
      </c>
      <c r="AN425" s="712">
        <f>IFERROR(Producción_Agricola[[#This Row],[Económico $Constantes]]/Producción_Agricola[[#This Row],[Superficie]],0)</f>
        <v>0</v>
      </c>
      <c r="AO425" s="712">
        <f>IFERROR(Producción_Agricola[[#This Row],[Económico U$S Dólares]]/Producción_Agricola[[#This Row],[Superficie]],0)</f>
        <v>0</v>
      </c>
      <c r="AP425" s="711">
        <f>IF(Económico!$F$4=0,0,Producción_Agricola[[#This Row],[Centro de Costo]])</f>
        <v>0</v>
      </c>
      <c r="AQ425" s="512"/>
      <c r="AR425" s="513"/>
      <c r="AS425"/>
    </row>
    <row r="426" spans="1:45" x14ac:dyDescent="0.25">
      <c r="A426" s="509"/>
      <c r="B426" s="494"/>
      <c r="C426" s="509"/>
      <c r="D426" s="478"/>
      <c r="E426" s="478"/>
      <c r="F426" s="668">
        <f t="shared" si="59"/>
        <v>0</v>
      </c>
      <c r="G426" s="673">
        <f t="shared" si="60"/>
        <v>0</v>
      </c>
      <c r="H426" s="673">
        <f t="shared" si="61"/>
        <v>0</v>
      </c>
      <c r="I426" s="675">
        <f>IFERROR(INDEX(Tabla8[],MATCH(Producción_Agricola[[#This Row],[Unidad de Negocio]],Tabla8[Unidades de Negocio],0),2),0)</f>
        <v>0</v>
      </c>
      <c r="J42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26" s="488"/>
      <c r="L426" s="482"/>
      <c r="M426" s="483"/>
      <c r="N426" s="484"/>
      <c r="O426" s="690">
        <f>Producción_Agricola[[#This Row],[Superficie]]*Producción_Agricola[[#This Row],[Cantidad]]</f>
        <v>0</v>
      </c>
      <c r="P426" s="482"/>
      <c r="Q426" s="484"/>
      <c r="R426" s="485"/>
      <c r="S42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26" s="695">
        <f>IFERROR(Producción_Agricola[[#This Row],[Económico $Corrientes]]/Producción_Agricola[[#This Row],[Indexación Económico]],0)</f>
        <v>0</v>
      </c>
      <c r="U42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2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26" s="695">
        <f>IFERROR(Producción_Agricola[[#This Row],[Financiero $Corrientes]]/Producción_Agricola[[#This Row],[Indexación Financiero]],0)</f>
        <v>0</v>
      </c>
      <c r="X42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2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26" s="699">
        <f>IFERROR(Producción_Agricola[[#This Row],[Intereses $Corrientes]]/Producción_Agricola[[#This Row],[Indexación Financiero]],0)</f>
        <v>0</v>
      </c>
      <c r="AA42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26" s="701">
        <f>IFERROR(INDEX(Produccion_Agricola_Cuentas[],MATCH(Producción_Agricola[[#This Row],[Cuenta Contable]],Produccion_Agricola_Cuentas[Cuenta Contable],0),2),0)</f>
        <v>0</v>
      </c>
      <c r="AC426" s="702">
        <f>IFERROR(INDEX(Tabla9[],MATCH(Producción_Agricola[[#This Row],[Movimiento]],Tabla9[Movimientos],0),2),0)</f>
        <v>0</v>
      </c>
      <c r="AD426" s="703">
        <f>IFERROR(INDEX(Tabla9[],MATCH(Producción_Agricola[[#This Row],[Movimiento]],Tabla9[Movimientos],0),3),0)</f>
        <v>0</v>
      </c>
      <c r="AE426" s="698">
        <f>IF(Producción_Agricola[[#This Row],[Fecha Económico]]=0,0,MONTH(Producción_Agricola[[#This Row],[Fecha Económico]]))</f>
        <v>0</v>
      </c>
      <c r="AF426" s="699">
        <f>IF(Producción_Agricola[[#This Row],[Fecha Económico]]=0,0,YEAR(Producción_Agricola[[#This Row],[Fecha Económico]]))</f>
        <v>0</v>
      </c>
      <c r="AG426" s="704">
        <f>SUMPRODUCT((Producción_Agricola[[#This Row],[Mes Económico]]=Tipo_Cambio[Mes])*(Producción_Agricola[[#This Row],[Año Económico]]=Tipo_Cambio[Año])*(Tipo_Cambio[$/U$S]))</f>
        <v>0</v>
      </c>
      <c r="AH426" s="703">
        <f>SUMPRODUCT((Producción_Agricola[[#This Row],[Mes Económico]]=Tipo_Cambio[Mes])*(Producción_Agricola[[#This Row],[Año Económico]]=Tipo_Cambio[Año])*(Tipo_Cambio[Actualización]))</f>
        <v>0</v>
      </c>
      <c r="AI426" s="699">
        <f>IF(ISNUMBER(Producción_Agricola[[#This Row],[Fecha Financiero]])=TRUE,MONTH(Producción_Agricola[[#This Row],[Fecha Financiero]]),0)</f>
        <v>0</v>
      </c>
      <c r="AJ426" s="699">
        <f>IF(ISNUMBER(Producción_Agricola[[#This Row],[Fecha Financiero]])=TRUE,YEAR(Producción_Agricola[[#This Row],[Fecha Financiero]]),0)</f>
        <v>0</v>
      </c>
      <c r="AK426" s="704">
        <f>SUMPRODUCT((Producción_Agricola[[#This Row],[Mes Financiero]]=Tipo_Cambio[Mes])*(Producción_Agricola[[#This Row],[Año Financiero]]=Tipo_Cambio[Año])*(Tipo_Cambio[$/U$S]))</f>
        <v>0</v>
      </c>
      <c r="AL426" s="704">
        <f>SUMPRODUCT((Producción_Agricola[[#This Row],[Mes Financiero]]=Tipo_Cambio[Mes])*(Producción_Agricola[[#This Row],[Año Financiero]]=Tipo_Cambio[Año])*(Tipo_Cambio[Actualización]))</f>
        <v>0</v>
      </c>
      <c r="AM426" s="709">
        <f>IFERROR(Producción_Agricola[[#This Row],[Económico $Corrientes]]/Producción_Agricola[[#This Row],[Superficie]],0)</f>
        <v>0</v>
      </c>
      <c r="AN426" s="712">
        <f>IFERROR(Producción_Agricola[[#This Row],[Económico $Constantes]]/Producción_Agricola[[#This Row],[Superficie]],0)</f>
        <v>0</v>
      </c>
      <c r="AO426" s="712">
        <f>IFERROR(Producción_Agricola[[#This Row],[Económico U$S Dólares]]/Producción_Agricola[[#This Row],[Superficie]],0)</f>
        <v>0</v>
      </c>
      <c r="AP426" s="711">
        <f>IF(Económico!$F$4=0,0,Producción_Agricola[[#This Row],[Centro de Costo]])</f>
        <v>0</v>
      </c>
      <c r="AQ426" s="512"/>
      <c r="AR426" s="513"/>
      <c r="AS426"/>
    </row>
    <row r="427" spans="1:45" x14ac:dyDescent="0.25">
      <c r="A427" s="509"/>
      <c r="B427" s="494"/>
      <c r="C427" s="509"/>
      <c r="D427" s="478"/>
      <c r="E427" s="478"/>
      <c r="F427" s="668">
        <f t="shared" si="59"/>
        <v>0</v>
      </c>
      <c r="G427" s="673">
        <f t="shared" si="60"/>
        <v>0</v>
      </c>
      <c r="H427" s="673">
        <f t="shared" si="61"/>
        <v>0</v>
      </c>
      <c r="I427" s="675">
        <f>IFERROR(INDEX(Tabla8[],MATCH(Producción_Agricola[[#This Row],[Unidad de Negocio]],Tabla8[Unidades de Negocio],0),2),0)</f>
        <v>0</v>
      </c>
      <c r="J42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27" s="488"/>
      <c r="L427" s="482"/>
      <c r="M427" s="483"/>
      <c r="N427" s="484"/>
      <c r="O427" s="690">
        <f>Producción_Agricola[[#This Row],[Superficie]]*Producción_Agricola[[#This Row],[Cantidad]]</f>
        <v>0</v>
      </c>
      <c r="P427" s="482"/>
      <c r="Q427" s="484"/>
      <c r="R427" s="485"/>
      <c r="S42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27" s="695">
        <f>IFERROR(Producción_Agricola[[#This Row],[Económico $Corrientes]]/Producción_Agricola[[#This Row],[Indexación Económico]],0)</f>
        <v>0</v>
      </c>
      <c r="U42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2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27" s="695">
        <f>IFERROR(Producción_Agricola[[#This Row],[Financiero $Corrientes]]/Producción_Agricola[[#This Row],[Indexación Financiero]],0)</f>
        <v>0</v>
      </c>
      <c r="X42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2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27" s="699">
        <f>IFERROR(Producción_Agricola[[#This Row],[Intereses $Corrientes]]/Producción_Agricola[[#This Row],[Indexación Financiero]],0)</f>
        <v>0</v>
      </c>
      <c r="AA42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27" s="701">
        <f>IFERROR(INDEX(Produccion_Agricola_Cuentas[],MATCH(Producción_Agricola[[#This Row],[Cuenta Contable]],Produccion_Agricola_Cuentas[Cuenta Contable],0),2),0)</f>
        <v>0</v>
      </c>
      <c r="AC427" s="702">
        <f>IFERROR(INDEX(Tabla9[],MATCH(Producción_Agricola[[#This Row],[Movimiento]],Tabla9[Movimientos],0),2),0)</f>
        <v>0</v>
      </c>
      <c r="AD427" s="703">
        <f>IFERROR(INDEX(Tabla9[],MATCH(Producción_Agricola[[#This Row],[Movimiento]],Tabla9[Movimientos],0),3),0)</f>
        <v>0</v>
      </c>
      <c r="AE427" s="698">
        <f>IF(Producción_Agricola[[#This Row],[Fecha Económico]]=0,0,MONTH(Producción_Agricola[[#This Row],[Fecha Económico]]))</f>
        <v>0</v>
      </c>
      <c r="AF427" s="699">
        <f>IF(Producción_Agricola[[#This Row],[Fecha Económico]]=0,0,YEAR(Producción_Agricola[[#This Row],[Fecha Económico]]))</f>
        <v>0</v>
      </c>
      <c r="AG427" s="704">
        <f>SUMPRODUCT((Producción_Agricola[[#This Row],[Mes Económico]]=Tipo_Cambio[Mes])*(Producción_Agricola[[#This Row],[Año Económico]]=Tipo_Cambio[Año])*(Tipo_Cambio[$/U$S]))</f>
        <v>0</v>
      </c>
      <c r="AH427" s="703">
        <f>SUMPRODUCT((Producción_Agricola[[#This Row],[Mes Económico]]=Tipo_Cambio[Mes])*(Producción_Agricola[[#This Row],[Año Económico]]=Tipo_Cambio[Año])*(Tipo_Cambio[Actualización]))</f>
        <v>0</v>
      </c>
      <c r="AI427" s="699">
        <f>IF(ISNUMBER(Producción_Agricola[[#This Row],[Fecha Financiero]])=TRUE,MONTH(Producción_Agricola[[#This Row],[Fecha Financiero]]),0)</f>
        <v>0</v>
      </c>
      <c r="AJ427" s="699">
        <f>IF(ISNUMBER(Producción_Agricola[[#This Row],[Fecha Financiero]])=TRUE,YEAR(Producción_Agricola[[#This Row],[Fecha Financiero]]),0)</f>
        <v>0</v>
      </c>
      <c r="AK427" s="704">
        <f>SUMPRODUCT((Producción_Agricola[[#This Row],[Mes Financiero]]=Tipo_Cambio[Mes])*(Producción_Agricola[[#This Row],[Año Financiero]]=Tipo_Cambio[Año])*(Tipo_Cambio[$/U$S]))</f>
        <v>0</v>
      </c>
      <c r="AL427" s="704">
        <f>SUMPRODUCT((Producción_Agricola[[#This Row],[Mes Financiero]]=Tipo_Cambio[Mes])*(Producción_Agricola[[#This Row],[Año Financiero]]=Tipo_Cambio[Año])*(Tipo_Cambio[Actualización]))</f>
        <v>0</v>
      </c>
      <c r="AM427" s="709">
        <f>IFERROR(Producción_Agricola[[#This Row],[Económico $Corrientes]]/Producción_Agricola[[#This Row],[Superficie]],0)</f>
        <v>0</v>
      </c>
      <c r="AN427" s="712">
        <f>IFERROR(Producción_Agricola[[#This Row],[Económico $Constantes]]/Producción_Agricola[[#This Row],[Superficie]],0)</f>
        <v>0</v>
      </c>
      <c r="AO427" s="712">
        <f>IFERROR(Producción_Agricola[[#This Row],[Económico U$S Dólares]]/Producción_Agricola[[#This Row],[Superficie]],0)</f>
        <v>0</v>
      </c>
      <c r="AP427" s="711">
        <f>IF(Económico!$F$4=0,0,Producción_Agricola[[#This Row],[Centro de Costo]])</f>
        <v>0</v>
      </c>
      <c r="AQ427" s="512"/>
      <c r="AR427" s="513"/>
      <c r="AS427"/>
    </row>
    <row r="428" spans="1:45" x14ac:dyDescent="0.25">
      <c r="A428" s="509"/>
      <c r="B428" s="494"/>
      <c r="C428" s="509"/>
      <c r="D428" s="478"/>
      <c r="E428" s="478"/>
      <c r="F428" s="668">
        <f t="shared" si="59"/>
        <v>0</v>
      </c>
      <c r="G428" s="673">
        <f t="shared" si="60"/>
        <v>0</v>
      </c>
      <c r="H428" s="673">
        <f t="shared" si="61"/>
        <v>0</v>
      </c>
      <c r="I428" s="675">
        <f>IFERROR(INDEX(Tabla8[],MATCH(Producción_Agricola[[#This Row],[Unidad de Negocio]],Tabla8[Unidades de Negocio],0),2),0)</f>
        <v>0</v>
      </c>
      <c r="J42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28" s="488"/>
      <c r="L428" s="482"/>
      <c r="M428" s="483"/>
      <c r="N428" s="484"/>
      <c r="O428" s="690">
        <f>Producción_Agricola[[#This Row],[Superficie]]*Producción_Agricola[[#This Row],[Cantidad]]</f>
        <v>0</v>
      </c>
      <c r="P428" s="482"/>
      <c r="Q428" s="484"/>
      <c r="R428" s="485"/>
      <c r="S42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28" s="695">
        <f>IFERROR(Producción_Agricola[[#This Row],[Económico $Corrientes]]/Producción_Agricola[[#This Row],[Indexación Económico]],0)</f>
        <v>0</v>
      </c>
      <c r="U42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2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28" s="695">
        <f>IFERROR(Producción_Agricola[[#This Row],[Financiero $Corrientes]]/Producción_Agricola[[#This Row],[Indexación Financiero]],0)</f>
        <v>0</v>
      </c>
      <c r="X42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2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28" s="699">
        <f>IFERROR(Producción_Agricola[[#This Row],[Intereses $Corrientes]]/Producción_Agricola[[#This Row],[Indexación Financiero]],0)</f>
        <v>0</v>
      </c>
      <c r="AA42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28" s="701">
        <f>IFERROR(INDEX(Produccion_Agricola_Cuentas[],MATCH(Producción_Agricola[[#This Row],[Cuenta Contable]],Produccion_Agricola_Cuentas[Cuenta Contable],0),2),0)</f>
        <v>0</v>
      </c>
      <c r="AC428" s="702">
        <f>IFERROR(INDEX(Tabla9[],MATCH(Producción_Agricola[[#This Row],[Movimiento]],Tabla9[Movimientos],0),2),0)</f>
        <v>0</v>
      </c>
      <c r="AD428" s="703">
        <f>IFERROR(INDEX(Tabla9[],MATCH(Producción_Agricola[[#This Row],[Movimiento]],Tabla9[Movimientos],0),3),0)</f>
        <v>0</v>
      </c>
      <c r="AE428" s="698">
        <f>IF(Producción_Agricola[[#This Row],[Fecha Económico]]=0,0,MONTH(Producción_Agricola[[#This Row],[Fecha Económico]]))</f>
        <v>0</v>
      </c>
      <c r="AF428" s="699">
        <f>IF(Producción_Agricola[[#This Row],[Fecha Económico]]=0,0,YEAR(Producción_Agricola[[#This Row],[Fecha Económico]]))</f>
        <v>0</v>
      </c>
      <c r="AG428" s="704">
        <f>SUMPRODUCT((Producción_Agricola[[#This Row],[Mes Económico]]=Tipo_Cambio[Mes])*(Producción_Agricola[[#This Row],[Año Económico]]=Tipo_Cambio[Año])*(Tipo_Cambio[$/U$S]))</f>
        <v>0</v>
      </c>
      <c r="AH428" s="703">
        <f>SUMPRODUCT((Producción_Agricola[[#This Row],[Mes Económico]]=Tipo_Cambio[Mes])*(Producción_Agricola[[#This Row],[Año Económico]]=Tipo_Cambio[Año])*(Tipo_Cambio[Actualización]))</f>
        <v>0</v>
      </c>
      <c r="AI428" s="699">
        <f>IF(ISNUMBER(Producción_Agricola[[#This Row],[Fecha Financiero]])=TRUE,MONTH(Producción_Agricola[[#This Row],[Fecha Financiero]]),0)</f>
        <v>0</v>
      </c>
      <c r="AJ428" s="699">
        <f>IF(ISNUMBER(Producción_Agricola[[#This Row],[Fecha Financiero]])=TRUE,YEAR(Producción_Agricola[[#This Row],[Fecha Financiero]]),0)</f>
        <v>0</v>
      </c>
      <c r="AK428" s="704">
        <f>SUMPRODUCT((Producción_Agricola[[#This Row],[Mes Financiero]]=Tipo_Cambio[Mes])*(Producción_Agricola[[#This Row],[Año Financiero]]=Tipo_Cambio[Año])*(Tipo_Cambio[$/U$S]))</f>
        <v>0</v>
      </c>
      <c r="AL428" s="704">
        <f>SUMPRODUCT((Producción_Agricola[[#This Row],[Mes Financiero]]=Tipo_Cambio[Mes])*(Producción_Agricola[[#This Row],[Año Financiero]]=Tipo_Cambio[Año])*(Tipo_Cambio[Actualización]))</f>
        <v>0</v>
      </c>
      <c r="AM428" s="709">
        <f>IFERROR(Producción_Agricola[[#This Row],[Económico $Corrientes]]/Producción_Agricola[[#This Row],[Superficie]],0)</f>
        <v>0</v>
      </c>
      <c r="AN428" s="712">
        <f>IFERROR(Producción_Agricola[[#This Row],[Económico $Constantes]]/Producción_Agricola[[#This Row],[Superficie]],0)</f>
        <v>0</v>
      </c>
      <c r="AO428" s="712">
        <f>IFERROR(Producción_Agricola[[#This Row],[Económico U$S Dólares]]/Producción_Agricola[[#This Row],[Superficie]],0)</f>
        <v>0</v>
      </c>
      <c r="AP428" s="711">
        <f>IF(Económico!$F$4=0,0,Producción_Agricola[[#This Row],[Centro de Costo]])</f>
        <v>0</v>
      </c>
      <c r="AQ428" s="512"/>
      <c r="AR428" s="513"/>
      <c r="AS428"/>
    </row>
    <row r="429" spans="1:45" x14ac:dyDescent="0.25">
      <c r="A429" s="509"/>
      <c r="B429" s="494"/>
      <c r="C429" s="509"/>
      <c r="D429" s="478"/>
      <c r="E429" s="478"/>
      <c r="F429" s="668">
        <f t="shared" si="59"/>
        <v>0</v>
      </c>
      <c r="G429" s="673">
        <f t="shared" si="60"/>
        <v>0</v>
      </c>
      <c r="H429" s="673">
        <f t="shared" si="61"/>
        <v>0</v>
      </c>
      <c r="I429" s="675">
        <f>IFERROR(INDEX(Tabla8[],MATCH(Producción_Agricola[[#This Row],[Unidad de Negocio]],Tabla8[Unidades de Negocio],0),2),0)</f>
        <v>0</v>
      </c>
      <c r="J42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29" s="488"/>
      <c r="L429" s="482"/>
      <c r="M429" s="483"/>
      <c r="N429" s="484"/>
      <c r="O429" s="690">
        <f>Producción_Agricola[[#This Row],[Superficie]]*Producción_Agricola[[#This Row],[Cantidad]]</f>
        <v>0</v>
      </c>
      <c r="P429" s="482"/>
      <c r="Q429" s="484"/>
      <c r="R429" s="485"/>
      <c r="S42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29" s="695">
        <f>IFERROR(Producción_Agricola[[#This Row],[Económico $Corrientes]]/Producción_Agricola[[#This Row],[Indexación Económico]],0)</f>
        <v>0</v>
      </c>
      <c r="U42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2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29" s="695">
        <f>IFERROR(Producción_Agricola[[#This Row],[Financiero $Corrientes]]/Producción_Agricola[[#This Row],[Indexación Financiero]],0)</f>
        <v>0</v>
      </c>
      <c r="X42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2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29" s="699">
        <f>IFERROR(Producción_Agricola[[#This Row],[Intereses $Corrientes]]/Producción_Agricola[[#This Row],[Indexación Financiero]],0)</f>
        <v>0</v>
      </c>
      <c r="AA42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29" s="701">
        <f>IFERROR(INDEX(Produccion_Agricola_Cuentas[],MATCH(Producción_Agricola[[#This Row],[Cuenta Contable]],Produccion_Agricola_Cuentas[Cuenta Contable],0),2),0)</f>
        <v>0</v>
      </c>
      <c r="AC429" s="702">
        <f>IFERROR(INDEX(Tabla9[],MATCH(Producción_Agricola[[#This Row],[Movimiento]],Tabla9[Movimientos],0),2),0)</f>
        <v>0</v>
      </c>
      <c r="AD429" s="703">
        <f>IFERROR(INDEX(Tabla9[],MATCH(Producción_Agricola[[#This Row],[Movimiento]],Tabla9[Movimientos],0),3),0)</f>
        <v>0</v>
      </c>
      <c r="AE429" s="698">
        <f>IF(Producción_Agricola[[#This Row],[Fecha Económico]]=0,0,MONTH(Producción_Agricola[[#This Row],[Fecha Económico]]))</f>
        <v>0</v>
      </c>
      <c r="AF429" s="699">
        <f>IF(Producción_Agricola[[#This Row],[Fecha Económico]]=0,0,YEAR(Producción_Agricola[[#This Row],[Fecha Económico]]))</f>
        <v>0</v>
      </c>
      <c r="AG429" s="704">
        <f>SUMPRODUCT((Producción_Agricola[[#This Row],[Mes Económico]]=Tipo_Cambio[Mes])*(Producción_Agricola[[#This Row],[Año Económico]]=Tipo_Cambio[Año])*(Tipo_Cambio[$/U$S]))</f>
        <v>0</v>
      </c>
      <c r="AH429" s="703">
        <f>SUMPRODUCT((Producción_Agricola[[#This Row],[Mes Económico]]=Tipo_Cambio[Mes])*(Producción_Agricola[[#This Row],[Año Económico]]=Tipo_Cambio[Año])*(Tipo_Cambio[Actualización]))</f>
        <v>0</v>
      </c>
      <c r="AI429" s="699">
        <f>IF(ISNUMBER(Producción_Agricola[[#This Row],[Fecha Financiero]])=TRUE,MONTH(Producción_Agricola[[#This Row],[Fecha Financiero]]),0)</f>
        <v>0</v>
      </c>
      <c r="AJ429" s="699">
        <f>IF(ISNUMBER(Producción_Agricola[[#This Row],[Fecha Financiero]])=TRUE,YEAR(Producción_Agricola[[#This Row],[Fecha Financiero]]),0)</f>
        <v>0</v>
      </c>
      <c r="AK429" s="704">
        <f>SUMPRODUCT((Producción_Agricola[[#This Row],[Mes Financiero]]=Tipo_Cambio[Mes])*(Producción_Agricola[[#This Row],[Año Financiero]]=Tipo_Cambio[Año])*(Tipo_Cambio[$/U$S]))</f>
        <v>0</v>
      </c>
      <c r="AL429" s="704">
        <f>SUMPRODUCT((Producción_Agricola[[#This Row],[Mes Financiero]]=Tipo_Cambio[Mes])*(Producción_Agricola[[#This Row],[Año Financiero]]=Tipo_Cambio[Año])*(Tipo_Cambio[Actualización]))</f>
        <v>0</v>
      </c>
      <c r="AM429" s="709">
        <f>IFERROR(Producción_Agricola[[#This Row],[Económico $Corrientes]]/Producción_Agricola[[#This Row],[Superficie]],0)</f>
        <v>0</v>
      </c>
      <c r="AN429" s="712">
        <f>IFERROR(Producción_Agricola[[#This Row],[Económico $Constantes]]/Producción_Agricola[[#This Row],[Superficie]],0)</f>
        <v>0</v>
      </c>
      <c r="AO429" s="712">
        <f>IFERROR(Producción_Agricola[[#This Row],[Económico U$S Dólares]]/Producción_Agricola[[#This Row],[Superficie]],0)</f>
        <v>0</v>
      </c>
      <c r="AP429" s="711">
        <f>IF(Económico!$F$4=0,0,Producción_Agricola[[#This Row],[Centro de Costo]])</f>
        <v>0</v>
      </c>
      <c r="AQ429" s="512"/>
      <c r="AR429" s="513"/>
      <c r="AS429"/>
    </row>
    <row r="430" spans="1:45" x14ac:dyDescent="0.25">
      <c r="A430" s="509"/>
      <c r="B430" s="494"/>
      <c r="C430" s="509"/>
      <c r="D430" s="478"/>
      <c r="E430" s="478"/>
      <c r="F430" s="668">
        <f t="shared" si="59"/>
        <v>0</v>
      </c>
      <c r="G430" s="673">
        <f t="shared" si="60"/>
        <v>0</v>
      </c>
      <c r="H430" s="673">
        <f t="shared" si="61"/>
        <v>0</v>
      </c>
      <c r="I430" s="675">
        <f>IFERROR(INDEX(Tabla8[],MATCH(Producción_Agricola[[#This Row],[Unidad de Negocio]],Tabla8[Unidades de Negocio],0),2),0)</f>
        <v>0</v>
      </c>
      <c r="J43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30" s="488"/>
      <c r="L430" s="482"/>
      <c r="M430" s="483"/>
      <c r="N430" s="484"/>
      <c r="O430" s="690">
        <f>Producción_Agricola[[#This Row],[Superficie]]*Producción_Agricola[[#This Row],[Cantidad]]</f>
        <v>0</v>
      </c>
      <c r="P430" s="482"/>
      <c r="Q430" s="484"/>
      <c r="R430" s="485"/>
      <c r="S43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30" s="695">
        <f>IFERROR(Producción_Agricola[[#This Row],[Económico $Corrientes]]/Producción_Agricola[[#This Row],[Indexación Económico]],0)</f>
        <v>0</v>
      </c>
      <c r="U43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3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30" s="695">
        <f>IFERROR(Producción_Agricola[[#This Row],[Financiero $Corrientes]]/Producción_Agricola[[#This Row],[Indexación Financiero]],0)</f>
        <v>0</v>
      </c>
      <c r="X43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3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30" s="699">
        <f>IFERROR(Producción_Agricola[[#This Row],[Intereses $Corrientes]]/Producción_Agricola[[#This Row],[Indexación Financiero]],0)</f>
        <v>0</v>
      </c>
      <c r="AA43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30" s="701">
        <f>IFERROR(INDEX(Produccion_Agricola_Cuentas[],MATCH(Producción_Agricola[[#This Row],[Cuenta Contable]],Produccion_Agricola_Cuentas[Cuenta Contable],0),2),0)</f>
        <v>0</v>
      </c>
      <c r="AC430" s="702">
        <f>IFERROR(INDEX(Tabla9[],MATCH(Producción_Agricola[[#This Row],[Movimiento]],Tabla9[Movimientos],0),2),0)</f>
        <v>0</v>
      </c>
      <c r="AD430" s="703">
        <f>IFERROR(INDEX(Tabla9[],MATCH(Producción_Agricola[[#This Row],[Movimiento]],Tabla9[Movimientos],0),3),0)</f>
        <v>0</v>
      </c>
      <c r="AE430" s="698">
        <f>IF(Producción_Agricola[[#This Row],[Fecha Económico]]=0,0,MONTH(Producción_Agricola[[#This Row],[Fecha Económico]]))</f>
        <v>0</v>
      </c>
      <c r="AF430" s="699">
        <f>IF(Producción_Agricola[[#This Row],[Fecha Económico]]=0,0,YEAR(Producción_Agricola[[#This Row],[Fecha Económico]]))</f>
        <v>0</v>
      </c>
      <c r="AG430" s="704">
        <f>SUMPRODUCT((Producción_Agricola[[#This Row],[Mes Económico]]=Tipo_Cambio[Mes])*(Producción_Agricola[[#This Row],[Año Económico]]=Tipo_Cambio[Año])*(Tipo_Cambio[$/U$S]))</f>
        <v>0</v>
      </c>
      <c r="AH430" s="703">
        <f>SUMPRODUCT((Producción_Agricola[[#This Row],[Mes Económico]]=Tipo_Cambio[Mes])*(Producción_Agricola[[#This Row],[Año Económico]]=Tipo_Cambio[Año])*(Tipo_Cambio[Actualización]))</f>
        <v>0</v>
      </c>
      <c r="AI430" s="699">
        <f>IF(ISNUMBER(Producción_Agricola[[#This Row],[Fecha Financiero]])=TRUE,MONTH(Producción_Agricola[[#This Row],[Fecha Financiero]]),0)</f>
        <v>0</v>
      </c>
      <c r="AJ430" s="699">
        <f>IF(ISNUMBER(Producción_Agricola[[#This Row],[Fecha Financiero]])=TRUE,YEAR(Producción_Agricola[[#This Row],[Fecha Financiero]]),0)</f>
        <v>0</v>
      </c>
      <c r="AK430" s="704">
        <f>SUMPRODUCT((Producción_Agricola[[#This Row],[Mes Financiero]]=Tipo_Cambio[Mes])*(Producción_Agricola[[#This Row],[Año Financiero]]=Tipo_Cambio[Año])*(Tipo_Cambio[$/U$S]))</f>
        <v>0</v>
      </c>
      <c r="AL430" s="704">
        <f>SUMPRODUCT((Producción_Agricola[[#This Row],[Mes Financiero]]=Tipo_Cambio[Mes])*(Producción_Agricola[[#This Row],[Año Financiero]]=Tipo_Cambio[Año])*(Tipo_Cambio[Actualización]))</f>
        <v>0</v>
      </c>
      <c r="AM430" s="709">
        <f>IFERROR(Producción_Agricola[[#This Row],[Económico $Corrientes]]/Producción_Agricola[[#This Row],[Superficie]],0)</f>
        <v>0</v>
      </c>
      <c r="AN430" s="712">
        <f>IFERROR(Producción_Agricola[[#This Row],[Económico $Constantes]]/Producción_Agricola[[#This Row],[Superficie]],0)</f>
        <v>0</v>
      </c>
      <c r="AO430" s="712">
        <f>IFERROR(Producción_Agricola[[#This Row],[Económico U$S Dólares]]/Producción_Agricola[[#This Row],[Superficie]],0)</f>
        <v>0</v>
      </c>
      <c r="AP430" s="711">
        <f>IF(Económico!$F$4=0,0,Producción_Agricola[[#This Row],[Centro de Costo]])</f>
        <v>0</v>
      </c>
      <c r="AQ430" s="512"/>
      <c r="AR430" s="513"/>
      <c r="AS430"/>
    </row>
    <row r="431" spans="1:45" x14ac:dyDescent="0.25">
      <c r="A431" s="509"/>
      <c r="B431" s="494"/>
      <c r="C431" s="509"/>
      <c r="D431" s="478"/>
      <c r="E431" s="478"/>
      <c r="F431" s="668">
        <f t="shared" si="59"/>
        <v>0</v>
      </c>
      <c r="G431" s="673">
        <f t="shared" si="60"/>
        <v>0</v>
      </c>
      <c r="H431" s="673">
        <f t="shared" si="61"/>
        <v>0</v>
      </c>
      <c r="I431" s="675">
        <f>IFERROR(INDEX(Tabla8[],MATCH(Producción_Agricola[[#This Row],[Unidad de Negocio]],Tabla8[Unidades de Negocio],0),2),0)</f>
        <v>0</v>
      </c>
      <c r="J43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31" s="488"/>
      <c r="L431" s="482"/>
      <c r="M431" s="483"/>
      <c r="N431" s="484"/>
      <c r="O431" s="690">
        <f>Producción_Agricola[[#This Row],[Superficie]]*Producción_Agricola[[#This Row],[Cantidad]]</f>
        <v>0</v>
      </c>
      <c r="P431" s="482"/>
      <c r="Q431" s="484"/>
      <c r="R431" s="485"/>
      <c r="S43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31" s="695">
        <f>IFERROR(Producción_Agricola[[#This Row],[Económico $Corrientes]]/Producción_Agricola[[#This Row],[Indexación Económico]],0)</f>
        <v>0</v>
      </c>
      <c r="U43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3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31" s="695">
        <f>IFERROR(Producción_Agricola[[#This Row],[Financiero $Corrientes]]/Producción_Agricola[[#This Row],[Indexación Financiero]],0)</f>
        <v>0</v>
      </c>
      <c r="X43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3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31" s="699">
        <f>IFERROR(Producción_Agricola[[#This Row],[Intereses $Corrientes]]/Producción_Agricola[[#This Row],[Indexación Financiero]],0)</f>
        <v>0</v>
      </c>
      <c r="AA43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31" s="701">
        <f>IFERROR(INDEX(Produccion_Agricola_Cuentas[],MATCH(Producción_Agricola[[#This Row],[Cuenta Contable]],Produccion_Agricola_Cuentas[Cuenta Contable],0),2),0)</f>
        <v>0</v>
      </c>
      <c r="AC431" s="702">
        <f>IFERROR(INDEX(Tabla9[],MATCH(Producción_Agricola[[#This Row],[Movimiento]],Tabla9[Movimientos],0),2),0)</f>
        <v>0</v>
      </c>
      <c r="AD431" s="703">
        <f>IFERROR(INDEX(Tabla9[],MATCH(Producción_Agricola[[#This Row],[Movimiento]],Tabla9[Movimientos],0),3),0)</f>
        <v>0</v>
      </c>
      <c r="AE431" s="698">
        <f>IF(Producción_Agricola[[#This Row],[Fecha Económico]]=0,0,MONTH(Producción_Agricola[[#This Row],[Fecha Económico]]))</f>
        <v>0</v>
      </c>
      <c r="AF431" s="699">
        <f>IF(Producción_Agricola[[#This Row],[Fecha Económico]]=0,0,YEAR(Producción_Agricola[[#This Row],[Fecha Económico]]))</f>
        <v>0</v>
      </c>
      <c r="AG431" s="704">
        <f>SUMPRODUCT((Producción_Agricola[[#This Row],[Mes Económico]]=Tipo_Cambio[Mes])*(Producción_Agricola[[#This Row],[Año Económico]]=Tipo_Cambio[Año])*(Tipo_Cambio[$/U$S]))</f>
        <v>0</v>
      </c>
      <c r="AH431" s="703">
        <f>SUMPRODUCT((Producción_Agricola[[#This Row],[Mes Económico]]=Tipo_Cambio[Mes])*(Producción_Agricola[[#This Row],[Año Económico]]=Tipo_Cambio[Año])*(Tipo_Cambio[Actualización]))</f>
        <v>0</v>
      </c>
      <c r="AI431" s="699">
        <f>IF(ISNUMBER(Producción_Agricola[[#This Row],[Fecha Financiero]])=TRUE,MONTH(Producción_Agricola[[#This Row],[Fecha Financiero]]),0)</f>
        <v>0</v>
      </c>
      <c r="AJ431" s="699">
        <f>IF(ISNUMBER(Producción_Agricola[[#This Row],[Fecha Financiero]])=TRUE,YEAR(Producción_Agricola[[#This Row],[Fecha Financiero]]),0)</f>
        <v>0</v>
      </c>
      <c r="AK431" s="704">
        <f>SUMPRODUCT((Producción_Agricola[[#This Row],[Mes Financiero]]=Tipo_Cambio[Mes])*(Producción_Agricola[[#This Row],[Año Financiero]]=Tipo_Cambio[Año])*(Tipo_Cambio[$/U$S]))</f>
        <v>0</v>
      </c>
      <c r="AL431" s="704">
        <f>SUMPRODUCT((Producción_Agricola[[#This Row],[Mes Financiero]]=Tipo_Cambio[Mes])*(Producción_Agricola[[#This Row],[Año Financiero]]=Tipo_Cambio[Año])*(Tipo_Cambio[Actualización]))</f>
        <v>0</v>
      </c>
      <c r="AM431" s="709">
        <f>IFERROR(Producción_Agricola[[#This Row],[Económico $Corrientes]]/Producción_Agricola[[#This Row],[Superficie]],0)</f>
        <v>0</v>
      </c>
      <c r="AN431" s="712">
        <f>IFERROR(Producción_Agricola[[#This Row],[Económico $Constantes]]/Producción_Agricola[[#This Row],[Superficie]],0)</f>
        <v>0</v>
      </c>
      <c r="AO431" s="712">
        <f>IFERROR(Producción_Agricola[[#This Row],[Económico U$S Dólares]]/Producción_Agricola[[#This Row],[Superficie]],0)</f>
        <v>0</v>
      </c>
      <c r="AP431" s="711">
        <f>IF(Económico!$F$4=0,0,Producción_Agricola[[#This Row],[Centro de Costo]])</f>
        <v>0</v>
      </c>
      <c r="AQ431" s="512"/>
      <c r="AR431" s="513"/>
      <c r="AS431"/>
    </row>
    <row r="432" spans="1:45" x14ac:dyDescent="0.25">
      <c r="A432" s="509"/>
      <c r="B432" s="494"/>
      <c r="C432" s="509"/>
      <c r="D432" s="478"/>
      <c r="E432" s="478"/>
      <c r="F432" s="668">
        <f t="shared" si="59"/>
        <v>0</v>
      </c>
      <c r="G432" s="673">
        <f t="shared" si="60"/>
        <v>0</v>
      </c>
      <c r="H432" s="673">
        <f t="shared" si="61"/>
        <v>0</v>
      </c>
      <c r="I432" s="675">
        <f>IFERROR(INDEX(Tabla8[],MATCH(Producción_Agricola[[#This Row],[Unidad de Negocio]],Tabla8[Unidades de Negocio],0),2),0)</f>
        <v>0</v>
      </c>
      <c r="J43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32" s="488"/>
      <c r="L432" s="482"/>
      <c r="M432" s="483"/>
      <c r="N432" s="484"/>
      <c r="O432" s="690">
        <f>Producción_Agricola[[#This Row],[Superficie]]*Producción_Agricola[[#This Row],[Cantidad]]</f>
        <v>0</v>
      </c>
      <c r="P432" s="482"/>
      <c r="Q432" s="484"/>
      <c r="R432" s="485"/>
      <c r="S43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32" s="695">
        <f>IFERROR(Producción_Agricola[[#This Row],[Económico $Corrientes]]/Producción_Agricola[[#This Row],[Indexación Económico]],0)</f>
        <v>0</v>
      </c>
      <c r="U43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3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32" s="695">
        <f>IFERROR(Producción_Agricola[[#This Row],[Financiero $Corrientes]]/Producción_Agricola[[#This Row],[Indexación Financiero]],0)</f>
        <v>0</v>
      </c>
      <c r="X43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3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32" s="699">
        <f>IFERROR(Producción_Agricola[[#This Row],[Intereses $Corrientes]]/Producción_Agricola[[#This Row],[Indexación Financiero]],0)</f>
        <v>0</v>
      </c>
      <c r="AA43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32" s="701">
        <f>IFERROR(INDEX(Produccion_Agricola_Cuentas[],MATCH(Producción_Agricola[[#This Row],[Cuenta Contable]],Produccion_Agricola_Cuentas[Cuenta Contable],0),2),0)</f>
        <v>0</v>
      </c>
      <c r="AC432" s="702">
        <f>IFERROR(INDEX(Tabla9[],MATCH(Producción_Agricola[[#This Row],[Movimiento]],Tabla9[Movimientos],0),2),0)</f>
        <v>0</v>
      </c>
      <c r="AD432" s="703">
        <f>IFERROR(INDEX(Tabla9[],MATCH(Producción_Agricola[[#This Row],[Movimiento]],Tabla9[Movimientos],0),3),0)</f>
        <v>0</v>
      </c>
      <c r="AE432" s="698">
        <f>IF(Producción_Agricola[[#This Row],[Fecha Económico]]=0,0,MONTH(Producción_Agricola[[#This Row],[Fecha Económico]]))</f>
        <v>0</v>
      </c>
      <c r="AF432" s="699">
        <f>IF(Producción_Agricola[[#This Row],[Fecha Económico]]=0,0,YEAR(Producción_Agricola[[#This Row],[Fecha Económico]]))</f>
        <v>0</v>
      </c>
      <c r="AG432" s="704">
        <f>SUMPRODUCT((Producción_Agricola[[#This Row],[Mes Económico]]=Tipo_Cambio[Mes])*(Producción_Agricola[[#This Row],[Año Económico]]=Tipo_Cambio[Año])*(Tipo_Cambio[$/U$S]))</f>
        <v>0</v>
      </c>
      <c r="AH432" s="703">
        <f>SUMPRODUCT((Producción_Agricola[[#This Row],[Mes Económico]]=Tipo_Cambio[Mes])*(Producción_Agricola[[#This Row],[Año Económico]]=Tipo_Cambio[Año])*(Tipo_Cambio[Actualización]))</f>
        <v>0</v>
      </c>
      <c r="AI432" s="699">
        <f>IF(ISNUMBER(Producción_Agricola[[#This Row],[Fecha Financiero]])=TRUE,MONTH(Producción_Agricola[[#This Row],[Fecha Financiero]]),0)</f>
        <v>0</v>
      </c>
      <c r="AJ432" s="699">
        <f>IF(ISNUMBER(Producción_Agricola[[#This Row],[Fecha Financiero]])=TRUE,YEAR(Producción_Agricola[[#This Row],[Fecha Financiero]]),0)</f>
        <v>0</v>
      </c>
      <c r="AK432" s="704">
        <f>SUMPRODUCT((Producción_Agricola[[#This Row],[Mes Financiero]]=Tipo_Cambio[Mes])*(Producción_Agricola[[#This Row],[Año Financiero]]=Tipo_Cambio[Año])*(Tipo_Cambio[$/U$S]))</f>
        <v>0</v>
      </c>
      <c r="AL432" s="704">
        <f>SUMPRODUCT((Producción_Agricola[[#This Row],[Mes Financiero]]=Tipo_Cambio[Mes])*(Producción_Agricola[[#This Row],[Año Financiero]]=Tipo_Cambio[Año])*(Tipo_Cambio[Actualización]))</f>
        <v>0</v>
      </c>
      <c r="AM432" s="709">
        <f>IFERROR(Producción_Agricola[[#This Row],[Económico $Corrientes]]/Producción_Agricola[[#This Row],[Superficie]],0)</f>
        <v>0</v>
      </c>
      <c r="AN432" s="712">
        <f>IFERROR(Producción_Agricola[[#This Row],[Económico $Constantes]]/Producción_Agricola[[#This Row],[Superficie]],0)</f>
        <v>0</v>
      </c>
      <c r="AO432" s="712">
        <f>IFERROR(Producción_Agricola[[#This Row],[Económico U$S Dólares]]/Producción_Agricola[[#This Row],[Superficie]],0)</f>
        <v>0</v>
      </c>
      <c r="AP432" s="711">
        <f>IF(Económico!$F$4=0,0,Producción_Agricola[[#This Row],[Centro de Costo]])</f>
        <v>0</v>
      </c>
      <c r="AQ432" s="512"/>
      <c r="AR432" s="513"/>
      <c r="AS432"/>
    </row>
    <row r="433" spans="1:45" x14ac:dyDescent="0.25">
      <c r="A433" s="509"/>
      <c r="B433" s="494"/>
      <c r="C433" s="509"/>
      <c r="D433" s="478"/>
      <c r="E433" s="478"/>
      <c r="F433" s="668">
        <f t="shared" si="59"/>
        <v>0</v>
      </c>
      <c r="G433" s="673">
        <f t="shared" si="60"/>
        <v>0</v>
      </c>
      <c r="H433" s="673">
        <f t="shared" si="61"/>
        <v>0</v>
      </c>
      <c r="I433" s="675">
        <f>IFERROR(INDEX(Tabla8[],MATCH(Producción_Agricola[[#This Row],[Unidad de Negocio]],Tabla8[Unidades de Negocio],0),2),0)</f>
        <v>0</v>
      </c>
      <c r="J43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33" s="488"/>
      <c r="L433" s="482"/>
      <c r="M433" s="483"/>
      <c r="N433" s="484"/>
      <c r="O433" s="690">
        <f>Producción_Agricola[[#This Row],[Superficie]]*Producción_Agricola[[#This Row],[Cantidad]]</f>
        <v>0</v>
      </c>
      <c r="P433" s="482"/>
      <c r="Q433" s="484"/>
      <c r="R433" s="485"/>
      <c r="S43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33" s="695">
        <f>IFERROR(Producción_Agricola[[#This Row],[Económico $Corrientes]]/Producción_Agricola[[#This Row],[Indexación Económico]],0)</f>
        <v>0</v>
      </c>
      <c r="U43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3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33" s="695">
        <f>IFERROR(Producción_Agricola[[#This Row],[Financiero $Corrientes]]/Producción_Agricola[[#This Row],[Indexación Financiero]],0)</f>
        <v>0</v>
      </c>
      <c r="X43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3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33" s="699">
        <f>IFERROR(Producción_Agricola[[#This Row],[Intereses $Corrientes]]/Producción_Agricola[[#This Row],[Indexación Financiero]],0)</f>
        <v>0</v>
      </c>
      <c r="AA43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33" s="701">
        <f>IFERROR(INDEX(Produccion_Agricola_Cuentas[],MATCH(Producción_Agricola[[#This Row],[Cuenta Contable]],Produccion_Agricola_Cuentas[Cuenta Contable],0),2),0)</f>
        <v>0</v>
      </c>
      <c r="AC433" s="702">
        <f>IFERROR(INDEX(Tabla9[],MATCH(Producción_Agricola[[#This Row],[Movimiento]],Tabla9[Movimientos],0),2),0)</f>
        <v>0</v>
      </c>
      <c r="AD433" s="703">
        <f>IFERROR(INDEX(Tabla9[],MATCH(Producción_Agricola[[#This Row],[Movimiento]],Tabla9[Movimientos],0),3),0)</f>
        <v>0</v>
      </c>
      <c r="AE433" s="698">
        <f>IF(Producción_Agricola[[#This Row],[Fecha Económico]]=0,0,MONTH(Producción_Agricola[[#This Row],[Fecha Económico]]))</f>
        <v>0</v>
      </c>
      <c r="AF433" s="699">
        <f>IF(Producción_Agricola[[#This Row],[Fecha Económico]]=0,0,YEAR(Producción_Agricola[[#This Row],[Fecha Económico]]))</f>
        <v>0</v>
      </c>
      <c r="AG433" s="704">
        <f>SUMPRODUCT((Producción_Agricola[[#This Row],[Mes Económico]]=Tipo_Cambio[Mes])*(Producción_Agricola[[#This Row],[Año Económico]]=Tipo_Cambio[Año])*(Tipo_Cambio[$/U$S]))</f>
        <v>0</v>
      </c>
      <c r="AH433" s="703">
        <f>SUMPRODUCT((Producción_Agricola[[#This Row],[Mes Económico]]=Tipo_Cambio[Mes])*(Producción_Agricola[[#This Row],[Año Económico]]=Tipo_Cambio[Año])*(Tipo_Cambio[Actualización]))</f>
        <v>0</v>
      </c>
      <c r="AI433" s="699">
        <f>IF(ISNUMBER(Producción_Agricola[[#This Row],[Fecha Financiero]])=TRUE,MONTH(Producción_Agricola[[#This Row],[Fecha Financiero]]),0)</f>
        <v>0</v>
      </c>
      <c r="AJ433" s="699">
        <f>IF(ISNUMBER(Producción_Agricola[[#This Row],[Fecha Financiero]])=TRUE,YEAR(Producción_Agricola[[#This Row],[Fecha Financiero]]),0)</f>
        <v>0</v>
      </c>
      <c r="AK433" s="704">
        <f>SUMPRODUCT((Producción_Agricola[[#This Row],[Mes Financiero]]=Tipo_Cambio[Mes])*(Producción_Agricola[[#This Row],[Año Financiero]]=Tipo_Cambio[Año])*(Tipo_Cambio[$/U$S]))</f>
        <v>0</v>
      </c>
      <c r="AL433" s="704">
        <f>SUMPRODUCT((Producción_Agricola[[#This Row],[Mes Financiero]]=Tipo_Cambio[Mes])*(Producción_Agricola[[#This Row],[Año Financiero]]=Tipo_Cambio[Año])*(Tipo_Cambio[Actualización]))</f>
        <v>0</v>
      </c>
      <c r="AM433" s="709">
        <f>IFERROR(Producción_Agricola[[#This Row],[Económico $Corrientes]]/Producción_Agricola[[#This Row],[Superficie]],0)</f>
        <v>0</v>
      </c>
      <c r="AN433" s="712">
        <f>IFERROR(Producción_Agricola[[#This Row],[Económico $Constantes]]/Producción_Agricola[[#This Row],[Superficie]],0)</f>
        <v>0</v>
      </c>
      <c r="AO433" s="712">
        <f>IFERROR(Producción_Agricola[[#This Row],[Económico U$S Dólares]]/Producción_Agricola[[#This Row],[Superficie]],0)</f>
        <v>0</v>
      </c>
      <c r="AP433" s="711">
        <f>IF(Económico!$F$4=0,0,Producción_Agricola[[#This Row],[Centro de Costo]])</f>
        <v>0</v>
      </c>
      <c r="AQ433" s="512"/>
      <c r="AR433" s="513"/>
      <c r="AS433"/>
    </row>
    <row r="434" spans="1:45" ht="15.75" thickBot="1" x14ac:dyDescent="0.3">
      <c r="A434" s="509"/>
      <c r="B434" s="494" t="s">
        <v>101</v>
      </c>
      <c r="C434" s="509"/>
      <c r="D434" s="478"/>
      <c r="E434" s="478"/>
      <c r="F434" s="668">
        <f t="shared" si="59"/>
        <v>0</v>
      </c>
      <c r="G434" s="673">
        <f t="shared" si="60"/>
        <v>0</v>
      </c>
      <c r="H434" s="673">
        <f t="shared" si="61"/>
        <v>0</v>
      </c>
      <c r="I434" s="675">
        <f>IFERROR(INDEX(Tabla8[],MATCH(Producción_Agricola[[#This Row],[Unidad de Negocio]],Tabla8[Unidades de Negocio],0),2),0)</f>
        <v>0</v>
      </c>
      <c r="J43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34" s="488"/>
      <c r="L434" s="482"/>
      <c r="M434" s="483"/>
      <c r="N434" s="484"/>
      <c r="O434" s="690">
        <f>Producción_Agricola[[#This Row],[Superficie]]*Producción_Agricola[[#This Row],[Cantidad]]</f>
        <v>0</v>
      </c>
      <c r="P434" s="482"/>
      <c r="Q434" s="484"/>
      <c r="R434" s="485"/>
      <c r="S43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34" s="695">
        <f>IFERROR(Producción_Agricola[[#This Row],[Económico $Corrientes]]/Producción_Agricola[[#This Row],[Indexación Económico]],0)</f>
        <v>0</v>
      </c>
      <c r="U43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3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34" s="695">
        <f>IFERROR(Producción_Agricola[[#This Row],[Financiero $Corrientes]]/Producción_Agricola[[#This Row],[Indexación Financiero]],0)</f>
        <v>0</v>
      </c>
      <c r="X43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3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34" s="699">
        <f>IFERROR(Producción_Agricola[[#This Row],[Intereses $Corrientes]]/Producción_Agricola[[#This Row],[Indexación Financiero]],0)</f>
        <v>0</v>
      </c>
      <c r="AA43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34" s="701">
        <f>IFERROR(INDEX(Produccion_Agricola_Cuentas[],MATCH(Producción_Agricola[[#This Row],[Cuenta Contable]],Produccion_Agricola_Cuentas[Cuenta Contable],0),2),0)</f>
        <v>0</v>
      </c>
      <c r="AC434" s="702">
        <f>IFERROR(INDEX(Tabla9[],MATCH(Producción_Agricola[[#This Row],[Movimiento]],Tabla9[Movimientos],0),2),0)</f>
        <v>0</v>
      </c>
      <c r="AD434" s="703">
        <f>IFERROR(INDEX(Tabla9[],MATCH(Producción_Agricola[[#This Row],[Movimiento]],Tabla9[Movimientos],0),3),0)</f>
        <v>0</v>
      </c>
      <c r="AE434" s="698">
        <f>IF(Producción_Agricola[[#This Row],[Fecha Económico]]=0,0,MONTH(Producción_Agricola[[#This Row],[Fecha Económico]]))</f>
        <v>0</v>
      </c>
      <c r="AF434" s="699">
        <f>IF(Producción_Agricola[[#This Row],[Fecha Económico]]=0,0,YEAR(Producción_Agricola[[#This Row],[Fecha Económico]]))</f>
        <v>0</v>
      </c>
      <c r="AG434" s="704">
        <f>SUMPRODUCT((Producción_Agricola[[#This Row],[Mes Económico]]=Tipo_Cambio[Mes])*(Producción_Agricola[[#This Row],[Año Económico]]=Tipo_Cambio[Año])*(Tipo_Cambio[$/U$S]))</f>
        <v>0</v>
      </c>
      <c r="AH434" s="703">
        <f>SUMPRODUCT((Producción_Agricola[[#This Row],[Mes Económico]]=Tipo_Cambio[Mes])*(Producción_Agricola[[#This Row],[Año Económico]]=Tipo_Cambio[Año])*(Tipo_Cambio[Actualización]))</f>
        <v>0</v>
      </c>
      <c r="AI434" s="699">
        <f>IF(ISNUMBER(Producción_Agricola[[#This Row],[Fecha Financiero]])=TRUE,MONTH(Producción_Agricola[[#This Row],[Fecha Financiero]]),0)</f>
        <v>0</v>
      </c>
      <c r="AJ434" s="699">
        <f>IF(ISNUMBER(Producción_Agricola[[#This Row],[Fecha Financiero]])=TRUE,YEAR(Producción_Agricola[[#This Row],[Fecha Financiero]]),0)</f>
        <v>0</v>
      </c>
      <c r="AK434" s="704">
        <f>SUMPRODUCT((Producción_Agricola[[#This Row],[Mes Financiero]]=Tipo_Cambio[Mes])*(Producción_Agricola[[#This Row],[Año Financiero]]=Tipo_Cambio[Año])*(Tipo_Cambio[$/U$S]))</f>
        <v>0</v>
      </c>
      <c r="AL434" s="704">
        <f>SUMPRODUCT((Producción_Agricola[[#This Row],[Mes Financiero]]=Tipo_Cambio[Mes])*(Producción_Agricola[[#This Row],[Año Financiero]]=Tipo_Cambio[Año])*(Tipo_Cambio[Actualización]))</f>
        <v>0</v>
      </c>
      <c r="AM434" s="709">
        <f>IFERROR(Producción_Agricola[[#This Row],[Económico $Corrientes]]/Producción_Agricola[[#This Row],[Superficie]],0)</f>
        <v>0</v>
      </c>
      <c r="AN434" s="712">
        <f>IFERROR(Producción_Agricola[[#This Row],[Económico $Constantes]]/Producción_Agricola[[#This Row],[Superficie]],0)</f>
        <v>0</v>
      </c>
      <c r="AO434" s="712">
        <f>IFERROR(Producción_Agricola[[#This Row],[Económico U$S Dólares]]/Producción_Agricola[[#This Row],[Superficie]],0)</f>
        <v>0</v>
      </c>
      <c r="AP434" s="711">
        <f>IF(Económico!$F$4=0,0,Producción_Agricola[[#This Row],[Centro de Costo]])</f>
        <v>0</v>
      </c>
      <c r="AQ434" s="512"/>
      <c r="AR434" s="513"/>
      <c r="AS434"/>
    </row>
    <row r="435" spans="1:45" ht="15.75" thickTop="1" x14ac:dyDescent="0.25">
      <c r="A435" s="509"/>
      <c r="B435" s="477" t="s">
        <v>448</v>
      </c>
      <c r="C435" s="509"/>
      <c r="D435" s="495"/>
      <c r="E435" s="495"/>
      <c r="F435" s="679">
        <f>+$B$436</f>
        <v>0</v>
      </c>
      <c r="G435" s="680">
        <f>+$B$437</f>
        <v>0</v>
      </c>
      <c r="H435" s="680">
        <f>+$B$438</f>
        <v>0</v>
      </c>
      <c r="I435" s="683">
        <f>IFERROR(INDEX(Tabla8[],MATCH(Producción_Agricola[[#This Row],[Unidad de Negocio]],Tabla8[Unidades de Negocio],0),2),0)</f>
        <v>0</v>
      </c>
      <c r="J435" s="684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35" s="508"/>
      <c r="L435" s="497"/>
      <c r="M435" s="498"/>
      <c r="N435" s="499"/>
      <c r="O435" s="691">
        <f>Producción_Agricola[[#This Row],[Superficie]]*Producción_Agricola[[#This Row],[Cantidad]]</f>
        <v>0</v>
      </c>
      <c r="P435" s="497"/>
      <c r="Q435" s="499"/>
      <c r="R435" s="500"/>
      <c r="S435" s="74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35" s="714">
        <f>IFERROR(Producción_Agricola[[#This Row],[Económico $Corrientes]]/Producción_Agricola[[#This Row],[Indexación Económico]],0)</f>
        <v>0</v>
      </c>
      <c r="U435" s="741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35" s="715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35" s="714">
        <f>IFERROR(Producción_Agricola[[#This Row],[Financiero $Corrientes]]/Producción_Agricola[[#This Row],[Indexación Financiero]],0)</f>
        <v>0</v>
      </c>
      <c r="X435" s="716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35" s="717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35" s="718">
        <f>IFERROR(Producción_Agricola[[#This Row],[Intereses $Corrientes]]/Producción_Agricola[[#This Row],[Indexación Financiero]],0)</f>
        <v>0</v>
      </c>
      <c r="AA435" s="719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35" s="720">
        <f>IFERROR(INDEX(Produccion_Agricola_Cuentas[],MATCH(Producción_Agricola[[#This Row],[Cuenta Contable]],Produccion_Agricola_Cuentas[Cuenta Contable],0),2),0)</f>
        <v>0</v>
      </c>
      <c r="AC435" s="721">
        <f>IFERROR(INDEX(Tabla9[],MATCH(Producción_Agricola[[#This Row],[Movimiento]],Tabla9[Movimientos],0),2),0)</f>
        <v>0</v>
      </c>
      <c r="AD435" s="722">
        <f>IFERROR(INDEX(Tabla9[],MATCH(Producción_Agricola[[#This Row],[Movimiento]],Tabla9[Movimientos],0),3),0)</f>
        <v>0</v>
      </c>
      <c r="AE435" s="717">
        <f>IF(Producción_Agricola[[#This Row],[Fecha Económico]]=0,0,MONTH(Producción_Agricola[[#This Row],[Fecha Económico]]))</f>
        <v>0</v>
      </c>
      <c r="AF435" s="718">
        <f>IF(Producción_Agricola[[#This Row],[Fecha Económico]]=0,0,YEAR(Producción_Agricola[[#This Row],[Fecha Económico]]))</f>
        <v>0</v>
      </c>
      <c r="AG435" s="723">
        <f>SUMPRODUCT((Producción_Agricola[[#This Row],[Mes Económico]]=Tipo_Cambio[Mes])*(Producción_Agricola[[#This Row],[Año Económico]]=Tipo_Cambio[Año])*(Tipo_Cambio[$/U$S]))</f>
        <v>0</v>
      </c>
      <c r="AH435" s="722">
        <f>SUMPRODUCT((Producción_Agricola[[#This Row],[Mes Económico]]=Tipo_Cambio[Mes])*(Producción_Agricola[[#This Row],[Año Económico]]=Tipo_Cambio[Año])*(Tipo_Cambio[Actualización]))</f>
        <v>0</v>
      </c>
      <c r="AI435" s="718">
        <f>IF(ISNUMBER(Producción_Agricola[[#This Row],[Fecha Financiero]])=TRUE,MONTH(Producción_Agricola[[#This Row],[Fecha Financiero]]),0)</f>
        <v>0</v>
      </c>
      <c r="AJ435" s="718">
        <f>IF(ISNUMBER(Producción_Agricola[[#This Row],[Fecha Financiero]])=TRUE,YEAR(Producción_Agricola[[#This Row],[Fecha Financiero]]),0)</f>
        <v>0</v>
      </c>
      <c r="AK435" s="723">
        <f>SUMPRODUCT((Producción_Agricola[[#This Row],[Mes Financiero]]=Tipo_Cambio[Mes])*(Producción_Agricola[[#This Row],[Año Financiero]]=Tipo_Cambio[Año])*(Tipo_Cambio[$/U$S]))</f>
        <v>0</v>
      </c>
      <c r="AL435" s="723">
        <f>SUMPRODUCT((Producción_Agricola[[#This Row],[Mes Financiero]]=Tipo_Cambio[Mes])*(Producción_Agricola[[#This Row],[Año Financiero]]=Tipo_Cambio[Año])*(Tipo_Cambio[Actualización]))</f>
        <v>0</v>
      </c>
      <c r="AM435" s="742">
        <f>IFERROR(Producción_Agricola[[#This Row],[Económico $Corrientes]]/Producción_Agricola[[#This Row],[Superficie]],0)</f>
        <v>0</v>
      </c>
      <c r="AN435" s="743">
        <f>IFERROR(Producción_Agricola[[#This Row],[Económico $Constantes]]/Producción_Agricola[[#This Row],[Superficie]],0)</f>
        <v>0</v>
      </c>
      <c r="AO435" s="743">
        <f>IFERROR(Producción_Agricola[[#This Row],[Económico U$S Dólares]]/Producción_Agricola[[#This Row],[Superficie]],0)</f>
        <v>0</v>
      </c>
      <c r="AP435" s="744">
        <f>IF(Económico!$F$4=0,0,Producción_Agricola[[#This Row],[Centro de Costo]])</f>
        <v>0</v>
      </c>
      <c r="AQ435" s="516"/>
      <c r="AR435" s="517"/>
      <c r="AS435"/>
    </row>
    <row r="436" spans="1:45" x14ac:dyDescent="0.25">
      <c r="A436" s="509"/>
      <c r="B436" s="501"/>
      <c r="C436" s="509"/>
      <c r="D436" s="478"/>
      <c r="E436" s="478"/>
      <c r="F436" s="668">
        <f t="shared" ref="F436:F488" si="62">+$B$436</f>
        <v>0</v>
      </c>
      <c r="G436" s="673">
        <f t="shared" ref="G436:G488" si="63">+$B$437</f>
        <v>0</v>
      </c>
      <c r="H436" s="673">
        <f t="shared" ref="H436:H488" si="64">+$B$438</f>
        <v>0</v>
      </c>
      <c r="I436" s="675">
        <f>IFERROR(INDEX(Tabla8[],MATCH(Producción_Agricola[[#This Row],[Unidad de Negocio]],Tabla8[Unidades de Negocio],0),2),0)</f>
        <v>0</v>
      </c>
      <c r="J43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36" s="488"/>
      <c r="L436" s="482"/>
      <c r="M436" s="483"/>
      <c r="N436" s="484"/>
      <c r="O436" s="690">
        <f>Producción_Agricola[[#This Row],[Superficie]]*Producción_Agricola[[#This Row],[Cantidad]]</f>
        <v>0</v>
      </c>
      <c r="P436" s="482"/>
      <c r="Q436" s="484"/>
      <c r="R436" s="485"/>
      <c r="S43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36" s="695">
        <f>IFERROR(Producción_Agricola[[#This Row],[Económico $Corrientes]]/Producción_Agricola[[#This Row],[Indexación Económico]],0)</f>
        <v>0</v>
      </c>
      <c r="U43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3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36" s="695">
        <f>IFERROR(Producción_Agricola[[#This Row],[Financiero $Corrientes]]/Producción_Agricola[[#This Row],[Indexación Financiero]],0)</f>
        <v>0</v>
      </c>
      <c r="X43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3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36" s="699">
        <f>IFERROR(Producción_Agricola[[#This Row],[Intereses $Corrientes]]/Producción_Agricola[[#This Row],[Indexación Financiero]],0)</f>
        <v>0</v>
      </c>
      <c r="AA43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36" s="701">
        <f>IFERROR(INDEX(Produccion_Agricola_Cuentas[],MATCH(Producción_Agricola[[#This Row],[Cuenta Contable]],Produccion_Agricola_Cuentas[Cuenta Contable],0),2),0)</f>
        <v>0</v>
      </c>
      <c r="AC436" s="702">
        <f>IFERROR(INDEX(Tabla9[],MATCH(Producción_Agricola[[#This Row],[Movimiento]],Tabla9[Movimientos],0),2),0)</f>
        <v>0</v>
      </c>
      <c r="AD436" s="703">
        <f>IFERROR(INDEX(Tabla9[],MATCH(Producción_Agricola[[#This Row],[Movimiento]],Tabla9[Movimientos],0),3),0)</f>
        <v>0</v>
      </c>
      <c r="AE436" s="698">
        <f>IF(Producción_Agricola[[#This Row],[Fecha Económico]]=0,0,MONTH(Producción_Agricola[[#This Row],[Fecha Económico]]))</f>
        <v>0</v>
      </c>
      <c r="AF436" s="699">
        <f>IF(Producción_Agricola[[#This Row],[Fecha Económico]]=0,0,YEAR(Producción_Agricola[[#This Row],[Fecha Económico]]))</f>
        <v>0</v>
      </c>
      <c r="AG436" s="704">
        <f>SUMPRODUCT((Producción_Agricola[[#This Row],[Mes Económico]]=Tipo_Cambio[Mes])*(Producción_Agricola[[#This Row],[Año Económico]]=Tipo_Cambio[Año])*(Tipo_Cambio[$/U$S]))</f>
        <v>0</v>
      </c>
      <c r="AH436" s="703">
        <f>SUMPRODUCT((Producción_Agricola[[#This Row],[Mes Económico]]=Tipo_Cambio[Mes])*(Producción_Agricola[[#This Row],[Año Económico]]=Tipo_Cambio[Año])*(Tipo_Cambio[Actualización]))</f>
        <v>0</v>
      </c>
      <c r="AI436" s="699">
        <f>IF(ISNUMBER(Producción_Agricola[[#This Row],[Fecha Financiero]])=TRUE,MONTH(Producción_Agricola[[#This Row],[Fecha Financiero]]),0)</f>
        <v>0</v>
      </c>
      <c r="AJ436" s="699">
        <f>IF(ISNUMBER(Producción_Agricola[[#This Row],[Fecha Financiero]])=TRUE,YEAR(Producción_Agricola[[#This Row],[Fecha Financiero]]),0)</f>
        <v>0</v>
      </c>
      <c r="AK436" s="704">
        <f>SUMPRODUCT((Producción_Agricola[[#This Row],[Mes Financiero]]=Tipo_Cambio[Mes])*(Producción_Agricola[[#This Row],[Año Financiero]]=Tipo_Cambio[Año])*(Tipo_Cambio[$/U$S]))</f>
        <v>0</v>
      </c>
      <c r="AL436" s="704">
        <f>SUMPRODUCT((Producción_Agricola[[#This Row],[Mes Financiero]]=Tipo_Cambio[Mes])*(Producción_Agricola[[#This Row],[Año Financiero]]=Tipo_Cambio[Año])*(Tipo_Cambio[Actualización]))</f>
        <v>0</v>
      </c>
      <c r="AM436" s="709">
        <f>IFERROR(Producción_Agricola[[#This Row],[Económico $Corrientes]]/Producción_Agricola[[#This Row],[Superficie]],0)</f>
        <v>0</v>
      </c>
      <c r="AN436" s="712">
        <f>IFERROR(Producción_Agricola[[#This Row],[Económico $Constantes]]/Producción_Agricola[[#This Row],[Superficie]],0)</f>
        <v>0</v>
      </c>
      <c r="AO436" s="712">
        <f>IFERROR(Producción_Agricola[[#This Row],[Económico U$S Dólares]]/Producción_Agricola[[#This Row],[Superficie]],0)</f>
        <v>0</v>
      </c>
      <c r="AP436" s="711">
        <f>IF(Económico!$F$4=0,0,Producción_Agricola[[#This Row],[Centro de Costo]])</f>
        <v>0</v>
      </c>
      <c r="AQ436" s="512"/>
      <c r="AR436" s="513"/>
      <c r="AS436"/>
    </row>
    <row r="437" spans="1:45" x14ac:dyDescent="0.25">
      <c r="A437" s="509"/>
      <c r="B437" s="486"/>
      <c r="C437" s="509"/>
      <c r="D437" s="478"/>
      <c r="E437" s="478"/>
      <c r="F437" s="668">
        <f t="shared" si="62"/>
        <v>0</v>
      </c>
      <c r="G437" s="673">
        <f t="shared" si="63"/>
        <v>0</v>
      </c>
      <c r="H437" s="673">
        <f t="shared" si="64"/>
        <v>0</v>
      </c>
      <c r="I437" s="675">
        <f>IFERROR(INDEX(Tabla8[],MATCH(Producción_Agricola[[#This Row],[Unidad de Negocio]],Tabla8[Unidades de Negocio],0),2),0)</f>
        <v>0</v>
      </c>
      <c r="J43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37" s="488"/>
      <c r="L437" s="482"/>
      <c r="M437" s="483"/>
      <c r="N437" s="484"/>
      <c r="O437" s="690">
        <f>Producción_Agricola[[#This Row],[Superficie]]*Producción_Agricola[[#This Row],[Cantidad]]</f>
        <v>0</v>
      </c>
      <c r="P437" s="482"/>
      <c r="Q437" s="484"/>
      <c r="R437" s="485"/>
      <c r="S43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37" s="695">
        <f>IFERROR(Producción_Agricola[[#This Row],[Económico $Corrientes]]/Producción_Agricola[[#This Row],[Indexación Económico]],0)</f>
        <v>0</v>
      </c>
      <c r="U43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3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37" s="695">
        <f>IFERROR(Producción_Agricola[[#This Row],[Financiero $Corrientes]]/Producción_Agricola[[#This Row],[Indexación Financiero]],0)</f>
        <v>0</v>
      </c>
      <c r="X43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3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37" s="699">
        <f>IFERROR(Producción_Agricola[[#This Row],[Intereses $Corrientes]]/Producción_Agricola[[#This Row],[Indexación Financiero]],0)</f>
        <v>0</v>
      </c>
      <c r="AA43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37" s="701">
        <f>IFERROR(INDEX(Produccion_Agricola_Cuentas[],MATCH(Producción_Agricola[[#This Row],[Cuenta Contable]],Produccion_Agricola_Cuentas[Cuenta Contable],0),2),0)</f>
        <v>0</v>
      </c>
      <c r="AC437" s="702">
        <f>IFERROR(INDEX(Tabla9[],MATCH(Producción_Agricola[[#This Row],[Movimiento]],Tabla9[Movimientos],0),2),0)</f>
        <v>0</v>
      </c>
      <c r="AD437" s="703">
        <f>IFERROR(INDEX(Tabla9[],MATCH(Producción_Agricola[[#This Row],[Movimiento]],Tabla9[Movimientos],0),3),0)</f>
        <v>0</v>
      </c>
      <c r="AE437" s="698">
        <f>IF(Producción_Agricola[[#This Row],[Fecha Económico]]=0,0,MONTH(Producción_Agricola[[#This Row],[Fecha Económico]]))</f>
        <v>0</v>
      </c>
      <c r="AF437" s="699">
        <f>IF(Producción_Agricola[[#This Row],[Fecha Económico]]=0,0,YEAR(Producción_Agricola[[#This Row],[Fecha Económico]]))</f>
        <v>0</v>
      </c>
      <c r="AG437" s="704">
        <f>SUMPRODUCT((Producción_Agricola[[#This Row],[Mes Económico]]=Tipo_Cambio[Mes])*(Producción_Agricola[[#This Row],[Año Económico]]=Tipo_Cambio[Año])*(Tipo_Cambio[$/U$S]))</f>
        <v>0</v>
      </c>
      <c r="AH437" s="703">
        <f>SUMPRODUCT((Producción_Agricola[[#This Row],[Mes Económico]]=Tipo_Cambio[Mes])*(Producción_Agricola[[#This Row],[Año Económico]]=Tipo_Cambio[Año])*(Tipo_Cambio[Actualización]))</f>
        <v>0</v>
      </c>
      <c r="AI437" s="699">
        <f>IF(ISNUMBER(Producción_Agricola[[#This Row],[Fecha Financiero]])=TRUE,MONTH(Producción_Agricola[[#This Row],[Fecha Financiero]]),0)</f>
        <v>0</v>
      </c>
      <c r="AJ437" s="699">
        <f>IF(ISNUMBER(Producción_Agricola[[#This Row],[Fecha Financiero]])=TRUE,YEAR(Producción_Agricola[[#This Row],[Fecha Financiero]]),0)</f>
        <v>0</v>
      </c>
      <c r="AK437" s="704">
        <f>SUMPRODUCT((Producción_Agricola[[#This Row],[Mes Financiero]]=Tipo_Cambio[Mes])*(Producción_Agricola[[#This Row],[Año Financiero]]=Tipo_Cambio[Año])*(Tipo_Cambio[$/U$S]))</f>
        <v>0</v>
      </c>
      <c r="AL437" s="704">
        <f>SUMPRODUCT((Producción_Agricola[[#This Row],[Mes Financiero]]=Tipo_Cambio[Mes])*(Producción_Agricola[[#This Row],[Año Financiero]]=Tipo_Cambio[Año])*(Tipo_Cambio[Actualización]))</f>
        <v>0</v>
      </c>
      <c r="AM437" s="709">
        <f>IFERROR(Producción_Agricola[[#This Row],[Económico $Corrientes]]/Producción_Agricola[[#This Row],[Superficie]],0)</f>
        <v>0</v>
      </c>
      <c r="AN437" s="712">
        <f>IFERROR(Producción_Agricola[[#This Row],[Económico $Constantes]]/Producción_Agricola[[#This Row],[Superficie]],0)</f>
        <v>0</v>
      </c>
      <c r="AO437" s="712">
        <f>IFERROR(Producción_Agricola[[#This Row],[Económico U$S Dólares]]/Producción_Agricola[[#This Row],[Superficie]],0)</f>
        <v>0</v>
      </c>
      <c r="AP437" s="711">
        <f>IF(Económico!$F$4=0,0,Producción_Agricola[[#This Row],[Centro de Costo]])</f>
        <v>0</v>
      </c>
      <c r="AQ437" s="512"/>
      <c r="AR437" s="513"/>
      <c r="AS437"/>
    </row>
    <row r="438" spans="1:45" x14ac:dyDescent="0.25">
      <c r="A438" s="509"/>
      <c r="B438" s="486"/>
      <c r="C438" s="509"/>
      <c r="D438" s="478"/>
      <c r="E438" s="478"/>
      <c r="F438" s="668">
        <f t="shared" si="62"/>
        <v>0</v>
      </c>
      <c r="G438" s="673">
        <f t="shared" si="63"/>
        <v>0</v>
      </c>
      <c r="H438" s="673">
        <f t="shared" si="64"/>
        <v>0</v>
      </c>
      <c r="I438" s="675">
        <f>IFERROR(INDEX(Tabla8[],MATCH(Producción_Agricola[[#This Row],[Unidad de Negocio]],Tabla8[Unidades de Negocio],0),2),0)</f>
        <v>0</v>
      </c>
      <c r="J43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38" s="488"/>
      <c r="L438" s="482"/>
      <c r="M438" s="483"/>
      <c r="N438" s="484"/>
      <c r="O438" s="690">
        <f>Producción_Agricola[[#This Row],[Superficie]]*Producción_Agricola[[#This Row],[Cantidad]]</f>
        <v>0</v>
      </c>
      <c r="P438" s="482"/>
      <c r="Q438" s="484"/>
      <c r="R438" s="485"/>
      <c r="S43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38" s="695">
        <f>IFERROR(Producción_Agricola[[#This Row],[Económico $Corrientes]]/Producción_Agricola[[#This Row],[Indexación Económico]],0)</f>
        <v>0</v>
      </c>
      <c r="U43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3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38" s="695">
        <f>IFERROR(Producción_Agricola[[#This Row],[Financiero $Corrientes]]/Producción_Agricola[[#This Row],[Indexación Financiero]],0)</f>
        <v>0</v>
      </c>
      <c r="X43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3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38" s="699">
        <f>IFERROR(Producción_Agricola[[#This Row],[Intereses $Corrientes]]/Producción_Agricola[[#This Row],[Indexación Financiero]],0)</f>
        <v>0</v>
      </c>
      <c r="AA43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38" s="701">
        <f>IFERROR(INDEX(Produccion_Agricola_Cuentas[],MATCH(Producción_Agricola[[#This Row],[Cuenta Contable]],Produccion_Agricola_Cuentas[Cuenta Contable],0),2),0)</f>
        <v>0</v>
      </c>
      <c r="AC438" s="702">
        <f>IFERROR(INDEX(Tabla9[],MATCH(Producción_Agricola[[#This Row],[Movimiento]],Tabla9[Movimientos],0),2),0)</f>
        <v>0</v>
      </c>
      <c r="AD438" s="703">
        <f>IFERROR(INDEX(Tabla9[],MATCH(Producción_Agricola[[#This Row],[Movimiento]],Tabla9[Movimientos],0),3),0)</f>
        <v>0</v>
      </c>
      <c r="AE438" s="698">
        <f>IF(Producción_Agricola[[#This Row],[Fecha Económico]]=0,0,MONTH(Producción_Agricola[[#This Row],[Fecha Económico]]))</f>
        <v>0</v>
      </c>
      <c r="AF438" s="699">
        <f>IF(Producción_Agricola[[#This Row],[Fecha Económico]]=0,0,YEAR(Producción_Agricola[[#This Row],[Fecha Económico]]))</f>
        <v>0</v>
      </c>
      <c r="AG438" s="704">
        <f>SUMPRODUCT((Producción_Agricola[[#This Row],[Mes Económico]]=Tipo_Cambio[Mes])*(Producción_Agricola[[#This Row],[Año Económico]]=Tipo_Cambio[Año])*(Tipo_Cambio[$/U$S]))</f>
        <v>0</v>
      </c>
      <c r="AH438" s="703">
        <f>SUMPRODUCT((Producción_Agricola[[#This Row],[Mes Económico]]=Tipo_Cambio[Mes])*(Producción_Agricola[[#This Row],[Año Económico]]=Tipo_Cambio[Año])*(Tipo_Cambio[Actualización]))</f>
        <v>0</v>
      </c>
      <c r="AI438" s="699">
        <f>IF(ISNUMBER(Producción_Agricola[[#This Row],[Fecha Financiero]])=TRUE,MONTH(Producción_Agricola[[#This Row],[Fecha Financiero]]),0)</f>
        <v>0</v>
      </c>
      <c r="AJ438" s="699">
        <f>IF(ISNUMBER(Producción_Agricola[[#This Row],[Fecha Financiero]])=TRUE,YEAR(Producción_Agricola[[#This Row],[Fecha Financiero]]),0)</f>
        <v>0</v>
      </c>
      <c r="AK438" s="704">
        <f>SUMPRODUCT((Producción_Agricola[[#This Row],[Mes Financiero]]=Tipo_Cambio[Mes])*(Producción_Agricola[[#This Row],[Año Financiero]]=Tipo_Cambio[Año])*(Tipo_Cambio[$/U$S]))</f>
        <v>0</v>
      </c>
      <c r="AL438" s="704">
        <f>SUMPRODUCT((Producción_Agricola[[#This Row],[Mes Financiero]]=Tipo_Cambio[Mes])*(Producción_Agricola[[#This Row],[Año Financiero]]=Tipo_Cambio[Año])*(Tipo_Cambio[Actualización]))</f>
        <v>0</v>
      </c>
      <c r="AM438" s="709">
        <f>IFERROR(Producción_Agricola[[#This Row],[Económico $Corrientes]]/Producción_Agricola[[#This Row],[Superficie]],0)</f>
        <v>0</v>
      </c>
      <c r="AN438" s="712">
        <f>IFERROR(Producción_Agricola[[#This Row],[Económico $Constantes]]/Producción_Agricola[[#This Row],[Superficie]],0)</f>
        <v>0</v>
      </c>
      <c r="AO438" s="712">
        <f>IFERROR(Producción_Agricola[[#This Row],[Económico U$S Dólares]]/Producción_Agricola[[#This Row],[Superficie]],0)</f>
        <v>0</v>
      </c>
      <c r="AP438" s="711">
        <f>IF(Económico!$F$4=0,0,Producción_Agricola[[#This Row],[Centro de Costo]])</f>
        <v>0</v>
      </c>
      <c r="AQ438" s="512"/>
      <c r="AR438" s="513"/>
      <c r="AS438"/>
    </row>
    <row r="439" spans="1:45" x14ac:dyDescent="0.25">
      <c r="A439" s="509"/>
      <c r="B439" s="487">
        <f>+$J$435</f>
        <v>0</v>
      </c>
      <c r="C439" s="509"/>
      <c r="D439" s="478"/>
      <c r="E439" s="478"/>
      <c r="F439" s="668">
        <f t="shared" si="62"/>
        <v>0</v>
      </c>
      <c r="G439" s="673">
        <f t="shared" si="63"/>
        <v>0</v>
      </c>
      <c r="H439" s="673">
        <f t="shared" si="64"/>
        <v>0</v>
      </c>
      <c r="I439" s="675">
        <f>IFERROR(INDEX(Tabla8[],MATCH(Producción_Agricola[[#This Row],[Unidad de Negocio]],Tabla8[Unidades de Negocio],0),2),0)</f>
        <v>0</v>
      </c>
      <c r="J43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39" s="488"/>
      <c r="L439" s="482"/>
      <c r="M439" s="483"/>
      <c r="N439" s="484"/>
      <c r="O439" s="690">
        <f>Producción_Agricola[[#This Row],[Superficie]]*Producción_Agricola[[#This Row],[Cantidad]]</f>
        <v>0</v>
      </c>
      <c r="P439" s="482"/>
      <c r="Q439" s="484"/>
      <c r="R439" s="485"/>
      <c r="S43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39" s="695">
        <f>IFERROR(Producción_Agricola[[#This Row],[Económico $Corrientes]]/Producción_Agricola[[#This Row],[Indexación Económico]],0)</f>
        <v>0</v>
      </c>
      <c r="U43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3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39" s="695">
        <f>IFERROR(Producción_Agricola[[#This Row],[Financiero $Corrientes]]/Producción_Agricola[[#This Row],[Indexación Financiero]],0)</f>
        <v>0</v>
      </c>
      <c r="X43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3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39" s="699">
        <f>IFERROR(Producción_Agricola[[#This Row],[Intereses $Corrientes]]/Producción_Agricola[[#This Row],[Indexación Financiero]],0)</f>
        <v>0</v>
      </c>
      <c r="AA43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39" s="701">
        <f>IFERROR(INDEX(Produccion_Agricola_Cuentas[],MATCH(Producción_Agricola[[#This Row],[Cuenta Contable]],Produccion_Agricola_Cuentas[Cuenta Contable],0),2),0)</f>
        <v>0</v>
      </c>
      <c r="AC439" s="702">
        <f>IFERROR(INDEX(Tabla9[],MATCH(Producción_Agricola[[#This Row],[Movimiento]],Tabla9[Movimientos],0),2),0)</f>
        <v>0</v>
      </c>
      <c r="AD439" s="703">
        <f>IFERROR(INDEX(Tabla9[],MATCH(Producción_Agricola[[#This Row],[Movimiento]],Tabla9[Movimientos],0),3),0)</f>
        <v>0</v>
      </c>
      <c r="AE439" s="698">
        <f>IF(Producción_Agricola[[#This Row],[Fecha Económico]]=0,0,MONTH(Producción_Agricola[[#This Row],[Fecha Económico]]))</f>
        <v>0</v>
      </c>
      <c r="AF439" s="699">
        <f>IF(Producción_Agricola[[#This Row],[Fecha Económico]]=0,0,YEAR(Producción_Agricola[[#This Row],[Fecha Económico]]))</f>
        <v>0</v>
      </c>
      <c r="AG439" s="704">
        <f>SUMPRODUCT((Producción_Agricola[[#This Row],[Mes Económico]]=Tipo_Cambio[Mes])*(Producción_Agricola[[#This Row],[Año Económico]]=Tipo_Cambio[Año])*(Tipo_Cambio[$/U$S]))</f>
        <v>0</v>
      </c>
      <c r="AH439" s="703">
        <f>SUMPRODUCT((Producción_Agricola[[#This Row],[Mes Económico]]=Tipo_Cambio[Mes])*(Producción_Agricola[[#This Row],[Año Económico]]=Tipo_Cambio[Año])*(Tipo_Cambio[Actualización]))</f>
        <v>0</v>
      </c>
      <c r="AI439" s="699">
        <f>IF(ISNUMBER(Producción_Agricola[[#This Row],[Fecha Financiero]])=TRUE,MONTH(Producción_Agricola[[#This Row],[Fecha Financiero]]),0)</f>
        <v>0</v>
      </c>
      <c r="AJ439" s="699">
        <f>IF(ISNUMBER(Producción_Agricola[[#This Row],[Fecha Financiero]])=TRUE,YEAR(Producción_Agricola[[#This Row],[Fecha Financiero]]),0)</f>
        <v>0</v>
      </c>
      <c r="AK439" s="704">
        <f>SUMPRODUCT((Producción_Agricola[[#This Row],[Mes Financiero]]=Tipo_Cambio[Mes])*(Producción_Agricola[[#This Row],[Año Financiero]]=Tipo_Cambio[Año])*(Tipo_Cambio[$/U$S]))</f>
        <v>0</v>
      </c>
      <c r="AL439" s="704">
        <f>SUMPRODUCT((Producción_Agricola[[#This Row],[Mes Financiero]]=Tipo_Cambio[Mes])*(Producción_Agricola[[#This Row],[Año Financiero]]=Tipo_Cambio[Año])*(Tipo_Cambio[Actualización]))</f>
        <v>0</v>
      </c>
      <c r="AM439" s="709">
        <f>IFERROR(Producción_Agricola[[#This Row],[Económico $Corrientes]]/Producción_Agricola[[#This Row],[Superficie]],0)</f>
        <v>0</v>
      </c>
      <c r="AN439" s="712">
        <f>IFERROR(Producción_Agricola[[#This Row],[Económico $Constantes]]/Producción_Agricola[[#This Row],[Superficie]],0)</f>
        <v>0</v>
      </c>
      <c r="AO439" s="712">
        <f>IFERROR(Producción_Agricola[[#This Row],[Económico U$S Dólares]]/Producción_Agricola[[#This Row],[Superficie]],0)</f>
        <v>0</v>
      </c>
      <c r="AP439" s="711">
        <f>IF(Económico!$F$4=0,0,Producción_Agricola[[#This Row],[Centro de Costo]])</f>
        <v>0</v>
      </c>
      <c r="AQ439" s="512"/>
      <c r="AR439" s="513"/>
      <c r="AS439"/>
    </row>
    <row r="440" spans="1:45" x14ac:dyDescent="0.25">
      <c r="A440" s="509"/>
      <c r="B440" s="494"/>
      <c r="C440" s="509"/>
      <c r="D440" s="478"/>
      <c r="E440" s="478"/>
      <c r="F440" s="668">
        <f t="shared" si="62"/>
        <v>0</v>
      </c>
      <c r="G440" s="673">
        <f t="shared" si="63"/>
        <v>0</v>
      </c>
      <c r="H440" s="673">
        <f t="shared" si="64"/>
        <v>0</v>
      </c>
      <c r="I440" s="675">
        <f>IFERROR(INDEX(Tabla8[],MATCH(Producción_Agricola[[#This Row],[Unidad de Negocio]],Tabla8[Unidades de Negocio],0),2),0)</f>
        <v>0</v>
      </c>
      <c r="J44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40" s="488"/>
      <c r="L440" s="482"/>
      <c r="M440" s="483"/>
      <c r="N440" s="484"/>
      <c r="O440" s="690">
        <f>Producción_Agricola[[#This Row],[Superficie]]*Producción_Agricola[[#This Row],[Cantidad]]</f>
        <v>0</v>
      </c>
      <c r="P440" s="482"/>
      <c r="Q440" s="484"/>
      <c r="R440" s="485"/>
      <c r="S44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40" s="695">
        <f>IFERROR(Producción_Agricola[[#This Row],[Económico $Corrientes]]/Producción_Agricola[[#This Row],[Indexación Económico]],0)</f>
        <v>0</v>
      </c>
      <c r="U44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4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40" s="695">
        <f>IFERROR(Producción_Agricola[[#This Row],[Financiero $Corrientes]]/Producción_Agricola[[#This Row],[Indexación Financiero]],0)</f>
        <v>0</v>
      </c>
      <c r="X44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4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40" s="699">
        <f>IFERROR(Producción_Agricola[[#This Row],[Intereses $Corrientes]]/Producción_Agricola[[#This Row],[Indexación Financiero]],0)</f>
        <v>0</v>
      </c>
      <c r="AA44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40" s="701">
        <f>IFERROR(INDEX(Produccion_Agricola_Cuentas[],MATCH(Producción_Agricola[[#This Row],[Cuenta Contable]],Produccion_Agricola_Cuentas[Cuenta Contable],0),2),0)</f>
        <v>0</v>
      </c>
      <c r="AC440" s="702">
        <f>IFERROR(INDEX(Tabla9[],MATCH(Producción_Agricola[[#This Row],[Movimiento]],Tabla9[Movimientos],0),2),0)</f>
        <v>0</v>
      </c>
      <c r="AD440" s="703">
        <f>IFERROR(INDEX(Tabla9[],MATCH(Producción_Agricola[[#This Row],[Movimiento]],Tabla9[Movimientos],0),3),0)</f>
        <v>0</v>
      </c>
      <c r="AE440" s="698">
        <f>IF(Producción_Agricola[[#This Row],[Fecha Económico]]=0,0,MONTH(Producción_Agricola[[#This Row],[Fecha Económico]]))</f>
        <v>0</v>
      </c>
      <c r="AF440" s="699">
        <f>IF(Producción_Agricola[[#This Row],[Fecha Económico]]=0,0,YEAR(Producción_Agricola[[#This Row],[Fecha Económico]]))</f>
        <v>0</v>
      </c>
      <c r="AG440" s="704">
        <f>SUMPRODUCT((Producción_Agricola[[#This Row],[Mes Económico]]=Tipo_Cambio[Mes])*(Producción_Agricola[[#This Row],[Año Económico]]=Tipo_Cambio[Año])*(Tipo_Cambio[$/U$S]))</f>
        <v>0</v>
      </c>
      <c r="AH440" s="703">
        <f>SUMPRODUCT((Producción_Agricola[[#This Row],[Mes Económico]]=Tipo_Cambio[Mes])*(Producción_Agricola[[#This Row],[Año Económico]]=Tipo_Cambio[Año])*(Tipo_Cambio[Actualización]))</f>
        <v>0</v>
      </c>
      <c r="AI440" s="699">
        <f>IF(ISNUMBER(Producción_Agricola[[#This Row],[Fecha Financiero]])=TRUE,MONTH(Producción_Agricola[[#This Row],[Fecha Financiero]]),0)</f>
        <v>0</v>
      </c>
      <c r="AJ440" s="699">
        <f>IF(ISNUMBER(Producción_Agricola[[#This Row],[Fecha Financiero]])=TRUE,YEAR(Producción_Agricola[[#This Row],[Fecha Financiero]]),0)</f>
        <v>0</v>
      </c>
      <c r="AK440" s="704">
        <f>SUMPRODUCT((Producción_Agricola[[#This Row],[Mes Financiero]]=Tipo_Cambio[Mes])*(Producción_Agricola[[#This Row],[Año Financiero]]=Tipo_Cambio[Año])*(Tipo_Cambio[$/U$S]))</f>
        <v>0</v>
      </c>
      <c r="AL440" s="704">
        <f>SUMPRODUCT((Producción_Agricola[[#This Row],[Mes Financiero]]=Tipo_Cambio[Mes])*(Producción_Agricola[[#This Row],[Año Financiero]]=Tipo_Cambio[Año])*(Tipo_Cambio[Actualización]))</f>
        <v>0</v>
      </c>
      <c r="AM440" s="709">
        <f>IFERROR(Producción_Agricola[[#This Row],[Económico $Corrientes]]/Producción_Agricola[[#This Row],[Superficie]],0)</f>
        <v>0</v>
      </c>
      <c r="AN440" s="712">
        <f>IFERROR(Producción_Agricola[[#This Row],[Económico $Constantes]]/Producción_Agricola[[#This Row],[Superficie]],0)</f>
        <v>0</v>
      </c>
      <c r="AO440" s="712">
        <f>IFERROR(Producción_Agricola[[#This Row],[Económico U$S Dólares]]/Producción_Agricola[[#This Row],[Superficie]],0)</f>
        <v>0</v>
      </c>
      <c r="AP440" s="711">
        <f>IF(Económico!$F$4=0,0,Producción_Agricola[[#This Row],[Centro de Costo]])</f>
        <v>0</v>
      </c>
      <c r="AQ440" s="512"/>
      <c r="AR440" s="513"/>
      <c r="AS440"/>
    </row>
    <row r="441" spans="1:45" x14ac:dyDescent="0.25">
      <c r="A441" s="509"/>
      <c r="B441" s="494"/>
      <c r="C441" s="509"/>
      <c r="D441" s="478"/>
      <c r="E441" s="478"/>
      <c r="F441" s="668">
        <f t="shared" si="62"/>
        <v>0</v>
      </c>
      <c r="G441" s="673">
        <f t="shared" si="63"/>
        <v>0</v>
      </c>
      <c r="H441" s="673">
        <f t="shared" si="64"/>
        <v>0</v>
      </c>
      <c r="I441" s="675">
        <f>IFERROR(INDEX(Tabla8[],MATCH(Producción_Agricola[[#This Row],[Unidad de Negocio]],Tabla8[Unidades de Negocio],0),2),0)</f>
        <v>0</v>
      </c>
      <c r="J44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41" s="488"/>
      <c r="L441" s="482"/>
      <c r="M441" s="483"/>
      <c r="N441" s="484"/>
      <c r="O441" s="690">
        <f>Producción_Agricola[[#This Row],[Superficie]]*Producción_Agricola[[#This Row],[Cantidad]]</f>
        <v>0</v>
      </c>
      <c r="P441" s="482"/>
      <c r="Q441" s="484"/>
      <c r="R441" s="485"/>
      <c r="S44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41" s="695">
        <f>IFERROR(Producción_Agricola[[#This Row],[Económico $Corrientes]]/Producción_Agricola[[#This Row],[Indexación Económico]],0)</f>
        <v>0</v>
      </c>
      <c r="U44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4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41" s="695">
        <f>IFERROR(Producción_Agricola[[#This Row],[Financiero $Corrientes]]/Producción_Agricola[[#This Row],[Indexación Financiero]],0)</f>
        <v>0</v>
      </c>
      <c r="X44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4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41" s="699">
        <f>IFERROR(Producción_Agricola[[#This Row],[Intereses $Corrientes]]/Producción_Agricola[[#This Row],[Indexación Financiero]],0)</f>
        <v>0</v>
      </c>
      <c r="AA44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41" s="701">
        <f>IFERROR(INDEX(Produccion_Agricola_Cuentas[],MATCH(Producción_Agricola[[#This Row],[Cuenta Contable]],Produccion_Agricola_Cuentas[Cuenta Contable],0),2),0)</f>
        <v>0</v>
      </c>
      <c r="AC441" s="702">
        <f>IFERROR(INDEX(Tabla9[],MATCH(Producción_Agricola[[#This Row],[Movimiento]],Tabla9[Movimientos],0),2),0)</f>
        <v>0</v>
      </c>
      <c r="AD441" s="703">
        <f>IFERROR(INDEX(Tabla9[],MATCH(Producción_Agricola[[#This Row],[Movimiento]],Tabla9[Movimientos],0),3),0)</f>
        <v>0</v>
      </c>
      <c r="AE441" s="698">
        <f>IF(Producción_Agricola[[#This Row],[Fecha Económico]]=0,0,MONTH(Producción_Agricola[[#This Row],[Fecha Económico]]))</f>
        <v>0</v>
      </c>
      <c r="AF441" s="699">
        <f>IF(Producción_Agricola[[#This Row],[Fecha Económico]]=0,0,YEAR(Producción_Agricola[[#This Row],[Fecha Económico]]))</f>
        <v>0</v>
      </c>
      <c r="AG441" s="704">
        <f>SUMPRODUCT((Producción_Agricola[[#This Row],[Mes Económico]]=Tipo_Cambio[Mes])*(Producción_Agricola[[#This Row],[Año Económico]]=Tipo_Cambio[Año])*(Tipo_Cambio[$/U$S]))</f>
        <v>0</v>
      </c>
      <c r="AH441" s="703">
        <f>SUMPRODUCT((Producción_Agricola[[#This Row],[Mes Económico]]=Tipo_Cambio[Mes])*(Producción_Agricola[[#This Row],[Año Económico]]=Tipo_Cambio[Año])*(Tipo_Cambio[Actualización]))</f>
        <v>0</v>
      </c>
      <c r="AI441" s="699">
        <f>IF(ISNUMBER(Producción_Agricola[[#This Row],[Fecha Financiero]])=TRUE,MONTH(Producción_Agricola[[#This Row],[Fecha Financiero]]),0)</f>
        <v>0</v>
      </c>
      <c r="AJ441" s="699">
        <f>IF(ISNUMBER(Producción_Agricola[[#This Row],[Fecha Financiero]])=TRUE,YEAR(Producción_Agricola[[#This Row],[Fecha Financiero]]),0)</f>
        <v>0</v>
      </c>
      <c r="AK441" s="704">
        <f>SUMPRODUCT((Producción_Agricola[[#This Row],[Mes Financiero]]=Tipo_Cambio[Mes])*(Producción_Agricola[[#This Row],[Año Financiero]]=Tipo_Cambio[Año])*(Tipo_Cambio[$/U$S]))</f>
        <v>0</v>
      </c>
      <c r="AL441" s="704">
        <f>SUMPRODUCT((Producción_Agricola[[#This Row],[Mes Financiero]]=Tipo_Cambio[Mes])*(Producción_Agricola[[#This Row],[Año Financiero]]=Tipo_Cambio[Año])*(Tipo_Cambio[Actualización]))</f>
        <v>0</v>
      </c>
      <c r="AM441" s="709">
        <f>IFERROR(Producción_Agricola[[#This Row],[Económico $Corrientes]]/Producción_Agricola[[#This Row],[Superficie]],0)</f>
        <v>0</v>
      </c>
      <c r="AN441" s="712">
        <f>IFERROR(Producción_Agricola[[#This Row],[Económico $Constantes]]/Producción_Agricola[[#This Row],[Superficie]],0)</f>
        <v>0</v>
      </c>
      <c r="AO441" s="712">
        <f>IFERROR(Producción_Agricola[[#This Row],[Económico U$S Dólares]]/Producción_Agricola[[#This Row],[Superficie]],0)</f>
        <v>0</v>
      </c>
      <c r="AP441" s="711">
        <f>IF(Económico!$F$4=0,0,Producción_Agricola[[#This Row],[Centro de Costo]])</f>
        <v>0</v>
      </c>
      <c r="AQ441" s="512"/>
      <c r="AR441" s="513"/>
      <c r="AS441"/>
    </row>
    <row r="442" spans="1:45" x14ac:dyDescent="0.25">
      <c r="A442" s="509"/>
      <c r="B442" s="494"/>
      <c r="C442" s="509"/>
      <c r="D442" s="478"/>
      <c r="E442" s="478"/>
      <c r="F442" s="668">
        <f t="shared" si="62"/>
        <v>0</v>
      </c>
      <c r="G442" s="673">
        <f t="shared" si="63"/>
        <v>0</v>
      </c>
      <c r="H442" s="673">
        <f t="shared" si="64"/>
        <v>0</v>
      </c>
      <c r="I442" s="675">
        <f>IFERROR(INDEX(Tabla8[],MATCH(Producción_Agricola[[#This Row],[Unidad de Negocio]],Tabla8[Unidades de Negocio],0),2),0)</f>
        <v>0</v>
      </c>
      <c r="J44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42" s="488"/>
      <c r="L442" s="482"/>
      <c r="M442" s="483"/>
      <c r="N442" s="484"/>
      <c r="O442" s="690">
        <f>Producción_Agricola[[#This Row],[Superficie]]*Producción_Agricola[[#This Row],[Cantidad]]</f>
        <v>0</v>
      </c>
      <c r="P442" s="482"/>
      <c r="Q442" s="484"/>
      <c r="R442" s="485"/>
      <c r="S44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42" s="695">
        <f>IFERROR(Producción_Agricola[[#This Row],[Económico $Corrientes]]/Producción_Agricola[[#This Row],[Indexación Económico]],0)</f>
        <v>0</v>
      </c>
      <c r="U44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4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42" s="695">
        <f>IFERROR(Producción_Agricola[[#This Row],[Financiero $Corrientes]]/Producción_Agricola[[#This Row],[Indexación Financiero]],0)</f>
        <v>0</v>
      </c>
      <c r="X44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4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42" s="699">
        <f>IFERROR(Producción_Agricola[[#This Row],[Intereses $Corrientes]]/Producción_Agricola[[#This Row],[Indexación Financiero]],0)</f>
        <v>0</v>
      </c>
      <c r="AA44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42" s="701">
        <f>IFERROR(INDEX(Produccion_Agricola_Cuentas[],MATCH(Producción_Agricola[[#This Row],[Cuenta Contable]],Produccion_Agricola_Cuentas[Cuenta Contable],0),2),0)</f>
        <v>0</v>
      </c>
      <c r="AC442" s="702">
        <f>IFERROR(INDEX(Tabla9[],MATCH(Producción_Agricola[[#This Row],[Movimiento]],Tabla9[Movimientos],0),2),0)</f>
        <v>0</v>
      </c>
      <c r="AD442" s="703">
        <f>IFERROR(INDEX(Tabla9[],MATCH(Producción_Agricola[[#This Row],[Movimiento]],Tabla9[Movimientos],0),3),0)</f>
        <v>0</v>
      </c>
      <c r="AE442" s="698">
        <f>IF(Producción_Agricola[[#This Row],[Fecha Económico]]=0,0,MONTH(Producción_Agricola[[#This Row],[Fecha Económico]]))</f>
        <v>0</v>
      </c>
      <c r="AF442" s="699">
        <f>IF(Producción_Agricola[[#This Row],[Fecha Económico]]=0,0,YEAR(Producción_Agricola[[#This Row],[Fecha Económico]]))</f>
        <v>0</v>
      </c>
      <c r="AG442" s="704">
        <f>SUMPRODUCT((Producción_Agricola[[#This Row],[Mes Económico]]=Tipo_Cambio[Mes])*(Producción_Agricola[[#This Row],[Año Económico]]=Tipo_Cambio[Año])*(Tipo_Cambio[$/U$S]))</f>
        <v>0</v>
      </c>
      <c r="AH442" s="703">
        <f>SUMPRODUCT((Producción_Agricola[[#This Row],[Mes Económico]]=Tipo_Cambio[Mes])*(Producción_Agricola[[#This Row],[Año Económico]]=Tipo_Cambio[Año])*(Tipo_Cambio[Actualización]))</f>
        <v>0</v>
      </c>
      <c r="AI442" s="699">
        <f>IF(ISNUMBER(Producción_Agricola[[#This Row],[Fecha Financiero]])=TRUE,MONTH(Producción_Agricola[[#This Row],[Fecha Financiero]]),0)</f>
        <v>0</v>
      </c>
      <c r="AJ442" s="699">
        <f>IF(ISNUMBER(Producción_Agricola[[#This Row],[Fecha Financiero]])=TRUE,YEAR(Producción_Agricola[[#This Row],[Fecha Financiero]]),0)</f>
        <v>0</v>
      </c>
      <c r="AK442" s="704">
        <f>SUMPRODUCT((Producción_Agricola[[#This Row],[Mes Financiero]]=Tipo_Cambio[Mes])*(Producción_Agricola[[#This Row],[Año Financiero]]=Tipo_Cambio[Año])*(Tipo_Cambio[$/U$S]))</f>
        <v>0</v>
      </c>
      <c r="AL442" s="704">
        <f>SUMPRODUCT((Producción_Agricola[[#This Row],[Mes Financiero]]=Tipo_Cambio[Mes])*(Producción_Agricola[[#This Row],[Año Financiero]]=Tipo_Cambio[Año])*(Tipo_Cambio[Actualización]))</f>
        <v>0</v>
      </c>
      <c r="AM442" s="709">
        <f>IFERROR(Producción_Agricola[[#This Row],[Económico $Corrientes]]/Producción_Agricola[[#This Row],[Superficie]],0)</f>
        <v>0</v>
      </c>
      <c r="AN442" s="712">
        <f>IFERROR(Producción_Agricola[[#This Row],[Económico $Constantes]]/Producción_Agricola[[#This Row],[Superficie]],0)</f>
        <v>0</v>
      </c>
      <c r="AO442" s="712">
        <f>IFERROR(Producción_Agricola[[#This Row],[Económico U$S Dólares]]/Producción_Agricola[[#This Row],[Superficie]],0)</f>
        <v>0</v>
      </c>
      <c r="AP442" s="711">
        <f>IF(Económico!$F$4=0,0,Producción_Agricola[[#This Row],[Centro de Costo]])</f>
        <v>0</v>
      </c>
      <c r="AQ442" s="512"/>
      <c r="AR442" s="513"/>
      <c r="AS442"/>
    </row>
    <row r="443" spans="1:45" x14ac:dyDescent="0.25">
      <c r="A443" s="509"/>
      <c r="B443" s="494"/>
      <c r="C443" s="509"/>
      <c r="D443" s="478"/>
      <c r="E443" s="478"/>
      <c r="F443" s="668">
        <f t="shared" si="62"/>
        <v>0</v>
      </c>
      <c r="G443" s="673">
        <f t="shared" si="63"/>
        <v>0</v>
      </c>
      <c r="H443" s="673">
        <f t="shared" si="64"/>
        <v>0</v>
      </c>
      <c r="I443" s="675">
        <f>IFERROR(INDEX(Tabla8[],MATCH(Producción_Agricola[[#This Row],[Unidad de Negocio]],Tabla8[Unidades de Negocio],0),2),0)</f>
        <v>0</v>
      </c>
      <c r="J44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43" s="488"/>
      <c r="L443" s="482"/>
      <c r="M443" s="483"/>
      <c r="N443" s="484"/>
      <c r="O443" s="690">
        <f>Producción_Agricola[[#This Row],[Superficie]]*Producción_Agricola[[#This Row],[Cantidad]]</f>
        <v>0</v>
      </c>
      <c r="P443" s="482"/>
      <c r="Q443" s="484"/>
      <c r="R443" s="485"/>
      <c r="S44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43" s="695">
        <f>IFERROR(Producción_Agricola[[#This Row],[Económico $Corrientes]]/Producción_Agricola[[#This Row],[Indexación Económico]],0)</f>
        <v>0</v>
      </c>
      <c r="U44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4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43" s="695">
        <f>IFERROR(Producción_Agricola[[#This Row],[Financiero $Corrientes]]/Producción_Agricola[[#This Row],[Indexación Financiero]],0)</f>
        <v>0</v>
      </c>
      <c r="X44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4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43" s="699">
        <f>IFERROR(Producción_Agricola[[#This Row],[Intereses $Corrientes]]/Producción_Agricola[[#This Row],[Indexación Financiero]],0)</f>
        <v>0</v>
      </c>
      <c r="AA44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43" s="701">
        <f>IFERROR(INDEX(Produccion_Agricola_Cuentas[],MATCH(Producción_Agricola[[#This Row],[Cuenta Contable]],Produccion_Agricola_Cuentas[Cuenta Contable],0),2),0)</f>
        <v>0</v>
      </c>
      <c r="AC443" s="702">
        <f>IFERROR(INDEX(Tabla9[],MATCH(Producción_Agricola[[#This Row],[Movimiento]],Tabla9[Movimientos],0),2),0)</f>
        <v>0</v>
      </c>
      <c r="AD443" s="703">
        <f>IFERROR(INDEX(Tabla9[],MATCH(Producción_Agricola[[#This Row],[Movimiento]],Tabla9[Movimientos],0),3),0)</f>
        <v>0</v>
      </c>
      <c r="AE443" s="698">
        <f>IF(Producción_Agricola[[#This Row],[Fecha Económico]]=0,0,MONTH(Producción_Agricola[[#This Row],[Fecha Económico]]))</f>
        <v>0</v>
      </c>
      <c r="AF443" s="699">
        <f>IF(Producción_Agricola[[#This Row],[Fecha Económico]]=0,0,YEAR(Producción_Agricola[[#This Row],[Fecha Económico]]))</f>
        <v>0</v>
      </c>
      <c r="AG443" s="704">
        <f>SUMPRODUCT((Producción_Agricola[[#This Row],[Mes Económico]]=Tipo_Cambio[Mes])*(Producción_Agricola[[#This Row],[Año Económico]]=Tipo_Cambio[Año])*(Tipo_Cambio[$/U$S]))</f>
        <v>0</v>
      </c>
      <c r="AH443" s="703">
        <f>SUMPRODUCT((Producción_Agricola[[#This Row],[Mes Económico]]=Tipo_Cambio[Mes])*(Producción_Agricola[[#This Row],[Año Económico]]=Tipo_Cambio[Año])*(Tipo_Cambio[Actualización]))</f>
        <v>0</v>
      </c>
      <c r="AI443" s="699">
        <f>IF(ISNUMBER(Producción_Agricola[[#This Row],[Fecha Financiero]])=TRUE,MONTH(Producción_Agricola[[#This Row],[Fecha Financiero]]),0)</f>
        <v>0</v>
      </c>
      <c r="AJ443" s="699">
        <f>IF(ISNUMBER(Producción_Agricola[[#This Row],[Fecha Financiero]])=TRUE,YEAR(Producción_Agricola[[#This Row],[Fecha Financiero]]),0)</f>
        <v>0</v>
      </c>
      <c r="AK443" s="704">
        <f>SUMPRODUCT((Producción_Agricola[[#This Row],[Mes Financiero]]=Tipo_Cambio[Mes])*(Producción_Agricola[[#This Row],[Año Financiero]]=Tipo_Cambio[Año])*(Tipo_Cambio[$/U$S]))</f>
        <v>0</v>
      </c>
      <c r="AL443" s="704">
        <f>SUMPRODUCT((Producción_Agricola[[#This Row],[Mes Financiero]]=Tipo_Cambio[Mes])*(Producción_Agricola[[#This Row],[Año Financiero]]=Tipo_Cambio[Año])*(Tipo_Cambio[Actualización]))</f>
        <v>0</v>
      </c>
      <c r="AM443" s="709">
        <f>IFERROR(Producción_Agricola[[#This Row],[Económico $Corrientes]]/Producción_Agricola[[#This Row],[Superficie]],0)</f>
        <v>0</v>
      </c>
      <c r="AN443" s="712">
        <f>IFERROR(Producción_Agricola[[#This Row],[Económico $Constantes]]/Producción_Agricola[[#This Row],[Superficie]],0)</f>
        <v>0</v>
      </c>
      <c r="AO443" s="712">
        <f>IFERROR(Producción_Agricola[[#This Row],[Económico U$S Dólares]]/Producción_Agricola[[#This Row],[Superficie]],0)</f>
        <v>0</v>
      </c>
      <c r="AP443" s="711">
        <f>IF(Económico!$F$4=0,0,Producción_Agricola[[#This Row],[Centro de Costo]])</f>
        <v>0</v>
      </c>
      <c r="AQ443" s="512"/>
      <c r="AR443" s="513"/>
      <c r="AS443"/>
    </row>
    <row r="444" spans="1:45" x14ac:dyDescent="0.25">
      <c r="A444" s="509"/>
      <c r="B444" s="494"/>
      <c r="C444" s="509"/>
      <c r="D444" s="478"/>
      <c r="E444" s="478"/>
      <c r="F444" s="668">
        <f t="shared" si="62"/>
        <v>0</v>
      </c>
      <c r="G444" s="673">
        <f t="shared" si="63"/>
        <v>0</v>
      </c>
      <c r="H444" s="673">
        <f t="shared" si="64"/>
        <v>0</v>
      </c>
      <c r="I444" s="675">
        <f>IFERROR(INDEX(Tabla8[],MATCH(Producción_Agricola[[#This Row],[Unidad de Negocio]],Tabla8[Unidades de Negocio],0),2),0)</f>
        <v>0</v>
      </c>
      <c r="J44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44" s="488"/>
      <c r="L444" s="482"/>
      <c r="M444" s="483"/>
      <c r="N444" s="484"/>
      <c r="O444" s="690">
        <f>Producción_Agricola[[#This Row],[Superficie]]*Producción_Agricola[[#This Row],[Cantidad]]</f>
        <v>0</v>
      </c>
      <c r="P444" s="482"/>
      <c r="Q444" s="484"/>
      <c r="R444" s="485"/>
      <c r="S44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44" s="695">
        <f>IFERROR(Producción_Agricola[[#This Row],[Económico $Corrientes]]/Producción_Agricola[[#This Row],[Indexación Económico]],0)</f>
        <v>0</v>
      </c>
      <c r="U44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4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44" s="695">
        <f>IFERROR(Producción_Agricola[[#This Row],[Financiero $Corrientes]]/Producción_Agricola[[#This Row],[Indexación Financiero]],0)</f>
        <v>0</v>
      </c>
      <c r="X44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4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44" s="699">
        <f>IFERROR(Producción_Agricola[[#This Row],[Intereses $Corrientes]]/Producción_Agricola[[#This Row],[Indexación Financiero]],0)</f>
        <v>0</v>
      </c>
      <c r="AA44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44" s="701">
        <f>IFERROR(INDEX(Produccion_Agricola_Cuentas[],MATCH(Producción_Agricola[[#This Row],[Cuenta Contable]],Produccion_Agricola_Cuentas[Cuenta Contable],0),2),0)</f>
        <v>0</v>
      </c>
      <c r="AC444" s="702">
        <f>IFERROR(INDEX(Tabla9[],MATCH(Producción_Agricola[[#This Row],[Movimiento]],Tabla9[Movimientos],0),2),0)</f>
        <v>0</v>
      </c>
      <c r="AD444" s="703">
        <f>IFERROR(INDEX(Tabla9[],MATCH(Producción_Agricola[[#This Row],[Movimiento]],Tabla9[Movimientos],0),3),0)</f>
        <v>0</v>
      </c>
      <c r="AE444" s="698">
        <f>IF(Producción_Agricola[[#This Row],[Fecha Económico]]=0,0,MONTH(Producción_Agricola[[#This Row],[Fecha Económico]]))</f>
        <v>0</v>
      </c>
      <c r="AF444" s="699">
        <f>IF(Producción_Agricola[[#This Row],[Fecha Económico]]=0,0,YEAR(Producción_Agricola[[#This Row],[Fecha Económico]]))</f>
        <v>0</v>
      </c>
      <c r="AG444" s="704">
        <f>SUMPRODUCT((Producción_Agricola[[#This Row],[Mes Económico]]=Tipo_Cambio[Mes])*(Producción_Agricola[[#This Row],[Año Económico]]=Tipo_Cambio[Año])*(Tipo_Cambio[$/U$S]))</f>
        <v>0</v>
      </c>
      <c r="AH444" s="703">
        <f>SUMPRODUCT((Producción_Agricola[[#This Row],[Mes Económico]]=Tipo_Cambio[Mes])*(Producción_Agricola[[#This Row],[Año Económico]]=Tipo_Cambio[Año])*(Tipo_Cambio[Actualización]))</f>
        <v>0</v>
      </c>
      <c r="AI444" s="699">
        <f>IF(ISNUMBER(Producción_Agricola[[#This Row],[Fecha Financiero]])=TRUE,MONTH(Producción_Agricola[[#This Row],[Fecha Financiero]]),0)</f>
        <v>0</v>
      </c>
      <c r="AJ444" s="699">
        <f>IF(ISNUMBER(Producción_Agricola[[#This Row],[Fecha Financiero]])=TRUE,YEAR(Producción_Agricola[[#This Row],[Fecha Financiero]]),0)</f>
        <v>0</v>
      </c>
      <c r="AK444" s="704">
        <f>SUMPRODUCT((Producción_Agricola[[#This Row],[Mes Financiero]]=Tipo_Cambio[Mes])*(Producción_Agricola[[#This Row],[Año Financiero]]=Tipo_Cambio[Año])*(Tipo_Cambio[$/U$S]))</f>
        <v>0</v>
      </c>
      <c r="AL444" s="704">
        <f>SUMPRODUCT((Producción_Agricola[[#This Row],[Mes Financiero]]=Tipo_Cambio[Mes])*(Producción_Agricola[[#This Row],[Año Financiero]]=Tipo_Cambio[Año])*(Tipo_Cambio[Actualización]))</f>
        <v>0</v>
      </c>
      <c r="AM444" s="709">
        <f>IFERROR(Producción_Agricola[[#This Row],[Económico $Corrientes]]/Producción_Agricola[[#This Row],[Superficie]],0)</f>
        <v>0</v>
      </c>
      <c r="AN444" s="712">
        <f>IFERROR(Producción_Agricola[[#This Row],[Económico $Constantes]]/Producción_Agricola[[#This Row],[Superficie]],0)</f>
        <v>0</v>
      </c>
      <c r="AO444" s="712">
        <f>IFERROR(Producción_Agricola[[#This Row],[Económico U$S Dólares]]/Producción_Agricola[[#This Row],[Superficie]],0)</f>
        <v>0</v>
      </c>
      <c r="AP444" s="711">
        <f>IF(Económico!$F$4=0,0,Producción_Agricola[[#This Row],[Centro de Costo]])</f>
        <v>0</v>
      </c>
      <c r="AQ444" s="512"/>
      <c r="AR444" s="513"/>
      <c r="AS444"/>
    </row>
    <row r="445" spans="1:45" x14ac:dyDescent="0.25">
      <c r="A445" s="509"/>
      <c r="B445" s="494"/>
      <c r="C445" s="509"/>
      <c r="D445" s="478"/>
      <c r="E445" s="478"/>
      <c r="F445" s="668">
        <f t="shared" si="62"/>
        <v>0</v>
      </c>
      <c r="G445" s="673">
        <f t="shared" si="63"/>
        <v>0</v>
      </c>
      <c r="H445" s="673">
        <f t="shared" si="64"/>
        <v>0</v>
      </c>
      <c r="I445" s="675">
        <f>IFERROR(INDEX(Tabla8[],MATCH(Producción_Agricola[[#This Row],[Unidad de Negocio]],Tabla8[Unidades de Negocio],0),2),0)</f>
        <v>0</v>
      </c>
      <c r="J44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45" s="488"/>
      <c r="L445" s="482"/>
      <c r="M445" s="483"/>
      <c r="N445" s="484"/>
      <c r="O445" s="690">
        <f>Producción_Agricola[[#This Row],[Superficie]]*Producción_Agricola[[#This Row],[Cantidad]]</f>
        <v>0</v>
      </c>
      <c r="P445" s="482"/>
      <c r="Q445" s="484"/>
      <c r="R445" s="485"/>
      <c r="S44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45" s="695">
        <f>IFERROR(Producción_Agricola[[#This Row],[Económico $Corrientes]]/Producción_Agricola[[#This Row],[Indexación Económico]],0)</f>
        <v>0</v>
      </c>
      <c r="U44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4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45" s="695">
        <f>IFERROR(Producción_Agricola[[#This Row],[Financiero $Corrientes]]/Producción_Agricola[[#This Row],[Indexación Financiero]],0)</f>
        <v>0</v>
      </c>
      <c r="X44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4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45" s="699">
        <f>IFERROR(Producción_Agricola[[#This Row],[Intereses $Corrientes]]/Producción_Agricola[[#This Row],[Indexación Financiero]],0)</f>
        <v>0</v>
      </c>
      <c r="AA44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45" s="701">
        <f>IFERROR(INDEX(Produccion_Agricola_Cuentas[],MATCH(Producción_Agricola[[#This Row],[Cuenta Contable]],Produccion_Agricola_Cuentas[Cuenta Contable],0),2),0)</f>
        <v>0</v>
      </c>
      <c r="AC445" s="702">
        <f>IFERROR(INDEX(Tabla9[],MATCH(Producción_Agricola[[#This Row],[Movimiento]],Tabla9[Movimientos],0),2),0)</f>
        <v>0</v>
      </c>
      <c r="AD445" s="703">
        <f>IFERROR(INDEX(Tabla9[],MATCH(Producción_Agricola[[#This Row],[Movimiento]],Tabla9[Movimientos],0),3),0)</f>
        <v>0</v>
      </c>
      <c r="AE445" s="698">
        <f>IF(Producción_Agricola[[#This Row],[Fecha Económico]]=0,0,MONTH(Producción_Agricola[[#This Row],[Fecha Económico]]))</f>
        <v>0</v>
      </c>
      <c r="AF445" s="699">
        <f>IF(Producción_Agricola[[#This Row],[Fecha Económico]]=0,0,YEAR(Producción_Agricola[[#This Row],[Fecha Económico]]))</f>
        <v>0</v>
      </c>
      <c r="AG445" s="704">
        <f>SUMPRODUCT((Producción_Agricola[[#This Row],[Mes Económico]]=Tipo_Cambio[Mes])*(Producción_Agricola[[#This Row],[Año Económico]]=Tipo_Cambio[Año])*(Tipo_Cambio[$/U$S]))</f>
        <v>0</v>
      </c>
      <c r="AH445" s="703">
        <f>SUMPRODUCT((Producción_Agricola[[#This Row],[Mes Económico]]=Tipo_Cambio[Mes])*(Producción_Agricola[[#This Row],[Año Económico]]=Tipo_Cambio[Año])*(Tipo_Cambio[Actualización]))</f>
        <v>0</v>
      </c>
      <c r="AI445" s="699">
        <f>IF(ISNUMBER(Producción_Agricola[[#This Row],[Fecha Financiero]])=TRUE,MONTH(Producción_Agricola[[#This Row],[Fecha Financiero]]),0)</f>
        <v>0</v>
      </c>
      <c r="AJ445" s="699">
        <f>IF(ISNUMBER(Producción_Agricola[[#This Row],[Fecha Financiero]])=TRUE,YEAR(Producción_Agricola[[#This Row],[Fecha Financiero]]),0)</f>
        <v>0</v>
      </c>
      <c r="AK445" s="704">
        <f>SUMPRODUCT((Producción_Agricola[[#This Row],[Mes Financiero]]=Tipo_Cambio[Mes])*(Producción_Agricola[[#This Row],[Año Financiero]]=Tipo_Cambio[Año])*(Tipo_Cambio[$/U$S]))</f>
        <v>0</v>
      </c>
      <c r="AL445" s="704">
        <f>SUMPRODUCT((Producción_Agricola[[#This Row],[Mes Financiero]]=Tipo_Cambio[Mes])*(Producción_Agricola[[#This Row],[Año Financiero]]=Tipo_Cambio[Año])*(Tipo_Cambio[Actualización]))</f>
        <v>0</v>
      </c>
      <c r="AM445" s="709">
        <f>IFERROR(Producción_Agricola[[#This Row],[Económico $Corrientes]]/Producción_Agricola[[#This Row],[Superficie]],0)</f>
        <v>0</v>
      </c>
      <c r="AN445" s="712">
        <f>IFERROR(Producción_Agricola[[#This Row],[Económico $Constantes]]/Producción_Agricola[[#This Row],[Superficie]],0)</f>
        <v>0</v>
      </c>
      <c r="AO445" s="712">
        <f>IFERROR(Producción_Agricola[[#This Row],[Económico U$S Dólares]]/Producción_Agricola[[#This Row],[Superficie]],0)</f>
        <v>0</v>
      </c>
      <c r="AP445" s="711">
        <f>IF(Económico!$F$4=0,0,Producción_Agricola[[#This Row],[Centro de Costo]])</f>
        <v>0</v>
      </c>
      <c r="AQ445" s="512"/>
      <c r="AR445" s="513"/>
      <c r="AS445"/>
    </row>
    <row r="446" spans="1:45" x14ac:dyDescent="0.25">
      <c r="A446" s="509"/>
      <c r="B446" s="494"/>
      <c r="C446" s="509"/>
      <c r="D446" s="478"/>
      <c r="E446" s="478"/>
      <c r="F446" s="668">
        <f t="shared" si="62"/>
        <v>0</v>
      </c>
      <c r="G446" s="673">
        <f t="shared" si="63"/>
        <v>0</v>
      </c>
      <c r="H446" s="673">
        <f t="shared" si="64"/>
        <v>0</v>
      </c>
      <c r="I446" s="675">
        <f>IFERROR(INDEX(Tabla8[],MATCH(Producción_Agricola[[#This Row],[Unidad de Negocio]],Tabla8[Unidades de Negocio],0),2),0)</f>
        <v>0</v>
      </c>
      <c r="J44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46" s="488"/>
      <c r="L446" s="482"/>
      <c r="M446" s="483"/>
      <c r="N446" s="484"/>
      <c r="O446" s="690">
        <f>Producción_Agricola[[#This Row],[Superficie]]*Producción_Agricola[[#This Row],[Cantidad]]</f>
        <v>0</v>
      </c>
      <c r="P446" s="482"/>
      <c r="Q446" s="484"/>
      <c r="R446" s="485"/>
      <c r="S44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46" s="695">
        <f>IFERROR(Producción_Agricola[[#This Row],[Económico $Corrientes]]/Producción_Agricola[[#This Row],[Indexación Económico]],0)</f>
        <v>0</v>
      </c>
      <c r="U44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4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46" s="695">
        <f>IFERROR(Producción_Agricola[[#This Row],[Financiero $Corrientes]]/Producción_Agricola[[#This Row],[Indexación Financiero]],0)</f>
        <v>0</v>
      </c>
      <c r="X44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4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46" s="699">
        <f>IFERROR(Producción_Agricola[[#This Row],[Intereses $Corrientes]]/Producción_Agricola[[#This Row],[Indexación Financiero]],0)</f>
        <v>0</v>
      </c>
      <c r="AA44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46" s="701">
        <f>IFERROR(INDEX(Produccion_Agricola_Cuentas[],MATCH(Producción_Agricola[[#This Row],[Cuenta Contable]],Produccion_Agricola_Cuentas[Cuenta Contable],0),2),0)</f>
        <v>0</v>
      </c>
      <c r="AC446" s="702">
        <f>IFERROR(INDEX(Tabla9[],MATCH(Producción_Agricola[[#This Row],[Movimiento]],Tabla9[Movimientos],0),2),0)</f>
        <v>0</v>
      </c>
      <c r="AD446" s="703">
        <f>IFERROR(INDEX(Tabla9[],MATCH(Producción_Agricola[[#This Row],[Movimiento]],Tabla9[Movimientos],0),3),0)</f>
        <v>0</v>
      </c>
      <c r="AE446" s="698">
        <f>IF(Producción_Agricola[[#This Row],[Fecha Económico]]=0,0,MONTH(Producción_Agricola[[#This Row],[Fecha Económico]]))</f>
        <v>0</v>
      </c>
      <c r="AF446" s="699">
        <f>IF(Producción_Agricola[[#This Row],[Fecha Económico]]=0,0,YEAR(Producción_Agricola[[#This Row],[Fecha Económico]]))</f>
        <v>0</v>
      </c>
      <c r="AG446" s="704">
        <f>SUMPRODUCT((Producción_Agricola[[#This Row],[Mes Económico]]=Tipo_Cambio[Mes])*(Producción_Agricola[[#This Row],[Año Económico]]=Tipo_Cambio[Año])*(Tipo_Cambio[$/U$S]))</f>
        <v>0</v>
      </c>
      <c r="AH446" s="703">
        <f>SUMPRODUCT((Producción_Agricola[[#This Row],[Mes Económico]]=Tipo_Cambio[Mes])*(Producción_Agricola[[#This Row],[Año Económico]]=Tipo_Cambio[Año])*(Tipo_Cambio[Actualización]))</f>
        <v>0</v>
      </c>
      <c r="AI446" s="699">
        <f>IF(ISNUMBER(Producción_Agricola[[#This Row],[Fecha Financiero]])=TRUE,MONTH(Producción_Agricola[[#This Row],[Fecha Financiero]]),0)</f>
        <v>0</v>
      </c>
      <c r="AJ446" s="699">
        <f>IF(ISNUMBER(Producción_Agricola[[#This Row],[Fecha Financiero]])=TRUE,YEAR(Producción_Agricola[[#This Row],[Fecha Financiero]]),0)</f>
        <v>0</v>
      </c>
      <c r="AK446" s="704">
        <f>SUMPRODUCT((Producción_Agricola[[#This Row],[Mes Financiero]]=Tipo_Cambio[Mes])*(Producción_Agricola[[#This Row],[Año Financiero]]=Tipo_Cambio[Año])*(Tipo_Cambio[$/U$S]))</f>
        <v>0</v>
      </c>
      <c r="AL446" s="704">
        <f>SUMPRODUCT((Producción_Agricola[[#This Row],[Mes Financiero]]=Tipo_Cambio[Mes])*(Producción_Agricola[[#This Row],[Año Financiero]]=Tipo_Cambio[Año])*(Tipo_Cambio[Actualización]))</f>
        <v>0</v>
      </c>
      <c r="AM446" s="709">
        <f>IFERROR(Producción_Agricola[[#This Row],[Económico $Corrientes]]/Producción_Agricola[[#This Row],[Superficie]],0)</f>
        <v>0</v>
      </c>
      <c r="AN446" s="712">
        <f>IFERROR(Producción_Agricola[[#This Row],[Económico $Constantes]]/Producción_Agricola[[#This Row],[Superficie]],0)</f>
        <v>0</v>
      </c>
      <c r="AO446" s="712">
        <f>IFERROR(Producción_Agricola[[#This Row],[Económico U$S Dólares]]/Producción_Agricola[[#This Row],[Superficie]],0)</f>
        <v>0</v>
      </c>
      <c r="AP446" s="711">
        <f>IF(Económico!$F$4=0,0,Producción_Agricola[[#This Row],[Centro de Costo]])</f>
        <v>0</v>
      </c>
      <c r="AQ446" s="512"/>
      <c r="AR446" s="513"/>
      <c r="AS446"/>
    </row>
    <row r="447" spans="1:45" x14ac:dyDescent="0.25">
      <c r="A447" s="509"/>
      <c r="B447" s="494"/>
      <c r="C447" s="509"/>
      <c r="D447" s="478"/>
      <c r="E447" s="478"/>
      <c r="F447" s="668">
        <f t="shared" si="62"/>
        <v>0</v>
      </c>
      <c r="G447" s="673">
        <f t="shared" si="63"/>
        <v>0</v>
      </c>
      <c r="H447" s="673">
        <f t="shared" si="64"/>
        <v>0</v>
      </c>
      <c r="I447" s="675">
        <f>IFERROR(INDEX(Tabla8[],MATCH(Producción_Agricola[[#This Row],[Unidad de Negocio]],Tabla8[Unidades de Negocio],0),2),0)</f>
        <v>0</v>
      </c>
      <c r="J44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47" s="488"/>
      <c r="L447" s="482"/>
      <c r="M447" s="483"/>
      <c r="N447" s="484"/>
      <c r="O447" s="690">
        <f>Producción_Agricola[[#This Row],[Superficie]]*Producción_Agricola[[#This Row],[Cantidad]]</f>
        <v>0</v>
      </c>
      <c r="P447" s="482"/>
      <c r="Q447" s="484"/>
      <c r="R447" s="485"/>
      <c r="S44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47" s="695">
        <f>IFERROR(Producción_Agricola[[#This Row],[Económico $Corrientes]]/Producción_Agricola[[#This Row],[Indexación Económico]],0)</f>
        <v>0</v>
      </c>
      <c r="U44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4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47" s="695">
        <f>IFERROR(Producción_Agricola[[#This Row],[Financiero $Corrientes]]/Producción_Agricola[[#This Row],[Indexación Financiero]],0)</f>
        <v>0</v>
      </c>
      <c r="X44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4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47" s="699">
        <f>IFERROR(Producción_Agricola[[#This Row],[Intereses $Corrientes]]/Producción_Agricola[[#This Row],[Indexación Financiero]],0)</f>
        <v>0</v>
      </c>
      <c r="AA44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47" s="701">
        <f>IFERROR(INDEX(Produccion_Agricola_Cuentas[],MATCH(Producción_Agricola[[#This Row],[Cuenta Contable]],Produccion_Agricola_Cuentas[Cuenta Contable],0),2),0)</f>
        <v>0</v>
      </c>
      <c r="AC447" s="702">
        <f>IFERROR(INDEX(Tabla9[],MATCH(Producción_Agricola[[#This Row],[Movimiento]],Tabla9[Movimientos],0),2),0)</f>
        <v>0</v>
      </c>
      <c r="AD447" s="703">
        <f>IFERROR(INDEX(Tabla9[],MATCH(Producción_Agricola[[#This Row],[Movimiento]],Tabla9[Movimientos],0),3),0)</f>
        <v>0</v>
      </c>
      <c r="AE447" s="698">
        <f>IF(Producción_Agricola[[#This Row],[Fecha Económico]]=0,0,MONTH(Producción_Agricola[[#This Row],[Fecha Económico]]))</f>
        <v>0</v>
      </c>
      <c r="AF447" s="699">
        <f>IF(Producción_Agricola[[#This Row],[Fecha Económico]]=0,0,YEAR(Producción_Agricola[[#This Row],[Fecha Económico]]))</f>
        <v>0</v>
      </c>
      <c r="AG447" s="704">
        <f>SUMPRODUCT((Producción_Agricola[[#This Row],[Mes Económico]]=Tipo_Cambio[Mes])*(Producción_Agricola[[#This Row],[Año Económico]]=Tipo_Cambio[Año])*(Tipo_Cambio[$/U$S]))</f>
        <v>0</v>
      </c>
      <c r="AH447" s="703">
        <f>SUMPRODUCT((Producción_Agricola[[#This Row],[Mes Económico]]=Tipo_Cambio[Mes])*(Producción_Agricola[[#This Row],[Año Económico]]=Tipo_Cambio[Año])*(Tipo_Cambio[Actualización]))</f>
        <v>0</v>
      </c>
      <c r="AI447" s="699">
        <f>IF(ISNUMBER(Producción_Agricola[[#This Row],[Fecha Financiero]])=TRUE,MONTH(Producción_Agricola[[#This Row],[Fecha Financiero]]),0)</f>
        <v>0</v>
      </c>
      <c r="AJ447" s="699">
        <f>IF(ISNUMBER(Producción_Agricola[[#This Row],[Fecha Financiero]])=TRUE,YEAR(Producción_Agricola[[#This Row],[Fecha Financiero]]),0)</f>
        <v>0</v>
      </c>
      <c r="AK447" s="704">
        <f>SUMPRODUCT((Producción_Agricola[[#This Row],[Mes Financiero]]=Tipo_Cambio[Mes])*(Producción_Agricola[[#This Row],[Año Financiero]]=Tipo_Cambio[Año])*(Tipo_Cambio[$/U$S]))</f>
        <v>0</v>
      </c>
      <c r="AL447" s="704">
        <f>SUMPRODUCT((Producción_Agricola[[#This Row],[Mes Financiero]]=Tipo_Cambio[Mes])*(Producción_Agricola[[#This Row],[Año Financiero]]=Tipo_Cambio[Año])*(Tipo_Cambio[Actualización]))</f>
        <v>0</v>
      </c>
      <c r="AM447" s="709">
        <f>IFERROR(Producción_Agricola[[#This Row],[Económico $Corrientes]]/Producción_Agricola[[#This Row],[Superficie]],0)</f>
        <v>0</v>
      </c>
      <c r="AN447" s="712">
        <f>IFERROR(Producción_Agricola[[#This Row],[Económico $Constantes]]/Producción_Agricola[[#This Row],[Superficie]],0)</f>
        <v>0</v>
      </c>
      <c r="AO447" s="712">
        <f>IFERROR(Producción_Agricola[[#This Row],[Económico U$S Dólares]]/Producción_Agricola[[#This Row],[Superficie]],0)</f>
        <v>0</v>
      </c>
      <c r="AP447" s="711">
        <f>IF(Económico!$F$4=0,0,Producción_Agricola[[#This Row],[Centro de Costo]])</f>
        <v>0</v>
      </c>
      <c r="AQ447" s="512"/>
      <c r="AR447" s="513"/>
      <c r="AS447"/>
    </row>
    <row r="448" spans="1:45" x14ac:dyDescent="0.25">
      <c r="A448" s="509"/>
      <c r="B448" s="494"/>
      <c r="C448" s="509"/>
      <c r="D448" s="478"/>
      <c r="E448" s="478"/>
      <c r="F448" s="668">
        <f t="shared" si="62"/>
        <v>0</v>
      </c>
      <c r="G448" s="673">
        <f t="shared" si="63"/>
        <v>0</v>
      </c>
      <c r="H448" s="673">
        <f t="shared" si="64"/>
        <v>0</v>
      </c>
      <c r="I448" s="675">
        <f>IFERROR(INDEX(Tabla8[],MATCH(Producción_Agricola[[#This Row],[Unidad de Negocio]],Tabla8[Unidades de Negocio],0),2),0)</f>
        <v>0</v>
      </c>
      <c r="J44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48" s="488"/>
      <c r="L448" s="482"/>
      <c r="M448" s="483"/>
      <c r="N448" s="484"/>
      <c r="O448" s="690">
        <f>Producción_Agricola[[#This Row],[Superficie]]*Producción_Agricola[[#This Row],[Cantidad]]</f>
        <v>0</v>
      </c>
      <c r="P448" s="482"/>
      <c r="Q448" s="484"/>
      <c r="R448" s="485"/>
      <c r="S44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48" s="695">
        <f>IFERROR(Producción_Agricola[[#This Row],[Económico $Corrientes]]/Producción_Agricola[[#This Row],[Indexación Económico]],0)</f>
        <v>0</v>
      </c>
      <c r="U44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4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48" s="695">
        <f>IFERROR(Producción_Agricola[[#This Row],[Financiero $Corrientes]]/Producción_Agricola[[#This Row],[Indexación Financiero]],0)</f>
        <v>0</v>
      </c>
      <c r="X44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4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48" s="699">
        <f>IFERROR(Producción_Agricola[[#This Row],[Intereses $Corrientes]]/Producción_Agricola[[#This Row],[Indexación Financiero]],0)</f>
        <v>0</v>
      </c>
      <c r="AA44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48" s="701">
        <f>IFERROR(INDEX(Produccion_Agricola_Cuentas[],MATCH(Producción_Agricola[[#This Row],[Cuenta Contable]],Produccion_Agricola_Cuentas[Cuenta Contable],0),2),0)</f>
        <v>0</v>
      </c>
      <c r="AC448" s="702">
        <f>IFERROR(INDEX(Tabla9[],MATCH(Producción_Agricola[[#This Row],[Movimiento]],Tabla9[Movimientos],0),2),0)</f>
        <v>0</v>
      </c>
      <c r="AD448" s="703">
        <f>IFERROR(INDEX(Tabla9[],MATCH(Producción_Agricola[[#This Row],[Movimiento]],Tabla9[Movimientos],0),3),0)</f>
        <v>0</v>
      </c>
      <c r="AE448" s="698">
        <f>IF(Producción_Agricola[[#This Row],[Fecha Económico]]=0,0,MONTH(Producción_Agricola[[#This Row],[Fecha Económico]]))</f>
        <v>0</v>
      </c>
      <c r="AF448" s="699">
        <f>IF(Producción_Agricola[[#This Row],[Fecha Económico]]=0,0,YEAR(Producción_Agricola[[#This Row],[Fecha Económico]]))</f>
        <v>0</v>
      </c>
      <c r="AG448" s="704">
        <f>SUMPRODUCT((Producción_Agricola[[#This Row],[Mes Económico]]=Tipo_Cambio[Mes])*(Producción_Agricola[[#This Row],[Año Económico]]=Tipo_Cambio[Año])*(Tipo_Cambio[$/U$S]))</f>
        <v>0</v>
      </c>
      <c r="AH448" s="703">
        <f>SUMPRODUCT((Producción_Agricola[[#This Row],[Mes Económico]]=Tipo_Cambio[Mes])*(Producción_Agricola[[#This Row],[Año Económico]]=Tipo_Cambio[Año])*(Tipo_Cambio[Actualización]))</f>
        <v>0</v>
      </c>
      <c r="AI448" s="699">
        <f>IF(ISNUMBER(Producción_Agricola[[#This Row],[Fecha Financiero]])=TRUE,MONTH(Producción_Agricola[[#This Row],[Fecha Financiero]]),0)</f>
        <v>0</v>
      </c>
      <c r="AJ448" s="699">
        <f>IF(ISNUMBER(Producción_Agricola[[#This Row],[Fecha Financiero]])=TRUE,YEAR(Producción_Agricola[[#This Row],[Fecha Financiero]]),0)</f>
        <v>0</v>
      </c>
      <c r="AK448" s="704">
        <f>SUMPRODUCT((Producción_Agricola[[#This Row],[Mes Financiero]]=Tipo_Cambio[Mes])*(Producción_Agricola[[#This Row],[Año Financiero]]=Tipo_Cambio[Año])*(Tipo_Cambio[$/U$S]))</f>
        <v>0</v>
      </c>
      <c r="AL448" s="704">
        <f>SUMPRODUCT((Producción_Agricola[[#This Row],[Mes Financiero]]=Tipo_Cambio[Mes])*(Producción_Agricola[[#This Row],[Año Financiero]]=Tipo_Cambio[Año])*(Tipo_Cambio[Actualización]))</f>
        <v>0</v>
      </c>
      <c r="AM448" s="709">
        <f>IFERROR(Producción_Agricola[[#This Row],[Económico $Corrientes]]/Producción_Agricola[[#This Row],[Superficie]],0)</f>
        <v>0</v>
      </c>
      <c r="AN448" s="712">
        <f>IFERROR(Producción_Agricola[[#This Row],[Económico $Constantes]]/Producción_Agricola[[#This Row],[Superficie]],0)</f>
        <v>0</v>
      </c>
      <c r="AO448" s="712">
        <f>IFERROR(Producción_Agricola[[#This Row],[Económico U$S Dólares]]/Producción_Agricola[[#This Row],[Superficie]],0)</f>
        <v>0</v>
      </c>
      <c r="AP448" s="711">
        <f>IF(Económico!$F$4=0,0,Producción_Agricola[[#This Row],[Centro de Costo]])</f>
        <v>0</v>
      </c>
      <c r="AQ448" s="512"/>
      <c r="AR448" s="513"/>
      <c r="AS448"/>
    </row>
    <row r="449" spans="1:45" x14ac:dyDescent="0.25">
      <c r="A449" s="509"/>
      <c r="B449" s="494"/>
      <c r="C449" s="509"/>
      <c r="D449" s="478"/>
      <c r="E449" s="478"/>
      <c r="F449" s="668">
        <f t="shared" si="62"/>
        <v>0</v>
      </c>
      <c r="G449" s="673">
        <f t="shared" si="63"/>
        <v>0</v>
      </c>
      <c r="H449" s="673">
        <f t="shared" si="64"/>
        <v>0</v>
      </c>
      <c r="I449" s="675">
        <f>IFERROR(INDEX(Tabla8[],MATCH(Producción_Agricola[[#This Row],[Unidad de Negocio]],Tabla8[Unidades de Negocio],0),2),0)</f>
        <v>0</v>
      </c>
      <c r="J44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49" s="488"/>
      <c r="L449" s="482"/>
      <c r="M449" s="483"/>
      <c r="N449" s="484"/>
      <c r="O449" s="690">
        <f>Producción_Agricola[[#This Row],[Superficie]]*Producción_Agricola[[#This Row],[Cantidad]]</f>
        <v>0</v>
      </c>
      <c r="P449" s="482"/>
      <c r="Q449" s="484"/>
      <c r="R449" s="485"/>
      <c r="S44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49" s="695">
        <f>IFERROR(Producción_Agricola[[#This Row],[Económico $Corrientes]]/Producción_Agricola[[#This Row],[Indexación Económico]],0)</f>
        <v>0</v>
      </c>
      <c r="U44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4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49" s="695">
        <f>IFERROR(Producción_Agricola[[#This Row],[Financiero $Corrientes]]/Producción_Agricola[[#This Row],[Indexación Financiero]],0)</f>
        <v>0</v>
      </c>
      <c r="X44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4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49" s="699">
        <f>IFERROR(Producción_Agricola[[#This Row],[Intereses $Corrientes]]/Producción_Agricola[[#This Row],[Indexación Financiero]],0)</f>
        <v>0</v>
      </c>
      <c r="AA44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49" s="701">
        <f>IFERROR(INDEX(Produccion_Agricola_Cuentas[],MATCH(Producción_Agricola[[#This Row],[Cuenta Contable]],Produccion_Agricola_Cuentas[Cuenta Contable],0),2),0)</f>
        <v>0</v>
      </c>
      <c r="AC449" s="702">
        <f>IFERROR(INDEX(Tabla9[],MATCH(Producción_Agricola[[#This Row],[Movimiento]],Tabla9[Movimientos],0),2),0)</f>
        <v>0</v>
      </c>
      <c r="AD449" s="703">
        <f>IFERROR(INDEX(Tabla9[],MATCH(Producción_Agricola[[#This Row],[Movimiento]],Tabla9[Movimientos],0),3),0)</f>
        <v>0</v>
      </c>
      <c r="AE449" s="698">
        <f>IF(Producción_Agricola[[#This Row],[Fecha Económico]]=0,0,MONTH(Producción_Agricola[[#This Row],[Fecha Económico]]))</f>
        <v>0</v>
      </c>
      <c r="AF449" s="699">
        <f>IF(Producción_Agricola[[#This Row],[Fecha Económico]]=0,0,YEAR(Producción_Agricola[[#This Row],[Fecha Económico]]))</f>
        <v>0</v>
      </c>
      <c r="AG449" s="704">
        <f>SUMPRODUCT((Producción_Agricola[[#This Row],[Mes Económico]]=Tipo_Cambio[Mes])*(Producción_Agricola[[#This Row],[Año Económico]]=Tipo_Cambio[Año])*(Tipo_Cambio[$/U$S]))</f>
        <v>0</v>
      </c>
      <c r="AH449" s="703">
        <f>SUMPRODUCT((Producción_Agricola[[#This Row],[Mes Económico]]=Tipo_Cambio[Mes])*(Producción_Agricola[[#This Row],[Año Económico]]=Tipo_Cambio[Año])*(Tipo_Cambio[Actualización]))</f>
        <v>0</v>
      </c>
      <c r="AI449" s="699">
        <f>IF(ISNUMBER(Producción_Agricola[[#This Row],[Fecha Financiero]])=TRUE,MONTH(Producción_Agricola[[#This Row],[Fecha Financiero]]),0)</f>
        <v>0</v>
      </c>
      <c r="AJ449" s="699">
        <f>IF(ISNUMBER(Producción_Agricola[[#This Row],[Fecha Financiero]])=TRUE,YEAR(Producción_Agricola[[#This Row],[Fecha Financiero]]),0)</f>
        <v>0</v>
      </c>
      <c r="AK449" s="704">
        <f>SUMPRODUCT((Producción_Agricola[[#This Row],[Mes Financiero]]=Tipo_Cambio[Mes])*(Producción_Agricola[[#This Row],[Año Financiero]]=Tipo_Cambio[Año])*(Tipo_Cambio[$/U$S]))</f>
        <v>0</v>
      </c>
      <c r="AL449" s="704">
        <f>SUMPRODUCT((Producción_Agricola[[#This Row],[Mes Financiero]]=Tipo_Cambio[Mes])*(Producción_Agricola[[#This Row],[Año Financiero]]=Tipo_Cambio[Año])*(Tipo_Cambio[Actualización]))</f>
        <v>0</v>
      </c>
      <c r="AM449" s="709">
        <f>IFERROR(Producción_Agricola[[#This Row],[Económico $Corrientes]]/Producción_Agricola[[#This Row],[Superficie]],0)</f>
        <v>0</v>
      </c>
      <c r="AN449" s="712">
        <f>IFERROR(Producción_Agricola[[#This Row],[Económico $Constantes]]/Producción_Agricola[[#This Row],[Superficie]],0)</f>
        <v>0</v>
      </c>
      <c r="AO449" s="712">
        <f>IFERROR(Producción_Agricola[[#This Row],[Económico U$S Dólares]]/Producción_Agricola[[#This Row],[Superficie]],0)</f>
        <v>0</v>
      </c>
      <c r="AP449" s="711">
        <f>IF(Económico!$F$4=0,0,Producción_Agricola[[#This Row],[Centro de Costo]])</f>
        <v>0</v>
      </c>
      <c r="AQ449" s="512"/>
      <c r="AR449" s="513"/>
      <c r="AS449"/>
    </row>
    <row r="450" spans="1:45" x14ac:dyDescent="0.25">
      <c r="A450" s="509"/>
      <c r="B450" s="494"/>
      <c r="C450" s="509"/>
      <c r="D450" s="478"/>
      <c r="E450" s="478"/>
      <c r="F450" s="668">
        <f t="shared" si="62"/>
        <v>0</v>
      </c>
      <c r="G450" s="673">
        <f t="shared" si="63"/>
        <v>0</v>
      </c>
      <c r="H450" s="673">
        <f t="shared" si="64"/>
        <v>0</v>
      </c>
      <c r="I450" s="675">
        <f>IFERROR(INDEX(Tabla8[],MATCH(Producción_Agricola[[#This Row],[Unidad de Negocio]],Tabla8[Unidades de Negocio],0),2),0)</f>
        <v>0</v>
      </c>
      <c r="J45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50" s="488"/>
      <c r="L450" s="482"/>
      <c r="M450" s="483"/>
      <c r="N450" s="484"/>
      <c r="O450" s="690">
        <f>Producción_Agricola[[#This Row],[Superficie]]*Producción_Agricola[[#This Row],[Cantidad]]</f>
        <v>0</v>
      </c>
      <c r="P450" s="482"/>
      <c r="Q450" s="484"/>
      <c r="R450" s="485"/>
      <c r="S45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50" s="695">
        <f>IFERROR(Producción_Agricola[[#This Row],[Económico $Corrientes]]/Producción_Agricola[[#This Row],[Indexación Económico]],0)</f>
        <v>0</v>
      </c>
      <c r="U45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5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50" s="695">
        <f>IFERROR(Producción_Agricola[[#This Row],[Financiero $Corrientes]]/Producción_Agricola[[#This Row],[Indexación Financiero]],0)</f>
        <v>0</v>
      </c>
      <c r="X45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5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50" s="699">
        <f>IFERROR(Producción_Agricola[[#This Row],[Intereses $Corrientes]]/Producción_Agricola[[#This Row],[Indexación Financiero]],0)</f>
        <v>0</v>
      </c>
      <c r="AA45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50" s="701">
        <f>IFERROR(INDEX(Produccion_Agricola_Cuentas[],MATCH(Producción_Agricola[[#This Row],[Cuenta Contable]],Produccion_Agricola_Cuentas[Cuenta Contable],0),2),0)</f>
        <v>0</v>
      </c>
      <c r="AC450" s="702">
        <f>IFERROR(INDEX(Tabla9[],MATCH(Producción_Agricola[[#This Row],[Movimiento]],Tabla9[Movimientos],0),2),0)</f>
        <v>0</v>
      </c>
      <c r="AD450" s="703">
        <f>IFERROR(INDEX(Tabla9[],MATCH(Producción_Agricola[[#This Row],[Movimiento]],Tabla9[Movimientos],0),3),0)</f>
        <v>0</v>
      </c>
      <c r="AE450" s="698">
        <f>IF(Producción_Agricola[[#This Row],[Fecha Económico]]=0,0,MONTH(Producción_Agricola[[#This Row],[Fecha Económico]]))</f>
        <v>0</v>
      </c>
      <c r="AF450" s="699">
        <f>IF(Producción_Agricola[[#This Row],[Fecha Económico]]=0,0,YEAR(Producción_Agricola[[#This Row],[Fecha Económico]]))</f>
        <v>0</v>
      </c>
      <c r="AG450" s="704">
        <f>SUMPRODUCT((Producción_Agricola[[#This Row],[Mes Económico]]=Tipo_Cambio[Mes])*(Producción_Agricola[[#This Row],[Año Económico]]=Tipo_Cambio[Año])*(Tipo_Cambio[$/U$S]))</f>
        <v>0</v>
      </c>
      <c r="AH450" s="703">
        <f>SUMPRODUCT((Producción_Agricola[[#This Row],[Mes Económico]]=Tipo_Cambio[Mes])*(Producción_Agricola[[#This Row],[Año Económico]]=Tipo_Cambio[Año])*(Tipo_Cambio[Actualización]))</f>
        <v>0</v>
      </c>
      <c r="AI450" s="699">
        <f>IF(ISNUMBER(Producción_Agricola[[#This Row],[Fecha Financiero]])=TRUE,MONTH(Producción_Agricola[[#This Row],[Fecha Financiero]]),0)</f>
        <v>0</v>
      </c>
      <c r="AJ450" s="699">
        <f>IF(ISNUMBER(Producción_Agricola[[#This Row],[Fecha Financiero]])=TRUE,YEAR(Producción_Agricola[[#This Row],[Fecha Financiero]]),0)</f>
        <v>0</v>
      </c>
      <c r="AK450" s="704">
        <f>SUMPRODUCT((Producción_Agricola[[#This Row],[Mes Financiero]]=Tipo_Cambio[Mes])*(Producción_Agricola[[#This Row],[Año Financiero]]=Tipo_Cambio[Año])*(Tipo_Cambio[$/U$S]))</f>
        <v>0</v>
      </c>
      <c r="AL450" s="704">
        <f>SUMPRODUCT((Producción_Agricola[[#This Row],[Mes Financiero]]=Tipo_Cambio[Mes])*(Producción_Agricola[[#This Row],[Año Financiero]]=Tipo_Cambio[Año])*(Tipo_Cambio[Actualización]))</f>
        <v>0</v>
      </c>
      <c r="AM450" s="709">
        <f>IFERROR(Producción_Agricola[[#This Row],[Económico $Corrientes]]/Producción_Agricola[[#This Row],[Superficie]],0)</f>
        <v>0</v>
      </c>
      <c r="AN450" s="712">
        <f>IFERROR(Producción_Agricola[[#This Row],[Económico $Constantes]]/Producción_Agricola[[#This Row],[Superficie]],0)</f>
        <v>0</v>
      </c>
      <c r="AO450" s="712">
        <f>IFERROR(Producción_Agricola[[#This Row],[Económico U$S Dólares]]/Producción_Agricola[[#This Row],[Superficie]],0)</f>
        <v>0</v>
      </c>
      <c r="AP450" s="711">
        <f>IF(Económico!$F$4=0,0,Producción_Agricola[[#This Row],[Centro de Costo]])</f>
        <v>0</v>
      </c>
      <c r="AQ450" s="512"/>
      <c r="AR450" s="513"/>
      <c r="AS450"/>
    </row>
    <row r="451" spans="1:45" x14ac:dyDescent="0.25">
      <c r="A451" s="509"/>
      <c r="B451" s="494"/>
      <c r="C451" s="509"/>
      <c r="D451" s="478"/>
      <c r="E451" s="478"/>
      <c r="F451" s="668">
        <f t="shared" si="62"/>
        <v>0</v>
      </c>
      <c r="G451" s="673">
        <f t="shared" si="63"/>
        <v>0</v>
      </c>
      <c r="H451" s="673">
        <f t="shared" si="64"/>
        <v>0</v>
      </c>
      <c r="I451" s="675">
        <f>IFERROR(INDEX(Tabla8[],MATCH(Producción_Agricola[[#This Row],[Unidad de Negocio]],Tabla8[Unidades de Negocio],0),2),0)</f>
        <v>0</v>
      </c>
      <c r="J45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51" s="488"/>
      <c r="L451" s="482"/>
      <c r="M451" s="483"/>
      <c r="N451" s="484"/>
      <c r="O451" s="690">
        <f>Producción_Agricola[[#This Row],[Superficie]]*Producción_Agricola[[#This Row],[Cantidad]]</f>
        <v>0</v>
      </c>
      <c r="P451" s="482"/>
      <c r="Q451" s="484"/>
      <c r="R451" s="485"/>
      <c r="S45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51" s="695">
        <f>IFERROR(Producción_Agricola[[#This Row],[Económico $Corrientes]]/Producción_Agricola[[#This Row],[Indexación Económico]],0)</f>
        <v>0</v>
      </c>
      <c r="U45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5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51" s="695">
        <f>IFERROR(Producción_Agricola[[#This Row],[Financiero $Corrientes]]/Producción_Agricola[[#This Row],[Indexación Financiero]],0)</f>
        <v>0</v>
      </c>
      <c r="X45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5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51" s="699">
        <f>IFERROR(Producción_Agricola[[#This Row],[Intereses $Corrientes]]/Producción_Agricola[[#This Row],[Indexación Financiero]],0)</f>
        <v>0</v>
      </c>
      <c r="AA45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51" s="701">
        <f>IFERROR(INDEX(Produccion_Agricola_Cuentas[],MATCH(Producción_Agricola[[#This Row],[Cuenta Contable]],Produccion_Agricola_Cuentas[Cuenta Contable],0),2),0)</f>
        <v>0</v>
      </c>
      <c r="AC451" s="702">
        <f>IFERROR(INDEX(Tabla9[],MATCH(Producción_Agricola[[#This Row],[Movimiento]],Tabla9[Movimientos],0),2),0)</f>
        <v>0</v>
      </c>
      <c r="AD451" s="703">
        <f>IFERROR(INDEX(Tabla9[],MATCH(Producción_Agricola[[#This Row],[Movimiento]],Tabla9[Movimientos],0),3),0)</f>
        <v>0</v>
      </c>
      <c r="AE451" s="698">
        <f>IF(Producción_Agricola[[#This Row],[Fecha Económico]]=0,0,MONTH(Producción_Agricola[[#This Row],[Fecha Económico]]))</f>
        <v>0</v>
      </c>
      <c r="AF451" s="699">
        <f>IF(Producción_Agricola[[#This Row],[Fecha Económico]]=0,0,YEAR(Producción_Agricola[[#This Row],[Fecha Económico]]))</f>
        <v>0</v>
      </c>
      <c r="AG451" s="704">
        <f>SUMPRODUCT((Producción_Agricola[[#This Row],[Mes Económico]]=Tipo_Cambio[Mes])*(Producción_Agricola[[#This Row],[Año Económico]]=Tipo_Cambio[Año])*(Tipo_Cambio[$/U$S]))</f>
        <v>0</v>
      </c>
      <c r="AH451" s="703">
        <f>SUMPRODUCT((Producción_Agricola[[#This Row],[Mes Económico]]=Tipo_Cambio[Mes])*(Producción_Agricola[[#This Row],[Año Económico]]=Tipo_Cambio[Año])*(Tipo_Cambio[Actualización]))</f>
        <v>0</v>
      </c>
      <c r="AI451" s="699">
        <f>IF(ISNUMBER(Producción_Agricola[[#This Row],[Fecha Financiero]])=TRUE,MONTH(Producción_Agricola[[#This Row],[Fecha Financiero]]),0)</f>
        <v>0</v>
      </c>
      <c r="AJ451" s="699">
        <f>IF(ISNUMBER(Producción_Agricola[[#This Row],[Fecha Financiero]])=TRUE,YEAR(Producción_Agricola[[#This Row],[Fecha Financiero]]),0)</f>
        <v>0</v>
      </c>
      <c r="AK451" s="704">
        <f>SUMPRODUCT((Producción_Agricola[[#This Row],[Mes Financiero]]=Tipo_Cambio[Mes])*(Producción_Agricola[[#This Row],[Año Financiero]]=Tipo_Cambio[Año])*(Tipo_Cambio[$/U$S]))</f>
        <v>0</v>
      </c>
      <c r="AL451" s="704">
        <f>SUMPRODUCT((Producción_Agricola[[#This Row],[Mes Financiero]]=Tipo_Cambio[Mes])*(Producción_Agricola[[#This Row],[Año Financiero]]=Tipo_Cambio[Año])*(Tipo_Cambio[Actualización]))</f>
        <v>0</v>
      </c>
      <c r="AM451" s="709">
        <f>IFERROR(Producción_Agricola[[#This Row],[Económico $Corrientes]]/Producción_Agricola[[#This Row],[Superficie]],0)</f>
        <v>0</v>
      </c>
      <c r="AN451" s="712">
        <f>IFERROR(Producción_Agricola[[#This Row],[Económico $Constantes]]/Producción_Agricola[[#This Row],[Superficie]],0)</f>
        <v>0</v>
      </c>
      <c r="AO451" s="712">
        <f>IFERROR(Producción_Agricola[[#This Row],[Económico U$S Dólares]]/Producción_Agricola[[#This Row],[Superficie]],0)</f>
        <v>0</v>
      </c>
      <c r="AP451" s="711">
        <f>IF(Económico!$F$4=0,0,Producción_Agricola[[#This Row],[Centro de Costo]])</f>
        <v>0</v>
      </c>
      <c r="AQ451" s="512"/>
      <c r="AR451" s="513"/>
      <c r="AS451"/>
    </row>
    <row r="452" spans="1:45" x14ac:dyDescent="0.25">
      <c r="A452" s="509"/>
      <c r="B452" s="494"/>
      <c r="C452" s="509"/>
      <c r="D452" s="478"/>
      <c r="E452" s="478"/>
      <c r="F452" s="668">
        <f t="shared" si="62"/>
        <v>0</v>
      </c>
      <c r="G452" s="673">
        <f t="shared" si="63"/>
        <v>0</v>
      </c>
      <c r="H452" s="673">
        <f t="shared" si="64"/>
        <v>0</v>
      </c>
      <c r="I452" s="675">
        <f>IFERROR(INDEX(Tabla8[],MATCH(Producción_Agricola[[#This Row],[Unidad de Negocio]],Tabla8[Unidades de Negocio],0),2),0)</f>
        <v>0</v>
      </c>
      <c r="J45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52" s="488"/>
      <c r="L452" s="482"/>
      <c r="M452" s="483"/>
      <c r="N452" s="484"/>
      <c r="O452" s="690">
        <f>Producción_Agricola[[#This Row],[Superficie]]*Producción_Agricola[[#This Row],[Cantidad]]</f>
        <v>0</v>
      </c>
      <c r="P452" s="482"/>
      <c r="Q452" s="484"/>
      <c r="R452" s="485"/>
      <c r="S45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52" s="695">
        <f>IFERROR(Producción_Agricola[[#This Row],[Económico $Corrientes]]/Producción_Agricola[[#This Row],[Indexación Económico]],0)</f>
        <v>0</v>
      </c>
      <c r="U45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5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52" s="695">
        <f>IFERROR(Producción_Agricola[[#This Row],[Financiero $Corrientes]]/Producción_Agricola[[#This Row],[Indexación Financiero]],0)</f>
        <v>0</v>
      </c>
      <c r="X45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5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52" s="699">
        <f>IFERROR(Producción_Agricola[[#This Row],[Intereses $Corrientes]]/Producción_Agricola[[#This Row],[Indexación Financiero]],0)</f>
        <v>0</v>
      </c>
      <c r="AA45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52" s="701">
        <f>IFERROR(INDEX(Produccion_Agricola_Cuentas[],MATCH(Producción_Agricola[[#This Row],[Cuenta Contable]],Produccion_Agricola_Cuentas[Cuenta Contable],0),2),0)</f>
        <v>0</v>
      </c>
      <c r="AC452" s="702">
        <f>IFERROR(INDEX(Tabla9[],MATCH(Producción_Agricola[[#This Row],[Movimiento]],Tabla9[Movimientos],0),2),0)</f>
        <v>0</v>
      </c>
      <c r="AD452" s="703">
        <f>IFERROR(INDEX(Tabla9[],MATCH(Producción_Agricola[[#This Row],[Movimiento]],Tabla9[Movimientos],0),3),0)</f>
        <v>0</v>
      </c>
      <c r="AE452" s="698">
        <f>IF(Producción_Agricola[[#This Row],[Fecha Económico]]=0,0,MONTH(Producción_Agricola[[#This Row],[Fecha Económico]]))</f>
        <v>0</v>
      </c>
      <c r="AF452" s="699">
        <f>IF(Producción_Agricola[[#This Row],[Fecha Económico]]=0,0,YEAR(Producción_Agricola[[#This Row],[Fecha Económico]]))</f>
        <v>0</v>
      </c>
      <c r="AG452" s="704">
        <f>SUMPRODUCT((Producción_Agricola[[#This Row],[Mes Económico]]=Tipo_Cambio[Mes])*(Producción_Agricola[[#This Row],[Año Económico]]=Tipo_Cambio[Año])*(Tipo_Cambio[$/U$S]))</f>
        <v>0</v>
      </c>
      <c r="AH452" s="703">
        <f>SUMPRODUCT((Producción_Agricola[[#This Row],[Mes Económico]]=Tipo_Cambio[Mes])*(Producción_Agricola[[#This Row],[Año Económico]]=Tipo_Cambio[Año])*(Tipo_Cambio[Actualización]))</f>
        <v>0</v>
      </c>
      <c r="AI452" s="699">
        <f>IF(ISNUMBER(Producción_Agricola[[#This Row],[Fecha Financiero]])=TRUE,MONTH(Producción_Agricola[[#This Row],[Fecha Financiero]]),0)</f>
        <v>0</v>
      </c>
      <c r="AJ452" s="699">
        <f>IF(ISNUMBER(Producción_Agricola[[#This Row],[Fecha Financiero]])=TRUE,YEAR(Producción_Agricola[[#This Row],[Fecha Financiero]]),0)</f>
        <v>0</v>
      </c>
      <c r="AK452" s="704">
        <f>SUMPRODUCT((Producción_Agricola[[#This Row],[Mes Financiero]]=Tipo_Cambio[Mes])*(Producción_Agricola[[#This Row],[Año Financiero]]=Tipo_Cambio[Año])*(Tipo_Cambio[$/U$S]))</f>
        <v>0</v>
      </c>
      <c r="AL452" s="704">
        <f>SUMPRODUCT((Producción_Agricola[[#This Row],[Mes Financiero]]=Tipo_Cambio[Mes])*(Producción_Agricola[[#This Row],[Año Financiero]]=Tipo_Cambio[Año])*(Tipo_Cambio[Actualización]))</f>
        <v>0</v>
      </c>
      <c r="AM452" s="709">
        <f>IFERROR(Producción_Agricola[[#This Row],[Económico $Corrientes]]/Producción_Agricola[[#This Row],[Superficie]],0)</f>
        <v>0</v>
      </c>
      <c r="AN452" s="712">
        <f>IFERROR(Producción_Agricola[[#This Row],[Económico $Constantes]]/Producción_Agricola[[#This Row],[Superficie]],0)</f>
        <v>0</v>
      </c>
      <c r="AO452" s="712">
        <f>IFERROR(Producción_Agricola[[#This Row],[Económico U$S Dólares]]/Producción_Agricola[[#This Row],[Superficie]],0)</f>
        <v>0</v>
      </c>
      <c r="AP452" s="711">
        <f>IF(Económico!$F$4=0,0,Producción_Agricola[[#This Row],[Centro de Costo]])</f>
        <v>0</v>
      </c>
      <c r="AQ452" s="512"/>
      <c r="AR452" s="513"/>
      <c r="AS452"/>
    </row>
    <row r="453" spans="1:45" x14ac:dyDescent="0.25">
      <c r="A453" s="509"/>
      <c r="B453" s="494"/>
      <c r="C453" s="509"/>
      <c r="D453" s="478"/>
      <c r="E453" s="478"/>
      <c r="F453" s="668">
        <f t="shared" si="62"/>
        <v>0</v>
      </c>
      <c r="G453" s="673">
        <f t="shared" si="63"/>
        <v>0</v>
      </c>
      <c r="H453" s="673">
        <f t="shared" si="64"/>
        <v>0</v>
      </c>
      <c r="I453" s="675">
        <f>IFERROR(INDEX(Tabla8[],MATCH(Producción_Agricola[[#This Row],[Unidad de Negocio]],Tabla8[Unidades de Negocio],0),2),0)</f>
        <v>0</v>
      </c>
      <c r="J45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53" s="488"/>
      <c r="L453" s="482"/>
      <c r="M453" s="483"/>
      <c r="N453" s="484"/>
      <c r="O453" s="690">
        <f>Producción_Agricola[[#This Row],[Superficie]]*Producción_Agricola[[#This Row],[Cantidad]]</f>
        <v>0</v>
      </c>
      <c r="P453" s="482"/>
      <c r="Q453" s="484"/>
      <c r="R453" s="485"/>
      <c r="S45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53" s="695">
        <f>IFERROR(Producción_Agricola[[#This Row],[Económico $Corrientes]]/Producción_Agricola[[#This Row],[Indexación Económico]],0)</f>
        <v>0</v>
      </c>
      <c r="U45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5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53" s="695">
        <f>IFERROR(Producción_Agricola[[#This Row],[Financiero $Corrientes]]/Producción_Agricola[[#This Row],[Indexación Financiero]],0)</f>
        <v>0</v>
      </c>
      <c r="X45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5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53" s="699">
        <f>IFERROR(Producción_Agricola[[#This Row],[Intereses $Corrientes]]/Producción_Agricola[[#This Row],[Indexación Financiero]],0)</f>
        <v>0</v>
      </c>
      <c r="AA45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53" s="701">
        <f>IFERROR(INDEX(Produccion_Agricola_Cuentas[],MATCH(Producción_Agricola[[#This Row],[Cuenta Contable]],Produccion_Agricola_Cuentas[Cuenta Contable],0),2),0)</f>
        <v>0</v>
      </c>
      <c r="AC453" s="702">
        <f>IFERROR(INDEX(Tabla9[],MATCH(Producción_Agricola[[#This Row],[Movimiento]],Tabla9[Movimientos],0),2),0)</f>
        <v>0</v>
      </c>
      <c r="AD453" s="703">
        <f>IFERROR(INDEX(Tabla9[],MATCH(Producción_Agricola[[#This Row],[Movimiento]],Tabla9[Movimientos],0),3),0)</f>
        <v>0</v>
      </c>
      <c r="AE453" s="698">
        <f>IF(Producción_Agricola[[#This Row],[Fecha Económico]]=0,0,MONTH(Producción_Agricola[[#This Row],[Fecha Económico]]))</f>
        <v>0</v>
      </c>
      <c r="AF453" s="699">
        <f>IF(Producción_Agricola[[#This Row],[Fecha Económico]]=0,0,YEAR(Producción_Agricola[[#This Row],[Fecha Económico]]))</f>
        <v>0</v>
      </c>
      <c r="AG453" s="704">
        <f>SUMPRODUCT((Producción_Agricola[[#This Row],[Mes Económico]]=Tipo_Cambio[Mes])*(Producción_Agricola[[#This Row],[Año Económico]]=Tipo_Cambio[Año])*(Tipo_Cambio[$/U$S]))</f>
        <v>0</v>
      </c>
      <c r="AH453" s="703">
        <f>SUMPRODUCT((Producción_Agricola[[#This Row],[Mes Económico]]=Tipo_Cambio[Mes])*(Producción_Agricola[[#This Row],[Año Económico]]=Tipo_Cambio[Año])*(Tipo_Cambio[Actualización]))</f>
        <v>0</v>
      </c>
      <c r="AI453" s="699">
        <f>IF(ISNUMBER(Producción_Agricola[[#This Row],[Fecha Financiero]])=TRUE,MONTH(Producción_Agricola[[#This Row],[Fecha Financiero]]),0)</f>
        <v>0</v>
      </c>
      <c r="AJ453" s="699">
        <f>IF(ISNUMBER(Producción_Agricola[[#This Row],[Fecha Financiero]])=TRUE,YEAR(Producción_Agricola[[#This Row],[Fecha Financiero]]),0)</f>
        <v>0</v>
      </c>
      <c r="AK453" s="704">
        <f>SUMPRODUCT((Producción_Agricola[[#This Row],[Mes Financiero]]=Tipo_Cambio[Mes])*(Producción_Agricola[[#This Row],[Año Financiero]]=Tipo_Cambio[Año])*(Tipo_Cambio[$/U$S]))</f>
        <v>0</v>
      </c>
      <c r="AL453" s="704">
        <f>SUMPRODUCT((Producción_Agricola[[#This Row],[Mes Financiero]]=Tipo_Cambio[Mes])*(Producción_Agricola[[#This Row],[Año Financiero]]=Tipo_Cambio[Año])*(Tipo_Cambio[Actualización]))</f>
        <v>0</v>
      </c>
      <c r="AM453" s="709">
        <f>IFERROR(Producción_Agricola[[#This Row],[Económico $Corrientes]]/Producción_Agricola[[#This Row],[Superficie]],0)</f>
        <v>0</v>
      </c>
      <c r="AN453" s="712">
        <f>IFERROR(Producción_Agricola[[#This Row],[Económico $Constantes]]/Producción_Agricola[[#This Row],[Superficie]],0)</f>
        <v>0</v>
      </c>
      <c r="AO453" s="712">
        <f>IFERROR(Producción_Agricola[[#This Row],[Económico U$S Dólares]]/Producción_Agricola[[#This Row],[Superficie]],0)</f>
        <v>0</v>
      </c>
      <c r="AP453" s="711">
        <f>IF(Económico!$F$4=0,0,Producción_Agricola[[#This Row],[Centro de Costo]])</f>
        <v>0</v>
      </c>
      <c r="AQ453" s="512"/>
      <c r="AR453" s="513"/>
      <c r="AS453"/>
    </row>
    <row r="454" spans="1:45" x14ac:dyDescent="0.25">
      <c r="A454" s="509"/>
      <c r="B454" s="494"/>
      <c r="C454" s="509"/>
      <c r="D454" s="478"/>
      <c r="E454" s="478"/>
      <c r="F454" s="668">
        <f t="shared" si="62"/>
        <v>0</v>
      </c>
      <c r="G454" s="673">
        <f t="shared" si="63"/>
        <v>0</v>
      </c>
      <c r="H454" s="673">
        <f t="shared" si="64"/>
        <v>0</v>
      </c>
      <c r="I454" s="675">
        <f>IFERROR(INDEX(Tabla8[],MATCH(Producción_Agricola[[#This Row],[Unidad de Negocio]],Tabla8[Unidades de Negocio],0),2),0)</f>
        <v>0</v>
      </c>
      <c r="J45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54" s="488"/>
      <c r="L454" s="482"/>
      <c r="M454" s="483"/>
      <c r="N454" s="484"/>
      <c r="O454" s="690">
        <f>Producción_Agricola[[#This Row],[Superficie]]*Producción_Agricola[[#This Row],[Cantidad]]</f>
        <v>0</v>
      </c>
      <c r="P454" s="482"/>
      <c r="Q454" s="484"/>
      <c r="R454" s="485"/>
      <c r="S45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54" s="695">
        <f>IFERROR(Producción_Agricola[[#This Row],[Económico $Corrientes]]/Producción_Agricola[[#This Row],[Indexación Económico]],0)</f>
        <v>0</v>
      </c>
      <c r="U45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5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54" s="695">
        <f>IFERROR(Producción_Agricola[[#This Row],[Financiero $Corrientes]]/Producción_Agricola[[#This Row],[Indexación Financiero]],0)</f>
        <v>0</v>
      </c>
      <c r="X45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5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54" s="699">
        <f>IFERROR(Producción_Agricola[[#This Row],[Intereses $Corrientes]]/Producción_Agricola[[#This Row],[Indexación Financiero]],0)</f>
        <v>0</v>
      </c>
      <c r="AA45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54" s="701">
        <f>IFERROR(INDEX(Produccion_Agricola_Cuentas[],MATCH(Producción_Agricola[[#This Row],[Cuenta Contable]],Produccion_Agricola_Cuentas[Cuenta Contable],0),2),0)</f>
        <v>0</v>
      </c>
      <c r="AC454" s="702">
        <f>IFERROR(INDEX(Tabla9[],MATCH(Producción_Agricola[[#This Row],[Movimiento]],Tabla9[Movimientos],0),2),0)</f>
        <v>0</v>
      </c>
      <c r="AD454" s="703">
        <f>IFERROR(INDEX(Tabla9[],MATCH(Producción_Agricola[[#This Row],[Movimiento]],Tabla9[Movimientos],0),3),0)</f>
        <v>0</v>
      </c>
      <c r="AE454" s="698">
        <f>IF(Producción_Agricola[[#This Row],[Fecha Económico]]=0,0,MONTH(Producción_Agricola[[#This Row],[Fecha Económico]]))</f>
        <v>0</v>
      </c>
      <c r="AF454" s="699">
        <f>IF(Producción_Agricola[[#This Row],[Fecha Económico]]=0,0,YEAR(Producción_Agricola[[#This Row],[Fecha Económico]]))</f>
        <v>0</v>
      </c>
      <c r="AG454" s="704">
        <f>SUMPRODUCT((Producción_Agricola[[#This Row],[Mes Económico]]=Tipo_Cambio[Mes])*(Producción_Agricola[[#This Row],[Año Económico]]=Tipo_Cambio[Año])*(Tipo_Cambio[$/U$S]))</f>
        <v>0</v>
      </c>
      <c r="AH454" s="703">
        <f>SUMPRODUCT((Producción_Agricola[[#This Row],[Mes Económico]]=Tipo_Cambio[Mes])*(Producción_Agricola[[#This Row],[Año Económico]]=Tipo_Cambio[Año])*(Tipo_Cambio[Actualización]))</f>
        <v>0</v>
      </c>
      <c r="AI454" s="699">
        <f>IF(ISNUMBER(Producción_Agricola[[#This Row],[Fecha Financiero]])=TRUE,MONTH(Producción_Agricola[[#This Row],[Fecha Financiero]]),0)</f>
        <v>0</v>
      </c>
      <c r="AJ454" s="699">
        <f>IF(ISNUMBER(Producción_Agricola[[#This Row],[Fecha Financiero]])=TRUE,YEAR(Producción_Agricola[[#This Row],[Fecha Financiero]]),0)</f>
        <v>0</v>
      </c>
      <c r="AK454" s="704">
        <f>SUMPRODUCT((Producción_Agricola[[#This Row],[Mes Financiero]]=Tipo_Cambio[Mes])*(Producción_Agricola[[#This Row],[Año Financiero]]=Tipo_Cambio[Año])*(Tipo_Cambio[$/U$S]))</f>
        <v>0</v>
      </c>
      <c r="AL454" s="704">
        <f>SUMPRODUCT((Producción_Agricola[[#This Row],[Mes Financiero]]=Tipo_Cambio[Mes])*(Producción_Agricola[[#This Row],[Año Financiero]]=Tipo_Cambio[Año])*(Tipo_Cambio[Actualización]))</f>
        <v>0</v>
      </c>
      <c r="AM454" s="709">
        <f>IFERROR(Producción_Agricola[[#This Row],[Económico $Corrientes]]/Producción_Agricola[[#This Row],[Superficie]],0)</f>
        <v>0</v>
      </c>
      <c r="AN454" s="712">
        <f>IFERROR(Producción_Agricola[[#This Row],[Económico $Constantes]]/Producción_Agricola[[#This Row],[Superficie]],0)</f>
        <v>0</v>
      </c>
      <c r="AO454" s="712">
        <f>IFERROR(Producción_Agricola[[#This Row],[Económico U$S Dólares]]/Producción_Agricola[[#This Row],[Superficie]],0)</f>
        <v>0</v>
      </c>
      <c r="AP454" s="711">
        <f>IF(Económico!$F$4=0,0,Producción_Agricola[[#This Row],[Centro de Costo]])</f>
        <v>0</v>
      </c>
      <c r="AQ454" s="512"/>
      <c r="AR454" s="513"/>
      <c r="AS454"/>
    </row>
    <row r="455" spans="1:45" x14ac:dyDescent="0.25">
      <c r="A455" s="509"/>
      <c r="B455" s="494"/>
      <c r="C455" s="509"/>
      <c r="D455" s="478"/>
      <c r="E455" s="478"/>
      <c r="F455" s="668">
        <f t="shared" si="62"/>
        <v>0</v>
      </c>
      <c r="G455" s="673">
        <f t="shared" si="63"/>
        <v>0</v>
      </c>
      <c r="H455" s="673">
        <f t="shared" si="64"/>
        <v>0</v>
      </c>
      <c r="I455" s="675">
        <f>IFERROR(INDEX(Tabla8[],MATCH(Producción_Agricola[[#This Row],[Unidad de Negocio]],Tabla8[Unidades de Negocio],0),2),0)</f>
        <v>0</v>
      </c>
      <c r="J45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55" s="488"/>
      <c r="L455" s="482"/>
      <c r="M455" s="483"/>
      <c r="N455" s="484"/>
      <c r="O455" s="690">
        <f>Producción_Agricola[[#This Row],[Superficie]]*Producción_Agricola[[#This Row],[Cantidad]]</f>
        <v>0</v>
      </c>
      <c r="P455" s="482"/>
      <c r="Q455" s="484"/>
      <c r="R455" s="485"/>
      <c r="S45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55" s="695">
        <f>IFERROR(Producción_Agricola[[#This Row],[Económico $Corrientes]]/Producción_Agricola[[#This Row],[Indexación Económico]],0)</f>
        <v>0</v>
      </c>
      <c r="U45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5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55" s="695">
        <f>IFERROR(Producción_Agricola[[#This Row],[Financiero $Corrientes]]/Producción_Agricola[[#This Row],[Indexación Financiero]],0)</f>
        <v>0</v>
      </c>
      <c r="X45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5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55" s="699">
        <f>IFERROR(Producción_Agricola[[#This Row],[Intereses $Corrientes]]/Producción_Agricola[[#This Row],[Indexación Financiero]],0)</f>
        <v>0</v>
      </c>
      <c r="AA45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55" s="701">
        <f>IFERROR(INDEX(Produccion_Agricola_Cuentas[],MATCH(Producción_Agricola[[#This Row],[Cuenta Contable]],Produccion_Agricola_Cuentas[Cuenta Contable],0),2),0)</f>
        <v>0</v>
      </c>
      <c r="AC455" s="702">
        <f>IFERROR(INDEX(Tabla9[],MATCH(Producción_Agricola[[#This Row],[Movimiento]],Tabla9[Movimientos],0),2),0)</f>
        <v>0</v>
      </c>
      <c r="AD455" s="703">
        <f>IFERROR(INDEX(Tabla9[],MATCH(Producción_Agricola[[#This Row],[Movimiento]],Tabla9[Movimientos],0),3),0)</f>
        <v>0</v>
      </c>
      <c r="AE455" s="698">
        <f>IF(Producción_Agricola[[#This Row],[Fecha Económico]]=0,0,MONTH(Producción_Agricola[[#This Row],[Fecha Económico]]))</f>
        <v>0</v>
      </c>
      <c r="AF455" s="699">
        <f>IF(Producción_Agricola[[#This Row],[Fecha Económico]]=0,0,YEAR(Producción_Agricola[[#This Row],[Fecha Económico]]))</f>
        <v>0</v>
      </c>
      <c r="AG455" s="704">
        <f>SUMPRODUCT((Producción_Agricola[[#This Row],[Mes Económico]]=Tipo_Cambio[Mes])*(Producción_Agricola[[#This Row],[Año Económico]]=Tipo_Cambio[Año])*(Tipo_Cambio[$/U$S]))</f>
        <v>0</v>
      </c>
      <c r="AH455" s="703">
        <f>SUMPRODUCT((Producción_Agricola[[#This Row],[Mes Económico]]=Tipo_Cambio[Mes])*(Producción_Agricola[[#This Row],[Año Económico]]=Tipo_Cambio[Año])*(Tipo_Cambio[Actualización]))</f>
        <v>0</v>
      </c>
      <c r="AI455" s="699">
        <f>IF(ISNUMBER(Producción_Agricola[[#This Row],[Fecha Financiero]])=TRUE,MONTH(Producción_Agricola[[#This Row],[Fecha Financiero]]),0)</f>
        <v>0</v>
      </c>
      <c r="AJ455" s="699">
        <f>IF(ISNUMBER(Producción_Agricola[[#This Row],[Fecha Financiero]])=TRUE,YEAR(Producción_Agricola[[#This Row],[Fecha Financiero]]),0)</f>
        <v>0</v>
      </c>
      <c r="AK455" s="704">
        <f>SUMPRODUCT((Producción_Agricola[[#This Row],[Mes Financiero]]=Tipo_Cambio[Mes])*(Producción_Agricola[[#This Row],[Año Financiero]]=Tipo_Cambio[Año])*(Tipo_Cambio[$/U$S]))</f>
        <v>0</v>
      </c>
      <c r="AL455" s="704">
        <f>SUMPRODUCT((Producción_Agricola[[#This Row],[Mes Financiero]]=Tipo_Cambio[Mes])*(Producción_Agricola[[#This Row],[Año Financiero]]=Tipo_Cambio[Año])*(Tipo_Cambio[Actualización]))</f>
        <v>0</v>
      </c>
      <c r="AM455" s="709">
        <f>IFERROR(Producción_Agricola[[#This Row],[Económico $Corrientes]]/Producción_Agricola[[#This Row],[Superficie]],0)</f>
        <v>0</v>
      </c>
      <c r="AN455" s="712">
        <f>IFERROR(Producción_Agricola[[#This Row],[Económico $Constantes]]/Producción_Agricola[[#This Row],[Superficie]],0)</f>
        <v>0</v>
      </c>
      <c r="AO455" s="712">
        <f>IFERROR(Producción_Agricola[[#This Row],[Económico U$S Dólares]]/Producción_Agricola[[#This Row],[Superficie]],0)</f>
        <v>0</v>
      </c>
      <c r="AP455" s="711">
        <f>IF(Económico!$F$4=0,0,Producción_Agricola[[#This Row],[Centro de Costo]])</f>
        <v>0</v>
      </c>
      <c r="AQ455" s="512"/>
      <c r="AR455" s="513"/>
      <c r="AS455"/>
    </row>
    <row r="456" spans="1:45" x14ac:dyDescent="0.25">
      <c r="A456" s="509"/>
      <c r="B456" s="494"/>
      <c r="C456" s="509"/>
      <c r="D456" s="478"/>
      <c r="E456" s="478"/>
      <c r="F456" s="668">
        <f t="shared" si="62"/>
        <v>0</v>
      </c>
      <c r="G456" s="673">
        <f t="shared" si="63"/>
        <v>0</v>
      </c>
      <c r="H456" s="673">
        <f t="shared" si="64"/>
        <v>0</v>
      </c>
      <c r="I456" s="675">
        <f>IFERROR(INDEX(Tabla8[],MATCH(Producción_Agricola[[#This Row],[Unidad de Negocio]],Tabla8[Unidades de Negocio],0),2),0)</f>
        <v>0</v>
      </c>
      <c r="J45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56" s="488"/>
      <c r="L456" s="482"/>
      <c r="M456" s="483"/>
      <c r="N456" s="484"/>
      <c r="O456" s="690">
        <f>Producción_Agricola[[#This Row],[Superficie]]*Producción_Agricola[[#This Row],[Cantidad]]</f>
        <v>0</v>
      </c>
      <c r="P456" s="482"/>
      <c r="Q456" s="484"/>
      <c r="R456" s="485"/>
      <c r="S45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56" s="695">
        <f>IFERROR(Producción_Agricola[[#This Row],[Económico $Corrientes]]/Producción_Agricola[[#This Row],[Indexación Económico]],0)</f>
        <v>0</v>
      </c>
      <c r="U45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5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56" s="695">
        <f>IFERROR(Producción_Agricola[[#This Row],[Financiero $Corrientes]]/Producción_Agricola[[#This Row],[Indexación Financiero]],0)</f>
        <v>0</v>
      </c>
      <c r="X45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5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56" s="699">
        <f>IFERROR(Producción_Agricola[[#This Row],[Intereses $Corrientes]]/Producción_Agricola[[#This Row],[Indexación Financiero]],0)</f>
        <v>0</v>
      </c>
      <c r="AA45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56" s="701">
        <f>IFERROR(INDEX(Produccion_Agricola_Cuentas[],MATCH(Producción_Agricola[[#This Row],[Cuenta Contable]],Produccion_Agricola_Cuentas[Cuenta Contable],0),2),0)</f>
        <v>0</v>
      </c>
      <c r="AC456" s="702">
        <f>IFERROR(INDEX(Tabla9[],MATCH(Producción_Agricola[[#This Row],[Movimiento]],Tabla9[Movimientos],0),2),0)</f>
        <v>0</v>
      </c>
      <c r="AD456" s="703">
        <f>IFERROR(INDEX(Tabla9[],MATCH(Producción_Agricola[[#This Row],[Movimiento]],Tabla9[Movimientos],0),3),0)</f>
        <v>0</v>
      </c>
      <c r="AE456" s="698">
        <f>IF(Producción_Agricola[[#This Row],[Fecha Económico]]=0,0,MONTH(Producción_Agricola[[#This Row],[Fecha Económico]]))</f>
        <v>0</v>
      </c>
      <c r="AF456" s="699">
        <f>IF(Producción_Agricola[[#This Row],[Fecha Económico]]=0,0,YEAR(Producción_Agricola[[#This Row],[Fecha Económico]]))</f>
        <v>0</v>
      </c>
      <c r="AG456" s="704">
        <f>SUMPRODUCT((Producción_Agricola[[#This Row],[Mes Económico]]=Tipo_Cambio[Mes])*(Producción_Agricola[[#This Row],[Año Económico]]=Tipo_Cambio[Año])*(Tipo_Cambio[$/U$S]))</f>
        <v>0</v>
      </c>
      <c r="AH456" s="703">
        <f>SUMPRODUCT((Producción_Agricola[[#This Row],[Mes Económico]]=Tipo_Cambio[Mes])*(Producción_Agricola[[#This Row],[Año Económico]]=Tipo_Cambio[Año])*(Tipo_Cambio[Actualización]))</f>
        <v>0</v>
      </c>
      <c r="AI456" s="699">
        <f>IF(ISNUMBER(Producción_Agricola[[#This Row],[Fecha Financiero]])=TRUE,MONTH(Producción_Agricola[[#This Row],[Fecha Financiero]]),0)</f>
        <v>0</v>
      </c>
      <c r="AJ456" s="699">
        <f>IF(ISNUMBER(Producción_Agricola[[#This Row],[Fecha Financiero]])=TRUE,YEAR(Producción_Agricola[[#This Row],[Fecha Financiero]]),0)</f>
        <v>0</v>
      </c>
      <c r="AK456" s="704">
        <f>SUMPRODUCT((Producción_Agricola[[#This Row],[Mes Financiero]]=Tipo_Cambio[Mes])*(Producción_Agricola[[#This Row],[Año Financiero]]=Tipo_Cambio[Año])*(Tipo_Cambio[$/U$S]))</f>
        <v>0</v>
      </c>
      <c r="AL456" s="704">
        <f>SUMPRODUCT((Producción_Agricola[[#This Row],[Mes Financiero]]=Tipo_Cambio[Mes])*(Producción_Agricola[[#This Row],[Año Financiero]]=Tipo_Cambio[Año])*(Tipo_Cambio[Actualización]))</f>
        <v>0</v>
      </c>
      <c r="AM456" s="709">
        <f>IFERROR(Producción_Agricola[[#This Row],[Económico $Corrientes]]/Producción_Agricola[[#This Row],[Superficie]],0)</f>
        <v>0</v>
      </c>
      <c r="AN456" s="712">
        <f>IFERROR(Producción_Agricola[[#This Row],[Económico $Constantes]]/Producción_Agricola[[#This Row],[Superficie]],0)</f>
        <v>0</v>
      </c>
      <c r="AO456" s="712">
        <f>IFERROR(Producción_Agricola[[#This Row],[Económico U$S Dólares]]/Producción_Agricola[[#This Row],[Superficie]],0)</f>
        <v>0</v>
      </c>
      <c r="AP456" s="711">
        <f>IF(Económico!$F$4=0,0,Producción_Agricola[[#This Row],[Centro de Costo]])</f>
        <v>0</v>
      </c>
      <c r="AQ456" s="512"/>
      <c r="AR456" s="513"/>
      <c r="AS456"/>
    </row>
    <row r="457" spans="1:45" x14ac:dyDescent="0.25">
      <c r="A457" s="509"/>
      <c r="B457" s="494"/>
      <c r="C457" s="509"/>
      <c r="D457" s="478"/>
      <c r="E457" s="478"/>
      <c r="F457" s="668">
        <f t="shared" si="62"/>
        <v>0</v>
      </c>
      <c r="G457" s="673">
        <f t="shared" si="63"/>
        <v>0</v>
      </c>
      <c r="H457" s="673">
        <f t="shared" si="64"/>
        <v>0</v>
      </c>
      <c r="I457" s="675">
        <f>IFERROR(INDEX(Tabla8[],MATCH(Producción_Agricola[[#This Row],[Unidad de Negocio]],Tabla8[Unidades de Negocio],0),2),0)</f>
        <v>0</v>
      </c>
      <c r="J45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57" s="488"/>
      <c r="L457" s="482"/>
      <c r="M457" s="483"/>
      <c r="N457" s="484"/>
      <c r="O457" s="690">
        <f>Producción_Agricola[[#This Row],[Superficie]]*Producción_Agricola[[#This Row],[Cantidad]]</f>
        <v>0</v>
      </c>
      <c r="P457" s="482"/>
      <c r="Q457" s="484"/>
      <c r="R457" s="485"/>
      <c r="S45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57" s="695">
        <f>IFERROR(Producción_Agricola[[#This Row],[Económico $Corrientes]]/Producción_Agricola[[#This Row],[Indexación Económico]],0)</f>
        <v>0</v>
      </c>
      <c r="U45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5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57" s="695">
        <f>IFERROR(Producción_Agricola[[#This Row],[Financiero $Corrientes]]/Producción_Agricola[[#This Row],[Indexación Financiero]],0)</f>
        <v>0</v>
      </c>
      <c r="X45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5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57" s="699">
        <f>IFERROR(Producción_Agricola[[#This Row],[Intereses $Corrientes]]/Producción_Agricola[[#This Row],[Indexación Financiero]],0)</f>
        <v>0</v>
      </c>
      <c r="AA45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57" s="701">
        <f>IFERROR(INDEX(Produccion_Agricola_Cuentas[],MATCH(Producción_Agricola[[#This Row],[Cuenta Contable]],Produccion_Agricola_Cuentas[Cuenta Contable],0),2),0)</f>
        <v>0</v>
      </c>
      <c r="AC457" s="702">
        <f>IFERROR(INDEX(Tabla9[],MATCH(Producción_Agricola[[#This Row],[Movimiento]],Tabla9[Movimientos],0),2),0)</f>
        <v>0</v>
      </c>
      <c r="AD457" s="703">
        <f>IFERROR(INDEX(Tabla9[],MATCH(Producción_Agricola[[#This Row],[Movimiento]],Tabla9[Movimientos],0),3),0)</f>
        <v>0</v>
      </c>
      <c r="AE457" s="698">
        <f>IF(Producción_Agricola[[#This Row],[Fecha Económico]]=0,0,MONTH(Producción_Agricola[[#This Row],[Fecha Económico]]))</f>
        <v>0</v>
      </c>
      <c r="AF457" s="699">
        <f>IF(Producción_Agricola[[#This Row],[Fecha Económico]]=0,0,YEAR(Producción_Agricola[[#This Row],[Fecha Económico]]))</f>
        <v>0</v>
      </c>
      <c r="AG457" s="704">
        <f>SUMPRODUCT((Producción_Agricola[[#This Row],[Mes Económico]]=Tipo_Cambio[Mes])*(Producción_Agricola[[#This Row],[Año Económico]]=Tipo_Cambio[Año])*(Tipo_Cambio[$/U$S]))</f>
        <v>0</v>
      </c>
      <c r="AH457" s="703">
        <f>SUMPRODUCT((Producción_Agricola[[#This Row],[Mes Económico]]=Tipo_Cambio[Mes])*(Producción_Agricola[[#This Row],[Año Económico]]=Tipo_Cambio[Año])*(Tipo_Cambio[Actualización]))</f>
        <v>0</v>
      </c>
      <c r="AI457" s="699">
        <f>IF(ISNUMBER(Producción_Agricola[[#This Row],[Fecha Financiero]])=TRUE,MONTH(Producción_Agricola[[#This Row],[Fecha Financiero]]),0)</f>
        <v>0</v>
      </c>
      <c r="AJ457" s="699">
        <f>IF(ISNUMBER(Producción_Agricola[[#This Row],[Fecha Financiero]])=TRUE,YEAR(Producción_Agricola[[#This Row],[Fecha Financiero]]),0)</f>
        <v>0</v>
      </c>
      <c r="AK457" s="704">
        <f>SUMPRODUCT((Producción_Agricola[[#This Row],[Mes Financiero]]=Tipo_Cambio[Mes])*(Producción_Agricola[[#This Row],[Año Financiero]]=Tipo_Cambio[Año])*(Tipo_Cambio[$/U$S]))</f>
        <v>0</v>
      </c>
      <c r="AL457" s="704">
        <f>SUMPRODUCT((Producción_Agricola[[#This Row],[Mes Financiero]]=Tipo_Cambio[Mes])*(Producción_Agricola[[#This Row],[Año Financiero]]=Tipo_Cambio[Año])*(Tipo_Cambio[Actualización]))</f>
        <v>0</v>
      </c>
      <c r="AM457" s="709">
        <f>IFERROR(Producción_Agricola[[#This Row],[Económico $Corrientes]]/Producción_Agricola[[#This Row],[Superficie]],0)</f>
        <v>0</v>
      </c>
      <c r="AN457" s="712">
        <f>IFERROR(Producción_Agricola[[#This Row],[Económico $Constantes]]/Producción_Agricola[[#This Row],[Superficie]],0)</f>
        <v>0</v>
      </c>
      <c r="AO457" s="712">
        <f>IFERROR(Producción_Agricola[[#This Row],[Económico U$S Dólares]]/Producción_Agricola[[#This Row],[Superficie]],0)</f>
        <v>0</v>
      </c>
      <c r="AP457" s="711">
        <f>IF(Económico!$F$4=0,0,Producción_Agricola[[#This Row],[Centro de Costo]])</f>
        <v>0</v>
      </c>
      <c r="AQ457" s="512"/>
      <c r="AR457" s="513"/>
      <c r="AS457"/>
    </row>
    <row r="458" spans="1:45" x14ac:dyDescent="0.25">
      <c r="A458" s="509"/>
      <c r="B458" s="494"/>
      <c r="C458" s="509"/>
      <c r="D458" s="478"/>
      <c r="E458" s="478"/>
      <c r="F458" s="668">
        <f t="shared" si="62"/>
        <v>0</v>
      </c>
      <c r="G458" s="673">
        <f t="shared" si="63"/>
        <v>0</v>
      </c>
      <c r="H458" s="673">
        <f t="shared" si="64"/>
        <v>0</v>
      </c>
      <c r="I458" s="675">
        <f>IFERROR(INDEX(Tabla8[],MATCH(Producción_Agricola[[#This Row],[Unidad de Negocio]],Tabla8[Unidades de Negocio],0),2),0)</f>
        <v>0</v>
      </c>
      <c r="J45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58" s="488"/>
      <c r="L458" s="482"/>
      <c r="M458" s="483"/>
      <c r="N458" s="484"/>
      <c r="O458" s="690">
        <f>Producción_Agricola[[#This Row],[Superficie]]*Producción_Agricola[[#This Row],[Cantidad]]</f>
        <v>0</v>
      </c>
      <c r="P458" s="482"/>
      <c r="Q458" s="484"/>
      <c r="R458" s="485"/>
      <c r="S45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58" s="695">
        <f>IFERROR(Producción_Agricola[[#This Row],[Económico $Corrientes]]/Producción_Agricola[[#This Row],[Indexación Económico]],0)</f>
        <v>0</v>
      </c>
      <c r="U45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5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58" s="695">
        <f>IFERROR(Producción_Agricola[[#This Row],[Financiero $Corrientes]]/Producción_Agricola[[#This Row],[Indexación Financiero]],0)</f>
        <v>0</v>
      </c>
      <c r="X45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5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58" s="699">
        <f>IFERROR(Producción_Agricola[[#This Row],[Intereses $Corrientes]]/Producción_Agricola[[#This Row],[Indexación Financiero]],0)</f>
        <v>0</v>
      </c>
      <c r="AA45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58" s="701">
        <f>IFERROR(INDEX(Produccion_Agricola_Cuentas[],MATCH(Producción_Agricola[[#This Row],[Cuenta Contable]],Produccion_Agricola_Cuentas[Cuenta Contable],0),2),0)</f>
        <v>0</v>
      </c>
      <c r="AC458" s="702">
        <f>IFERROR(INDEX(Tabla9[],MATCH(Producción_Agricola[[#This Row],[Movimiento]],Tabla9[Movimientos],0),2),0)</f>
        <v>0</v>
      </c>
      <c r="AD458" s="703">
        <f>IFERROR(INDEX(Tabla9[],MATCH(Producción_Agricola[[#This Row],[Movimiento]],Tabla9[Movimientos],0),3),0)</f>
        <v>0</v>
      </c>
      <c r="AE458" s="698">
        <f>IF(Producción_Agricola[[#This Row],[Fecha Económico]]=0,0,MONTH(Producción_Agricola[[#This Row],[Fecha Económico]]))</f>
        <v>0</v>
      </c>
      <c r="AF458" s="699">
        <f>IF(Producción_Agricola[[#This Row],[Fecha Económico]]=0,0,YEAR(Producción_Agricola[[#This Row],[Fecha Económico]]))</f>
        <v>0</v>
      </c>
      <c r="AG458" s="704">
        <f>SUMPRODUCT((Producción_Agricola[[#This Row],[Mes Económico]]=Tipo_Cambio[Mes])*(Producción_Agricola[[#This Row],[Año Económico]]=Tipo_Cambio[Año])*(Tipo_Cambio[$/U$S]))</f>
        <v>0</v>
      </c>
      <c r="AH458" s="703">
        <f>SUMPRODUCT((Producción_Agricola[[#This Row],[Mes Económico]]=Tipo_Cambio[Mes])*(Producción_Agricola[[#This Row],[Año Económico]]=Tipo_Cambio[Año])*(Tipo_Cambio[Actualización]))</f>
        <v>0</v>
      </c>
      <c r="AI458" s="699">
        <f>IF(ISNUMBER(Producción_Agricola[[#This Row],[Fecha Financiero]])=TRUE,MONTH(Producción_Agricola[[#This Row],[Fecha Financiero]]),0)</f>
        <v>0</v>
      </c>
      <c r="AJ458" s="699">
        <f>IF(ISNUMBER(Producción_Agricola[[#This Row],[Fecha Financiero]])=TRUE,YEAR(Producción_Agricola[[#This Row],[Fecha Financiero]]),0)</f>
        <v>0</v>
      </c>
      <c r="AK458" s="704">
        <f>SUMPRODUCT((Producción_Agricola[[#This Row],[Mes Financiero]]=Tipo_Cambio[Mes])*(Producción_Agricola[[#This Row],[Año Financiero]]=Tipo_Cambio[Año])*(Tipo_Cambio[$/U$S]))</f>
        <v>0</v>
      </c>
      <c r="AL458" s="704">
        <f>SUMPRODUCT((Producción_Agricola[[#This Row],[Mes Financiero]]=Tipo_Cambio[Mes])*(Producción_Agricola[[#This Row],[Año Financiero]]=Tipo_Cambio[Año])*(Tipo_Cambio[Actualización]))</f>
        <v>0</v>
      </c>
      <c r="AM458" s="709">
        <f>IFERROR(Producción_Agricola[[#This Row],[Económico $Corrientes]]/Producción_Agricola[[#This Row],[Superficie]],0)</f>
        <v>0</v>
      </c>
      <c r="AN458" s="712">
        <f>IFERROR(Producción_Agricola[[#This Row],[Económico $Constantes]]/Producción_Agricola[[#This Row],[Superficie]],0)</f>
        <v>0</v>
      </c>
      <c r="AO458" s="712">
        <f>IFERROR(Producción_Agricola[[#This Row],[Económico U$S Dólares]]/Producción_Agricola[[#This Row],[Superficie]],0)</f>
        <v>0</v>
      </c>
      <c r="AP458" s="711">
        <f>IF(Económico!$F$4=0,0,Producción_Agricola[[#This Row],[Centro de Costo]])</f>
        <v>0</v>
      </c>
      <c r="AQ458" s="512"/>
      <c r="AR458" s="513"/>
      <c r="AS458"/>
    </row>
    <row r="459" spans="1:45" x14ac:dyDescent="0.25">
      <c r="A459" s="509"/>
      <c r="B459" s="494"/>
      <c r="C459" s="509"/>
      <c r="D459" s="478"/>
      <c r="E459" s="478"/>
      <c r="F459" s="668">
        <f t="shared" si="62"/>
        <v>0</v>
      </c>
      <c r="G459" s="673">
        <f t="shared" si="63"/>
        <v>0</v>
      </c>
      <c r="H459" s="673">
        <f t="shared" si="64"/>
        <v>0</v>
      </c>
      <c r="I459" s="675">
        <f>IFERROR(INDEX(Tabla8[],MATCH(Producción_Agricola[[#This Row],[Unidad de Negocio]],Tabla8[Unidades de Negocio],0),2),0)</f>
        <v>0</v>
      </c>
      <c r="J45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59" s="488"/>
      <c r="L459" s="482"/>
      <c r="M459" s="483"/>
      <c r="N459" s="484"/>
      <c r="O459" s="690">
        <f>Producción_Agricola[[#This Row],[Superficie]]*Producción_Agricola[[#This Row],[Cantidad]]</f>
        <v>0</v>
      </c>
      <c r="P459" s="482"/>
      <c r="Q459" s="484"/>
      <c r="R459" s="485"/>
      <c r="S45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59" s="695">
        <f>IFERROR(Producción_Agricola[[#This Row],[Económico $Corrientes]]/Producción_Agricola[[#This Row],[Indexación Económico]],0)</f>
        <v>0</v>
      </c>
      <c r="U45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5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59" s="695">
        <f>IFERROR(Producción_Agricola[[#This Row],[Financiero $Corrientes]]/Producción_Agricola[[#This Row],[Indexación Financiero]],0)</f>
        <v>0</v>
      </c>
      <c r="X45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5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59" s="699">
        <f>IFERROR(Producción_Agricola[[#This Row],[Intereses $Corrientes]]/Producción_Agricola[[#This Row],[Indexación Financiero]],0)</f>
        <v>0</v>
      </c>
      <c r="AA45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59" s="701">
        <f>IFERROR(INDEX(Produccion_Agricola_Cuentas[],MATCH(Producción_Agricola[[#This Row],[Cuenta Contable]],Produccion_Agricola_Cuentas[Cuenta Contable],0),2),0)</f>
        <v>0</v>
      </c>
      <c r="AC459" s="702">
        <f>IFERROR(INDEX(Tabla9[],MATCH(Producción_Agricola[[#This Row],[Movimiento]],Tabla9[Movimientos],0),2),0)</f>
        <v>0</v>
      </c>
      <c r="AD459" s="703">
        <f>IFERROR(INDEX(Tabla9[],MATCH(Producción_Agricola[[#This Row],[Movimiento]],Tabla9[Movimientos],0),3),0)</f>
        <v>0</v>
      </c>
      <c r="AE459" s="698">
        <f>IF(Producción_Agricola[[#This Row],[Fecha Económico]]=0,0,MONTH(Producción_Agricola[[#This Row],[Fecha Económico]]))</f>
        <v>0</v>
      </c>
      <c r="AF459" s="699">
        <f>IF(Producción_Agricola[[#This Row],[Fecha Económico]]=0,0,YEAR(Producción_Agricola[[#This Row],[Fecha Económico]]))</f>
        <v>0</v>
      </c>
      <c r="AG459" s="704">
        <f>SUMPRODUCT((Producción_Agricola[[#This Row],[Mes Económico]]=Tipo_Cambio[Mes])*(Producción_Agricola[[#This Row],[Año Económico]]=Tipo_Cambio[Año])*(Tipo_Cambio[$/U$S]))</f>
        <v>0</v>
      </c>
      <c r="AH459" s="703">
        <f>SUMPRODUCT((Producción_Agricola[[#This Row],[Mes Económico]]=Tipo_Cambio[Mes])*(Producción_Agricola[[#This Row],[Año Económico]]=Tipo_Cambio[Año])*(Tipo_Cambio[Actualización]))</f>
        <v>0</v>
      </c>
      <c r="AI459" s="699">
        <f>IF(ISNUMBER(Producción_Agricola[[#This Row],[Fecha Financiero]])=TRUE,MONTH(Producción_Agricola[[#This Row],[Fecha Financiero]]),0)</f>
        <v>0</v>
      </c>
      <c r="AJ459" s="699">
        <f>IF(ISNUMBER(Producción_Agricola[[#This Row],[Fecha Financiero]])=TRUE,YEAR(Producción_Agricola[[#This Row],[Fecha Financiero]]),0)</f>
        <v>0</v>
      </c>
      <c r="AK459" s="704">
        <f>SUMPRODUCT((Producción_Agricola[[#This Row],[Mes Financiero]]=Tipo_Cambio[Mes])*(Producción_Agricola[[#This Row],[Año Financiero]]=Tipo_Cambio[Año])*(Tipo_Cambio[$/U$S]))</f>
        <v>0</v>
      </c>
      <c r="AL459" s="704">
        <f>SUMPRODUCT((Producción_Agricola[[#This Row],[Mes Financiero]]=Tipo_Cambio[Mes])*(Producción_Agricola[[#This Row],[Año Financiero]]=Tipo_Cambio[Año])*(Tipo_Cambio[Actualización]))</f>
        <v>0</v>
      </c>
      <c r="AM459" s="709">
        <f>IFERROR(Producción_Agricola[[#This Row],[Económico $Corrientes]]/Producción_Agricola[[#This Row],[Superficie]],0)</f>
        <v>0</v>
      </c>
      <c r="AN459" s="712">
        <f>IFERROR(Producción_Agricola[[#This Row],[Económico $Constantes]]/Producción_Agricola[[#This Row],[Superficie]],0)</f>
        <v>0</v>
      </c>
      <c r="AO459" s="712">
        <f>IFERROR(Producción_Agricola[[#This Row],[Económico U$S Dólares]]/Producción_Agricola[[#This Row],[Superficie]],0)</f>
        <v>0</v>
      </c>
      <c r="AP459" s="711">
        <f>IF(Económico!$F$4=0,0,Producción_Agricola[[#This Row],[Centro de Costo]])</f>
        <v>0</v>
      </c>
      <c r="AQ459" s="512"/>
      <c r="AR459" s="513"/>
      <c r="AS459"/>
    </row>
    <row r="460" spans="1:45" x14ac:dyDescent="0.25">
      <c r="A460" s="509"/>
      <c r="B460" s="494"/>
      <c r="C460" s="509"/>
      <c r="D460" s="478"/>
      <c r="E460" s="478"/>
      <c r="F460" s="668">
        <f t="shared" si="62"/>
        <v>0</v>
      </c>
      <c r="G460" s="673">
        <f t="shared" si="63"/>
        <v>0</v>
      </c>
      <c r="H460" s="673">
        <f t="shared" si="64"/>
        <v>0</v>
      </c>
      <c r="I460" s="675">
        <f>IFERROR(INDEX(Tabla8[],MATCH(Producción_Agricola[[#This Row],[Unidad de Negocio]],Tabla8[Unidades de Negocio],0),2),0)</f>
        <v>0</v>
      </c>
      <c r="J46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60" s="488"/>
      <c r="L460" s="482"/>
      <c r="M460" s="483"/>
      <c r="N460" s="484"/>
      <c r="O460" s="690">
        <f>Producción_Agricola[[#This Row],[Superficie]]*Producción_Agricola[[#This Row],[Cantidad]]</f>
        <v>0</v>
      </c>
      <c r="P460" s="482"/>
      <c r="Q460" s="484"/>
      <c r="R460" s="485"/>
      <c r="S46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60" s="695">
        <f>IFERROR(Producción_Agricola[[#This Row],[Económico $Corrientes]]/Producción_Agricola[[#This Row],[Indexación Económico]],0)</f>
        <v>0</v>
      </c>
      <c r="U46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6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60" s="695">
        <f>IFERROR(Producción_Agricola[[#This Row],[Financiero $Corrientes]]/Producción_Agricola[[#This Row],[Indexación Financiero]],0)</f>
        <v>0</v>
      </c>
      <c r="X46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6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60" s="699">
        <f>IFERROR(Producción_Agricola[[#This Row],[Intereses $Corrientes]]/Producción_Agricola[[#This Row],[Indexación Financiero]],0)</f>
        <v>0</v>
      </c>
      <c r="AA46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60" s="701">
        <f>IFERROR(INDEX(Produccion_Agricola_Cuentas[],MATCH(Producción_Agricola[[#This Row],[Cuenta Contable]],Produccion_Agricola_Cuentas[Cuenta Contable],0),2),0)</f>
        <v>0</v>
      </c>
      <c r="AC460" s="702">
        <f>IFERROR(INDEX(Tabla9[],MATCH(Producción_Agricola[[#This Row],[Movimiento]],Tabla9[Movimientos],0),2),0)</f>
        <v>0</v>
      </c>
      <c r="AD460" s="703">
        <f>IFERROR(INDEX(Tabla9[],MATCH(Producción_Agricola[[#This Row],[Movimiento]],Tabla9[Movimientos],0),3),0)</f>
        <v>0</v>
      </c>
      <c r="AE460" s="698">
        <f>IF(Producción_Agricola[[#This Row],[Fecha Económico]]=0,0,MONTH(Producción_Agricola[[#This Row],[Fecha Económico]]))</f>
        <v>0</v>
      </c>
      <c r="AF460" s="699">
        <f>IF(Producción_Agricola[[#This Row],[Fecha Económico]]=0,0,YEAR(Producción_Agricola[[#This Row],[Fecha Económico]]))</f>
        <v>0</v>
      </c>
      <c r="AG460" s="704">
        <f>SUMPRODUCT((Producción_Agricola[[#This Row],[Mes Económico]]=Tipo_Cambio[Mes])*(Producción_Agricola[[#This Row],[Año Económico]]=Tipo_Cambio[Año])*(Tipo_Cambio[$/U$S]))</f>
        <v>0</v>
      </c>
      <c r="AH460" s="703">
        <f>SUMPRODUCT((Producción_Agricola[[#This Row],[Mes Económico]]=Tipo_Cambio[Mes])*(Producción_Agricola[[#This Row],[Año Económico]]=Tipo_Cambio[Año])*(Tipo_Cambio[Actualización]))</f>
        <v>0</v>
      </c>
      <c r="AI460" s="699">
        <f>IF(ISNUMBER(Producción_Agricola[[#This Row],[Fecha Financiero]])=TRUE,MONTH(Producción_Agricola[[#This Row],[Fecha Financiero]]),0)</f>
        <v>0</v>
      </c>
      <c r="AJ460" s="699">
        <f>IF(ISNUMBER(Producción_Agricola[[#This Row],[Fecha Financiero]])=TRUE,YEAR(Producción_Agricola[[#This Row],[Fecha Financiero]]),0)</f>
        <v>0</v>
      </c>
      <c r="AK460" s="704">
        <f>SUMPRODUCT((Producción_Agricola[[#This Row],[Mes Financiero]]=Tipo_Cambio[Mes])*(Producción_Agricola[[#This Row],[Año Financiero]]=Tipo_Cambio[Año])*(Tipo_Cambio[$/U$S]))</f>
        <v>0</v>
      </c>
      <c r="AL460" s="704">
        <f>SUMPRODUCT((Producción_Agricola[[#This Row],[Mes Financiero]]=Tipo_Cambio[Mes])*(Producción_Agricola[[#This Row],[Año Financiero]]=Tipo_Cambio[Año])*(Tipo_Cambio[Actualización]))</f>
        <v>0</v>
      </c>
      <c r="AM460" s="709">
        <f>IFERROR(Producción_Agricola[[#This Row],[Económico $Corrientes]]/Producción_Agricola[[#This Row],[Superficie]],0)</f>
        <v>0</v>
      </c>
      <c r="AN460" s="712">
        <f>IFERROR(Producción_Agricola[[#This Row],[Económico $Constantes]]/Producción_Agricola[[#This Row],[Superficie]],0)</f>
        <v>0</v>
      </c>
      <c r="AO460" s="712">
        <f>IFERROR(Producción_Agricola[[#This Row],[Económico U$S Dólares]]/Producción_Agricola[[#This Row],[Superficie]],0)</f>
        <v>0</v>
      </c>
      <c r="AP460" s="711">
        <f>IF(Económico!$F$4=0,0,Producción_Agricola[[#This Row],[Centro de Costo]])</f>
        <v>0</v>
      </c>
      <c r="AQ460" s="512"/>
      <c r="AR460" s="513"/>
      <c r="AS460"/>
    </row>
    <row r="461" spans="1:45" x14ac:dyDescent="0.25">
      <c r="A461" s="509"/>
      <c r="B461" s="494"/>
      <c r="C461" s="509"/>
      <c r="D461" s="478"/>
      <c r="E461" s="478"/>
      <c r="F461" s="668">
        <f t="shared" si="62"/>
        <v>0</v>
      </c>
      <c r="G461" s="673">
        <f t="shared" si="63"/>
        <v>0</v>
      </c>
      <c r="H461" s="673">
        <f t="shared" si="64"/>
        <v>0</v>
      </c>
      <c r="I461" s="675">
        <f>IFERROR(INDEX(Tabla8[],MATCH(Producción_Agricola[[#This Row],[Unidad de Negocio]],Tabla8[Unidades de Negocio],0),2),0)</f>
        <v>0</v>
      </c>
      <c r="J46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61" s="488"/>
      <c r="L461" s="482"/>
      <c r="M461" s="483"/>
      <c r="N461" s="484"/>
      <c r="O461" s="690">
        <f>Producción_Agricola[[#This Row],[Superficie]]*Producción_Agricola[[#This Row],[Cantidad]]</f>
        <v>0</v>
      </c>
      <c r="P461" s="482"/>
      <c r="Q461" s="484"/>
      <c r="R461" s="485"/>
      <c r="S46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61" s="695">
        <f>IFERROR(Producción_Agricola[[#This Row],[Económico $Corrientes]]/Producción_Agricola[[#This Row],[Indexación Económico]],0)</f>
        <v>0</v>
      </c>
      <c r="U46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6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61" s="695">
        <f>IFERROR(Producción_Agricola[[#This Row],[Financiero $Corrientes]]/Producción_Agricola[[#This Row],[Indexación Financiero]],0)</f>
        <v>0</v>
      </c>
      <c r="X46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6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61" s="699">
        <f>IFERROR(Producción_Agricola[[#This Row],[Intereses $Corrientes]]/Producción_Agricola[[#This Row],[Indexación Financiero]],0)</f>
        <v>0</v>
      </c>
      <c r="AA46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61" s="701">
        <f>IFERROR(INDEX(Produccion_Agricola_Cuentas[],MATCH(Producción_Agricola[[#This Row],[Cuenta Contable]],Produccion_Agricola_Cuentas[Cuenta Contable],0),2),0)</f>
        <v>0</v>
      </c>
      <c r="AC461" s="702">
        <f>IFERROR(INDEX(Tabla9[],MATCH(Producción_Agricola[[#This Row],[Movimiento]],Tabla9[Movimientos],0),2),0)</f>
        <v>0</v>
      </c>
      <c r="AD461" s="703">
        <f>IFERROR(INDEX(Tabla9[],MATCH(Producción_Agricola[[#This Row],[Movimiento]],Tabla9[Movimientos],0),3),0)</f>
        <v>0</v>
      </c>
      <c r="AE461" s="698">
        <f>IF(Producción_Agricola[[#This Row],[Fecha Económico]]=0,0,MONTH(Producción_Agricola[[#This Row],[Fecha Económico]]))</f>
        <v>0</v>
      </c>
      <c r="AF461" s="699">
        <f>IF(Producción_Agricola[[#This Row],[Fecha Económico]]=0,0,YEAR(Producción_Agricola[[#This Row],[Fecha Económico]]))</f>
        <v>0</v>
      </c>
      <c r="AG461" s="704">
        <f>SUMPRODUCT((Producción_Agricola[[#This Row],[Mes Económico]]=Tipo_Cambio[Mes])*(Producción_Agricola[[#This Row],[Año Económico]]=Tipo_Cambio[Año])*(Tipo_Cambio[$/U$S]))</f>
        <v>0</v>
      </c>
      <c r="AH461" s="703">
        <f>SUMPRODUCT((Producción_Agricola[[#This Row],[Mes Económico]]=Tipo_Cambio[Mes])*(Producción_Agricola[[#This Row],[Año Económico]]=Tipo_Cambio[Año])*(Tipo_Cambio[Actualización]))</f>
        <v>0</v>
      </c>
      <c r="AI461" s="699">
        <f>IF(ISNUMBER(Producción_Agricola[[#This Row],[Fecha Financiero]])=TRUE,MONTH(Producción_Agricola[[#This Row],[Fecha Financiero]]),0)</f>
        <v>0</v>
      </c>
      <c r="AJ461" s="699">
        <f>IF(ISNUMBER(Producción_Agricola[[#This Row],[Fecha Financiero]])=TRUE,YEAR(Producción_Agricola[[#This Row],[Fecha Financiero]]),0)</f>
        <v>0</v>
      </c>
      <c r="AK461" s="704">
        <f>SUMPRODUCT((Producción_Agricola[[#This Row],[Mes Financiero]]=Tipo_Cambio[Mes])*(Producción_Agricola[[#This Row],[Año Financiero]]=Tipo_Cambio[Año])*(Tipo_Cambio[$/U$S]))</f>
        <v>0</v>
      </c>
      <c r="AL461" s="704">
        <f>SUMPRODUCT((Producción_Agricola[[#This Row],[Mes Financiero]]=Tipo_Cambio[Mes])*(Producción_Agricola[[#This Row],[Año Financiero]]=Tipo_Cambio[Año])*(Tipo_Cambio[Actualización]))</f>
        <v>0</v>
      </c>
      <c r="AM461" s="709">
        <f>IFERROR(Producción_Agricola[[#This Row],[Económico $Corrientes]]/Producción_Agricola[[#This Row],[Superficie]],0)</f>
        <v>0</v>
      </c>
      <c r="AN461" s="712">
        <f>IFERROR(Producción_Agricola[[#This Row],[Económico $Constantes]]/Producción_Agricola[[#This Row],[Superficie]],0)</f>
        <v>0</v>
      </c>
      <c r="AO461" s="712">
        <f>IFERROR(Producción_Agricola[[#This Row],[Económico U$S Dólares]]/Producción_Agricola[[#This Row],[Superficie]],0)</f>
        <v>0</v>
      </c>
      <c r="AP461" s="711">
        <f>IF(Económico!$F$4=0,0,Producción_Agricola[[#This Row],[Centro de Costo]])</f>
        <v>0</v>
      </c>
      <c r="AQ461" s="512"/>
      <c r="AR461" s="513"/>
      <c r="AS461"/>
    </row>
    <row r="462" spans="1:45" x14ac:dyDescent="0.25">
      <c r="A462" s="509"/>
      <c r="B462" s="494"/>
      <c r="C462" s="509"/>
      <c r="D462" s="478"/>
      <c r="E462" s="478"/>
      <c r="F462" s="668">
        <f t="shared" si="62"/>
        <v>0</v>
      </c>
      <c r="G462" s="673">
        <f t="shared" si="63"/>
        <v>0</v>
      </c>
      <c r="H462" s="673">
        <f t="shared" si="64"/>
        <v>0</v>
      </c>
      <c r="I462" s="675">
        <f>IFERROR(INDEX(Tabla8[],MATCH(Producción_Agricola[[#This Row],[Unidad de Negocio]],Tabla8[Unidades de Negocio],0),2),0)</f>
        <v>0</v>
      </c>
      <c r="J46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62" s="488"/>
      <c r="L462" s="482"/>
      <c r="M462" s="483"/>
      <c r="N462" s="484"/>
      <c r="O462" s="690">
        <f>Producción_Agricola[[#This Row],[Superficie]]*Producción_Agricola[[#This Row],[Cantidad]]</f>
        <v>0</v>
      </c>
      <c r="P462" s="482"/>
      <c r="Q462" s="484"/>
      <c r="R462" s="485"/>
      <c r="S46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62" s="695">
        <f>IFERROR(Producción_Agricola[[#This Row],[Económico $Corrientes]]/Producción_Agricola[[#This Row],[Indexación Económico]],0)</f>
        <v>0</v>
      </c>
      <c r="U46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6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62" s="695">
        <f>IFERROR(Producción_Agricola[[#This Row],[Financiero $Corrientes]]/Producción_Agricola[[#This Row],[Indexación Financiero]],0)</f>
        <v>0</v>
      </c>
      <c r="X46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6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62" s="699">
        <f>IFERROR(Producción_Agricola[[#This Row],[Intereses $Corrientes]]/Producción_Agricola[[#This Row],[Indexación Financiero]],0)</f>
        <v>0</v>
      </c>
      <c r="AA46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62" s="701">
        <f>IFERROR(INDEX(Produccion_Agricola_Cuentas[],MATCH(Producción_Agricola[[#This Row],[Cuenta Contable]],Produccion_Agricola_Cuentas[Cuenta Contable],0),2),0)</f>
        <v>0</v>
      </c>
      <c r="AC462" s="702">
        <f>IFERROR(INDEX(Tabla9[],MATCH(Producción_Agricola[[#This Row],[Movimiento]],Tabla9[Movimientos],0),2),0)</f>
        <v>0</v>
      </c>
      <c r="AD462" s="703">
        <f>IFERROR(INDEX(Tabla9[],MATCH(Producción_Agricola[[#This Row],[Movimiento]],Tabla9[Movimientos],0),3),0)</f>
        <v>0</v>
      </c>
      <c r="AE462" s="698">
        <f>IF(Producción_Agricola[[#This Row],[Fecha Económico]]=0,0,MONTH(Producción_Agricola[[#This Row],[Fecha Económico]]))</f>
        <v>0</v>
      </c>
      <c r="AF462" s="699">
        <f>IF(Producción_Agricola[[#This Row],[Fecha Económico]]=0,0,YEAR(Producción_Agricola[[#This Row],[Fecha Económico]]))</f>
        <v>0</v>
      </c>
      <c r="AG462" s="704">
        <f>SUMPRODUCT((Producción_Agricola[[#This Row],[Mes Económico]]=Tipo_Cambio[Mes])*(Producción_Agricola[[#This Row],[Año Económico]]=Tipo_Cambio[Año])*(Tipo_Cambio[$/U$S]))</f>
        <v>0</v>
      </c>
      <c r="AH462" s="703">
        <f>SUMPRODUCT((Producción_Agricola[[#This Row],[Mes Económico]]=Tipo_Cambio[Mes])*(Producción_Agricola[[#This Row],[Año Económico]]=Tipo_Cambio[Año])*(Tipo_Cambio[Actualización]))</f>
        <v>0</v>
      </c>
      <c r="AI462" s="699">
        <f>IF(ISNUMBER(Producción_Agricola[[#This Row],[Fecha Financiero]])=TRUE,MONTH(Producción_Agricola[[#This Row],[Fecha Financiero]]),0)</f>
        <v>0</v>
      </c>
      <c r="AJ462" s="699">
        <f>IF(ISNUMBER(Producción_Agricola[[#This Row],[Fecha Financiero]])=TRUE,YEAR(Producción_Agricola[[#This Row],[Fecha Financiero]]),0)</f>
        <v>0</v>
      </c>
      <c r="AK462" s="704">
        <f>SUMPRODUCT((Producción_Agricola[[#This Row],[Mes Financiero]]=Tipo_Cambio[Mes])*(Producción_Agricola[[#This Row],[Año Financiero]]=Tipo_Cambio[Año])*(Tipo_Cambio[$/U$S]))</f>
        <v>0</v>
      </c>
      <c r="AL462" s="704">
        <f>SUMPRODUCT((Producción_Agricola[[#This Row],[Mes Financiero]]=Tipo_Cambio[Mes])*(Producción_Agricola[[#This Row],[Año Financiero]]=Tipo_Cambio[Año])*(Tipo_Cambio[Actualización]))</f>
        <v>0</v>
      </c>
      <c r="AM462" s="709">
        <f>IFERROR(Producción_Agricola[[#This Row],[Económico $Corrientes]]/Producción_Agricola[[#This Row],[Superficie]],0)</f>
        <v>0</v>
      </c>
      <c r="AN462" s="712">
        <f>IFERROR(Producción_Agricola[[#This Row],[Económico $Constantes]]/Producción_Agricola[[#This Row],[Superficie]],0)</f>
        <v>0</v>
      </c>
      <c r="AO462" s="712">
        <f>IFERROR(Producción_Agricola[[#This Row],[Económico U$S Dólares]]/Producción_Agricola[[#This Row],[Superficie]],0)</f>
        <v>0</v>
      </c>
      <c r="AP462" s="711">
        <f>IF(Económico!$F$4=0,0,Producción_Agricola[[#This Row],[Centro de Costo]])</f>
        <v>0</v>
      </c>
      <c r="AQ462" s="512"/>
      <c r="AR462" s="513"/>
      <c r="AS462"/>
    </row>
    <row r="463" spans="1:45" x14ac:dyDescent="0.25">
      <c r="A463" s="509"/>
      <c r="B463" s="494"/>
      <c r="C463" s="509"/>
      <c r="D463" s="478"/>
      <c r="E463" s="478"/>
      <c r="F463" s="668">
        <f t="shared" si="62"/>
        <v>0</v>
      </c>
      <c r="G463" s="673">
        <f t="shared" si="63"/>
        <v>0</v>
      </c>
      <c r="H463" s="673">
        <f t="shared" si="64"/>
        <v>0</v>
      </c>
      <c r="I463" s="675">
        <f>IFERROR(INDEX(Tabla8[],MATCH(Producción_Agricola[[#This Row],[Unidad de Negocio]],Tabla8[Unidades de Negocio],0),2),0)</f>
        <v>0</v>
      </c>
      <c r="J46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63" s="488"/>
      <c r="L463" s="482"/>
      <c r="M463" s="483"/>
      <c r="N463" s="484"/>
      <c r="O463" s="690">
        <f>Producción_Agricola[[#This Row],[Superficie]]*Producción_Agricola[[#This Row],[Cantidad]]</f>
        <v>0</v>
      </c>
      <c r="P463" s="482"/>
      <c r="Q463" s="484"/>
      <c r="R463" s="485"/>
      <c r="S46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63" s="695">
        <f>IFERROR(Producción_Agricola[[#This Row],[Económico $Corrientes]]/Producción_Agricola[[#This Row],[Indexación Económico]],0)</f>
        <v>0</v>
      </c>
      <c r="U46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6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63" s="695">
        <f>IFERROR(Producción_Agricola[[#This Row],[Financiero $Corrientes]]/Producción_Agricola[[#This Row],[Indexación Financiero]],0)</f>
        <v>0</v>
      </c>
      <c r="X46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6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63" s="699">
        <f>IFERROR(Producción_Agricola[[#This Row],[Intereses $Corrientes]]/Producción_Agricola[[#This Row],[Indexación Financiero]],0)</f>
        <v>0</v>
      </c>
      <c r="AA46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63" s="701">
        <f>IFERROR(INDEX(Produccion_Agricola_Cuentas[],MATCH(Producción_Agricola[[#This Row],[Cuenta Contable]],Produccion_Agricola_Cuentas[Cuenta Contable],0),2),0)</f>
        <v>0</v>
      </c>
      <c r="AC463" s="702">
        <f>IFERROR(INDEX(Tabla9[],MATCH(Producción_Agricola[[#This Row],[Movimiento]],Tabla9[Movimientos],0),2),0)</f>
        <v>0</v>
      </c>
      <c r="AD463" s="703">
        <f>IFERROR(INDEX(Tabla9[],MATCH(Producción_Agricola[[#This Row],[Movimiento]],Tabla9[Movimientos],0),3),0)</f>
        <v>0</v>
      </c>
      <c r="AE463" s="698">
        <f>IF(Producción_Agricola[[#This Row],[Fecha Económico]]=0,0,MONTH(Producción_Agricola[[#This Row],[Fecha Económico]]))</f>
        <v>0</v>
      </c>
      <c r="AF463" s="699">
        <f>IF(Producción_Agricola[[#This Row],[Fecha Económico]]=0,0,YEAR(Producción_Agricola[[#This Row],[Fecha Económico]]))</f>
        <v>0</v>
      </c>
      <c r="AG463" s="704">
        <f>SUMPRODUCT((Producción_Agricola[[#This Row],[Mes Económico]]=Tipo_Cambio[Mes])*(Producción_Agricola[[#This Row],[Año Económico]]=Tipo_Cambio[Año])*(Tipo_Cambio[$/U$S]))</f>
        <v>0</v>
      </c>
      <c r="AH463" s="703">
        <f>SUMPRODUCT((Producción_Agricola[[#This Row],[Mes Económico]]=Tipo_Cambio[Mes])*(Producción_Agricola[[#This Row],[Año Económico]]=Tipo_Cambio[Año])*(Tipo_Cambio[Actualización]))</f>
        <v>0</v>
      </c>
      <c r="AI463" s="699">
        <f>IF(ISNUMBER(Producción_Agricola[[#This Row],[Fecha Financiero]])=TRUE,MONTH(Producción_Agricola[[#This Row],[Fecha Financiero]]),0)</f>
        <v>0</v>
      </c>
      <c r="AJ463" s="699">
        <f>IF(ISNUMBER(Producción_Agricola[[#This Row],[Fecha Financiero]])=TRUE,YEAR(Producción_Agricola[[#This Row],[Fecha Financiero]]),0)</f>
        <v>0</v>
      </c>
      <c r="AK463" s="704">
        <f>SUMPRODUCT((Producción_Agricola[[#This Row],[Mes Financiero]]=Tipo_Cambio[Mes])*(Producción_Agricola[[#This Row],[Año Financiero]]=Tipo_Cambio[Año])*(Tipo_Cambio[$/U$S]))</f>
        <v>0</v>
      </c>
      <c r="AL463" s="704">
        <f>SUMPRODUCT((Producción_Agricola[[#This Row],[Mes Financiero]]=Tipo_Cambio[Mes])*(Producción_Agricola[[#This Row],[Año Financiero]]=Tipo_Cambio[Año])*(Tipo_Cambio[Actualización]))</f>
        <v>0</v>
      </c>
      <c r="AM463" s="709">
        <f>IFERROR(Producción_Agricola[[#This Row],[Económico $Corrientes]]/Producción_Agricola[[#This Row],[Superficie]],0)</f>
        <v>0</v>
      </c>
      <c r="AN463" s="712">
        <f>IFERROR(Producción_Agricola[[#This Row],[Económico $Constantes]]/Producción_Agricola[[#This Row],[Superficie]],0)</f>
        <v>0</v>
      </c>
      <c r="AO463" s="712">
        <f>IFERROR(Producción_Agricola[[#This Row],[Económico U$S Dólares]]/Producción_Agricola[[#This Row],[Superficie]],0)</f>
        <v>0</v>
      </c>
      <c r="AP463" s="711">
        <f>IF(Económico!$F$4=0,0,Producción_Agricola[[#This Row],[Centro de Costo]])</f>
        <v>0</v>
      </c>
      <c r="AQ463" s="512"/>
      <c r="AR463" s="513"/>
      <c r="AS463"/>
    </row>
    <row r="464" spans="1:45" x14ac:dyDescent="0.25">
      <c r="A464" s="509"/>
      <c r="B464" s="494"/>
      <c r="C464" s="509"/>
      <c r="D464" s="478"/>
      <c r="E464" s="478"/>
      <c r="F464" s="668">
        <f t="shared" si="62"/>
        <v>0</v>
      </c>
      <c r="G464" s="673">
        <f t="shared" si="63"/>
        <v>0</v>
      </c>
      <c r="H464" s="673">
        <f t="shared" si="64"/>
        <v>0</v>
      </c>
      <c r="I464" s="675">
        <f>IFERROR(INDEX(Tabla8[],MATCH(Producción_Agricola[[#This Row],[Unidad de Negocio]],Tabla8[Unidades de Negocio],0),2),0)</f>
        <v>0</v>
      </c>
      <c r="J46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64" s="488"/>
      <c r="L464" s="482"/>
      <c r="M464" s="483"/>
      <c r="N464" s="484"/>
      <c r="O464" s="690">
        <f>Producción_Agricola[[#This Row],[Superficie]]*Producción_Agricola[[#This Row],[Cantidad]]</f>
        <v>0</v>
      </c>
      <c r="P464" s="482"/>
      <c r="Q464" s="484"/>
      <c r="R464" s="485"/>
      <c r="S46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64" s="695">
        <f>IFERROR(Producción_Agricola[[#This Row],[Económico $Corrientes]]/Producción_Agricola[[#This Row],[Indexación Económico]],0)</f>
        <v>0</v>
      </c>
      <c r="U46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6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64" s="695">
        <f>IFERROR(Producción_Agricola[[#This Row],[Financiero $Corrientes]]/Producción_Agricola[[#This Row],[Indexación Financiero]],0)</f>
        <v>0</v>
      </c>
      <c r="X46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6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64" s="699">
        <f>IFERROR(Producción_Agricola[[#This Row],[Intereses $Corrientes]]/Producción_Agricola[[#This Row],[Indexación Financiero]],0)</f>
        <v>0</v>
      </c>
      <c r="AA46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64" s="701">
        <f>IFERROR(INDEX(Produccion_Agricola_Cuentas[],MATCH(Producción_Agricola[[#This Row],[Cuenta Contable]],Produccion_Agricola_Cuentas[Cuenta Contable],0),2),0)</f>
        <v>0</v>
      </c>
      <c r="AC464" s="702">
        <f>IFERROR(INDEX(Tabla9[],MATCH(Producción_Agricola[[#This Row],[Movimiento]],Tabla9[Movimientos],0),2),0)</f>
        <v>0</v>
      </c>
      <c r="AD464" s="703">
        <f>IFERROR(INDEX(Tabla9[],MATCH(Producción_Agricola[[#This Row],[Movimiento]],Tabla9[Movimientos],0),3),0)</f>
        <v>0</v>
      </c>
      <c r="AE464" s="698">
        <f>IF(Producción_Agricola[[#This Row],[Fecha Económico]]=0,0,MONTH(Producción_Agricola[[#This Row],[Fecha Económico]]))</f>
        <v>0</v>
      </c>
      <c r="AF464" s="699">
        <f>IF(Producción_Agricola[[#This Row],[Fecha Económico]]=0,0,YEAR(Producción_Agricola[[#This Row],[Fecha Económico]]))</f>
        <v>0</v>
      </c>
      <c r="AG464" s="704">
        <f>SUMPRODUCT((Producción_Agricola[[#This Row],[Mes Económico]]=Tipo_Cambio[Mes])*(Producción_Agricola[[#This Row],[Año Económico]]=Tipo_Cambio[Año])*(Tipo_Cambio[$/U$S]))</f>
        <v>0</v>
      </c>
      <c r="AH464" s="703">
        <f>SUMPRODUCT((Producción_Agricola[[#This Row],[Mes Económico]]=Tipo_Cambio[Mes])*(Producción_Agricola[[#This Row],[Año Económico]]=Tipo_Cambio[Año])*(Tipo_Cambio[Actualización]))</f>
        <v>0</v>
      </c>
      <c r="AI464" s="699">
        <f>IF(ISNUMBER(Producción_Agricola[[#This Row],[Fecha Financiero]])=TRUE,MONTH(Producción_Agricola[[#This Row],[Fecha Financiero]]),0)</f>
        <v>0</v>
      </c>
      <c r="AJ464" s="699">
        <f>IF(ISNUMBER(Producción_Agricola[[#This Row],[Fecha Financiero]])=TRUE,YEAR(Producción_Agricola[[#This Row],[Fecha Financiero]]),0)</f>
        <v>0</v>
      </c>
      <c r="AK464" s="704">
        <f>SUMPRODUCT((Producción_Agricola[[#This Row],[Mes Financiero]]=Tipo_Cambio[Mes])*(Producción_Agricola[[#This Row],[Año Financiero]]=Tipo_Cambio[Año])*(Tipo_Cambio[$/U$S]))</f>
        <v>0</v>
      </c>
      <c r="AL464" s="704">
        <f>SUMPRODUCT((Producción_Agricola[[#This Row],[Mes Financiero]]=Tipo_Cambio[Mes])*(Producción_Agricola[[#This Row],[Año Financiero]]=Tipo_Cambio[Año])*(Tipo_Cambio[Actualización]))</f>
        <v>0</v>
      </c>
      <c r="AM464" s="709">
        <f>IFERROR(Producción_Agricola[[#This Row],[Económico $Corrientes]]/Producción_Agricola[[#This Row],[Superficie]],0)</f>
        <v>0</v>
      </c>
      <c r="AN464" s="712">
        <f>IFERROR(Producción_Agricola[[#This Row],[Económico $Constantes]]/Producción_Agricola[[#This Row],[Superficie]],0)</f>
        <v>0</v>
      </c>
      <c r="AO464" s="712">
        <f>IFERROR(Producción_Agricola[[#This Row],[Económico U$S Dólares]]/Producción_Agricola[[#This Row],[Superficie]],0)</f>
        <v>0</v>
      </c>
      <c r="AP464" s="711">
        <f>IF(Económico!$F$4=0,0,Producción_Agricola[[#This Row],[Centro de Costo]])</f>
        <v>0</v>
      </c>
      <c r="AQ464" s="512"/>
      <c r="AR464" s="513"/>
      <c r="AS464"/>
    </row>
    <row r="465" spans="1:45" x14ac:dyDescent="0.25">
      <c r="A465" s="509"/>
      <c r="B465" s="494"/>
      <c r="C465" s="509"/>
      <c r="D465" s="478"/>
      <c r="E465" s="478"/>
      <c r="F465" s="668">
        <f t="shared" si="62"/>
        <v>0</v>
      </c>
      <c r="G465" s="673">
        <f t="shared" si="63"/>
        <v>0</v>
      </c>
      <c r="H465" s="673">
        <f t="shared" si="64"/>
        <v>0</v>
      </c>
      <c r="I465" s="675">
        <f>IFERROR(INDEX(Tabla8[],MATCH(Producción_Agricola[[#This Row],[Unidad de Negocio]],Tabla8[Unidades de Negocio],0),2),0)</f>
        <v>0</v>
      </c>
      <c r="J46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65" s="488"/>
      <c r="L465" s="482"/>
      <c r="M465" s="483"/>
      <c r="N465" s="484"/>
      <c r="O465" s="690">
        <f>Producción_Agricola[[#This Row],[Superficie]]*Producción_Agricola[[#This Row],[Cantidad]]</f>
        <v>0</v>
      </c>
      <c r="P465" s="482"/>
      <c r="Q465" s="484"/>
      <c r="R465" s="485"/>
      <c r="S46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65" s="695">
        <f>IFERROR(Producción_Agricola[[#This Row],[Económico $Corrientes]]/Producción_Agricola[[#This Row],[Indexación Económico]],0)</f>
        <v>0</v>
      </c>
      <c r="U46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6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65" s="695">
        <f>IFERROR(Producción_Agricola[[#This Row],[Financiero $Corrientes]]/Producción_Agricola[[#This Row],[Indexación Financiero]],0)</f>
        <v>0</v>
      </c>
      <c r="X46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6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65" s="699">
        <f>IFERROR(Producción_Agricola[[#This Row],[Intereses $Corrientes]]/Producción_Agricola[[#This Row],[Indexación Financiero]],0)</f>
        <v>0</v>
      </c>
      <c r="AA46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65" s="701">
        <f>IFERROR(INDEX(Produccion_Agricola_Cuentas[],MATCH(Producción_Agricola[[#This Row],[Cuenta Contable]],Produccion_Agricola_Cuentas[Cuenta Contable],0),2),0)</f>
        <v>0</v>
      </c>
      <c r="AC465" s="702">
        <f>IFERROR(INDEX(Tabla9[],MATCH(Producción_Agricola[[#This Row],[Movimiento]],Tabla9[Movimientos],0),2),0)</f>
        <v>0</v>
      </c>
      <c r="AD465" s="703">
        <f>IFERROR(INDEX(Tabla9[],MATCH(Producción_Agricola[[#This Row],[Movimiento]],Tabla9[Movimientos],0),3),0)</f>
        <v>0</v>
      </c>
      <c r="AE465" s="698">
        <f>IF(Producción_Agricola[[#This Row],[Fecha Económico]]=0,0,MONTH(Producción_Agricola[[#This Row],[Fecha Económico]]))</f>
        <v>0</v>
      </c>
      <c r="AF465" s="699">
        <f>IF(Producción_Agricola[[#This Row],[Fecha Económico]]=0,0,YEAR(Producción_Agricola[[#This Row],[Fecha Económico]]))</f>
        <v>0</v>
      </c>
      <c r="AG465" s="704">
        <f>SUMPRODUCT((Producción_Agricola[[#This Row],[Mes Económico]]=Tipo_Cambio[Mes])*(Producción_Agricola[[#This Row],[Año Económico]]=Tipo_Cambio[Año])*(Tipo_Cambio[$/U$S]))</f>
        <v>0</v>
      </c>
      <c r="AH465" s="703">
        <f>SUMPRODUCT((Producción_Agricola[[#This Row],[Mes Económico]]=Tipo_Cambio[Mes])*(Producción_Agricola[[#This Row],[Año Económico]]=Tipo_Cambio[Año])*(Tipo_Cambio[Actualización]))</f>
        <v>0</v>
      </c>
      <c r="AI465" s="699">
        <f>IF(ISNUMBER(Producción_Agricola[[#This Row],[Fecha Financiero]])=TRUE,MONTH(Producción_Agricola[[#This Row],[Fecha Financiero]]),0)</f>
        <v>0</v>
      </c>
      <c r="AJ465" s="699">
        <f>IF(ISNUMBER(Producción_Agricola[[#This Row],[Fecha Financiero]])=TRUE,YEAR(Producción_Agricola[[#This Row],[Fecha Financiero]]),0)</f>
        <v>0</v>
      </c>
      <c r="AK465" s="704">
        <f>SUMPRODUCT((Producción_Agricola[[#This Row],[Mes Financiero]]=Tipo_Cambio[Mes])*(Producción_Agricola[[#This Row],[Año Financiero]]=Tipo_Cambio[Año])*(Tipo_Cambio[$/U$S]))</f>
        <v>0</v>
      </c>
      <c r="AL465" s="704">
        <f>SUMPRODUCT((Producción_Agricola[[#This Row],[Mes Financiero]]=Tipo_Cambio[Mes])*(Producción_Agricola[[#This Row],[Año Financiero]]=Tipo_Cambio[Año])*(Tipo_Cambio[Actualización]))</f>
        <v>0</v>
      </c>
      <c r="AM465" s="709">
        <f>IFERROR(Producción_Agricola[[#This Row],[Económico $Corrientes]]/Producción_Agricola[[#This Row],[Superficie]],0)</f>
        <v>0</v>
      </c>
      <c r="AN465" s="712">
        <f>IFERROR(Producción_Agricola[[#This Row],[Económico $Constantes]]/Producción_Agricola[[#This Row],[Superficie]],0)</f>
        <v>0</v>
      </c>
      <c r="AO465" s="712">
        <f>IFERROR(Producción_Agricola[[#This Row],[Económico U$S Dólares]]/Producción_Agricola[[#This Row],[Superficie]],0)</f>
        <v>0</v>
      </c>
      <c r="AP465" s="711">
        <f>IF(Económico!$F$4=0,0,Producción_Agricola[[#This Row],[Centro de Costo]])</f>
        <v>0</v>
      </c>
      <c r="AQ465" s="512"/>
      <c r="AR465" s="513"/>
      <c r="AS465"/>
    </row>
    <row r="466" spans="1:45" x14ac:dyDescent="0.25">
      <c r="A466" s="509"/>
      <c r="B466" s="494"/>
      <c r="C466" s="509"/>
      <c r="D466" s="478"/>
      <c r="E466" s="478"/>
      <c r="F466" s="668">
        <f t="shared" si="62"/>
        <v>0</v>
      </c>
      <c r="G466" s="673">
        <f t="shared" si="63"/>
        <v>0</v>
      </c>
      <c r="H466" s="673">
        <f t="shared" si="64"/>
        <v>0</v>
      </c>
      <c r="I466" s="675">
        <f>IFERROR(INDEX(Tabla8[],MATCH(Producción_Agricola[[#This Row],[Unidad de Negocio]],Tabla8[Unidades de Negocio],0),2),0)</f>
        <v>0</v>
      </c>
      <c r="J46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66" s="488"/>
      <c r="L466" s="482"/>
      <c r="M466" s="483"/>
      <c r="N466" s="484"/>
      <c r="O466" s="690">
        <f>Producción_Agricola[[#This Row],[Superficie]]*Producción_Agricola[[#This Row],[Cantidad]]</f>
        <v>0</v>
      </c>
      <c r="P466" s="482"/>
      <c r="Q466" s="484"/>
      <c r="R466" s="485"/>
      <c r="S46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66" s="695">
        <f>IFERROR(Producción_Agricola[[#This Row],[Económico $Corrientes]]/Producción_Agricola[[#This Row],[Indexación Económico]],0)</f>
        <v>0</v>
      </c>
      <c r="U46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6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66" s="695">
        <f>IFERROR(Producción_Agricola[[#This Row],[Financiero $Corrientes]]/Producción_Agricola[[#This Row],[Indexación Financiero]],0)</f>
        <v>0</v>
      </c>
      <c r="X46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6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66" s="699">
        <f>IFERROR(Producción_Agricola[[#This Row],[Intereses $Corrientes]]/Producción_Agricola[[#This Row],[Indexación Financiero]],0)</f>
        <v>0</v>
      </c>
      <c r="AA46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66" s="701">
        <f>IFERROR(INDEX(Produccion_Agricola_Cuentas[],MATCH(Producción_Agricola[[#This Row],[Cuenta Contable]],Produccion_Agricola_Cuentas[Cuenta Contable],0),2),0)</f>
        <v>0</v>
      </c>
      <c r="AC466" s="702">
        <f>IFERROR(INDEX(Tabla9[],MATCH(Producción_Agricola[[#This Row],[Movimiento]],Tabla9[Movimientos],0),2),0)</f>
        <v>0</v>
      </c>
      <c r="AD466" s="703">
        <f>IFERROR(INDEX(Tabla9[],MATCH(Producción_Agricola[[#This Row],[Movimiento]],Tabla9[Movimientos],0),3),0)</f>
        <v>0</v>
      </c>
      <c r="AE466" s="698">
        <f>IF(Producción_Agricola[[#This Row],[Fecha Económico]]=0,0,MONTH(Producción_Agricola[[#This Row],[Fecha Económico]]))</f>
        <v>0</v>
      </c>
      <c r="AF466" s="699">
        <f>IF(Producción_Agricola[[#This Row],[Fecha Económico]]=0,0,YEAR(Producción_Agricola[[#This Row],[Fecha Económico]]))</f>
        <v>0</v>
      </c>
      <c r="AG466" s="704">
        <f>SUMPRODUCT((Producción_Agricola[[#This Row],[Mes Económico]]=Tipo_Cambio[Mes])*(Producción_Agricola[[#This Row],[Año Económico]]=Tipo_Cambio[Año])*(Tipo_Cambio[$/U$S]))</f>
        <v>0</v>
      </c>
      <c r="AH466" s="703">
        <f>SUMPRODUCT((Producción_Agricola[[#This Row],[Mes Económico]]=Tipo_Cambio[Mes])*(Producción_Agricola[[#This Row],[Año Económico]]=Tipo_Cambio[Año])*(Tipo_Cambio[Actualización]))</f>
        <v>0</v>
      </c>
      <c r="AI466" s="699">
        <f>IF(ISNUMBER(Producción_Agricola[[#This Row],[Fecha Financiero]])=TRUE,MONTH(Producción_Agricola[[#This Row],[Fecha Financiero]]),0)</f>
        <v>0</v>
      </c>
      <c r="AJ466" s="699">
        <f>IF(ISNUMBER(Producción_Agricola[[#This Row],[Fecha Financiero]])=TRUE,YEAR(Producción_Agricola[[#This Row],[Fecha Financiero]]),0)</f>
        <v>0</v>
      </c>
      <c r="AK466" s="704">
        <f>SUMPRODUCT((Producción_Agricola[[#This Row],[Mes Financiero]]=Tipo_Cambio[Mes])*(Producción_Agricola[[#This Row],[Año Financiero]]=Tipo_Cambio[Año])*(Tipo_Cambio[$/U$S]))</f>
        <v>0</v>
      </c>
      <c r="AL466" s="704">
        <f>SUMPRODUCT((Producción_Agricola[[#This Row],[Mes Financiero]]=Tipo_Cambio[Mes])*(Producción_Agricola[[#This Row],[Año Financiero]]=Tipo_Cambio[Año])*(Tipo_Cambio[Actualización]))</f>
        <v>0</v>
      </c>
      <c r="AM466" s="709">
        <f>IFERROR(Producción_Agricola[[#This Row],[Económico $Corrientes]]/Producción_Agricola[[#This Row],[Superficie]],0)</f>
        <v>0</v>
      </c>
      <c r="AN466" s="712">
        <f>IFERROR(Producción_Agricola[[#This Row],[Económico $Constantes]]/Producción_Agricola[[#This Row],[Superficie]],0)</f>
        <v>0</v>
      </c>
      <c r="AO466" s="712">
        <f>IFERROR(Producción_Agricola[[#This Row],[Económico U$S Dólares]]/Producción_Agricola[[#This Row],[Superficie]],0)</f>
        <v>0</v>
      </c>
      <c r="AP466" s="711">
        <f>IF(Económico!$F$4=0,0,Producción_Agricola[[#This Row],[Centro de Costo]])</f>
        <v>0</v>
      </c>
      <c r="AQ466" s="512"/>
      <c r="AR466" s="513"/>
      <c r="AS466"/>
    </row>
    <row r="467" spans="1:45" x14ac:dyDescent="0.25">
      <c r="A467" s="509"/>
      <c r="B467" s="494"/>
      <c r="C467" s="509"/>
      <c r="D467" s="478"/>
      <c r="E467" s="478"/>
      <c r="F467" s="668">
        <f t="shared" si="62"/>
        <v>0</v>
      </c>
      <c r="G467" s="673">
        <f t="shared" si="63"/>
        <v>0</v>
      </c>
      <c r="H467" s="673">
        <f t="shared" si="64"/>
        <v>0</v>
      </c>
      <c r="I467" s="675">
        <f>IFERROR(INDEX(Tabla8[],MATCH(Producción_Agricola[[#This Row],[Unidad de Negocio]],Tabla8[Unidades de Negocio],0),2),0)</f>
        <v>0</v>
      </c>
      <c r="J46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67" s="488"/>
      <c r="L467" s="482"/>
      <c r="M467" s="483"/>
      <c r="N467" s="484"/>
      <c r="O467" s="690">
        <f>Producción_Agricola[[#This Row],[Superficie]]*Producción_Agricola[[#This Row],[Cantidad]]</f>
        <v>0</v>
      </c>
      <c r="P467" s="482"/>
      <c r="Q467" s="484"/>
      <c r="R467" s="485"/>
      <c r="S46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67" s="695">
        <f>IFERROR(Producción_Agricola[[#This Row],[Económico $Corrientes]]/Producción_Agricola[[#This Row],[Indexación Económico]],0)</f>
        <v>0</v>
      </c>
      <c r="U46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6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67" s="695">
        <f>IFERROR(Producción_Agricola[[#This Row],[Financiero $Corrientes]]/Producción_Agricola[[#This Row],[Indexación Financiero]],0)</f>
        <v>0</v>
      </c>
      <c r="X46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6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67" s="699">
        <f>IFERROR(Producción_Agricola[[#This Row],[Intereses $Corrientes]]/Producción_Agricola[[#This Row],[Indexación Financiero]],0)</f>
        <v>0</v>
      </c>
      <c r="AA46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67" s="701">
        <f>IFERROR(INDEX(Produccion_Agricola_Cuentas[],MATCH(Producción_Agricola[[#This Row],[Cuenta Contable]],Produccion_Agricola_Cuentas[Cuenta Contable],0),2),0)</f>
        <v>0</v>
      </c>
      <c r="AC467" s="702">
        <f>IFERROR(INDEX(Tabla9[],MATCH(Producción_Agricola[[#This Row],[Movimiento]],Tabla9[Movimientos],0),2),0)</f>
        <v>0</v>
      </c>
      <c r="AD467" s="703">
        <f>IFERROR(INDEX(Tabla9[],MATCH(Producción_Agricola[[#This Row],[Movimiento]],Tabla9[Movimientos],0),3),0)</f>
        <v>0</v>
      </c>
      <c r="AE467" s="698">
        <f>IF(Producción_Agricola[[#This Row],[Fecha Económico]]=0,0,MONTH(Producción_Agricola[[#This Row],[Fecha Económico]]))</f>
        <v>0</v>
      </c>
      <c r="AF467" s="699">
        <f>IF(Producción_Agricola[[#This Row],[Fecha Económico]]=0,0,YEAR(Producción_Agricola[[#This Row],[Fecha Económico]]))</f>
        <v>0</v>
      </c>
      <c r="AG467" s="704">
        <f>SUMPRODUCT((Producción_Agricola[[#This Row],[Mes Económico]]=Tipo_Cambio[Mes])*(Producción_Agricola[[#This Row],[Año Económico]]=Tipo_Cambio[Año])*(Tipo_Cambio[$/U$S]))</f>
        <v>0</v>
      </c>
      <c r="AH467" s="703">
        <f>SUMPRODUCT((Producción_Agricola[[#This Row],[Mes Económico]]=Tipo_Cambio[Mes])*(Producción_Agricola[[#This Row],[Año Económico]]=Tipo_Cambio[Año])*(Tipo_Cambio[Actualización]))</f>
        <v>0</v>
      </c>
      <c r="AI467" s="699">
        <f>IF(ISNUMBER(Producción_Agricola[[#This Row],[Fecha Financiero]])=TRUE,MONTH(Producción_Agricola[[#This Row],[Fecha Financiero]]),0)</f>
        <v>0</v>
      </c>
      <c r="AJ467" s="699">
        <f>IF(ISNUMBER(Producción_Agricola[[#This Row],[Fecha Financiero]])=TRUE,YEAR(Producción_Agricola[[#This Row],[Fecha Financiero]]),0)</f>
        <v>0</v>
      </c>
      <c r="AK467" s="704">
        <f>SUMPRODUCT((Producción_Agricola[[#This Row],[Mes Financiero]]=Tipo_Cambio[Mes])*(Producción_Agricola[[#This Row],[Año Financiero]]=Tipo_Cambio[Año])*(Tipo_Cambio[$/U$S]))</f>
        <v>0</v>
      </c>
      <c r="AL467" s="704">
        <f>SUMPRODUCT((Producción_Agricola[[#This Row],[Mes Financiero]]=Tipo_Cambio[Mes])*(Producción_Agricola[[#This Row],[Año Financiero]]=Tipo_Cambio[Año])*(Tipo_Cambio[Actualización]))</f>
        <v>0</v>
      </c>
      <c r="AM467" s="709">
        <f>IFERROR(Producción_Agricola[[#This Row],[Económico $Corrientes]]/Producción_Agricola[[#This Row],[Superficie]],0)</f>
        <v>0</v>
      </c>
      <c r="AN467" s="712">
        <f>IFERROR(Producción_Agricola[[#This Row],[Económico $Constantes]]/Producción_Agricola[[#This Row],[Superficie]],0)</f>
        <v>0</v>
      </c>
      <c r="AO467" s="712">
        <f>IFERROR(Producción_Agricola[[#This Row],[Económico U$S Dólares]]/Producción_Agricola[[#This Row],[Superficie]],0)</f>
        <v>0</v>
      </c>
      <c r="AP467" s="711">
        <f>IF(Económico!$F$4=0,0,Producción_Agricola[[#This Row],[Centro de Costo]])</f>
        <v>0</v>
      </c>
      <c r="AQ467" s="512"/>
      <c r="AR467" s="513"/>
      <c r="AS467"/>
    </row>
    <row r="468" spans="1:45" x14ac:dyDescent="0.25">
      <c r="A468" s="509"/>
      <c r="B468" s="494"/>
      <c r="C468" s="509"/>
      <c r="D468" s="478"/>
      <c r="E468" s="478"/>
      <c r="F468" s="668">
        <f t="shared" si="62"/>
        <v>0</v>
      </c>
      <c r="G468" s="673">
        <f t="shared" si="63"/>
        <v>0</v>
      </c>
      <c r="H468" s="673">
        <f t="shared" si="64"/>
        <v>0</v>
      </c>
      <c r="I468" s="675">
        <f>IFERROR(INDEX(Tabla8[],MATCH(Producción_Agricola[[#This Row],[Unidad de Negocio]],Tabla8[Unidades de Negocio],0),2),0)</f>
        <v>0</v>
      </c>
      <c r="J46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68" s="488"/>
      <c r="L468" s="482"/>
      <c r="M468" s="483"/>
      <c r="N468" s="484"/>
      <c r="O468" s="690">
        <f>Producción_Agricola[[#This Row],[Superficie]]*Producción_Agricola[[#This Row],[Cantidad]]</f>
        <v>0</v>
      </c>
      <c r="P468" s="482"/>
      <c r="Q468" s="484"/>
      <c r="R468" s="485"/>
      <c r="S46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68" s="695">
        <f>IFERROR(Producción_Agricola[[#This Row],[Económico $Corrientes]]/Producción_Agricola[[#This Row],[Indexación Económico]],0)</f>
        <v>0</v>
      </c>
      <c r="U46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6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68" s="695">
        <f>IFERROR(Producción_Agricola[[#This Row],[Financiero $Corrientes]]/Producción_Agricola[[#This Row],[Indexación Financiero]],0)</f>
        <v>0</v>
      </c>
      <c r="X46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6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68" s="699">
        <f>IFERROR(Producción_Agricola[[#This Row],[Intereses $Corrientes]]/Producción_Agricola[[#This Row],[Indexación Financiero]],0)</f>
        <v>0</v>
      </c>
      <c r="AA46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68" s="701">
        <f>IFERROR(INDEX(Produccion_Agricola_Cuentas[],MATCH(Producción_Agricola[[#This Row],[Cuenta Contable]],Produccion_Agricola_Cuentas[Cuenta Contable],0),2),0)</f>
        <v>0</v>
      </c>
      <c r="AC468" s="702">
        <f>IFERROR(INDEX(Tabla9[],MATCH(Producción_Agricola[[#This Row],[Movimiento]],Tabla9[Movimientos],0),2),0)</f>
        <v>0</v>
      </c>
      <c r="AD468" s="703">
        <f>IFERROR(INDEX(Tabla9[],MATCH(Producción_Agricola[[#This Row],[Movimiento]],Tabla9[Movimientos],0),3),0)</f>
        <v>0</v>
      </c>
      <c r="AE468" s="698">
        <f>IF(Producción_Agricola[[#This Row],[Fecha Económico]]=0,0,MONTH(Producción_Agricola[[#This Row],[Fecha Económico]]))</f>
        <v>0</v>
      </c>
      <c r="AF468" s="699">
        <f>IF(Producción_Agricola[[#This Row],[Fecha Económico]]=0,0,YEAR(Producción_Agricola[[#This Row],[Fecha Económico]]))</f>
        <v>0</v>
      </c>
      <c r="AG468" s="704">
        <f>SUMPRODUCT((Producción_Agricola[[#This Row],[Mes Económico]]=Tipo_Cambio[Mes])*(Producción_Agricola[[#This Row],[Año Económico]]=Tipo_Cambio[Año])*(Tipo_Cambio[$/U$S]))</f>
        <v>0</v>
      </c>
      <c r="AH468" s="703">
        <f>SUMPRODUCT((Producción_Agricola[[#This Row],[Mes Económico]]=Tipo_Cambio[Mes])*(Producción_Agricola[[#This Row],[Año Económico]]=Tipo_Cambio[Año])*(Tipo_Cambio[Actualización]))</f>
        <v>0</v>
      </c>
      <c r="AI468" s="699">
        <f>IF(ISNUMBER(Producción_Agricola[[#This Row],[Fecha Financiero]])=TRUE,MONTH(Producción_Agricola[[#This Row],[Fecha Financiero]]),0)</f>
        <v>0</v>
      </c>
      <c r="AJ468" s="699">
        <f>IF(ISNUMBER(Producción_Agricola[[#This Row],[Fecha Financiero]])=TRUE,YEAR(Producción_Agricola[[#This Row],[Fecha Financiero]]),0)</f>
        <v>0</v>
      </c>
      <c r="AK468" s="704">
        <f>SUMPRODUCT((Producción_Agricola[[#This Row],[Mes Financiero]]=Tipo_Cambio[Mes])*(Producción_Agricola[[#This Row],[Año Financiero]]=Tipo_Cambio[Año])*(Tipo_Cambio[$/U$S]))</f>
        <v>0</v>
      </c>
      <c r="AL468" s="704">
        <f>SUMPRODUCT((Producción_Agricola[[#This Row],[Mes Financiero]]=Tipo_Cambio[Mes])*(Producción_Agricola[[#This Row],[Año Financiero]]=Tipo_Cambio[Año])*(Tipo_Cambio[Actualización]))</f>
        <v>0</v>
      </c>
      <c r="AM468" s="709">
        <f>IFERROR(Producción_Agricola[[#This Row],[Económico $Corrientes]]/Producción_Agricola[[#This Row],[Superficie]],0)</f>
        <v>0</v>
      </c>
      <c r="AN468" s="712">
        <f>IFERROR(Producción_Agricola[[#This Row],[Económico $Constantes]]/Producción_Agricola[[#This Row],[Superficie]],0)</f>
        <v>0</v>
      </c>
      <c r="AO468" s="712">
        <f>IFERROR(Producción_Agricola[[#This Row],[Económico U$S Dólares]]/Producción_Agricola[[#This Row],[Superficie]],0)</f>
        <v>0</v>
      </c>
      <c r="AP468" s="711">
        <f>IF(Económico!$F$4=0,0,Producción_Agricola[[#This Row],[Centro de Costo]])</f>
        <v>0</v>
      </c>
      <c r="AQ468" s="512"/>
      <c r="AR468" s="513"/>
      <c r="AS468"/>
    </row>
    <row r="469" spans="1:45" x14ac:dyDescent="0.25">
      <c r="A469" s="509"/>
      <c r="B469" s="494"/>
      <c r="C469" s="509"/>
      <c r="D469" s="478"/>
      <c r="E469" s="478"/>
      <c r="F469" s="668">
        <f t="shared" si="62"/>
        <v>0</v>
      </c>
      <c r="G469" s="673">
        <f t="shared" si="63"/>
        <v>0</v>
      </c>
      <c r="H469" s="673">
        <f t="shared" si="64"/>
        <v>0</v>
      </c>
      <c r="I469" s="675">
        <f>IFERROR(INDEX(Tabla8[],MATCH(Producción_Agricola[[#This Row],[Unidad de Negocio]],Tabla8[Unidades de Negocio],0),2),0)</f>
        <v>0</v>
      </c>
      <c r="J46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69" s="488"/>
      <c r="L469" s="482"/>
      <c r="M469" s="483"/>
      <c r="N469" s="484"/>
      <c r="O469" s="690">
        <f>Producción_Agricola[[#This Row],[Superficie]]*Producción_Agricola[[#This Row],[Cantidad]]</f>
        <v>0</v>
      </c>
      <c r="P469" s="482"/>
      <c r="Q469" s="484"/>
      <c r="R469" s="485"/>
      <c r="S46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69" s="695">
        <f>IFERROR(Producción_Agricola[[#This Row],[Económico $Corrientes]]/Producción_Agricola[[#This Row],[Indexación Económico]],0)</f>
        <v>0</v>
      </c>
      <c r="U46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6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69" s="695">
        <f>IFERROR(Producción_Agricola[[#This Row],[Financiero $Corrientes]]/Producción_Agricola[[#This Row],[Indexación Financiero]],0)</f>
        <v>0</v>
      </c>
      <c r="X46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6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69" s="699">
        <f>IFERROR(Producción_Agricola[[#This Row],[Intereses $Corrientes]]/Producción_Agricola[[#This Row],[Indexación Financiero]],0)</f>
        <v>0</v>
      </c>
      <c r="AA46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69" s="701">
        <f>IFERROR(INDEX(Produccion_Agricola_Cuentas[],MATCH(Producción_Agricola[[#This Row],[Cuenta Contable]],Produccion_Agricola_Cuentas[Cuenta Contable],0),2),0)</f>
        <v>0</v>
      </c>
      <c r="AC469" s="702">
        <f>IFERROR(INDEX(Tabla9[],MATCH(Producción_Agricola[[#This Row],[Movimiento]],Tabla9[Movimientos],0),2),0)</f>
        <v>0</v>
      </c>
      <c r="AD469" s="703">
        <f>IFERROR(INDEX(Tabla9[],MATCH(Producción_Agricola[[#This Row],[Movimiento]],Tabla9[Movimientos],0),3),0)</f>
        <v>0</v>
      </c>
      <c r="AE469" s="698">
        <f>IF(Producción_Agricola[[#This Row],[Fecha Económico]]=0,0,MONTH(Producción_Agricola[[#This Row],[Fecha Económico]]))</f>
        <v>0</v>
      </c>
      <c r="AF469" s="699">
        <f>IF(Producción_Agricola[[#This Row],[Fecha Económico]]=0,0,YEAR(Producción_Agricola[[#This Row],[Fecha Económico]]))</f>
        <v>0</v>
      </c>
      <c r="AG469" s="704">
        <f>SUMPRODUCT((Producción_Agricola[[#This Row],[Mes Económico]]=Tipo_Cambio[Mes])*(Producción_Agricola[[#This Row],[Año Económico]]=Tipo_Cambio[Año])*(Tipo_Cambio[$/U$S]))</f>
        <v>0</v>
      </c>
      <c r="AH469" s="703">
        <f>SUMPRODUCT((Producción_Agricola[[#This Row],[Mes Económico]]=Tipo_Cambio[Mes])*(Producción_Agricola[[#This Row],[Año Económico]]=Tipo_Cambio[Año])*(Tipo_Cambio[Actualización]))</f>
        <v>0</v>
      </c>
      <c r="AI469" s="699">
        <f>IF(ISNUMBER(Producción_Agricola[[#This Row],[Fecha Financiero]])=TRUE,MONTH(Producción_Agricola[[#This Row],[Fecha Financiero]]),0)</f>
        <v>0</v>
      </c>
      <c r="AJ469" s="699">
        <f>IF(ISNUMBER(Producción_Agricola[[#This Row],[Fecha Financiero]])=TRUE,YEAR(Producción_Agricola[[#This Row],[Fecha Financiero]]),0)</f>
        <v>0</v>
      </c>
      <c r="AK469" s="704">
        <f>SUMPRODUCT((Producción_Agricola[[#This Row],[Mes Financiero]]=Tipo_Cambio[Mes])*(Producción_Agricola[[#This Row],[Año Financiero]]=Tipo_Cambio[Año])*(Tipo_Cambio[$/U$S]))</f>
        <v>0</v>
      </c>
      <c r="AL469" s="704">
        <f>SUMPRODUCT((Producción_Agricola[[#This Row],[Mes Financiero]]=Tipo_Cambio[Mes])*(Producción_Agricola[[#This Row],[Año Financiero]]=Tipo_Cambio[Año])*(Tipo_Cambio[Actualización]))</f>
        <v>0</v>
      </c>
      <c r="AM469" s="709">
        <f>IFERROR(Producción_Agricola[[#This Row],[Económico $Corrientes]]/Producción_Agricola[[#This Row],[Superficie]],0)</f>
        <v>0</v>
      </c>
      <c r="AN469" s="712">
        <f>IFERROR(Producción_Agricola[[#This Row],[Económico $Constantes]]/Producción_Agricola[[#This Row],[Superficie]],0)</f>
        <v>0</v>
      </c>
      <c r="AO469" s="712">
        <f>IFERROR(Producción_Agricola[[#This Row],[Económico U$S Dólares]]/Producción_Agricola[[#This Row],[Superficie]],0)</f>
        <v>0</v>
      </c>
      <c r="AP469" s="711">
        <f>IF(Económico!$F$4=0,0,Producción_Agricola[[#This Row],[Centro de Costo]])</f>
        <v>0</v>
      </c>
      <c r="AQ469" s="512"/>
      <c r="AR469" s="513"/>
      <c r="AS469"/>
    </row>
    <row r="470" spans="1:45" x14ac:dyDescent="0.25">
      <c r="A470" s="509"/>
      <c r="B470" s="494"/>
      <c r="C470" s="509"/>
      <c r="D470" s="478"/>
      <c r="E470" s="478"/>
      <c r="F470" s="668">
        <f t="shared" si="62"/>
        <v>0</v>
      </c>
      <c r="G470" s="673">
        <f t="shared" si="63"/>
        <v>0</v>
      </c>
      <c r="H470" s="673">
        <f t="shared" si="64"/>
        <v>0</v>
      </c>
      <c r="I470" s="675">
        <f>IFERROR(INDEX(Tabla8[],MATCH(Producción_Agricola[[#This Row],[Unidad de Negocio]],Tabla8[Unidades de Negocio],0),2),0)</f>
        <v>0</v>
      </c>
      <c r="J47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70" s="488"/>
      <c r="L470" s="482"/>
      <c r="M470" s="483"/>
      <c r="N470" s="484"/>
      <c r="O470" s="690">
        <f>Producción_Agricola[[#This Row],[Superficie]]*Producción_Agricola[[#This Row],[Cantidad]]</f>
        <v>0</v>
      </c>
      <c r="P470" s="482"/>
      <c r="Q470" s="484"/>
      <c r="R470" s="485"/>
      <c r="S47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70" s="695">
        <f>IFERROR(Producción_Agricola[[#This Row],[Económico $Corrientes]]/Producción_Agricola[[#This Row],[Indexación Económico]],0)</f>
        <v>0</v>
      </c>
      <c r="U47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7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70" s="695">
        <f>IFERROR(Producción_Agricola[[#This Row],[Financiero $Corrientes]]/Producción_Agricola[[#This Row],[Indexación Financiero]],0)</f>
        <v>0</v>
      </c>
      <c r="X47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7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70" s="699">
        <f>IFERROR(Producción_Agricola[[#This Row],[Intereses $Corrientes]]/Producción_Agricola[[#This Row],[Indexación Financiero]],0)</f>
        <v>0</v>
      </c>
      <c r="AA47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70" s="701">
        <f>IFERROR(INDEX(Produccion_Agricola_Cuentas[],MATCH(Producción_Agricola[[#This Row],[Cuenta Contable]],Produccion_Agricola_Cuentas[Cuenta Contable],0),2),0)</f>
        <v>0</v>
      </c>
      <c r="AC470" s="702">
        <f>IFERROR(INDEX(Tabla9[],MATCH(Producción_Agricola[[#This Row],[Movimiento]],Tabla9[Movimientos],0),2),0)</f>
        <v>0</v>
      </c>
      <c r="AD470" s="703">
        <f>IFERROR(INDEX(Tabla9[],MATCH(Producción_Agricola[[#This Row],[Movimiento]],Tabla9[Movimientos],0),3),0)</f>
        <v>0</v>
      </c>
      <c r="AE470" s="698">
        <f>IF(Producción_Agricola[[#This Row],[Fecha Económico]]=0,0,MONTH(Producción_Agricola[[#This Row],[Fecha Económico]]))</f>
        <v>0</v>
      </c>
      <c r="AF470" s="699">
        <f>IF(Producción_Agricola[[#This Row],[Fecha Económico]]=0,0,YEAR(Producción_Agricola[[#This Row],[Fecha Económico]]))</f>
        <v>0</v>
      </c>
      <c r="AG470" s="704">
        <f>SUMPRODUCT((Producción_Agricola[[#This Row],[Mes Económico]]=Tipo_Cambio[Mes])*(Producción_Agricola[[#This Row],[Año Económico]]=Tipo_Cambio[Año])*(Tipo_Cambio[$/U$S]))</f>
        <v>0</v>
      </c>
      <c r="AH470" s="703">
        <f>SUMPRODUCT((Producción_Agricola[[#This Row],[Mes Económico]]=Tipo_Cambio[Mes])*(Producción_Agricola[[#This Row],[Año Económico]]=Tipo_Cambio[Año])*(Tipo_Cambio[Actualización]))</f>
        <v>0</v>
      </c>
      <c r="AI470" s="699">
        <f>IF(ISNUMBER(Producción_Agricola[[#This Row],[Fecha Financiero]])=TRUE,MONTH(Producción_Agricola[[#This Row],[Fecha Financiero]]),0)</f>
        <v>0</v>
      </c>
      <c r="AJ470" s="699">
        <f>IF(ISNUMBER(Producción_Agricola[[#This Row],[Fecha Financiero]])=TRUE,YEAR(Producción_Agricola[[#This Row],[Fecha Financiero]]),0)</f>
        <v>0</v>
      </c>
      <c r="AK470" s="704">
        <f>SUMPRODUCT((Producción_Agricola[[#This Row],[Mes Financiero]]=Tipo_Cambio[Mes])*(Producción_Agricola[[#This Row],[Año Financiero]]=Tipo_Cambio[Año])*(Tipo_Cambio[$/U$S]))</f>
        <v>0</v>
      </c>
      <c r="AL470" s="704">
        <f>SUMPRODUCT((Producción_Agricola[[#This Row],[Mes Financiero]]=Tipo_Cambio[Mes])*(Producción_Agricola[[#This Row],[Año Financiero]]=Tipo_Cambio[Año])*(Tipo_Cambio[Actualización]))</f>
        <v>0</v>
      </c>
      <c r="AM470" s="709">
        <f>IFERROR(Producción_Agricola[[#This Row],[Económico $Corrientes]]/Producción_Agricola[[#This Row],[Superficie]],0)</f>
        <v>0</v>
      </c>
      <c r="AN470" s="712">
        <f>IFERROR(Producción_Agricola[[#This Row],[Económico $Constantes]]/Producción_Agricola[[#This Row],[Superficie]],0)</f>
        <v>0</v>
      </c>
      <c r="AO470" s="712">
        <f>IFERROR(Producción_Agricola[[#This Row],[Económico U$S Dólares]]/Producción_Agricola[[#This Row],[Superficie]],0)</f>
        <v>0</v>
      </c>
      <c r="AP470" s="711">
        <f>IF(Económico!$F$4=0,0,Producción_Agricola[[#This Row],[Centro de Costo]])</f>
        <v>0</v>
      </c>
      <c r="AQ470" s="512"/>
      <c r="AR470" s="513"/>
      <c r="AS470"/>
    </row>
    <row r="471" spans="1:45" x14ac:dyDescent="0.25">
      <c r="A471" s="509"/>
      <c r="B471" s="494"/>
      <c r="C471" s="509"/>
      <c r="D471" s="478"/>
      <c r="E471" s="478"/>
      <c r="F471" s="668">
        <f t="shared" si="62"/>
        <v>0</v>
      </c>
      <c r="G471" s="673">
        <f t="shared" si="63"/>
        <v>0</v>
      </c>
      <c r="H471" s="673">
        <f t="shared" si="64"/>
        <v>0</v>
      </c>
      <c r="I471" s="675">
        <f>IFERROR(INDEX(Tabla8[],MATCH(Producción_Agricola[[#This Row],[Unidad de Negocio]],Tabla8[Unidades de Negocio],0),2),0)</f>
        <v>0</v>
      </c>
      <c r="J47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71" s="488"/>
      <c r="L471" s="482"/>
      <c r="M471" s="483"/>
      <c r="N471" s="484"/>
      <c r="O471" s="690">
        <f>Producción_Agricola[[#This Row],[Superficie]]*Producción_Agricola[[#This Row],[Cantidad]]</f>
        <v>0</v>
      </c>
      <c r="P471" s="482"/>
      <c r="Q471" s="484"/>
      <c r="R471" s="485"/>
      <c r="S47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71" s="695">
        <f>IFERROR(Producción_Agricola[[#This Row],[Económico $Corrientes]]/Producción_Agricola[[#This Row],[Indexación Económico]],0)</f>
        <v>0</v>
      </c>
      <c r="U47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7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71" s="695">
        <f>IFERROR(Producción_Agricola[[#This Row],[Financiero $Corrientes]]/Producción_Agricola[[#This Row],[Indexación Financiero]],0)</f>
        <v>0</v>
      </c>
      <c r="X47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7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71" s="699">
        <f>IFERROR(Producción_Agricola[[#This Row],[Intereses $Corrientes]]/Producción_Agricola[[#This Row],[Indexación Financiero]],0)</f>
        <v>0</v>
      </c>
      <c r="AA47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71" s="701">
        <f>IFERROR(INDEX(Produccion_Agricola_Cuentas[],MATCH(Producción_Agricola[[#This Row],[Cuenta Contable]],Produccion_Agricola_Cuentas[Cuenta Contable],0),2),0)</f>
        <v>0</v>
      </c>
      <c r="AC471" s="702">
        <f>IFERROR(INDEX(Tabla9[],MATCH(Producción_Agricola[[#This Row],[Movimiento]],Tabla9[Movimientos],0),2),0)</f>
        <v>0</v>
      </c>
      <c r="AD471" s="703">
        <f>IFERROR(INDEX(Tabla9[],MATCH(Producción_Agricola[[#This Row],[Movimiento]],Tabla9[Movimientos],0),3),0)</f>
        <v>0</v>
      </c>
      <c r="AE471" s="698">
        <f>IF(Producción_Agricola[[#This Row],[Fecha Económico]]=0,0,MONTH(Producción_Agricola[[#This Row],[Fecha Económico]]))</f>
        <v>0</v>
      </c>
      <c r="AF471" s="699">
        <f>IF(Producción_Agricola[[#This Row],[Fecha Económico]]=0,0,YEAR(Producción_Agricola[[#This Row],[Fecha Económico]]))</f>
        <v>0</v>
      </c>
      <c r="AG471" s="704">
        <f>SUMPRODUCT((Producción_Agricola[[#This Row],[Mes Económico]]=Tipo_Cambio[Mes])*(Producción_Agricola[[#This Row],[Año Económico]]=Tipo_Cambio[Año])*(Tipo_Cambio[$/U$S]))</f>
        <v>0</v>
      </c>
      <c r="AH471" s="703">
        <f>SUMPRODUCT((Producción_Agricola[[#This Row],[Mes Económico]]=Tipo_Cambio[Mes])*(Producción_Agricola[[#This Row],[Año Económico]]=Tipo_Cambio[Año])*(Tipo_Cambio[Actualización]))</f>
        <v>0</v>
      </c>
      <c r="AI471" s="699">
        <f>IF(ISNUMBER(Producción_Agricola[[#This Row],[Fecha Financiero]])=TRUE,MONTH(Producción_Agricola[[#This Row],[Fecha Financiero]]),0)</f>
        <v>0</v>
      </c>
      <c r="AJ471" s="699">
        <f>IF(ISNUMBER(Producción_Agricola[[#This Row],[Fecha Financiero]])=TRUE,YEAR(Producción_Agricola[[#This Row],[Fecha Financiero]]),0)</f>
        <v>0</v>
      </c>
      <c r="AK471" s="704">
        <f>SUMPRODUCT((Producción_Agricola[[#This Row],[Mes Financiero]]=Tipo_Cambio[Mes])*(Producción_Agricola[[#This Row],[Año Financiero]]=Tipo_Cambio[Año])*(Tipo_Cambio[$/U$S]))</f>
        <v>0</v>
      </c>
      <c r="AL471" s="704">
        <f>SUMPRODUCT((Producción_Agricola[[#This Row],[Mes Financiero]]=Tipo_Cambio[Mes])*(Producción_Agricola[[#This Row],[Año Financiero]]=Tipo_Cambio[Año])*(Tipo_Cambio[Actualización]))</f>
        <v>0</v>
      </c>
      <c r="AM471" s="709">
        <f>IFERROR(Producción_Agricola[[#This Row],[Económico $Corrientes]]/Producción_Agricola[[#This Row],[Superficie]],0)</f>
        <v>0</v>
      </c>
      <c r="AN471" s="712">
        <f>IFERROR(Producción_Agricola[[#This Row],[Económico $Constantes]]/Producción_Agricola[[#This Row],[Superficie]],0)</f>
        <v>0</v>
      </c>
      <c r="AO471" s="712">
        <f>IFERROR(Producción_Agricola[[#This Row],[Económico U$S Dólares]]/Producción_Agricola[[#This Row],[Superficie]],0)</f>
        <v>0</v>
      </c>
      <c r="AP471" s="711">
        <f>IF(Económico!$F$4=0,0,Producción_Agricola[[#This Row],[Centro de Costo]])</f>
        <v>0</v>
      </c>
      <c r="AQ471" s="512"/>
      <c r="AR471" s="513"/>
      <c r="AS471"/>
    </row>
    <row r="472" spans="1:45" x14ac:dyDescent="0.25">
      <c r="A472" s="509"/>
      <c r="B472" s="494"/>
      <c r="C472" s="509"/>
      <c r="D472" s="478"/>
      <c r="E472" s="478"/>
      <c r="F472" s="668">
        <f t="shared" si="62"/>
        <v>0</v>
      </c>
      <c r="G472" s="673">
        <f t="shared" si="63"/>
        <v>0</v>
      </c>
      <c r="H472" s="673">
        <f t="shared" si="64"/>
        <v>0</v>
      </c>
      <c r="I472" s="675">
        <f>IFERROR(INDEX(Tabla8[],MATCH(Producción_Agricola[[#This Row],[Unidad de Negocio]],Tabla8[Unidades de Negocio],0),2),0)</f>
        <v>0</v>
      </c>
      <c r="J47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72" s="488"/>
      <c r="L472" s="482"/>
      <c r="M472" s="483"/>
      <c r="N472" s="484"/>
      <c r="O472" s="690">
        <f>Producción_Agricola[[#This Row],[Superficie]]*Producción_Agricola[[#This Row],[Cantidad]]</f>
        <v>0</v>
      </c>
      <c r="P472" s="482"/>
      <c r="Q472" s="484"/>
      <c r="R472" s="485"/>
      <c r="S47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72" s="695">
        <f>IFERROR(Producción_Agricola[[#This Row],[Económico $Corrientes]]/Producción_Agricola[[#This Row],[Indexación Económico]],0)</f>
        <v>0</v>
      </c>
      <c r="U47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7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72" s="695">
        <f>IFERROR(Producción_Agricola[[#This Row],[Financiero $Corrientes]]/Producción_Agricola[[#This Row],[Indexación Financiero]],0)</f>
        <v>0</v>
      </c>
      <c r="X47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7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72" s="699">
        <f>IFERROR(Producción_Agricola[[#This Row],[Intereses $Corrientes]]/Producción_Agricola[[#This Row],[Indexación Financiero]],0)</f>
        <v>0</v>
      </c>
      <c r="AA47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72" s="701">
        <f>IFERROR(INDEX(Produccion_Agricola_Cuentas[],MATCH(Producción_Agricola[[#This Row],[Cuenta Contable]],Produccion_Agricola_Cuentas[Cuenta Contable],0),2),0)</f>
        <v>0</v>
      </c>
      <c r="AC472" s="702">
        <f>IFERROR(INDEX(Tabla9[],MATCH(Producción_Agricola[[#This Row],[Movimiento]],Tabla9[Movimientos],0),2),0)</f>
        <v>0</v>
      </c>
      <c r="AD472" s="703">
        <f>IFERROR(INDEX(Tabla9[],MATCH(Producción_Agricola[[#This Row],[Movimiento]],Tabla9[Movimientos],0),3),0)</f>
        <v>0</v>
      </c>
      <c r="AE472" s="698">
        <f>IF(Producción_Agricola[[#This Row],[Fecha Económico]]=0,0,MONTH(Producción_Agricola[[#This Row],[Fecha Económico]]))</f>
        <v>0</v>
      </c>
      <c r="AF472" s="699">
        <f>IF(Producción_Agricola[[#This Row],[Fecha Económico]]=0,0,YEAR(Producción_Agricola[[#This Row],[Fecha Económico]]))</f>
        <v>0</v>
      </c>
      <c r="AG472" s="704">
        <f>SUMPRODUCT((Producción_Agricola[[#This Row],[Mes Económico]]=Tipo_Cambio[Mes])*(Producción_Agricola[[#This Row],[Año Económico]]=Tipo_Cambio[Año])*(Tipo_Cambio[$/U$S]))</f>
        <v>0</v>
      </c>
      <c r="AH472" s="703">
        <f>SUMPRODUCT((Producción_Agricola[[#This Row],[Mes Económico]]=Tipo_Cambio[Mes])*(Producción_Agricola[[#This Row],[Año Económico]]=Tipo_Cambio[Año])*(Tipo_Cambio[Actualización]))</f>
        <v>0</v>
      </c>
      <c r="AI472" s="699">
        <f>IF(ISNUMBER(Producción_Agricola[[#This Row],[Fecha Financiero]])=TRUE,MONTH(Producción_Agricola[[#This Row],[Fecha Financiero]]),0)</f>
        <v>0</v>
      </c>
      <c r="AJ472" s="699">
        <f>IF(ISNUMBER(Producción_Agricola[[#This Row],[Fecha Financiero]])=TRUE,YEAR(Producción_Agricola[[#This Row],[Fecha Financiero]]),0)</f>
        <v>0</v>
      </c>
      <c r="AK472" s="704">
        <f>SUMPRODUCT((Producción_Agricola[[#This Row],[Mes Financiero]]=Tipo_Cambio[Mes])*(Producción_Agricola[[#This Row],[Año Financiero]]=Tipo_Cambio[Año])*(Tipo_Cambio[$/U$S]))</f>
        <v>0</v>
      </c>
      <c r="AL472" s="704">
        <f>SUMPRODUCT((Producción_Agricola[[#This Row],[Mes Financiero]]=Tipo_Cambio[Mes])*(Producción_Agricola[[#This Row],[Año Financiero]]=Tipo_Cambio[Año])*(Tipo_Cambio[Actualización]))</f>
        <v>0</v>
      </c>
      <c r="AM472" s="709">
        <f>IFERROR(Producción_Agricola[[#This Row],[Económico $Corrientes]]/Producción_Agricola[[#This Row],[Superficie]],0)</f>
        <v>0</v>
      </c>
      <c r="AN472" s="712">
        <f>IFERROR(Producción_Agricola[[#This Row],[Económico $Constantes]]/Producción_Agricola[[#This Row],[Superficie]],0)</f>
        <v>0</v>
      </c>
      <c r="AO472" s="712">
        <f>IFERROR(Producción_Agricola[[#This Row],[Económico U$S Dólares]]/Producción_Agricola[[#This Row],[Superficie]],0)</f>
        <v>0</v>
      </c>
      <c r="AP472" s="711">
        <f>IF(Económico!$F$4=0,0,Producción_Agricola[[#This Row],[Centro de Costo]])</f>
        <v>0</v>
      </c>
      <c r="AQ472" s="512"/>
      <c r="AR472" s="513"/>
      <c r="AS472"/>
    </row>
    <row r="473" spans="1:45" x14ac:dyDescent="0.25">
      <c r="A473" s="509"/>
      <c r="B473" s="494"/>
      <c r="C473" s="509"/>
      <c r="D473" s="478"/>
      <c r="E473" s="478"/>
      <c r="F473" s="668">
        <f t="shared" si="62"/>
        <v>0</v>
      </c>
      <c r="G473" s="673">
        <f t="shared" si="63"/>
        <v>0</v>
      </c>
      <c r="H473" s="673">
        <f t="shared" si="64"/>
        <v>0</v>
      </c>
      <c r="I473" s="675">
        <f>IFERROR(INDEX(Tabla8[],MATCH(Producción_Agricola[[#This Row],[Unidad de Negocio]],Tabla8[Unidades de Negocio],0),2),0)</f>
        <v>0</v>
      </c>
      <c r="J47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73" s="488"/>
      <c r="L473" s="482"/>
      <c r="M473" s="483"/>
      <c r="N473" s="484"/>
      <c r="O473" s="690">
        <f>Producción_Agricola[[#This Row],[Superficie]]*Producción_Agricola[[#This Row],[Cantidad]]</f>
        <v>0</v>
      </c>
      <c r="P473" s="482"/>
      <c r="Q473" s="484"/>
      <c r="R473" s="485"/>
      <c r="S47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73" s="695">
        <f>IFERROR(Producción_Agricola[[#This Row],[Económico $Corrientes]]/Producción_Agricola[[#This Row],[Indexación Económico]],0)</f>
        <v>0</v>
      </c>
      <c r="U47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7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73" s="695">
        <f>IFERROR(Producción_Agricola[[#This Row],[Financiero $Corrientes]]/Producción_Agricola[[#This Row],[Indexación Financiero]],0)</f>
        <v>0</v>
      </c>
      <c r="X47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7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73" s="699">
        <f>IFERROR(Producción_Agricola[[#This Row],[Intereses $Corrientes]]/Producción_Agricola[[#This Row],[Indexación Financiero]],0)</f>
        <v>0</v>
      </c>
      <c r="AA47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73" s="701">
        <f>IFERROR(INDEX(Produccion_Agricola_Cuentas[],MATCH(Producción_Agricola[[#This Row],[Cuenta Contable]],Produccion_Agricola_Cuentas[Cuenta Contable],0),2),0)</f>
        <v>0</v>
      </c>
      <c r="AC473" s="702">
        <f>IFERROR(INDEX(Tabla9[],MATCH(Producción_Agricola[[#This Row],[Movimiento]],Tabla9[Movimientos],0),2),0)</f>
        <v>0</v>
      </c>
      <c r="AD473" s="703">
        <f>IFERROR(INDEX(Tabla9[],MATCH(Producción_Agricola[[#This Row],[Movimiento]],Tabla9[Movimientos],0),3),0)</f>
        <v>0</v>
      </c>
      <c r="AE473" s="698">
        <f>IF(Producción_Agricola[[#This Row],[Fecha Económico]]=0,0,MONTH(Producción_Agricola[[#This Row],[Fecha Económico]]))</f>
        <v>0</v>
      </c>
      <c r="AF473" s="699">
        <f>IF(Producción_Agricola[[#This Row],[Fecha Económico]]=0,0,YEAR(Producción_Agricola[[#This Row],[Fecha Económico]]))</f>
        <v>0</v>
      </c>
      <c r="AG473" s="704">
        <f>SUMPRODUCT((Producción_Agricola[[#This Row],[Mes Económico]]=Tipo_Cambio[Mes])*(Producción_Agricola[[#This Row],[Año Económico]]=Tipo_Cambio[Año])*(Tipo_Cambio[$/U$S]))</f>
        <v>0</v>
      </c>
      <c r="AH473" s="703">
        <f>SUMPRODUCT((Producción_Agricola[[#This Row],[Mes Económico]]=Tipo_Cambio[Mes])*(Producción_Agricola[[#This Row],[Año Económico]]=Tipo_Cambio[Año])*(Tipo_Cambio[Actualización]))</f>
        <v>0</v>
      </c>
      <c r="AI473" s="699">
        <f>IF(ISNUMBER(Producción_Agricola[[#This Row],[Fecha Financiero]])=TRUE,MONTH(Producción_Agricola[[#This Row],[Fecha Financiero]]),0)</f>
        <v>0</v>
      </c>
      <c r="AJ473" s="699">
        <f>IF(ISNUMBER(Producción_Agricola[[#This Row],[Fecha Financiero]])=TRUE,YEAR(Producción_Agricola[[#This Row],[Fecha Financiero]]),0)</f>
        <v>0</v>
      </c>
      <c r="AK473" s="704">
        <f>SUMPRODUCT((Producción_Agricola[[#This Row],[Mes Financiero]]=Tipo_Cambio[Mes])*(Producción_Agricola[[#This Row],[Año Financiero]]=Tipo_Cambio[Año])*(Tipo_Cambio[$/U$S]))</f>
        <v>0</v>
      </c>
      <c r="AL473" s="704">
        <f>SUMPRODUCT((Producción_Agricola[[#This Row],[Mes Financiero]]=Tipo_Cambio[Mes])*(Producción_Agricola[[#This Row],[Año Financiero]]=Tipo_Cambio[Año])*(Tipo_Cambio[Actualización]))</f>
        <v>0</v>
      </c>
      <c r="AM473" s="709">
        <f>IFERROR(Producción_Agricola[[#This Row],[Económico $Corrientes]]/Producción_Agricola[[#This Row],[Superficie]],0)</f>
        <v>0</v>
      </c>
      <c r="AN473" s="712">
        <f>IFERROR(Producción_Agricola[[#This Row],[Económico $Constantes]]/Producción_Agricola[[#This Row],[Superficie]],0)</f>
        <v>0</v>
      </c>
      <c r="AO473" s="712">
        <f>IFERROR(Producción_Agricola[[#This Row],[Económico U$S Dólares]]/Producción_Agricola[[#This Row],[Superficie]],0)</f>
        <v>0</v>
      </c>
      <c r="AP473" s="711">
        <f>IF(Económico!$F$4=0,0,Producción_Agricola[[#This Row],[Centro de Costo]])</f>
        <v>0</v>
      </c>
      <c r="AQ473" s="512"/>
      <c r="AR473" s="513"/>
      <c r="AS473"/>
    </row>
    <row r="474" spans="1:45" x14ac:dyDescent="0.25">
      <c r="A474" s="509"/>
      <c r="B474" s="494"/>
      <c r="C474" s="509"/>
      <c r="D474" s="478"/>
      <c r="E474" s="478"/>
      <c r="F474" s="668">
        <f t="shared" si="62"/>
        <v>0</v>
      </c>
      <c r="G474" s="673">
        <f t="shared" si="63"/>
        <v>0</v>
      </c>
      <c r="H474" s="673">
        <f t="shared" si="64"/>
        <v>0</v>
      </c>
      <c r="I474" s="675">
        <f>IFERROR(INDEX(Tabla8[],MATCH(Producción_Agricola[[#This Row],[Unidad de Negocio]],Tabla8[Unidades de Negocio],0),2),0)</f>
        <v>0</v>
      </c>
      <c r="J47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74" s="488"/>
      <c r="L474" s="482"/>
      <c r="M474" s="483"/>
      <c r="N474" s="484"/>
      <c r="O474" s="690">
        <f>Producción_Agricola[[#This Row],[Superficie]]*Producción_Agricola[[#This Row],[Cantidad]]</f>
        <v>0</v>
      </c>
      <c r="P474" s="482"/>
      <c r="Q474" s="484"/>
      <c r="R474" s="485"/>
      <c r="S47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74" s="695">
        <f>IFERROR(Producción_Agricola[[#This Row],[Económico $Corrientes]]/Producción_Agricola[[#This Row],[Indexación Económico]],0)</f>
        <v>0</v>
      </c>
      <c r="U47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7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74" s="695">
        <f>IFERROR(Producción_Agricola[[#This Row],[Financiero $Corrientes]]/Producción_Agricola[[#This Row],[Indexación Financiero]],0)</f>
        <v>0</v>
      </c>
      <c r="X47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7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74" s="699">
        <f>IFERROR(Producción_Agricola[[#This Row],[Intereses $Corrientes]]/Producción_Agricola[[#This Row],[Indexación Financiero]],0)</f>
        <v>0</v>
      </c>
      <c r="AA47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74" s="701">
        <f>IFERROR(INDEX(Produccion_Agricola_Cuentas[],MATCH(Producción_Agricola[[#This Row],[Cuenta Contable]],Produccion_Agricola_Cuentas[Cuenta Contable],0),2),0)</f>
        <v>0</v>
      </c>
      <c r="AC474" s="702">
        <f>IFERROR(INDEX(Tabla9[],MATCH(Producción_Agricola[[#This Row],[Movimiento]],Tabla9[Movimientos],0),2),0)</f>
        <v>0</v>
      </c>
      <c r="AD474" s="703">
        <f>IFERROR(INDEX(Tabla9[],MATCH(Producción_Agricola[[#This Row],[Movimiento]],Tabla9[Movimientos],0),3),0)</f>
        <v>0</v>
      </c>
      <c r="AE474" s="698">
        <f>IF(Producción_Agricola[[#This Row],[Fecha Económico]]=0,0,MONTH(Producción_Agricola[[#This Row],[Fecha Económico]]))</f>
        <v>0</v>
      </c>
      <c r="AF474" s="699">
        <f>IF(Producción_Agricola[[#This Row],[Fecha Económico]]=0,0,YEAR(Producción_Agricola[[#This Row],[Fecha Económico]]))</f>
        <v>0</v>
      </c>
      <c r="AG474" s="704">
        <f>SUMPRODUCT((Producción_Agricola[[#This Row],[Mes Económico]]=Tipo_Cambio[Mes])*(Producción_Agricola[[#This Row],[Año Económico]]=Tipo_Cambio[Año])*(Tipo_Cambio[$/U$S]))</f>
        <v>0</v>
      </c>
      <c r="AH474" s="703">
        <f>SUMPRODUCT((Producción_Agricola[[#This Row],[Mes Económico]]=Tipo_Cambio[Mes])*(Producción_Agricola[[#This Row],[Año Económico]]=Tipo_Cambio[Año])*(Tipo_Cambio[Actualización]))</f>
        <v>0</v>
      </c>
      <c r="AI474" s="699">
        <f>IF(ISNUMBER(Producción_Agricola[[#This Row],[Fecha Financiero]])=TRUE,MONTH(Producción_Agricola[[#This Row],[Fecha Financiero]]),0)</f>
        <v>0</v>
      </c>
      <c r="AJ474" s="699">
        <f>IF(ISNUMBER(Producción_Agricola[[#This Row],[Fecha Financiero]])=TRUE,YEAR(Producción_Agricola[[#This Row],[Fecha Financiero]]),0)</f>
        <v>0</v>
      </c>
      <c r="AK474" s="704">
        <f>SUMPRODUCT((Producción_Agricola[[#This Row],[Mes Financiero]]=Tipo_Cambio[Mes])*(Producción_Agricola[[#This Row],[Año Financiero]]=Tipo_Cambio[Año])*(Tipo_Cambio[$/U$S]))</f>
        <v>0</v>
      </c>
      <c r="AL474" s="704">
        <f>SUMPRODUCT((Producción_Agricola[[#This Row],[Mes Financiero]]=Tipo_Cambio[Mes])*(Producción_Agricola[[#This Row],[Año Financiero]]=Tipo_Cambio[Año])*(Tipo_Cambio[Actualización]))</f>
        <v>0</v>
      </c>
      <c r="AM474" s="709">
        <f>IFERROR(Producción_Agricola[[#This Row],[Económico $Corrientes]]/Producción_Agricola[[#This Row],[Superficie]],0)</f>
        <v>0</v>
      </c>
      <c r="AN474" s="712">
        <f>IFERROR(Producción_Agricola[[#This Row],[Económico $Constantes]]/Producción_Agricola[[#This Row],[Superficie]],0)</f>
        <v>0</v>
      </c>
      <c r="AO474" s="712">
        <f>IFERROR(Producción_Agricola[[#This Row],[Económico U$S Dólares]]/Producción_Agricola[[#This Row],[Superficie]],0)</f>
        <v>0</v>
      </c>
      <c r="AP474" s="711">
        <f>IF(Económico!$F$4=0,0,Producción_Agricola[[#This Row],[Centro de Costo]])</f>
        <v>0</v>
      </c>
      <c r="AQ474" s="512"/>
      <c r="AR474" s="513"/>
      <c r="AS474"/>
    </row>
    <row r="475" spans="1:45" x14ac:dyDescent="0.25">
      <c r="A475" s="509"/>
      <c r="B475" s="494"/>
      <c r="C475" s="509"/>
      <c r="D475" s="478"/>
      <c r="E475" s="478"/>
      <c r="F475" s="668">
        <f t="shared" si="62"/>
        <v>0</v>
      </c>
      <c r="G475" s="673">
        <f t="shared" si="63"/>
        <v>0</v>
      </c>
      <c r="H475" s="673">
        <f t="shared" si="64"/>
        <v>0</v>
      </c>
      <c r="I475" s="675">
        <f>IFERROR(INDEX(Tabla8[],MATCH(Producción_Agricola[[#This Row],[Unidad de Negocio]],Tabla8[Unidades de Negocio],0),2),0)</f>
        <v>0</v>
      </c>
      <c r="J47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75" s="488"/>
      <c r="L475" s="482"/>
      <c r="M475" s="483"/>
      <c r="N475" s="484"/>
      <c r="O475" s="690">
        <f>Producción_Agricola[[#This Row],[Superficie]]*Producción_Agricola[[#This Row],[Cantidad]]</f>
        <v>0</v>
      </c>
      <c r="P475" s="482"/>
      <c r="Q475" s="484"/>
      <c r="R475" s="485"/>
      <c r="S47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75" s="695">
        <f>IFERROR(Producción_Agricola[[#This Row],[Económico $Corrientes]]/Producción_Agricola[[#This Row],[Indexación Económico]],0)</f>
        <v>0</v>
      </c>
      <c r="U47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7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75" s="695">
        <f>IFERROR(Producción_Agricola[[#This Row],[Financiero $Corrientes]]/Producción_Agricola[[#This Row],[Indexación Financiero]],0)</f>
        <v>0</v>
      </c>
      <c r="X47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7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75" s="699">
        <f>IFERROR(Producción_Agricola[[#This Row],[Intereses $Corrientes]]/Producción_Agricola[[#This Row],[Indexación Financiero]],0)</f>
        <v>0</v>
      </c>
      <c r="AA47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75" s="701">
        <f>IFERROR(INDEX(Produccion_Agricola_Cuentas[],MATCH(Producción_Agricola[[#This Row],[Cuenta Contable]],Produccion_Agricola_Cuentas[Cuenta Contable],0),2),0)</f>
        <v>0</v>
      </c>
      <c r="AC475" s="702">
        <f>IFERROR(INDEX(Tabla9[],MATCH(Producción_Agricola[[#This Row],[Movimiento]],Tabla9[Movimientos],0),2),0)</f>
        <v>0</v>
      </c>
      <c r="AD475" s="703">
        <f>IFERROR(INDEX(Tabla9[],MATCH(Producción_Agricola[[#This Row],[Movimiento]],Tabla9[Movimientos],0),3),0)</f>
        <v>0</v>
      </c>
      <c r="AE475" s="698">
        <f>IF(Producción_Agricola[[#This Row],[Fecha Económico]]=0,0,MONTH(Producción_Agricola[[#This Row],[Fecha Económico]]))</f>
        <v>0</v>
      </c>
      <c r="AF475" s="699">
        <f>IF(Producción_Agricola[[#This Row],[Fecha Económico]]=0,0,YEAR(Producción_Agricola[[#This Row],[Fecha Económico]]))</f>
        <v>0</v>
      </c>
      <c r="AG475" s="704">
        <f>SUMPRODUCT((Producción_Agricola[[#This Row],[Mes Económico]]=Tipo_Cambio[Mes])*(Producción_Agricola[[#This Row],[Año Económico]]=Tipo_Cambio[Año])*(Tipo_Cambio[$/U$S]))</f>
        <v>0</v>
      </c>
      <c r="AH475" s="703">
        <f>SUMPRODUCT((Producción_Agricola[[#This Row],[Mes Económico]]=Tipo_Cambio[Mes])*(Producción_Agricola[[#This Row],[Año Económico]]=Tipo_Cambio[Año])*(Tipo_Cambio[Actualización]))</f>
        <v>0</v>
      </c>
      <c r="AI475" s="699">
        <f>IF(ISNUMBER(Producción_Agricola[[#This Row],[Fecha Financiero]])=TRUE,MONTH(Producción_Agricola[[#This Row],[Fecha Financiero]]),0)</f>
        <v>0</v>
      </c>
      <c r="AJ475" s="699">
        <f>IF(ISNUMBER(Producción_Agricola[[#This Row],[Fecha Financiero]])=TRUE,YEAR(Producción_Agricola[[#This Row],[Fecha Financiero]]),0)</f>
        <v>0</v>
      </c>
      <c r="AK475" s="704">
        <f>SUMPRODUCT((Producción_Agricola[[#This Row],[Mes Financiero]]=Tipo_Cambio[Mes])*(Producción_Agricola[[#This Row],[Año Financiero]]=Tipo_Cambio[Año])*(Tipo_Cambio[$/U$S]))</f>
        <v>0</v>
      </c>
      <c r="AL475" s="704">
        <f>SUMPRODUCT((Producción_Agricola[[#This Row],[Mes Financiero]]=Tipo_Cambio[Mes])*(Producción_Agricola[[#This Row],[Año Financiero]]=Tipo_Cambio[Año])*(Tipo_Cambio[Actualización]))</f>
        <v>0</v>
      </c>
      <c r="AM475" s="709">
        <f>IFERROR(Producción_Agricola[[#This Row],[Económico $Corrientes]]/Producción_Agricola[[#This Row],[Superficie]],0)</f>
        <v>0</v>
      </c>
      <c r="AN475" s="712">
        <f>IFERROR(Producción_Agricola[[#This Row],[Económico $Constantes]]/Producción_Agricola[[#This Row],[Superficie]],0)</f>
        <v>0</v>
      </c>
      <c r="AO475" s="712">
        <f>IFERROR(Producción_Agricola[[#This Row],[Económico U$S Dólares]]/Producción_Agricola[[#This Row],[Superficie]],0)</f>
        <v>0</v>
      </c>
      <c r="AP475" s="711">
        <f>IF(Económico!$F$4=0,0,Producción_Agricola[[#This Row],[Centro de Costo]])</f>
        <v>0</v>
      </c>
      <c r="AQ475" s="512"/>
      <c r="AR475" s="513"/>
      <c r="AS475"/>
    </row>
    <row r="476" spans="1:45" x14ac:dyDescent="0.25">
      <c r="A476" s="509"/>
      <c r="B476" s="494"/>
      <c r="C476" s="509"/>
      <c r="D476" s="478"/>
      <c r="E476" s="478"/>
      <c r="F476" s="668">
        <f t="shared" si="62"/>
        <v>0</v>
      </c>
      <c r="G476" s="673">
        <f t="shared" si="63"/>
        <v>0</v>
      </c>
      <c r="H476" s="673">
        <f t="shared" si="64"/>
        <v>0</v>
      </c>
      <c r="I476" s="675">
        <f>IFERROR(INDEX(Tabla8[],MATCH(Producción_Agricola[[#This Row],[Unidad de Negocio]],Tabla8[Unidades de Negocio],0),2),0)</f>
        <v>0</v>
      </c>
      <c r="J47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76" s="488"/>
      <c r="L476" s="482"/>
      <c r="M476" s="483"/>
      <c r="N476" s="484"/>
      <c r="O476" s="690">
        <f>Producción_Agricola[[#This Row],[Superficie]]*Producción_Agricola[[#This Row],[Cantidad]]</f>
        <v>0</v>
      </c>
      <c r="P476" s="482"/>
      <c r="Q476" s="484"/>
      <c r="R476" s="485"/>
      <c r="S47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76" s="695">
        <f>IFERROR(Producción_Agricola[[#This Row],[Económico $Corrientes]]/Producción_Agricola[[#This Row],[Indexación Económico]],0)</f>
        <v>0</v>
      </c>
      <c r="U47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7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76" s="695">
        <f>IFERROR(Producción_Agricola[[#This Row],[Financiero $Corrientes]]/Producción_Agricola[[#This Row],[Indexación Financiero]],0)</f>
        <v>0</v>
      </c>
      <c r="X47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7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76" s="699">
        <f>IFERROR(Producción_Agricola[[#This Row],[Intereses $Corrientes]]/Producción_Agricola[[#This Row],[Indexación Financiero]],0)</f>
        <v>0</v>
      </c>
      <c r="AA47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76" s="701">
        <f>IFERROR(INDEX(Produccion_Agricola_Cuentas[],MATCH(Producción_Agricola[[#This Row],[Cuenta Contable]],Produccion_Agricola_Cuentas[Cuenta Contable],0),2),0)</f>
        <v>0</v>
      </c>
      <c r="AC476" s="702">
        <f>IFERROR(INDEX(Tabla9[],MATCH(Producción_Agricola[[#This Row],[Movimiento]],Tabla9[Movimientos],0),2),0)</f>
        <v>0</v>
      </c>
      <c r="AD476" s="703">
        <f>IFERROR(INDEX(Tabla9[],MATCH(Producción_Agricola[[#This Row],[Movimiento]],Tabla9[Movimientos],0),3),0)</f>
        <v>0</v>
      </c>
      <c r="AE476" s="698">
        <f>IF(Producción_Agricola[[#This Row],[Fecha Económico]]=0,0,MONTH(Producción_Agricola[[#This Row],[Fecha Económico]]))</f>
        <v>0</v>
      </c>
      <c r="AF476" s="699">
        <f>IF(Producción_Agricola[[#This Row],[Fecha Económico]]=0,0,YEAR(Producción_Agricola[[#This Row],[Fecha Económico]]))</f>
        <v>0</v>
      </c>
      <c r="AG476" s="704">
        <f>SUMPRODUCT((Producción_Agricola[[#This Row],[Mes Económico]]=Tipo_Cambio[Mes])*(Producción_Agricola[[#This Row],[Año Económico]]=Tipo_Cambio[Año])*(Tipo_Cambio[$/U$S]))</f>
        <v>0</v>
      </c>
      <c r="AH476" s="703">
        <f>SUMPRODUCT((Producción_Agricola[[#This Row],[Mes Económico]]=Tipo_Cambio[Mes])*(Producción_Agricola[[#This Row],[Año Económico]]=Tipo_Cambio[Año])*(Tipo_Cambio[Actualización]))</f>
        <v>0</v>
      </c>
      <c r="AI476" s="699">
        <f>IF(ISNUMBER(Producción_Agricola[[#This Row],[Fecha Financiero]])=TRUE,MONTH(Producción_Agricola[[#This Row],[Fecha Financiero]]),0)</f>
        <v>0</v>
      </c>
      <c r="AJ476" s="699">
        <f>IF(ISNUMBER(Producción_Agricola[[#This Row],[Fecha Financiero]])=TRUE,YEAR(Producción_Agricola[[#This Row],[Fecha Financiero]]),0)</f>
        <v>0</v>
      </c>
      <c r="AK476" s="704">
        <f>SUMPRODUCT((Producción_Agricola[[#This Row],[Mes Financiero]]=Tipo_Cambio[Mes])*(Producción_Agricola[[#This Row],[Año Financiero]]=Tipo_Cambio[Año])*(Tipo_Cambio[$/U$S]))</f>
        <v>0</v>
      </c>
      <c r="AL476" s="704">
        <f>SUMPRODUCT((Producción_Agricola[[#This Row],[Mes Financiero]]=Tipo_Cambio[Mes])*(Producción_Agricola[[#This Row],[Año Financiero]]=Tipo_Cambio[Año])*(Tipo_Cambio[Actualización]))</f>
        <v>0</v>
      </c>
      <c r="AM476" s="709">
        <f>IFERROR(Producción_Agricola[[#This Row],[Económico $Corrientes]]/Producción_Agricola[[#This Row],[Superficie]],0)</f>
        <v>0</v>
      </c>
      <c r="AN476" s="712">
        <f>IFERROR(Producción_Agricola[[#This Row],[Económico $Constantes]]/Producción_Agricola[[#This Row],[Superficie]],0)</f>
        <v>0</v>
      </c>
      <c r="AO476" s="712">
        <f>IFERROR(Producción_Agricola[[#This Row],[Económico U$S Dólares]]/Producción_Agricola[[#This Row],[Superficie]],0)</f>
        <v>0</v>
      </c>
      <c r="AP476" s="711">
        <f>IF(Económico!$F$4=0,0,Producción_Agricola[[#This Row],[Centro de Costo]])</f>
        <v>0</v>
      </c>
      <c r="AQ476" s="512"/>
      <c r="AR476" s="513"/>
      <c r="AS476"/>
    </row>
    <row r="477" spans="1:45" x14ac:dyDescent="0.25">
      <c r="A477" s="509"/>
      <c r="B477" s="494"/>
      <c r="C477" s="509"/>
      <c r="D477" s="478"/>
      <c r="E477" s="478"/>
      <c r="F477" s="668">
        <f t="shared" si="62"/>
        <v>0</v>
      </c>
      <c r="G477" s="673">
        <f t="shared" si="63"/>
        <v>0</v>
      </c>
      <c r="H477" s="673">
        <f t="shared" si="64"/>
        <v>0</v>
      </c>
      <c r="I477" s="675">
        <f>IFERROR(INDEX(Tabla8[],MATCH(Producción_Agricola[[#This Row],[Unidad de Negocio]],Tabla8[Unidades de Negocio],0),2),0)</f>
        <v>0</v>
      </c>
      <c r="J47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77" s="488"/>
      <c r="L477" s="482"/>
      <c r="M477" s="483"/>
      <c r="N477" s="484"/>
      <c r="O477" s="690">
        <f>Producción_Agricola[[#This Row],[Superficie]]*Producción_Agricola[[#This Row],[Cantidad]]</f>
        <v>0</v>
      </c>
      <c r="P477" s="482"/>
      <c r="Q477" s="484"/>
      <c r="R477" s="485"/>
      <c r="S47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77" s="695">
        <f>IFERROR(Producción_Agricola[[#This Row],[Económico $Corrientes]]/Producción_Agricola[[#This Row],[Indexación Económico]],0)</f>
        <v>0</v>
      </c>
      <c r="U47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7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77" s="695">
        <f>IFERROR(Producción_Agricola[[#This Row],[Financiero $Corrientes]]/Producción_Agricola[[#This Row],[Indexación Financiero]],0)</f>
        <v>0</v>
      </c>
      <c r="X47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7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77" s="699">
        <f>IFERROR(Producción_Agricola[[#This Row],[Intereses $Corrientes]]/Producción_Agricola[[#This Row],[Indexación Financiero]],0)</f>
        <v>0</v>
      </c>
      <c r="AA47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77" s="701">
        <f>IFERROR(INDEX(Produccion_Agricola_Cuentas[],MATCH(Producción_Agricola[[#This Row],[Cuenta Contable]],Produccion_Agricola_Cuentas[Cuenta Contable],0),2),0)</f>
        <v>0</v>
      </c>
      <c r="AC477" s="702">
        <f>IFERROR(INDEX(Tabla9[],MATCH(Producción_Agricola[[#This Row],[Movimiento]],Tabla9[Movimientos],0),2),0)</f>
        <v>0</v>
      </c>
      <c r="AD477" s="703">
        <f>IFERROR(INDEX(Tabla9[],MATCH(Producción_Agricola[[#This Row],[Movimiento]],Tabla9[Movimientos],0),3),0)</f>
        <v>0</v>
      </c>
      <c r="AE477" s="698">
        <f>IF(Producción_Agricola[[#This Row],[Fecha Económico]]=0,0,MONTH(Producción_Agricola[[#This Row],[Fecha Económico]]))</f>
        <v>0</v>
      </c>
      <c r="AF477" s="699">
        <f>IF(Producción_Agricola[[#This Row],[Fecha Económico]]=0,0,YEAR(Producción_Agricola[[#This Row],[Fecha Económico]]))</f>
        <v>0</v>
      </c>
      <c r="AG477" s="704">
        <f>SUMPRODUCT((Producción_Agricola[[#This Row],[Mes Económico]]=Tipo_Cambio[Mes])*(Producción_Agricola[[#This Row],[Año Económico]]=Tipo_Cambio[Año])*(Tipo_Cambio[$/U$S]))</f>
        <v>0</v>
      </c>
      <c r="AH477" s="703">
        <f>SUMPRODUCT((Producción_Agricola[[#This Row],[Mes Económico]]=Tipo_Cambio[Mes])*(Producción_Agricola[[#This Row],[Año Económico]]=Tipo_Cambio[Año])*(Tipo_Cambio[Actualización]))</f>
        <v>0</v>
      </c>
      <c r="AI477" s="699">
        <f>IF(ISNUMBER(Producción_Agricola[[#This Row],[Fecha Financiero]])=TRUE,MONTH(Producción_Agricola[[#This Row],[Fecha Financiero]]),0)</f>
        <v>0</v>
      </c>
      <c r="AJ477" s="699">
        <f>IF(ISNUMBER(Producción_Agricola[[#This Row],[Fecha Financiero]])=TRUE,YEAR(Producción_Agricola[[#This Row],[Fecha Financiero]]),0)</f>
        <v>0</v>
      </c>
      <c r="AK477" s="704">
        <f>SUMPRODUCT((Producción_Agricola[[#This Row],[Mes Financiero]]=Tipo_Cambio[Mes])*(Producción_Agricola[[#This Row],[Año Financiero]]=Tipo_Cambio[Año])*(Tipo_Cambio[$/U$S]))</f>
        <v>0</v>
      </c>
      <c r="AL477" s="704">
        <f>SUMPRODUCT((Producción_Agricola[[#This Row],[Mes Financiero]]=Tipo_Cambio[Mes])*(Producción_Agricola[[#This Row],[Año Financiero]]=Tipo_Cambio[Año])*(Tipo_Cambio[Actualización]))</f>
        <v>0</v>
      </c>
      <c r="AM477" s="709">
        <f>IFERROR(Producción_Agricola[[#This Row],[Económico $Corrientes]]/Producción_Agricola[[#This Row],[Superficie]],0)</f>
        <v>0</v>
      </c>
      <c r="AN477" s="712">
        <f>IFERROR(Producción_Agricola[[#This Row],[Económico $Constantes]]/Producción_Agricola[[#This Row],[Superficie]],0)</f>
        <v>0</v>
      </c>
      <c r="AO477" s="712">
        <f>IFERROR(Producción_Agricola[[#This Row],[Económico U$S Dólares]]/Producción_Agricola[[#This Row],[Superficie]],0)</f>
        <v>0</v>
      </c>
      <c r="AP477" s="711">
        <f>IF(Económico!$F$4=0,0,Producción_Agricola[[#This Row],[Centro de Costo]])</f>
        <v>0</v>
      </c>
      <c r="AQ477" s="512"/>
      <c r="AR477" s="513"/>
      <c r="AS477"/>
    </row>
    <row r="478" spans="1:45" x14ac:dyDescent="0.25">
      <c r="A478" s="509"/>
      <c r="B478" s="494"/>
      <c r="C478" s="509"/>
      <c r="D478" s="478"/>
      <c r="E478" s="478"/>
      <c r="F478" s="668">
        <f t="shared" si="62"/>
        <v>0</v>
      </c>
      <c r="G478" s="673">
        <f t="shared" si="63"/>
        <v>0</v>
      </c>
      <c r="H478" s="673">
        <f t="shared" si="64"/>
        <v>0</v>
      </c>
      <c r="I478" s="675">
        <f>IFERROR(INDEX(Tabla8[],MATCH(Producción_Agricola[[#This Row],[Unidad de Negocio]],Tabla8[Unidades de Negocio],0),2),0)</f>
        <v>0</v>
      </c>
      <c r="J47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78" s="488"/>
      <c r="L478" s="482"/>
      <c r="M478" s="483"/>
      <c r="N478" s="484"/>
      <c r="O478" s="690">
        <f>Producción_Agricola[[#This Row],[Superficie]]*Producción_Agricola[[#This Row],[Cantidad]]</f>
        <v>0</v>
      </c>
      <c r="P478" s="482"/>
      <c r="Q478" s="484"/>
      <c r="R478" s="485"/>
      <c r="S47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78" s="695">
        <f>IFERROR(Producción_Agricola[[#This Row],[Económico $Corrientes]]/Producción_Agricola[[#This Row],[Indexación Económico]],0)</f>
        <v>0</v>
      </c>
      <c r="U47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7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78" s="695">
        <f>IFERROR(Producción_Agricola[[#This Row],[Financiero $Corrientes]]/Producción_Agricola[[#This Row],[Indexación Financiero]],0)</f>
        <v>0</v>
      </c>
      <c r="X47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7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78" s="699">
        <f>IFERROR(Producción_Agricola[[#This Row],[Intereses $Corrientes]]/Producción_Agricola[[#This Row],[Indexación Financiero]],0)</f>
        <v>0</v>
      </c>
      <c r="AA47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78" s="701">
        <f>IFERROR(INDEX(Produccion_Agricola_Cuentas[],MATCH(Producción_Agricola[[#This Row],[Cuenta Contable]],Produccion_Agricola_Cuentas[Cuenta Contable],0),2),0)</f>
        <v>0</v>
      </c>
      <c r="AC478" s="702">
        <f>IFERROR(INDEX(Tabla9[],MATCH(Producción_Agricola[[#This Row],[Movimiento]],Tabla9[Movimientos],0),2),0)</f>
        <v>0</v>
      </c>
      <c r="AD478" s="703">
        <f>IFERROR(INDEX(Tabla9[],MATCH(Producción_Agricola[[#This Row],[Movimiento]],Tabla9[Movimientos],0),3),0)</f>
        <v>0</v>
      </c>
      <c r="AE478" s="698">
        <f>IF(Producción_Agricola[[#This Row],[Fecha Económico]]=0,0,MONTH(Producción_Agricola[[#This Row],[Fecha Económico]]))</f>
        <v>0</v>
      </c>
      <c r="AF478" s="699">
        <f>IF(Producción_Agricola[[#This Row],[Fecha Económico]]=0,0,YEAR(Producción_Agricola[[#This Row],[Fecha Económico]]))</f>
        <v>0</v>
      </c>
      <c r="AG478" s="704">
        <f>SUMPRODUCT((Producción_Agricola[[#This Row],[Mes Económico]]=Tipo_Cambio[Mes])*(Producción_Agricola[[#This Row],[Año Económico]]=Tipo_Cambio[Año])*(Tipo_Cambio[$/U$S]))</f>
        <v>0</v>
      </c>
      <c r="AH478" s="703">
        <f>SUMPRODUCT((Producción_Agricola[[#This Row],[Mes Económico]]=Tipo_Cambio[Mes])*(Producción_Agricola[[#This Row],[Año Económico]]=Tipo_Cambio[Año])*(Tipo_Cambio[Actualización]))</f>
        <v>0</v>
      </c>
      <c r="AI478" s="699">
        <f>IF(ISNUMBER(Producción_Agricola[[#This Row],[Fecha Financiero]])=TRUE,MONTH(Producción_Agricola[[#This Row],[Fecha Financiero]]),0)</f>
        <v>0</v>
      </c>
      <c r="AJ478" s="699">
        <f>IF(ISNUMBER(Producción_Agricola[[#This Row],[Fecha Financiero]])=TRUE,YEAR(Producción_Agricola[[#This Row],[Fecha Financiero]]),0)</f>
        <v>0</v>
      </c>
      <c r="AK478" s="704">
        <f>SUMPRODUCT((Producción_Agricola[[#This Row],[Mes Financiero]]=Tipo_Cambio[Mes])*(Producción_Agricola[[#This Row],[Año Financiero]]=Tipo_Cambio[Año])*(Tipo_Cambio[$/U$S]))</f>
        <v>0</v>
      </c>
      <c r="AL478" s="704">
        <f>SUMPRODUCT((Producción_Agricola[[#This Row],[Mes Financiero]]=Tipo_Cambio[Mes])*(Producción_Agricola[[#This Row],[Año Financiero]]=Tipo_Cambio[Año])*(Tipo_Cambio[Actualización]))</f>
        <v>0</v>
      </c>
      <c r="AM478" s="709">
        <f>IFERROR(Producción_Agricola[[#This Row],[Económico $Corrientes]]/Producción_Agricola[[#This Row],[Superficie]],0)</f>
        <v>0</v>
      </c>
      <c r="AN478" s="712">
        <f>IFERROR(Producción_Agricola[[#This Row],[Económico $Constantes]]/Producción_Agricola[[#This Row],[Superficie]],0)</f>
        <v>0</v>
      </c>
      <c r="AO478" s="712">
        <f>IFERROR(Producción_Agricola[[#This Row],[Económico U$S Dólares]]/Producción_Agricola[[#This Row],[Superficie]],0)</f>
        <v>0</v>
      </c>
      <c r="AP478" s="711">
        <f>IF(Económico!$F$4=0,0,Producción_Agricola[[#This Row],[Centro de Costo]])</f>
        <v>0</v>
      </c>
      <c r="AQ478" s="512"/>
      <c r="AR478" s="513"/>
      <c r="AS478"/>
    </row>
    <row r="479" spans="1:45" x14ac:dyDescent="0.25">
      <c r="A479" s="509"/>
      <c r="B479" s="494"/>
      <c r="C479" s="509"/>
      <c r="D479" s="478"/>
      <c r="E479" s="478"/>
      <c r="F479" s="668">
        <f t="shared" si="62"/>
        <v>0</v>
      </c>
      <c r="G479" s="673">
        <f t="shared" si="63"/>
        <v>0</v>
      </c>
      <c r="H479" s="673">
        <f t="shared" si="64"/>
        <v>0</v>
      </c>
      <c r="I479" s="675">
        <f>IFERROR(INDEX(Tabla8[],MATCH(Producción_Agricola[[#This Row],[Unidad de Negocio]],Tabla8[Unidades de Negocio],0),2),0)</f>
        <v>0</v>
      </c>
      <c r="J47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79" s="488"/>
      <c r="L479" s="482"/>
      <c r="M479" s="483"/>
      <c r="N479" s="484"/>
      <c r="O479" s="690">
        <f>Producción_Agricola[[#This Row],[Superficie]]*Producción_Agricola[[#This Row],[Cantidad]]</f>
        <v>0</v>
      </c>
      <c r="P479" s="482"/>
      <c r="Q479" s="484"/>
      <c r="R479" s="485"/>
      <c r="S47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79" s="695">
        <f>IFERROR(Producción_Agricola[[#This Row],[Económico $Corrientes]]/Producción_Agricola[[#This Row],[Indexación Económico]],0)</f>
        <v>0</v>
      </c>
      <c r="U47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7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79" s="695">
        <f>IFERROR(Producción_Agricola[[#This Row],[Financiero $Corrientes]]/Producción_Agricola[[#This Row],[Indexación Financiero]],0)</f>
        <v>0</v>
      </c>
      <c r="X47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7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79" s="699">
        <f>IFERROR(Producción_Agricola[[#This Row],[Intereses $Corrientes]]/Producción_Agricola[[#This Row],[Indexación Financiero]],0)</f>
        <v>0</v>
      </c>
      <c r="AA47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79" s="701">
        <f>IFERROR(INDEX(Produccion_Agricola_Cuentas[],MATCH(Producción_Agricola[[#This Row],[Cuenta Contable]],Produccion_Agricola_Cuentas[Cuenta Contable],0),2),0)</f>
        <v>0</v>
      </c>
      <c r="AC479" s="702">
        <f>IFERROR(INDEX(Tabla9[],MATCH(Producción_Agricola[[#This Row],[Movimiento]],Tabla9[Movimientos],0),2),0)</f>
        <v>0</v>
      </c>
      <c r="AD479" s="703">
        <f>IFERROR(INDEX(Tabla9[],MATCH(Producción_Agricola[[#This Row],[Movimiento]],Tabla9[Movimientos],0),3),0)</f>
        <v>0</v>
      </c>
      <c r="AE479" s="698">
        <f>IF(Producción_Agricola[[#This Row],[Fecha Económico]]=0,0,MONTH(Producción_Agricola[[#This Row],[Fecha Económico]]))</f>
        <v>0</v>
      </c>
      <c r="AF479" s="699">
        <f>IF(Producción_Agricola[[#This Row],[Fecha Económico]]=0,0,YEAR(Producción_Agricola[[#This Row],[Fecha Económico]]))</f>
        <v>0</v>
      </c>
      <c r="AG479" s="704">
        <f>SUMPRODUCT((Producción_Agricola[[#This Row],[Mes Económico]]=Tipo_Cambio[Mes])*(Producción_Agricola[[#This Row],[Año Económico]]=Tipo_Cambio[Año])*(Tipo_Cambio[$/U$S]))</f>
        <v>0</v>
      </c>
      <c r="AH479" s="703">
        <f>SUMPRODUCT((Producción_Agricola[[#This Row],[Mes Económico]]=Tipo_Cambio[Mes])*(Producción_Agricola[[#This Row],[Año Económico]]=Tipo_Cambio[Año])*(Tipo_Cambio[Actualización]))</f>
        <v>0</v>
      </c>
      <c r="AI479" s="699">
        <f>IF(ISNUMBER(Producción_Agricola[[#This Row],[Fecha Financiero]])=TRUE,MONTH(Producción_Agricola[[#This Row],[Fecha Financiero]]),0)</f>
        <v>0</v>
      </c>
      <c r="AJ479" s="699">
        <f>IF(ISNUMBER(Producción_Agricola[[#This Row],[Fecha Financiero]])=TRUE,YEAR(Producción_Agricola[[#This Row],[Fecha Financiero]]),0)</f>
        <v>0</v>
      </c>
      <c r="AK479" s="704">
        <f>SUMPRODUCT((Producción_Agricola[[#This Row],[Mes Financiero]]=Tipo_Cambio[Mes])*(Producción_Agricola[[#This Row],[Año Financiero]]=Tipo_Cambio[Año])*(Tipo_Cambio[$/U$S]))</f>
        <v>0</v>
      </c>
      <c r="AL479" s="704">
        <f>SUMPRODUCT((Producción_Agricola[[#This Row],[Mes Financiero]]=Tipo_Cambio[Mes])*(Producción_Agricola[[#This Row],[Año Financiero]]=Tipo_Cambio[Año])*(Tipo_Cambio[Actualización]))</f>
        <v>0</v>
      </c>
      <c r="AM479" s="709">
        <f>IFERROR(Producción_Agricola[[#This Row],[Económico $Corrientes]]/Producción_Agricola[[#This Row],[Superficie]],0)</f>
        <v>0</v>
      </c>
      <c r="AN479" s="712">
        <f>IFERROR(Producción_Agricola[[#This Row],[Económico $Constantes]]/Producción_Agricola[[#This Row],[Superficie]],0)</f>
        <v>0</v>
      </c>
      <c r="AO479" s="712">
        <f>IFERROR(Producción_Agricola[[#This Row],[Económico U$S Dólares]]/Producción_Agricola[[#This Row],[Superficie]],0)</f>
        <v>0</v>
      </c>
      <c r="AP479" s="711">
        <f>IF(Económico!$F$4=0,0,Producción_Agricola[[#This Row],[Centro de Costo]])</f>
        <v>0</v>
      </c>
      <c r="AQ479" s="512"/>
      <c r="AR479" s="513"/>
      <c r="AS479"/>
    </row>
    <row r="480" spans="1:45" x14ac:dyDescent="0.25">
      <c r="A480" s="509"/>
      <c r="B480" s="494"/>
      <c r="C480" s="509"/>
      <c r="D480" s="478"/>
      <c r="E480" s="478"/>
      <c r="F480" s="668">
        <f t="shared" si="62"/>
        <v>0</v>
      </c>
      <c r="G480" s="673">
        <f t="shared" si="63"/>
        <v>0</v>
      </c>
      <c r="H480" s="673">
        <f t="shared" si="64"/>
        <v>0</v>
      </c>
      <c r="I480" s="675">
        <f>IFERROR(INDEX(Tabla8[],MATCH(Producción_Agricola[[#This Row],[Unidad de Negocio]],Tabla8[Unidades de Negocio],0),2),0)</f>
        <v>0</v>
      </c>
      <c r="J48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80" s="488"/>
      <c r="L480" s="482"/>
      <c r="M480" s="483"/>
      <c r="N480" s="484"/>
      <c r="O480" s="690">
        <f>Producción_Agricola[[#This Row],[Superficie]]*Producción_Agricola[[#This Row],[Cantidad]]</f>
        <v>0</v>
      </c>
      <c r="P480" s="482"/>
      <c r="Q480" s="484"/>
      <c r="R480" s="485"/>
      <c r="S48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80" s="695">
        <f>IFERROR(Producción_Agricola[[#This Row],[Económico $Corrientes]]/Producción_Agricola[[#This Row],[Indexación Económico]],0)</f>
        <v>0</v>
      </c>
      <c r="U48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8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80" s="695">
        <f>IFERROR(Producción_Agricola[[#This Row],[Financiero $Corrientes]]/Producción_Agricola[[#This Row],[Indexación Financiero]],0)</f>
        <v>0</v>
      </c>
      <c r="X48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8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80" s="699">
        <f>IFERROR(Producción_Agricola[[#This Row],[Intereses $Corrientes]]/Producción_Agricola[[#This Row],[Indexación Financiero]],0)</f>
        <v>0</v>
      </c>
      <c r="AA48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80" s="701">
        <f>IFERROR(INDEX(Produccion_Agricola_Cuentas[],MATCH(Producción_Agricola[[#This Row],[Cuenta Contable]],Produccion_Agricola_Cuentas[Cuenta Contable],0),2),0)</f>
        <v>0</v>
      </c>
      <c r="AC480" s="702">
        <f>IFERROR(INDEX(Tabla9[],MATCH(Producción_Agricola[[#This Row],[Movimiento]],Tabla9[Movimientos],0),2),0)</f>
        <v>0</v>
      </c>
      <c r="AD480" s="703">
        <f>IFERROR(INDEX(Tabla9[],MATCH(Producción_Agricola[[#This Row],[Movimiento]],Tabla9[Movimientos],0),3),0)</f>
        <v>0</v>
      </c>
      <c r="AE480" s="698">
        <f>IF(Producción_Agricola[[#This Row],[Fecha Económico]]=0,0,MONTH(Producción_Agricola[[#This Row],[Fecha Económico]]))</f>
        <v>0</v>
      </c>
      <c r="AF480" s="699">
        <f>IF(Producción_Agricola[[#This Row],[Fecha Económico]]=0,0,YEAR(Producción_Agricola[[#This Row],[Fecha Económico]]))</f>
        <v>0</v>
      </c>
      <c r="AG480" s="704">
        <f>SUMPRODUCT((Producción_Agricola[[#This Row],[Mes Económico]]=Tipo_Cambio[Mes])*(Producción_Agricola[[#This Row],[Año Económico]]=Tipo_Cambio[Año])*(Tipo_Cambio[$/U$S]))</f>
        <v>0</v>
      </c>
      <c r="AH480" s="703">
        <f>SUMPRODUCT((Producción_Agricola[[#This Row],[Mes Económico]]=Tipo_Cambio[Mes])*(Producción_Agricola[[#This Row],[Año Económico]]=Tipo_Cambio[Año])*(Tipo_Cambio[Actualización]))</f>
        <v>0</v>
      </c>
      <c r="AI480" s="699">
        <f>IF(ISNUMBER(Producción_Agricola[[#This Row],[Fecha Financiero]])=TRUE,MONTH(Producción_Agricola[[#This Row],[Fecha Financiero]]),0)</f>
        <v>0</v>
      </c>
      <c r="AJ480" s="699">
        <f>IF(ISNUMBER(Producción_Agricola[[#This Row],[Fecha Financiero]])=TRUE,YEAR(Producción_Agricola[[#This Row],[Fecha Financiero]]),0)</f>
        <v>0</v>
      </c>
      <c r="AK480" s="704">
        <f>SUMPRODUCT((Producción_Agricola[[#This Row],[Mes Financiero]]=Tipo_Cambio[Mes])*(Producción_Agricola[[#This Row],[Año Financiero]]=Tipo_Cambio[Año])*(Tipo_Cambio[$/U$S]))</f>
        <v>0</v>
      </c>
      <c r="AL480" s="704">
        <f>SUMPRODUCT((Producción_Agricola[[#This Row],[Mes Financiero]]=Tipo_Cambio[Mes])*(Producción_Agricola[[#This Row],[Año Financiero]]=Tipo_Cambio[Año])*(Tipo_Cambio[Actualización]))</f>
        <v>0</v>
      </c>
      <c r="AM480" s="709">
        <f>IFERROR(Producción_Agricola[[#This Row],[Económico $Corrientes]]/Producción_Agricola[[#This Row],[Superficie]],0)</f>
        <v>0</v>
      </c>
      <c r="AN480" s="712">
        <f>IFERROR(Producción_Agricola[[#This Row],[Económico $Constantes]]/Producción_Agricola[[#This Row],[Superficie]],0)</f>
        <v>0</v>
      </c>
      <c r="AO480" s="712">
        <f>IFERROR(Producción_Agricola[[#This Row],[Económico U$S Dólares]]/Producción_Agricola[[#This Row],[Superficie]],0)</f>
        <v>0</v>
      </c>
      <c r="AP480" s="711">
        <f>IF(Económico!$F$4=0,0,Producción_Agricola[[#This Row],[Centro de Costo]])</f>
        <v>0</v>
      </c>
      <c r="AQ480" s="512"/>
      <c r="AR480" s="513"/>
      <c r="AS480"/>
    </row>
    <row r="481" spans="1:45" x14ac:dyDescent="0.25">
      <c r="A481" s="509"/>
      <c r="B481" s="494"/>
      <c r="C481" s="509"/>
      <c r="D481" s="478"/>
      <c r="E481" s="478"/>
      <c r="F481" s="668">
        <f t="shared" si="62"/>
        <v>0</v>
      </c>
      <c r="G481" s="673">
        <f t="shared" si="63"/>
        <v>0</v>
      </c>
      <c r="H481" s="673">
        <f t="shared" si="64"/>
        <v>0</v>
      </c>
      <c r="I481" s="675">
        <f>IFERROR(INDEX(Tabla8[],MATCH(Producción_Agricola[[#This Row],[Unidad de Negocio]],Tabla8[Unidades de Negocio],0),2),0)</f>
        <v>0</v>
      </c>
      <c r="J48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81" s="488"/>
      <c r="L481" s="482"/>
      <c r="M481" s="483"/>
      <c r="N481" s="484"/>
      <c r="O481" s="690">
        <f>Producción_Agricola[[#This Row],[Superficie]]*Producción_Agricola[[#This Row],[Cantidad]]</f>
        <v>0</v>
      </c>
      <c r="P481" s="482"/>
      <c r="Q481" s="484"/>
      <c r="R481" s="485"/>
      <c r="S48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81" s="695">
        <f>IFERROR(Producción_Agricola[[#This Row],[Económico $Corrientes]]/Producción_Agricola[[#This Row],[Indexación Económico]],0)</f>
        <v>0</v>
      </c>
      <c r="U48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8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81" s="695">
        <f>IFERROR(Producción_Agricola[[#This Row],[Financiero $Corrientes]]/Producción_Agricola[[#This Row],[Indexación Financiero]],0)</f>
        <v>0</v>
      </c>
      <c r="X48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8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81" s="699">
        <f>IFERROR(Producción_Agricola[[#This Row],[Intereses $Corrientes]]/Producción_Agricola[[#This Row],[Indexación Financiero]],0)</f>
        <v>0</v>
      </c>
      <c r="AA48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81" s="701">
        <f>IFERROR(INDEX(Produccion_Agricola_Cuentas[],MATCH(Producción_Agricola[[#This Row],[Cuenta Contable]],Produccion_Agricola_Cuentas[Cuenta Contable],0),2),0)</f>
        <v>0</v>
      </c>
      <c r="AC481" s="702">
        <f>IFERROR(INDEX(Tabla9[],MATCH(Producción_Agricola[[#This Row],[Movimiento]],Tabla9[Movimientos],0),2),0)</f>
        <v>0</v>
      </c>
      <c r="AD481" s="703">
        <f>IFERROR(INDEX(Tabla9[],MATCH(Producción_Agricola[[#This Row],[Movimiento]],Tabla9[Movimientos],0),3),0)</f>
        <v>0</v>
      </c>
      <c r="AE481" s="698">
        <f>IF(Producción_Agricola[[#This Row],[Fecha Económico]]=0,0,MONTH(Producción_Agricola[[#This Row],[Fecha Económico]]))</f>
        <v>0</v>
      </c>
      <c r="AF481" s="699">
        <f>IF(Producción_Agricola[[#This Row],[Fecha Económico]]=0,0,YEAR(Producción_Agricola[[#This Row],[Fecha Económico]]))</f>
        <v>0</v>
      </c>
      <c r="AG481" s="704">
        <f>SUMPRODUCT((Producción_Agricola[[#This Row],[Mes Económico]]=Tipo_Cambio[Mes])*(Producción_Agricola[[#This Row],[Año Económico]]=Tipo_Cambio[Año])*(Tipo_Cambio[$/U$S]))</f>
        <v>0</v>
      </c>
      <c r="AH481" s="703">
        <f>SUMPRODUCT((Producción_Agricola[[#This Row],[Mes Económico]]=Tipo_Cambio[Mes])*(Producción_Agricola[[#This Row],[Año Económico]]=Tipo_Cambio[Año])*(Tipo_Cambio[Actualización]))</f>
        <v>0</v>
      </c>
      <c r="AI481" s="699">
        <f>IF(ISNUMBER(Producción_Agricola[[#This Row],[Fecha Financiero]])=TRUE,MONTH(Producción_Agricola[[#This Row],[Fecha Financiero]]),0)</f>
        <v>0</v>
      </c>
      <c r="AJ481" s="699">
        <f>IF(ISNUMBER(Producción_Agricola[[#This Row],[Fecha Financiero]])=TRUE,YEAR(Producción_Agricola[[#This Row],[Fecha Financiero]]),0)</f>
        <v>0</v>
      </c>
      <c r="AK481" s="704">
        <f>SUMPRODUCT((Producción_Agricola[[#This Row],[Mes Financiero]]=Tipo_Cambio[Mes])*(Producción_Agricola[[#This Row],[Año Financiero]]=Tipo_Cambio[Año])*(Tipo_Cambio[$/U$S]))</f>
        <v>0</v>
      </c>
      <c r="AL481" s="704">
        <f>SUMPRODUCT((Producción_Agricola[[#This Row],[Mes Financiero]]=Tipo_Cambio[Mes])*(Producción_Agricola[[#This Row],[Año Financiero]]=Tipo_Cambio[Año])*(Tipo_Cambio[Actualización]))</f>
        <v>0</v>
      </c>
      <c r="AM481" s="709">
        <f>IFERROR(Producción_Agricola[[#This Row],[Económico $Corrientes]]/Producción_Agricola[[#This Row],[Superficie]],0)</f>
        <v>0</v>
      </c>
      <c r="AN481" s="712">
        <f>IFERROR(Producción_Agricola[[#This Row],[Económico $Constantes]]/Producción_Agricola[[#This Row],[Superficie]],0)</f>
        <v>0</v>
      </c>
      <c r="AO481" s="712">
        <f>IFERROR(Producción_Agricola[[#This Row],[Económico U$S Dólares]]/Producción_Agricola[[#This Row],[Superficie]],0)</f>
        <v>0</v>
      </c>
      <c r="AP481" s="711">
        <f>IF(Económico!$F$4=0,0,Producción_Agricola[[#This Row],[Centro de Costo]])</f>
        <v>0</v>
      </c>
      <c r="AQ481" s="512"/>
      <c r="AR481" s="513"/>
      <c r="AS481"/>
    </row>
    <row r="482" spans="1:45" x14ac:dyDescent="0.25">
      <c r="A482" s="509"/>
      <c r="B482" s="494"/>
      <c r="C482" s="509"/>
      <c r="D482" s="478"/>
      <c r="E482" s="478"/>
      <c r="F482" s="668">
        <f t="shared" si="62"/>
        <v>0</v>
      </c>
      <c r="G482" s="673">
        <f t="shared" si="63"/>
        <v>0</v>
      </c>
      <c r="H482" s="673">
        <f t="shared" si="64"/>
        <v>0</v>
      </c>
      <c r="I482" s="675">
        <f>IFERROR(INDEX(Tabla8[],MATCH(Producción_Agricola[[#This Row],[Unidad de Negocio]],Tabla8[Unidades de Negocio],0),2),0)</f>
        <v>0</v>
      </c>
      <c r="J48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82" s="488"/>
      <c r="L482" s="482"/>
      <c r="M482" s="483"/>
      <c r="N482" s="484"/>
      <c r="O482" s="690">
        <f>Producción_Agricola[[#This Row],[Superficie]]*Producción_Agricola[[#This Row],[Cantidad]]</f>
        <v>0</v>
      </c>
      <c r="P482" s="482"/>
      <c r="Q482" s="484"/>
      <c r="R482" s="485"/>
      <c r="S48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82" s="695">
        <f>IFERROR(Producción_Agricola[[#This Row],[Económico $Corrientes]]/Producción_Agricola[[#This Row],[Indexación Económico]],0)</f>
        <v>0</v>
      </c>
      <c r="U48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8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82" s="695">
        <f>IFERROR(Producción_Agricola[[#This Row],[Financiero $Corrientes]]/Producción_Agricola[[#This Row],[Indexación Financiero]],0)</f>
        <v>0</v>
      </c>
      <c r="X48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8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82" s="699">
        <f>IFERROR(Producción_Agricola[[#This Row],[Intereses $Corrientes]]/Producción_Agricola[[#This Row],[Indexación Financiero]],0)</f>
        <v>0</v>
      </c>
      <c r="AA48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82" s="701">
        <f>IFERROR(INDEX(Produccion_Agricola_Cuentas[],MATCH(Producción_Agricola[[#This Row],[Cuenta Contable]],Produccion_Agricola_Cuentas[Cuenta Contable],0),2),0)</f>
        <v>0</v>
      </c>
      <c r="AC482" s="702">
        <f>IFERROR(INDEX(Tabla9[],MATCH(Producción_Agricola[[#This Row],[Movimiento]],Tabla9[Movimientos],0),2),0)</f>
        <v>0</v>
      </c>
      <c r="AD482" s="703">
        <f>IFERROR(INDEX(Tabla9[],MATCH(Producción_Agricola[[#This Row],[Movimiento]],Tabla9[Movimientos],0),3),0)</f>
        <v>0</v>
      </c>
      <c r="AE482" s="698">
        <f>IF(Producción_Agricola[[#This Row],[Fecha Económico]]=0,0,MONTH(Producción_Agricola[[#This Row],[Fecha Económico]]))</f>
        <v>0</v>
      </c>
      <c r="AF482" s="699">
        <f>IF(Producción_Agricola[[#This Row],[Fecha Económico]]=0,0,YEAR(Producción_Agricola[[#This Row],[Fecha Económico]]))</f>
        <v>0</v>
      </c>
      <c r="AG482" s="704">
        <f>SUMPRODUCT((Producción_Agricola[[#This Row],[Mes Económico]]=Tipo_Cambio[Mes])*(Producción_Agricola[[#This Row],[Año Económico]]=Tipo_Cambio[Año])*(Tipo_Cambio[$/U$S]))</f>
        <v>0</v>
      </c>
      <c r="AH482" s="703">
        <f>SUMPRODUCT((Producción_Agricola[[#This Row],[Mes Económico]]=Tipo_Cambio[Mes])*(Producción_Agricola[[#This Row],[Año Económico]]=Tipo_Cambio[Año])*(Tipo_Cambio[Actualización]))</f>
        <v>0</v>
      </c>
      <c r="AI482" s="699">
        <f>IF(ISNUMBER(Producción_Agricola[[#This Row],[Fecha Financiero]])=TRUE,MONTH(Producción_Agricola[[#This Row],[Fecha Financiero]]),0)</f>
        <v>0</v>
      </c>
      <c r="AJ482" s="699">
        <f>IF(ISNUMBER(Producción_Agricola[[#This Row],[Fecha Financiero]])=TRUE,YEAR(Producción_Agricola[[#This Row],[Fecha Financiero]]),0)</f>
        <v>0</v>
      </c>
      <c r="AK482" s="704">
        <f>SUMPRODUCT((Producción_Agricola[[#This Row],[Mes Financiero]]=Tipo_Cambio[Mes])*(Producción_Agricola[[#This Row],[Año Financiero]]=Tipo_Cambio[Año])*(Tipo_Cambio[$/U$S]))</f>
        <v>0</v>
      </c>
      <c r="AL482" s="704">
        <f>SUMPRODUCT((Producción_Agricola[[#This Row],[Mes Financiero]]=Tipo_Cambio[Mes])*(Producción_Agricola[[#This Row],[Año Financiero]]=Tipo_Cambio[Año])*(Tipo_Cambio[Actualización]))</f>
        <v>0</v>
      </c>
      <c r="AM482" s="709">
        <f>IFERROR(Producción_Agricola[[#This Row],[Económico $Corrientes]]/Producción_Agricola[[#This Row],[Superficie]],0)</f>
        <v>0</v>
      </c>
      <c r="AN482" s="712">
        <f>IFERROR(Producción_Agricola[[#This Row],[Económico $Constantes]]/Producción_Agricola[[#This Row],[Superficie]],0)</f>
        <v>0</v>
      </c>
      <c r="AO482" s="712">
        <f>IFERROR(Producción_Agricola[[#This Row],[Económico U$S Dólares]]/Producción_Agricola[[#This Row],[Superficie]],0)</f>
        <v>0</v>
      </c>
      <c r="AP482" s="711">
        <f>IF(Económico!$F$4=0,0,Producción_Agricola[[#This Row],[Centro de Costo]])</f>
        <v>0</v>
      </c>
      <c r="AQ482" s="512"/>
      <c r="AR482" s="513"/>
      <c r="AS482"/>
    </row>
    <row r="483" spans="1:45" x14ac:dyDescent="0.25">
      <c r="A483" s="509"/>
      <c r="B483" s="494"/>
      <c r="C483" s="509"/>
      <c r="D483" s="478"/>
      <c r="E483" s="478"/>
      <c r="F483" s="668">
        <f t="shared" si="62"/>
        <v>0</v>
      </c>
      <c r="G483" s="673">
        <f t="shared" si="63"/>
        <v>0</v>
      </c>
      <c r="H483" s="673">
        <f t="shared" si="64"/>
        <v>0</v>
      </c>
      <c r="I483" s="675">
        <f>IFERROR(INDEX(Tabla8[],MATCH(Producción_Agricola[[#This Row],[Unidad de Negocio]],Tabla8[Unidades de Negocio],0),2),0)</f>
        <v>0</v>
      </c>
      <c r="J48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83" s="488"/>
      <c r="L483" s="482"/>
      <c r="M483" s="483"/>
      <c r="N483" s="484"/>
      <c r="O483" s="690">
        <f>Producción_Agricola[[#This Row],[Superficie]]*Producción_Agricola[[#This Row],[Cantidad]]</f>
        <v>0</v>
      </c>
      <c r="P483" s="482"/>
      <c r="Q483" s="484"/>
      <c r="R483" s="485"/>
      <c r="S48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83" s="695">
        <f>IFERROR(Producción_Agricola[[#This Row],[Económico $Corrientes]]/Producción_Agricola[[#This Row],[Indexación Económico]],0)</f>
        <v>0</v>
      </c>
      <c r="U48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8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83" s="695">
        <f>IFERROR(Producción_Agricola[[#This Row],[Financiero $Corrientes]]/Producción_Agricola[[#This Row],[Indexación Financiero]],0)</f>
        <v>0</v>
      </c>
      <c r="X48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8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83" s="699">
        <f>IFERROR(Producción_Agricola[[#This Row],[Intereses $Corrientes]]/Producción_Agricola[[#This Row],[Indexación Financiero]],0)</f>
        <v>0</v>
      </c>
      <c r="AA48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83" s="701">
        <f>IFERROR(INDEX(Produccion_Agricola_Cuentas[],MATCH(Producción_Agricola[[#This Row],[Cuenta Contable]],Produccion_Agricola_Cuentas[Cuenta Contable],0),2),0)</f>
        <v>0</v>
      </c>
      <c r="AC483" s="702">
        <f>IFERROR(INDEX(Tabla9[],MATCH(Producción_Agricola[[#This Row],[Movimiento]],Tabla9[Movimientos],0),2),0)</f>
        <v>0</v>
      </c>
      <c r="AD483" s="703">
        <f>IFERROR(INDEX(Tabla9[],MATCH(Producción_Agricola[[#This Row],[Movimiento]],Tabla9[Movimientos],0),3),0)</f>
        <v>0</v>
      </c>
      <c r="AE483" s="698">
        <f>IF(Producción_Agricola[[#This Row],[Fecha Económico]]=0,0,MONTH(Producción_Agricola[[#This Row],[Fecha Económico]]))</f>
        <v>0</v>
      </c>
      <c r="AF483" s="699">
        <f>IF(Producción_Agricola[[#This Row],[Fecha Económico]]=0,0,YEAR(Producción_Agricola[[#This Row],[Fecha Económico]]))</f>
        <v>0</v>
      </c>
      <c r="AG483" s="704">
        <f>SUMPRODUCT((Producción_Agricola[[#This Row],[Mes Económico]]=Tipo_Cambio[Mes])*(Producción_Agricola[[#This Row],[Año Económico]]=Tipo_Cambio[Año])*(Tipo_Cambio[$/U$S]))</f>
        <v>0</v>
      </c>
      <c r="AH483" s="703">
        <f>SUMPRODUCT((Producción_Agricola[[#This Row],[Mes Económico]]=Tipo_Cambio[Mes])*(Producción_Agricola[[#This Row],[Año Económico]]=Tipo_Cambio[Año])*(Tipo_Cambio[Actualización]))</f>
        <v>0</v>
      </c>
      <c r="AI483" s="699">
        <f>IF(ISNUMBER(Producción_Agricola[[#This Row],[Fecha Financiero]])=TRUE,MONTH(Producción_Agricola[[#This Row],[Fecha Financiero]]),0)</f>
        <v>0</v>
      </c>
      <c r="AJ483" s="699">
        <f>IF(ISNUMBER(Producción_Agricola[[#This Row],[Fecha Financiero]])=TRUE,YEAR(Producción_Agricola[[#This Row],[Fecha Financiero]]),0)</f>
        <v>0</v>
      </c>
      <c r="AK483" s="704">
        <f>SUMPRODUCT((Producción_Agricola[[#This Row],[Mes Financiero]]=Tipo_Cambio[Mes])*(Producción_Agricola[[#This Row],[Año Financiero]]=Tipo_Cambio[Año])*(Tipo_Cambio[$/U$S]))</f>
        <v>0</v>
      </c>
      <c r="AL483" s="704">
        <f>SUMPRODUCT((Producción_Agricola[[#This Row],[Mes Financiero]]=Tipo_Cambio[Mes])*(Producción_Agricola[[#This Row],[Año Financiero]]=Tipo_Cambio[Año])*(Tipo_Cambio[Actualización]))</f>
        <v>0</v>
      </c>
      <c r="AM483" s="709">
        <f>IFERROR(Producción_Agricola[[#This Row],[Económico $Corrientes]]/Producción_Agricola[[#This Row],[Superficie]],0)</f>
        <v>0</v>
      </c>
      <c r="AN483" s="712">
        <f>IFERROR(Producción_Agricola[[#This Row],[Económico $Constantes]]/Producción_Agricola[[#This Row],[Superficie]],0)</f>
        <v>0</v>
      </c>
      <c r="AO483" s="712">
        <f>IFERROR(Producción_Agricola[[#This Row],[Económico U$S Dólares]]/Producción_Agricola[[#This Row],[Superficie]],0)</f>
        <v>0</v>
      </c>
      <c r="AP483" s="711">
        <f>IF(Económico!$F$4=0,0,Producción_Agricola[[#This Row],[Centro de Costo]])</f>
        <v>0</v>
      </c>
      <c r="AQ483" s="512"/>
      <c r="AR483" s="513"/>
      <c r="AS483"/>
    </row>
    <row r="484" spans="1:45" x14ac:dyDescent="0.25">
      <c r="A484" s="509"/>
      <c r="B484" s="494"/>
      <c r="C484" s="509"/>
      <c r="D484" s="478"/>
      <c r="E484" s="478"/>
      <c r="F484" s="668">
        <f t="shared" si="62"/>
        <v>0</v>
      </c>
      <c r="G484" s="673">
        <f t="shared" si="63"/>
        <v>0</v>
      </c>
      <c r="H484" s="673">
        <f t="shared" si="64"/>
        <v>0</v>
      </c>
      <c r="I484" s="675">
        <f>IFERROR(INDEX(Tabla8[],MATCH(Producción_Agricola[[#This Row],[Unidad de Negocio]],Tabla8[Unidades de Negocio],0),2),0)</f>
        <v>0</v>
      </c>
      <c r="J48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84" s="488"/>
      <c r="L484" s="482"/>
      <c r="M484" s="483"/>
      <c r="N484" s="484"/>
      <c r="O484" s="690">
        <f>Producción_Agricola[[#This Row],[Superficie]]*Producción_Agricola[[#This Row],[Cantidad]]</f>
        <v>0</v>
      </c>
      <c r="P484" s="482"/>
      <c r="Q484" s="484"/>
      <c r="R484" s="485"/>
      <c r="S48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84" s="695">
        <f>IFERROR(Producción_Agricola[[#This Row],[Económico $Corrientes]]/Producción_Agricola[[#This Row],[Indexación Económico]],0)</f>
        <v>0</v>
      </c>
      <c r="U48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8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84" s="695">
        <f>IFERROR(Producción_Agricola[[#This Row],[Financiero $Corrientes]]/Producción_Agricola[[#This Row],[Indexación Financiero]],0)</f>
        <v>0</v>
      </c>
      <c r="X48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8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84" s="699">
        <f>IFERROR(Producción_Agricola[[#This Row],[Intereses $Corrientes]]/Producción_Agricola[[#This Row],[Indexación Financiero]],0)</f>
        <v>0</v>
      </c>
      <c r="AA48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84" s="701">
        <f>IFERROR(INDEX(Produccion_Agricola_Cuentas[],MATCH(Producción_Agricola[[#This Row],[Cuenta Contable]],Produccion_Agricola_Cuentas[Cuenta Contable],0),2),0)</f>
        <v>0</v>
      </c>
      <c r="AC484" s="702">
        <f>IFERROR(INDEX(Tabla9[],MATCH(Producción_Agricola[[#This Row],[Movimiento]],Tabla9[Movimientos],0),2),0)</f>
        <v>0</v>
      </c>
      <c r="AD484" s="703">
        <f>IFERROR(INDEX(Tabla9[],MATCH(Producción_Agricola[[#This Row],[Movimiento]],Tabla9[Movimientos],0),3),0)</f>
        <v>0</v>
      </c>
      <c r="AE484" s="698">
        <f>IF(Producción_Agricola[[#This Row],[Fecha Económico]]=0,0,MONTH(Producción_Agricola[[#This Row],[Fecha Económico]]))</f>
        <v>0</v>
      </c>
      <c r="AF484" s="699">
        <f>IF(Producción_Agricola[[#This Row],[Fecha Económico]]=0,0,YEAR(Producción_Agricola[[#This Row],[Fecha Económico]]))</f>
        <v>0</v>
      </c>
      <c r="AG484" s="704">
        <f>SUMPRODUCT((Producción_Agricola[[#This Row],[Mes Económico]]=Tipo_Cambio[Mes])*(Producción_Agricola[[#This Row],[Año Económico]]=Tipo_Cambio[Año])*(Tipo_Cambio[$/U$S]))</f>
        <v>0</v>
      </c>
      <c r="AH484" s="703">
        <f>SUMPRODUCT((Producción_Agricola[[#This Row],[Mes Económico]]=Tipo_Cambio[Mes])*(Producción_Agricola[[#This Row],[Año Económico]]=Tipo_Cambio[Año])*(Tipo_Cambio[Actualización]))</f>
        <v>0</v>
      </c>
      <c r="AI484" s="699">
        <f>IF(ISNUMBER(Producción_Agricola[[#This Row],[Fecha Financiero]])=TRUE,MONTH(Producción_Agricola[[#This Row],[Fecha Financiero]]),0)</f>
        <v>0</v>
      </c>
      <c r="AJ484" s="699">
        <f>IF(ISNUMBER(Producción_Agricola[[#This Row],[Fecha Financiero]])=TRUE,YEAR(Producción_Agricola[[#This Row],[Fecha Financiero]]),0)</f>
        <v>0</v>
      </c>
      <c r="AK484" s="704">
        <f>SUMPRODUCT((Producción_Agricola[[#This Row],[Mes Financiero]]=Tipo_Cambio[Mes])*(Producción_Agricola[[#This Row],[Año Financiero]]=Tipo_Cambio[Año])*(Tipo_Cambio[$/U$S]))</f>
        <v>0</v>
      </c>
      <c r="AL484" s="704">
        <f>SUMPRODUCT((Producción_Agricola[[#This Row],[Mes Financiero]]=Tipo_Cambio[Mes])*(Producción_Agricola[[#This Row],[Año Financiero]]=Tipo_Cambio[Año])*(Tipo_Cambio[Actualización]))</f>
        <v>0</v>
      </c>
      <c r="AM484" s="709">
        <f>IFERROR(Producción_Agricola[[#This Row],[Económico $Corrientes]]/Producción_Agricola[[#This Row],[Superficie]],0)</f>
        <v>0</v>
      </c>
      <c r="AN484" s="712">
        <f>IFERROR(Producción_Agricola[[#This Row],[Económico $Constantes]]/Producción_Agricola[[#This Row],[Superficie]],0)</f>
        <v>0</v>
      </c>
      <c r="AO484" s="712">
        <f>IFERROR(Producción_Agricola[[#This Row],[Económico U$S Dólares]]/Producción_Agricola[[#This Row],[Superficie]],0)</f>
        <v>0</v>
      </c>
      <c r="AP484" s="711">
        <f>IF(Económico!$F$4=0,0,Producción_Agricola[[#This Row],[Centro de Costo]])</f>
        <v>0</v>
      </c>
      <c r="AQ484" s="512"/>
      <c r="AR484" s="513"/>
      <c r="AS484"/>
    </row>
    <row r="485" spans="1:45" x14ac:dyDescent="0.25">
      <c r="A485" s="509"/>
      <c r="B485" s="494"/>
      <c r="C485" s="509"/>
      <c r="D485" s="478"/>
      <c r="E485" s="478"/>
      <c r="F485" s="668">
        <f t="shared" si="62"/>
        <v>0</v>
      </c>
      <c r="G485" s="673">
        <f t="shared" si="63"/>
        <v>0</v>
      </c>
      <c r="H485" s="673">
        <f t="shared" si="64"/>
        <v>0</v>
      </c>
      <c r="I485" s="675">
        <f>IFERROR(INDEX(Tabla8[],MATCH(Producción_Agricola[[#This Row],[Unidad de Negocio]],Tabla8[Unidades de Negocio],0),2),0)</f>
        <v>0</v>
      </c>
      <c r="J48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85" s="488"/>
      <c r="L485" s="482"/>
      <c r="M485" s="483"/>
      <c r="N485" s="484"/>
      <c r="O485" s="690">
        <f>Producción_Agricola[[#This Row],[Superficie]]*Producción_Agricola[[#This Row],[Cantidad]]</f>
        <v>0</v>
      </c>
      <c r="P485" s="482"/>
      <c r="Q485" s="484"/>
      <c r="R485" s="485"/>
      <c r="S48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85" s="695">
        <f>IFERROR(Producción_Agricola[[#This Row],[Económico $Corrientes]]/Producción_Agricola[[#This Row],[Indexación Económico]],0)</f>
        <v>0</v>
      </c>
      <c r="U48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8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85" s="695">
        <f>IFERROR(Producción_Agricola[[#This Row],[Financiero $Corrientes]]/Producción_Agricola[[#This Row],[Indexación Financiero]],0)</f>
        <v>0</v>
      </c>
      <c r="X48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8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85" s="699">
        <f>IFERROR(Producción_Agricola[[#This Row],[Intereses $Corrientes]]/Producción_Agricola[[#This Row],[Indexación Financiero]],0)</f>
        <v>0</v>
      </c>
      <c r="AA48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85" s="701">
        <f>IFERROR(INDEX(Produccion_Agricola_Cuentas[],MATCH(Producción_Agricola[[#This Row],[Cuenta Contable]],Produccion_Agricola_Cuentas[Cuenta Contable],0),2),0)</f>
        <v>0</v>
      </c>
      <c r="AC485" s="702">
        <f>IFERROR(INDEX(Tabla9[],MATCH(Producción_Agricola[[#This Row],[Movimiento]],Tabla9[Movimientos],0),2),0)</f>
        <v>0</v>
      </c>
      <c r="AD485" s="703">
        <f>IFERROR(INDEX(Tabla9[],MATCH(Producción_Agricola[[#This Row],[Movimiento]],Tabla9[Movimientos],0),3),0)</f>
        <v>0</v>
      </c>
      <c r="AE485" s="698">
        <f>IF(Producción_Agricola[[#This Row],[Fecha Económico]]=0,0,MONTH(Producción_Agricola[[#This Row],[Fecha Económico]]))</f>
        <v>0</v>
      </c>
      <c r="AF485" s="699">
        <f>IF(Producción_Agricola[[#This Row],[Fecha Económico]]=0,0,YEAR(Producción_Agricola[[#This Row],[Fecha Económico]]))</f>
        <v>0</v>
      </c>
      <c r="AG485" s="704">
        <f>SUMPRODUCT((Producción_Agricola[[#This Row],[Mes Económico]]=Tipo_Cambio[Mes])*(Producción_Agricola[[#This Row],[Año Económico]]=Tipo_Cambio[Año])*(Tipo_Cambio[$/U$S]))</f>
        <v>0</v>
      </c>
      <c r="AH485" s="703">
        <f>SUMPRODUCT((Producción_Agricola[[#This Row],[Mes Económico]]=Tipo_Cambio[Mes])*(Producción_Agricola[[#This Row],[Año Económico]]=Tipo_Cambio[Año])*(Tipo_Cambio[Actualización]))</f>
        <v>0</v>
      </c>
      <c r="AI485" s="699">
        <f>IF(ISNUMBER(Producción_Agricola[[#This Row],[Fecha Financiero]])=TRUE,MONTH(Producción_Agricola[[#This Row],[Fecha Financiero]]),0)</f>
        <v>0</v>
      </c>
      <c r="AJ485" s="699">
        <f>IF(ISNUMBER(Producción_Agricola[[#This Row],[Fecha Financiero]])=TRUE,YEAR(Producción_Agricola[[#This Row],[Fecha Financiero]]),0)</f>
        <v>0</v>
      </c>
      <c r="AK485" s="704">
        <f>SUMPRODUCT((Producción_Agricola[[#This Row],[Mes Financiero]]=Tipo_Cambio[Mes])*(Producción_Agricola[[#This Row],[Año Financiero]]=Tipo_Cambio[Año])*(Tipo_Cambio[$/U$S]))</f>
        <v>0</v>
      </c>
      <c r="AL485" s="704">
        <f>SUMPRODUCT((Producción_Agricola[[#This Row],[Mes Financiero]]=Tipo_Cambio[Mes])*(Producción_Agricola[[#This Row],[Año Financiero]]=Tipo_Cambio[Año])*(Tipo_Cambio[Actualización]))</f>
        <v>0</v>
      </c>
      <c r="AM485" s="709">
        <f>IFERROR(Producción_Agricola[[#This Row],[Económico $Corrientes]]/Producción_Agricola[[#This Row],[Superficie]],0)</f>
        <v>0</v>
      </c>
      <c r="AN485" s="712">
        <f>IFERROR(Producción_Agricola[[#This Row],[Económico $Constantes]]/Producción_Agricola[[#This Row],[Superficie]],0)</f>
        <v>0</v>
      </c>
      <c r="AO485" s="712">
        <f>IFERROR(Producción_Agricola[[#This Row],[Económico U$S Dólares]]/Producción_Agricola[[#This Row],[Superficie]],0)</f>
        <v>0</v>
      </c>
      <c r="AP485" s="711">
        <f>IF(Económico!$F$4=0,0,Producción_Agricola[[#This Row],[Centro de Costo]])</f>
        <v>0</v>
      </c>
      <c r="AQ485" s="512"/>
      <c r="AR485" s="513"/>
      <c r="AS485"/>
    </row>
    <row r="486" spans="1:45" x14ac:dyDescent="0.25">
      <c r="A486" s="509"/>
      <c r="B486" s="494"/>
      <c r="C486" s="509"/>
      <c r="D486" s="478"/>
      <c r="E486" s="478"/>
      <c r="F486" s="668">
        <f t="shared" si="62"/>
        <v>0</v>
      </c>
      <c r="G486" s="673">
        <f t="shared" si="63"/>
        <v>0</v>
      </c>
      <c r="H486" s="673">
        <f t="shared" si="64"/>
        <v>0</v>
      </c>
      <c r="I486" s="675">
        <f>IFERROR(INDEX(Tabla8[],MATCH(Producción_Agricola[[#This Row],[Unidad de Negocio]],Tabla8[Unidades de Negocio],0),2),0)</f>
        <v>0</v>
      </c>
      <c r="J48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86" s="488"/>
      <c r="L486" s="482"/>
      <c r="M486" s="483"/>
      <c r="N486" s="484"/>
      <c r="O486" s="690">
        <f>Producción_Agricola[[#This Row],[Superficie]]*Producción_Agricola[[#This Row],[Cantidad]]</f>
        <v>0</v>
      </c>
      <c r="P486" s="482"/>
      <c r="Q486" s="484"/>
      <c r="R486" s="485"/>
      <c r="S48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86" s="695">
        <f>IFERROR(Producción_Agricola[[#This Row],[Económico $Corrientes]]/Producción_Agricola[[#This Row],[Indexación Económico]],0)</f>
        <v>0</v>
      </c>
      <c r="U48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8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86" s="695">
        <f>IFERROR(Producción_Agricola[[#This Row],[Financiero $Corrientes]]/Producción_Agricola[[#This Row],[Indexación Financiero]],0)</f>
        <v>0</v>
      </c>
      <c r="X48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8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86" s="699">
        <f>IFERROR(Producción_Agricola[[#This Row],[Intereses $Corrientes]]/Producción_Agricola[[#This Row],[Indexación Financiero]],0)</f>
        <v>0</v>
      </c>
      <c r="AA48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86" s="701">
        <f>IFERROR(INDEX(Produccion_Agricola_Cuentas[],MATCH(Producción_Agricola[[#This Row],[Cuenta Contable]],Produccion_Agricola_Cuentas[Cuenta Contable],0),2),0)</f>
        <v>0</v>
      </c>
      <c r="AC486" s="702">
        <f>IFERROR(INDEX(Tabla9[],MATCH(Producción_Agricola[[#This Row],[Movimiento]],Tabla9[Movimientos],0),2),0)</f>
        <v>0</v>
      </c>
      <c r="AD486" s="703">
        <f>IFERROR(INDEX(Tabla9[],MATCH(Producción_Agricola[[#This Row],[Movimiento]],Tabla9[Movimientos],0),3),0)</f>
        <v>0</v>
      </c>
      <c r="AE486" s="698">
        <f>IF(Producción_Agricola[[#This Row],[Fecha Económico]]=0,0,MONTH(Producción_Agricola[[#This Row],[Fecha Económico]]))</f>
        <v>0</v>
      </c>
      <c r="AF486" s="699">
        <f>IF(Producción_Agricola[[#This Row],[Fecha Económico]]=0,0,YEAR(Producción_Agricola[[#This Row],[Fecha Económico]]))</f>
        <v>0</v>
      </c>
      <c r="AG486" s="704">
        <f>SUMPRODUCT((Producción_Agricola[[#This Row],[Mes Económico]]=Tipo_Cambio[Mes])*(Producción_Agricola[[#This Row],[Año Económico]]=Tipo_Cambio[Año])*(Tipo_Cambio[$/U$S]))</f>
        <v>0</v>
      </c>
      <c r="AH486" s="703">
        <f>SUMPRODUCT((Producción_Agricola[[#This Row],[Mes Económico]]=Tipo_Cambio[Mes])*(Producción_Agricola[[#This Row],[Año Económico]]=Tipo_Cambio[Año])*(Tipo_Cambio[Actualización]))</f>
        <v>0</v>
      </c>
      <c r="AI486" s="699">
        <f>IF(ISNUMBER(Producción_Agricola[[#This Row],[Fecha Financiero]])=TRUE,MONTH(Producción_Agricola[[#This Row],[Fecha Financiero]]),0)</f>
        <v>0</v>
      </c>
      <c r="AJ486" s="699">
        <f>IF(ISNUMBER(Producción_Agricola[[#This Row],[Fecha Financiero]])=TRUE,YEAR(Producción_Agricola[[#This Row],[Fecha Financiero]]),0)</f>
        <v>0</v>
      </c>
      <c r="AK486" s="704">
        <f>SUMPRODUCT((Producción_Agricola[[#This Row],[Mes Financiero]]=Tipo_Cambio[Mes])*(Producción_Agricola[[#This Row],[Año Financiero]]=Tipo_Cambio[Año])*(Tipo_Cambio[$/U$S]))</f>
        <v>0</v>
      </c>
      <c r="AL486" s="704">
        <f>SUMPRODUCT((Producción_Agricola[[#This Row],[Mes Financiero]]=Tipo_Cambio[Mes])*(Producción_Agricola[[#This Row],[Año Financiero]]=Tipo_Cambio[Año])*(Tipo_Cambio[Actualización]))</f>
        <v>0</v>
      </c>
      <c r="AM486" s="709">
        <f>IFERROR(Producción_Agricola[[#This Row],[Económico $Corrientes]]/Producción_Agricola[[#This Row],[Superficie]],0)</f>
        <v>0</v>
      </c>
      <c r="AN486" s="712">
        <f>IFERROR(Producción_Agricola[[#This Row],[Económico $Constantes]]/Producción_Agricola[[#This Row],[Superficie]],0)</f>
        <v>0</v>
      </c>
      <c r="AO486" s="712">
        <f>IFERROR(Producción_Agricola[[#This Row],[Económico U$S Dólares]]/Producción_Agricola[[#This Row],[Superficie]],0)</f>
        <v>0</v>
      </c>
      <c r="AP486" s="711">
        <f>IF(Económico!$F$4=0,0,Producción_Agricola[[#This Row],[Centro de Costo]])</f>
        <v>0</v>
      </c>
      <c r="AQ486" s="512"/>
      <c r="AR486" s="513"/>
      <c r="AS486"/>
    </row>
    <row r="487" spans="1:45" x14ac:dyDescent="0.25">
      <c r="A487" s="509"/>
      <c r="B487" s="494"/>
      <c r="C487" s="509"/>
      <c r="D487" s="478"/>
      <c r="E487" s="478"/>
      <c r="F487" s="668">
        <f t="shared" si="62"/>
        <v>0</v>
      </c>
      <c r="G487" s="673">
        <f t="shared" si="63"/>
        <v>0</v>
      </c>
      <c r="H487" s="673">
        <f t="shared" si="64"/>
        <v>0</v>
      </c>
      <c r="I487" s="675">
        <f>IFERROR(INDEX(Tabla8[],MATCH(Producción_Agricola[[#This Row],[Unidad de Negocio]],Tabla8[Unidades de Negocio],0),2),0)</f>
        <v>0</v>
      </c>
      <c r="J48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87" s="488"/>
      <c r="L487" s="482"/>
      <c r="M487" s="483"/>
      <c r="N487" s="484"/>
      <c r="O487" s="690">
        <f>Producción_Agricola[[#This Row],[Superficie]]*Producción_Agricola[[#This Row],[Cantidad]]</f>
        <v>0</v>
      </c>
      <c r="P487" s="482"/>
      <c r="Q487" s="484"/>
      <c r="R487" s="485"/>
      <c r="S48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87" s="695">
        <f>IFERROR(Producción_Agricola[[#This Row],[Económico $Corrientes]]/Producción_Agricola[[#This Row],[Indexación Económico]],0)</f>
        <v>0</v>
      </c>
      <c r="U48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8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87" s="695">
        <f>IFERROR(Producción_Agricola[[#This Row],[Financiero $Corrientes]]/Producción_Agricola[[#This Row],[Indexación Financiero]],0)</f>
        <v>0</v>
      </c>
      <c r="X48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8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87" s="699">
        <f>IFERROR(Producción_Agricola[[#This Row],[Intereses $Corrientes]]/Producción_Agricola[[#This Row],[Indexación Financiero]],0)</f>
        <v>0</v>
      </c>
      <c r="AA48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87" s="701">
        <f>IFERROR(INDEX(Produccion_Agricola_Cuentas[],MATCH(Producción_Agricola[[#This Row],[Cuenta Contable]],Produccion_Agricola_Cuentas[Cuenta Contable],0),2),0)</f>
        <v>0</v>
      </c>
      <c r="AC487" s="702">
        <f>IFERROR(INDEX(Tabla9[],MATCH(Producción_Agricola[[#This Row],[Movimiento]],Tabla9[Movimientos],0),2),0)</f>
        <v>0</v>
      </c>
      <c r="AD487" s="703">
        <f>IFERROR(INDEX(Tabla9[],MATCH(Producción_Agricola[[#This Row],[Movimiento]],Tabla9[Movimientos],0),3),0)</f>
        <v>0</v>
      </c>
      <c r="AE487" s="698">
        <f>IF(Producción_Agricola[[#This Row],[Fecha Económico]]=0,0,MONTH(Producción_Agricola[[#This Row],[Fecha Económico]]))</f>
        <v>0</v>
      </c>
      <c r="AF487" s="699">
        <f>IF(Producción_Agricola[[#This Row],[Fecha Económico]]=0,0,YEAR(Producción_Agricola[[#This Row],[Fecha Económico]]))</f>
        <v>0</v>
      </c>
      <c r="AG487" s="704">
        <f>SUMPRODUCT((Producción_Agricola[[#This Row],[Mes Económico]]=Tipo_Cambio[Mes])*(Producción_Agricola[[#This Row],[Año Económico]]=Tipo_Cambio[Año])*(Tipo_Cambio[$/U$S]))</f>
        <v>0</v>
      </c>
      <c r="AH487" s="703">
        <f>SUMPRODUCT((Producción_Agricola[[#This Row],[Mes Económico]]=Tipo_Cambio[Mes])*(Producción_Agricola[[#This Row],[Año Económico]]=Tipo_Cambio[Año])*(Tipo_Cambio[Actualización]))</f>
        <v>0</v>
      </c>
      <c r="AI487" s="699">
        <f>IF(ISNUMBER(Producción_Agricola[[#This Row],[Fecha Financiero]])=TRUE,MONTH(Producción_Agricola[[#This Row],[Fecha Financiero]]),0)</f>
        <v>0</v>
      </c>
      <c r="AJ487" s="699">
        <f>IF(ISNUMBER(Producción_Agricola[[#This Row],[Fecha Financiero]])=TRUE,YEAR(Producción_Agricola[[#This Row],[Fecha Financiero]]),0)</f>
        <v>0</v>
      </c>
      <c r="AK487" s="704">
        <f>SUMPRODUCT((Producción_Agricola[[#This Row],[Mes Financiero]]=Tipo_Cambio[Mes])*(Producción_Agricola[[#This Row],[Año Financiero]]=Tipo_Cambio[Año])*(Tipo_Cambio[$/U$S]))</f>
        <v>0</v>
      </c>
      <c r="AL487" s="704">
        <f>SUMPRODUCT((Producción_Agricola[[#This Row],[Mes Financiero]]=Tipo_Cambio[Mes])*(Producción_Agricola[[#This Row],[Año Financiero]]=Tipo_Cambio[Año])*(Tipo_Cambio[Actualización]))</f>
        <v>0</v>
      </c>
      <c r="AM487" s="709">
        <f>IFERROR(Producción_Agricola[[#This Row],[Económico $Corrientes]]/Producción_Agricola[[#This Row],[Superficie]],0)</f>
        <v>0</v>
      </c>
      <c r="AN487" s="712">
        <f>IFERROR(Producción_Agricola[[#This Row],[Económico $Constantes]]/Producción_Agricola[[#This Row],[Superficie]],0)</f>
        <v>0</v>
      </c>
      <c r="AO487" s="712">
        <f>IFERROR(Producción_Agricola[[#This Row],[Económico U$S Dólares]]/Producción_Agricola[[#This Row],[Superficie]],0)</f>
        <v>0</v>
      </c>
      <c r="AP487" s="711">
        <f>IF(Económico!$F$4=0,0,Producción_Agricola[[#This Row],[Centro de Costo]])</f>
        <v>0</v>
      </c>
      <c r="AQ487" s="512"/>
      <c r="AR487" s="513"/>
      <c r="AS487"/>
    </row>
    <row r="488" spans="1:45" ht="15.75" thickBot="1" x14ac:dyDescent="0.3">
      <c r="A488" s="509"/>
      <c r="B488" s="494" t="s">
        <v>101</v>
      </c>
      <c r="C488" s="509"/>
      <c r="D488" s="478"/>
      <c r="E488" s="478"/>
      <c r="F488" s="668">
        <f t="shared" si="62"/>
        <v>0</v>
      </c>
      <c r="G488" s="673">
        <f t="shared" si="63"/>
        <v>0</v>
      </c>
      <c r="H488" s="673">
        <f t="shared" si="64"/>
        <v>0</v>
      </c>
      <c r="I488" s="675">
        <f>IFERROR(INDEX(Tabla8[],MATCH(Producción_Agricola[[#This Row],[Unidad de Negocio]],Tabla8[Unidades de Negocio],0),2),0)</f>
        <v>0</v>
      </c>
      <c r="J48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88" s="488"/>
      <c r="L488" s="482"/>
      <c r="M488" s="483"/>
      <c r="N488" s="484"/>
      <c r="O488" s="690">
        <f>Producción_Agricola[[#This Row],[Superficie]]*Producción_Agricola[[#This Row],[Cantidad]]</f>
        <v>0</v>
      </c>
      <c r="P488" s="482"/>
      <c r="Q488" s="484"/>
      <c r="R488" s="485"/>
      <c r="S48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88" s="695">
        <f>IFERROR(Producción_Agricola[[#This Row],[Económico $Corrientes]]/Producción_Agricola[[#This Row],[Indexación Económico]],0)</f>
        <v>0</v>
      </c>
      <c r="U48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8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88" s="695">
        <f>IFERROR(Producción_Agricola[[#This Row],[Financiero $Corrientes]]/Producción_Agricola[[#This Row],[Indexación Financiero]],0)</f>
        <v>0</v>
      </c>
      <c r="X48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8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88" s="699">
        <f>IFERROR(Producción_Agricola[[#This Row],[Intereses $Corrientes]]/Producción_Agricola[[#This Row],[Indexación Financiero]],0)</f>
        <v>0</v>
      </c>
      <c r="AA48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88" s="701">
        <f>IFERROR(INDEX(Produccion_Agricola_Cuentas[],MATCH(Producción_Agricola[[#This Row],[Cuenta Contable]],Produccion_Agricola_Cuentas[Cuenta Contable],0),2),0)</f>
        <v>0</v>
      </c>
      <c r="AC488" s="702">
        <f>IFERROR(INDEX(Tabla9[],MATCH(Producción_Agricola[[#This Row],[Movimiento]],Tabla9[Movimientos],0),2),0)</f>
        <v>0</v>
      </c>
      <c r="AD488" s="703">
        <f>IFERROR(INDEX(Tabla9[],MATCH(Producción_Agricola[[#This Row],[Movimiento]],Tabla9[Movimientos],0),3),0)</f>
        <v>0</v>
      </c>
      <c r="AE488" s="698">
        <f>IF(Producción_Agricola[[#This Row],[Fecha Económico]]=0,0,MONTH(Producción_Agricola[[#This Row],[Fecha Económico]]))</f>
        <v>0</v>
      </c>
      <c r="AF488" s="699">
        <f>IF(Producción_Agricola[[#This Row],[Fecha Económico]]=0,0,YEAR(Producción_Agricola[[#This Row],[Fecha Económico]]))</f>
        <v>0</v>
      </c>
      <c r="AG488" s="704">
        <f>SUMPRODUCT((Producción_Agricola[[#This Row],[Mes Económico]]=Tipo_Cambio[Mes])*(Producción_Agricola[[#This Row],[Año Económico]]=Tipo_Cambio[Año])*(Tipo_Cambio[$/U$S]))</f>
        <v>0</v>
      </c>
      <c r="AH488" s="703">
        <f>SUMPRODUCT((Producción_Agricola[[#This Row],[Mes Económico]]=Tipo_Cambio[Mes])*(Producción_Agricola[[#This Row],[Año Económico]]=Tipo_Cambio[Año])*(Tipo_Cambio[Actualización]))</f>
        <v>0</v>
      </c>
      <c r="AI488" s="699">
        <f>IF(ISNUMBER(Producción_Agricola[[#This Row],[Fecha Financiero]])=TRUE,MONTH(Producción_Agricola[[#This Row],[Fecha Financiero]]),0)</f>
        <v>0</v>
      </c>
      <c r="AJ488" s="699">
        <f>IF(ISNUMBER(Producción_Agricola[[#This Row],[Fecha Financiero]])=TRUE,YEAR(Producción_Agricola[[#This Row],[Fecha Financiero]]),0)</f>
        <v>0</v>
      </c>
      <c r="AK488" s="704">
        <f>SUMPRODUCT((Producción_Agricola[[#This Row],[Mes Financiero]]=Tipo_Cambio[Mes])*(Producción_Agricola[[#This Row],[Año Financiero]]=Tipo_Cambio[Año])*(Tipo_Cambio[$/U$S]))</f>
        <v>0</v>
      </c>
      <c r="AL488" s="704">
        <f>SUMPRODUCT((Producción_Agricola[[#This Row],[Mes Financiero]]=Tipo_Cambio[Mes])*(Producción_Agricola[[#This Row],[Año Financiero]]=Tipo_Cambio[Año])*(Tipo_Cambio[Actualización]))</f>
        <v>0</v>
      </c>
      <c r="AM488" s="709">
        <f>IFERROR(Producción_Agricola[[#This Row],[Económico $Corrientes]]/Producción_Agricola[[#This Row],[Superficie]],0)</f>
        <v>0</v>
      </c>
      <c r="AN488" s="712">
        <f>IFERROR(Producción_Agricola[[#This Row],[Económico $Constantes]]/Producción_Agricola[[#This Row],[Superficie]],0)</f>
        <v>0</v>
      </c>
      <c r="AO488" s="712">
        <f>IFERROR(Producción_Agricola[[#This Row],[Económico U$S Dólares]]/Producción_Agricola[[#This Row],[Superficie]],0)</f>
        <v>0</v>
      </c>
      <c r="AP488" s="711">
        <f>IF(Económico!$F$4=0,0,Producción_Agricola[[#This Row],[Centro de Costo]])</f>
        <v>0</v>
      </c>
      <c r="AQ488" s="512"/>
      <c r="AR488" s="513"/>
      <c r="AS488"/>
    </row>
    <row r="489" spans="1:45" ht="15.75" thickTop="1" x14ac:dyDescent="0.25">
      <c r="A489" s="509"/>
      <c r="B489" s="477" t="s">
        <v>449</v>
      </c>
      <c r="C489" s="509"/>
      <c r="D489" s="495"/>
      <c r="E489" s="495"/>
      <c r="F489" s="679">
        <f>+$B$490</f>
        <v>0</v>
      </c>
      <c r="G489" s="680">
        <f>+$B$491</f>
        <v>0</v>
      </c>
      <c r="H489" s="680">
        <f>+$B$492</f>
        <v>0</v>
      </c>
      <c r="I489" s="683">
        <f>IFERROR(INDEX(Tabla8[],MATCH(Producción_Agricola[[#This Row],[Unidad de Negocio]],Tabla8[Unidades de Negocio],0),2),0)</f>
        <v>0</v>
      </c>
      <c r="J489" s="684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89" s="508"/>
      <c r="L489" s="497"/>
      <c r="M489" s="498"/>
      <c r="N489" s="499"/>
      <c r="O489" s="691">
        <f>Producción_Agricola[[#This Row],[Superficie]]*Producción_Agricola[[#This Row],[Cantidad]]</f>
        <v>0</v>
      </c>
      <c r="P489" s="497"/>
      <c r="Q489" s="499"/>
      <c r="R489" s="500"/>
      <c r="S489" s="74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89" s="714">
        <f>IFERROR(Producción_Agricola[[#This Row],[Económico $Corrientes]]/Producción_Agricola[[#This Row],[Indexación Económico]],0)</f>
        <v>0</v>
      </c>
      <c r="U489" s="741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89" s="715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89" s="714">
        <f>IFERROR(Producción_Agricola[[#This Row],[Financiero $Corrientes]]/Producción_Agricola[[#This Row],[Indexación Financiero]],0)</f>
        <v>0</v>
      </c>
      <c r="X489" s="716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89" s="717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89" s="718">
        <f>IFERROR(Producción_Agricola[[#This Row],[Intereses $Corrientes]]/Producción_Agricola[[#This Row],[Indexación Financiero]],0)</f>
        <v>0</v>
      </c>
      <c r="AA489" s="719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89" s="720">
        <f>IFERROR(INDEX(Produccion_Agricola_Cuentas[],MATCH(Producción_Agricola[[#This Row],[Cuenta Contable]],Produccion_Agricola_Cuentas[Cuenta Contable],0),2),0)</f>
        <v>0</v>
      </c>
      <c r="AC489" s="721">
        <f>IFERROR(INDEX(Tabla9[],MATCH(Producción_Agricola[[#This Row],[Movimiento]],Tabla9[Movimientos],0),2),0)</f>
        <v>0</v>
      </c>
      <c r="AD489" s="722">
        <f>IFERROR(INDEX(Tabla9[],MATCH(Producción_Agricola[[#This Row],[Movimiento]],Tabla9[Movimientos],0),3),0)</f>
        <v>0</v>
      </c>
      <c r="AE489" s="717">
        <f>IF(Producción_Agricola[[#This Row],[Fecha Económico]]=0,0,MONTH(Producción_Agricola[[#This Row],[Fecha Económico]]))</f>
        <v>0</v>
      </c>
      <c r="AF489" s="718">
        <f>IF(Producción_Agricola[[#This Row],[Fecha Económico]]=0,0,YEAR(Producción_Agricola[[#This Row],[Fecha Económico]]))</f>
        <v>0</v>
      </c>
      <c r="AG489" s="723">
        <f>SUMPRODUCT((Producción_Agricola[[#This Row],[Mes Económico]]=Tipo_Cambio[Mes])*(Producción_Agricola[[#This Row],[Año Económico]]=Tipo_Cambio[Año])*(Tipo_Cambio[$/U$S]))</f>
        <v>0</v>
      </c>
      <c r="AH489" s="722">
        <f>SUMPRODUCT((Producción_Agricola[[#This Row],[Mes Económico]]=Tipo_Cambio[Mes])*(Producción_Agricola[[#This Row],[Año Económico]]=Tipo_Cambio[Año])*(Tipo_Cambio[Actualización]))</f>
        <v>0</v>
      </c>
      <c r="AI489" s="718">
        <f>IF(ISNUMBER(Producción_Agricola[[#This Row],[Fecha Financiero]])=TRUE,MONTH(Producción_Agricola[[#This Row],[Fecha Financiero]]),0)</f>
        <v>0</v>
      </c>
      <c r="AJ489" s="718">
        <f>IF(ISNUMBER(Producción_Agricola[[#This Row],[Fecha Financiero]])=TRUE,YEAR(Producción_Agricola[[#This Row],[Fecha Financiero]]),0)</f>
        <v>0</v>
      </c>
      <c r="AK489" s="723">
        <f>SUMPRODUCT((Producción_Agricola[[#This Row],[Mes Financiero]]=Tipo_Cambio[Mes])*(Producción_Agricola[[#This Row],[Año Financiero]]=Tipo_Cambio[Año])*(Tipo_Cambio[$/U$S]))</f>
        <v>0</v>
      </c>
      <c r="AL489" s="723">
        <f>SUMPRODUCT((Producción_Agricola[[#This Row],[Mes Financiero]]=Tipo_Cambio[Mes])*(Producción_Agricola[[#This Row],[Año Financiero]]=Tipo_Cambio[Año])*(Tipo_Cambio[Actualización]))</f>
        <v>0</v>
      </c>
      <c r="AM489" s="742">
        <f>IFERROR(Producción_Agricola[[#This Row],[Económico $Corrientes]]/Producción_Agricola[[#This Row],[Superficie]],0)</f>
        <v>0</v>
      </c>
      <c r="AN489" s="743">
        <f>IFERROR(Producción_Agricola[[#This Row],[Económico $Constantes]]/Producción_Agricola[[#This Row],[Superficie]],0)</f>
        <v>0</v>
      </c>
      <c r="AO489" s="743">
        <f>IFERROR(Producción_Agricola[[#This Row],[Económico U$S Dólares]]/Producción_Agricola[[#This Row],[Superficie]],0)</f>
        <v>0</v>
      </c>
      <c r="AP489" s="744">
        <f>IF(Económico!$F$4=0,0,Producción_Agricola[[#This Row],[Centro de Costo]])</f>
        <v>0</v>
      </c>
      <c r="AQ489" s="516"/>
      <c r="AR489" s="517"/>
      <c r="AS489"/>
    </row>
    <row r="490" spans="1:45" x14ac:dyDescent="0.25">
      <c r="A490" s="509"/>
      <c r="B490" s="501"/>
      <c r="C490" s="509"/>
      <c r="D490" s="478"/>
      <c r="E490" s="478"/>
      <c r="F490" s="668">
        <f t="shared" ref="F490:F542" si="65">+$B$490</f>
        <v>0</v>
      </c>
      <c r="G490" s="673">
        <f t="shared" ref="G490:G542" si="66">+$B$491</f>
        <v>0</v>
      </c>
      <c r="H490" s="673">
        <f t="shared" ref="H490:H542" si="67">+$B$492</f>
        <v>0</v>
      </c>
      <c r="I490" s="675">
        <f>IFERROR(INDEX(Tabla8[],MATCH(Producción_Agricola[[#This Row],[Unidad de Negocio]],Tabla8[Unidades de Negocio],0),2),0)</f>
        <v>0</v>
      </c>
      <c r="J49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90" s="488"/>
      <c r="L490" s="482"/>
      <c r="M490" s="483"/>
      <c r="N490" s="484"/>
      <c r="O490" s="690">
        <f>Producción_Agricola[[#This Row],[Superficie]]*Producción_Agricola[[#This Row],[Cantidad]]</f>
        <v>0</v>
      </c>
      <c r="P490" s="482"/>
      <c r="Q490" s="484"/>
      <c r="R490" s="485"/>
      <c r="S49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90" s="695">
        <f>IFERROR(Producción_Agricola[[#This Row],[Económico $Corrientes]]/Producción_Agricola[[#This Row],[Indexación Económico]],0)</f>
        <v>0</v>
      </c>
      <c r="U49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9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90" s="695">
        <f>IFERROR(Producción_Agricola[[#This Row],[Financiero $Corrientes]]/Producción_Agricola[[#This Row],[Indexación Financiero]],0)</f>
        <v>0</v>
      </c>
      <c r="X49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9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90" s="699">
        <f>IFERROR(Producción_Agricola[[#This Row],[Intereses $Corrientes]]/Producción_Agricola[[#This Row],[Indexación Financiero]],0)</f>
        <v>0</v>
      </c>
      <c r="AA49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90" s="701">
        <f>IFERROR(INDEX(Produccion_Agricola_Cuentas[],MATCH(Producción_Agricola[[#This Row],[Cuenta Contable]],Produccion_Agricola_Cuentas[Cuenta Contable],0),2),0)</f>
        <v>0</v>
      </c>
      <c r="AC490" s="702">
        <f>IFERROR(INDEX(Tabla9[],MATCH(Producción_Agricola[[#This Row],[Movimiento]],Tabla9[Movimientos],0),2),0)</f>
        <v>0</v>
      </c>
      <c r="AD490" s="703">
        <f>IFERROR(INDEX(Tabla9[],MATCH(Producción_Agricola[[#This Row],[Movimiento]],Tabla9[Movimientos],0),3),0)</f>
        <v>0</v>
      </c>
      <c r="AE490" s="698">
        <f>IF(Producción_Agricola[[#This Row],[Fecha Económico]]=0,0,MONTH(Producción_Agricola[[#This Row],[Fecha Económico]]))</f>
        <v>0</v>
      </c>
      <c r="AF490" s="699">
        <f>IF(Producción_Agricola[[#This Row],[Fecha Económico]]=0,0,YEAR(Producción_Agricola[[#This Row],[Fecha Económico]]))</f>
        <v>0</v>
      </c>
      <c r="AG490" s="704">
        <f>SUMPRODUCT((Producción_Agricola[[#This Row],[Mes Económico]]=Tipo_Cambio[Mes])*(Producción_Agricola[[#This Row],[Año Económico]]=Tipo_Cambio[Año])*(Tipo_Cambio[$/U$S]))</f>
        <v>0</v>
      </c>
      <c r="AH490" s="703">
        <f>SUMPRODUCT((Producción_Agricola[[#This Row],[Mes Económico]]=Tipo_Cambio[Mes])*(Producción_Agricola[[#This Row],[Año Económico]]=Tipo_Cambio[Año])*(Tipo_Cambio[Actualización]))</f>
        <v>0</v>
      </c>
      <c r="AI490" s="699">
        <f>IF(ISNUMBER(Producción_Agricola[[#This Row],[Fecha Financiero]])=TRUE,MONTH(Producción_Agricola[[#This Row],[Fecha Financiero]]),0)</f>
        <v>0</v>
      </c>
      <c r="AJ490" s="699">
        <f>IF(ISNUMBER(Producción_Agricola[[#This Row],[Fecha Financiero]])=TRUE,YEAR(Producción_Agricola[[#This Row],[Fecha Financiero]]),0)</f>
        <v>0</v>
      </c>
      <c r="AK490" s="704">
        <f>SUMPRODUCT((Producción_Agricola[[#This Row],[Mes Financiero]]=Tipo_Cambio[Mes])*(Producción_Agricola[[#This Row],[Año Financiero]]=Tipo_Cambio[Año])*(Tipo_Cambio[$/U$S]))</f>
        <v>0</v>
      </c>
      <c r="AL490" s="704">
        <f>SUMPRODUCT((Producción_Agricola[[#This Row],[Mes Financiero]]=Tipo_Cambio[Mes])*(Producción_Agricola[[#This Row],[Año Financiero]]=Tipo_Cambio[Año])*(Tipo_Cambio[Actualización]))</f>
        <v>0</v>
      </c>
      <c r="AM490" s="709">
        <f>IFERROR(Producción_Agricola[[#This Row],[Económico $Corrientes]]/Producción_Agricola[[#This Row],[Superficie]],0)</f>
        <v>0</v>
      </c>
      <c r="AN490" s="712">
        <f>IFERROR(Producción_Agricola[[#This Row],[Económico $Constantes]]/Producción_Agricola[[#This Row],[Superficie]],0)</f>
        <v>0</v>
      </c>
      <c r="AO490" s="712">
        <f>IFERROR(Producción_Agricola[[#This Row],[Económico U$S Dólares]]/Producción_Agricola[[#This Row],[Superficie]],0)</f>
        <v>0</v>
      </c>
      <c r="AP490" s="711">
        <f>IF(Económico!$F$4=0,0,Producción_Agricola[[#This Row],[Centro de Costo]])</f>
        <v>0</v>
      </c>
      <c r="AQ490" s="512"/>
      <c r="AR490" s="513"/>
      <c r="AS490"/>
    </row>
    <row r="491" spans="1:45" x14ac:dyDescent="0.25">
      <c r="A491" s="509"/>
      <c r="B491" s="486"/>
      <c r="C491" s="509"/>
      <c r="D491" s="478"/>
      <c r="E491" s="478"/>
      <c r="F491" s="668">
        <f t="shared" si="65"/>
        <v>0</v>
      </c>
      <c r="G491" s="673">
        <f t="shared" si="66"/>
        <v>0</v>
      </c>
      <c r="H491" s="673">
        <f t="shared" si="67"/>
        <v>0</v>
      </c>
      <c r="I491" s="675">
        <f>IFERROR(INDEX(Tabla8[],MATCH(Producción_Agricola[[#This Row],[Unidad de Negocio]],Tabla8[Unidades de Negocio],0),2),0)</f>
        <v>0</v>
      </c>
      <c r="J49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91" s="488"/>
      <c r="L491" s="482"/>
      <c r="M491" s="483"/>
      <c r="N491" s="484"/>
      <c r="O491" s="690">
        <f>Producción_Agricola[[#This Row],[Superficie]]*Producción_Agricola[[#This Row],[Cantidad]]</f>
        <v>0</v>
      </c>
      <c r="P491" s="482"/>
      <c r="Q491" s="484"/>
      <c r="R491" s="485"/>
      <c r="S49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91" s="695">
        <f>IFERROR(Producción_Agricola[[#This Row],[Económico $Corrientes]]/Producción_Agricola[[#This Row],[Indexación Económico]],0)</f>
        <v>0</v>
      </c>
      <c r="U49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9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91" s="695">
        <f>IFERROR(Producción_Agricola[[#This Row],[Financiero $Corrientes]]/Producción_Agricola[[#This Row],[Indexación Financiero]],0)</f>
        <v>0</v>
      </c>
      <c r="X49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9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91" s="699">
        <f>IFERROR(Producción_Agricola[[#This Row],[Intereses $Corrientes]]/Producción_Agricola[[#This Row],[Indexación Financiero]],0)</f>
        <v>0</v>
      </c>
      <c r="AA49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91" s="701">
        <f>IFERROR(INDEX(Produccion_Agricola_Cuentas[],MATCH(Producción_Agricola[[#This Row],[Cuenta Contable]],Produccion_Agricola_Cuentas[Cuenta Contable],0),2),0)</f>
        <v>0</v>
      </c>
      <c r="AC491" s="702">
        <f>IFERROR(INDEX(Tabla9[],MATCH(Producción_Agricola[[#This Row],[Movimiento]],Tabla9[Movimientos],0),2),0)</f>
        <v>0</v>
      </c>
      <c r="AD491" s="703">
        <f>IFERROR(INDEX(Tabla9[],MATCH(Producción_Agricola[[#This Row],[Movimiento]],Tabla9[Movimientos],0),3),0)</f>
        <v>0</v>
      </c>
      <c r="AE491" s="698">
        <f>IF(Producción_Agricola[[#This Row],[Fecha Económico]]=0,0,MONTH(Producción_Agricola[[#This Row],[Fecha Económico]]))</f>
        <v>0</v>
      </c>
      <c r="AF491" s="699">
        <f>IF(Producción_Agricola[[#This Row],[Fecha Económico]]=0,0,YEAR(Producción_Agricola[[#This Row],[Fecha Económico]]))</f>
        <v>0</v>
      </c>
      <c r="AG491" s="704">
        <f>SUMPRODUCT((Producción_Agricola[[#This Row],[Mes Económico]]=Tipo_Cambio[Mes])*(Producción_Agricola[[#This Row],[Año Económico]]=Tipo_Cambio[Año])*(Tipo_Cambio[$/U$S]))</f>
        <v>0</v>
      </c>
      <c r="AH491" s="703">
        <f>SUMPRODUCT((Producción_Agricola[[#This Row],[Mes Económico]]=Tipo_Cambio[Mes])*(Producción_Agricola[[#This Row],[Año Económico]]=Tipo_Cambio[Año])*(Tipo_Cambio[Actualización]))</f>
        <v>0</v>
      </c>
      <c r="AI491" s="699">
        <f>IF(ISNUMBER(Producción_Agricola[[#This Row],[Fecha Financiero]])=TRUE,MONTH(Producción_Agricola[[#This Row],[Fecha Financiero]]),0)</f>
        <v>0</v>
      </c>
      <c r="AJ491" s="699">
        <f>IF(ISNUMBER(Producción_Agricola[[#This Row],[Fecha Financiero]])=TRUE,YEAR(Producción_Agricola[[#This Row],[Fecha Financiero]]),0)</f>
        <v>0</v>
      </c>
      <c r="AK491" s="704">
        <f>SUMPRODUCT((Producción_Agricola[[#This Row],[Mes Financiero]]=Tipo_Cambio[Mes])*(Producción_Agricola[[#This Row],[Año Financiero]]=Tipo_Cambio[Año])*(Tipo_Cambio[$/U$S]))</f>
        <v>0</v>
      </c>
      <c r="AL491" s="704">
        <f>SUMPRODUCT((Producción_Agricola[[#This Row],[Mes Financiero]]=Tipo_Cambio[Mes])*(Producción_Agricola[[#This Row],[Año Financiero]]=Tipo_Cambio[Año])*(Tipo_Cambio[Actualización]))</f>
        <v>0</v>
      </c>
      <c r="AM491" s="709">
        <f>IFERROR(Producción_Agricola[[#This Row],[Económico $Corrientes]]/Producción_Agricola[[#This Row],[Superficie]],0)</f>
        <v>0</v>
      </c>
      <c r="AN491" s="712">
        <f>IFERROR(Producción_Agricola[[#This Row],[Económico $Constantes]]/Producción_Agricola[[#This Row],[Superficie]],0)</f>
        <v>0</v>
      </c>
      <c r="AO491" s="712">
        <f>IFERROR(Producción_Agricola[[#This Row],[Económico U$S Dólares]]/Producción_Agricola[[#This Row],[Superficie]],0)</f>
        <v>0</v>
      </c>
      <c r="AP491" s="711">
        <f>IF(Económico!$F$4=0,0,Producción_Agricola[[#This Row],[Centro de Costo]])</f>
        <v>0</v>
      </c>
      <c r="AQ491" s="512"/>
      <c r="AR491" s="513"/>
      <c r="AS491"/>
    </row>
    <row r="492" spans="1:45" x14ac:dyDescent="0.25">
      <c r="A492" s="509"/>
      <c r="B492" s="486"/>
      <c r="C492" s="509"/>
      <c r="D492" s="478"/>
      <c r="E492" s="478"/>
      <c r="F492" s="668">
        <f t="shared" si="65"/>
        <v>0</v>
      </c>
      <c r="G492" s="673">
        <f t="shared" si="66"/>
        <v>0</v>
      </c>
      <c r="H492" s="673">
        <f t="shared" si="67"/>
        <v>0</v>
      </c>
      <c r="I492" s="675">
        <f>IFERROR(INDEX(Tabla8[],MATCH(Producción_Agricola[[#This Row],[Unidad de Negocio]],Tabla8[Unidades de Negocio],0),2),0)</f>
        <v>0</v>
      </c>
      <c r="J49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92" s="488"/>
      <c r="L492" s="482"/>
      <c r="M492" s="483"/>
      <c r="N492" s="484"/>
      <c r="O492" s="690">
        <f>Producción_Agricola[[#This Row],[Superficie]]*Producción_Agricola[[#This Row],[Cantidad]]</f>
        <v>0</v>
      </c>
      <c r="P492" s="482"/>
      <c r="Q492" s="484"/>
      <c r="R492" s="485"/>
      <c r="S49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92" s="695">
        <f>IFERROR(Producción_Agricola[[#This Row],[Económico $Corrientes]]/Producción_Agricola[[#This Row],[Indexación Económico]],0)</f>
        <v>0</v>
      </c>
      <c r="U49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9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92" s="695">
        <f>IFERROR(Producción_Agricola[[#This Row],[Financiero $Corrientes]]/Producción_Agricola[[#This Row],[Indexación Financiero]],0)</f>
        <v>0</v>
      </c>
      <c r="X49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9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92" s="699">
        <f>IFERROR(Producción_Agricola[[#This Row],[Intereses $Corrientes]]/Producción_Agricola[[#This Row],[Indexación Financiero]],0)</f>
        <v>0</v>
      </c>
      <c r="AA49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92" s="701">
        <f>IFERROR(INDEX(Produccion_Agricola_Cuentas[],MATCH(Producción_Agricola[[#This Row],[Cuenta Contable]],Produccion_Agricola_Cuentas[Cuenta Contable],0),2),0)</f>
        <v>0</v>
      </c>
      <c r="AC492" s="702">
        <f>IFERROR(INDEX(Tabla9[],MATCH(Producción_Agricola[[#This Row],[Movimiento]],Tabla9[Movimientos],0),2),0)</f>
        <v>0</v>
      </c>
      <c r="AD492" s="703">
        <f>IFERROR(INDEX(Tabla9[],MATCH(Producción_Agricola[[#This Row],[Movimiento]],Tabla9[Movimientos],0),3),0)</f>
        <v>0</v>
      </c>
      <c r="AE492" s="698">
        <f>IF(Producción_Agricola[[#This Row],[Fecha Económico]]=0,0,MONTH(Producción_Agricola[[#This Row],[Fecha Económico]]))</f>
        <v>0</v>
      </c>
      <c r="AF492" s="699">
        <f>IF(Producción_Agricola[[#This Row],[Fecha Económico]]=0,0,YEAR(Producción_Agricola[[#This Row],[Fecha Económico]]))</f>
        <v>0</v>
      </c>
      <c r="AG492" s="704">
        <f>SUMPRODUCT((Producción_Agricola[[#This Row],[Mes Económico]]=Tipo_Cambio[Mes])*(Producción_Agricola[[#This Row],[Año Económico]]=Tipo_Cambio[Año])*(Tipo_Cambio[$/U$S]))</f>
        <v>0</v>
      </c>
      <c r="AH492" s="703">
        <f>SUMPRODUCT((Producción_Agricola[[#This Row],[Mes Económico]]=Tipo_Cambio[Mes])*(Producción_Agricola[[#This Row],[Año Económico]]=Tipo_Cambio[Año])*(Tipo_Cambio[Actualización]))</f>
        <v>0</v>
      </c>
      <c r="AI492" s="699">
        <f>IF(ISNUMBER(Producción_Agricola[[#This Row],[Fecha Financiero]])=TRUE,MONTH(Producción_Agricola[[#This Row],[Fecha Financiero]]),0)</f>
        <v>0</v>
      </c>
      <c r="AJ492" s="699">
        <f>IF(ISNUMBER(Producción_Agricola[[#This Row],[Fecha Financiero]])=TRUE,YEAR(Producción_Agricola[[#This Row],[Fecha Financiero]]),0)</f>
        <v>0</v>
      </c>
      <c r="AK492" s="704">
        <f>SUMPRODUCT((Producción_Agricola[[#This Row],[Mes Financiero]]=Tipo_Cambio[Mes])*(Producción_Agricola[[#This Row],[Año Financiero]]=Tipo_Cambio[Año])*(Tipo_Cambio[$/U$S]))</f>
        <v>0</v>
      </c>
      <c r="AL492" s="704">
        <f>SUMPRODUCT((Producción_Agricola[[#This Row],[Mes Financiero]]=Tipo_Cambio[Mes])*(Producción_Agricola[[#This Row],[Año Financiero]]=Tipo_Cambio[Año])*(Tipo_Cambio[Actualización]))</f>
        <v>0</v>
      </c>
      <c r="AM492" s="709">
        <f>IFERROR(Producción_Agricola[[#This Row],[Económico $Corrientes]]/Producción_Agricola[[#This Row],[Superficie]],0)</f>
        <v>0</v>
      </c>
      <c r="AN492" s="712">
        <f>IFERROR(Producción_Agricola[[#This Row],[Económico $Constantes]]/Producción_Agricola[[#This Row],[Superficie]],0)</f>
        <v>0</v>
      </c>
      <c r="AO492" s="712">
        <f>IFERROR(Producción_Agricola[[#This Row],[Económico U$S Dólares]]/Producción_Agricola[[#This Row],[Superficie]],0)</f>
        <v>0</v>
      </c>
      <c r="AP492" s="711">
        <f>IF(Económico!$F$4=0,0,Producción_Agricola[[#This Row],[Centro de Costo]])</f>
        <v>0</v>
      </c>
      <c r="AQ492" s="512"/>
      <c r="AR492" s="513"/>
      <c r="AS492"/>
    </row>
    <row r="493" spans="1:45" x14ac:dyDescent="0.25">
      <c r="A493" s="509"/>
      <c r="B493" s="487">
        <f>+$J$489</f>
        <v>0</v>
      </c>
      <c r="C493" s="509"/>
      <c r="D493" s="478"/>
      <c r="E493" s="478"/>
      <c r="F493" s="668">
        <f t="shared" si="65"/>
        <v>0</v>
      </c>
      <c r="G493" s="673">
        <f t="shared" si="66"/>
        <v>0</v>
      </c>
      <c r="H493" s="673">
        <f t="shared" si="67"/>
        <v>0</v>
      </c>
      <c r="I493" s="675">
        <f>IFERROR(INDEX(Tabla8[],MATCH(Producción_Agricola[[#This Row],[Unidad de Negocio]],Tabla8[Unidades de Negocio],0),2),0)</f>
        <v>0</v>
      </c>
      <c r="J49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93" s="488"/>
      <c r="L493" s="482"/>
      <c r="M493" s="483"/>
      <c r="N493" s="484"/>
      <c r="O493" s="690">
        <f>Producción_Agricola[[#This Row],[Superficie]]*Producción_Agricola[[#This Row],[Cantidad]]</f>
        <v>0</v>
      </c>
      <c r="P493" s="482"/>
      <c r="Q493" s="484"/>
      <c r="R493" s="485"/>
      <c r="S49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93" s="695">
        <f>IFERROR(Producción_Agricola[[#This Row],[Económico $Corrientes]]/Producción_Agricola[[#This Row],[Indexación Económico]],0)</f>
        <v>0</v>
      </c>
      <c r="U49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9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93" s="695">
        <f>IFERROR(Producción_Agricola[[#This Row],[Financiero $Corrientes]]/Producción_Agricola[[#This Row],[Indexación Financiero]],0)</f>
        <v>0</v>
      </c>
      <c r="X49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9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93" s="699">
        <f>IFERROR(Producción_Agricola[[#This Row],[Intereses $Corrientes]]/Producción_Agricola[[#This Row],[Indexación Financiero]],0)</f>
        <v>0</v>
      </c>
      <c r="AA49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93" s="701">
        <f>IFERROR(INDEX(Produccion_Agricola_Cuentas[],MATCH(Producción_Agricola[[#This Row],[Cuenta Contable]],Produccion_Agricola_Cuentas[Cuenta Contable],0),2),0)</f>
        <v>0</v>
      </c>
      <c r="AC493" s="702">
        <f>IFERROR(INDEX(Tabla9[],MATCH(Producción_Agricola[[#This Row],[Movimiento]],Tabla9[Movimientos],0),2),0)</f>
        <v>0</v>
      </c>
      <c r="AD493" s="703">
        <f>IFERROR(INDEX(Tabla9[],MATCH(Producción_Agricola[[#This Row],[Movimiento]],Tabla9[Movimientos],0),3),0)</f>
        <v>0</v>
      </c>
      <c r="AE493" s="698">
        <f>IF(Producción_Agricola[[#This Row],[Fecha Económico]]=0,0,MONTH(Producción_Agricola[[#This Row],[Fecha Económico]]))</f>
        <v>0</v>
      </c>
      <c r="AF493" s="699">
        <f>IF(Producción_Agricola[[#This Row],[Fecha Económico]]=0,0,YEAR(Producción_Agricola[[#This Row],[Fecha Económico]]))</f>
        <v>0</v>
      </c>
      <c r="AG493" s="704">
        <f>SUMPRODUCT((Producción_Agricola[[#This Row],[Mes Económico]]=Tipo_Cambio[Mes])*(Producción_Agricola[[#This Row],[Año Económico]]=Tipo_Cambio[Año])*(Tipo_Cambio[$/U$S]))</f>
        <v>0</v>
      </c>
      <c r="AH493" s="703">
        <f>SUMPRODUCT((Producción_Agricola[[#This Row],[Mes Económico]]=Tipo_Cambio[Mes])*(Producción_Agricola[[#This Row],[Año Económico]]=Tipo_Cambio[Año])*(Tipo_Cambio[Actualización]))</f>
        <v>0</v>
      </c>
      <c r="AI493" s="699">
        <f>IF(ISNUMBER(Producción_Agricola[[#This Row],[Fecha Financiero]])=TRUE,MONTH(Producción_Agricola[[#This Row],[Fecha Financiero]]),0)</f>
        <v>0</v>
      </c>
      <c r="AJ493" s="699">
        <f>IF(ISNUMBER(Producción_Agricola[[#This Row],[Fecha Financiero]])=TRUE,YEAR(Producción_Agricola[[#This Row],[Fecha Financiero]]),0)</f>
        <v>0</v>
      </c>
      <c r="AK493" s="704">
        <f>SUMPRODUCT((Producción_Agricola[[#This Row],[Mes Financiero]]=Tipo_Cambio[Mes])*(Producción_Agricola[[#This Row],[Año Financiero]]=Tipo_Cambio[Año])*(Tipo_Cambio[$/U$S]))</f>
        <v>0</v>
      </c>
      <c r="AL493" s="704">
        <f>SUMPRODUCT((Producción_Agricola[[#This Row],[Mes Financiero]]=Tipo_Cambio[Mes])*(Producción_Agricola[[#This Row],[Año Financiero]]=Tipo_Cambio[Año])*(Tipo_Cambio[Actualización]))</f>
        <v>0</v>
      </c>
      <c r="AM493" s="709">
        <f>IFERROR(Producción_Agricola[[#This Row],[Económico $Corrientes]]/Producción_Agricola[[#This Row],[Superficie]],0)</f>
        <v>0</v>
      </c>
      <c r="AN493" s="712">
        <f>IFERROR(Producción_Agricola[[#This Row],[Económico $Constantes]]/Producción_Agricola[[#This Row],[Superficie]],0)</f>
        <v>0</v>
      </c>
      <c r="AO493" s="712">
        <f>IFERROR(Producción_Agricola[[#This Row],[Económico U$S Dólares]]/Producción_Agricola[[#This Row],[Superficie]],0)</f>
        <v>0</v>
      </c>
      <c r="AP493" s="711">
        <f>IF(Económico!$F$4=0,0,Producción_Agricola[[#This Row],[Centro de Costo]])</f>
        <v>0</v>
      </c>
      <c r="AQ493" s="512"/>
      <c r="AR493" s="513"/>
      <c r="AS493"/>
    </row>
    <row r="494" spans="1:45" x14ac:dyDescent="0.25">
      <c r="A494" s="509"/>
      <c r="B494" s="494"/>
      <c r="C494" s="509"/>
      <c r="D494" s="478"/>
      <c r="E494" s="478"/>
      <c r="F494" s="668">
        <f t="shared" si="65"/>
        <v>0</v>
      </c>
      <c r="G494" s="673">
        <f t="shared" si="66"/>
        <v>0</v>
      </c>
      <c r="H494" s="673">
        <f t="shared" si="67"/>
        <v>0</v>
      </c>
      <c r="I494" s="675">
        <f>IFERROR(INDEX(Tabla8[],MATCH(Producción_Agricola[[#This Row],[Unidad de Negocio]],Tabla8[Unidades de Negocio],0),2),0)</f>
        <v>0</v>
      </c>
      <c r="J49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94" s="488"/>
      <c r="L494" s="482"/>
      <c r="M494" s="483"/>
      <c r="N494" s="484"/>
      <c r="O494" s="690">
        <f>Producción_Agricola[[#This Row],[Superficie]]*Producción_Agricola[[#This Row],[Cantidad]]</f>
        <v>0</v>
      </c>
      <c r="P494" s="482"/>
      <c r="Q494" s="484"/>
      <c r="R494" s="485"/>
      <c r="S49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94" s="695">
        <f>IFERROR(Producción_Agricola[[#This Row],[Económico $Corrientes]]/Producción_Agricola[[#This Row],[Indexación Económico]],0)</f>
        <v>0</v>
      </c>
      <c r="U49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9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94" s="695">
        <f>IFERROR(Producción_Agricola[[#This Row],[Financiero $Corrientes]]/Producción_Agricola[[#This Row],[Indexación Financiero]],0)</f>
        <v>0</v>
      </c>
      <c r="X49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9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94" s="699">
        <f>IFERROR(Producción_Agricola[[#This Row],[Intereses $Corrientes]]/Producción_Agricola[[#This Row],[Indexación Financiero]],0)</f>
        <v>0</v>
      </c>
      <c r="AA49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94" s="701">
        <f>IFERROR(INDEX(Produccion_Agricola_Cuentas[],MATCH(Producción_Agricola[[#This Row],[Cuenta Contable]],Produccion_Agricola_Cuentas[Cuenta Contable],0),2),0)</f>
        <v>0</v>
      </c>
      <c r="AC494" s="702">
        <f>IFERROR(INDEX(Tabla9[],MATCH(Producción_Agricola[[#This Row],[Movimiento]],Tabla9[Movimientos],0),2),0)</f>
        <v>0</v>
      </c>
      <c r="AD494" s="703">
        <f>IFERROR(INDEX(Tabla9[],MATCH(Producción_Agricola[[#This Row],[Movimiento]],Tabla9[Movimientos],0),3),0)</f>
        <v>0</v>
      </c>
      <c r="AE494" s="698">
        <f>IF(Producción_Agricola[[#This Row],[Fecha Económico]]=0,0,MONTH(Producción_Agricola[[#This Row],[Fecha Económico]]))</f>
        <v>0</v>
      </c>
      <c r="AF494" s="699">
        <f>IF(Producción_Agricola[[#This Row],[Fecha Económico]]=0,0,YEAR(Producción_Agricola[[#This Row],[Fecha Económico]]))</f>
        <v>0</v>
      </c>
      <c r="AG494" s="704">
        <f>SUMPRODUCT((Producción_Agricola[[#This Row],[Mes Económico]]=Tipo_Cambio[Mes])*(Producción_Agricola[[#This Row],[Año Económico]]=Tipo_Cambio[Año])*(Tipo_Cambio[$/U$S]))</f>
        <v>0</v>
      </c>
      <c r="AH494" s="703">
        <f>SUMPRODUCT((Producción_Agricola[[#This Row],[Mes Económico]]=Tipo_Cambio[Mes])*(Producción_Agricola[[#This Row],[Año Económico]]=Tipo_Cambio[Año])*(Tipo_Cambio[Actualización]))</f>
        <v>0</v>
      </c>
      <c r="AI494" s="699">
        <f>IF(ISNUMBER(Producción_Agricola[[#This Row],[Fecha Financiero]])=TRUE,MONTH(Producción_Agricola[[#This Row],[Fecha Financiero]]),0)</f>
        <v>0</v>
      </c>
      <c r="AJ494" s="699">
        <f>IF(ISNUMBER(Producción_Agricola[[#This Row],[Fecha Financiero]])=TRUE,YEAR(Producción_Agricola[[#This Row],[Fecha Financiero]]),0)</f>
        <v>0</v>
      </c>
      <c r="AK494" s="704">
        <f>SUMPRODUCT((Producción_Agricola[[#This Row],[Mes Financiero]]=Tipo_Cambio[Mes])*(Producción_Agricola[[#This Row],[Año Financiero]]=Tipo_Cambio[Año])*(Tipo_Cambio[$/U$S]))</f>
        <v>0</v>
      </c>
      <c r="AL494" s="704">
        <f>SUMPRODUCT((Producción_Agricola[[#This Row],[Mes Financiero]]=Tipo_Cambio[Mes])*(Producción_Agricola[[#This Row],[Año Financiero]]=Tipo_Cambio[Año])*(Tipo_Cambio[Actualización]))</f>
        <v>0</v>
      </c>
      <c r="AM494" s="709">
        <f>IFERROR(Producción_Agricola[[#This Row],[Económico $Corrientes]]/Producción_Agricola[[#This Row],[Superficie]],0)</f>
        <v>0</v>
      </c>
      <c r="AN494" s="712">
        <f>IFERROR(Producción_Agricola[[#This Row],[Económico $Constantes]]/Producción_Agricola[[#This Row],[Superficie]],0)</f>
        <v>0</v>
      </c>
      <c r="AO494" s="712">
        <f>IFERROR(Producción_Agricola[[#This Row],[Económico U$S Dólares]]/Producción_Agricola[[#This Row],[Superficie]],0)</f>
        <v>0</v>
      </c>
      <c r="AP494" s="711">
        <f>IF(Económico!$F$4=0,0,Producción_Agricola[[#This Row],[Centro de Costo]])</f>
        <v>0</v>
      </c>
      <c r="AQ494" s="512"/>
      <c r="AR494" s="513"/>
      <c r="AS494"/>
    </row>
    <row r="495" spans="1:45" x14ac:dyDescent="0.25">
      <c r="A495" s="509"/>
      <c r="B495" s="494"/>
      <c r="C495" s="509"/>
      <c r="D495" s="478"/>
      <c r="E495" s="478"/>
      <c r="F495" s="668">
        <f t="shared" si="65"/>
        <v>0</v>
      </c>
      <c r="G495" s="673">
        <f t="shared" si="66"/>
        <v>0</v>
      </c>
      <c r="H495" s="673">
        <f t="shared" si="67"/>
        <v>0</v>
      </c>
      <c r="I495" s="675">
        <f>IFERROR(INDEX(Tabla8[],MATCH(Producción_Agricola[[#This Row],[Unidad de Negocio]],Tabla8[Unidades de Negocio],0),2),0)</f>
        <v>0</v>
      </c>
      <c r="J49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95" s="488"/>
      <c r="L495" s="482"/>
      <c r="M495" s="483"/>
      <c r="N495" s="484"/>
      <c r="O495" s="690">
        <f>Producción_Agricola[[#This Row],[Superficie]]*Producción_Agricola[[#This Row],[Cantidad]]</f>
        <v>0</v>
      </c>
      <c r="P495" s="482"/>
      <c r="Q495" s="484"/>
      <c r="R495" s="485"/>
      <c r="S49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95" s="695">
        <f>IFERROR(Producción_Agricola[[#This Row],[Económico $Corrientes]]/Producción_Agricola[[#This Row],[Indexación Económico]],0)</f>
        <v>0</v>
      </c>
      <c r="U49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9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95" s="695">
        <f>IFERROR(Producción_Agricola[[#This Row],[Financiero $Corrientes]]/Producción_Agricola[[#This Row],[Indexación Financiero]],0)</f>
        <v>0</v>
      </c>
      <c r="X49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9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95" s="699">
        <f>IFERROR(Producción_Agricola[[#This Row],[Intereses $Corrientes]]/Producción_Agricola[[#This Row],[Indexación Financiero]],0)</f>
        <v>0</v>
      </c>
      <c r="AA49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95" s="701">
        <f>IFERROR(INDEX(Produccion_Agricola_Cuentas[],MATCH(Producción_Agricola[[#This Row],[Cuenta Contable]],Produccion_Agricola_Cuentas[Cuenta Contable],0),2),0)</f>
        <v>0</v>
      </c>
      <c r="AC495" s="702">
        <f>IFERROR(INDEX(Tabla9[],MATCH(Producción_Agricola[[#This Row],[Movimiento]],Tabla9[Movimientos],0),2),0)</f>
        <v>0</v>
      </c>
      <c r="AD495" s="703">
        <f>IFERROR(INDEX(Tabla9[],MATCH(Producción_Agricola[[#This Row],[Movimiento]],Tabla9[Movimientos],0),3),0)</f>
        <v>0</v>
      </c>
      <c r="AE495" s="698">
        <f>IF(Producción_Agricola[[#This Row],[Fecha Económico]]=0,0,MONTH(Producción_Agricola[[#This Row],[Fecha Económico]]))</f>
        <v>0</v>
      </c>
      <c r="AF495" s="699">
        <f>IF(Producción_Agricola[[#This Row],[Fecha Económico]]=0,0,YEAR(Producción_Agricola[[#This Row],[Fecha Económico]]))</f>
        <v>0</v>
      </c>
      <c r="AG495" s="704">
        <f>SUMPRODUCT((Producción_Agricola[[#This Row],[Mes Económico]]=Tipo_Cambio[Mes])*(Producción_Agricola[[#This Row],[Año Económico]]=Tipo_Cambio[Año])*(Tipo_Cambio[$/U$S]))</f>
        <v>0</v>
      </c>
      <c r="AH495" s="703">
        <f>SUMPRODUCT((Producción_Agricola[[#This Row],[Mes Económico]]=Tipo_Cambio[Mes])*(Producción_Agricola[[#This Row],[Año Económico]]=Tipo_Cambio[Año])*(Tipo_Cambio[Actualización]))</f>
        <v>0</v>
      </c>
      <c r="AI495" s="699">
        <f>IF(ISNUMBER(Producción_Agricola[[#This Row],[Fecha Financiero]])=TRUE,MONTH(Producción_Agricola[[#This Row],[Fecha Financiero]]),0)</f>
        <v>0</v>
      </c>
      <c r="AJ495" s="699">
        <f>IF(ISNUMBER(Producción_Agricola[[#This Row],[Fecha Financiero]])=TRUE,YEAR(Producción_Agricola[[#This Row],[Fecha Financiero]]),0)</f>
        <v>0</v>
      </c>
      <c r="AK495" s="704">
        <f>SUMPRODUCT((Producción_Agricola[[#This Row],[Mes Financiero]]=Tipo_Cambio[Mes])*(Producción_Agricola[[#This Row],[Año Financiero]]=Tipo_Cambio[Año])*(Tipo_Cambio[$/U$S]))</f>
        <v>0</v>
      </c>
      <c r="AL495" s="704">
        <f>SUMPRODUCT((Producción_Agricola[[#This Row],[Mes Financiero]]=Tipo_Cambio[Mes])*(Producción_Agricola[[#This Row],[Año Financiero]]=Tipo_Cambio[Año])*(Tipo_Cambio[Actualización]))</f>
        <v>0</v>
      </c>
      <c r="AM495" s="709">
        <f>IFERROR(Producción_Agricola[[#This Row],[Económico $Corrientes]]/Producción_Agricola[[#This Row],[Superficie]],0)</f>
        <v>0</v>
      </c>
      <c r="AN495" s="712">
        <f>IFERROR(Producción_Agricola[[#This Row],[Económico $Constantes]]/Producción_Agricola[[#This Row],[Superficie]],0)</f>
        <v>0</v>
      </c>
      <c r="AO495" s="712">
        <f>IFERROR(Producción_Agricola[[#This Row],[Económico U$S Dólares]]/Producción_Agricola[[#This Row],[Superficie]],0)</f>
        <v>0</v>
      </c>
      <c r="AP495" s="711">
        <f>IF(Económico!$F$4=0,0,Producción_Agricola[[#This Row],[Centro de Costo]])</f>
        <v>0</v>
      </c>
      <c r="AQ495" s="512"/>
      <c r="AR495" s="513"/>
      <c r="AS495"/>
    </row>
    <row r="496" spans="1:45" x14ac:dyDescent="0.25">
      <c r="A496" s="509"/>
      <c r="B496" s="494"/>
      <c r="C496" s="509"/>
      <c r="D496" s="478"/>
      <c r="E496" s="478"/>
      <c r="F496" s="668">
        <f t="shared" si="65"/>
        <v>0</v>
      </c>
      <c r="G496" s="673">
        <f t="shared" si="66"/>
        <v>0</v>
      </c>
      <c r="H496" s="673">
        <f t="shared" si="67"/>
        <v>0</v>
      </c>
      <c r="I496" s="675">
        <f>IFERROR(INDEX(Tabla8[],MATCH(Producción_Agricola[[#This Row],[Unidad de Negocio]],Tabla8[Unidades de Negocio],0),2),0)</f>
        <v>0</v>
      </c>
      <c r="J49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96" s="488"/>
      <c r="L496" s="482"/>
      <c r="M496" s="483"/>
      <c r="N496" s="484"/>
      <c r="O496" s="690">
        <f>Producción_Agricola[[#This Row],[Superficie]]*Producción_Agricola[[#This Row],[Cantidad]]</f>
        <v>0</v>
      </c>
      <c r="P496" s="482"/>
      <c r="Q496" s="484"/>
      <c r="R496" s="485"/>
      <c r="S49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96" s="695">
        <f>IFERROR(Producción_Agricola[[#This Row],[Económico $Corrientes]]/Producción_Agricola[[#This Row],[Indexación Económico]],0)</f>
        <v>0</v>
      </c>
      <c r="U49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9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96" s="695">
        <f>IFERROR(Producción_Agricola[[#This Row],[Financiero $Corrientes]]/Producción_Agricola[[#This Row],[Indexación Financiero]],0)</f>
        <v>0</v>
      </c>
      <c r="X49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9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96" s="699">
        <f>IFERROR(Producción_Agricola[[#This Row],[Intereses $Corrientes]]/Producción_Agricola[[#This Row],[Indexación Financiero]],0)</f>
        <v>0</v>
      </c>
      <c r="AA49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96" s="701">
        <f>IFERROR(INDEX(Produccion_Agricola_Cuentas[],MATCH(Producción_Agricola[[#This Row],[Cuenta Contable]],Produccion_Agricola_Cuentas[Cuenta Contable],0),2),0)</f>
        <v>0</v>
      </c>
      <c r="AC496" s="702">
        <f>IFERROR(INDEX(Tabla9[],MATCH(Producción_Agricola[[#This Row],[Movimiento]],Tabla9[Movimientos],0),2),0)</f>
        <v>0</v>
      </c>
      <c r="AD496" s="703">
        <f>IFERROR(INDEX(Tabla9[],MATCH(Producción_Agricola[[#This Row],[Movimiento]],Tabla9[Movimientos],0),3),0)</f>
        <v>0</v>
      </c>
      <c r="AE496" s="698">
        <f>IF(Producción_Agricola[[#This Row],[Fecha Económico]]=0,0,MONTH(Producción_Agricola[[#This Row],[Fecha Económico]]))</f>
        <v>0</v>
      </c>
      <c r="AF496" s="699">
        <f>IF(Producción_Agricola[[#This Row],[Fecha Económico]]=0,0,YEAR(Producción_Agricola[[#This Row],[Fecha Económico]]))</f>
        <v>0</v>
      </c>
      <c r="AG496" s="704">
        <f>SUMPRODUCT((Producción_Agricola[[#This Row],[Mes Económico]]=Tipo_Cambio[Mes])*(Producción_Agricola[[#This Row],[Año Económico]]=Tipo_Cambio[Año])*(Tipo_Cambio[$/U$S]))</f>
        <v>0</v>
      </c>
      <c r="AH496" s="703">
        <f>SUMPRODUCT((Producción_Agricola[[#This Row],[Mes Económico]]=Tipo_Cambio[Mes])*(Producción_Agricola[[#This Row],[Año Económico]]=Tipo_Cambio[Año])*(Tipo_Cambio[Actualización]))</f>
        <v>0</v>
      </c>
      <c r="AI496" s="699">
        <f>IF(ISNUMBER(Producción_Agricola[[#This Row],[Fecha Financiero]])=TRUE,MONTH(Producción_Agricola[[#This Row],[Fecha Financiero]]),0)</f>
        <v>0</v>
      </c>
      <c r="AJ496" s="699">
        <f>IF(ISNUMBER(Producción_Agricola[[#This Row],[Fecha Financiero]])=TRUE,YEAR(Producción_Agricola[[#This Row],[Fecha Financiero]]),0)</f>
        <v>0</v>
      </c>
      <c r="AK496" s="704">
        <f>SUMPRODUCT((Producción_Agricola[[#This Row],[Mes Financiero]]=Tipo_Cambio[Mes])*(Producción_Agricola[[#This Row],[Año Financiero]]=Tipo_Cambio[Año])*(Tipo_Cambio[$/U$S]))</f>
        <v>0</v>
      </c>
      <c r="AL496" s="704">
        <f>SUMPRODUCT((Producción_Agricola[[#This Row],[Mes Financiero]]=Tipo_Cambio[Mes])*(Producción_Agricola[[#This Row],[Año Financiero]]=Tipo_Cambio[Año])*(Tipo_Cambio[Actualización]))</f>
        <v>0</v>
      </c>
      <c r="AM496" s="709">
        <f>IFERROR(Producción_Agricola[[#This Row],[Económico $Corrientes]]/Producción_Agricola[[#This Row],[Superficie]],0)</f>
        <v>0</v>
      </c>
      <c r="AN496" s="712">
        <f>IFERROR(Producción_Agricola[[#This Row],[Económico $Constantes]]/Producción_Agricola[[#This Row],[Superficie]],0)</f>
        <v>0</v>
      </c>
      <c r="AO496" s="712">
        <f>IFERROR(Producción_Agricola[[#This Row],[Económico U$S Dólares]]/Producción_Agricola[[#This Row],[Superficie]],0)</f>
        <v>0</v>
      </c>
      <c r="AP496" s="711">
        <f>IF(Económico!$F$4=0,0,Producción_Agricola[[#This Row],[Centro de Costo]])</f>
        <v>0</v>
      </c>
      <c r="AQ496" s="512"/>
      <c r="AR496" s="513"/>
      <c r="AS496"/>
    </row>
    <row r="497" spans="1:45" x14ac:dyDescent="0.25">
      <c r="A497" s="509"/>
      <c r="B497" s="494"/>
      <c r="C497" s="509"/>
      <c r="D497" s="478"/>
      <c r="E497" s="478"/>
      <c r="F497" s="668">
        <f t="shared" si="65"/>
        <v>0</v>
      </c>
      <c r="G497" s="673">
        <f t="shared" si="66"/>
        <v>0</v>
      </c>
      <c r="H497" s="673">
        <f t="shared" si="67"/>
        <v>0</v>
      </c>
      <c r="I497" s="675">
        <f>IFERROR(INDEX(Tabla8[],MATCH(Producción_Agricola[[#This Row],[Unidad de Negocio]],Tabla8[Unidades de Negocio],0),2),0)</f>
        <v>0</v>
      </c>
      <c r="J49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97" s="488"/>
      <c r="L497" s="482"/>
      <c r="M497" s="483"/>
      <c r="N497" s="484"/>
      <c r="O497" s="690">
        <f>Producción_Agricola[[#This Row],[Superficie]]*Producción_Agricola[[#This Row],[Cantidad]]</f>
        <v>0</v>
      </c>
      <c r="P497" s="482"/>
      <c r="Q497" s="484"/>
      <c r="R497" s="485"/>
      <c r="S49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97" s="695">
        <f>IFERROR(Producción_Agricola[[#This Row],[Económico $Corrientes]]/Producción_Agricola[[#This Row],[Indexación Económico]],0)</f>
        <v>0</v>
      </c>
      <c r="U49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9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97" s="695">
        <f>IFERROR(Producción_Agricola[[#This Row],[Financiero $Corrientes]]/Producción_Agricola[[#This Row],[Indexación Financiero]],0)</f>
        <v>0</v>
      </c>
      <c r="X49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9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97" s="699">
        <f>IFERROR(Producción_Agricola[[#This Row],[Intereses $Corrientes]]/Producción_Agricola[[#This Row],[Indexación Financiero]],0)</f>
        <v>0</v>
      </c>
      <c r="AA49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97" s="701">
        <f>IFERROR(INDEX(Produccion_Agricola_Cuentas[],MATCH(Producción_Agricola[[#This Row],[Cuenta Contable]],Produccion_Agricola_Cuentas[Cuenta Contable],0),2),0)</f>
        <v>0</v>
      </c>
      <c r="AC497" s="702">
        <f>IFERROR(INDEX(Tabla9[],MATCH(Producción_Agricola[[#This Row],[Movimiento]],Tabla9[Movimientos],0),2),0)</f>
        <v>0</v>
      </c>
      <c r="AD497" s="703">
        <f>IFERROR(INDEX(Tabla9[],MATCH(Producción_Agricola[[#This Row],[Movimiento]],Tabla9[Movimientos],0),3),0)</f>
        <v>0</v>
      </c>
      <c r="AE497" s="698">
        <f>IF(Producción_Agricola[[#This Row],[Fecha Económico]]=0,0,MONTH(Producción_Agricola[[#This Row],[Fecha Económico]]))</f>
        <v>0</v>
      </c>
      <c r="AF497" s="699">
        <f>IF(Producción_Agricola[[#This Row],[Fecha Económico]]=0,0,YEAR(Producción_Agricola[[#This Row],[Fecha Económico]]))</f>
        <v>0</v>
      </c>
      <c r="AG497" s="704">
        <f>SUMPRODUCT((Producción_Agricola[[#This Row],[Mes Económico]]=Tipo_Cambio[Mes])*(Producción_Agricola[[#This Row],[Año Económico]]=Tipo_Cambio[Año])*(Tipo_Cambio[$/U$S]))</f>
        <v>0</v>
      </c>
      <c r="AH497" s="703">
        <f>SUMPRODUCT((Producción_Agricola[[#This Row],[Mes Económico]]=Tipo_Cambio[Mes])*(Producción_Agricola[[#This Row],[Año Económico]]=Tipo_Cambio[Año])*(Tipo_Cambio[Actualización]))</f>
        <v>0</v>
      </c>
      <c r="AI497" s="699">
        <f>IF(ISNUMBER(Producción_Agricola[[#This Row],[Fecha Financiero]])=TRUE,MONTH(Producción_Agricola[[#This Row],[Fecha Financiero]]),0)</f>
        <v>0</v>
      </c>
      <c r="AJ497" s="699">
        <f>IF(ISNUMBER(Producción_Agricola[[#This Row],[Fecha Financiero]])=TRUE,YEAR(Producción_Agricola[[#This Row],[Fecha Financiero]]),0)</f>
        <v>0</v>
      </c>
      <c r="AK497" s="704">
        <f>SUMPRODUCT((Producción_Agricola[[#This Row],[Mes Financiero]]=Tipo_Cambio[Mes])*(Producción_Agricola[[#This Row],[Año Financiero]]=Tipo_Cambio[Año])*(Tipo_Cambio[$/U$S]))</f>
        <v>0</v>
      </c>
      <c r="AL497" s="704">
        <f>SUMPRODUCT((Producción_Agricola[[#This Row],[Mes Financiero]]=Tipo_Cambio[Mes])*(Producción_Agricola[[#This Row],[Año Financiero]]=Tipo_Cambio[Año])*(Tipo_Cambio[Actualización]))</f>
        <v>0</v>
      </c>
      <c r="AM497" s="709">
        <f>IFERROR(Producción_Agricola[[#This Row],[Económico $Corrientes]]/Producción_Agricola[[#This Row],[Superficie]],0)</f>
        <v>0</v>
      </c>
      <c r="AN497" s="712">
        <f>IFERROR(Producción_Agricola[[#This Row],[Económico $Constantes]]/Producción_Agricola[[#This Row],[Superficie]],0)</f>
        <v>0</v>
      </c>
      <c r="AO497" s="712">
        <f>IFERROR(Producción_Agricola[[#This Row],[Económico U$S Dólares]]/Producción_Agricola[[#This Row],[Superficie]],0)</f>
        <v>0</v>
      </c>
      <c r="AP497" s="711">
        <f>IF(Económico!$F$4=0,0,Producción_Agricola[[#This Row],[Centro de Costo]])</f>
        <v>0</v>
      </c>
      <c r="AQ497" s="512"/>
      <c r="AR497" s="513"/>
      <c r="AS497"/>
    </row>
    <row r="498" spans="1:45" x14ac:dyDescent="0.25">
      <c r="A498" s="509"/>
      <c r="B498" s="494"/>
      <c r="C498" s="509"/>
      <c r="D498" s="478"/>
      <c r="E498" s="478"/>
      <c r="F498" s="668">
        <f t="shared" si="65"/>
        <v>0</v>
      </c>
      <c r="G498" s="673">
        <f t="shared" si="66"/>
        <v>0</v>
      </c>
      <c r="H498" s="673">
        <f t="shared" si="67"/>
        <v>0</v>
      </c>
      <c r="I498" s="675">
        <f>IFERROR(INDEX(Tabla8[],MATCH(Producción_Agricola[[#This Row],[Unidad de Negocio]],Tabla8[Unidades de Negocio],0),2),0)</f>
        <v>0</v>
      </c>
      <c r="J49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98" s="488"/>
      <c r="L498" s="482"/>
      <c r="M498" s="483"/>
      <c r="N498" s="484"/>
      <c r="O498" s="690">
        <f>Producción_Agricola[[#This Row],[Superficie]]*Producción_Agricola[[#This Row],[Cantidad]]</f>
        <v>0</v>
      </c>
      <c r="P498" s="482"/>
      <c r="Q498" s="484"/>
      <c r="R498" s="485"/>
      <c r="S49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98" s="695">
        <f>IFERROR(Producción_Agricola[[#This Row],[Económico $Corrientes]]/Producción_Agricola[[#This Row],[Indexación Económico]],0)</f>
        <v>0</v>
      </c>
      <c r="U49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9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98" s="695">
        <f>IFERROR(Producción_Agricola[[#This Row],[Financiero $Corrientes]]/Producción_Agricola[[#This Row],[Indexación Financiero]],0)</f>
        <v>0</v>
      </c>
      <c r="X49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9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98" s="699">
        <f>IFERROR(Producción_Agricola[[#This Row],[Intereses $Corrientes]]/Producción_Agricola[[#This Row],[Indexación Financiero]],0)</f>
        <v>0</v>
      </c>
      <c r="AA49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98" s="701">
        <f>IFERROR(INDEX(Produccion_Agricola_Cuentas[],MATCH(Producción_Agricola[[#This Row],[Cuenta Contable]],Produccion_Agricola_Cuentas[Cuenta Contable],0),2),0)</f>
        <v>0</v>
      </c>
      <c r="AC498" s="702">
        <f>IFERROR(INDEX(Tabla9[],MATCH(Producción_Agricola[[#This Row],[Movimiento]],Tabla9[Movimientos],0),2),0)</f>
        <v>0</v>
      </c>
      <c r="AD498" s="703">
        <f>IFERROR(INDEX(Tabla9[],MATCH(Producción_Agricola[[#This Row],[Movimiento]],Tabla9[Movimientos],0),3),0)</f>
        <v>0</v>
      </c>
      <c r="AE498" s="698">
        <f>IF(Producción_Agricola[[#This Row],[Fecha Económico]]=0,0,MONTH(Producción_Agricola[[#This Row],[Fecha Económico]]))</f>
        <v>0</v>
      </c>
      <c r="AF498" s="699">
        <f>IF(Producción_Agricola[[#This Row],[Fecha Económico]]=0,0,YEAR(Producción_Agricola[[#This Row],[Fecha Económico]]))</f>
        <v>0</v>
      </c>
      <c r="AG498" s="704">
        <f>SUMPRODUCT((Producción_Agricola[[#This Row],[Mes Económico]]=Tipo_Cambio[Mes])*(Producción_Agricola[[#This Row],[Año Económico]]=Tipo_Cambio[Año])*(Tipo_Cambio[$/U$S]))</f>
        <v>0</v>
      </c>
      <c r="AH498" s="703">
        <f>SUMPRODUCT((Producción_Agricola[[#This Row],[Mes Económico]]=Tipo_Cambio[Mes])*(Producción_Agricola[[#This Row],[Año Económico]]=Tipo_Cambio[Año])*(Tipo_Cambio[Actualización]))</f>
        <v>0</v>
      </c>
      <c r="AI498" s="699">
        <f>IF(ISNUMBER(Producción_Agricola[[#This Row],[Fecha Financiero]])=TRUE,MONTH(Producción_Agricola[[#This Row],[Fecha Financiero]]),0)</f>
        <v>0</v>
      </c>
      <c r="AJ498" s="699">
        <f>IF(ISNUMBER(Producción_Agricola[[#This Row],[Fecha Financiero]])=TRUE,YEAR(Producción_Agricola[[#This Row],[Fecha Financiero]]),0)</f>
        <v>0</v>
      </c>
      <c r="AK498" s="704">
        <f>SUMPRODUCT((Producción_Agricola[[#This Row],[Mes Financiero]]=Tipo_Cambio[Mes])*(Producción_Agricola[[#This Row],[Año Financiero]]=Tipo_Cambio[Año])*(Tipo_Cambio[$/U$S]))</f>
        <v>0</v>
      </c>
      <c r="AL498" s="704">
        <f>SUMPRODUCT((Producción_Agricola[[#This Row],[Mes Financiero]]=Tipo_Cambio[Mes])*(Producción_Agricola[[#This Row],[Año Financiero]]=Tipo_Cambio[Año])*(Tipo_Cambio[Actualización]))</f>
        <v>0</v>
      </c>
      <c r="AM498" s="709">
        <f>IFERROR(Producción_Agricola[[#This Row],[Económico $Corrientes]]/Producción_Agricola[[#This Row],[Superficie]],0)</f>
        <v>0</v>
      </c>
      <c r="AN498" s="712">
        <f>IFERROR(Producción_Agricola[[#This Row],[Económico $Constantes]]/Producción_Agricola[[#This Row],[Superficie]],0)</f>
        <v>0</v>
      </c>
      <c r="AO498" s="712">
        <f>IFERROR(Producción_Agricola[[#This Row],[Económico U$S Dólares]]/Producción_Agricola[[#This Row],[Superficie]],0)</f>
        <v>0</v>
      </c>
      <c r="AP498" s="711">
        <f>IF(Económico!$F$4=0,0,Producción_Agricola[[#This Row],[Centro de Costo]])</f>
        <v>0</v>
      </c>
      <c r="AQ498" s="512"/>
      <c r="AR498" s="513"/>
      <c r="AS498"/>
    </row>
    <row r="499" spans="1:45" x14ac:dyDescent="0.25">
      <c r="A499" s="509"/>
      <c r="B499" s="494"/>
      <c r="C499" s="509"/>
      <c r="D499" s="478"/>
      <c r="E499" s="478"/>
      <c r="F499" s="668">
        <f t="shared" si="65"/>
        <v>0</v>
      </c>
      <c r="G499" s="673">
        <f t="shared" si="66"/>
        <v>0</v>
      </c>
      <c r="H499" s="673">
        <f t="shared" si="67"/>
        <v>0</v>
      </c>
      <c r="I499" s="675">
        <f>IFERROR(INDEX(Tabla8[],MATCH(Producción_Agricola[[#This Row],[Unidad de Negocio]],Tabla8[Unidades de Negocio],0),2),0)</f>
        <v>0</v>
      </c>
      <c r="J49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499" s="488"/>
      <c r="L499" s="482"/>
      <c r="M499" s="483"/>
      <c r="N499" s="484"/>
      <c r="O499" s="690">
        <f>Producción_Agricola[[#This Row],[Superficie]]*Producción_Agricola[[#This Row],[Cantidad]]</f>
        <v>0</v>
      </c>
      <c r="P499" s="482"/>
      <c r="Q499" s="484"/>
      <c r="R499" s="485"/>
      <c r="S49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499" s="695">
        <f>IFERROR(Producción_Agricola[[#This Row],[Económico $Corrientes]]/Producción_Agricola[[#This Row],[Indexación Económico]],0)</f>
        <v>0</v>
      </c>
      <c r="U49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49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499" s="695">
        <f>IFERROR(Producción_Agricola[[#This Row],[Financiero $Corrientes]]/Producción_Agricola[[#This Row],[Indexación Financiero]],0)</f>
        <v>0</v>
      </c>
      <c r="X49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49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499" s="699">
        <f>IFERROR(Producción_Agricola[[#This Row],[Intereses $Corrientes]]/Producción_Agricola[[#This Row],[Indexación Financiero]],0)</f>
        <v>0</v>
      </c>
      <c r="AA49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499" s="701">
        <f>IFERROR(INDEX(Produccion_Agricola_Cuentas[],MATCH(Producción_Agricola[[#This Row],[Cuenta Contable]],Produccion_Agricola_Cuentas[Cuenta Contable],0),2),0)</f>
        <v>0</v>
      </c>
      <c r="AC499" s="702">
        <f>IFERROR(INDEX(Tabla9[],MATCH(Producción_Agricola[[#This Row],[Movimiento]],Tabla9[Movimientos],0),2),0)</f>
        <v>0</v>
      </c>
      <c r="AD499" s="703">
        <f>IFERROR(INDEX(Tabla9[],MATCH(Producción_Agricola[[#This Row],[Movimiento]],Tabla9[Movimientos],0),3),0)</f>
        <v>0</v>
      </c>
      <c r="AE499" s="698">
        <f>IF(Producción_Agricola[[#This Row],[Fecha Económico]]=0,0,MONTH(Producción_Agricola[[#This Row],[Fecha Económico]]))</f>
        <v>0</v>
      </c>
      <c r="AF499" s="699">
        <f>IF(Producción_Agricola[[#This Row],[Fecha Económico]]=0,0,YEAR(Producción_Agricola[[#This Row],[Fecha Económico]]))</f>
        <v>0</v>
      </c>
      <c r="AG499" s="704">
        <f>SUMPRODUCT((Producción_Agricola[[#This Row],[Mes Económico]]=Tipo_Cambio[Mes])*(Producción_Agricola[[#This Row],[Año Económico]]=Tipo_Cambio[Año])*(Tipo_Cambio[$/U$S]))</f>
        <v>0</v>
      </c>
      <c r="AH499" s="703">
        <f>SUMPRODUCT((Producción_Agricola[[#This Row],[Mes Económico]]=Tipo_Cambio[Mes])*(Producción_Agricola[[#This Row],[Año Económico]]=Tipo_Cambio[Año])*(Tipo_Cambio[Actualización]))</f>
        <v>0</v>
      </c>
      <c r="AI499" s="699">
        <f>IF(ISNUMBER(Producción_Agricola[[#This Row],[Fecha Financiero]])=TRUE,MONTH(Producción_Agricola[[#This Row],[Fecha Financiero]]),0)</f>
        <v>0</v>
      </c>
      <c r="AJ499" s="699">
        <f>IF(ISNUMBER(Producción_Agricola[[#This Row],[Fecha Financiero]])=TRUE,YEAR(Producción_Agricola[[#This Row],[Fecha Financiero]]),0)</f>
        <v>0</v>
      </c>
      <c r="AK499" s="704">
        <f>SUMPRODUCT((Producción_Agricola[[#This Row],[Mes Financiero]]=Tipo_Cambio[Mes])*(Producción_Agricola[[#This Row],[Año Financiero]]=Tipo_Cambio[Año])*(Tipo_Cambio[$/U$S]))</f>
        <v>0</v>
      </c>
      <c r="AL499" s="704">
        <f>SUMPRODUCT((Producción_Agricola[[#This Row],[Mes Financiero]]=Tipo_Cambio[Mes])*(Producción_Agricola[[#This Row],[Año Financiero]]=Tipo_Cambio[Año])*(Tipo_Cambio[Actualización]))</f>
        <v>0</v>
      </c>
      <c r="AM499" s="709">
        <f>IFERROR(Producción_Agricola[[#This Row],[Económico $Corrientes]]/Producción_Agricola[[#This Row],[Superficie]],0)</f>
        <v>0</v>
      </c>
      <c r="AN499" s="712">
        <f>IFERROR(Producción_Agricola[[#This Row],[Económico $Constantes]]/Producción_Agricola[[#This Row],[Superficie]],0)</f>
        <v>0</v>
      </c>
      <c r="AO499" s="712">
        <f>IFERROR(Producción_Agricola[[#This Row],[Económico U$S Dólares]]/Producción_Agricola[[#This Row],[Superficie]],0)</f>
        <v>0</v>
      </c>
      <c r="AP499" s="711">
        <f>IF(Económico!$F$4=0,0,Producción_Agricola[[#This Row],[Centro de Costo]])</f>
        <v>0</v>
      </c>
      <c r="AQ499" s="512"/>
      <c r="AR499" s="513"/>
      <c r="AS499"/>
    </row>
    <row r="500" spans="1:45" x14ac:dyDescent="0.25">
      <c r="A500" s="509"/>
      <c r="B500" s="494"/>
      <c r="C500" s="509"/>
      <c r="D500" s="478"/>
      <c r="E500" s="478"/>
      <c r="F500" s="668">
        <f t="shared" si="65"/>
        <v>0</v>
      </c>
      <c r="G500" s="673">
        <f t="shared" si="66"/>
        <v>0</v>
      </c>
      <c r="H500" s="673">
        <f t="shared" si="67"/>
        <v>0</v>
      </c>
      <c r="I500" s="675">
        <f>IFERROR(INDEX(Tabla8[],MATCH(Producción_Agricola[[#This Row],[Unidad de Negocio]],Tabla8[Unidades de Negocio],0),2),0)</f>
        <v>0</v>
      </c>
      <c r="J50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00" s="488"/>
      <c r="L500" s="482"/>
      <c r="M500" s="483"/>
      <c r="N500" s="484"/>
      <c r="O500" s="690">
        <f>Producción_Agricola[[#This Row],[Superficie]]*Producción_Agricola[[#This Row],[Cantidad]]</f>
        <v>0</v>
      </c>
      <c r="P500" s="482"/>
      <c r="Q500" s="484"/>
      <c r="R500" s="485"/>
      <c r="S50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00" s="695">
        <f>IFERROR(Producción_Agricola[[#This Row],[Económico $Corrientes]]/Producción_Agricola[[#This Row],[Indexación Económico]],0)</f>
        <v>0</v>
      </c>
      <c r="U50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0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00" s="695">
        <f>IFERROR(Producción_Agricola[[#This Row],[Financiero $Corrientes]]/Producción_Agricola[[#This Row],[Indexación Financiero]],0)</f>
        <v>0</v>
      </c>
      <c r="X50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0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00" s="699">
        <f>IFERROR(Producción_Agricola[[#This Row],[Intereses $Corrientes]]/Producción_Agricola[[#This Row],[Indexación Financiero]],0)</f>
        <v>0</v>
      </c>
      <c r="AA50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00" s="701">
        <f>IFERROR(INDEX(Produccion_Agricola_Cuentas[],MATCH(Producción_Agricola[[#This Row],[Cuenta Contable]],Produccion_Agricola_Cuentas[Cuenta Contable],0),2),0)</f>
        <v>0</v>
      </c>
      <c r="AC500" s="702">
        <f>IFERROR(INDEX(Tabla9[],MATCH(Producción_Agricola[[#This Row],[Movimiento]],Tabla9[Movimientos],0),2),0)</f>
        <v>0</v>
      </c>
      <c r="AD500" s="703">
        <f>IFERROR(INDEX(Tabla9[],MATCH(Producción_Agricola[[#This Row],[Movimiento]],Tabla9[Movimientos],0),3),0)</f>
        <v>0</v>
      </c>
      <c r="AE500" s="698">
        <f>IF(Producción_Agricola[[#This Row],[Fecha Económico]]=0,0,MONTH(Producción_Agricola[[#This Row],[Fecha Económico]]))</f>
        <v>0</v>
      </c>
      <c r="AF500" s="699">
        <f>IF(Producción_Agricola[[#This Row],[Fecha Económico]]=0,0,YEAR(Producción_Agricola[[#This Row],[Fecha Económico]]))</f>
        <v>0</v>
      </c>
      <c r="AG500" s="704">
        <f>SUMPRODUCT((Producción_Agricola[[#This Row],[Mes Económico]]=Tipo_Cambio[Mes])*(Producción_Agricola[[#This Row],[Año Económico]]=Tipo_Cambio[Año])*(Tipo_Cambio[$/U$S]))</f>
        <v>0</v>
      </c>
      <c r="AH500" s="703">
        <f>SUMPRODUCT((Producción_Agricola[[#This Row],[Mes Económico]]=Tipo_Cambio[Mes])*(Producción_Agricola[[#This Row],[Año Económico]]=Tipo_Cambio[Año])*(Tipo_Cambio[Actualización]))</f>
        <v>0</v>
      </c>
      <c r="AI500" s="699">
        <f>IF(ISNUMBER(Producción_Agricola[[#This Row],[Fecha Financiero]])=TRUE,MONTH(Producción_Agricola[[#This Row],[Fecha Financiero]]),0)</f>
        <v>0</v>
      </c>
      <c r="AJ500" s="699">
        <f>IF(ISNUMBER(Producción_Agricola[[#This Row],[Fecha Financiero]])=TRUE,YEAR(Producción_Agricola[[#This Row],[Fecha Financiero]]),0)</f>
        <v>0</v>
      </c>
      <c r="AK500" s="704">
        <f>SUMPRODUCT((Producción_Agricola[[#This Row],[Mes Financiero]]=Tipo_Cambio[Mes])*(Producción_Agricola[[#This Row],[Año Financiero]]=Tipo_Cambio[Año])*(Tipo_Cambio[$/U$S]))</f>
        <v>0</v>
      </c>
      <c r="AL500" s="704">
        <f>SUMPRODUCT((Producción_Agricola[[#This Row],[Mes Financiero]]=Tipo_Cambio[Mes])*(Producción_Agricola[[#This Row],[Año Financiero]]=Tipo_Cambio[Año])*(Tipo_Cambio[Actualización]))</f>
        <v>0</v>
      </c>
      <c r="AM500" s="709">
        <f>IFERROR(Producción_Agricola[[#This Row],[Económico $Corrientes]]/Producción_Agricola[[#This Row],[Superficie]],0)</f>
        <v>0</v>
      </c>
      <c r="AN500" s="712">
        <f>IFERROR(Producción_Agricola[[#This Row],[Económico $Constantes]]/Producción_Agricola[[#This Row],[Superficie]],0)</f>
        <v>0</v>
      </c>
      <c r="AO500" s="712">
        <f>IFERROR(Producción_Agricola[[#This Row],[Económico U$S Dólares]]/Producción_Agricola[[#This Row],[Superficie]],0)</f>
        <v>0</v>
      </c>
      <c r="AP500" s="711">
        <f>IF(Económico!$F$4=0,0,Producción_Agricola[[#This Row],[Centro de Costo]])</f>
        <v>0</v>
      </c>
      <c r="AQ500" s="512"/>
      <c r="AR500" s="513"/>
      <c r="AS500"/>
    </row>
    <row r="501" spans="1:45" x14ac:dyDescent="0.25">
      <c r="A501" s="509"/>
      <c r="B501" s="494"/>
      <c r="C501" s="509"/>
      <c r="D501" s="478"/>
      <c r="E501" s="478"/>
      <c r="F501" s="668">
        <f t="shared" si="65"/>
        <v>0</v>
      </c>
      <c r="G501" s="673">
        <f t="shared" si="66"/>
        <v>0</v>
      </c>
      <c r="H501" s="673">
        <f t="shared" si="67"/>
        <v>0</v>
      </c>
      <c r="I501" s="675">
        <f>IFERROR(INDEX(Tabla8[],MATCH(Producción_Agricola[[#This Row],[Unidad de Negocio]],Tabla8[Unidades de Negocio],0),2),0)</f>
        <v>0</v>
      </c>
      <c r="J50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01" s="488"/>
      <c r="L501" s="482"/>
      <c r="M501" s="483"/>
      <c r="N501" s="484"/>
      <c r="O501" s="690">
        <f>Producción_Agricola[[#This Row],[Superficie]]*Producción_Agricola[[#This Row],[Cantidad]]</f>
        <v>0</v>
      </c>
      <c r="P501" s="482"/>
      <c r="Q501" s="484"/>
      <c r="R501" s="485"/>
      <c r="S50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01" s="695">
        <f>IFERROR(Producción_Agricola[[#This Row],[Económico $Corrientes]]/Producción_Agricola[[#This Row],[Indexación Económico]],0)</f>
        <v>0</v>
      </c>
      <c r="U50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0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01" s="695">
        <f>IFERROR(Producción_Agricola[[#This Row],[Financiero $Corrientes]]/Producción_Agricola[[#This Row],[Indexación Financiero]],0)</f>
        <v>0</v>
      </c>
      <c r="X50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0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01" s="699">
        <f>IFERROR(Producción_Agricola[[#This Row],[Intereses $Corrientes]]/Producción_Agricola[[#This Row],[Indexación Financiero]],0)</f>
        <v>0</v>
      </c>
      <c r="AA50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01" s="701">
        <f>IFERROR(INDEX(Produccion_Agricola_Cuentas[],MATCH(Producción_Agricola[[#This Row],[Cuenta Contable]],Produccion_Agricola_Cuentas[Cuenta Contable],0),2),0)</f>
        <v>0</v>
      </c>
      <c r="AC501" s="702">
        <f>IFERROR(INDEX(Tabla9[],MATCH(Producción_Agricola[[#This Row],[Movimiento]],Tabla9[Movimientos],0),2),0)</f>
        <v>0</v>
      </c>
      <c r="AD501" s="703">
        <f>IFERROR(INDEX(Tabla9[],MATCH(Producción_Agricola[[#This Row],[Movimiento]],Tabla9[Movimientos],0),3),0)</f>
        <v>0</v>
      </c>
      <c r="AE501" s="698">
        <f>IF(Producción_Agricola[[#This Row],[Fecha Económico]]=0,0,MONTH(Producción_Agricola[[#This Row],[Fecha Económico]]))</f>
        <v>0</v>
      </c>
      <c r="AF501" s="699">
        <f>IF(Producción_Agricola[[#This Row],[Fecha Económico]]=0,0,YEAR(Producción_Agricola[[#This Row],[Fecha Económico]]))</f>
        <v>0</v>
      </c>
      <c r="AG501" s="704">
        <f>SUMPRODUCT((Producción_Agricola[[#This Row],[Mes Económico]]=Tipo_Cambio[Mes])*(Producción_Agricola[[#This Row],[Año Económico]]=Tipo_Cambio[Año])*(Tipo_Cambio[$/U$S]))</f>
        <v>0</v>
      </c>
      <c r="AH501" s="703">
        <f>SUMPRODUCT((Producción_Agricola[[#This Row],[Mes Económico]]=Tipo_Cambio[Mes])*(Producción_Agricola[[#This Row],[Año Económico]]=Tipo_Cambio[Año])*(Tipo_Cambio[Actualización]))</f>
        <v>0</v>
      </c>
      <c r="AI501" s="699">
        <f>IF(ISNUMBER(Producción_Agricola[[#This Row],[Fecha Financiero]])=TRUE,MONTH(Producción_Agricola[[#This Row],[Fecha Financiero]]),0)</f>
        <v>0</v>
      </c>
      <c r="AJ501" s="699">
        <f>IF(ISNUMBER(Producción_Agricola[[#This Row],[Fecha Financiero]])=TRUE,YEAR(Producción_Agricola[[#This Row],[Fecha Financiero]]),0)</f>
        <v>0</v>
      </c>
      <c r="AK501" s="704">
        <f>SUMPRODUCT((Producción_Agricola[[#This Row],[Mes Financiero]]=Tipo_Cambio[Mes])*(Producción_Agricola[[#This Row],[Año Financiero]]=Tipo_Cambio[Año])*(Tipo_Cambio[$/U$S]))</f>
        <v>0</v>
      </c>
      <c r="AL501" s="704">
        <f>SUMPRODUCT((Producción_Agricola[[#This Row],[Mes Financiero]]=Tipo_Cambio[Mes])*(Producción_Agricola[[#This Row],[Año Financiero]]=Tipo_Cambio[Año])*(Tipo_Cambio[Actualización]))</f>
        <v>0</v>
      </c>
      <c r="AM501" s="709">
        <f>IFERROR(Producción_Agricola[[#This Row],[Económico $Corrientes]]/Producción_Agricola[[#This Row],[Superficie]],0)</f>
        <v>0</v>
      </c>
      <c r="AN501" s="712">
        <f>IFERROR(Producción_Agricola[[#This Row],[Económico $Constantes]]/Producción_Agricola[[#This Row],[Superficie]],0)</f>
        <v>0</v>
      </c>
      <c r="AO501" s="712">
        <f>IFERROR(Producción_Agricola[[#This Row],[Económico U$S Dólares]]/Producción_Agricola[[#This Row],[Superficie]],0)</f>
        <v>0</v>
      </c>
      <c r="AP501" s="711">
        <f>IF(Económico!$F$4=0,0,Producción_Agricola[[#This Row],[Centro de Costo]])</f>
        <v>0</v>
      </c>
      <c r="AQ501" s="512"/>
      <c r="AR501" s="513"/>
      <c r="AS501"/>
    </row>
    <row r="502" spans="1:45" x14ac:dyDescent="0.25">
      <c r="A502" s="509"/>
      <c r="B502" s="494"/>
      <c r="C502" s="509"/>
      <c r="D502" s="478"/>
      <c r="E502" s="478"/>
      <c r="F502" s="668">
        <f t="shared" si="65"/>
        <v>0</v>
      </c>
      <c r="G502" s="673">
        <f t="shared" si="66"/>
        <v>0</v>
      </c>
      <c r="H502" s="673">
        <f t="shared" si="67"/>
        <v>0</v>
      </c>
      <c r="I502" s="675">
        <f>IFERROR(INDEX(Tabla8[],MATCH(Producción_Agricola[[#This Row],[Unidad de Negocio]],Tabla8[Unidades de Negocio],0),2),0)</f>
        <v>0</v>
      </c>
      <c r="J50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02" s="488"/>
      <c r="L502" s="482"/>
      <c r="M502" s="483"/>
      <c r="N502" s="484"/>
      <c r="O502" s="690">
        <f>Producción_Agricola[[#This Row],[Superficie]]*Producción_Agricola[[#This Row],[Cantidad]]</f>
        <v>0</v>
      </c>
      <c r="P502" s="482"/>
      <c r="Q502" s="484"/>
      <c r="R502" s="485"/>
      <c r="S50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02" s="695">
        <f>IFERROR(Producción_Agricola[[#This Row],[Económico $Corrientes]]/Producción_Agricola[[#This Row],[Indexación Económico]],0)</f>
        <v>0</v>
      </c>
      <c r="U50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0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02" s="695">
        <f>IFERROR(Producción_Agricola[[#This Row],[Financiero $Corrientes]]/Producción_Agricola[[#This Row],[Indexación Financiero]],0)</f>
        <v>0</v>
      </c>
      <c r="X50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0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02" s="699">
        <f>IFERROR(Producción_Agricola[[#This Row],[Intereses $Corrientes]]/Producción_Agricola[[#This Row],[Indexación Financiero]],0)</f>
        <v>0</v>
      </c>
      <c r="AA50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02" s="701">
        <f>IFERROR(INDEX(Produccion_Agricola_Cuentas[],MATCH(Producción_Agricola[[#This Row],[Cuenta Contable]],Produccion_Agricola_Cuentas[Cuenta Contable],0),2),0)</f>
        <v>0</v>
      </c>
      <c r="AC502" s="702">
        <f>IFERROR(INDEX(Tabla9[],MATCH(Producción_Agricola[[#This Row],[Movimiento]],Tabla9[Movimientos],0),2),0)</f>
        <v>0</v>
      </c>
      <c r="AD502" s="703">
        <f>IFERROR(INDEX(Tabla9[],MATCH(Producción_Agricola[[#This Row],[Movimiento]],Tabla9[Movimientos],0),3),0)</f>
        <v>0</v>
      </c>
      <c r="AE502" s="698">
        <f>IF(Producción_Agricola[[#This Row],[Fecha Económico]]=0,0,MONTH(Producción_Agricola[[#This Row],[Fecha Económico]]))</f>
        <v>0</v>
      </c>
      <c r="AF502" s="699">
        <f>IF(Producción_Agricola[[#This Row],[Fecha Económico]]=0,0,YEAR(Producción_Agricola[[#This Row],[Fecha Económico]]))</f>
        <v>0</v>
      </c>
      <c r="AG502" s="704">
        <f>SUMPRODUCT((Producción_Agricola[[#This Row],[Mes Económico]]=Tipo_Cambio[Mes])*(Producción_Agricola[[#This Row],[Año Económico]]=Tipo_Cambio[Año])*(Tipo_Cambio[$/U$S]))</f>
        <v>0</v>
      </c>
      <c r="AH502" s="703">
        <f>SUMPRODUCT((Producción_Agricola[[#This Row],[Mes Económico]]=Tipo_Cambio[Mes])*(Producción_Agricola[[#This Row],[Año Económico]]=Tipo_Cambio[Año])*(Tipo_Cambio[Actualización]))</f>
        <v>0</v>
      </c>
      <c r="AI502" s="699">
        <f>IF(ISNUMBER(Producción_Agricola[[#This Row],[Fecha Financiero]])=TRUE,MONTH(Producción_Agricola[[#This Row],[Fecha Financiero]]),0)</f>
        <v>0</v>
      </c>
      <c r="AJ502" s="699">
        <f>IF(ISNUMBER(Producción_Agricola[[#This Row],[Fecha Financiero]])=TRUE,YEAR(Producción_Agricola[[#This Row],[Fecha Financiero]]),0)</f>
        <v>0</v>
      </c>
      <c r="AK502" s="704">
        <f>SUMPRODUCT((Producción_Agricola[[#This Row],[Mes Financiero]]=Tipo_Cambio[Mes])*(Producción_Agricola[[#This Row],[Año Financiero]]=Tipo_Cambio[Año])*(Tipo_Cambio[$/U$S]))</f>
        <v>0</v>
      </c>
      <c r="AL502" s="704">
        <f>SUMPRODUCT((Producción_Agricola[[#This Row],[Mes Financiero]]=Tipo_Cambio[Mes])*(Producción_Agricola[[#This Row],[Año Financiero]]=Tipo_Cambio[Año])*(Tipo_Cambio[Actualización]))</f>
        <v>0</v>
      </c>
      <c r="AM502" s="709">
        <f>IFERROR(Producción_Agricola[[#This Row],[Económico $Corrientes]]/Producción_Agricola[[#This Row],[Superficie]],0)</f>
        <v>0</v>
      </c>
      <c r="AN502" s="712">
        <f>IFERROR(Producción_Agricola[[#This Row],[Económico $Constantes]]/Producción_Agricola[[#This Row],[Superficie]],0)</f>
        <v>0</v>
      </c>
      <c r="AO502" s="712">
        <f>IFERROR(Producción_Agricola[[#This Row],[Económico U$S Dólares]]/Producción_Agricola[[#This Row],[Superficie]],0)</f>
        <v>0</v>
      </c>
      <c r="AP502" s="711">
        <f>IF(Económico!$F$4=0,0,Producción_Agricola[[#This Row],[Centro de Costo]])</f>
        <v>0</v>
      </c>
      <c r="AQ502" s="512"/>
      <c r="AR502" s="513"/>
      <c r="AS502"/>
    </row>
    <row r="503" spans="1:45" x14ac:dyDescent="0.25">
      <c r="A503" s="509"/>
      <c r="B503" s="494"/>
      <c r="C503" s="509"/>
      <c r="D503" s="478"/>
      <c r="E503" s="478"/>
      <c r="F503" s="668">
        <f t="shared" si="65"/>
        <v>0</v>
      </c>
      <c r="G503" s="673">
        <f t="shared" si="66"/>
        <v>0</v>
      </c>
      <c r="H503" s="673">
        <f t="shared" si="67"/>
        <v>0</v>
      </c>
      <c r="I503" s="675">
        <f>IFERROR(INDEX(Tabla8[],MATCH(Producción_Agricola[[#This Row],[Unidad de Negocio]],Tabla8[Unidades de Negocio],0),2),0)</f>
        <v>0</v>
      </c>
      <c r="J50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03" s="488"/>
      <c r="L503" s="482"/>
      <c r="M503" s="483"/>
      <c r="N503" s="484"/>
      <c r="O503" s="690">
        <f>Producción_Agricola[[#This Row],[Superficie]]*Producción_Agricola[[#This Row],[Cantidad]]</f>
        <v>0</v>
      </c>
      <c r="P503" s="482"/>
      <c r="Q503" s="484"/>
      <c r="R503" s="485"/>
      <c r="S50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03" s="695">
        <f>IFERROR(Producción_Agricola[[#This Row],[Económico $Corrientes]]/Producción_Agricola[[#This Row],[Indexación Económico]],0)</f>
        <v>0</v>
      </c>
      <c r="U50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0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03" s="695">
        <f>IFERROR(Producción_Agricola[[#This Row],[Financiero $Corrientes]]/Producción_Agricola[[#This Row],[Indexación Financiero]],0)</f>
        <v>0</v>
      </c>
      <c r="X50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0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03" s="699">
        <f>IFERROR(Producción_Agricola[[#This Row],[Intereses $Corrientes]]/Producción_Agricola[[#This Row],[Indexación Financiero]],0)</f>
        <v>0</v>
      </c>
      <c r="AA50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03" s="701">
        <f>IFERROR(INDEX(Produccion_Agricola_Cuentas[],MATCH(Producción_Agricola[[#This Row],[Cuenta Contable]],Produccion_Agricola_Cuentas[Cuenta Contable],0),2),0)</f>
        <v>0</v>
      </c>
      <c r="AC503" s="702">
        <f>IFERROR(INDEX(Tabla9[],MATCH(Producción_Agricola[[#This Row],[Movimiento]],Tabla9[Movimientos],0),2),0)</f>
        <v>0</v>
      </c>
      <c r="AD503" s="703">
        <f>IFERROR(INDEX(Tabla9[],MATCH(Producción_Agricola[[#This Row],[Movimiento]],Tabla9[Movimientos],0),3),0)</f>
        <v>0</v>
      </c>
      <c r="AE503" s="698">
        <f>IF(Producción_Agricola[[#This Row],[Fecha Económico]]=0,0,MONTH(Producción_Agricola[[#This Row],[Fecha Económico]]))</f>
        <v>0</v>
      </c>
      <c r="AF503" s="699">
        <f>IF(Producción_Agricola[[#This Row],[Fecha Económico]]=0,0,YEAR(Producción_Agricola[[#This Row],[Fecha Económico]]))</f>
        <v>0</v>
      </c>
      <c r="AG503" s="704">
        <f>SUMPRODUCT((Producción_Agricola[[#This Row],[Mes Económico]]=Tipo_Cambio[Mes])*(Producción_Agricola[[#This Row],[Año Económico]]=Tipo_Cambio[Año])*(Tipo_Cambio[$/U$S]))</f>
        <v>0</v>
      </c>
      <c r="AH503" s="703">
        <f>SUMPRODUCT((Producción_Agricola[[#This Row],[Mes Económico]]=Tipo_Cambio[Mes])*(Producción_Agricola[[#This Row],[Año Económico]]=Tipo_Cambio[Año])*(Tipo_Cambio[Actualización]))</f>
        <v>0</v>
      </c>
      <c r="AI503" s="699">
        <f>IF(ISNUMBER(Producción_Agricola[[#This Row],[Fecha Financiero]])=TRUE,MONTH(Producción_Agricola[[#This Row],[Fecha Financiero]]),0)</f>
        <v>0</v>
      </c>
      <c r="AJ503" s="699">
        <f>IF(ISNUMBER(Producción_Agricola[[#This Row],[Fecha Financiero]])=TRUE,YEAR(Producción_Agricola[[#This Row],[Fecha Financiero]]),0)</f>
        <v>0</v>
      </c>
      <c r="AK503" s="704">
        <f>SUMPRODUCT((Producción_Agricola[[#This Row],[Mes Financiero]]=Tipo_Cambio[Mes])*(Producción_Agricola[[#This Row],[Año Financiero]]=Tipo_Cambio[Año])*(Tipo_Cambio[$/U$S]))</f>
        <v>0</v>
      </c>
      <c r="AL503" s="704">
        <f>SUMPRODUCT((Producción_Agricola[[#This Row],[Mes Financiero]]=Tipo_Cambio[Mes])*(Producción_Agricola[[#This Row],[Año Financiero]]=Tipo_Cambio[Año])*(Tipo_Cambio[Actualización]))</f>
        <v>0</v>
      </c>
      <c r="AM503" s="709">
        <f>IFERROR(Producción_Agricola[[#This Row],[Económico $Corrientes]]/Producción_Agricola[[#This Row],[Superficie]],0)</f>
        <v>0</v>
      </c>
      <c r="AN503" s="712">
        <f>IFERROR(Producción_Agricola[[#This Row],[Económico $Constantes]]/Producción_Agricola[[#This Row],[Superficie]],0)</f>
        <v>0</v>
      </c>
      <c r="AO503" s="712">
        <f>IFERROR(Producción_Agricola[[#This Row],[Económico U$S Dólares]]/Producción_Agricola[[#This Row],[Superficie]],0)</f>
        <v>0</v>
      </c>
      <c r="AP503" s="711">
        <f>IF(Económico!$F$4=0,0,Producción_Agricola[[#This Row],[Centro de Costo]])</f>
        <v>0</v>
      </c>
      <c r="AQ503" s="512"/>
      <c r="AR503" s="513"/>
      <c r="AS503"/>
    </row>
    <row r="504" spans="1:45" x14ac:dyDescent="0.25">
      <c r="A504" s="509"/>
      <c r="B504" s="494"/>
      <c r="C504" s="509"/>
      <c r="D504" s="478"/>
      <c r="E504" s="478"/>
      <c r="F504" s="668">
        <f t="shared" si="65"/>
        <v>0</v>
      </c>
      <c r="G504" s="673">
        <f t="shared" si="66"/>
        <v>0</v>
      </c>
      <c r="H504" s="673">
        <f t="shared" si="67"/>
        <v>0</v>
      </c>
      <c r="I504" s="675">
        <f>IFERROR(INDEX(Tabla8[],MATCH(Producción_Agricola[[#This Row],[Unidad de Negocio]],Tabla8[Unidades de Negocio],0),2),0)</f>
        <v>0</v>
      </c>
      <c r="J50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04" s="488"/>
      <c r="L504" s="482"/>
      <c r="M504" s="483"/>
      <c r="N504" s="484"/>
      <c r="O504" s="690">
        <f>Producción_Agricola[[#This Row],[Superficie]]*Producción_Agricola[[#This Row],[Cantidad]]</f>
        <v>0</v>
      </c>
      <c r="P504" s="482"/>
      <c r="Q504" s="484"/>
      <c r="R504" s="485"/>
      <c r="S50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04" s="695">
        <f>IFERROR(Producción_Agricola[[#This Row],[Económico $Corrientes]]/Producción_Agricola[[#This Row],[Indexación Económico]],0)</f>
        <v>0</v>
      </c>
      <c r="U50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0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04" s="695">
        <f>IFERROR(Producción_Agricola[[#This Row],[Financiero $Corrientes]]/Producción_Agricola[[#This Row],[Indexación Financiero]],0)</f>
        <v>0</v>
      </c>
      <c r="X50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0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04" s="699">
        <f>IFERROR(Producción_Agricola[[#This Row],[Intereses $Corrientes]]/Producción_Agricola[[#This Row],[Indexación Financiero]],0)</f>
        <v>0</v>
      </c>
      <c r="AA50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04" s="701">
        <f>IFERROR(INDEX(Produccion_Agricola_Cuentas[],MATCH(Producción_Agricola[[#This Row],[Cuenta Contable]],Produccion_Agricola_Cuentas[Cuenta Contable],0),2),0)</f>
        <v>0</v>
      </c>
      <c r="AC504" s="702">
        <f>IFERROR(INDEX(Tabla9[],MATCH(Producción_Agricola[[#This Row],[Movimiento]],Tabla9[Movimientos],0),2),0)</f>
        <v>0</v>
      </c>
      <c r="AD504" s="703">
        <f>IFERROR(INDEX(Tabla9[],MATCH(Producción_Agricola[[#This Row],[Movimiento]],Tabla9[Movimientos],0),3),0)</f>
        <v>0</v>
      </c>
      <c r="AE504" s="698">
        <f>IF(Producción_Agricola[[#This Row],[Fecha Económico]]=0,0,MONTH(Producción_Agricola[[#This Row],[Fecha Económico]]))</f>
        <v>0</v>
      </c>
      <c r="AF504" s="699">
        <f>IF(Producción_Agricola[[#This Row],[Fecha Económico]]=0,0,YEAR(Producción_Agricola[[#This Row],[Fecha Económico]]))</f>
        <v>0</v>
      </c>
      <c r="AG504" s="704">
        <f>SUMPRODUCT((Producción_Agricola[[#This Row],[Mes Económico]]=Tipo_Cambio[Mes])*(Producción_Agricola[[#This Row],[Año Económico]]=Tipo_Cambio[Año])*(Tipo_Cambio[$/U$S]))</f>
        <v>0</v>
      </c>
      <c r="AH504" s="703">
        <f>SUMPRODUCT((Producción_Agricola[[#This Row],[Mes Económico]]=Tipo_Cambio[Mes])*(Producción_Agricola[[#This Row],[Año Económico]]=Tipo_Cambio[Año])*(Tipo_Cambio[Actualización]))</f>
        <v>0</v>
      </c>
      <c r="AI504" s="699">
        <f>IF(ISNUMBER(Producción_Agricola[[#This Row],[Fecha Financiero]])=TRUE,MONTH(Producción_Agricola[[#This Row],[Fecha Financiero]]),0)</f>
        <v>0</v>
      </c>
      <c r="AJ504" s="699">
        <f>IF(ISNUMBER(Producción_Agricola[[#This Row],[Fecha Financiero]])=TRUE,YEAR(Producción_Agricola[[#This Row],[Fecha Financiero]]),0)</f>
        <v>0</v>
      </c>
      <c r="AK504" s="704">
        <f>SUMPRODUCT((Producción_Agricola[[#This Row],[Mes Financiero]]=Tipo_Cambio[Mes])*(Producción_Agricola[[#This Row],[Año Financiero]]=Tipo_Cambio[Año])*(Tipo_Cambio[$/U$S]))</f>
        <v>0</v>
      </c>
      <c r="AL504" s="704">
        <f>SUMPRODUCT((Producción_Agricola[[#This Row],[Mes Financiero]]=Tipo_Cambio[Mes])*(Producción_Agricola[[#This Row],[Año Financiero]]=Tipo_Cambio[Año])*(Tipo_Cambio[Actualización]))</f>
        <v>0</v>
      </c>
      <c r="AM504" s="709">
        <f>IFERROR(Producción_Agricola[[#This Row],[Económico $Corrientes]]/Producción_Agricola[[#This Row],[Superficie]],0)</f>
        <v>0</v>
      </c>
      <c r="AN504" s="712">
        <f>IFERROR(Producción_Agricola[[#This Row],[Económico $Constantes]]/Producción_Agricola[[#This Row],[Superficie]],0)</f>
        <v>0</v>
      </c>
      <c r="AO504" s="712">
        <f>IFERROR(Producción_Agricola[[#This Row],[Económico U$S Dólares]]/Producción_Agricola[[#This Row],[Superficie]],0)</f>
        <v>0</v>
      </c>
      <c r="AP504" s="711">
        <f>IF(Económico!$F$4=0,0,Producción_Agricola[[#This Row],[Centro de Costo]])</f>
        <v>0</v>
      </c>
      <c r="AQ504" s="512"/>
      <c r="AR504" s="513"/>
      <c r="AS504"/>
    </row>
    <row r="505" spans="1:45" x14ac:dyDescent="0.25">
      <c r="A505" s="509"/>
      <c r="B505" s="494"/>
      <c r="C505" s="509"/>
      <c r="D505" s="478"/>
      <c r="E505" s="478"/>
      <c r="F505" s="668">
        <f t="shared" si="65"/>
        <v>0</v>
      </c>
      <c r="G505" s="673">
        <f t="shared" si="66"/>
        <v>0</v>
      </c>
      <c r="H505" s="673">
        <f t="shared" si="67"/>
        <v>0</v>
      </c>
      <c r="I505" s="675">
        <f>IFERROR(INDEX(Tabla8[],MATCH(Producción_Agricola[[#This Row],[Unidad de Negocio]],Tabla8[Unidades de Negocio],0),2),0)</f>
        <v>0</v>
      </c>
      <c r="J50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05" s="488"/>
      <c r="L505" s="482"/>
      <c r="M505" s="483"/>
      <c r="N505" s="484"/>
      <c r="O505" s="690">
        <f>Producción_Agricola[[#This Row],[Superficie]]*Producción_Agricola[[#This Row],[Cantidad]]</f>
        <v>0</v>
      </c>
      <c r="P505" s="482"/>
      <c r="Q505" s="484"/>
      <c r="R505" s="485"/>
      <c r="S50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05" s="695">
        <f>IFERROR(Producción_Agricola[[#This Row],[Económico $Corrientes]]/Producción_Agricola[[#This Row],[Indexación Económico]],0)</f>
        <v>0</v>
      </c>
      <c r="U50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0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05" s="695">
        <f>IFERROR(Producción_Agricola[[#This Row],[Financiero $Corrientes]]/Producción_Agricola[[#This Row],[Indexación Financiero]],0)</f>
        <v>0</v>
      </c>
      <c r="X50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0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05" s="699">
        <f>IFERROR(Producción_Agricola[[#This Row],[Intereses $Corrientes]]/Producción_Agricola[[#This Row],[Indexación Financiero]],0)</f>
        <v>0</v>
      </c>
      <c r="AA50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05" s="701">
        <f>IFERROR(INDEX(Produccion_Agricola_Cuentas[],MATCH(Producción_Agricola[[#This Row],[Cuenta Contable]],Produccion_Agricola_Cuentas[Cuenta Contable],0),2),0)</f>
        <v>0</v>
      </c>
      <c r="AC505" s="702">
        <f>IFERROR(INDEX(Tabla9[],MATCH(Producción_Agricola[[#This Row],[Movimiento]],Tabla9[Movimientos],0),2),0)</f>
        <v>0</v>
      </c>
      <c r="AD505" s="703">
        <f>IFERROR(INDEX(Tabla9[],MATCH(Producción_Agricola[[#This Row],[Movimiento]],Tabla9[Movimientos],0),3),0)</f>
        <v>0</v>
      </c>
      <c r="AE505" s="698">
        <f>IF(Producción_Agricola[[#This Row],[Fecha Económico]]=0,0,MONTH(Producción_Agricola[[#This Row],[Fecha Económico]]))</f>
        <v>0</v>
      </c>
      <c r="AF505" s="699">
        <f>IF(Producción_Agricola[[#This Row],[Fecha Económico]]=0,0,YEAR(Producción_Agricola[[#This Row],[Fecha Económico]]))</f>
        <v>0</v>
      </c>
      <c r="AG505" s="704">
        <f>SUMPRODUCT((Producción_Agricola[[#This Row],[Mes Económico]]=Tipo_Cambio[Mes])*(Producción_Agricola[[#This Row],[Año Económico]]=Tipo_Cambio[Año])*(Tipo_Cambio[$/U$S]))</f>
        <v>0</v>
      </c>
      <c r="AH505" s="703">
        <f>SUMPRODUCT((Producción_Agricola[[#This Row],[Mes Económico]]=Tipo_Cambio[Mes])*(Producción_Agricola[[#This Row],[Año Económico]]=Tipo_Cambio[Año])*(Tipo_Cambio[Actualización]))</f>
        <v>0</v>
      </c>
      <c r="AI505" s="699">
        <f>IF(ISNUMBER(Producción_Agricola[[#This Row],[Fecha Financiero]])=TRUE,MONTH(Producción_Agricola[[#This Row],[Fecha Financiero]]),0)</f>
        <v>0</v>
      </c>
      <c r="AJ505" s="699">
        <f>IF(ISNUMBER(Producción_Agricola[[#This Row],[Fecha Financiero]])=TRUE,YEAR(Producción_Agricola[[#This Row],[Fecha Financiero]]),0)</f>
        <v>0</v>
      </c>
      <c r="AK505" s="704">
        <f>SUMPRODUCT((Producción_Agricola[[#This Row],[Mes Financiero]]=Tipo_Cambio[Mes])*(Producción_Agricola[[#This Row],[Año Financiero]]=Tipo_Cambio[Año])*(Tipo_Cambio[$/U$S]))</f>
        <v>0</v>
      </c>
      <c r="AL505" s="704">
        <f>SUMPRODUCT((Producción_Agricola[[#This Row],[Mes Financiero]]=Tipo_Cambio[Mes])*(Producción_Agricola[[#This Row],[Año Financiero]]=Tipo_Cambio[Año])*(Tipo_Cambio[Actualización]))</f>
        <v>0</v>
      </c>
      <c r="AM505" s="709">
        <f>IFERROR(Producción_Agricola[[#This Row],[Económico $Corrientes]]/Producción_Agricola[[#This Row],[Superficie]],0)</f>
        <v>0</v>
      </c>
      <c r="AN505" s="712">
        <f>IFERROR(Producción_Agricola[[#This Row],[Económico $Constantes]]/Producción_Agricola[[#This Row],[Superficie]],0)</f>
        <v>0</v>
      </c>
      <c r="AO505" s="712">
        <f>IFERROR(Producción_Agricola[[#This Row],[Económico U$S Dólares]]/Producción_Agricola[[#This Row],[Superficie]],0)</f>
        <v>0</v>
      </c>
      <c r="AP505" s="711">
        <f>IF(Económico!$F$4=0,0,Producción_Agricola[[#This Row],[Centro de Costo]])</f>
        <v>0</v>
      </c>
      <c r="AQ505" s="512"/>
      <c r="AR505" s="513"/>
      <c r="AS505"/>
    </row>
    <row r="506" spans="1:45" x14ac:dyDescent="0.25">
      <c r="A506" s="509"/>
      <c r="B506" s="494"/>
      <c r="C506" s="509"/>
      <c r="D506" s="478"/>
      <c r="E506" s="478"/>
      <c r="F506" s="668">
        <f t="shared" si="65"/>
        <v>0</v>
      </c>
      <c r="G506" s="673">
        <f t="shared" si="66"/>
        <v>0</v>
      </c>
      <c r="H506" s="673">
        <f t="shared" si="67"/>
        <v>0</v>
      </c>
      <c r="I506" s="675">
        <f>IFERROR(INDEX(Tabla8[],MATCH(Producción_Agricola[[#This Row],[Unidad de Negocio]],Tabla8[Unidades de Negocio],0),2),0)</f>
        <v>0</v>
      </c>
      <c r="J50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06" s="488"/>
      <c r="L506" s="482"/>
      <c r="M506" s="483"/>
      <c r="N506" s="484"/>
      <c r="O506" s="690">
        <f>Producción_Agricola[[#This Row],[Superficie]]*Producción_Agricola[[#This Row],[Cantidad]]</f>
        <v>0</v>
      </c>
      <c r="P506" s="482"/>
      <c r="Q506" s="484"/>
      <c r="R506" s="485"/>
      <c r="S50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06" s="695">
        <f>IFERROR(Producción_Agricola[[#This Row],[Económico $Corrientes]]/Producción_Agricola[[#This Row],[Indexación Económico]],0)</f>
        <v>0</v>
      </c>
      <c r="U50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0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06" s="695">
        <f>IFERROR(Producción_Agricola[[#This Row],[Financiero $Corrientes]]/Producción_Agricola[[#This Row],[Indexación Financiero]],0)</f>
        <v>0</v>
      </c>
      <c r="X50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0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06" s="699">
        <f>IFERROR(Producción_Agricola[[#This Row],[Intereses $Corrientes]]/Producción_Agricola[[#This Row],[Indexación Financiero]],0)</f>
        <v>0</v>
      </c>
      <c r="AA50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06" s="701">
        <f>IFERROR(INDEX(Produccion_Agricola_Cuentas[],MATCH(Producción_Agricola[[#This Row],[Cuenta Contable]],Produccion_Agricola_Cuentas[Cuenta Contable],0),2),0)</f>
        <v>0</v>
      </c>
      <c r="AC506" s="702">
        <f>IFERROR(INDEX(Tabla9[],MATCH(Producción_Agricola[[#This Row],[Movimiento]],Tabla9[Movimientos],0),2),0)</f>
        <v>0</v>
      </c>
      <c r="AD506" s="703">
        <f>IFERROR(INDEX(Tabla9[],MATCH(Producción_Agricola[[#This Row],[Movimiento]],Tabla9[Movimientos],0),3),0)</f>
        <v>0</v>
      </c>
      <c r="AE506" s="698">
        <f>IF(Producción_Agricola[[#This Row],[Fecha Económico]]=0,0,MONTH(Producción_Agricola[[#This Row],[Fecha Económico]]))</f>
        <v>0</v>
      </c>
      <c r="AF506" s="699">
        <f>IF(Producción_Agricola[[#This Row],[Fecha Económico]]=0,0,YEAR(Producción_Agricola[[#This Row],[Fecha Económico]]))</f>
        <v>0</v>
      </c>
      <c r="AG506" s="704">
        <f>SUMPRODUCT((Producción_Agricola[[#This Row],[Mes Económico]]=Tipo_Cambio[Mes])*(Producción_Agricola[[#This Row],[Año Económico]]=Tipo_Cambio[Año])*(Tipo_Cambio[$/U$S]))</f>
        <v>0</v>
      </c>
      <c r="AH506" s="703">
        <f>SUMPRODUCT((Producción_Agricola[[#This Row],[Mes Económico]]=Tipo_Cambio[Mes])*(Producción_Agricola[[#This Row],[Año Económico]]=Tipo_Cambio[Año])*(Tipo_Cambio[Actualización]))</f>
        <v>0</v>
      </c>
      <c r="AI506" s="699">
        <f>IF(ISNUMBER(Producción_Agricola[[#This Row],[Fecha Financiero]])=TRUE,MONTH(Producción_Agricola[[#This Row],[Fecha Financiero]]),0)</f>
        <v>0</v>
      </c>
      <c r="AJ506" s="699">
        <f>IF(ISNUMBER(Producción_Agricola[[#This Row],[Fecha Financiero]])=TRUE,YEAR(Producción_Agricola[[#This Row],[Fecha Financiero]]),0)</f>
        <v>0</v>
      </c>
      <c r="AK506" s="704">
        <f>SUMPRODUCT((Producción_Agricola[[#This Row],[Mes Financiero]]=Tipo_Cambio[Mes])*(Producción_Agricola[[#This Row],[Año Financiero]]=Tipo_Cambio[Año])*(Tipo_Cambio[$/U$S]))</f>
        <v>0</v>
      </c>
      <c r="AL506" s="704">
        <f>SUMPRODUCT((Producción_Agricola[[#This Row],[Mes Financiero]]=Tipo_Cambio[Mes])*(Producción_Agricola[[#This Row],[Año Financiero]]=Tipo_Cambio[Año])*(Tipo_Cambio[Actualización]))</f>
        <v>0</v>
      </c>
      <c r="AM506" s="709">
        <f>IFERROR(Producción_Agricola[[#This Row],[Económico $Corrientes]]/Producción_Agricola[[#This Row],[Superficie]],0)</f>
        <v>0</v>
      </c>
      <c r="AN506" s="712">
        <f>IFERROR(Producción_Agricola[[#This Row],[Económico $Constantes]]/Producción_Agricola[[#This Row],[Superficie]],0)</f>
        <v>0</v>
      </c>
      <c r="AO506" s="712">
        <f>IFERROR(Producción_Agricola[[#This Row],[Económico U$S Dólares]]/Producción_Agricola[[#This Row],[Superficie]],0)</f>
        <v>0</v>
      </c>
      <c r="AP506" s="711">
        <f>IF(Económico!$F$4=0,0,Producción_Agricola[[#This Row],[Centro de Costo]])</f>
        <v>0</v>
      </c>
      <c r="AQ506" s="512"/>
      <c r="AR506" s="513"/>
      <c r="AS506"/>
    </row>
    <row r="507" spans="1:45" x14ac:dyDescent="0.25">
      <c r="A507" s="509"/>
      <c r="B507" s="494"/>
      <c r="C507" s="509"/>
      <c r="D507" s="478"/>
      <c r="E507" s="478"/>
      <c r="F507" s="668">
        <f t="shared" si="65"/>
        <v>0</v>
      </c>
      <c r="G507" s="673">
        <f t="shared" si="66"/>
        <v>0</v>
      </c>
      <c r="H507" s="673">
        <f t="shared" si="67"/>
        <v>0</v>
      </c>
      <c r="I507" s="675">
        <f>IFERROR(INDEX(Tabla8[],MATCH(Producción_Agricola[[#This Row],[Unidad de Negocio]],Tabla8[Unidades de Negocio],0),2),0)</f>
        <v>0</v>
      </c>
      <c r="J50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07" s="488"/>
      <c r="L507" s="482"/>
      <c r="M507" s="483"/>
      <c r="N507" s="484"/>
      <c r="O507" s="690">
        <f>Producción_Agricola[[#This Row],[Superficie]]*Producción_Agricola[[#This Row],[Cantidad]]</f>
        <v>0</v>
      </c>
      <c r="P507" s="482"/>
      <c r="Q507" s="484"/>
      <c r="R507" s="485"/>
      <c r="S50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07" s="695">
        <f>IFERROR(Producción_Agricola[[#This Row],[Económico $Corrientes]]/Producción_Agricola[[#This Row],[Indexación Económico]],0)</f>
        <v>0</v>
      </c>
      <c r="U50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0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07" s="695">
        <f>IFERROR(Producción_Agricola[[#This Row],[Financiero $Corrientes]]/Producción_Agricola[[#This Row],[Indexación Financiero]],0)</f>
        <v>0</v>
      </c>
      <c r="X50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0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07" s="699">
        <f>IFERROR(Producción_Agricola[[#This Row],[Intereses $Corrientes]]/Producción_Agricola[[#This Row],[Indexación Financiero]],0)</f>
        <v>0</v>
      </c>
      <c r="AA50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07" s="701">
        <f>IFERROR(INDEX(Produccion_Agricola_Cuentas[],MATCH(Producción_Agricola[[#This Row],[Cuenta Contable]],Produccion_Agricola_Cuentas[Cuenta Contable],0),2),0)</f>
        <v>0</v>
      </c>
      <c r="AC507" s="702">
        <f>IFERROR(INDEX(Tabla9[],MATCH(Producción_Agricola[[#This Row],[Movimiento]],Tabla9[Movimientos],0),2),0)</f>
        <v>0</v>
      </c>
      <c r="AD507" s="703">
        <f>IFERROR(INDEX(Tabla9[],MATCH(Producción_Agricola[[#This Row],[Movimiento]],Tabla9[Movimientos],0),3),0)</f>
        <v>0</v>
      </c>
      <c r="AE507" s="698">
        <f>IF(Producción_Agricola[[#This Row],[Fecha Económico]]=0,0,MONTH(Producción_Agricola[[#This Row],[Fecha Económico]]))</f>
        <v>0</v>
      </c>
      <c r="AF507" s="699">
        <f>IF(Producción_Agricola[[#This Row],[Fecha Económico]]=0,0,YEAR(Producción_Agricola[[#This Row],[Fecha Económico]]))</f>
        <v>0</v>
      </c>
      <c r="AG507" s="704">
        <f>SUMPRODUCT((Producción_Agricola[[#This Row],[Mes Económico]]=Tipo_Cambio[Mes])*(Producción_Agricola[[#This Row],[Año Económico]]=Tipo_Cambio[Año])*(Tipo_Cambio[$/U$S]))</f>
        <v>0</v>
      </c>
      <c r="AH507" s="703">
        <f>SUMPRODUCT((Producción_Agricola[[#This Row],[Mes Económico]]=Tipo_Cambio[Mes])*(Producción_Agricola[[#This Row],[Año Económico]]=Tipo_Cambio[Año])*(Tipo_Cambio[Actualización]))</f>
        <v>0</v>
      </c>
      <c r="AI507" s="699">
        <f>IF(ISNUMBER(Producción_Agricola[[#This Row],[Fecha Financiero]])=TRUE,MONTH(Producción_Agricola[[#This Row],[Fecha Financiero]]),0)</f>
        <v>0</v>
      </c>
      <c r="AJ507" s="699">
        <f>IF(ISNUMBER(Producción_Agricola[[#This Row],[Fecha Financiero]])=TRUE,YEAR(Producción_Agricola[[#This Row],[Fecha Financiero]]),0)</f>
        <v>0</v>
      </c>
      <c r="AK507" s="704">
        <f>SUMPRODUCT((Producción_Agricola[[#This Row],[Mes Financiero]]=Tipo_Cambio[Mes])*(Producción_Agricola[[#This Row],[Año Financiero]]=Tipo_Cambio[Año])*(Tipo_Cambio[$/U$S]))</f>
        <v>0</v>
      </c>
      <c r="AL507" s="704">
        <f>SUMPRODUCT((Producción_Agricola[[#This Row],[Mes Financiero]]=Tipo_Cambio[Mes])*(Producción_Agricola[[#This Row],[Año Financiero]]=Tipo_Cambio[Año])*(Tipo_Cambio[Actualización]))</f>
        <v>0</v>
      </c>
      <c r="AM507" s="709">
        <f>IFERROR(Producción_Agricola[[#This Row],[Económico $Corrientes]]/Producción_Agricola[[#This Row],[Superficie]],0)</f>
        <v>0</v>
      </c>
      <c r="AN507" s="712">
        <f>IFERROR(Producción_Agricola[[#This Row],[Económico $Constantes]]/Producción_Agricola[[#This Row],[Superficie]],0)</f>
        <v>0</v>
      </c>
      <c r="AO507" s="712">
        <f>IFERROR(Producción_Agricola[[#This Row],[Económico U$S Dólares]]/Producción_Agricola[[#This Row],[Superficie]],0)</f>
        <v>0</v>
      </c>
      <c r="AP507" s="711">
        <f>IF(Económico!$F$4=0,0,Producción_Agricola[[#This Row],[Centro de Costo]])</f>
        <v>0</v>
      </c>
      <c r="AQ507" s="512"/>
      <c r="AR507" s="513"/>
      <c r="AS507"/>
    </row>
    <row r="508" spans="1:45" x14ac:dyDescent="0.25">
      <c r="A508" s="509"/>
      <c r="B508" s="494"/>
      <c r="C508" s="509"/>
      <c r="D508" s="478"/>
      <c r="E508" s="478"/>
      <c r="F508" s="668">
        <f t="shared" si="65"/>
        <v>0</v>
      </c>
      <c r="G508" s="673">
        <f t="shared" si="66"/>
        <v>0</v>
      </c>
      <c r="H508" s="673">
        <f t="shared" si="67"/>
        <v>0</v>
      </c>
      <c r="I508" s="675">
        <f>IFERROR(INDEX(Tabla8[],MATCH(Producción_Agricola[[#This Row],[Unidad de Negocio]],Tabla8[Unidades de Negocio],0),2),0)</f>
        <v>0</v>
      </c>
      <c r="J50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08" s="488"/>
      <c r="L508" s="482"/>
      <c r="M508" s="483"/>
      <c r="N508" s="484"/>
      <c r="O508" s="690">
        <f>Producción_Agricola[[#This Row],[Superficie]]*Producción_Agricola[[#This Row],[Cantidad]]</f>
        <v>0</v>
      </c>
      <c r="P508" s="482"/>
      <c r="Q508" s="484"/>
      <c r="R508" s="485"/>
      <c r="S50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08" s="695">
        <f>IFERROR(Producción_Agricola[[#This Row],[Económico $Corrientes]]/Producción_Agricola[[#This Row],[Indexación Económico]],0)</f>
        <v>0</v>
      </c>
      <c r="U50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0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08" s="695">
        <f>IFERROR(Producción_Agricola[[#This Row],[Financiero $Corrientes]]/Producción_Agricola[[#This Row],[Indexación Financiero]],0)</f>
        <v>0</v>
      </c>
      <c r="X50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0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08" s="699">
        <f>IFERROR(Producción_Agricola[[#This Row],[Intereses $Corrientes]]/Producción_Agricola[[#This Row],[Indexación Financiero]],0)</f>
        <v>0</v>
      </c>
      <c r="AA50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08" s="701">
        <f>IFERROR(INDEX(Produccion_Agricola_Cuentas[],MATCH(Producción_Agricola[[#This Row],[Cuenta Contable]],Produccion_Agricola_Cuentas[Cuenta Contable],0),2),0)</f>
        <v>0</v>
      </c>
      <c r="AC508" s="702">
        <f>IFERROR(INDEX(Tabla9[],MATCH(Producción_Agricola[[#This Row],[Movimiento]],Tabla9[Movimientos],0),2),0)</f>
        <v>0</v>
      </c>
      <c r="AD508" s="703">
        <f>IFERROR(INDEX(Tabla9[],MATCH(Producción_Agricola[[#This Row],[Movimiento]],Tabla9[Movimientos],0),3),0)</f>
        <v>0</v>
      </c>
      <c r="AE508" s="698">
        <f>IF(Producción_Agricola[[#This Row],[Fecha Económico]]=0,0,MONTH(Producción_Agricola[[#This Row],[Fecha Económico]]))</f>
        <v>0</v>
      </c>
      <c r="AF508" s="699">
        <f>IF(Producción_Agricola[[#This Row],[Fecha Económico]]=0,0,YEAR(Producción_Agricola[[#This Row],[Fecha Económico]]))</f>
        <v>0</v>
      </c>
      <c r="AG508" s="704">
        <f>SUMPRODUCT((Producción_Agricola[[#This Row],[Mes Económico]]=Tipo_Cambio[Mes])*(Producción_Agricola[[#This Row],[Año Económico]]=Tipo_Cambio[Año])*(Tipo_Cambio[$/U$S]))</f>
        <v>0</v>
      </c>
      <c r="AH508" s="703">
        <f>SUMPRODUCT((Producción_Agricola[[#This Row],[Mes Económico]]=Tipo_Cambio[Mes])*(Producción_Agricola[[#This Row],[Año Económico]]=Tipo_Cambio[Año])*(Tipo_Cambio[Actualización]))</f>
        <v>0</v>
      </c>
      <c r="AI508" s="699">
        <f>IF(ISNUMBER(Producción_Agricola[[#This Row],[Fecha Financiero]])=TRUE,MONTH(Producción_Agricola[[#This Row],[Fecha Financiero]]),0)</f>
        <v>0</v>
      </c>
      <c r="AJ508" s="699">
        <f>IF(ISNUMBER(Producción_Agricola[[#This Row],[Fecha Financiero]])=TRUE,YEAR(Producción_Agricola[[#This Row],[Fecha Financiero]]),0)</f>
        <v>0</v>
      </c>
      <c r="AK508" s="704">
        <f>SUMPRODUCT((Producción_Agricola[[#This Row],[Mes Financiero]]=Tipo_Cambio[Mes])*(Producción_Agricola[[#This Row],[Año Financiero]]=Tipo_Cambio[Año])*(Tipo_Cambio[$/U$S]))</f>
        <v>0</v>
      </c>
      <c r="AL508" s="704">
        <f>SUMPRODUCT((Producción_Agricola[[#This Row],[Mes Financiero]]=Tipo_Cambio[Mes])*(Producción_Agricola[[#This Row],[Año Financiero]]=Tipo_Cambio[Año])*(Tipo_Cambio[Actualización]))</f>
        <v>0</v>
      </c>
      <c r="AM508" s="709">
        <f>IFERROR(Producción_Agricola[[#This Row],[Económico $Corrientes]]/Producción_Agricola[[#This Row],[Superficie]],0)</f>
        <v>0</v>
      </c>
      <c r="AN508" s="712">
        <f>IFERROR(Producción_Agricola[[#This Row],[Económico $Constantes]]/Producción_Agricola[[#This Row],[Superficie]],0)</f>
        <v>0</v>
      </c>
      <c r="AO508" s="712">
        <f>IFERROR(Producción_Agricola[[#This Row],[Económico U$S Dólares]]/Producción_Agricola[[#This Row],[Superficie]],0)</f>
        <v>0</v>
      </c>
      <c r="AP508" s="711">
        <f>IF(Económico!$F$4=0,0,Producción_Agricola[[#This Row],[Centro de Costo]])</f>
        <v>0</v>
      </c>
      <c r="AQ508" s="512"/>
      <c r="AR508" s="513"/>
      <c r="AS508"/>
    </row>
    <row r="509" spans="1:45" x14ac:dyDescent="0.25">
      <c r="A509" s="509"/>
      <c r="B509" s="494"/>
      <c r="C509" s="509"/>
      <c r="D509" s="478"/>
      <c r="E509" s="478"/>
      <c r="F509" s="668">
        <f t="shared" si="65"/>
        <v>0</v>
      </c>
      <c r="G509" s="673">
        <f t="shared" si="66"/>
        <v>0</v>
      </c>
      <c r="H509" s="673">
        <f t="shared" si="67"/>
        <v>0</v>
      </c>
      <c r="I509" s="675">
        <f>IFERROR(INDEX(Tabla8[],MATCH(Producción_Agricola[[#This Row],[Unidad de Negocio]],Tabla8[Unidades de Negocio],0),2),0)</f>
        <v>0</v>
      </c>
      <c r="J50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09" s="488"/>
      <c r="L509" s="482"/>
      <c r="M509" s="483"/>
      <c r="N509" s="484"/>
      <c r="O509" s="690">
        <f>Producción_Agricola[[#This Row],[Superficie]]*Producción_Agricola[[#This Row],[Cantidad]]</f>
        <v>0</v>
      </c>
      <c r="P509" s="482"/>
      <c r="Q509" s="484"/>
      <c r="R509" s="485"/>
      <c r="S50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09" s="695">
        <f>IFERROR(Producción_Agricola[[#This Row],[Económico $Corrientes]]/Producción_Agricola[[#This Row],[Indexación Económico]],0)</f>
        <v>0</v>
      </c>
      <c r="U50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0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09" s="695">
        <f>IFERROR(Producción_Agricola[[#This Row],[Financiero $Corrientes]]/Producción_Agricola[[#This Row],[Indexación Financiero]],0)</f>
        <v>0</v>
      </c>
      <c r="X50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0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09" s="699">
        <f>IFERROR(Producción_Agricola[[#This Row],[Intereses $Corrientes]]/Producción_Agricola[[#This Row],[Indexación Financiero]],0)</f>
        <v>0</v>
      </c>
      <c r="AA50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09" s="701">
        <f>IFERROR(INDEX(Produccion_Agricola_Cuentas[],MATCH(Producción_Agricola[[#This Row],[Cuenta Contable]],Produccion_Agricola_Cuentas[Cuenta Contable],0),2),0)</f>
        <v>0</v>
      </c>
      <c r="AC509" s="702">
        <f>IFERROR(INDEX(Tabla9[],MATCH(Producción_Agricola[[#This Row],[Movimiento]],Tabla9[Movimientos],0),2),0)</f>
        <v>0</v>
      </c>
      <c r="AD509" s="703">
        <f>IFERROR(INDEX(Tabla9[],MATCH(Producción_Agricola[[#This Row],[Movimiento]],Tabla9[Movimientos],0),3),0)</f>
        <v>0</v>
      </c>
      <c r="AE509" s="698">
        <f>IF(Producción_Agricola[[#This Row],[Fecha Económico]]=0,0,MONTH(Producción_Agricola[[#This Row],[Fecha Económico]]))</f>
        <v>0</v>
      </c>
      <c r="AF509" s="699">
        <f>IF(Producción_Agricola[[#This Row],[Fecha Económico]]=0,0,YEAR(Producción_Agricola[[#This Row],[Fecha Económico]]))</f>
        <v>0</v>
      </c>
      <c r="AG509" s="704">
        <f>SUMPRODUCT((Producción_Agricola[[#This Row],[Mes Económico]]=Tipo_Cambio[Mes])*(Producción_Agricola[[#This Row],[Año Económico]]=Tipo_Cambio[Año])*(Tipo_Cambio[$/U$S]))</f>
        <v>0</v>
      </c>
      <c r="AH509" s="703">
        <f>SUMPRODUCT((Producción_Agricola[[#This Row],[Mes Económico]]=Tipo_Cambio[Mes])*(Producción_Agricola[[#This Row],[Año Económico]]=Tipo_Cambio[Año])*(Tipo_Cambio[Actualización]))</f>
        <v>0</v>
      </c>
      <c r="AI509" s="699">
        <f>IF(ISNUMBER(Producción_Agricola[[#This Row],[Fecha Financiero]])=TRUE,MONTH(Producción_Agricola[[#This Row],[Fecha Financiero]]),0)</f>
        <v>0</v>
      </c>
      <c r="AJ509" s="699">
        <f>IF(ISNUMBER(Producción_Agricola[[#This Row],[Fecha Financiero]])=TRUE,YEAR(Producción_Agricola[[#This Row],[Fecha Financiero]]),0)</f>
        <v>0</v>
      </c>
      <c r="AK509" s="704">
        <f>SUMPRODUCT((Producción_Agricola[[#This Row],[Mes Financiero]]=Tipo_Cambio[Mes])*(Producción_Agricola[[#This Row],[Año Financiero]]=Tipo_Cambio[Año])*(Tipo_Cambio[$/U$S]))</f>
        <v>0</v>
      </c>
      <c r="AL509" s="704">
        <f>SUMPRODUCT((Producción_Agricola[[#This Row],[Mes Financiero]]=Tipo_Cambio[Mes])*(Producción_Agricola[[#This Row],[Año Financiero]]=Tipo_Cambio[Año])*(Tipo_Cambio[Actualización]))</f>
        <v>0</v>
      </c>
      <c r="AM509" s="709">
        <f>IFERROR(Producción_Agricola[[#This Row],[Económico $Corrientes]]/Producción_Agricola[[#This Row],[Superficie]],0)</f>
        <v>0</v>
      </c>
      <c r="AN509" s="712">
        <f>IFERROR(Producción_Agricola[[#This Row],[Económico $Constantes]]/Producción_Agricola[[#This Row],[Superficie]],0)</f>
        <v>0</v>
      </c>
      <c r="AO509" s="712">
        <f>IFERROR(Producción_Agricola[[#This Row],[Económico U$S Dólares]]/Producción_Agricola[[#This Row],[Superficie]],0)</f>
        <v>0</v>
      </c>
      <c r="AP509" s="711">
        <f>IF(Económico!$F$4=0,0,Producción_Agricola[[#This Row],[Centro de Costo]])</f>
        <v>0</v>
      </c>
      <c r="AQ509" s="512"/>
      <c r="AR509" s="513"/>
      <c r="AS509"/>
    </row>
    <row r="510" spans="1:45" x14ac:dyDescent="0.25">
      <c r="A510" s="509"/>
      <c r="B510" s="494"/>
      <c r="C510" s="509"/>
      <c r="D510" s="478"/>
      <c r="E510" s="478"/>
      <c r="F510" s="668">
        <f t="shared" si="65"/>
        <v>0</v>
      </c>
      <c r="G510" s="673">
        <f t="shared" si="66"/>
        <v>0</v>
      </c>
      <c r="H510" s="673">
        <f t="shared" si="67"/>
        <v>0</v>
      </c>
      <c r="I510" s="675">
        <f>IFERROR(INDEX(Tabla8[],MATCH(Producción_Agricola[[#This Row],[Unidad de Negocio]],Tabla8[Unidades de Negocio],0),2),0)</f>
        <v>0</v>
      </c>
      <c r="J51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10" s="488"/>
      <c r="L510" s="482"/>
      <c r="M510" s="483"/>
      <c r="N510" s="484"/>
      <c r="O510" s="690">
        <f>Producción_Agricola[[#This Row],[Superficie]]*Producción_Agricola[[#This Row],[Cantidad]]</f>
        <v>0</v>
      </c>
      <c r="P510" s="482"/>
      <c r="Q510" s="484"/>
      <c r="R510" s="485"/>
      <c r="S51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10" s="695">
        <f>IFERROR(Producción_Agricola[[#This Row],[Económico $Corrientes]]/Producción_Agricola[[#This Row],[Indexación Económico]],0)</f>
        <v>0</v>
      </c>
      <c r="U51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1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10" s="695">
        <f>IFERROR(Producción_Agricola[[#This Row],[Financiero $Corrientes]]/Producción_Agricola[[#This Row],[Indexación Financiero]],0)</f>
        <v>0</v>
      </c>
      <c r="X51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1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10" s="699">
        <f>IFERROR(Producción_Agricola[[#This Row],[Intereses $Corrientes]]/Producción_Agricola[[#This Row],[Indexación Financiero]],0)</f>
        <v>0</v>
      </c>
      <c r="AA51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10" s="701">
        <f>IFERROR(INDEX(Produccion_Agricola_Cuentas[],MATCH(Producción_Agricola[[#This Row],[Cuenta Contable]],Produccion_Agricola_Cuentas[Cuenta Contable],0),2),0)</f>
        <v>0</v>
      </c>
      <c r="AC510" s="702">
        <f>IFERROR(INDEX(Tabla9[],MATCH(Producción_Agricola[[#This Row],[Movimiento]],Tabla9[Movimientos],0),2),0)</f>
        <v>0</v>
      </c>
      <c r="AD510" s="703">
        <f>IFERROR(INDEX(Tabla9[],MATCH(Producción_Agricola[[#This Row],[Movimiento]],Tabla9[Movimientos],0),3),0)</f>
        <v>0</v>
      </c>
      <c r="AE510" s="698">
        <f>IF(Producción_Agricola[[#This Row],[Fecha Económico]]=0,0,MONTH(Producción_Agricola[[#This Row],[Fecha Económico]]))</f>
        <v>0</v>
      </c>
      <c r="AF510" s="699">
        <f>IF(Producción_Agricola[[#This Row],[Fecha Económico]]=0,0,YEAR(Producción_Agricola[[#This Row],[Fecha Económico]]))</f>
        <v>0</v>
      </c>
      <c r="AG510" s="704">
        <f>SUMPRODUCT((Producción_Agricola[[#This Row],[Mes Económico]]=Tipo_Cambio[Mes])*(Producción_Agricola[[#This Row],[Año Económico]]=Tipo_Cambio[Año])*(Tipo_Cambio[$/U$S]))</f>
        <v>0</v>
      </c>
      <c r="AH510" s="703">
        <f>SUMPRODUCT((Producción_Agricola[[#This Row],[Mes Económico]]=Tipo_Cambio[Mes])*(Producción_Agricola[[#This Row],[Año Económico]]=Tipo_Cambio[Año])*(Tipo_Cambio[Actualización]))</f>
        <v>0</v>
      </c>
      <c r="AI510" s="699">
        <f>IF(ISNUMBER(Producción_Agricola[[#This Row],[Fecha Financiero]])=TRUE,MONTH(Producción_Agricola[[#This Row],[Fecha Financiero]]),0)</f>
        <v>0</v>
      </c>
      <c r="AJ510" s="699">
        <f>IF(ISNUMBER(Producción_Agricola[[#This Row],[Fecha Financiero]])=TRUE,YEAR(Producción_Agricola[[#This Row],[Fecha Financiero]]),0)</f>
        <v>0</v>
      </c>
      <c r="AK510" s="704">
        <f>SUMPRODUCT((Producción_Agricola[[#This Row],[Mes Financiero]]=Tipo_Cambio[Mes])*(Producción_Agricola[[#This Row],[Año Financiero]]=Tipo_Cambio[Año])*(Tipo_Cambio[$/U$S]))</f>
        <v>0</v>
      </c>
      <c r="AL510" s="704">
        <f>SUMPRODUCT((Producción_Agricola[[#This Row],[Mes Financiero]]=Tipo_Cambio[Mes])*(Producción_Agricola[[#This Row],[Año Financiero]]=Tipo_Cambio[Año])*(Tipo_Cambio[Actualización]))</f>
        <v>0</v>
      </c>
      <c r="AM510" s="709">
        <f>IFERROR(Producción_Agricola[[#This Row],[Económico $Corrientes]]/Producción_Agricola[[#This Row],[Superficie]],0)</f>
        <v>0</v>
      </c>
      <c r="AN510" s="712">
        <f>IFERROR(Producción_Agricola[[#This Row],[Económico $Constantes]]/Producción_Agricola[[#This Row],[Superficie]],0)</f>
        <v>0</v>
      </c>
      <c r="AO510" s="712">
        <f>IFERROR(Producción_Agricola[[#This Row],[Económico U$S Dólares]]/Producción_Agricola[[#This Row],[Superficie]],0)</f>
        <v>0</v>
      </c>
      <c r="AP510" s="711">
        <f>IF(Económico!$F$4=0,0,Producción_Agricola[[#This Row],[Centro de Costo]])</f>
        <v>0</v>
      </c>
      <c r="AQ510" s="512"/>
      <c r="AR510" s="513"/>
      <c r="AS510"/>
    </row>
    <row r="511" spans="1:45" x14ac:dyDescent="0.25">
      <c r="A511" s="509"/>
      <c r="B511" s="494"/>
      <c r="C511" s="509"/>
      <c r="D511" s="478"/>
      <c r="E511" s="478"/>
      <c r="F511" s="668">
        <f t="shared" si="65"/>
        <v>0</v>
      </c>
      <c r="G511" s="673">
        <f t="shared" si="66"/>
        <v>0</v>
      </c>
      <c r="H511" s="673">
        <f t="shared" si="67"/>
        <v>0</v>
      </c>
      <c r="I511" s="675">
        <f>IFERROR(INDEX(Tabla8[],MATCH(Producción_Agricola[[#This Row],[Unidad de Negocio]],Tabla8[Unidades de Negocio],0),2),0)</f>
        <v>0</v>
      </c>
      <c r="J51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11" s="488"/>
      <c r="L511" s="482"/>
      <c r="M511" s="483"/>
      <c r="N511" s="484"/>
      <c r="O511" s="690">
        <f>Producción_Agricola[[#This Row],[Superficie]]*Producción_Agricola[[#This Row],[Cantidad]]</f>
        <v>0</v>
      </c>
      <c r="P511" s="482"/>
      <c r="Q511" s="484"/>
      <c r="R511" s="485"/>
      <c r="S51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11" s="695">
        <f>IFERROR(Producción_Agricola[[#This Row],[Económico $Corrientes]]/Producción_Agricola[[#This Row],[Indexación Económico]],0)</f>
        <v>0</v>
      </c>
      <c r="U51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1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11" s="695">
        <f>IFERROR(Producción_Agricola[[#This Row],[Financiero $Corrientes]]/Producción_Agricola[[#This Row],[Indexación Financiero]],0)</f>
        <v>0</v>
      </c>
      <c r="X51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1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11" s="699">
        <f>IFERROR(Producción_Agricola[[#This Row],[Intereses $Corrientes]]/Producción_Agricola[[#This Row],[Indexación Financiero]],0)</f>
        <v>0</v>
      </c>
      <c r="AA51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11" s="701">
        <f>IFERROR(INDEX(Produccion_Agricola_Cuentas[],MATCH(Producción_Agricola[[#This Row],[Cuenta Contable]],Produccion_Agricola_Cuentas[Cuenta Contable],0),2),0)</f>
        <v>0</v>
      </c>
      <c r="AC511" s="702">
        <f>IFERROR(INDEX(Tabla9[],MATCH(Producción_Agricola[[#This Row],[Movimiento]],Tabla9[Movimientos],0),2),0)</f>
        <v>0</v>
      </c>
      <c r="AD511" s="703">
        <f>IFERROR(INDEX(Tabla9[],MATCH(Producción_Agricola[[#This Row],[Movimiento]],Tabla9[Movimientos],0),3),0)</f>
        <v>0</v>
      </c>
      <c r="AE511" s="698">
        <f>IF(Producción_Agricola[[#This Row],[Fecha Económico]]=0,0,MONTH(Producción_Agricola[[#This Row],[Fecha Económico]]))</f>
        <v>0</v>
      </c>
      <c r="AF511" s="699">
        <f>IF(Producción_Agricola[[#This Row],[Fecha Económico]]=0,0,YEAR(Producción_Agricola[[#This Row],[Fecha Económico]]))</f>
        <v>0</v>
      </c>
      <c r="AG511" s="704">
        <f>SUMPRODUCT((Producción_Agricola[[#This Row],[Mes Económico]]=Tipo_Cambio[Mes])*(Producción_Agricola[[#This Row],[Año Económico]]=Tipo_Cambio[Año])*(Tipo_Cambio[$/U$S]))</f>
        <v>0</v>
      </c>
      <c r="AH511" s="703">
        <f>SUMPRODUCT((Producción_Agricola[[#This Row],[Mes Económico]]=Tipo_Cambio[Mes])*(Producción_Agricola[[#This Row],[Año Económico]]=Tipo_Cambio[Año])*(Tipo_Cambio[Actualización]))</f>
        <v>0</v>
      </c>
      <c r="AI511" s="699">
        <f>IF(ISNUMBER(Producción_Agricola[[#This Row],[Fecha Financiero]])=TRUE,MONTH(Producción_Agricola[[#This Row],[Fecha Financiero]]),0)</f>
        <v>0</v>
      </c>
      <c r="AJ511" s="699">
        <f>IF(ISNUMBER(Producción_Agricola[[#This Row],[Fecha Financiero]])=TRUE,YEAR(Producción_Agricola[[#This Row],[Fecha Financiero]]),0)</f>
        <v>0</v>
      </c>
      <c r="AK511" s="704">
        <f>SUMPRODUCT((Producción_Agricola[[#This Row],[Mes Financiero]]=Tipo_Cambio[Mes])*(Producción_Agricola[[#This Row],[Año Financiero]]=Tipo_Cambio[Año])*(Tipo_Cambio[$/U$S]))</f>
        <v>0</v>
      </c>
      <c r="AL511" s="704">
        <f>SUMPRODUCT((Producción_Agricola[[#This Row],[Mes Financiero]]=Tipo_Cambio[Mes])*(Producción_Agricola[[#This Row],[Año Financiero]]=Tipo_Cambio[Año])*(Tipo_Cambio[Actualización]))</f>
        <v>0</v>
      </c>
      <c r="AM511" s="709">
        <f>IFERROR(Producción_Agricola[[#This Row],[Económico $Corrientes]]/Producción_Agricola[[#This Row],[Superficie]],0)</f>
        <v>0</v>
      </c>
      <c r="AN511" s="712">
        <f>IFERROR(Producción_Agricola[[#This Row],[Económico $Constantes]]/Producción_Agricola[[#This Row],[Superficie]],0)</f>
        <v>0</v>
      </c>
      <c r="AO511" s="712">
        <f>IFERROR(Producción_Agricola[[#This Row],[Económico U$S Dólares]]/Producción_Agricola[[#This Row],[Superficie]],0)</f>
        <v>0</v>
      </c>
      <c r="AP511" s="711">
        <f>IF(Económico!$F$4=0,0,Producción_Agricola[[#This Row],[Centro de Costo]])</f>
        <v>0</v>
      </c>
      <c r="AQ511" s="512"/>
      <c r="AR511" s="513"/>
      <c r="AS511"/>
    </row>
    <row r="512" spans="1:45" x14ac:dyDescent="0.25">
      <c r="A512" s="509"/>
      <c r="B512" s="494"/>
      <c r="C512" s="509"/>
      <c r="D512" s="478"/>
      <c r="E512" s="478"/>
      <c r="F512" s="668">
        <f t="shared" si="65"/>
        <v>0</v>
      </c>
      <c r="G512" s="673">
        <f t="shared" si="66"/>
        <v>0</v>
      </c>
      <c r="H512" s="673">
        <f t="shared" si="67"/>
        <v>0</v>
      </c>
      <c r="I512" s="675">
        <f>IFERROR(INDEX(Tabla8[],MATCH(Producción_Agricola[[#This Row],[Unidad de Negocio]],Tabla8[Unidades de Negocio],0),2),0)</f>
        <v>0</v>
      </c>
      <c r="J51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12" s="488"/>
      <c r="L512" s="482"/>
      <c r="M512" s="483"/>
      <c r="N512" s="484"/>
      <c r="O512" s="690">
        <f>Producción_Agricola[[#This Row],[Superficie]]*Producción_Agricola[[#This Row],[Cantidad]]</f>
        <v>0</v>
      </c>
      <c r="P512" s="482"/>
      <c r="Q512" s="484"/>
      <c r="R512" s="485"/>
      <c r="S51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12" s="695">
        <f>IFERROR(Producción_Agricola[[#This Row],[Económico $Corrientes]]/Producción_Agricola[[#This Row],[Indexación Económico]],0)</f>
        <v>0</v>
      </c>
      <c r="U51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1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12" s="695">
        <f>IFERROR(Producción_Agricola[[#This Row],[Financiero $Corrientes]]/Producción_Agricola[[#This Row],[Indexación Financiero]],0)</f>
        <v>0</v>
      </c>
      <c r="X51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1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12" s="699">
        <f>IFERROR(Producción_Agricola[[#This Row],[Intereses $Corrientes]]/Producción_Agricola[[#This Row],[Indexación Financiero]],0)</f>
        <v>0</v>
      </c>
      <c r="AA51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12" s="701">
        <f>IFERROR(INDEX(Produccion_Agricola_Cuentas[],MATCH(Producción_Agricola[[#This Row],[Cuenta Contable]],Produccion_Agricola_Cuentas[Cuenta Contable],0),2),0)</f>
        <v>0</v>
      </c>
      <c r="AC512" s="702">
        <f>IFERROR(INDEX(Tabla9[],MATCH(Producción_Agricola[[#This Row],[Movimiento]],Tabla9[Movimientos],0),2),0)</f>
        <v>0</v>
      </c>
      <c r="AD512" s="703">
        <f>IFERROR(INDEX(Tabla9[],MATCH(Producción_Agricola[[#This Row],[Movimiento]],Tabla9[Movimientos],0),3),0)</f>
        <v>0</v>
      </c>
      <c r="AE512" s="698">
        <f>IF(Producción_Agricola[[#This Row],[Fecha Económico]]=0,0,MONTH(Producción_Agricola[[#This Row],[Fecha Económico]]))</f>
        <v>0</v>
      </c>
      <c r="AF512" s="699">
        <f>IF(Producción_Agricola[[#This Row],[Fecha Económico]]=0,0,YEAR(Producción_Agricola[[#This Row],[Fecha Económico]]))</f>
        <v>0</v>
      </c>
      <c r="AG512" s="704">
        <f>SUMPRODUCT((Producción_Agricola[[#This Row],[Mes Económico]]=Tipo_Cambio[Mes])*(Producción_Agricola[[#This Row],[Año Económico]]=Tipo_Cambio[Año])*(Tipo_Cambio[$/U$S]))</f>
        <v>0</v>
      </c>
      <c r="AH512" s="703">
        <f>SUMPRODUCT((Producción_Agricola[[#This Row],[Mes Económico]]=Tipo_Cambio[Mes])*(Producción_Agricola[[#This Row],[Año Económico]]=Tipo_Cambio[Año])*(Tipo_Cambio[Actualización]))</f>
        <v>0</v>
      </c>
      <c r="AI512" s="699">
        <f>IF(ISNUMBER(Producción_Agricola[[#This Row],[Fecha Financiero]])=TRUE,MONTH(Producción_Agricola[[#This Row],[Fecha Financiero]]),0)</f>
        <v>0</v>
      </c>
      <c r="AJ512" s="699">
        <f>IF(ISNUMBER(Producción_Agricola[[#This Row],[Fecha Financiero]])=TRUE,YEAR(Producción_Agricola[[#This Row],[Fecha Financiero]]),0)</f>
        <v>0</v>
      </c>
      <c r="AK512" s="704">
        <f>SUMPRODUCT((Producción_Agricola[[#This Row],[Mes Financiero]]=Tipo_Cambio[Mes])*(Producción_Agricola[[#This Row],[Año Financiero]]=Tipo_Cambio[Año])*(Tipo_Cambio[$/U$S]))</f>
        <v>0</v>
      </c>
      <c r="AL512" s="704">
        <f>SUMPRODUCT((Producción_Agricola[[#This Row],[Mes Financiero]]=Tipo_Cambio[Mes])*(Producción_Agricola[[#This Row],[Año Financiero]]=Tipo_Cambio[Año])*(Tipo_Cambio[Actualización]))</f>
        <v>0</v>
      </c>
      <c r="AM512" s="709">
        <f>IFERROR(Producción_Agricola[[#This Row],[Económico $Corrientes]]/Producción_Agricola[[#This Row],[Superficie]],0)</f>
        <v>0</v>
      </c>
      <c r="AN512" s="712">
        <f>IFERROR(Producción_Agricola[[#This Row],[Económico $Constantes]]/Producción_Agricola[[#This Row],[Superficie]],0)</f>
        <v>0</v>
      </c>
      <c r="AO512" s="712">
        <f>IFERROR(Producción_Agricola[[#This Row],[Económico U$S Dólares]]/Producción_Agricola[[#This Row],[Superficie]],0)</f>
        <v>0</v>
      </c>
      <c r="AP512" s="711">
        <f>IF(Económico!$F$4=0,0,Producción_Agricola[[#This Row],[Centro de Costo]])</f>
        <v>0</v>
      </c>
      <c r="AQ512" s="512"/>
      <c r="AR512" s="513"/>
      <c r="AS512"/>
    </row>
    <row r="513" spans="1:45" x14ac:dyDescent="0.25">
      <c r="A513" s="509"/>
      <c r="B513" s="494"/>
      <c r="C513" s="509"/>
      <c r="D513" s="478"/>
      <c r="E513" s="478"/>
      <c r="F513" s="668">
        <f t="shared" si="65"/>
        <v>0</v>
      </c>
      <c r="G513" s="673">
        <f t="shared" si="66"/>
        <v>0</v>
      </c>
      <c r="H513" s="673">
        <f t="shared" si="67"/>
        <v>0</v>
      </c>
      <c r="I513" s="675">
        <f>IFERROR(INDEX(Tabla8[],MATCH(Producción_Agricola[[#This Row],[Unidad de Negocio]],Tabla8[Unidades de Negocio],0),2),0)</f>
        <v>0</v>
      </c>
      <c r="J51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13" s="488"/>
      <c r="L513" s="482"/>
      <c r="M513" s="483"/>
      <c r="N513" s="484"/>
      <c r="O513" s="690">
        <f>Producción_Agricola[[#This Row],[Superficie]]*Producción_Agricola[[#This Row],[Cantidad]]</f>
        <v>0</v>
      </c>
      <c r="P513" s="482"/>
      <c r="Q513" s="484"/>
      <c r="R513" s="485"/>
      <c r="S51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13" s="695">
        <f>IFERROR(Producción_Agricola[[#This Row],[Económico $Corrientes]]/Producción_Agricola[[#This Row],[Indexación Económico]],0)</f>
        <v>0</v>
      </c>
      <c r="U51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1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13" s="695">
        <f>IFERROR(Producción_Agricola[[#This Row],[Financiero $Corrientes]]/Producción_Agricola[[#This Row],[Indexación Financiero]],0)</f>
        <v>0</v>
      </c>
      <c r="X51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1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13" s="699">
        <f>IFERROR(Producción_Agricola[[#This Row],[Intereses $Corrientes]]/Producción_Agricola[[#This Row],[Indexación Financiero]],0)</f>
        <v>0</v>
      </c>
      <c r="AA51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13" s="701">
        <f>IFERROR(INDEX(Produccion_Agricola_Cuentas[],MATCH(Producción_Agricola[[#This Row],[Cuenta Contable]],Produccion_Agricola_Cuentas[Cuenta Contable],0),2),0)</f>
        <v>0</v>
      </c>
      <c r="AC513" s="702">
        <f>IFERROR(INDEX(Tabla9[],MATCH(Producción_Agricola[[#This Row],[Movimiento]],Tabla9[Movimientos],0),2),0)</f>
        <v>0</v>
      </c>
      <c r="AD513" s="703">
        <f>IFERROR(INDEX(Tabla9[],MATCH(Producción_Agricola[[#This Row],[Movimiento]],Tabla9[Movimientos],0),3),0)</f>
        <v>0</v>
      </c>
      <c r="AE513" s="698">
        <f>IF(Producción_Agricola[[#This Row],[Fecha Económico]]=0,0,MONTH(Producción_Agricola[[#This Row],[Fecha Económico]]))</f>
        <v>0</v>
      </c>
      <c r="AF513" s="699">
        <f>IF(Producción_Agricola[[#This Row],[Fecha Económico]]=0,0,YEAR(Producción_Agricola[[#This Row],[Fecha Económico]]))</f>
        <v>0</v>
      </c>
      <c r="AG513" s="704">
        <f>SUMPRODUCT((Producción_Agricola[[#This Row],[Mes Económico]]=Tipo_Cambio[Mes])*(Producción_Agricola[[#This Row],[Año Económico]]=Tipo_Cambio[Año])*(Tipo_Cambio[$/U$S]))</f>
        <v>0</v>
      </c>
      <c r="AH513" s="703">
        <f>SUMPRODUCT((Producción_Agricola[[#This Row],[Mes Económico]]=Tipo_Cambio[Mes])*(Producción_Agricola[[#This Row],[Año Económico]]=Tipo_Cambio[Año])*(Tipo_Cambio[Actualización]))</f>
        <v>0</v>
      </c>
      <c r="AI513" s="699">
        <f>IF(ISNUMBER(Producción_Agricola[[#This Row],[Fecha Financiero]])=TRUE,MONTH(Producción_Agricola[[#This Row],[Fecha Financiero]]),0)</f>
        <v>0</v>
      </c>
      <c r="AJ513" s="699">
        <f>IF(ISNUMBER(Producción_Agricola[[#This Row],[Fecha Financiero]])=TRUE,YEAR(Producción_Agricola[[#This Row],[Fecha Financiero]]),0)</f>
        <v>0</v>
      </c>
      <c r="AK513" s="704">
        <f>SUMPRODUCT((Producción_Agricola[[#This Row],[Mes Financiero]]=Tipo_Cambio[Mes])*(Producción_Agricola[[#This Row],[Año Financiero]]=Tipo_Cambio[Año])*(Tipo_Cambio[$/U$S]))</f>
        <v>0</v>
      </c>
      <c r="AL513" s="704">
        <f>SUMPRODUCT((Producción_Agricola[[#This Row],[Mes Financiero]]=Tipo_Cambio[Mes])*(Producción_Agricola[[#This Row],[Año Financiero]]=Tipo_Cambio[Año])*(Tipo_Cambio[Actualización]))</f>
        <v>0</v>
      </c>
      <c r="AM513" s="709">
        <f>IFERROR(Producción_Agricola[[#This Row],[Económico $Corrientes]]/Producción_Agricola[[#This Row],[Superficie]],0)</f>
        <v>0</v>
      </c>
      <c r="AN513" s="712">
        <f>IFERROR(Producción_Agricola[[#This Row],[Económico $Constantes]]/Producción_Agricola[[#This Row],[Superficie]],0)</f>
        <v>0</v>
      </c>
      <c r="AO513" s="712">
        <f>IFERROR(Producción_Agricola[[#This Row],[Económico U$S Dólares]]/Producción_Agricola[[#This Row],[Superficie]],0)</f>
        <v>0</v>
      </c>
      <c r="AP513" s="711">
        <f>IF(Económico!$F$4=0,0,Producción_Agricola[[#This Row],[Centro de Costo]])</f>
        <v>0</v>
      </c>
      <c r="AQ513" s="512"/>
      <c r="AR513" s="513"/>
      <c r="AS513"/>
    </row>
    <row r="514" spans="1:45" x14ac:dyDescent="0.25">
      <c r="A514" s="509"/>
      <c r="B514" s="494"/>
      <c r="C514" s="509"/>
      <c r="D514" s="478"/>
      <c r="E514" s="478"/>
      <c r="F514" s="668">
        <f t="shared" si="65"/>
        <v>0</v>
      </c>
      <c r="G514" s="673">
        <f t="shared" si="66"/>
        <v>0</v>
      </c>
      <c r="H514" s="673">
        <f t="shared" si="67"/>
        <v>0</v>
      </c>
      <c r="I514" s="675">
        <f>IFERROR(INDEX(Tabla8[],MATCH(Producción_Agricola[[#This Row],[Unidad de Negocio]],Tabla8[Unidades de Negocio],0),2),0)</f>
        <v>0</v>
      </c>
      <c r="J51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14" s="488"/>
      <c r="L514" s="482"/>
      <c r="M514" s="483"/>
      <c r="N514" s="484"/>
      <c r="O514" s="690">
        <f>Producción_Agricola[[#This Row],[Superficie]]*Producción_Agricola[[#This Row],[Cantidad]]</f>
        <v>0</v>
      </c>
      <c r="P514" s="482"/>
      <c r="Q514" s="484"/>
      <c r="R514" s="485"/>
      <c r="S51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14" s="695">
        <f>IFERROR(Producción_Agricola[[#This Row],[Económico $Corrientes]]/Producción_Agricola[[#This Row],[Indexación Económico]],0)</f>
        <v>0</v>
      </c>
      <c r="U51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1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14" s="695">
        <f>IFERROR(Producción_Agricola[[#This Row],[Financiero $Corrientes]]/Producción_Agricola[[#This Row],[Indexación Financiero]],0)</f>
        <v>0</v>
      </c>
      <c r="X51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1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14" s="699">
        <f>IFERROR(Producción_Agricola[[#This Row],[Intereses $Corrientes]]/Producción_Agricola[[#This Row],[Indexación Financiero]],0)</f>
        <v>0</v>
      </c>
      <c r="AA51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14" s="701">
        <f>IFERROR(INDEX(Produccion_Agricola_Cuentas[],MATCH(Producción_Agricola[[#This Row],[Cuenta Contable]],Produccion_Agricola_Cuentas[Cuenta Contable],0),2),0)</f>
        <v>0</v>
      </c>
      <c r="AC514" s="702">
        <f>IFERROR(INDEX(Tabla9[],MATCH(Producción_Agricola[[#This Row],[Movimiento]],Tabla9[Movimientos],0),2),0)</f>
        <v>0</v>
      </c>
      <c r="AD514" s="703">
        <f>IFERROR(INDEX(Tabla9[],MATCH(Producción_Agricola[[#This Row],[Movimiento]],Tabla9[Movimientos],0),3),0)</f>
        <v>0</v>
      </c>
      <c r="AE514" s="698">
        <f>IF(Producción_Agricola[[#This Row],[Fecha Económico]]=0,0,MONTH(Producción_Agricola[[#This Row],[Fecha Económico]]))</f>
        <v>0</v>
      </c>
      <c r="AF514" s="699">
        <f>IF(Producción_Agricola[[#This Row],[Fecha Económico]]=0,0,YEAR(Producción_Agricola[[#This Row],[Fecha Económico]]))</f>
        <v>0</v>
      </c>
      <c r="AG514" s="704">
        <f>SUMPRODUCT((Producción_Agricola[[#This Row],[Mes Económico]]=Tipo_Cambio[Mes])*(Producción_Agricola[[#This Row],[Año Económico]]=Tipo_Cambio[Año])*(Tipo_Cambio[$/U$S]))</f>
        <v>0</v>
      </c>
      <c r="AH514" s="703">
        <f>SUMPRODUCT((Producción_Agricola[[#This Row],[Mes Económico]]=Tipo_Cambio[Mes])*(Producción_Agricola[[#This Row],[Año Económico]]=Tipo_Cambio[Año])*(Tipo_Cambio[Actualización]))</f>
        <v>0</v>
      </c>
      <c r="AI514" s="699">
        <f>IF(ISNUMBER(Producción_Agricola[[#This Row],[Fecha Financiero]])=TRUE,MONTH(Producción_Agricola[[#This Row],[Fecha Financiero]]),0)</f>
        <v>0</v>
      </c>
      <c r="AJ514" s="699">
        <f>IF(ISNUMBER(Producción_Agricola[[#This Row],[Fecha Financiero]])=TRUE,YEAR(Producción_Agricola[[#This Row],[Fecha Financiero]]),0)</f>
        <v>0</v>
      </c>
      <c r="AK514" s="704">
        <f>SUMPRODUCT((Producción_Agricola[[#This Row],[Mes Financiero]]=Tipo_Cambio[Mes])*(Producción_Agricola[[#This Row],[Año Financiero]]=Tipo_Cambio[Año])*(Tipo_Cambio[$/U$S]))</f>
        <v>0</v>
      </c>
      <c r="AL514" s="704">
        <f>SUMPRODUCT((Producción_Agricola[[#This Row],[Mes Financiero]]=Tipo_Cambio[Mes])*(Producción_Agricola[[#This Row],[Año Financiero]]=Tipo_Cambio[Año])*(Tipo_Cambio[Actualización]))</f>
        <v>0</v>
      </c>
      <c r="AM514" s="709">
        <f>IFERROR(Producción_Agricola[[#This Row],[Económico $Corrientes]]/Producción_Agricola[[#This Row],[Superficie]],0)</f>
        <v>0</v>
      </c>
      <c r="AN514" s="712">
        <f>IFERROR(Producción_Agricola[[#This Row],[Económico $Constantes]]/Producción_Agricola[[#This Row],[Superficie]],0)</f>
        <v>0</v>
      </c>
      <c r="AO514" s="712">
        <f>IFERROR(Producción_Agricola[[#This Row],[Económico U$S Dólares]]/Producción_Agricola[[#This Row],[Superficie]],0)</f>
        <v>0</v>
      </c>
      <c r="AP514" s="711">
        <f>IF(Económico!$F$4=0,0,Producción_Agricola[[#This Row],[Centro de Costo]])</f>
        <v>0</v>
      </c>
      <c r="AQ514" s="512"/>
      <c r="AR514" s="513"/>
      <c r="AS514"/>
    </row>
    <row r="515" spans="1:45" x14ac:dyDescent="0.25">
      <c r="A515" s="509"/>
      <c r="B515" s="494"/>
      <c r="C515" s="509"/>
      <c r="D515" s="478"/>
      <c r="E515" s="478"/>
      <c r="F515" s="668">
        <f t="shared" si="65"/>
        <v>0</v>
      </c>
      <c r="G515" s="673">
        <f t="shared" si="66"/>
        <v>0</v>
      </c>
      <c r="H515" s="673">
        <f t="shared" si="67"/>
        <v>0</v>
      </c>
      <c r="I515" s="675">
        <f>IFERROR(INDEX(Tabla8[],MATCH(Producción_Agricola[[#This Row],[Unidad de Negocio]],Tabla8[Unidades de Negocio],0),2),0)</f>
        <v>0</v>
      </c>
      <c r="J51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15" s="488"/>
      <c r="L515" s="482"/>
      <c r="M515" s="483"/>
      <c r="N515" s="484"/>
      <c r="O515" s="690">
        <f>Producción_Agricola[[#This Row],[Superficie]]*Producción_Agricola[[#This Row],[Cantidad]]</f>
        <v>0</v>
      </c>
      <c r="P515" s="482"/>
      <c r="Q515" s="484"/>
      <c r="R515" s="485"/>
      <c r="S51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15" s="695">
        <f>IFERROR(Producción_Agricola[[#This Row],[Económico $Corrientes]]/Producción_Agricola[[#This Row],[Indexación Económico]],0)</f>
        <v>0</v>
      </c>
      <c r="U51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1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15" s="695">
        <f>IFERROR(Producción_Agricola[[#This Row],[Financiero $Corrientes]]/Producción_Agricola[[#This Row],[Indexación Financiero]],0)</f>
        <v>0</v>
      </c>
      <c r="X51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1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15" s="699">
        <f>IFERROR(Producción_Agricola[[#This Row],[Intereses $Corrientes]]/Producción_Agricola[[#This Row],[Indexación Financiero]],0)</f>
        <v>0</v>
      </c>
      <c r="AA51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15" s="701">
        <f>IFERROR(INDEX(Produccion_Agricola_Cuentas[],MATCH(Producción_Agricola[[#This Row],[Cuenta Contable]],Produccion_Agricola_Cuentas[Cuenta Contable],0),2),0)</f>
        <v>0</v>
      </c>
      <c r="AC515" s="702">
        <f>IFERROR(INDEX(Tabla9[],MATCH(Producción_Agricola[[#This Row],[Movimiento]],Tabla9[Movimientos],0),2),0)</f>
        <v>0</v>
      </c>
      <c r="AD515" s="703">
        <f>IFERROR(INDEX(Tabla9[],MATCH(Producción_Agricola[[#This Row],[Movimiento]],Tabla9[Movimientos],0),3),0)</f>
        <v>0</v>
      </c>
      <c r="AE515" s="698">
        <f>IF(Producción_Agricola[[#This Row],[Fecha Económico]]=0,0,MONTH(Producción_Agricola[[#This Row],[Fecha Económico]]))</f>
        <v>0</v>
      </c>
      <c r="AF515" s="699">
        <f>IF(Producción_Agricola[[#This Row],[Fecha Económico]]=0,0,YEAR(Producción_Agricola[[#This Row],[Fecha Económico]]))</f>
        <v>0</v>
      </c>
      <c r="AG515" s="704">
        <f>SUMPRODUCT((Producción_Agricola[[#This Row],[Mes Económico]]=Tipo_Cambio[Mes])*(Producción_Agricola[[#This Row],[Año Económico]]=Tipo_Cambio[Año])*(Tipo_Cambio[$/U$S]))</f>
        <v>0</v>
      </c>
      <c r="AH515" s="703">
        <f>SUMPRODUCT((Producción_Agricola[[#This Row],[Mes Económico]]=Tipo_Cambio[Mes])*(Producción_Agricola[[#This Row],[Año Económico]]=Tipo_Cambio[Año])*(Tipo_Cambio[Actualización]))</f>
        <v>0</v>
      </c>
      <c r="AI515" s="699">
        <f>IF(ISNUMBER(Producción_Agricola[[#This Row],[Fecha Financiero]])=TRUE,MONTH(Producción_Agricola[[#This Row],[Fecha Financiero]]),0)</f>
        <v>0</v>
      </c>
      <c r="AJ515" s="699">
        <f>IF(ISNUMBER(Producción_Agricola[[#This Row],[Fecha Financiero]])=TRUE,YEAR(Producción_Agricola[[#This Row],[Fecha Financiero]]),0)</f>
        <v>0</v>
      </c>
      <c r="AK515" s="704">
        <f>SUMPRODUCT((Producción_Agricola[[#This Row],[Mes Financiero]]=Tipo_Cambio[Mes])*(Producción_Agricola[[#This Row],[Año Financiero]]=Tipo_Cambio[Año])*(Tipo_Cambio[$/U$S]))</f>
        <v>0</v>
      </c>
      <c r="AL515" s="704">
        <f>SUMPRODUCT((Producción_Agricola[[#This Row],[Mes Financiero]]=Tipo_Cambio[Mes])*(Producción_Agricola[[#This Row],[Año Financiero]]=Tipo_Cambio[Año])*(Tipo_Cambio[Actualización]))</f>
        <v>0</v>
      </c>
      <c r="AM515" s="709">
        <f>IFERROR(Producción_Agricola[[#This Row],[Económico $Corrientes]]/Producción_Agricola[[#This Row],[Superficie]],0)</f>
        <v>0</v>
      </c>
      <c r="AN515" s="712">
        <f>IFERROR(Producción_Agricola[[#This Row],[Económico $Constantes]]/Producción_Agricola[[#This Row],[Superficie]],0)</f>
        <v>0</v>
      </c>
      <c r="AO515" s="712">
        <f>IFERROR(Producción_Agricola[[#This Row],[Económico U$S Dólares]]/Producción_Agricola[[#This Row],[Superficie]],0)</f>
        <v>0</v>
      </c>
      <c r="AP515" s="711">
        <f>IF(Económico!$F$4=0,0,Producción_Agricola[[#This Row],[Centro de Costo]])</f>
        <v>0</v>
      </c>
      <c r="AQ515" s="512"/>
      <c r="AR515" s="513"/>
      <c r="AS515"/>
    </row>
    <row r="516" spans="1:45" x14ac:dyDescent="0.25">
      <c r="A516" s="509"/>
      <c r="B516" s="494"/>
      <c r="C516" s="509"/>
      <c r="D516" s="478"/>
      <c r="E516" s="478"/>
      <c r="F516" s="668">
        <f t="shared" si="65"/>
        <v>0</v>
      </c>
      <c r="G516" s="673">
        <f t="shared" si="66"/>
        <v>0</v>
      </c>
      <c r="H516" s="673">
        <f t="shared" si="67"/>
        <v>0</v>
      </c>
      <c r="I516" s="675">
        <f>IFERROR(INDEX(Tabla8[],MATCH(Producción_Agricola[[#This Row],[Unidad de Negocio]],Tabla8[Unidades de Negocio],0),2),0)</f>
        <v>0</v>
      </c>
      <c r="J51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16" s="488"/>
      <c r="L516" s="482"/>
      <c r="M516" s="483"/>
      <c r="N516" s="484"/>
      <c r="O516" s="690">
        <f>Producción_Agricola[[#This Row],[Superficie]]*Producción_Agricola[[#This Row],[Cantidad]]</f>
        <v>0</v>
      </c>
      <c r="P516" s="482"/>
      <c r="Q516" s="484"/>
      <c r="R516" s="485"/>
      <c r="S51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16" s="695">
        <f>IFERROR(Producción_Agricola[[#This Row],[Económico $Corrientes]]/Producción_Agricola[[#This Row],[Indexación Económico]],0)</f>
        <v>0</v>
      </c>
      <c r="U51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1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16" s="695">
        <f>IFERROR(Producción_Agricola[[#This Row],[Financiero $Corrientes]]/Producción_Agricola[[#This Row],[Indexación Financiero]],0)</f>
        <v>0</v>
      </c>
      <c r="X51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1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16" s="699">
        <f>IFERROR(Producción_Agricola[[#This Row],[Intereses $Corrientes]]/Producción_Agricola[[#This Row],[Indexación Financiero]],0)</f>
        <v>0</v>
      </c>
      <c r="AA51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16" s="701">
        <f>IFERROR(INDEX(Produccion_Agricola_Cuentas[],MATCH(Producción_Agricola[[#This Row],[Cuenta Contable]],Produccion_Agricola_Cuentas[Cuenta Contable],0),2),0)</f>
        <v>0</v>
      </c>
      <c r="AC516" s="702">
        <f>IFERROR(INDEX(Tabla9[],MATCH(Producción_Agricola[[#This Row],[Movimiento]],Tabla9[Movimientos],0),2),0)</f>
        <v>0</v>
      </c>
      <c r="AD516" s="703">
        <f>IFERROR(INDEX(Tabla9[],MATCH(Producción_Agricola[[#This Row],[Movimiento]],Tabla9[Movimientos],0),3),0)</f>
        <v>0</v>
      </c>
      <c r="AE516" s="698">
        <f>IF(Producción_Agricola[[#This Row],[Fecha Económico]]=0,0,MONTH(Producción_Agricola[[#This Row],[Fecha Económico]]))</f>
        <v>0</v>
      </c>
      <c r="AF516" s="699">
        <f>IF(Producción_Agricola[[#This Row],[Fecha Económico]]=0,0,YEAR(Producción_Agricola[[#This Row],[Fecha Económico]]))</f>
        <v>0</v>
      </c>
      <c r="AG516" s="704">
        <f>SUMPRODUCT((Producción_Agricola[[#This Row],[Mes Económico]]=Tipo_Cambio[Mes])*(Producción_Agricola[[#This Row],[Año Económico]]=Tipo_Cambio[Año])*(Tipo_Cambio[$/U$S]))</f>
        <v>0</v>
      </c>
      <c r="AH516" s="703">
        <f>SUMPRODUCT((Producción_Agricola[[#This Row],[Mes Económico]]=Tipo_Cambio[Mes])*(Producción_Agricola[[#This Row],[Año Económico]]=Tipo_Cambio[Año])*(Tipo_Cambio[Actualización]))</f>
        <v>0</v>
      </c>
      <c r="AI516" s="699">
        <f>IF(ISNUMBER(Producción_Agricola[[#This Row],[Fecha Financiero]])=TRUE,MONTH(Producción_Agricola[[#This Row],[Fecha Financiero]]),0)</f>
        <v>0</v>
      </c>
      <c r="AJ516" s="699">
        <f>IF(ISNUMBER(Producción_Agricola[[#This Row],[Fecha Financiero]])=TRUE,YEAR(Producción_Agricola[[#This Row],[Fecha Financiero]]),0)</f>
        <v>0</v>
      </c>
      <c r="AK516" s="704">
        <f>SUMPRODUCT((Producción_Agricola[[#This Row],[Mes Financiero]]=Tipo_Cambio[Mes])*(Producción_Agricola[[#This Row],[Año Financiero]]=Tipo_Cambio[Año])*(Tipo_Cambio[$/U$S]))</f>
        <v>0</v>
      </c>
      <c r="AL516" s="704">
        <f>SUMPRODUCT((Producción_Agricola[[#This Row],[Mes Financiero]]=Tipo_Cambio[Mes])*(Producción_Agricola[[#This Row],[Año Financiero]]=Tipo_Cambio[Año])*(Tipo_Cambio[Actualización]))</f>
        <v>0</v>
      </c>
      <c r="AM516" s="709">
        <f>IFERROR(Producción_Agricola[[#This Row],[Económico $Corrientes]]/Producción_Agricola[[#This Row],[Superficie]],0)</f>
        <v>0</v>
      </c>
      <c r="AN516" s="712">
        <f>IFERROR(Producción_Agricola[[#This Row],[Económico $Constantes]]/Producción_Agricola[[#This Row],[Superficie]],0)</f>
        <v>0</v>
      </c>
      <c r="AO516" s="712">
        <f>IFERROR(Producción_Agricola[[#This Row],[Económico U$S Dólares]]/Producción_Agricola[[#This Row],[Superficie]],0)</f>
        <v>0</v>
      </c>
      <c r="AP516" s="711">
        <f>IF(Económico!$F$4=0,0,Producción_Agricola[[#This Row],[Centro de Costo]])</f>
        <v>0</v>
      </c>
      <c r="AQ516" s="512"/>
      <c r="AR516" s="513"/>
      <c r="AS516"/>
    </row>
    <row r="517" spans="1:45" x14ac:dyDescent="0.25">
      <c r="A517" s="509"/>
      <c r="B517" s="494"/>
      <c r="C517" s="509"/>
      <c r="D517" s="478"/>
      <c r="E517" s="478"/>
      <c r="F517" s="668">
        <f t="shared" si="65"/>
        <v>0</v>
      </c>
      <c r="G517" s="673">
        <f t="shared" si="66"/>
        <v>0</v>
      </c>
      <c r="H517" s="673">
        <f t="shared" si="67"/>
        <v>0</v>
      </c>
      <c r="I517" s="675">
        <f>IFERROR(INDEX(Tabla8[],MATCH(Producción_Agricola[[#This Row],[Unidad de Negocio]],Tabla8[Unidades de Negocio],0),2),0)</f>
        <v>0</v>
      </c>
      <c r="J51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17" s="488"/>
      <c r="L517" s="482"/>
      <c r="M517" s="483"/>
      <c r="N517" s="484"/>
      <c r="O517" s="690">
        <f>Producción_Agricola[[#This Row],[Superficie]]*Producción_Agricola[[#This Row],[Cantidad]]</f>
        <v>0</v>
      </c>
      <c r="P517" s="482"/>
      <c r="Q517" s="484"/>
      <c r="R517" s="485"/>
      <c r="S51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17" s="695">
        <f>IFERROR(Producción_Agricola[[#This Row],[Económico $Corrientes]]/Producción_Agricola[[#This Row],[Indexación Económico]],0)</f>
        <v>0</v>
      </c>
      <c r="U51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1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17" s="695">
        <f>IFERROR(Producción_Agricola[[#This Row],[Financiero $Corrientes]]/Producción_Agricola[[#This Row],[Indexación Financiero]],0)</f>
        <v>0</v>
      </c>
      <c r="X51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1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17" s="699">
        <f>IFERROR(Producción_Agricola[[#This Row],[Intereses $Corrientes]]/Producción_Agricola[[#This Row],[Indexación Financiero]],0)</f>
        <v>0</v>
      </c>
      <c r="AA51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17" s="701">
        <f>IFERROR(INDEX(Produccion_Agricola_Cuentas[],MATCH(Producción_Agricola[[#This Row],[Cuenta Contable]],Produccion_Agricola_Cuentas[Cuenta Contable],0),2),0)</f>
        <v>0</v>
      </c>
      <c r="AC517" s="702">
        <f>IFERROR(INDEX(Tabla9[],MATCH(Producción_Agricola[[#This Row],[Movimiento]],Tabla9[Movimientos],0),2),0)</f>
        <v>0</v>
      </c>
      <c r="AD517" s="703">
        <f>IFERROR(INDEX(Tabla9[],MATCH(Producción_Agricola[[#This Row],[Movimiento]],Tabla9[Movimientos],0),3),0)</f>
        <v>0</v>
      </c>
      <c r="AE517" s="698">
        <f>IF(Producción_Agricola[[#This Row],[Fecha Económico]]=0,0,MONTH(Producción_Agricola[[#This Row],[Fecha Económico]]))</f>
        <v>0</v>
      </c>
      <c r="AF517" s="699">
        <f>IF(Producción_Agricola[[#This Row],[Fecha Económico]]=0,0,YEAR(Producción_Agricola[[#This Row],[Fecha Económico]]))</f>
        <v>0</v>
      </c>
      <c r="AG517" s="704">
        <f>SUMPRODUCT((Producción_Agricola[[#This Row],[Mes Económico]]=Tipo_Cambio[Mes])*(Producción_Agricola[[#This Row],[Año Económico]]=Tipo_Cambio[Año])*(Tipo_Cambio[$/U$S]))</f>
        <v>0</v>
      </c>
      <c r="AH517" s="703">
        <f>SUMPRODUCT((Producción_Agricola[[#This Row],[Mes Económico]]=Tipo_Cambio[Mes])*(Producción_Agricola[[#This Row],[Año Económico]]=Tipo_Cambio[Año])*(Tipo_Cambio[Actualización]))</f>
        <v>0</v>
      </c>
      <c r="AI517" s="699">
        <f>IF(ISNUMBER(Producción_Agricola[[#This Row],[Fecha Financiero]])=TRUE,MONTH(Producción_Agricola[[#This Row],[Fecha Financiero]]),0)</f>
        <v>0</v>
      </c>
      <c r="AJ517" s="699">
        <f>IF(ISNUMBER(Producción_Agricola[[#This Row],[Fecha Financiero]])=TRUE,YEAR(Producción_Agricola[[#This Row],[Fecha Financiero]]),0)</f>
        <v>0</v>
      </c>
      <c r="AK517" s="704">
        <f>SUMPRODUCT((Producción_Agricola[[#This Row],[Mes Financiero]]=Tipo_Cambio[Mes])*(Producción_Agricola[[#This Row],[Año Financiero]]=Tipo_Cambio[Año])*(Tipo_Cambio[$/U$S]))</f>
        <v>0</v>
      </c>
      <c r="AL517" s="704">
        <f>SUMPRODUCT((Producción_Agricola[[#This Row],[Mes Financiero]]=Tipo_Cambio[Mes])*(Producción_Agricola[[#This Row],[Año Financiero]]=Tipo_Cambio[Año])*(Tipo_Cambio[Actualización]))</f>
        <v>0</v>
      </c>
      <c r="AM517" s="709">
        <f>IFERROR(Producción_Agricola[[#This Row],[Económico $Corrientes]]/Producción_Agricola[[#This Row],[Superficie]],0)</f>
        <v>0</v>
      </c>
      <c r="AN517" s="712">
        <f>IFERROR(Producción_Agricola[[#This Row],[Económico $Constantes]]/Producción_Agricola[[#This Row],[Superficie]],0)</f>
        <v>0</v>
      </c>
      <c r="AO517" s="712">
        <f>IFERROR(Producción_Agricola[[#This Row],[Económico U$S Dólares]]/Producción_Agricola[[#This Row],[Superficie]],0)</f>
        <v>0</v>
      </c>
      <c r="AP517" s="711">
        <f>IF(Económico!$F$4=0,0,Producción_Agricola[[#This Row],[Centro de Costo]])</f>
        <v>0</v>
      </c>
      <c r="AQ517" s="512"/>
      <c r="AR517" s="513"/>
      <c r="AS517"/>
    </row>
    <row r="518" spans="1:45" x14ac:dyDescent="0.25">
      <c r="A518" s="509"/>
      <c r="B518" s="494"/>
      <c r="C518" s="509"/>
      <c r="D518" s="478"/>
      <c r="E518" s="478"/>
      <c r="F518" s="668">
        <f t="shared" si="65"/>
        <v>0</v>
      </c>
      <c r="G518" s="673">
        <f t="shared" si="66"/>
        <v>0</v>
      </c>
      <c r="H518" s="673">
        <f t="shared" si="67"/>
        <v>0</v>
      </c>
      <c r="I518" s="675">
        <f>IFERROR(INDEX(Tabla8[],MATCH(Producción_Agricola[[#This Row],[Unidad de Negocio]],Tabla8[Unidades de Negocio],0),2),0)</f>
        <v>0</v>
      </c>
      <c r="J51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18" s="488"/>
      <c r="L518" s="482"/>
      <c r="M518" s="483"/>
      <c r="N518" s="484"/>
      <c r="O518" s="690">
        <f>Producción_Agricola[[#This Row],[Superficie]]*Producción_Agricola[[#This Row],[Cantidad]]</f>
        <v>0</v>
      </c>
      <c r="P518" s="482"/>
      <c r="Q518" s="484"/>
      <c r="R518" s="485"/>
      <c r="S51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18" s="695">
        <f>IFERROR(Producción_Agricola[[#This Row],[Económico $Corrientes]]/Producción_Agricola[[#This Row],[Indexación Económico]],0)</f>
        <v>0</v>
      </c>
      <c r="U51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1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18" s="695">
        <f>IFERROR(Producción_Agricola[[#This Row],[Financiero $Corrientes]]/Producción_Agricola[[#This Row],[Indexación Financiero]],0)</f>
        <v>0</v>
      </c>
      <c r="X51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1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18" s="699">
        <f>IFERROR(Producción_Agricola[[#This Row],[Intereses $Corrientes]]/Producción_Agricola[[#This Row],[Indexación Financiero]],0)</f>
        <v>0</v>
      </c>
      <c r="AA51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18" s="701">
        <f>IFERROR(INDEX(Produccion_Agricola_Cuentas[],MATCH(Producción_Agricola[[#This Row],[Cuenta Contable]],Produccion_Agricola_Cuentas[Cuenta Contable],0),2),0)</f>
        <v>0</v>
      </c>
      <c r="AC518" s="702">
        <f>IFERROR(INDEX(Tabla9[],MATCH(Producción_Agricola[[#This Row],[Movimiento]],Tabla9[Movimientos],0),2),0)</f>
        <v>0</v>
      </c>
      <c r="AD518" s="703">
        <f>IFERROR(INDEX(Tabla9[],MATCH(Producción_Agricola[[#This Row],[Movimiento]],Tabla9[Movimientos],0),3),0)</f>
        <v>0</v>
      </c>
      <c r="AE518" s="698">
        <f>IF(Producción_Agricola[[#This Row],[Fecha Económico]]=0,0,MONTH(Producción_Agricola[[#This Row],[Fecha Económico]]))</f>
        <v>0</v>
      </c>
      <c r="AF518" s="699">
        <f>IF(Producción_Agricola[[#This Row],[Fecha Económico]]=0,0,YEAR(Producción_Agricola[[#This Row],[Fecha Económico]]))</f>
        <v>0</v>
      </c>
      <c r="AG518" s="704">
        <f>SUMPRODUCT((Producción_Agricola[[#This Row],[Mes Económico]]=Tipo_Cambio[Mes])*(Producción_Agricola[[#This Row],[Año Económico]]=Tipo_Cambio[Año])*(Tipo_Cambio[$/U$S]))</f>
        <v>0</v>
      </c>
      <c r="AH518" s="703">
        <f>SUMPRODUCT((Producción_Agricola[[#This Row],[Mes Económico]]=Tipo_Cambio[Mes])*(Producción_Agricola[[#This Row],[Año Económico]]=Tipo_Cambio[Año])*(Tipo_Cambio[Actualización]))</f>
        <v>0</v>
      </c>
      <c r="AI518" s="699">
        <f>IF(ISNUMBER(Producción_Agricola[[#This Row],[Fecha Financiero]])=TRUE,MONTH(Producción_Agricola[[#This Row],[Fecha Financiero]]),0)</f>
        <v>0</v>
      </c>
      <c r="AJ518" s="699">
        <f>IF(ISNUMBER(Producción_Agricola[[#This Row],[Fecha Financiero]])=TRUE,YEAR(Producción_Agricola[[#This Row],[Fecha Financiero]]),0)</f>
        <v>0</v>
      </c>
      <c r="AK518" s="704">
        <f>SUMPRODUCT((Producción_Agricola[[#This Row],[Mes Financiero]]=Tipo_Cambio[Mes])*(Producción_Agricola[[#This Row],[Año Financiero]]=Tipo_Cambio[Año])*(Tipo_Cambio[$/U$S]))</f>
        <v>0</v>
      </c>
      <c r="AL518" s="704">
        <f>SUMPRODUCT((Producción_Agricola[[#This Row],[Mes Financiero]]=Tipo_Cambio[Mes])*(Producción_Agricola[[#This Row],[Año Financiero]]=Tipo_Cambio[Año])*(Tipo_Cambio[Actualización]))</f>
        <v>0</v>
      </c>
      <c r="AM518" s="709">
        <f>IFERROR(Producción_Agricola[[#This Row],[Económico $Corrientes]]/Producción_Agricola[[#This Row],[Superficie]],0)</f>
        <v>0</v>
      </c>
      <c r="AN518" s="712">
        <f>IFERROR(Producción_Agricola[[#This Row],[Económico $Constantes]]/Producción_Agricola[[#This Row],[Superficie]],0)</f>
        <v>0</v>
      </c>
      <c r="AO518" s="712">
        <f>IFERROR(Producción_Agricola[[#This Row],[Económico U$S Dólares]]/Producción_Agricola[[#This Row],[Superficie]],0)</f>
        <v>0</v>
      </c>
      <c r="AP518" s="711">
        <f>IF(Económico!$F$4=0,0,Producción_Agricola[[#This Row],[Centro de Costo]])</f>
        <v>0</v>
      </c>
      <c r="AQ518" s="512"/>
      <c r="AR518" s="513"/>
      <c r="AS518"/>
    </row>
    <row r="519" spans="1:45" x14ac:dyDescent="0.25">
      <c r="A519" s="509"/>
      <c r="B519" s="494"/>
      <c r="C519" s="509"/>
      <c r="D519" s="478"/>
      <c r="E519" s="478"/>
      <c r="F519" s="668">
        <f t="shared" si="65"/>
        <v>0</v>
      </c>
      <c r="G519" s="673">
        <f t="shared" si="66"/>
        <v>0</v>
      </c>
      <c r="H519" s="673">
        <f t="shared" si="67"/>
        <v>0</v>
      </c>
      <c r="I519" s="675">
        <f>IFERROR(INDEX(Tabla8[],MATCH(Producción_Agricola[[#This Row],[Unidad de Negocio]],Tabla8[Unidades de Negocio],0),2),0)</f>
        <v>0</v>
      </c>
      <c r="J51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19" s="488"/>
      <c r="L519" s="482"/>
      <c r="M519" s="483"/>
      <c r="N519" s="484"/>
      <c r="O519" s="690">
        <f>Producción_Agricola[[#This Row],[Superficie]]*Producción_Agricola[[#This Row],[Cantidad]]</f>
        <v>0</v>
      </c>
      <c r="P519" s="482"/>
      <c r="Q519" s="484"/>
      <c r="R519" s="485"/>
      <c r="S51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19" s="695">
        <f>IFERROR(Producción_Agricola[[#This Row],[Económico $Corrientes]]/Producción_Agricola[[#This Row],[Indexación Económico]],0)</f>
        <v>0</v>
      </c>
      <c r="U51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1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19" s="695">
        <f>IFERROR(Producción_Agricola[[#This Row],[Financiero $Corrientes]]/Producción_Agricola[[#This Row],[Indexación Financiero]],0)</f>
        <v>0</v>
      </c>
      <c r="X51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1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19" s="699">
        <f>IFERROR(Producción_Agricola[[#This Row],[Intereses $Corrientes]]/Producción_Agricola[[#This Row],[Indexación Financiero]],0)</f>
        <v>0</v>
      </c>
      <c r="AA51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19" s="701">
        <f>IFERROR(INDEX(Produccion_Agricola_Cuentas[],MATCH(Producción_Agricola[[#This Row],[Cuenta Contable]],Produccion_Agricola_Cuentas[Cuenta Contable],0),2),0)</f>
        <v>0</v>
      </c>
      <c r="AC519" s="702">
        <f>IFERROR(INDEX(Tabla9[],MATCH(Producción_Agricola[[#This Row],[Movimiento]],Tabla9[Movimientos],0),2),0)</f>
        <v>0</v>
      </c>
      <c r="AD519" s="703">
        <f>IFERROR(INDEX(Tabla9[],MATCH(Producción_Agricola[[#This Row],[Movimiento]],Tabla9[Movimientos],0),3),0)</f>
        <v>0</v>
      </c>
      <c r="AE519" s="698">
        <f>IF(Producción_Agricola[[#This Row],[Fecha Económico]]=0,0,MONTH(Producción_Agricola[[#This Row],[Fecha Económico]]))</f>
        <v>0</v>
      </c>
      <c r="AF519" s="699">
        <f>IF(Producción_Agricola[[#This Row],[Fecha Económico]]=0,0,YEAR(Producción_Agricola[[#This Row],[Fecha Económico]]))</f>
        <v>0</v>
      </c>
      <c r="AG519" s="704">
        <f>SUMPRODUCT((Producción_Agricola[[#This Row],[Mes Económico]]=Tipo_Cambio[Mes])*(Producción_Agricola[[#This Row],[Año Económico]]=Tipo_Cambio[Año])*(Tipo_Cambio[$/U$S]))</f>
        <v>0</v>
      </c>
      <c r="AH519" s="703">
        <f>SUMPRODUCT((Producción_Agricola[[#This Row],[Mes Económico]]=Tipo_Cambio[Mes])*(Producción_Agricola[[#This Row],[Año Económico]]=Tipo_Cambio[Año])*(Tipo_Cambio[Actualización]))</f>
        <v>0</v>
      </c>
      <c r="AI519" s="699">
        <f>IF(ISNUMBER(Producción_Agricola[[#This Row],[Fecha Financiero]])=TRUE,MONTH(Producción_Agricola[[#This Row],[Fecha Financiero]]),0)</f>
        <v>0</v>
      </c>
      <c r="AJ519" s="699">
        <f>IF(ISNUMBER(Producción_Agricola[[#This Row],[Fecha Financiero]])=TRUE,YEAR(Producción_Agricola[[#This Row],[Fecha Financiero]]),0)</f>
        <v>0</v>
      </c>
      <c r="AK519" s="704">
        <f>SUMPRODUCT((Producción_Agricola[[#This Row],[Mes Financiero]]=Tipo_Cambio[Mes])*(Producción_Agricola[[#This Row],[Año Financiero]]=Tipo_Cambio[Año])*(Tipo_Cambio[$/U$S]))</f>
        <v>0</v>
      </c>
      <c r="AL519" s="704">
        <f>SUMPRODUCT((Producción_Agricola[[#This Row],[Mes Financiero]]=Tipo_Cambio[Mes])*(Producción_Agricola[[#This Row],[Año Financiero]]=Tipo_Cambio[Año])*(Tipo_Cambio[Actualización]))</f>
        <v>0</v>
      </c>
      <c r="AM519" s="709">
        <f>IFERROR(Producción_Agricola[[#This Row],[Económico $Corrientes]]/Producción_Agricola[[#This Row],[Superficie]],0)</f>
        <v>0</v>
      </c>
      <c r="AN519" s="712">
        <f>IFERROR(Producción_Agricola[[#This Row],[Económico $Constantes]]/Producción_Agricola[[#This Row],[Superficie]],0)</f>
        <v>0</v>
      </c>
      <c r="AO519" s="712">
        <f>IFERROR(Producción_Agricola[[#This Row],[Económico U$S Dólares]]/Producción_Agricola[[#This Row],[Superficie]],0)</f>
        <v>0</v>
      </c>
      <c r="AP519" s="711">
        <f>IF(Económico!$F$4=0,0,Producción_Agricola[[#This Row],[Centro de Costo]])</f>
        <v>0</v>
      </c>
      <c r="AQ519" s="512"/>
      <c r="AR519" s="513"/>
      <c r="AS519"/>
    </row>
    <row r="520" spans="1:45" x14ac:dyDescent="0.25">
      <c r="A520" s="509"/>
      <c r="B520" s="494"/>
      <c r="C520" s="509"/>
      <c r="D520" s="478"/>
      <c r="E520" s="478"/>
      <c r="F520" s="668">
        <f t="shared" si="65"/>
        <v>0</v>
      </c>
      <c r="G520" s="673">
        <f t="shared" si="66"/>
        <v>0</v>
      </c>
      <c r="H520" s="673">
        <f t="shared" si="67"/>
        <v>0</v>
      </c>
      <c r="I520" s="675">
        <f>IFERROR(INDEX(Tabla8[],MATCH(Producción_Agricola[[#This Row],[Unidad de Negocio]],Tabla8[Unidades de Negocio],0),2),0)</f>
        <v>0</v>
      </c>
      <c r="J52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20" s="488"/>
      <c r="L520" s="482"/>
      <c r="M520" s="483"/>
      <c r="N520" s="484"/>
      <c r="O520" s="690">
        <f>Producción_Agricola[[#This Row],[Superficie]]*Producción_Agricola[[#This Row],[Cantidad]]</f>
        <v>0</v>
      </c>
      <c r="P520" s="482"/>
      <c r="Q520" s="484"/>
      <c r="R520" s="485"/>
      <c r="S52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20" s="695">
        <f>IFERROR(Producción_Agricola[[#This Row],[Económico $Corrientes]]/Producción_Agricola[[#This Row],[Indexación Económico]],0)</f>
        <v>0</v>
      </c>
      <c r="U52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2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20" s="695">
        <f>IFERROR(Producción_Agricola[[#This Row],[Financiero $Corrientes]]/Producción_Agricola[[#This Row],[Indexación Financiero]],0)</f>
        <v>0</v>
      </c>
      <c r="X52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2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20" s="699">
        <f>IFERROR(Producción_Agricola[[#This Row],[Intereses $Corrientes]]/Producción_Agricola[[#This Row],[Indexación Financiero]],0)</f>
        <v>0</v>
      </c>
      <c r="AA52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20" s="701">
        <f>IFERROR(INDEX(Produccion_Agricola_Cuentas[],MATCH(Producción_Agricola[[#This Row],[Cuenta Contable]],Produccion_Agricola_Cuentas[Cuenta Contable],0),2),0)</f>
        <v>0</v>
      </c>
      <c r="AC520" s="702">
        <f>IFERROR(INDEX(Tabla9[],MATCH(Producción_Agricola[[#This Row],[Movimiento]],Tabla9[Movimientos],0),2),0)</f>
        <v>0</v>
      </c>
      <c r="AD520" s="703">
        <f>IFERROR(INDEX(Tabla9[],MATCH(Producción_Agricola[[#This Row],[Movimiento]],Tabla9[Movimientos],0),3),0)</f>
        <v>0</v>
      </c>
      <c r="AE520" s="698">
        <f>IF(Producción_Agricola[[#This Row],[Fecha Económico]]=0,0,MONTH(Producción_Agricola[[#This Row],[Fecha Económico]]))</f>
        <v>0</v>
      </c>
      <c r="AF520" s="699">
        <f>IF(Producción_Agricola[[#This Row],[Fecha Económico]]=0,0,YEAR(Producción_Agricola[[#This Row],[Fecha Económico]]))</f>
        <v>0</v>
      </c>
      <c r="AG520" s="704">
        <f>SUMPRODUCT((Producción_Agricola[[#This Row],[Mes Económico]]=Tipo_Cambio[Mes])*(Producción_Agricola[[#This Row],[Año Económico]]=Tipo_Cambio[Año])*(Tipo_Cambio[$/U$S]))</f>
        <v>0</v>
      </c>
      <c r="AH520" s="703">
        <f>SUMPRODUCT((Producción_Agricola[[#This Row],[Mes Económico]]=Tipo_Cambio[Mes])*(Producción_Agricola[[#This Row],[Año Económico]]=Tipo_Cambio[Año])*(Tipo_Cambio[Actualización]))</f>
        <v>0</v>
      </c>
      <c r="AI520" s="699">
        <f>IF(ISNUMBER(Producción_Agricola[[#This Row],[Fecha Financiero]])=TRUE,MONTH(Producción_Agricola[[#This Row],[Fecha Financiero]]),0)</f>
        <v>0</v>
      </c>
      <c r="AJ520" s="699">
        <f>IF(ISNUMBER(Producción_Agricola[[#This Row],[Fecha Financiero]])=TRUE,YEAR(Producción_Agricola[[#This Row],[Fecha Financiero]]),0)</f>
        <v>0</v>
      </c>
      <c r="AK520" s="704">
        <f>SUMPRODUCT((Producción_Agricola[[#This Row],[Mes Financiero]]=Tipo_Cambio[Mes])*(Producción_Agricola[[#This Row],[Año Financiero]]=Tipo_Cambio[Año])*(Tipo_Cambio[$/U$S]))</f>
        <v>0</v>
      </c>
      <c r="AL520" s="704">
        <f>SUMPRODUCT((Producción_Agricola[[#This Row],[Mes Financiero]]=Tipo_Cambio[Mes])*(Producción_Agricola[[#This Row],[Año Financiero]]=Tipo_Cambio[Año])*(Tipo_Cambio[Actualización]))</f>
        <v>0</v>
      </c>
      <c r="AM520" s="709">
        <f>IFERROR(Producción_Agricola[[#This Row],[Económico $Corrientes]]/Producción_Agricola[[#This Row],[Superficie]],0)</f>
        <v>0</v>
      </c>
      <c r="AN520" s="712">
        <f>IFERROR(Producción_Agricola[[#This Row],[Económico $Constantes]]/Producción_Agricola[[#This Row],[Superficie]],0)</f>
        <v>0</v>
      </c>
      <c r="AO520" s="712">
        <f>IFERROR(Producción_Agricola[[#This Row],[Económico U$S Dólares]]/Producción_Agricola[[#This Row],[Superficie]],0)</f>
        <v>0</v>
      </c>
      <c r="AP520" s="711">
        <f>IF(Económico!$F$4=0,0,Producción_Agricola[[#This Row],[Centro de Costo]])</f>
        <v>0</v>
      </c>
      <c r="AQ520" s="512"/>
      <c r="AR520" s="513"/>
      <c r="AS520"/>
    </row>
    <row r="521" spans="1:45" x14ac:dyDescent="0.25">
      <c r="A521" s="509"/>
      <c r="B521" s="494"/>
      <c r="C521" s="509"/>
      <c r="D521" s="478"/>
      <c r="E521" s="478"/>
      <c r="F521" s="668">
        <f t="shared" si="65"/>
        <v>0</v>
      </c>
      <c r="G521" s="673">
        <f t="shared" si="66"/>
        <v>0</v>
      </c>
      <c r="H521" s="673">
        <f t="shared" si="67"/>
        <v>0</v>
      </c>
      <c r="I521" s="675">
        <f>IFERROR(INDEX(Tabla8[],MATCH(Producción_Agricola[[#This Row],[Unidad de Negocio]],Tabla8[Unidades de Negocio],0),2),0)</f>
        <v>0</v>
      </c>
      <c r="J52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21" s="488"/>
      <c r="L521" s="482"/>
      <c r="M521" s="483"/>
      <c r="N521" s="484"/>
      <c r="O521" s="690">
        <f>Producción_Agricola[[#This Row],[Superficie]]*Producción_Agricola[[#This Row],[Cantidad]]</f>
        <v>0</v>
      </c>
      <c r="P521" s="482"/>
      <c r="Q521" s="484"/>
      <c r="R521" s="485"/>
      <c r="S52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21" s="695">
        <f>IFERROR(Producción_Agricola[[#This Row],[Económico $Corrientes]]/Producción_Agricola[[#This Row],[Indexación Económico]],0)</f>
        <v>0</v>
      </c>
      <c r="U52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2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21" s="695">
        <f>IFERROR(Producción_Agricola[[#This Row],[Financiero $Corrientes]]/Producción_Agricola[[#This Row],[Indexación Financiero]],0)</f>
        <v>0</v>
      </c>
      <c r="X52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2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21" s="699">
        <f>IFERROR(Producción_Agricola[[#This Row],[Intereses $Corrientes]]/Producción_Agricola[[#This Row],[Indexación Financiero]],0)</f>
        <v>0</v>
      </c>
      <c r="AA52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21" s="701">
        <f>IFERROR(INDEX(Produccion_Agricola_Cuentas[],MATCH(Producción_Agricola[[#This Row],[Cuenta Contable]],Produccion_Agricola_Cuentas[Cuenta Contable],0),2),0)</f>
        <v>0</v>
      </c>
      <c r="AC521" s="702">
        <f>IFERROR(INDEX(Tabla9[],MATCH(Producción_Agricola[[#This Row],[Movimiento]],Tabla9[Movimientos],0),2),0)</f>
        <v>0</v>
      </c>
      <c r="AD521" s="703">
        <f>IFERROR(INDEX(Tabla9[],MATCH(Producción_Agricola[[#This Row],[Movimiento]],Tabla9[Movimientos],0),3),0)</f>
        <v>0</v>
      </c>
      <c r="AE521" s="698">
        <f>IF(Producción_Agricola[[#This Row],[Fecha Económico]]=0,0,MONTH(Producción_Agricola[[#This Row],[Fecha Económico]]))</f>
        <v>0</v>
      </c>
      <c r="AF521" s="699">
        <f>IF(Producción_Agricola[[#This Row],[Fecha Económico]]=0,0,YEAR(Producción_Agricola[[#This Row],[Fecha Económico]]))</f>
        <v>0</v>
      </c>
      <c r="AG521" s="704">
        <f>SUMPRODUCT((Producción_Agricola[[#This Row],[Mes Económico]]=Tipo_Cambio[Mes])*(Producción_Agricola[[#This Row],[Año Económico]]=Tipo_Cambio[Año])*(Tipo_Cambio[$/U$S]))</f>
        <v>0</v>
      </c>
      <c r="AH521" s="703">
        <f>SUMPRODUCT((Producción_Agricola[[#This Row],[Mes Económico]]=Tipo_Cambio[Mes])*(Producción_Agricola[[#This Row],[Año Económico]]=Tipo_Cambio[Año])*(Tipo_Cambio[Actualización]))</f>
        <v>0</v>
      </c>
      <c r="AI521" s="699">
        <f>IF(ISNUMBER(Producción_Agricola[[#This Row],[Fecha Financiero]])=TRUE,MONTH(Producción_Agricola[[#This Row],[Fecha Financiero]]),0)</f>
        <v>0</v>
      </c>
      <c r="AJ521" s="699">
        <f>IF(ISNUMBER(Producción_Agricola[[#This Row],[Fecha Financiero]])=TRUE,YEAR(Producción_Agricola[[#This Row],[Fecha Financiero]]),0)</f>
        <v>0</v>
      </c>
      <c r="AK521" s="704">
        <f>SUMPRODUCT((Producción_Agricola[[#This Row],[Mes Financiero]]=Tipo_Cambio[Mes])*(Producción_Agricola[[#This Row],[Año Financiero]]=Tipo_Cambio[Año])*(Tipo_Cambio[$/U$S]))</f>
        <v>0</v>
      </c>
      <c r="AL521" s="704">
        <f>SUMPRODUCT((Producción_Agricola[[#This Row],[Mes Financiero]]=Tipo_Cambio[Mes])*(Producción_Agricola[[#This Row],[Año Financiero]]=Tipo_Cambio[Año])*(Tipo_Cambio[Actualización]))</f>
        <v>0</v>
      </c>
      <c r="AM521" s="709">
        <f>IFERROR(Producción_Agricola[[#This Row],[Económico $Corrientes]]/Producción_Agricola[[#This Row],[Superficie]],0)</f>
        <v>0</v>
      </c>
      <c r="AN521" s="712">
        <f>IFERROR(Producción_Agricola[[#This Row],[Económico $Constantes]]/Producción_Agricola[[#This Row],[Superficie]],0)</f>
        <v>0</v>
      </c>
      <c r="AO521" s="712">
        <f>IFERROR(Producción_Agricola[[#This Row],[Económico U$S Dólares]]/Producción_Agricola[[#This Row],[Superficie]],0)</f>
        <v>0</v>
      </c>
      <c r="AP521" s="711">
        <f>IF(Económico!$F$4=0,0,Producción_Agricola[[#This Row],[Centro de Costo]])</f>
        <v>0</v>
      </c>
      <c r="AQ521" s="512"/>
      <c r="AR521" s="513"/>
      <c r="AS521"/>
    </row>
    <row r="522" spans="1:45" x14ac:dyDescent="0.25">
      <c r="A522" s="509"/>
      <c r="B522" s="494"/>
      <c r="C522" s="509"/>
      <c r="D522" s="478"/>
      <c r="E522" s="478"/>
      <c r="F522" s="668">
        <f t="shared" si="65"/>
        <v>0</v>
      </c>
      <c r="G522" s="673">
        <f t="shared" si="66"/>
        <v>0</v>
      </c>
      <c r="H522" s="673">
        <f t="shared" si="67"/>
        <v>0</v>
      </c>
      <c r="I522" s="675">
        <f>IFERROR(INDEX(Tabla8[],MATCH(Producción_Agricola[[#This Row],[Unidad de Negocio]],Tabla8[Unidades de Negocio],0),2),0)</f>
        <v>0</v>
      </c>
      <c r="J52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22" s="488"/>
      <c r="L522" s="482"/>
      <c r="M522" s="483"/>
      <c r="N522" s="484"/>
      <c r="O522" s="690">
        <f>Producción_Agricola[[#This Row],[Superficie]]*Producción_Agricola[[#This Row],[Cantidad]]</f>
        <v>0</v>
      </c>
      <c r="P522" s="482"/>
      <c r="Q522" s="484"/>
      <c r="R522" s="485"/>
      <c r="S52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22" s="695">
        <f>IFERROR(Producción_Agricola[[#This Row],[Económico $Corrientes]]/Producción_Agricola[[#This Row],[Indexación Económico]],0)</f>
        <v>0</v>
      </c>
      <c r="U52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2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22" s="695">
        <f>IFERROR(Producción_Agricola[[#This Row],[Financiero $Corrientes]]/Producción_Agricola[[#This Row],[Indexación Financiero]],0)</f>
        <v>0</v>
      </c>
      <c r="X52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2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22" s="699">
        <f>IFERROR(Producción_Agricola[[#This Row],[Intereses $Corrientes]]/Producción_Agricola[[#This Row],[Indexación Financiero]],0)</f>
        <v>0</v>
      </c>
      <c r="AA52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22" s="701">
        <f>IFERROR(INDEX(Produccion_Agricola_Cuentas[],MATCH(Producción_Agricola[[#This Row],[Cuenta Contable]],Produccion_Agricola_Cuentas[Cuenta Contable],0),2),0)</f>
        <v>0</v>
      </c>
      <c r="AC522" s="702">
        <f>IFERROR(INDEX(Tabla9[],MATCH(Producción_Agricola[[#This Row],[Movimiento]],Tabla9[Movimientos],0),2),0)</f>
        <v>0</v>
      </c>
      <c r="AD522" s="703">
        <f>IFERROR(INDEX(Tabla9[],MATCH(Producción_Agricola[[#This Row],[Movimiento]],Tabla9[Movimientos],0),3),0)</f>
        <v>0</v>
      </c>
      <c r="AE522" s="698">
        <f>IF(Producción_Agricola[[#This Row],[Fecha Económico]]=0,0,MONTH(Producción_Agricola[[#This Row],[Fecha Económico]]))</f>
        <v>0</v>
      </c>
      <c r="AF522" s="699">
        <f>IF(Producción_Agricola[[#This Row],[Fecha Económico]]=0,0,YEAR(Producción_Agricola[[#This Row],[Fecha Económico]]))</f>
        <v>0</v>
      </c>
      <c r="AG522" s="704">
        <f>SUMPRODUCT((Producción_Agricola[[#This Row],[Mes Económico]]=Tipo_Cambio[Mes])*(Producción_Agricola[[#This Row],[Año Económico]]=Tipo_Cambio[Año])*(Tipo_Cambio[$/U$S]))</f>
        <v>0</v>
      </c>
      <c r="AH522" s="703">
        <f>SUMPRODUCT((Producción_Agricola[[#This Row],[Mes Económico]]=Tipo_Cambio[Mes])*(Producción_Agricola[[#This Row],[Año Económico]]=Tipo_Cambio[Año])*(Tipo_Cambio[Actualización]))</f>
        <v>0</v>
      </c>
      <c r="AI522" s="699">
        <f>IF(ISNUMBER(Producción_Agricola[[#This Row],[Fecha Financiero]])=TRUE,MONTH(Producción_Agricola[[#This Row],[Fecha Financiero]]),0)</f>
        <v>0</v>
      </c>
      <c r="AJ522" s="699">
        <f>IF(ISNUMBER(Producción_Agricola[[#This Row],[Fecha Financiero]])=TRUE,YEAR(Producción_Agricola[[#This Row],[Fecha Financiero]]),0)</f>
        <v>0</v>
      </c>
      <c r="AK522" s="704">
        <f>SUMPRODUCT((Producción_Agricola[[#This Row],[Mes Financiero]]=Tipo_Cambio[Mes])*(Producción_Agricola[[#This Row],[Año Financiero]]=Tipo_Cambio[Año])*(Tipo_Cambio[$/U$S]))</f>
        <v>0</v>
      </c>
      <c r="AL522" s="704">
        <f>SUMPRODUCT((Producción_Agricola[[#This Row],[Mes Financiero]]=Tipo_Cambio[Mes])*(Producción_Agricola[[#This Row],[Año Financiero]]=Tipo_Cambio[Año])*(Tipo_Cambio[Actualización]))</f>
        <v>0</v>
      </c>
      <c r="AM522" s="709">
        <f>IFERROR(Producción_Agricola[[#This Row],[Económico $Corrientes]]/Producción_Agricola[[#This Row],[Superficie]],0)</f>
        <v>0</v>
      </c>
      <c r="AN522" s="712">
        <f>IFERROR(Producción_Agricola[[#This Row],[Económico $Constantes]]/Producción_Agricola[[#This Row],[Superficie]],0)</f>
        <v>0</v>
      </c>
      <c r="AO522" s="712">
        <f>IFERROR(Producción_Agricola[[#This Row],[Económico U$S Dólares]]/Producción_Agricola[[#This Row],[Superficie]],0)</f>
        <v>0</v>
      </c>
      <c r="AP522" s="711">
        <f>IF(Económico!$F$4=0,0,Producción_Agricola[[#This Row],[Centro de Costo]])</f>
        <v>0</v>
      </c>
      <c r="AQ522" s="512"/>
      <c r="AR522" s="513"/>
      <c r="AS522"/>
    </row>
    <row r="523" spans="1:45" x14ac:dyDescent="0.25">
      <c r="A523" s="509"/>
      <c r="B523" s="494"/>
      <c r="C523" s="509"/>
      <c r="D523" s="478"/>
      <c r="E523" s="478"/>
      <c r="F523" s="668">
        <f t="shared" si="65"/>
        <v>0</v>
      </c>
      <c r="G523" s="673">
        <f t="shared" si="66"/>
        <v>0</v>
      </c>
      <c r="H523" s="673">
        <f t="shared" si="67"/>
        <v>0</v>
      </c>
      <c r="I523" s="675">
        <f>IFERROR(INDEX(Tabla8[],MATCH(Producción_Agricola[[#This Row],[Unidad de Negocio]],Tabla8[Unidades de Negocio],0),2),0)</f>
        <v>0</v>
      </c>
      <c r="J52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23" s="488"/>
      <c r="L523" s="482"/>
      <c r="M523" s="483"/>
      <c r="N523" s="484"/>
      <c r="O523" s="690">
        <f>Producción_Agricola[[#This Row],[Superficie]]*Producción_Agricola[[#This Row],[Cantidad]]</f>
        <v>0</v>
      </c>
      <c r="P523" s="482"/>
      <c r="Q523" s="484"/>
      <c r="R523" s="485"/>
      <c r="S52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23" s="695">
        <f>IFERROR(Producción_Agricola[[#This Row],[Económico $Corrientes]]/Producción_Agricola[[#This Row],[Indexación Económico]],0)</f>
        <v>0</v>
      </c>
      <c r="U52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2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23" s="695">
        <f>IFERROR(Producción_Agricola[[#This Row],[Financiero $Corrientes]]/Producción_Agricola[[#This Row],[Indexación Financiero]],0)</f>
        <v>0</v>
      </c>
      <c r="X52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2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23" s="699">
        <f>IFERROR(Producción_Agricola[[#This Row],[Intereses $Corrientes]]/Producción_Agricola[[#This Row],[Indexación Financiero]],0)</f>
        <v>0</v>
      </c>
      <c r="AA52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23" s="701">
        <f>IFERROR(INDEX(Produccion_Agricola_Cuentas[],MATCH(Producción_Agricola[[#This Row],[Cuenta Contable]],Produccion_Agricola_Cuentas[Cuenta Contable],0),2),0)</f>
        <v>0</v>
      </c>
      <c r="AC523" s="702">
        <f>IFERROR(INDEX(Tabla9[],MATCH(Producción_Agricola[[#This Row],[Movimiento]],Tabla9[Movimientos],0),2),0)</f>
        <v>0</v>
      </c>
      <c r="AD523" s="703">
        <f>IFERROR(INDEX(Tabla9[],MATCH(Producción_Agricola[[#This Row],[Movimiento]],Tabla9[Movimientos],0),3),0)</f>
        <v>0</v>
      </c>
      <c r="AE523" s="698">
        <f>IF(Producción_Agricola[[#This Row],[Fecha Económico]]=0,0,MONTH(Producción_Agricola[[#This Row],[Fecha Económico]]))</f>
        <v>0</v>
      </c>
      <c r="AF523" s="699">
        <f>IF(Producción_Agricola[[#This Row],[Fecha Económico]]=0,0,YEAR(Producción_Agricola[[#This Row],[Fecha Económico]]))</f>
        <v>0</v>
      </c>
      <c r="AG523" s="704">
        <f>SUMPRODUCT((Producción_Agricola[[#This Row],[Mes Económico]]=Tipo_Cambio[Mes])*(Producción_Agricola[[#This Row],[Año Económico]]=Tipo_Cambio[Año])*(Tipo_Cambio[$/U$S]))</f>
        <v>0</v>
      </c>
      <c r="AH523" s="703">
        <f>SUMPRODUCT((Producción_Agricola[[#This Row],[Mes Económico]]=Tipo_Cambio[Mes])*(Producción_Agricola[[#This Row],[Año Económico]]=Tipo_Cambio[Año])*(Tipo_Cambio[Actualización]))</f>
        <v>0</v>
      </c>
      <c r="AI523" s="699">
        <f>IF(ISNUMBER(Producción_Agricola[[#This Row],[Fecha Financiero]])=TRUE,MONTH(Producción_Agricola[[#This Row],[Fecha Financiero]]),0)</f>
        <v>0</v>
      </c>
      <c r="AJ523" s="699">
        <f>IF(ISNUMBER(Producción_Agricola[[#This Row],[Fecha Financiero]])=TRUE,YEAR(Producción_Agricola[[#This Row],[Fecha Financiero]]),0)</f>
        <v>0</v>
      </c>
      <c r="AK523" s="704">
        <f>SUMPRODUCT((Producción_Agricola[[#This Row],[Mes Financiero]]=Tipo_Cambio[Mes])*(Producción_Agricola[[#This Row],[Año Financiero]]=Tipo_Cambio[Año])*(Tipo_Cambio[$/U$S]))</f>
        <v>0</v>
      </c>
      <c r="AL523" s="704">
        <f>SUMPRODUCT((Producción_Agricola[[#This Row],[Mes Financiero]]=Tipo_Cambio[Mes])*(Producción_Agricola[[#This Row],[Año Financiero]]=Tipo_Cambio[Año])*(Tipo_Cambio[Actualización]))</f>
        <v>0</v>
      </c>
      <c r="AM523" s="709">
        <f>IFERROR(Producción_Agricola[[#This Row],[Económico $Corrientes]]/Producción_Agricola[[#This Row],[Superficie]],0)</f>
        <v>0</v>
      </c>
      <c r="AN523" s="712">
        <f>IFERROR(Producción_Agricola[[#This Row],[Económico $Constantes]]/Producción_Agricola[[#This Row],[Superficie]],0)</f>
        <v>0</v>
      </c>
      <c r="AO523" s="712">
        <f>IFERROR(Producción_Agricola[[#This Row],[Económico U$S Dólares]]/Producción_Agricola[[#This Row],[Superficie]],0)</f>
        <v>0</v>
      </c>
      <c r="AP523" s="711">
        <f>IF(Económico!$F$4=0,0,Producción_Agricola[[#This Row],[Centro de Costo]])</f>
        <v>0</v>
      </c>
      <c r="AQ523" s="512"/>
      <c r="AR523" s="513"/>
      <c r="AS523"/>
    </row>
    <row r="524" spans="1:45" x14ac:dyDescent="0.25">
      <c r="A524" s="509"/>
      <c r="B524" s="494"/>
      <c r="C524" s="509"/>
      <c r="D524" s="478"/>
      <c r="E524" s="478"/>
      <c r="F524" s="668">
        <f t="shared" si="65"/>
        <v>0</v>
      </c>
      <c r="G524" s="673">
        <f t="shared" si="66"/>
        <v>0</v>
      </c>
      <c r="H524" s="673">
        <f t="shared" si="67"/>
        <v>0</v>
      </c>
      <c r="I524" s="675">
        <f>IFERROR(INDEX(Tabla8[],MATCH(Producción_Agricola[[#This Row],[Unidad de Negocio]],Tabla8[Unidades de Negocio],0),2),0)</f>
        <v>0</v>
      </c>
      <c r="J52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24" s="488"/>
      <c r="L524" s="482"/>
      <c r="M524" s="483"/>
      <c r="N524" s="484"/>
      <c r="O524" s="690">
        <f>Producción_Agricola[[#This Row],[Superficie]]*Producción_Agricola[[#This Row],[Cantidad]]</f>
        <v>0</v>
      </c>
      <c r="P524" s="482"/>
      <c r="Q524" s="484"/>
      <c r="R524" s="485"/>
      <c r="S52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24" s="695">
        <f>IFERROR(Producción_Agricola[[#This Row],[Económico $Corrientes]]/Producción_Agricola[[#This Row],[Indexación Económico]],0)</f>
        <v>0</v>
      </c>
      <c r="U52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2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24" s="695">
        <f>IFERROR(Producción_Agricola[[#This Row],[Financiero $Corrientes]]/Producción_Agricola[[#This Row],[Indexación Financiero]],0)</f>
        <v>0</v>
      </c>
      <c r="X52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2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24" s="699">
        <f>IFERROR(Producción_Agricola[[#This Row],[Intereses $Corrientes]]/Producción_Agricola[[#This Row],[Indexación Financiero]],0)</f>
        <v>0</v>
      </c>
      <c r="AA52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24" s="701">
        <f>IFERROR(INDEX(Produccion_Agricola_Cuentas[],MATCH(Producción_Agricola[[#This Row],[Cuenta Contable]],Produccion_Agricola_Cuentas[Cuenta Contable],0),2),0)</f>
        <v>0</v>
      </c>
      <c r="AC524" s="702">
        <f>IFERROR(INDEX(Tabla9[],MATCH(Producción_Agricola[[#This Row],[Movimiento]],Tabla9[Movimientos],0),2),0)</f>
        <v>0</v>
      </c>
      <c r="AD524" s="703">
        <f>IFERROR(INDEX(Tabla9[],MATCH(Producción_Agricola[[#This Row],[Movimiento]],Tabla9[Movimientos],0),3),0)</f>
        <v>0</v>
      </c>
      <c r="AE524" s="698">
        <f>IF(Producción_Agricola[[#This Row],[Fecha Económico]]=0,0,MONTH(Producción_Agricola[[#This Row],[Fecha Económico]]))</f>
        <v>0</v>
      </c>
      <c r="AF524" s="699">
        <f>IF(Producción_Agricola[[#This Row],[Fecha Económico]]=0,0,YEAR(Producción_Agricola[[#This Row],[Fecha Económico]]))</f>
        <v>0</v>
      </c>
      <c r="AG524" s="704">
        <f>SUMPRODUCT((Producción_Agricola[[#This Row],[Mes Económico]]=Tipo_Cambio[Mes])*(Producción_Agricola[[#This Row],[Año Económico]]=Tipo_Cambio[Año])*(Tipo_Cambio[$/U$S]))</f>
        <v>0</v>
      </c>
      <c r="AH524" s="703">
        <f>SUMPRODUCT((Producción_Agricola[[#This Row],[Mes Económico]]=Tipo_Cambio[Mes])*(Producción_Agricola[[#This Row],[Año Económico]]=Tipo_Cambio[Año])*(Tipo_Cambio[Actualización]))</f>
        <v>0</v>
      </c>
      <c r="AI524" s="699">
        <f>IF(ISNUMBER(Producción_Agricola[[#This Row],[Fecha Financiero]])=TRUE,MONTH(Producción_Agricola[[#This Row],[Fecha Financiero]]),0)</f>
        <v>0</v>
      </c>
      <c r="AJ524" s="699">
        <f>IF(ISNUMBER(Producción_Agricola[[#This Row],[Fecha Financiero]])=TRUE,YEAR(Producción_Agricola[[#This Row],[Fecha Financiero]]),0)</f>
        <v>0</v>
      </c>
      <c r="AK524" s="704">
        <f>SUMPRODUCT((Producción_Agricola[[#This Row],[Mes Financiero]]=Tipo_Cambio[Mes])*(Producción_Agricola[[#This Row],[Año Financiero]]=Tipo_Cambio[Año])*(Tipo_Cambio[$/U$S]))</f>
        <v>0</v>
      </c>
      <c r="AL524" s="704">
        <f>SUMPRODUCT((Producción_Agricola[[#This Row],[Mes Financiero]]=Tipo_Cambio[Mes])*(Producción_Agricola[[#This Row],[Año Financiero]]=Tipo_Cambio[Año])*(Tipo_Cambio[Actualización]))</f>
        <v>0</v>
      </c>
      <c r="AM524" s="709">
        <f>IFERROR(Producción_Agricola[[#This Row],[Económico $Corrientes]]/Producción_Agricola[[#This Row],[Superficie]],0)</f>
        <v>0</v>
      </c>
      <c r="AN524" s="712">
        <f>IFERROR(Producción_Agricola[[#This Row],[Económico $Constantes]]/Producción_Agricola[[#This Row],[Superficie]],0)</f>
        <v>0</v>
      </c>
      <c r="AO524" s="712">
        <f>IFERROR(Producción_Agricola[[#This Row],[Económico U$S Dólares]]/Producción_Agricola[[#This Row],[Superficie]],0)</f>
        <v>0</v>
      </c>
      <c r="AP524" s="711">
        <f>IF(Económico!$F$4=0,0,Producción_Agricola[[#This Row],[Centro de Costo]])</f>
        <v>0</v>
      </c>
      <c r="AQ524" s="512"/>
      <c r="AR524" s="513"/>
      <c r="AS524"/>
    </row>
    <row r="525" spans="1:45" x14ac:dyDescent="0.25">
      <c r="A525" s="509"/>
      <c r="B525" s="494"/>
      <c r="C525" s="509"/>
      <c r="D525" s="478"/>
      <c r="E525" s="478"/>
      <c r="F525" s="668">
        <f t="shared" si="65"/>
        <v>0</v>
      </c>
      <c r="G525" s="673">
        <f t="shared" si="66"/>
        <v>0</v>
      </c>
      <c r="H525" s="673">
        <f t="shared" si="67"/>
        <v>0</v>
      </c>
      <c r="I525" s="675">
        <f>IFERROR(INDEX(Tabla8[],MATCH(Producción_Agricola[[#This Row],[Unidad de Negocio]],Tabla8[Unidades de Negocio],0),2),0)</f>
        <v>0</v>
      </c>
      <c r="J52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25" s="488"/>
      <c r="L525" s="482"/>
      <c r="M525" s="483"/>
      <c r="N525" s="484"/>
      <c r="O525" s="690">
        <f>Producción_Agricola[[#This Row],[Superficie]]*Producción_Agricola[[#This Row],[Cantidad]]</f>
        <v>0</v>
      </c>
      <c r="P525" s="482"/>
      <c r="Q525" s="484"/>
      <c r="R525" s="485"/>
      <c r="S52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25" s="695">
        <f>IFERROR(Producción_Agricola[[#This Row],[Económico $Corrientes]]/Producción_Agricola[[#This Row],[Indexación Económico]],0)</f>
        <v>0</v>
      </c>
      <c r="U52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2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25" s="695">
        <f>IFERROR(Producción_Agricola[[#This Row],[Financiero $Corrientes]]/Producción_Agricola[[#This Row],[Indexación Financiero]],0)</f>
        <v>0</v>
      </c>
      <c r="X52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2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25" s="699">
        <f>IFERROR(Producción_Agricola[[#This Row],[Intereses $Corrientes]]/Producción_Agricola[[#This Row],[Indexación Financiero]],0)</f>
        <v>0</v>
      </c>
      <c r="AA52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25" s="701">
        <f>IFERROR(INDEX(Produccion_Agricola_Cuentas[],MATCH(Producción_Agricola[[#This Row],[Cuenta Contable]],Produccion_Agricola_Cuentas[Cuenta Contable],0),2),0)</f>
        <v>0</v>
      </c>
      <c r="AC525" s="702">
        <f>IFERROR(INDEX(Tabla9[],MATCH(Producción_Agricola[[#This Row],[Movimiento]],Tabla9[Movimientos],0),2),0)</f>
        <v>0</v>
      </c>
      <c r="AD525" s="703">
        <f>IFERROR(INDEX(Tabla9[],MATCH(Producción_Agricola[[#This Row],[Movimiento]],Tabla9[Movimientos],0),3),0)</f>
        <v>0</v>
      </c>
      <c r="AE525" s="698">
        <f>IF(Producción_Agricola[[#This Row],[Fecha Económico]]=0,0,MONTH(Producción_Agricola[[#This Row],[Fecha Económico]]))</f>
        <v>0</v>
      </c>
      <c r="AF525" s="699">
        <f>IF(Producción_Agricola[[#This Row],[Fecha Económico]]=0,0,YEAR(Producción_Agricola[[#This Row],[Fecha Económico]]))</f>
        <v>0</v>
      </c>
      <c r="AG525" s="704">
        <f>SUMPRODUCT((Producción_Agricola[[#This Row],[Mes Económico]]=Tipo_Cambio[Mes])*(Producción_Agricola[[#This Row],[Año Económico]]=Tipo_Cambio[Año])*(Tipo_Cambio[$/U$S]))</f>
        <v>0</v>
      </c>
      <c r="AH525" s="703">
        <f>SUMPRODUCT((Producción_Agricola[[#This Row],[Mes Económico]]=Tipo_Cambio[Mes])*(Producción_Agricola[[#This Row],[Año Económico]]=Tipo_Cambio[Año])*(Tipo_Cambio[Actualización]))</f>
        <v>0</v>
      </c>
      <c r="AI525" s="699">
        <f>IF(ISNUMBER(Producción_Agricola[[#This Row],[Fecha Financiero]])=TRUE,MONTH(Producción_Agricola[[#This Row],[Fecha Financiero]]),0)</f>
        <v>0</v>
      </c>
      <c r="AJ525" s="699">
        <f>IF(ISNUMBER(Producción_Agricola[[#This Row],[Fecha Financiero]])=TRUE,YEAR(Producción_Agricola[[#This Row],[Fecha Financiero]]),0)</f>
        <v>0</v>
      </c>
      <c r="AK525" s="704">
        <f>SUMPRODUCT((Producción_Agricola[[#This Row],[Mes Financiero]]=Tipo_Cambio[Mes])*(Producción_Agricola[[#This Row],[Año Financiero]]=Tipo_Cambio[Año])*(Tipo_Cambio[$/U$S]))</f>
        <v>0</v>
      </c>
      <c r="AL525" s="704">
        <f>SUMPRODUCT((Producción_Agricola[[#This Row],[Mes Financiero]]=Tipo_Cambio[Mes])*(Producción_Agricola[[#This Row],[Año Financiero]]=Tipo_Cambio[Año])*(Tipo_Cambio[Actualización]))</f>
        <v>0</v>
      </c>
      <c r="AM525" s="709">
        <f>IFERROR(Producción_Agricola[[#This Row],[Económico $Corrientes]]/Producción_Agricola[[#This Row],[Superficie]],0)</f>
        <v>0</v>
      </c>
      <c r="AN525" s="712">
        <f>IFERROR(Producción_Agricola[[#This Row],[Económico $Constantes]]/Producción_Agricola[[#This Row],[Superficie]],0)</f>
        <v>0</v>
      </c>
      <c r="AO525" s="712">
        <f>IFERROR(Producción_Agricola[[#This Row],[Económico U$S Dólares]]/Producción_Agricola[[#This Row],[Superficie]],0)</f>
        <v>0</v>
      </c>
      <c r="AP525" s="711">
        <f>IF(Económico!$F$4=0,0,Producción_Agricola[[#This Row],[Centro de Costo]])</f>
        <v>0</v>
      </c>
      <c r="AQ525" s="512"/>
      <c r="AR525" s="513"/>
      <c r="AS525"/>
    </row>
    <row r="526" spans="1:45" x14ac:dyDescent="0.25">
      <c r="A526" s="509"/>
      <c r="B526" s="494"/>
      <c r="C526" s="509"/>
      <c r="D526" s="478"/>
      <c r="E526" s="478"/>
      <c r="F526" s="668">
        <f t="shared" si="65"/>
        <v>0</v>
      </c>
      <c r="G526" s="673">
        <f t="shared" si="66"/>
        <v>0</v>
      </c>
      <c r="H526" s="673">
        <f t="shared" si="67"/>
        <v>0</v>
      </c>
      <c r="I526" s="675">
        <f>IFERROR(INDEX(Tabla8[],MATCH(Producción_Agricola[[#This Row],[Unidad de Negocio]],Tabla8[Unidades de Negocio],0),2),0)</f>
        <v>0</v>
      </c>
      <c r="J52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26" s="488"/>
      <c r="L526" s="482"/>
      <c r="M526" s="483"/>
      <c r="N526" s="484"/>
      <c r="O526" s="690">
        <f>Producción_Agricola[[#This Row],[Superficie]]*Producción_Agricola[[#This Row],[Cantidad]]</f>
        <v>0</v>
      </c>
      <c r="P526" s="482"/>
      <c r="Q526" s="484"/>
      <c r="R526" s="485"/>
      <c r="S52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26" s="695">
        <f>IFERROR(Producción_Agricola[[#This Row],[Económico $Corrientes]]/Producción_Agricola[[#This Row],[Indexación Económico]],0)</f>
        <v>0</v>
      </c>
      <c r="U52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2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26" s="695">
        <f>IFERROR(Producción_Agricola[[#This Row],[Financiero $Corrientes]]/Producción_Agricola[[#This Row],[Indexación Financiero]],0)</f>
        <v>0</v>
      </c>
      <c r="X52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2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26" s="699">
        <f>IFERROR(Producción_Agricola[[#This Row],[Intereses $Corrientes]]/Producción_Agricola[[#This Row],[Indexación Financiero]],0)</f>
        <v>0</v>
      </c>
      <c r="AA52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26" s="701">
        <f>IFERROR(INDEX(Produccion_Agricola_Cuentas[],MATCH(Producción_Agricola[[#This Row],[Cuenta Contable]],Produccion_Agricola_Cuentas[Cuenta Contable],0),2),0)</f>
        <v>0</v>
      </c>
      <c r="AC526" s="702">
        <f>IFERROR(INDEX(Tabla9[],MATCH(Producción_Agricola[[#This Row],[Movimiento]],Tabla9[Movimientos],0),2),0)</f>
        <v>0</v>
      </c>
      <c r="AD526" s="703">
        <f>IFERROR(INDEX(Tabla9[],MATCH(Producción_Agricola[[#This Row],[Movimiento]],Tabla9[Movimientos],0),3),0)</f>
        <v>0</v>
      </c>
      <c r="AE526" s="698">
        <f>IF(Producción_Agricola[[#This Row],[Fecha Económico]]=0,0,MONTH(Producción_Agricola[[#This Row],[Fecha Económico]]))</f>
        <v>0</v>
      </c>
      <c r="AF526" s="699">
        <f>IF(Producción_Agricola[[#This Row],[Fecha Económico]]=0,0,YEAR(Producción_Agricola[[#This Row],[Fecha Económico]]))</f>
        <v>0</v>
      </c>
      <c r="AG526" s="704">
        <f>SUMPRODUCT((Producción_Agricola[[#This Row],[Mes Económico]]=Tipo_Cambio[Mes])*(Producción_Agricola[[#This Row],[Año Económico]]=Tipo_Cambio[Año])*(Tipo_Cambio[$/U$S]))</f>
        <v>0</v>
      </c>
      <c r="AH526" s="703">
        <f>SUMPRODUCT((Producción_Agricola[[#This Row],[Mes Económico]]=Tipo_Cambio[Mes])*(Producción_Agricola[[#This Row],[Año Económico]]=Tipo_Cambio[Año])*(Tipo_Cambio[Actualización]))</f>
        <v>0</v>
      </c>
      <c r="AI526" s="699">
        <f>IF(ISNUMBER(Producción_Agricola[[#This Row],[Fecha Financiero]])=TRUE,MONTH(Producción_Agricola[[#This Row],[Fecha Financiero]]),0)</f>
        <v>0</v>
      </c>
      <c r="AJ526" s="699">
        <f>IF(ISNUMBER(Producción_Agricola[[#This Row],[Fecha Financiero]])=TRUE,YEAR(Producción_Agricola[[#This Row],[Fecha Financiero]]),0)</f>
        <v>0</v>
      </c>
      <c r="AK526" s="704">
        <f>SUMPRODUCT((Producción_Agricola[[#This Row],[Mes Financiero]]=Tipo_Cambio[Mes])*(Producción_Agricola[[#This Row],[Año Financiero]]=Tipo_Cambio[Año])*(Tipo_Cambio[$/U$S]))</f>
        <v>0</v>
      </c>
      <c r="AL526" s="704">
        <f>SUMPRODUCT((Producción_Agricola[[#This Row],[Mes Financiero]]=Tipo_Cambio[Mes])*(Producción_Agricola[[#This Row],[Año Financiero]]=Tipo_Cambio[Año])*(Tipo_Cambio[Actualización]))</f>
        <v>0</v>
      </c>
      <c r="AM526" s="709">
        <f>IFERROR(Producción_Agricola[[#This Row],[Económico $Corrientes]]/Producción_Agricola[[#This Row],[Superficie]],0)</f>
        <v>0</v>
      </c>
      <c r="AN526" s="712">
        <f>IFERROR(Producción_Agricola[[#This Row],[Económico $Constantes]]/Producción_Agricola[[#This Row],[Superficie]],0)</f>
        <v>0</v>
      </c>
      <c r="AO526" s="712">
        <f>IFERROR(Producción_Agricola[[#This Row],[Económico U$S Dólares]]/Producción_Agricola[[#This Row],[Superficie]],0)</f>
        <v>0</v>
      </c>
      <c r="AP526" s="711">
        <f>IF(Económico!$F$4=0,0,Producción_Agricola[[#This Row],[Centro de Costo]])</f>
        <v>0</v>
      </c>
      <c r="AQ526" s="512"/>
      <c r="AR526" s="513"/>
      <c r="AS526"/>
    </row>
    <row r="527" spans="1:45" x14ac:dyDescent="0.25">
      <c r="A527" s="509"/>
      <c r="B527" s="494"/>
      <c r="C527" s="509"/>
      <c r="D527" s="478"/>
      <c r="E527" s="478"/>
      <c r="F527" s="668">
        <f t="shared" si="65"/>
        <v>0</v>
      </c>
      <c r="G527" s="673">
        <f t="shared" si="66"/>
        <v>0</v>
      </c>
      <c r="H527" s="673">
        <f t="shared" si="67"/>
        <v>0</v>
      </c>
      <c r="I527" s="675">
        <f>IFERROR(INDEX(Tabla8[],MATCH(Producción_Agricola[[#This Row],[Unidad de Negocio]],Tabla8[Unidades de Negocio],0),2),0)</f>
        <v>0</v>
      </c>
      <c r="J52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27" s="488"/>
      <c r="L527" s="482"/>
      <c r="M527" s="483"/>
      <c r="N527" s="484"/>
      <c r="O527" s="690">
        <f>Producción_Agricola[[#This Row],[Superficie]]*Producción_Agricola[[#This Row],[Cantidad]]</f>
        <v>0</v>
      </c>
      <c r="P527" s="482"/>
      <c r="Q527" s="484"/>
      <c r="R527" s="485"/>
      <c r="S52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27" s="695">
        <f>IFERROR(Producción_Agricola[[#This Row],[Económico $Corrientes]]/Producción_Agricola[[#This Row],[Indexación Económico]],0)</f>
        <v>0</v>
      </c>
      <c r="U52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2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27" s="695">
        <f>IFERROR(Producción_Agricola[[#This Row],[Financiero $Corrientes]]/Producción_Agricola[[#This Row],[Indexación Financiero]],0)</f>
        <v>0</v>
      </c>
      <c r="X52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2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27" s="699">
        <f>IFERROR(Producción_Agricola[[#This Row],[Intereses $Corrientes]]/Producción_Agricola[[#This Row],[Indexación Financiero]],0)</f>
        <v>0</v>
      </c>
      <c r="AA52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27" s="701">
        <f>IFERROR(INDEX(Produccion_Agricola_Cuentas[],MATCH(Producción_Agricola[[#This Row],[Cuenta Contable]],Produccion_Agricola_Cuentas[Cuenta Contable],0),2),0)</f>
        <v>0</v>
      </c>
      <c r="AC527" s="702">
        <f>IFERROR(INDEX(Tabla9[],MATCH(Producción_Agricola[[#This Row],[Movimiento]],Tabla9[Movimientos],0),2),0)</f>
        <v>0</v>
      </c>
      <c r="AD527" s="703">
        <f>IFERROR(INDEX(Tabla9[],MATCH(Producción_Agricola[[#This Row],[Movimiento]],Tabla9[Movimientos],0),3),0)</f>
        <v>0</v>
      </c>
      <c r="AE527" s="698">
        <f>IF(Producción_Agricola[[#This Row],[Fecha Económico]]=0,0,MONTH(Producción_Agricola[[#This Row],[Fecha Económico]]))</f>
        <v>0</v>
      </c>
      <c r="AF527" s="699">
        <f>IF(Producción_Agricola[[#This Row],[Fecha Económico]]=0,0,YEAR(Producción_Agricola[[#This Row],[Fecha Económico]]))</f>
        <v>0</v>
      </c>
      <c r="AG527" s="704">
        <f>SUMPRODUCT((Producción_Agricola[[#This Row],[Mes Económico]]=Tipo_Cambio[Mes])*(Producción_Agricola[[#This Row],[Año Económico]]=Tipo_Cambio[Año])*(Tipo_Cambio[$/U$S]))</f>
        <v>0</v>
      </c>
      <c r="AH527" s="703">
        <f>SUMPRODUCT((Producción_Agricola[[#This Row],[Mes Económico]]=Tipo_Cambio[Mes])*(Producción_Agricola[[#This Row],[Año Económico]]=Tipo_Cambio[Año])*(Tipo_Cambio[Actualización]))</f>
        <v>0</v>
      </c>
      <c r="AI527" s="699">
        <f>IF(ISNUMBER(Producción_Agricola[[#This Row],[Fecha Financiero]])=TRUE,MONTH(Producción_Agricola[[#This Row],[Fecha Financiero]]),0)</f>
        <v>0</v>
      </c>
      <c r="AJ527" s="699">
        <f>IF(ISNUMBER(Producción_Agricola[[#This Row],[Fecha Financiero]])=TRUE,YEAR(Producción_Agricola[[#This Row],[Fecha Financiero]]),0)</f>
        <v>0</v>
      </c>
      <c r="AK527" s="704">
        <f>SUMPRODUCT((Producción_Agricola[[#This Row],[Mes Financiero]]=Tipo_Cambio[Mes])*(Producción_Agricola[[#This Row],[Año Financiero]]=Tipo_Cambio[Año])*(Tipo_Cambio[$/U$S]))</f>
        <v>0</v>
      </c>
      <c r="AL527" s="704">
        <f>SUMPRODUCT((Producción_Agricola[[#This Row],[Mes Financiero]]=Tipo_Cambio[Mes])*(Producción_Agricola[[#This Row],[Año Financiero]]=Tipo_Cambio[Año])*(Tipo_Cambio[Actualización]))</f>
        <v>0</v>
      </c>
      <c r="AM527" s="709">
        <f>IFERROR(Producción_Agricola[[#This Row],[Económico $Corrientes]]/Producción_Agricola[[#This Row],[Superficie]],0)</f>
        <v>0</v>
      </c>
      <c r="AN527" s="712">
        <f>IFERROR(Producción_Agricola[[#This Row],[Económico $Constantes]]/Producción_Agricola[[#This Row],[Superficie]],0)</f>
        <v>0</v>
      </c>
      <c r="AO527" s="712">
        <f>IFERROR(Producción_Agricola[[#This Row],[Económico U$S Dólares]]/Producción_Agricola[[#This Row],[Superficie]],0)</f>
        <v>0</v>
      </c>
      <c r="AP527" s="711">
        <f>IF(Económico!$F$4=0,0,Producción_Agricola[[#This Row],[Centro de Costo]])</f>
        <v>0</v>
      </c>
      <c r="AQ527" s="512"/>
      <c r="AR527" s="513"/>
      <c r="AS527"/>
    </row>
    <row r="528" spans="1:45" x14ac:dyDescent="0.25">
      <c r="A528" s="509"/>
      <c r="B528" s="494"/>
      <c r="C528" s="509"/>
      <c r="D528" s="478"/>
      <c r="E528" s="478"/>
      <c r="F528" s="668">
        <f t="shared" si="65"/>
        <v>0</v>
      </c>
      <c r="G528" s="673">
        <f t="shared" si="66"/>
        <v>0</v>
      </c>
      <c r="H528" s="673">
        <f t="shared" si="67"/>
        <v>0</v>
      </c>
      <c r="I528" s="675">
        <f>IFERROR(INDEX(Tabla8[],MATCH(Producción_Agricola[[#This Row],[Unidad de Negocio]],Tabla8[Unidades de Negocio],0),2),0)</f>
        <v>0</v>
      </c>
      <c r="J52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28" s="488"/>
      <c r="L528" s="482"/>
      <c r="M528" s="483"/>
      <c r="N528" s="484"/>
      <c r="O528" s="690">
        <f>Producción_Agricola[[#This Row],[Superficie]]*Producción_Agricola[[#This Row],[Cantidad]]</f>
        <v>0</v>
      </c>
      <c r="P528" s="482"/>
      <c r="Q528" s="484"/>
      <c r="R528" s="485"/>
      <c r="S52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28" s="695">
        <f>IFERROR(Producción_Agricola[[#This Row],[Económico $Corrientes]]/Producción_Agricola[[#This Row],[Indexación Económico]],0)</f>
        <v>0</v>
      </c>
      <c r="U52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2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28" s="695">
        <f>IFERROR(Producción_Agricola[[#This Row],[Financiero $Corrientes]]/Producción_Agricola[[#This Row],[Indexación Financiero]],0)</f>
        <v>0</v>
      </c>
      <c r="X52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2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28" s="699">
        <f>IFERROR(Producción_Agricola[[#This Row],[Intereses $Corrientes]]/Producción_Agricola[[#This Row],[Indexación Financiero]],0)</f>
        <v>0</v>
      </c>
      <c r="AA52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28" s="701">
        <f>IFERROR(INDEX(Produccion_Agricola_Cuentas[],MATCH(Producción_Agricola[[#This Row],[Cuenta Contable]],Produccion_Agricola_Cuentas[Cuenta Contable],0),2),0)</f>
        <v>0</v>
      </c>
      <c r="AC528" s="702">
        <f>IFERROR(INDEX(Tabla9[],MATCH(Producción_Agricola[[#This Row],[Movimiento]],Tabla9[Movimientos],0),2),0)</f>
        <v>0</v>
      </c>
      <c r="AD528" s="703">
        <f>IFERROR(INDEX(Tabla9[],MATCH(Producción_Agricola[[#This Row],[Movimiento]],Tabla9[Movimientos],0),3),0)</f>
        <v>0</v>
      </c>
      <c r="AE528" s="698">
        <f>IF(Producción_Agricola[[#This Row],[Fecha Económico]]=0,0,MONTH(Producción_Agricola[[#This Row],[Fecha Económico]]))</f>
        <v>0</v>
      </c>
      <c r="AF528" s="699">
        <f>IF(Producción_Agricola[[#This Row],[Fecha Económico]]=0,0,YEAR(Producción_Agricola[[#This Row],[Fecha Económico]]))</f>
        <v>0</v>
      </c>
      <c r="AG528" s="704">
        <f>SUMPRODUCT((Producción_Agricola[[#This Row],[Mes Económico]]=Tipo_Cambio[Mes])*(Producción_Agricola[[#This Row],[Año Económico]]=Tipo_Cambio[Año])*(Tipo_Cambio[$/U$S]))</f>
        <v>0</v>
      </c>
      <c r="AH528" s="703">
        <f>SUMPRODUCT((Producción_Agricola[[#This Row],[Mes Económico]]=Tipo_Cambio[Mes])*(Producción_Agricola[[#This Row],[Año Económico]]=Tipo_Cambio[Año])*(Tipo_Cambio[Actualización]))</f>
        <v>0</v>
      </c>
      <c r="AI528" s="699">
        <f>IF(ISNUMBER(Producción_Agricola[[#This Row],[Fecha Financiero]])=TRUE,MONTH(Producción_Agricola[[#This Row],[Fecha Financiero]]),0)</f>
        <v>0</v>
      </c>
      <c r="AJ528" s="699">
        <f>IF(ISNUMBER(Producción_Agricola[[#This Row],[Fecha Financiero]])=TRUE,YEAR(Producción_Agricola[[#This Row],[Fecha Financiero]]),0)</f>
        <v>0</v>
      </c>
      <c r="AK528" s="704">
        <f>SUMPRODUCT((Producción_Agricola[[#This Row],[Mes Financiero]]=Tipo_Cambio[Mes])*(Producción_Agricola[[#This Row],[Año Financiero]]=Tipo_Cambio[Año])*(Tipo_Cambio[$/U$S]))</f>
        <v>0</v>
      </c>
      <c r="AL528" s="704">
        <f>SUMPRODUCT((Producción_Agricola[[#This Row],[Mes Financiero]]=Tipo_Cambio[Mes])*(Producción_Agricola[[#This Row],[Año Financiero]]=Tipo_Cambio[Año])*(Tipo_Cambio[Actualización]))</f>
        <v>0</v>
      </c>
      <c r="AM528" s="709">
        <f>IFERROR(Producción_Agricola[[#This Row],[Económico $Corrientes]]/Producción_Agricola[[#This Row],[Superficie]],0)</f>
        <v>0</v>
      </c>
      <c r="AN528" s="712">
        <f>IFERROR(Producción_Agricola[[#This Row],[Económico $Constantes]]/Producción_Agricola[[#This Row],[Superficie]],0)</f>
        <v>0</v>
      </c>
      <c r="AO528" s="712">
        <f>IFERROR(Producción_Agricola[[#This Row],[Económico U$S Dólares]]/Producción_Agricola[[#This Row],[Superficie]],0)</f>
        <v>0</v>
      </c>
      <c r="AP528" s="711">
        <f>IF(Económico!$F$4=0,0,Producción_Agricola[[#This Row],[Centro de Costo]])</f>
        <v>0</v>
      </c>
      <c r="AQ528" s="512"/>
      <c r="AR528" s="513"/>
      <c r="AS528"/>
    </row>
    <row r="529" spans="1:45" x14ac:dyDescent="0.25">
      <c r="A529" s="509"/>
      <c r="B529" s="494"/>
      <c r="C529" s="509"/>
      <c r="D529" s="478"/>
      <c r="E529" s="478"/>
      <c r="F529" s="668">
        <f t="shared" si="65"/>
        <v>0</v>
      </c>
      <c r="G529" s="673">
        <f t="shared" si="66"/>
        <v>0</v>
      </c>
      <c r="H529" s="673">
        <f t="shared" si="67"/>
        <v>0</v>
      </c>
      <c r="I529" s="675">
        <f>IFERROR(INDEX(Tabla8[],MATCH(Producción_Agricola[[#This Row],[Unidad de Negocio]],Tabla8[Unidades de Negocio],0),2),0)</f>
        <v>0</v>
      </c>
      <c r="J52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29" s="488"/>
      <c r="L529" s="482"/>
      <c r="M529" s="483"/>
      <c r="N529" s="484"/>
      <c r="O529" s="690">
        <f>Producción_Agricola[[#This Row],[Superficie]]*Producción_Agricola[[#This Row],[Cantidad]]</f>
        <v>0</v>
      </c>
      <c r="P529" s="482"/>
      <c r="Q529" s="484"/>
      <c r="R529" s="485"/>
      <c r="S52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29" s="695">
        <f>IFERROR(Producción_Agricola[[#This Row],[Económico $Corrientes]]/Producción_Agricola[[#This Row],[Indexación Económico]],0)</f>
        <v>0</v>
      </c>
      <c r="U52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2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29" s="695">
        <f>IFERROR(Producción_Agricola[[#This Row],[Financiero $Corrientes]]/Producción_Agricola[[#This Row],[Indexación Financiero]],0)</f>
        <v>0</v>
      </c>
      <c r="X52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2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29" s="699">
        <f>IFERROR(Producción_Agricola[[#This Row],[Intereses $Corrientes]]/Producción_Agricola[[#This Row],[Indexación Financiero]],0)</f>
        <v>0</v>
      </c>
      <c r="AA52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29" s="701">
        <f>IFERROR(INDEX(Produccion_Agricola_Cuentas[],MATCH(Producción_Agricola[[#This Row],[Cuenta Contable]],Produccion_Agricola_Cuentas[Cuenta Contable],0),2),0)</f>
        <v>0</v>
      </c>
      <c r="AC529" s="702">
        <f>IFERROR(INDEX(Tabla9[],MATCH(Producción_Agricola[[#This Row],[Movimiento]],Tabla9[Movimientos],0),2),0)</f>
        <v>0</v>
      </c>
      <c r="AD529" s="703">
        <f>IFERROR(INDEX(Tabla9[],MATCH(Producción_Agricola[[#This Row],[Movimiento]],Tabla9[Movimientos],0),3),0)</f>
        <v>0</v>
      </c>
      <c r="AE529" s="698">
        <f>IF(Producción_Agricola[[#This Row],[Fecha Económico]]=0,0,MONTH(Producción_Agricola[[#This Row],[Fecha Económico]]))</f>
        <v>0</v>
      </c>
      <c r="AF529" s="699">
        <f>IF(Producción_Agricola[[#This Row],[Fecha Económico]]=0,0,YEAR(Producción_Agricola[[#This Row],[Fecha Económico]]))</f>
        <v>0</v>
      </c>
      <c r="AG529" s="704">
        <f>SUMPRODUCT((Producción_Agricola[[#This Row],[Mes Económico]]=Tipo_Cambio[Mes])*(Producción_Agricola[[#This Row],[Año Económico]]=Tipo_Cambio[Año])*(Tipo_Cambio[$/U$S]))</f>
        <v>0</v>
      </c>
      <c r="AH529" s="703">
        <f>SUMPRODUCT((Producción_Agricola[[#This Row],[Mes Económico]]=Tipo_Cambio[Mes])*(Producción_Agricola[[#This Row],[Año Económico]]=Tipo_Cambio[Año])*(Tipo_Cambio[Actualización]))</f>
        <v>0</v>
      </c>
      <c r="AI529" s="699">
        <f>IF(ISNUMBER(Producción_Agricola[[#This Row],[Fecha Financiero]])=TRUE,MONTH(Producción_Agricola[[#This Row],[Fecha Financiero]]),0)</f>
        <v>0</v>
      </c>
      <c r="AJ529" s="699">
        <f>IF(ISNUMBER(Producción_Agricola[[#This Row],[Fecha Financiero]])=TRUE,YEAR(Producción_Agricola[[#This Row],[Fecha Financiero]]),0)</f>
        <v>0</v>
      </c>
      <c r="AK529" s="704">
        <f>SUMPRODUCT((Producción_Agricola[[#This Row],[Mes Financiero]]=Tipo_Cambio[Mes])*(Producción_Agricola[[#This Row],[Año Financiero]]=Tipo_Cambio[Año])*(Tipo_Cambio[$/U$S]))</f>
        <v>0</v>
      </c>
      <c r="AL529" s="704">
        <f>SUMPRODUCT((Producción_Agricola[[#This Row],[Mes Financiero]]=Tipo_Cambio[Mes])*(Producción_Agricola[[#This Row],[Año Financiero]]=Tipo_Cambio[Año])*(Tipo_Cambio[Actualización]))</f>
        <v>0</v>
      </c>
      <c r="AM529" s="709">
        <f>IFERROR(Producción_Agricola[[#This Row],[Económico $Corrientes]]/Producción_Agricola[[#This Row],[Superficie]],0)</f>
        <v>0</v>
      </c>
      <c r="AN529" s="712">
        <f>IFERROR(Producción_Agricola[[#This Row],[Económico $Constantes]]/Producción_Agricola[[#This Row],[Superficie]],0)</f>
        <v>0</v>
      </c>
      <c r="AO529" s="712">
        <f>IFERROR(Producción_Agricola[[#This Row],[Económico U$S Dólares]]/Producción_Agricola[[#This Row],[Superficie]],0)</f>
        <v>0</v>
      </c>
      <c r="AP529" s="711">
        <f>IF(Económico!$F$4=0,0,Producción_Agricola[[#This Row],[Centro de Costo]])</f>
        <v>0</v>
      </c>
      <c r="AQ529" s="512"/>
      <c r="AR529" s="513"/>
      <c r="AS529"/>
    </row>
    <row r="530" spans="1:45" x14ac:dyDescent="0.25">
      <c r="A530" s="509"/>
      <c r="B530" s="494"/>
      <c r="C530" s="509"/>
      <c r="D530" s="478"/>
      <c r="E530" s="478"/>
      <c r="F530" s="668">
        <f t="shared" si="65"/>
        <v>0</v>
      </c>
      <c r="G530" s="673">
        <f t="shared" si="66"/>
        <v>0</v>
      </c>
      <c r="H530" s="673">
        <f t="shared" si="67"/>
        <v>0</v>
      </c>
      <c r="I530" s="675">
        <f>IFERROR(INDEX(Tabla8[],MATCH(Producción_Agricola[[#This Row],[Unidad de Negocio]],Tabla8[Unidades de Negocio],0),2),0)</f>
        <v>0</v>
      </c>
      <c r="J53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30" s="488"/>
      <c r="L530" s="482"/>
      <c r="M530" s="483"/>
      <c r="N530" s="484"/>
      <c r="O530" s="690">
        <f>Producción_Agricola[[#This Row],[Superficie]]*Producción_Agricola[[#This Row],[Cantidad]]</f>
        <v>0</v>
      </c>
      <c r="P530" s="482"/>
      <c r="Q530" s="484"/>
      <c r="R530" s="485"/>
      <c r="S53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30" s="695">
        <f>IFERROR(Producción_Agricola[[#This Row],[Económico $Corrientes]]/Producción_Agricola[[#This Row],[Indexación Económico]],0)</f>
        <v>0</v>
      </c>
      <c r="U53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3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30" s="695">
        <f>IFERROR(Producción_Agricola[[#This Row],[Financiero $Corrientes]]/Producción_Agricola[[#This Row],[Indexación Financiero]],0)</f>
        <v>0</v>
      </c>
      <c r="X53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3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30" s="699">
        <f>IFERROR(Producción_Agricola[[#This Row],[Intereses $Corrientes]]/Producción_Agricola[[#This Row],[Indexación Financiero]],0)</f>
        <v>0</v>
      </c>
      <c r="AA53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30" s="701">
        <f>IFERROR(INDEX(Produccion_Agricola_Cuentas[],MATCH(Producción_Agricola[[#This Row],[Cuenta Contable]],Produccion_Agricola_Cuentas[Cuenta Contable],0),2),0)</f>
        <v>0</v>
      </c>
      <c r="AC530" s="702">
        <f>IFERROR(INDEX(Tabla9[],MATCH(Producción_Agricola[[#This Row],[Movimiento]],Tabla9[Movimientos],0),2),0)</f>
        <v>0</v>
      </c>
      <c r="AD530" s="703">
        <f>IFERROR(INDEX(Tabla9[],MATCH(Producción_Agricola[[#This Row],[Movimiento]],Tabla9[Movimientos],0),3),0)</f>
        <v>0</v>
      </c>
      <c r="AE530" s="698">
        <f>IF(Producción_Agricola[[#This Row],[Fecha Económico]]=0,0,MONTH(Producción_Agricola[[#This Row],[Fecha Económico]]))</f>
        <v>0</v>
      </c>
      <c r="AF530" s="699">
        <f>IF(Producción_Agricola[[#This Row],[Fecha Económico]]=0,0,YEAR(Producción_Agricola[[#This Row],[Fecha Económico]]))</f>
        <v>0</v>
      </c>
      <c r="AG530" s="704">
        <f>SUMPRODUCT((Producción_Agricola[[#This Row],[Mes Económico]]=Tipo_Cambio[Mes])*(Producción_Agricola[[#This Row],[Año Económico]]=Tipo_Cambio[Año])*(Tipo_Cambio[$/U$S]))</f>
        <v>0</v>
      </c>
      <c r="AH530" s="703">
        <f>SUMPRODUCT((Producción_Agricola[[#This Row],[Mes Económico]]=Tipo_Cambio[Mes])*(Producción_Agricola[[#This Row],[Año Económico]]=Tipo_Cambio[Año])*(Tipo_Cambio[Actualización]))</f>
        <v>0</v>
      </c>
      <c r="AI530" s="699">
        <f>IF(ISNUMBER(Producción_Agricola[[#This Row],[Fecha Financiero]])=TRUE,MONTH(Producción_Agricola[[#This Row],[Fecha Financiero]]),0)</f>
        <v>0</v>
      </c>
      <c r="AJ530" s="699">
        <f>IF(ISNUMBER(Producción_Agricola[[#This Row],[Fecha Financiero]])=TRUE,YEAR(Producción_Agricola[[#This Row],[Fecha Financiero]]),0)</f>
        <v>0</v>
      </c>
      <c r="AK530" s="704">
        <f>SUMPRODUCT((Producción_Agricola[[#This Row],[Mes Financiero]]=Tipo_Cambio[Mes])*(Producción_Agricola[[#This Row],[Año Financiero]]=Tipo_Cambio[Año])*(Tipo_Cambio[$/U$S]))</f>
        <v>0</v>
      </c>
      <c r="AL530" s="704">
        <f>SUMPRODUCT((Producción_Agricola[[#This Row],[Mes Financiero]]=Tipo_Cambio[Mes])*(Producción_Agricola[[#This Row],[Año Financiero]]=Tipo_Cambio[Año])*(Tipo_Cambio[Actualización]))</f>
        <v>0</v>
      </c>
      <c r="AM530" s="709">
        <f>IFERROR(Producción_Agricola[[#This Row],[Económico $Corrientes]]/Producción_Agricola[[#This Row],[Superficie]],0)</f>
        <v>0</v>
      </c>
      <c r="AN530" s="712">
        <f>IFERROR(Producción_Agricola[[#This Row],[Económico $Constantes]]/Producción_Agricola[[#This Row],[Superficie]],0)</f>
        <v>0</v>
      </c>
      <c r="AO530" s="712">
        <f>IFERROR(Producción_Agricola[[#This Row],[Económico U$S Dólares]]/Producción_Agricola[[#This Row],[Superficie]],0)</f>
        <v>0</v>
      </c>
      <c r="AP530" s="711">
        <f>IF(Económico!$F$4=0,0,Producción_Agricola[[#This Row],[Centro de Costo]])</f>
        <v>0</v>
      </c>
      <c r="AQ530" s="512"/>
      <c r="AR530" s="513"/>
      <c r="AS530"/>
    </row>
    <row r="531" spans="1:45" x14ac:dyDescent="0.25">
      <c r="A531" s="509"/>
      <c r="B531" s="494"/>
      <c r="C531" s="509"/>
      <c r="D531" s="478"/>
      <c r="E531" s="478"/>
      <c r="F531" s="668">
        <f t="shared" si="65"/>
        <v>0</v>
      </c>
      <c r="G531" s="673">
        <f t="shared" si="66"/>
        <v>0</v>
      </c>
      <c r="H531" s="673">
        <f t="shared" si="67"/>
        <v>0</v>
      </c>
      <c r="I531" s="675">
        <f>IFERROR(INDEX(Tabla8[],MATCH(Producción_Agricola[[#This Row],[Unidad de Negocio]],Tabla8[Unidades de Negocio],0),2),0)</f>
        <v>0</v>
      </c>
      <c r="J53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31" s="488"/>
      <c r="L531" s="482"/>
      <c r="M531" s="483"/>
      <c r="N531" s="484"/>
      <c r="O531" s="690">
        <f>Producción_Agricola[[#This Row],[Superficie]]*Producción_Agricola[[#This Row],[Cantidad]]</f>
        <v>0</v>
      </c>
      <c r="P531" s="482"/>
      <c r="Q531" s="484"/>
      <c r="R531" s="485"/>
      <c r="S53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31" s="695">
        <f>IFERROR(Producción_Agricola[[#This Row],[Económico $Corrientes]]/Producción_Agricola[[#This Row],[Indexación Económico]],0)</f>
        <v>0</v>
      </c>
      <c r="U53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3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31" s="695">
        <f>IFERROR(Producción_Agricola[[#This Row],[Financiero $Corrientes]]/Producción_Agricola[[#This Row],[Indexación Financiero]],0)</f>
        <v>0</v>
      </c>
      <c r="X53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3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31" s="699">
        <f>IFERROR(Producción_Agricola[[#This Row],[Intereses $Corrientes]]/Producción_Agricola[[#This Row],[Indexación Financiero]],0)</f>
        <v>0</v>
      </c>
      <c r="AA53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31" s="701">
        <f>IFERROR(INDEX(Produccion_Agricola_Cuentas[],MATCH(Producción_Agricola[[#This Row],[Cuenta Contable]],Produccion_Agricola_Cuentas[Cuenta Contable],0),2),0)</f>
        <v>0</v>
      </c>
      <c r="AC531" s="702">
        <f>IFERROR(INDEX(Tabla9[],MATCH(Producción_Agricola[[#This Row],[Movimiento]],Tabla9[Movimientos],0),2),0)</f>
        <v>0</v>
      </c>
      <c r="AD531" s="703">
        <f>IFERROR(INDEX(Tabla9[],MATCH(Producción_Agricola[[#This Row],[Movimiento]],Tabla9[Movimientos],0),3),0)</f>
        <v>0</v>
      </c>
      <c r="AE531" s="698">
        <f>IF(Producción_Agricola[[#This Row],[Fecha Económico]]=0,0,MONTH(Producción_Agricola[[#This Row],[Fecha Económico]]))</f>
        <v>0</v>
      </c>
      <c r="AF531" s="699">
        <f>IF(Producción_Agricola[[#This Row],[Fecha Económico]]=0,0,YEAR(Producción_Agricola[[#This Row],[Fecha Económico]]))</f>
        <v>0</v>
      </c>
      <c r="AG531" s="704">
        <f>SUMPRODUCT((Producción_Agricola[[#This Row],[Mes Económico]]=Tipo_Cambio[Mes])*(Producción_Agricola[[#This Row],[Año Económico]]=Tipo_Cambio[Año])*(Tipo_Cambio[$/U$S]))</f>
        <v>0</v>
      </c>
      <c r="AH531" s="703">
        <f>SUMPRODUCT((Producción_Agricola[[#This Row],[Mes Económico]]=Tipo_Cambio[Mes])*(Producción_Agricola[[#This Row],[Año Económico]]=Tipo_Cambio[Año])*(Tipo_Cambio[Actualización]))</f>
        <v>0</v>
      </c>
      <c r="AI531" s="699">
        <f>IF(ISNUMBER(Producción_Agricola[[#This Row],[Fecha Financiero]])=TRUE,MONTH(Producción_Agricola[[#This Row],[Fecha Financiero]]),0)</f>
        <v>0</v>
      </c>
      <c r="AJ531" s="699">
        <f>IF(ISNUMBER(Producción_Agricola[[#This Row],[Fecha Financiero]])=TRUE,YEAR(Producción_Agricola[[#This Row],[Fecha Financiero]]),0)</f>
        <v>0</v>
      </c>
      <c r="AK531" s="704">
        <f>SUMPRODUCT((Producción_Agricola[[#This Row],[Mes Financiero]]=Tipo_Cambio[Mes])*(Producción_Agricola[[#This Row],[Año Financiero]]=Tipo_Cambio[Año])*(Tipo_Cambio[$/U$S]))</f>
        <v>0</v>
      </c>
      <c r="AL531" s="704">
        <f>SUMPRODUCT((Producción_Agricola[[#This Row],[Mes Financiero]]=Tipo_Cambio[Mes])*(Producción_Agricola[[#This Row],[Año Financiero]]=Tipo_Cambio[Año])*(Tipo_Cambio[Actualización]))</f>
        <v>0</v>
      </c>
      <c r="AM531" s="709">
        <f>IFERROR(Producción_Agricola[[#This Row],[Económico $Corrientes]]/Producción_Agricola[[#This Row],[Superficie]],0)</f>
        <v>0</v>
      </c>
      <c r="AN531" s="712">
        <f>IFERROR(Producción_Agricola[[#This Row],[Económico $Constantes]]/Producción_Agricola[[#This Row],[Superficie]],0)</f>
        <v>0</v>
      </c>
      <c r="AO531" s="712">
        <f>IFERROR(Producción_Agricola[[#This Row],[Económico U$S Dólares]]/Producción_Agricola[[#This Row],[Superficie]],0)</f>
        <v>0</v>
      </c>
      <c r="AP531" s="711">
        <f>IF(Económico!$F$4=0,0,Producción_Agricola[[#This Row],[Centro de Costo]])</f>
        <v>0</v>
      </c>
      <c r="AQ531" s="512"/>
      <c r="AR531" s="513"/>
      <c r="AS531"/>
    </row>
    <row r="532" spans="1:45" x14ac:dyDescent="0.25">
      <c r="A532" s="509"/>
      <c r="B532" s="494"/>
      <c r="C532" s="509"/>
      <c r="D532" s="478"/>
      <c r="E532" s="478"/>
      <c r="F532" s="668">
        <f t="shared" si="65"/>
        <v>0</v>
      </c>
      <c r="G532" s="673">
        <f t="shared" si="66"/>
        <v>0</v>
      </c>
      <c r="H532" s="673">
        <f t="shared" si="67"/>
        <v>0</v>
      </c>
      <c r="I532" s="675">
        <f>IFERROR(INDEX(Tabla8[],MATCH(Producción_Agricola[[#This Row],[Unidad de Negocio]],Tabla8[Unidades de Negocio],0),2),0)</f>
        <v>0</v>
      </c>
      <c r="J53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32" s="488"/>
      <c r="L532" s="482"/>
      <c r="M532" s="483"/>
      <c r="N532" s="484"/>
      <c r="O532" s="690">
        <f>Producción_Agricola[[#This Row],[Superficie]]*Producción_Agricola[[#This Row],[Cantidad]]</f>
        <v>0</v>
      </c>
      <c r="P532" s="482"/>
      <c r="Q532" s="484"/>
      <c r="R532" s="485"/>
      <c r="S53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32" s="695">
        <f>IFERROR(Producción_Agricola[[#This Row],[Económico $Corrientes]]/Producción_Agricola[[#This Row],[Indexación Económico]],0)</f>
        <v>0</v>
      </c>
      <c r="U53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3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32" s="695">
        <f>IFERROR(Producción_Agricola[[#This Row],[Financiero $Corrientes]]/Producción_Agricola[[#This Row],[Indexación Financiero]],0)</f>
        <v>0</v>
      </c>
      <c r="X53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3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32" s="699">
        <f>IFERROR(Producción_Agricola[[#This Row],[Intereses $Corrientes]]/Producción_Agricola[[#This Row],[Indexación Financiero]],0)</f>
        <v>0</v>
      </c>
      <c r="AA53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32" s="701">
        <f>IFERROR(INDEX(Produccion_Agricola_Cuentas[],MATCH(Producción_Agricola[[#This Row],[Cuenta Contable]],Produccion_Agricola_Cuentas[Cuenta Contable],0),2),0)</f>
        <v>0</v>
      </c>
      <c r="AC532" s="702">
        <f>IFERROR(INDEX(Tabla9[],MATCH(Producción_Agricola[[#This Row],[Movimiento]],Tabla9[Movimientos],0),2),0)</f>
        <v>0</v>
      </c>
      <c r="AD532" s="703">
        <f>IFERROR(INDEX(Tabla9[],MATCH(Producción_Agricola[[#This Row],[Movimiento]],Tabla9[Movimientos],0),3),0)</f>
        <v>0</v>
      </c>
      <c r="AE532" s="698">
        <f>IF(Producción_Agricola[[#This Row],[Fecha Económico]]=0,0,MONTH(Producción_Agricola[[#This Row],[Fecha Económico]]))</f>
        <v>0</v>
      </c>
      <c r="AF532" s="699">
        <f>IF(Producción_Agricola[[#This Row],[Fecha Económico]]=0,0,YEAR(Producción_Agricola[[#This Row],[Fecha Económico]]))</f>
        <v>0</v>
      </c>
      <c r="AG532" s="704">
        <f>SUMPRODUCT((Producción_Agricola[[#This Row],[Mes Económico]]=Tipo_Cambio[Mes])*(Producción_Agricola[[#This Row],[Año Económico]]=Tipo_Cambio[Año])*(Tipo_Cambio[$/U$S]))</f>
        <v>0</v>
      </c>
      <c r="AH532" s="703">
        <f>SUMPRODUCT((Producción_Agricola[[#This Row],[Mes Económico]]=Tipo_Cambio[Mes])*(Producción_Agricola[[#This Row],[Año Económico]]=Tipo_Cambio[Año])*(Tipo_Cambio[Actualización]))</f>
        <v>0</v>
      </c>
      <c r="AI532" s="699">
        <f>IF(ISNUMBER(Producción_Agricola[[#This Row],[Fecha Financiero]])=TRUE,MONTH(Producción_Agricola[[#This Row],[Fecha Financiero]]),0)</f>
        <v>0</v>
      </c>
      <c r="AJ532" s="699">
        <f>IF(ISNUMBER(Producción_Agricola[[#This Row],[Fecha Financiero]])=TRUE,YEAR(Producción_Agricola[[#This Row],[Fecha Financiero]]),0)</f>
        <v>0</v>
      </c>
      <c r="AK532" s="704">
        <f>SUMPRODUCT((Producción_Agricola[[#This Row],[Mes Financiero]]=Tipo_Cambio[Mes])*(Producción_Agricola[[#This Row],[Año Financiero]]=Tipo_Cambio[Año])*(Tipo_Cambio[$/U$S]))</f>
        <v>0</v>
      </c>
      <c r="AL532" s="704">
        <f>SUMPRODUCT((Producción_Agricola[[#This Row],[Mes Financiero]]=Tipo_Cambio[Mes])*(Producción_Agricola[[#This Row],[Año Financiero]]=Tipo_Cambio[Año])*(Tipo_Cambio[Actualización]))</f>
        <v>0</v>
      </c>
      <c r="AM532" s="709">
        <f>IFERROR(Producción_Agricola[[#This Row],[Económico $Corrientes]]/Producción_Agricola[[#This Row],[Superficie]],0)</f>
        <v>0</v>
      </c>
      <c r="AN532" s="712">
        <f>IFERROR(Producción_Agricola[[#This Row],[Económico $Constantes]]/Producción_Agricola[[#This Row],[Superficie]],0)</f>
        <v>0</v>
      </c>
      <c r="AO532" s="712">
        <f>IFERROR(Producción_Agricola[[#This Row],[Económico U$S Dólares]]/Producción_Agricola[[#This Row],[Superficie]],0)</f>
        <v>0</v>
      </c>
      <c r="AP532" s="711">
        <f>IF(Económico!$F$4=0,0,Producción_Agricola[[#This Row],[Centro de Costo]])</f>
        <v>0</v>
      </c>
      <c r="AQ532" s="512"/>
      <c r="AR532" s="513"/>
      <c r="AS532"/>
    </row>
    <row r="533" spans="1:45" x14ac:dyDescent="0.25">
      <c r="A533" s="509"/>
      <c r="B533" s="494"/>
      <c r="C533" s="509"/>
      <c r="D533" s="478"/>
      <c r="E533" s="478"/>
      <c r="F533" s="668">
        <f t="shared" si="65"/>
        <v>0</v>
      </c>
      <c r="G533" s="673">
        <f t="shared" si="66"/>
        <v>0</v>
      </c>
      <c r="H533" s="673">
        <f t="shared" si="67"/>
        <v>0</v>
      </c>
      <c r="I533" s="675">
        <f>IFERROR(INDEX(Tabla8[],MATCH(Producción_Agricola[[#This Row],[Unidad de Negocio]],Tabla8[Unidades de Negocio],0),2),0)</f>
        <v>0</v>
      </c>
      <c r="J53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33" s="488"/>
      <c r="L533" s="482"/>
      <c r="M533" s="483"/>
      <c r="N533" s="484"/>
      <c r="O533" s="690">
        <f>Producción_Agricola[[#This Row],[Superficie]]*Producción_Agricola[[#This Row],[Cantidad]]</f>
        <v>0</v>
      </c>
      <c r="P533" s="482"/>
      <c r="Q533" s="484"/>
      <c r="R533" s="485"/>
      <c r="S53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33" s="695">
        <f>IFERROR(Producción_Agricola[[#This Row],[Económico $Corrientes]]/Producción_Agricola[[#This Row],[Indexación Económico]],0)</f>
        <v>0</v>
      </c>
      <c r="U53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3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33" s="695">
        <f>IFERROR(Producción_Agricola[[#This Row],[Financiero $Corrientes]]/Producción_Agricola[[#This Row],[Indexación Financiero]],0)</f>
        <v>0</v>
      </c>
      <c r="X53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3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33" s="699">
        <f>IFERROR(Producción_Agricola[[#This Row],[Intereses $Corrientes]]/Producción_Agricola[[#This Row],[Indexación Financiero]],0)</f>
        <v>0</v>
      </c>
      <c r="AA53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33" s="701">
        <f>IFERROR(INDEX(Produccion_Agricola_Cuentas[],MATCH(Producción_Agricola[[#This Row],[Cuenta Contable]],Produccion_Agricola_Cuentas[Cuenta Contable],0),2),0)</f>
        <v>0</v>
      </c>
      <c r="AC533" s="702">
        <f>IFERROR(INDEX(Tabla9[],MATCH(Producción_Agricola[[#This Row],[Movimiento]],Tabla9[Movimientos],0),2),0)</f>
        <v>0</v>
      </c>
      <c r="AD533" s="703">
        <f>IFERROR(INDEX(Tabla9[],MATCH(Producción_Agricola[[#This Row],[Movimiento]],Tabla9[Movimientos],0),3),0)</f>
        <v>0</v>
      </c>
      <c r="AE533" s="698">
        <f>IF(Producción_Agricola[[#This Row],[Fecha Económico]]=0,0,MONTH(Producción_Agricola[[#This Row],[Fecha Económico]]))</f>
        <v>0</v>
      </c>
      <c r="AF533" s="699">
        <f>IF(Producción_Agricola[[#This Row],[Fecha Económico]]=0,0,YEAR(Producción_Agricola[[#This Row],[Fecha Económico]]))</f>
        <v>0</v>
      </c>
      <c r="AG533" s="704">
        <f>SUMPRODUCT((Producción_Agricola[[#This Row],[Mes Económico]]=Tipo_Cambio[Mes])*(Producción_Agricola[[#This Row],[Año Económico]]=Tipo_Cambio[Año])*(Tipo_Cambio[$/U$S]))</f>
        <v>0</v>
      </c>
      <c r="AH533" s="703">
        <f>SUMPRODUCT((Producción_Agricola[[#This Row],[Mes Económico]]=Tipo_Cambio[Mes])*(Producción_Agricola[[#This Row],[Año Económico]]=Tipo_Cambio[Año])*(Tipo_Cambio[Actualización]))</f>
        <v>0</v>
      </c>
      <c r="AI533" s="699">
        <f>IF(ISNUMBER(Producción_Agricola[[#This Row],[Fecha Financiero]])=TRUE,MONTH(Producción_Agricola[[#This Row],[Fecha Financiero]]),0)</f>
        <v>0</v>
      </c>
      <c r="AJ533" s="699">
        <f>IF(ISNUMBER(Producción_Agricola[[#This Row],[Fecha Financiero]])=TRUE,YEAR(Producción_Agricola[[#This Row],[Fecha Financiero]]),0)</f>
        <v>0</v>
      </c>
      <c r="AK533" s="704">
        <f>SUMPRODUCT((Producción_Agricola[[#This Row],[Mes Financiero]]=Tipo_Cambio[Mes])*(Producción_Agricola[[#This Row],[Año Financiero]]=Tipo_Cambio[Año])*(Tipo_Cambio[$/U$S]))</f>
        <v>0</v>
      </c>
      <c r="AL533" s="704">
        <f>SUMPRODUCT((Producción_Agricola[[#This Row],[Mes Financiero]]=Tipo_Cambio[Mes])*(Producción_Agricola[[#This Row],[Año Financiero]]=Tipo_Cambio[Año])*(Tipo_Cambio[Actualización]))</f>
        <v>0</v>
      </c>
      <c r="AM533" s="709">
        <f>IFERROR(Producción_Agricola[[#This Row],[Económico $Corrientes]]/Producción_Agricola[[#This Row],[Superficie]],0)</f>
        <v>0</v>
      </c>
      <c r="AN533" s="712">
        <f>IFERROR(Producción_Agricola[[#This Row],[Económico $Constantes]]/Producción_Agricola[[#This Row],[Superficie]],0)</f>
        <v>0</v>
      </c>
      <c r="AO533" s="712">
        <f>IFERROR(Producción_Agricola[[#This Row],[Económico U$S Dólares]]/Producción_Agricola[[#This Row],[Superficie]],0)</f>
        <v>0</v>
      </c>
      <c r="AP533" s="711">
        <f>IF(Económico!$F$4=0,0,Producción_Agricola[[#This Row],[Centro de Costo]])</f>
        <v>0</v>
      </c>
      <c r="AQ533" s="512"/>
      <c r="AR533" s="513"/>
      <c r="AS533"/>
    </row>
    <row r="534" spans="1:45" x14ac:dyDescent="0.25">
      <c r="A534" s="509"/>
      <c r="B534" s="494"/>
      <c r="C534" s="509"/>
      <c r="D534" s="478"/>
      <c r="E534" s="478"/>
      <c r="F534" s="668">
        <f t="shared" si="65"/>
        <v>0</v>
      </c>
      <c r="G534" s="673">
        <f t="shared" si="66"/>
        <v>0</v>
      </c>
      <c r="H534" s="673">
        <f t="shared" si="67"/>
        <v>0</v>
      </c>
      <c r="I534" s="675">
        <f>IFERROR(INDEX(Tabla8[],MATCH(Producción_Agricola[[#This Row],[Unidad de Negocio]],Tabla8[Unidades de Negocio],0),2),0)</f>
        <v>0</v>
      </c>
      <c r="J53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34" s="488"/>
      <c r="L534" s="482"/>
      <c r="M534" s="483"/>
      <c r="N534" s="484"/>
      <c r="O534" s="690">
        <f>Producción_Agricola[[#This Row],[Superficie]]*Producción_Agricola[[#This Row],[Cantidad]]</f>
        <v>0</v>
      </c>
      <c r="P534" s="482"/>
      <c r="Q534" s="484"/>
      <c r="R534" s="485"/>
      <c r="S53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34" s="695">
        <f>IFERROR(Producción_Agricola[[#This Row],[Económico $Corrientes]]/Producción_Agricola[[#This Row],[Indexación Económico]],0)</f>
        <v>0</v>
      </c>
      <c r="U53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3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34" s="695">
        <f>IFERROR(Producción_Agricola[[#This Row],[Financiero $Corrientes]]/Producción_Agricola[[#This Row],[Indexación Financiero]],0)</f>
        <v>0</v>
      </c>
      <c r="X53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3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34" s="699">
        <f>IFERROR(Producción_Agricola[[#This Row],[Intereses $Corrientes]]/Producción_Agricola[[#This Row],[Indexación Financiero]],0)</f>
        <v>0</v>
      </c>
      <c r="AA53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34" s="701">
        <f>IFERROR(INDEX(Produccion_Agricola_Cuentas[],MATCH(Producción_Agricola[[#This Row],[Cuenta Contable]],Produccion_Agricola_Cuentas[Cuenta Contable],0),2),0)</f>
        <v>0</v>
      </c>
      <c r="AC534" s="702">
        <f>IFERROR(INDEX(Tabla9[],MATCH(Producción_Agricola[[#This Row],[Movimiento]],Tabla9[Movimientos],0),2),0)</f>
        <v>0</v>
      </c>
      <c r="AD534" s="703">
        <f>IFERROR(INDEX(Tabla9[],MATCH(Producción_Agricola[[#This Row],[Movimiento]],Tabla9[Movimientos],0),3),0)</f>
        <v>0</v>
      </c>
      <c r="AE534" s="698">
        <f>IF(Producción_Agricola[[#This Row],[Fecha Económico]]=0,0,MONTH(Producción_Agricola[[#This Row],[Fecha Económico]]))</f>
        <v>0</v>
      </c>
      <c r="AF534" s="699">
        <f>IF(Producción_Agricola[[#This Row],[Fecha Económico]]=0,0,YEAR(Producción_Agricola[[#This Row],[Fecha Económico]]))</f>
        <v>0</v>
      </c>
      <c r="AG534" s="704">
        <f>SUMPRODUCT((Producción_Agricola[[#This Row],[Mes Económico]]=Tipo_Cambio[Mes])*(Producción_Agricola[[#This Row],[Año Económico]]=Tipo_Cambio[Año])*(Tipo_Cambio[$/U$S]))</f>
        <v>0</v>
      </c>
      <c r="AH534" s="703">
        <f>SUMPRODUCT((Producción_Agricola[[#This Row],[Mes Económico]]=Tipo_Cambio[Mes])*(Producción_Agricola[[#This Row],[Año Económico]]=Tipo_Cambio[Año])*(Tipo_Cambio[Actualización]))</f>
        <v>0</v>
      </c>
      <c r="AI534" s="699">
        <f>IF(ISNUMBER(Producción_Agricola[[#This Row],[Fecha Financiero]])=TRUE,MONTH(Producción_Agricola[[#This Row],[Fecha Financiero]]),0)</f>
        <v>0</v>
      </c>
      <c r="AJ534" s="699">
        <f>IF(ISNUMBER(Producción_Agricola[[#This Row],[Fecha Financiero]])=TRUE,YEAR(Producción_Agricola[[#This Row],[Fecha Financiero]]),0)</f>
        <v>0</v>
      </c>
      <c r="AK534" s="704">
        <f>SUMPRODUCT((Producción_Agricola[[#This Row],[Mes Financiero]]=Tipo_Cambio[Mes])*(Producción_Agricola[[#This Row],[Año Financiero]]=Tipo_Cambio[Año])*(Tipo_Cambio[$/U$S]))</f>
        <v>0</v>
      </c>
      <c r="AL534" s="704">
        <f>SUMPRODUCT((Producción_Agricola[[#This Row],[Mes Financiero]]=Tipo_Cambio[Mes])*(Producción_Agricola[[#This Row],[Año Financiero]]=Tipo_Cambio[Año])*(Tipo_Cambio[Actualización]))</f>
        <v>0</v>
      </c>
      <c r="AM534" s="709">
        <f>IFERROR(Producción_Agricola[[#This Row],[Económico $Corrientes]]/Producción_Agricola[[#This Row],[Superficie]],0)</f>
        <v>0</v>
      </c>
      <c r="AN534" s="712">
        <f>IFERROR(Producción_Agricola[[#This Row],[Económico $Constantes]]/Producción_Agricola[[#This Row],[Superficie]],0)</f>
        <v>0</v>
      </c>
      <c r="AO534" s="712">
        <f>IFERROR(Producción_Agricola[[#This Row],[Económico U$S Dólares]]/Producción_Agricola[[#This Row],[Superficie]],0)</f>
        <v>0</v>
      </c>
      <c r="AP534" s="711">
        <f>IF(Económico!$F$4=0,0,Producción_Agricola[[#This Row],[Centro de Costo]])</f>
        <v>0</v>
      </c>
      <c r="AQ534" s="512"/>
      <c r="AR534" s="513"/>
      <c r="AS534"/>
    </row>
    <row r="535" spans="1:45" x14ac:dyDescent="0.25">
      <c r="A535" s="509"/>
      <c r="B535" s="494"/>
      <c r="C535" s="509"/>
      <c r="D535" s="478"/>
      <c r="E535" s="478"/>
      <c r="F535" s="668">
        <f t="shared" si="65"/>
        <v>0</v>
      </c>
      <c r="G535" s="673">
        <f t="shared" si="66"/>
        <v>0</v>
      </c>
      <c r="H535" s="673">
        <f t="shared" si="67"/>
        <v>0</v>
      </c>
      <c r="I535" s="675">
        <f>IFERROR(INDEX(Tabla8[],MATCH(Producción_Agricola[[#This Row],[Unidad de Negocio]],Tabla8[Unidades de Negocio],0),2),0)</f>
        <v>0</v>
      </c>
      <c r="J53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35" s="488"/>
      <c r="L535" s="482"/>
      <c r="M535" s="483"/>
      <c r="N535" s="484"/>
      <c r="O535" s="690">
        <f>Producción_Agricola[[#This Row],[Superficie]]*Producción_Agricola[[#This Row],[Cantidad]]</f>
        <v>0</v>
      </c>
      <c r="P535" s="482"/>
      <c r="Q535" s="484"/>
      <c r="R535" s="485"/>
      <c r="S53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35" s="695">
        <f>IFERROR(Producción_Agricola[[#This Row],[Económico $Corrientes]]/Producción_Agricola[[#This Row],[Indexación Económico]],0)</f>
        <v>0</v>
      </c>
      <c r="U53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3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35" s="695">
        <f>IFERROR(Producción_Agricola[[#This Row],[Financiero $Corrientes]]/Producción_Agricola[[#This Row],[Indexación Financiero]],0)</f>
        <v>0</v>
      </c>
      <c r="X53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3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35" s="699">
        <f>IFERROR(Producción_Agricola[[#This Row],[Intereses $Corrientes]]/Producción_Agricola[[#This Row],[Indexación Financiero]],0)</f>
        <v>0</v>
      </c>
      <c r="AA53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35" s="701">
        <f>IFERROR(INDEX(Produccion_Agricola_Cuentas[],MATCH(Producción_Agricola[[#This Row],[Cuenta Contable]],Produccion_Agricola_Cuentas[Cuenta Contable],0),2),0)</f>
        <v>0</v>
      </c>
      <c r="AC535" s="702">
        <f>IFERROR(INDEX(Tabla9[],MATCH(Producción_Agricola[[#This Row],[Movimiento]],Tabla9[Movimientos],0),2),0)</f>
        <v>0</v>
      </c>
      <c r="AD535" s="703">
        <f>IFERROR(INDEX(Tabla9[],MATCH(Producción_Agricola[[#This Row],[Movimiento]],Tabla9[Movimientos],0),3),0)</f>
        <v>0</v>
      </c>
      <c r="AE535" s="698">
        <f>IF(Producción_Agricola[[#This Row],[Fecha Económico]]=0,0,MONTH(Producción_Agricola[[#This Row],[Fecha Económico]]))</f>
        <v>0</v>
      </c>
      <c r="AF535" s="699">
        <f>IF(Producción_Agricola[[#This Row],[Fecha Económico]]=0,0,YEAR(Producción_Agricola[[#This Row],[Fecha Económico]]))</f>
        <v>0</v>
      </c>
      <c r="AG535" s="704">
        <f>SUMPRODUCT((Producción_Agricola[[#This Row],[Mes Económico]]=Tipo_Cambio[Mes])*(Producción_Agricola[[#This Row],[Año Económico]]=Tipo_Cambio[Año])*(Tipo_Cambio[$/U$S]))</f>
        <v>0</v>
      </c>
      <c r="AH535" s="703">
        <f>SUMPRODUCT((Producción_Agricola[[#This Row],[Mes Económico]]=Tipo_Cambio[Mes])*(Producción_Agricola[[#This Row],[Año Económico]]=Tipo_Cambio[Año])*(Tipo_Cambio[Actualización]))</f>
        <v>0</v>
      </c>
      <c r="AI535" s="699">
        <f>IF(ISNUMBER(Producción_Agricola[[#This Row],[Fecha Financiero]])=TRUE,MONTH(Producción_Agricola[[#This Row],[Fecha Financiero]]),0)</f>
        <v>0</v>
      </c>
      <c r="AJ535" s="699">
        <f>IF(ISNUMBER(Producción_Agricola[[#This Row],[Fecha Financiero]])=TRUE,YEAR(Producción_Agricola[[#This Row],[Fecha Financiero]]),0)</f>
        <v>0</v>
      </c>
      <c r="AK535" s="704">
        <f>SUMPRODUCT((Producción_Agricola[[#This Row],[Mes Financiero]]=Tipo_Cambio[Mes])*(Producción_Agricola[[#This Row],[Año Financiero]]=Tipo_Cambio[Año])*(Tipo_Cambio[$/U$S]))</f>
        <v>0</v>
      </c>
      <c r="AL535" s="704">
        <f>SUMPRODUCT((Producción_Agricola[[#This Row],[Mes Financiero]]=Tipo_Cambio[Mes])*(Producción_Agricola[[#This Row],[Año Financiero]]=Tipo_Cambio[Año])*(Tipo_Cambio[Actualización]))</f>
        <v>0</v>
      </c>
      <c r="AM535" s="709">
        <f>IFERROR(Producción_Agricola[[#This Row],[Económico $Corrientes]]/Producción_Agricola[[#This Row],[Superficie]],0)</f>
        <v>0</v>
      </c>
      <c r="AN535" s="712">
        <f>IFERROR(Producción_Agricola[[#This Row],[Económico $Constantes]]/Producción_Agricola[[#This Row],[Superficie]],0)</f>
        <v>0</v>
      </c>
      <c r="AO535" s="712">
        <f>IFERROR(Producción_Agricola[[#This Row],[Económico U$S Dólares]]/Producción_Agricola[[#This Row],[Superficie]],0)</f>
        <v>0</v>
      </c>
      <c r="AP535" s="711">
        <f>IF(Económico!$F$4=0,0,Producción_Agricola[[#This Row],[Centro de Costo]])</f>
        <v>0</v>
      </c>
      <c r="AQ535" s="512"/>
      <c r="AR535" s="513"/>
      <c r="AS535"/>
    </row>
    <row r="536" spans="1:45" x14ac:dyDescent="0.25">
      <c r="A536" s="509"/>
      <c r="B536" s="494"/>
      <c r="C536" s="509"/>
      <c r="D536" s="478"/>
      <c r="E536" s="478"/>
      <c r="F536" s="668">
        <f t="shared" si="65"/>
        <v>0</v>
      </c>
      <c r="G536" s="673">
        <f t="shared" si="66"/>
        <v>0</v>
      </c>
      <c r="H536" s="673">
        <f t="shared" si="67"/>
        <v>0</v>
      </c>
      <c r="I536" s="675">
        <f>IFERROR(INDEX(Tabla8[],MATCH(Producción_Agricola[[#This Row],[Unidad de Negocio]],Tabla8[Unidades de Negocio],0),2),0)</f>
        <v>0</v>
      </c>
      <c r="J53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36" s="488"/>
      <c r="L536" s="482"/>
      <c r="M536" s="483"/>
      <c r="N536" s="484"/>
      <c r="O536" s="690">
        <f>Producción_Agricola[[#This Row],[Superficie]]*Producción_Agricola[[#This Row],[Cantidad]]</f>
        <v>0</v>
      </c>
      <c r="P536" s="482"/>
      <c r="Q536" s="484"/>
      <c r="R536" s="485"/>
      <c r="S53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36" s="695">
        <f>IFERROR(Producción_Agricola[[#This Row],[Económico $Corrientes]]/Producción_Agricola[[#This Row],[Indexación Económico]],0)</f>
        <v>0</v>
      </c>
      <c r="U53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3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36" s="695">
        <f>IFERROR(Producción_Agricola[[#This Row],[Financiero $Corrientes]]/Producción_Agricola[[#This Row],[Indexación Financiero]],0)</f>
        <v>0</v>
      </c>
      <c r="X53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3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36" s="699">
        <f>IFERROR(Producción_Agricola[[#This Row],[Intereses $Corrientes]]/Producción_Agricola[[#This Row],[Indexación Financiero]],0)</f>
        <v>0</v>
      </c>
      <c r="AA53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36" s="701">
        <f>IFERROR(INDEX(Produccion_Agricola_Cuentas[],MATCH(Producción_Agricola[[#This Row],[Cuenta Contable]],Produccion_Agricola_Cuentas[Cuenta Contable],0),2),0)</f>
        <v>0</v>
      </c>
      <c r="AC536" s="702">
        <f>IFERROR(INDEX(Tabla9[],MATCH(Producción_Agricola[[#This Row],[Movimiento]],Tabla9[Movimientos],0),2),0)</f>
        <v>0</v>
      </c>
      <c r="AD536" s="703">
        <f>IFERROR(INDEX(Tabla9[],MATCH(Producción_Agricola[[#This Row],[Movimiento]],Tabla9[Movimientos],0),3),0)</f>
        <v>0</v>
      </c>
      <c r="AE536" s="698">
        <f>IF(Producción_Agricola[[#This Row],[Fecha Económico]]=0,0,MONTH(Producción_Agricola[[#This Row],[Fecha Económico]]))</f>
        <v>0</v>
      </c>
      <c r="AF536" s="699">
        <f>IF(Producción_Agricola[[#This Row],[Fecha Económico]]=0,0,YEAR(Producción_Agricola[[#This Row],[Fecha Económico]]))</f>
        <v>0</v>
      </c>
      <c r="AG536" s="704">
        <f>SUMPRODUCT((Producción_Agricola[[#This Row],[Mes Económico]]=Tipo_Cambio[Mes])*(Producción_Agricola[[#This Row],[Año Económico]]=Tipo_Cambio[Año])*(Tipo_Cambio[$/U$S]))</f>
        <v>0</v>
      </c>
      <c r="AH536" s="703">
        <f>SUMPRODUCT((Producción_Agricola[[#This Row],[Mes Económico]]=Tipo_Cambio[Mes])*(Producción_Agricola[[#This Row],[Año Económico]]=Tipo_Cambio[Año])*(Tipo_Cambio[Actualización]))</f>
        <v>0</v>
      </c>
      <c r="AI536" s="699">
        <f>IF(ISNUMBER(Producción_Agricola[[#This Row],[Fecha Financiero]])=TRUE,MONTH(Producción_Agricola[[#This Row],[Fecha Financiero]]),0)</f>
        <v>0</v>
      </c>
      <c r="AJ536" s="699">
        <f>IF(ISNUMBER(Producción_Agricola[[#This Row],[Fecha Financiero]])=TRUE,YEAR(Producción_Agricola[[#This Row],[Fecha Financiero]]),0)</f>
        <v>0</v>
      </c>
      <c r="AK536" s="704">
        <f>SUMPRODUCT((Producción_Agricola[[#This Row],[Mes Financiero]]=Tipo_Cambio[Mes])*(Producción_Agricola[[#This Row],[Año Financiero]]=Tipo_Cambio[Año])*(Tipo_Cambio[$/U$S]))</f>
        <v>0</v>
      </c>
      <c r="AL536" s="704">
        <f>SUMPRODUCT((Producción_Agricola[[#This Row],[Mes Financiero]]=Tipo_Cambio[Mes])*(Producción_Agricola[[#This Row],[Año Financiero]]=Tipo_Cambio[Año])*(Tipo_Cambio[Actualización]))</f>
        <v>0</v>
      </c>
      <c r="AM536" s="709">
        <f>IFERROR(Producción_Agricola[[#This Row],[Económico $Corrientes]]/Producción_Agricola[[#This Row],[Superficie]],0)</f>
        <v>0</v>
      </c>
      <c r="AN536" s="712">
        <f>IFERROR(Producción_Agricola[[#This Row],[Económico $Constantes]]/Producción_Agricola[[#This Row],[Superficie]],0)</f>
        <v>0</v>
      </c>
      <c r="AO536" s="712">
        <f>IFERROR(Producción_Agricola[[#This Row],[Económico U$S Dólares]]/Producción_Agricola[[#This Row],[Superficie]],0)</f>
        <v>0</v>
      </c>
      <c r="AP536" s="711">
        <f>IF(Económico!$F$4=0,0,Producción_Agricola[[#This Row],[Centro de Costo]])</f>
        <v>0</v>
      </c>
      <c r="AQ536" s="512"/>
      <c r="AR536" s="513"/>
      <c r="AS536"/>
    </row>
    <row r="537" spans="1:45" x14ac:dyDescent="0.25">
      <c r="A537" s="509"/>
      <c r="B537" s="494"/>
      <c r="C537" s="509"/>
      <c r="D537" s="478"/>
      <c r="E537" s="478"/>
      <c r="F537" s="668">
        <f t="shared" si="65"/>
        <v>0</v>
      </c>
      <c r="G537" s="673">
        <f t="shared" si="66"/>
        <v>0</v>
      </c>
      <c r="H537" s="673">
        <f t="shared" si="67"/>
        <v>0</v>
      </c>
      <c r="I537" s="675">
        <f>IFERROR(INDEX(Tabla8[],MATCH(Producción_Agricola[[#This Row],[Unidad de Negocio]],Tabla8[Unidades de Negocio],0),2),0)</f>
        <v>0</v>
      </c>
      <c r="J53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37" s="488"/>
      <c r="L537" s="482"/>
      <c r="M537" s="483"/>
      <c r="N537" s="484"/>
      <c r="O537" s="690">
        <f>Producción_Agricola[[#This Row],[Superficie]]*Producción_Agricola[[#This Row],[Cantidad]]</f>
        <v>0</v>
      </c>
      <c r="P537" s="482"/>
      <c r="Q537" s="484"/>
      <c r="R537" s="485"/>
      <c r="S53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37" s="695">
        <f>IFERROR(Producción_Agricola[[#This Row],[Económico $Corrientes]]/Producción_Agricola[[#This Row],[Indexación Económico]],0)</f>
        <v>0</v>
      </c>
      <c r="U53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3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37" s="695">
        <f>IFERROR(Producción_Agricola[[#This Row],[Financiero $Corrientes]]/Producción_Agricola[[#This Row],[Indexación Financiero]],0)</f>
        <v>0</v>
      </c>
      <c r="X53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3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37" s="699">
        <f>IFERROR(Producción_Agricola[[#This Row],[Intereses $Corrientes]]/Producción_Agricola[[#This Row],[Indexación Financiero]],0)</f>
        <v>0</v>
      </c>
      <c r="AA53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37" s="701">
        <f>IFERROR(INDEX(Produccion_Agricola_Cuentas[],MATCH(Producción_Agricola[[#This Row],[Cuenta Contable]],Produccion_Agricola_Cuentas[Cuenta Contable],0),2),0)</f>
        <v>0</v>
      </c>
      <c r="AC537" s="702">
        <f>IFERROR(INDEX(Tabla9[],MATCH(Producción_Agricola[[#This Row],[Movimiento]],Tabla9[Movimientos],0),2),0)</f>
        <v>0</v>
      </c>
      <c r="AD537" s="703">
        <f>IFERROR(INDEX(Tabla9[],MATCH(Producción_Agricola[[#This Row],[Movimiento]],Tabla9[Movimientos],0),3),0)</f>
        <v>0</v>
      </c>
      <c r="AE537" s="698">
        <f>IF(Producción_Agricola[[#This Row],[Fecha Económico]]=0,0,MONTH(Producción_Agricola[[#This Row],[Fecha Económico]]))</f>
        <v>0</v>
      </c>
      <c r="AF537" s="699">
        <f>IF(Producción_Agricola[[#This Row],[Fecha Económico]]=0,0,YEAR(Producción_Agricola[[#This Row],[Fecha Económico]]))</f>
        <v>0</v>
      </c>
      <c r="AG537" s="704">
        <f>SUMPRODUCT((Producción_Agricola[[#This Row],[Mes Económico]]=Tipo_Cambio[Mes])*(Producción_Agricola[[#This Row],[Año Económico]]=Tipo_Cambio[Año])*(Tipo_Cambio[$/U$S]))</f>
        <v>0</v>
      </c>
      <c r="AH537" s="703">
        <f>SUMPRODUCT((Producción_Agricola[[#This Row],[Mes Económico]]=Tipo_Cambio[Mes])*(Producción_Agricola[[#This Row],[Año Económico]]=Tipo_Cambio[Año])*(Tipo_Cambio[Actualización]))</f>
        <v>0</v>
      </c>
      <c r="AI537" s="699">
        <f>IF(ISNUMBER(Producción_Agricola[[#This Row],[Fecha Financiero]])=TRUE,MONTH(Producción_Agricola[[#This Row],[Fecha Financiero]]),0)</f>
        <v>0</v>
      </c>
      <c r="AJ537" s="699">
        <f>IF(ISNUMBER(Producción_Agricola[[#This Row],[Fecha Financiero]])=TRUE,YEAR(Producción_Agricola[[#This Row],[Fecha Financiero]]),0)</f>
        <v>0</v>
      </c>
      <c r="AK537" s="704">
        <f>SUMPRODUCT((Producción_Agricola[[#This Row],[Mes Financiero]]=Tipo_Cambio[Mes])*(Producción_Agricola[[#This Row],[Año Financiero]]=Tipo_Cambio[Año])*(Tipo_Cambio[$/U$S]))</f>
        <v>0</v>
      </c>
      <c r="AL537" s="704">
        <f>SUMPRODUCT((Producción_Agricola[[#This Row],[Mes Financiero]]=Tipo_Cambio[Mes])*(Producción_Agricola[[#This Row],[Año Financiero]]=Tipo_Cambio[Año])*(Tipo_Cambio[Actualización]))</f>
        <v>0</v>
      </c>
      <c r="AM537" s="709">
        <f>IFERROR(Producción_Agricola[[#This Row],[Económico $Corrientes]]/Producción_Agricola[[#This Row],[Superficie]],0)</f>
        <v>0</v>
      </c>
      <c r="AN537" s="712">
        <f>IFERROR(Producción_Agricola[[#This Row],[Económico $Constantes]]/Producción_Agricola[[#This Row],[Superficie]],0)</f>
        <v>0</v>
      </c>
      <c r="AO537" s="712">
        <f>IFERROR(Producción_Agricola[[#This Row],[Económico U$S Dólares]]/Producción_Agricola[[#This Row],[Superficie]],0)</f>
        <v>0</v>
      </c>
      <c r="AP537" s="711">
        <f>IF(Económico!$F$4=0,0,Producción_Agricola[[#This Row],[Centro de Costo]])</f>
        <v>0</v>
      </c>
      <c r="AQ537" s="512"/>
      <c r="AR537" s="513"/>
      <c r="AS537"/>
    </row>
    <row r="538" spans="1:45" x14ac:dyDescent="0.25">
      <c r="A538" s="509"/>
      <c r="B538" s="494"/>
      <c r="C538" s="509"/>
      <c r="D538" s="478"/>
      <c r="E538" s="478"/>
      <c r="F538" s="668">
        <f t="shared" si="65"/>
        <v>0</v>
      </c>
      <c r="G538" s="673">
        <f t="shared" si="66"/>
        <v>0</v>
      </c>
      <c r="H538" s="673">
        <f t="shared" si="67"/>
        <v>0</v>
      </c>
      <c r="I538" s="675">
        <f>IFERROR(INDEX(Tabla8[],MATCH(Producción_Agricola[[#This Row],[Unidad de Negocio]],Tabla8[Unidades de Negocio],0),2),0)</f>
        <v>0</v>
      </c>
      <c r="J53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38" s="488"/>
      <c r="L538" s="482"/>
      <c r="M538" s="483"/>
      <c r="N538" s="484"/>
      <c r="O538" s="690">
        <f>Producción_Agricola[[#This Row],[Superficie]]*Producción_Agricola[[#This Row],[Cantidad]]</f>
        <v>0</v>
      </c>
      <c r="P538" s="482"/>
      <c r="Q538" s="484"/>
      <c r="R538" s="485"/>
      <c r="S53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38" s="695">
        <f>IFERROR(Producción_Agricola[[#This Row],[Económico $Corrientes]]/Producción_Agricola[[#This Row],[Indexación Económico]],0)</f>
        <v>0</v>
      </c>
      <c r="U53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3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38" s="695">
        <f>IFERROR(Producción_Agricola[[#This Row],[Financiero $Corrientes]]/Producción_Agricola[[#This Row],[Indexación Financiero]],0)</f>
        <v>0</v>
      </c>
      <c r="X53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3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38" s="699">
        <f>IFERROR(Producción_Agricola[[#This Row],[Intereses $Corrientes]]/Producción_Agricola[[#This Row],[Indexación Financiero]],0)</f>
        <v>0</v>
      </c>
      <c r="AA53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38" s="701">
        <f>IFERROR(INDEX(Produccion_Agricola_Cuentas[],MATCH(Producción_Agricola[[#This Row],[Cuenta Contable]],Produccion_Agricola_Cuentas[Cuenta Contable],0),2),0)</f>
        <v>0</v>
      </c>
      <c r="AC538" s="702">
        <f>IFERROR(INDEX(Tabla9[],MATCH(Producción_Agricola[[#This Row],[Movimiento]],Tabla9[Movimientos],0),2),0)</f>
        <v>0</v>
      </c>
      <c r="AD538" s="703">
        <f>IFERROR(INDEX(Tabla9[],MATCH(Producción_Agricola[[#This Row],[Movimiento]],Tabla9[Movimientos],0),3),0)</f>
        <v>0</v>
      </c>
      <c r="AE538" s="698">
        <f>IF(Producción_Agricola[[#This Row],[Fecha Económico]]=0,0,MONTH(Producción_Agricola[[#This Row],[Fecha Económico]]))</f>
        <v>0</v>
      </c>
      <c r="AF538" s="699">
        <f>IF(Producción_Agricola[[#This Row],[Fecha Económico]]=0,0,YEAR(Producción_Agricola[[#This Row],[Fecha Económico]]))</f>
        <v>0</v>
      </c>
      <c r="AG538" s="704">
        <f>SUMPRODUCT((Producción_Agricola[[#This Row],[Mes Económico]]=Tipo_Cambio[Mes])*(Producción_Agricola[[#This Row],[Año Económico]]=Tipo_Cambio[Año])*(Tipo_Cambio[$/U$S]))</f>
        <v>0</v>
      </c>
      <c r="AH538" s="703">
        <f>SUMPRODUCT((Producción_Agricola[[#This Row],[Mes Económico]]=Tipo_Cambio[Mes])*(Producción_Agricola[[#This Row],[Año Económico]]=Tipo_Cambio[Año])*(Tipo_Cambio[Actualización]))</f>
        <v>0</v>
      </c>
      <c r="AI538" s="699">
        <f>IF(ISNUMBER(Producción_Agricola[[#This Row],[Fecha Financiero]])=TRUE,MONTH(Producción_Agricola[[#This Row],[Fecha Financiero]]),0)</f>
        <v>0</v>
      </c>
      <c r="AJ538" s="699">
        <f>IF(ISNUMBER(Producción_Agricola[[#This Row],[Fecha Financiero]])=TRUE,YEAR(Producción_Agricola[[#This Row],[Fecha Financiero]]),0)</f>
        <v>0</v>
      </c>
      <c r="AK538" s="704">
        <f>SUMPRODUCT((Producción_Agricola[[#This Row],[Mes Financiero]]=Tipo_Cambio[Mes])*(Producción_Agricola[[#This Row],[Año Financiero]]=Tipo_Cambio[Año])*(Tipo_Cambio[$/U$S]))</f>
        <v>0</v>
      </c>
      <c r="AL538" s="704">
        <f>SUMPRODUCT((Producción_Agricola[[#This Row],[Mes Financiero]]=Tipo_Cambio[Mes])*(Producción_Agricola[[#This Row],[Año Financiero]]=Tipo_Cambio[Año])*(Tipo_Cambio[Actualización]))</f>
        <v>0</v>
      </c>
      <c r="AM538" s="709">
        <f>IFERROR(Producción_Agricola[[#This Row],[Económico $Corrientes]]/Producción_Agricola[[#This Row],[Superficie]],0)</f>
        <v>0</v>
      </c>
      <c r="AN538" s="712">
        <f>IFERROR(Producción_Agricola[[#This Row],[Económico $Constantes]]/Producción_Agricola[[#This Row],[Superficie]],0)</f>
        <v>0</v>
      </c>
      <c r="AO538" s="712">
        <f>IFERROR(Producción_Agricola[[#This Row],[Económico U$S Dólares]]/Producción_Agricola[[#This Row],[Superficie]],0)</f>
        <v>0</v>
      </c>
      <c r="AP538" s="711">
        <f>IF(Económico!$F$4=0,0,Producción_Agricola[[#This Row],[Centro de Costo]])</f>
        <v>0</v>
      </c>
      <c r="AQ538" s="512"/>
      <c r="AR538" s="513"/>
      <c r="AS538"/>
    </row>
    <row r="539" spans="1:45" x14ac:dyDescent="0.25">
      <c r="A539" s="509"/>
      <c r="B539" s="494"/>
      <c r="C539" s="509"/>
      <c r="D539" s="478"/>
      <c r="E539" s="478"/>
      <c r="F539" s="668">
        <f t="shared" si="65"/>
        <v>0</v>
      </c>
      <c r="G539" s="673">
        <f t="shared" si="66"/>
        <v>0</v>
      </c>
      <c r="H539" s="673">
        <f t="shared" si="67"/>
        <v>0</v>
      </c>
      <c r="I539" s="675">
        <f>IFERROR(INDEX(Tabla8[],MATCH(Producción_Agricola[[#This Row],[Unidad de Negocio]],Tabla8[Unidades de Negocio],0),2),0)</f>
        <v>0</v>
      </c>
      <c r="J53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39" s="488"/>
      <c r="L539" s="482"/>
      <c r="M539" s="483"/>
      <c r="N539" s="484"/>
      <c r="O539" s="690">
        <f>Producción_Agricola[[#This Row],[Superficie]]*Producción_Agricola[[#This Row],[Cantidad]]</f>
        <v>0</v>
      </c>
      <c r="P539" s="482"/>
      <c r="Q539" s="484"/>
      <c r="R539" s="485"/>
      <c r="S53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39" s="695">
        <f>IFERROR(Producción_Agricola[[#This Row],[Económico $Corrientes]]/Producción_Agricola[[#This Row],[Indexación Económico]],0)</f>
        <v>0</v>
      </c>
      <c r="U53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3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39" s="695">
        <f>IFERROR(Producción_Agricola[[#This Row],[Financiero $Corrientes]]/Producción_Agricola[[#This Row],[Indexación Financiero]],0)</f>
        <v>0</v>
      </c>
      <c r="X53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3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39" s="699">
        <f>IFERROR(Producción_Agricola[[#This Row],[Intereses $Corrientes]]/Producción_Agricola[[#This Row],[Indexación Financiero]],0)</f>
        <v>0</v>
      </c>
      <c r="AA53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39" s="701">
        <f>IFERROR(INDEX(Produccion_Agricola_Cuentas[],MATCH(Producción_Agricola[[#This Row],[Cuenta Contable]],Produccion_Agricola_Cuentas[Cuenta Contable],0),2),0)</f>
        <v>0</v>
      </c>
      <c r="AC539" s="702">
        <f>IFERROR(INDEX(Tabla9[],MATCH(Producción_Agricola[[#This Row],[Movimiento]],Tabla9[Movimientos],0),2),0)</f>
        <v>0</v>
      </c>
      <c r="AD539" s="703">
        <f>IFERROR(INDEX(Tabla9[],MATCH(Producción_Agricola[[#This Row],[Movimiento]],Tabla9[Movimientos],0),3),0)</f>
        <v>0</v>
      </c>
      <c r="AE539" s="698">
        <f>IF(Producción_Agricola[[#This Row],[Fecha Económico]]=0,0,MONTH(Producción_Agricola[[#This Row],[Fecha Económico]]))</f>
        <v>0</v>
      </c>
      <c r="AF539" s="699">
        <f>IF(Producción_Agricola[[#This Row],[Fecha Económico]]=0,0,YEAR(Producción_Agricola[[#This Row],[Fecha Económico]]))</f>
        <v>0</v>
      </c>
      <c r="AG539" s="704">
        <f>SUMPRODUCT((Producción_Agricola[[#This Row],[Mes Económico]]=Tipo_Cambio[Mes])*(Producción_Agricola[[#This Row],[Año Económico]]=Tipo_Cambio[Año])*(Tipo_Cambio[$/U$S]))</f>
        <v>0</v>
      </c>
      <c r="AH539" s="703">
        <f>SUMPRODUCT((Producción_Agricola[[#This Row],[Mes Económico]]=Tipo_Cambio[Mes])*(Producción_Agricola[[#This Row],[Año Económico]]=Tipo_Cambio[Año])*(Tipo_Cambio[Actualización]))</f>
        <v>0</v>
      </c>
      <c r="AI539" s="699">
        <f>IF(ISNUMBER(Producción_Agricola[[#This Row],[Fecha Financiero]])=TRUE,MONTH(Producción_Agricola[[#This Row],[Fecha Financiero]]),0)</f>
        <v>0</v>
      </c>
      <c r="AJ539" s="699">
        <f>IF(ISNUMBER(Producción_Agricola[[#This Row],[Fecha Financiero]])=TRUE,YEAR(Producción_Agricola[[#This Row],[Fecha Financiero]]),0)</f>
        <v>0</v>
      </c>
      <c r="AK539" s="704">
        <f>SUMPRODUCT((Producción_Agricola[[#This Row],[Mes Financiero]]=Tipo_Cambio[Mes])*(Producción_Agricola[[#This Row],[Año Financiero]]=Tipo_Cambio[Año])*(Tipo_Cambio[$/U$S]))</f>
        <v>0</v>
      </c>
      <c r="AL539" s="704">
        <f>SUMPRODUCT((Producción_Agricola[[#This Row],[Mes Financiero]]=Tipo_Cambio[Mes])*(Producción_Agricola[[#This Row],[Año Financiero]]=Tipo_Cambio[Año])*(Tipo_Cambio[Actualización]))</f>
        <v>0</v>
      </c>
      <c r="AM539" s="709">
        <f>IFERROR(Producción_Agricola[[#This Row],[Económico $Corrientes]]/Producción_Agricola[[#This Row],[Superficie]],0)</f>
        <v>0</v>
      </c>
      <c r="AN539" s="712">
        <f>IFERROR(Producción_Agricola[[#This Row],[Económico $Constantes]]/Producción_Agricola[[#This Row],[Superficie]],0)</f>
        <v>0</v>
      </c>
      <c r="AO539" s="712">
        <f>IFERROR(Producción_Agricola[[#This Row],[Económico U$S Dólares]]/Producción_Agricola[[#This Row],[Superficie]],0)</f>
        <v>0</v>
      </c>
      <c r="AP539" s="711">
        <f>IF(Económico!$F$4=0,0,Producción_Agricola[[#This Row],[Centro de Costo]])</f>
        <v>0</v>
      </c>
      <c r="AQ539" s="512"/>
      <c r="AR539" s="513"/>
      <c r="AS539"/>
    </row>
    <row r="540" spans="1:45" x14ac:dyDescent="0.25">
      <c r="A540" s="509"/>
      <c r="B540" s="494"/>
      <c r="C540" s="509"/>
      <c r="D540" s="478"/>
      <c r="E540" s="478"/>
      <c r="F540" s="668">
        <f t="shared" si="65"/>
        <v>0</v>
      </c>
      <c r="G540" s="673">
        <f t="shared" si="66"/>
        <v>0</v>
      </c>
      <c r="H540" s="673">
        <f t="shared" si="67"/>
        <v>0</v>
      </c>
      <c r="I540" s="675">
        <f>IFERROR(INDEX(Tabla8[],MATCH(Producción_Agricola[[#This Row],[Unidad de Negocio]],Tabla8[Unidades de Negocio],0),2),0)</f>
        <v>0</v>
      </c>
      <c r="J54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40" s="488"/>
      <c r="L540" s="482"/>
      <c r="M540" s="483"/>
      <c r="N540" s="484"/>
      <c r="O540" s="690">
        <f>Producción_Agricola[[#This Row],[Superficie]]*Producción_Agricola[[#This Row],[Cantidad]]</f>
        <v>0</v>
      </c>
      <c r="P540" s="482"/>
      <c r="Q540" s="484"/>
      <c r="R540" s="485"/>
      <c r="S54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40" s="695">
        <f>IFERROR(Producción_Agricola[[#This Row],[Económico $Corrientes]]/Producción_Agricola[[#This Row],[Indexación Económico]],0)</f>
        <v>0</v>
      </c>
      <c r="U54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4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40" s="695">
        <f>IFERROR(Producción_Agricola[[#This Row],[Financiero $Corrientes]]/Producción_Agricola[[#This Row],[Indexación Financiero]],0)</f>
        <v>0</v>
      </c>
      <c r="X54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4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40" s="699">
        <f>IFERROR(Producción_Agricola[[#This Row],[Intereses $Corrientes]]/Producción_Agricola[[#This Row],[Indexación Financiero]],0)</f>
        <v>0</v>
      </c>
      <c r="AA54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40" s="701">
        <f>IFERROR(INDEX(Produccion_Agricola_Cuentas[],MATCH(Producción_Agricola[[#This Row],[Cuenta Contable]],Produccion_Agricola_Cuentas[Cuenta Contable],0),2),0)</f>
        <v>0</v>
      </c>
      <c r="AC540" s="702">
        <f>IFERROR(INDEX(Tabla9[],MATCH(Producción_Agricola[[#This Row],[Movimiento]],Tabla9[Movimientos],0),2),0)</f>
        <v>0</v>
      </c>
      <c r="AD540" s="703">
        <f>IFERROR(INDEX(Tabla9[],MATCH(Producción_Agricola[[#This Row],[Movimiento]],Tabla9[Movimientos],0),3),0)</f>
        <v>0</v>
      </c>
      <c r="AE540" s="698">
        <f>IF(Producción_Agricola[[#This Row],[Fecha Económico]]=0,0,MONTH(Producción_Agricola[[#This Row],[Fecha Económico]]))</f>
        <v>0</v>
      </c>
      <c r="AF540" s="699">
        <f>IF(Producción_Agricola[[#This Row],[Fecha Económico]]=0,0,YEAR(Producción_Agricola[[#This Row],[Fecha Económico]]))</f>
        <v>0</v>
      </c>
      <c r="AG540" s="704">
        <f>SUMPRODUCT((Producción_Agricola[[#This Row],[Mes Económico]]=Tipo_Cambio[Mes])*(Producción_Agricola[[#This Row],[Año Económico]]=Tipo_Cambio[Año])*(Tipo_Cambio[$/U$S]))</f>
        <v>0</v>
      </c>
      <c r="AH540" s="703">
        <f>SUMPRODUCT((Producción_Agricola[[#This Row],[Mes Económico]]=Tipo_Cambio[Mes])*(Producción_Agricola[[#This Row],[Año Económico]]=Tipo_Cambio[Año])*(Tipo_Cambio[Actualización]))</f>
        <v>0</v>
      </c>
      <c r="AI540" s="699">
        <f>IF(ISNUMBER(Producción_Agricola[[#This Row],[Fecha Financiero]])=TRUE,MONTH(Producción_Agricola[[#This Row],[Fecha Financiero]]),0)</f>
        <v>0</v>
      </c>
      <c r="AJ540" s="699">
        <f>IF(ISNUMBER(Producción_Agricola[[#This Row],[Fecha Financiero]])=TRUE,YEAR(Producción_Agricola[[#This Row],[Fecha Financiero]]),0)</f>
        <v>0</v>
      </c>
      <c r="AK540" s="704">
        <f>SUMPRODUCT((Producción_Agricola[[#This Row],[Mes Financiero]]=Tipo_Cambio[Mes])*(Producción_Agricola[[#This Row],[Año Financiero]]=Tipo_Cambio[Año])*(Tipo_Cambio[$/U$S]))</f>
        <v>0</v>
      </c>
      <c r="AL540" s="704">
        <f>SUMPRODUCT((Producción_Agricola[[#This Row],[Mes Financiero]]=Tipo_Cambio[Mes])*(Producción_Agricola[[#This Row],[Año Financiero]]=Tipo_Cambio[Año])*(Tipo_Cambio[Actualización]))</f>
        <v>0</v>
      </c>
      <c r="AM540" s="709">
        <f>IFERROR(Producción_Agricola[[#This Row],[Económico $Corrientes]]/Producción_Agricola[[#This Row],[Superficie]],0)</f>
        <v>0</v>
      </c>
      <c r="AN540" s="712">
        <f>IFERROR(Producción_Agricola[[#This Row],[Económico $Constantes]]/Producción_Agricola[[#This Row],[Superficie]],0)</f>
        <v>0</v>
      </c>
      <c r="AO540" s="712">
        <f>IFERROR(Producción_Agricola[[#This Row],[Económico U$S Dólares]]/Producción_Agricola[[#This Row],[Superficie]],0)</f>
        <v>0</v>
      </c>
      <c r="AP540" s="711">
        <f>IF(Económico!$F$4=0,0,Producción_Agricola[[#This Row],[Centro de Costo]])</f>
        <v>0</v>
      </c>
      <c r="AQ540" s="512"/>
      <c r="AR540" s="513"/>
      <c r="AS540"/>
    </row>
    <row r="541" spans="1:45" x14ac:dyDescent="0.25">
      <c r="A541" s="509"/>
      <c r="B541" s="494"/>
      <c r="C541" s="509"/>
      <c r="D541" s="478"/>
      <c r="E541" s="478"/>
      <c r="F541" s="668">
        <f t="shared" si="65"/>
        <v>0</v>
      </c>
      <c r="G541" s="673">
        <f t="shared" si="66"/>
        <v>0</v>
      </c>
      <c r="H541" s="673">
        <f t="shared" si="67"/>
        <v>0</v>
      </c>
      <c r="I541" s="675">
        <f>IFERROR(INDEX(Tabla8[],MATCH(Producción_Agricola[[#This Row],[Unidad de Negocio]],Tabla8[Unidades de Negocio],0),2),0)</f>
        <v>0</v>
      </c>
      <c r="J54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41" s="488"/>
      <c r="L541" s="482"/>
      <c r="M541" s="483"/>
      <c r="N541" s="484"/>
      <c r="O541" s="690">
        <f>Producción_Agricola[[#This Row],[Superficie]]*Producción_Agricola[[#This Row],[Cantidad]]</f>
        <v>0</v>
      </c>
      <c r="P541" s="482"/>
      <c r="Q541" s="484"/>
      <c r="R541" s="485"/>
      <c r="S54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41" s="695">
        <f>IFERROR(Producción_Agricola[[#This Row],[Económico $Corrientes]]/Producción_Agricola[[#This Row],[Indexación Económico]],0)</f>
        <v>0</v>
      </c>
      <c r="U54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4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41" s="695">
        <f>IFERROR(Producción_Agricola[[#This Row],[Financiero $Corrientes]]/Producción_Agricola[[#This Row],[Indexación Financiero]],0)</f>
        <v>0</v>
      </c>
      <c r="X54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4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41" s="699">
        <f>IFERROR(Producción_Agricola[[#This Row],[Intereses $Corrientes]]/Producción_Agricola[[#This Row],[Indexación Financiero]],0)</f>
        <v>0</v>
      </c>
      <c r="AA54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41" s="701">
        <f>IFERROR(INDEX(Produccion_Agricola_Cuentas[],MATCH(Producción_Agricola[[#This Row],[Cuenta Contable]],Produccion_Agricola_Cuentas[Cuenta Contable],0),2),0)</f>
        <v>0</v>
      </c>
      <c r="AC541" s="702">
        <f>IFERROR(INDEX(Tabla9[],MATCH(Producción_Agricola[[#This Row],[Movimiento]],Tabla9[Movimientos],0),2),0)</f>
        <v>0</v>
      </c>
      <c r="AD541" s="703">
        <f>IFERROR(INDEX(Tabla9[],MATCH(Producción_Agricola[[#This Row],[Movimiento]],Tabla9[Movimientos],0),3),0)</f>
        <v>0</v>
      </c>
      <c r="AE541" s="698">
        <f>IF(Producción_Agricola[[#This Row],[Fecha Económico]]=0,0,MONTH(Producción_Agricola[[#This Row],[Fecha Económico]]))</f>
        <v>0</v>
      </c>
      <c r="AF541" s="699">
        <f>IF(Producción_Agricola[[#This Row],[Fecha Económico]]=0,0,YEAR(Producción_Agricola[[#This Row],[Fecha Económico]]))</f>
        <v>0</v>
      </c>
      <c r="AG541" s="704">
        <f>SUMPRODUCT((Producción_Agricola[[#This Row],[Mes Económico]]=Tipo_Cambio[Mes])*(Producción_Agricola[[#This Row],[Año Económico]]=Tipo_Cambio[Año])*(Tipo_Cambio[$/U$S]))</f>
        <v>0</v>
      </c>
      <c r="AH541" s="703">
        <f>SUMPRODUCT((Producción_Agricola[[#This Row],[Mes Económico]]=Tipo_Cambio[Mes])*(Producción_Agricola[[#This Row],[Año Económico]]=Tipo_Cambio[Año])*(Tipo_Cambio[Actualización]))</f>
        <v>0</v>
      </c>
      <c r="AI541" s="699">
        <f>IF(ISNUMBER(Producción_Agricola[[#This Row],[Fecha Financiero]])=TRUE,MONTH(Producción_Agricola[[#This Row],[Fecha Financiero]]),0)</f>
        <v>0</v>
      </c>
      <c r="AJ541" s="699">
        <f>IF(ISNUMBER(Producción_Agricola[[#This Row],[Fecha Financiero]])=TRUE,YEAR(Producción_Agricola[[#This Row],[Fecha Financiero]]),0)</f>
        <v>0</v>
      </c>
      <c r="AK541" s="704">
        <f>SUMPRODUCT((Producción_Agricola[[#This Row],[Mes Financiero]]=Tipo_Cambio[Mes])*(Producción_Agricola[[#This Row],[Año Financiero]]=Tipo_Cambio[Año])*(Tipo_Cambio[$/U$S]))</f>
        <v>0</v>
      </c>
      <c r="AL541" s="704">
        <f>SUMPRODUCT((Producción_Agricola[[#This Row],[Mes Financiero]]=Tipo_Cambio[Mes])*(Producción_Agricola[[#This Row],[Año Financiero]]=Tipo_Cambio[Año])*(Tipo_Cambio[Actualización]))</f>
        <v>0</v>
      </c>
      <c r="AM541" s="709">
        <f>IFERROR(Producción_Agricola[[#This Row],[Económico $Corrientes]]/Producción_Agricola[[#This Row],[Superficie]],0)</f>
        <v>0</v>
      </c>
      <c r="AN541" s="712">
        <f>IFERROR(Producción_Agricola[[#This Row],[Económico $Constantes]]/Producción_Agricola[[#This Row],[Superficie]],0)</f>
        <v>0</v>
      </c>
      <c r="AO541" s="712">
        <f>IFERROR(Producción_Agricola[[#This Row],[Económico U$S Dólares]]/Producción_Agricola[[#This Row],[Superficie]],0)</f>
        <v>0</v>
      </c>
      <c r="AP541" s="711">
        <f>IF(Económico!$F$4=0,0,Producción_Agricola[[#This Row],[Centro de Costo]])</f>
        <v>0</v>
      </c>
      <c r="AQ541" s="512"/>
      <c r="AR541" s="513"/>
      <c r="AS541"/>
    </row>
    <row r="542" spans="1:45" ht="15.75" thickBot="1" x14ac:dyDescent="0.3">
      <c r="A542" s="509"/>
      <c r="B542" s="494" t="s">
        <v>101</v>
      </c>
      <c r="C542" s="509"/>
      <c r="D542" s="478"/>
      <c r="E542" s="478"/>
      <c r="F542" s="668">
        <f t="shared" si="65"/>
        <v>0</v>
      </c>
      <c r="G542" s="673">
        <f t="shared" si="66"/>
        <v>0</v>
      </c>
      <c r="H542" s="673">
        <f t="shared" si="67"/>
        <v>0</v>
      </c>
      <c r="I542" s="675">
        <f>IFERROR(INDEX(Tabla8[],MATCH(Producción_Agricola[[#This Row],[Unidad de Negocio]],Tabla8[Unidades de Negocio],0),2),0)</f>
        <v>0</v>
      </c>
      <c r="J54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42" s="488"/>
      <c r="L542" s="482"/>
      <c r="M542" s="483"/>
      <c r="N542" s="484"/>
      <c r="O542" s="690">
        <f>Producción_Agricola[[#This Row],[Superficie]]*Producción_Agricola[[#This Row],[Cantidad]]</f>
        <v>0</v>
      </c>
      <c r="P542" s="482"/>
      <c r="Q542" s="484"/>
      <c r="R542" s="485"/>
      <c r="S54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42" s="695">
        <f>IFERROR(Producción_Agricola[[#This Row],[Económico $Corrientes]]/Producción_Agricola[[#This Row],[Indexación Económico]],0)</f>
        <v>0</v>
      </c>
      <c r="U54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4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42" s="695">
        <f>IFERROR(Producción_Agricola[[#This Row],[Financiero $Corrientes]]/Producción_Agricola[[#This Row],[Indexación Financiero]],0)</f>
        <v>0</v>
      </c>
      <c r="X54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4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42" s="699">
        <f>IFERROR(Producción_Agricola[[#This Row],[Intereses $Corrientes]]/Producción_Agricola[[#This Row],[Indexación Financiero]],0)</f>
        <v>0</v>
      </c>
      <c r="AA54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42" s="701">
        <f>IFERROR(INDEX(Produccion_Agricola_Cuentas[],MATCH(Producción_Agricola[[#This Row],[Cuenta Contable]],Produccion_Agricola_Cuentas[Cuenta Contable],0),2),0)</f>
        <v>0</v>
      </c>
      <c r="AC542" s="702">
        <f>IFERROR(INDEX(Tabla9[],MATCH(Producción_Agricola[[#This Row],[Movimiento]],Tabla9[Movimientos],0),2),0)</f>
        <v>0</v>
      </c>
      <c r="AD542" s="703">
        <f>IFERROR(INDEX(Tabla9[],MATCH(Producción_Agricola[[#This Row],[Movimiento]],Tabla9[Movimientos],0),3),0)</f>
        <v>0</v>
      </c>
      <c r="AE542" s="698">
        <f>IF(Producción_Agricola[[#This Row],[Fecha Económico]]=0,0,MONTH(Producción_Agricola[[#This Row],[Fecha Económico]]))</f>
        <v>0</v>
      </c>
      <c r="AF542" s="699">
        <f>IF(Producción_Agricola[[#This Row],[Fecha Económico]]=0,0,YEAR(Producción_Agricola[[#This Row],[Fecha Económico]]))</f>
        <v>0</v>
      </c>
      <c r="AG542" s="704">
        <f>SUMPRODUCT((Producción_Agricola[[#This Row],[Mes Económico]]=Tipo_Cambio[Mes])*(Producción_Agricola[[#This Row],[Año Económico]]=Tipo_Cambio[Año])*(Tipo_Cambio[$/U$S]))</f>
        <v>0</v>
      </c>
      <c r="AH542" s="703">
        <f>SUMPRODUCT((Producción_Agricola[[#This Row],[Mes Económico]]=Tipo_Cambio[Mes])*(Producción_Agricola[[#This Row],[Año Económico]]=Tipo_Cambio[Año])*(Tipo_Cambio[Actualización]))</f>
        <v>0</v>
      </c>
      <c r="AI542" s="699">
        <f>IF(ISNUMBER(Producción_Agricola[[#This Row],[Fecha Financiero]])=TRUE,MONTH(Producción_Agricola[[#This Row],[Fecha Financiero]]),0)</f>
        <v>0</v>
      </c>
      <c r="AJ542" s="699">
        <f>IF(ISNUMBER(Producción_Agricola[[#This Row],[Fecha Financiero]])=TRUE,YEAR(Producción_Agricola[[#This Row],[Fecha Financiero]]),0)</f>
        <v>0</v>
      </c>
      <c r="AK542" s="704">
        <f>SUMPRODUCT((Producción_Agricola[[#This Row],[Mes Financiero]]=Tipo_Cambio[Mes])*(Producción_Agricola[[#This Row],[Año Financiero]]=Tipo_Cambio[Año])*(Tipo_Cambio[$/U$S]))</f>
        <v>0</v>
      </c>
      <c r="AL542" s="704">
        <f>SUMPRODUCT((Producción_Agricola[[#This Row],[Mes Financiero]]=Tipo_Cambio[Mes])*(Producción_Agricola[[#This Row],[Año Financiero]]=Tipo_Cambio[Año])*(Tipo_Cambio[Actualización]))</f>
        <v>0</v>
      </c>
      <c r="AM542" s="709">
        <f>IFERROR(Producción_Agricola[[#This Row],[Económico $Corrientes]]/Producción_Agricola[[#This Row],[Superficie]],0)</f>
        <v>0</v>
      </c>
      <c r="AN542" s="712">
        <f>IFERROR(Producción_Agricola[[#This Row],[Económico $Constantes]]/Producción_Agricola[[#This Row],[Superficie]],0)</f>
        <v>0</v>
      </c>
      <c r="AO542" s="712">
        <f>IFERROR(Producción_Agricola[[#This Row],[Económico U$S Dólares]]/Producción_Agricola[[#This Row],[Superficie]],0)</f>
        <v>0</v>
      </c>
      <c r="AP542" s="711">
        <f>IF(Económico!$F$4=0,0,Producción_Agricola[[#This Row],[Centro de Costo]])</f>
        <v>0</v>
      </c>
      <c r="AQ542" s="512"/>
      <c r="AR542" s="513"/>
      <c r="AS542"/>
    </row>
    <row r="543" spans="1:45" ht="15.75" thickTop="1" x14ac:dyDescent="0.25">
      <c r="A543" s="509"/>
      <c r="B543" s="477" t="s">
        <v>450</v>
      </c>
      <c r="C543" s="509"/>
      <c r="D543" s="495"/>
      <c r="E543" s="495"/>
      <c r="F543" s="679">
        <f>+$B$544</f>
        <v>0</v>
      </c>
      <c r="G543" s="680">
        <f>+$B$545</f>
        <v>0</v>
      </c>
      <c r="H543" s="680">
        <f>+$B$546</f>
        <v>0</v>
      </c>
      <c r="I543" s="683">
        <f>IFERROR(INDEX(Tabla8[],MATCH(Producción_Agricola[[#This Row],[Unidad de Negocio]],Tabla8[Unidades de Negocio],0),2),0)</f>
        <v>0</v>
      </c>
      <c r="J543" s="684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43" s="508"/>
      <c r="L543" s="497"/>
      <c r="M543" s="498"/>
      <c r="N543" s="499"/>
      <c r="O543" s="691">
        <f>Producción_Agricola[[#This Row],[Superficie]]*Producción_Agricola[[#This Row],[Cantidad]]</f>
        <v>0</v>
      </c>
      <c r="P543" s="497"/>
      <c r="Q543" s="499"/>
      <c r="R543" s="500"/>
      <c r="S543" s="74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43" s="714">
        <f>IFERROR(Producción_Agricola[[#This Row],[Económico $Corrientes]]/Producción_Agricola[[#This Row],[Indexación Económico]],0)</f>
        <v>0</v>
      </c>
      <c r="U543" s="741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43" s="715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43" s="714">
        <f>IFERROR(Producción_Agricola[[#This Row],[Financiero $Corrientes]]/Producción_Agricola[[#This Row],[Indexación Financiero]],0)</f>
        <v>0</v>
      </c>
      <c r="X543" s="716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43" s="717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43" s="718">
        <f>IFERROR(Producción_Agricola[[#This Row],[Intereses $Corrientes]]/Producción_Agricola[[#This Row],[Indexación Financiero]],0)</f>
        <v>0</v>
      </c>
      <c r="AA543" s="719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43" s="720">
        <f>IFERROR(INDEX(Produccion_Agricola_Cuentas[],MATCH(Producción_Agricola[[#This Row],[Cuenta Contable]],Produccion_Agricola_Cuentas[Cuenta Contable],0),2),0)</f>
        <v>0</v>
      </c>
      <c r="AC543" s="721">
        <f>IFERROR(INDEX(Tabla9[],MATCH(Producción_Agricola[[#This Row],[Movimiento]],Tabla9[Movimientos],0),2),0)</f>
        <v>0</v>
      </c>
      <c r="AD543" s="722">
        <f>IFERROR(INDEX(Tabla9[],MATCH(Producción_Agricola[[#This Row],[Movimiento]],Tabla9[Movimientos],0),3),0)</f>
        <v>0</v>
      </c>
      <c r="AE543" s="717">
        <f>IF(Producción_Agricola[[#This Row],[Fecha Económico]]=0,0,MONTH(Producción_Agricola[[#This Row],[Fecha Económico]]))</f>
        <v>0</v>
      </c>
      <c r="AF543" s="718">
        <f>IF(Producción_Agricola[[#This Row],[Fecha Económico]]=0,0,YEAR(Producción_Agricola[[#This Row],[Fecha Económico]]))</f>
        <v>0</v>
      </c>
      <c r="AG543" s="723">
        <f>SUMPRODUCT((Producción_Agricola[[#This Row],[Mes Económico]]=Tipo_Cambio[Mes])*(Producción_Agricola[[#This Row],[Año Económico]]=Tipo_Cambio[Año])*(Tipo_Cambio[$/U$S]))</f>
        <v>0</v>
      </c>
      <c r="AH543" s="722">
        <f>SUMPRODUCT((Producción_Agricola[[#This Row],[Mes Económico]]=Tipo_Cambio[Mes])*(Producción_Agricola[[#This Row],[Año Económico]]=Tipo_Cambio[Año])*(Tipo_Cambio[Actualización]))</f>
        <v>0</v>
      </c>
      <c r="AI543" s="718">
        <f>IF(ISNUMBER(Producción_Agricola[[#This Row],[Fecha Financiero]])=TRUE,MONTH(Producción_Agricola[[#This Row],[Fecha Financiero]]),0)</f>
        <v>0</v>
      </c>
      <c r="AJ543" s="718">
        <f>IF(ISNUMBER(Producción_Agricola[[#This Row],[Fecha Financiero]])=TRUE,YEAR(Producción_Agricola[[#This Row],[Fecha Financiero]]),0)</f>
        <v>0</v>
      </c>
      <c r="AK543" s="723">
        <f>SUMPRODUCT((Producción_Agricola[[#This Row],[Mes Financiero]]=Tipo_Cambio[Mes])*(Producción_Agricola[[#This Row],[Año Financiero]]=Tipo_Cambio[Año])*(Tipo_Cambio[$/U$S]))</f>
        <v>0</v>
      </c>
      <c r="AL543" s="723">
        <f>SUMPRODUCT((Producción_Agricola[[#This Row],[Mes Financiero]]=Tipo_Cambio[Mes])*(Producción_Agricola[[#This Row],[Año Financiero]]=Tipo_Cambio[Año])*(Tipo_Cambio[Actualización]))</f>
        <v>0</v>
      </c>
      <c r="AM543" s="742">
        <f>IFERROR(Producción_Agricola[[#This Row],[Económico $Corrientes]]/Producción_Agricola[[#This Row],[Superficie]],0)</f>
        <v>0</v>
      </c>
      <c r="AN543" s="743">
        <f>IFERROR(Producción_Agricola[[#This Row],[Económico $Constantes]]/Producción_Agricola[[#This Row],[Superficie]],0)</f>
        <v>0</v>
      </c>
      <c r="AO543" s="743">
        <f>IFERROR(Producción_Agricola[[#This Row],[Económico U$S Dólares]]/Producción_Agricola[[#This Row],[Superficie]],0)</f>
        <v>0</v>
      </c>
      <c r="AP543" s="744">
        <f>IF(Económico!$F$4=0,0,Producción_Agricola[[#This Row],[Centro de Costo]])</f>
        <v>0</v>
      </c>
      <c r="AQ543" s="516"/>
      <c r="AR543" s="517"/>
      <c r="AS543"/>
    </row>
    <row r="544" spans="1:45" x14ac:dyDescent="0.25">
      <c r="A544" s="509"/>
      <c r="B544" s="501"/>
      <c r="C544" s="509"/>
      <c r="D544" s="478"/>
      <c r="E544" s="478"/>
      <c r="F544" s="668">
        <f t="shared" ref="F544:F596" si="68">+$B$544</f>
        <v>0</v>
      </c>
      <c r="G544" s="673">
        <f t="shared" ref="G544:G596" si="69">+$B$545</f>
        <v>0</v>
      </c>
      <c r="H544" s="673">
        <f t="shared" ref="H544:H596" si="70">+$B$546</f>
        <v>0</v>
      </c>
      <c r="I544" s="675">
        <f>IFERROR(INDEX(Tabla8[],MATCH(Producción_Agricola[[#This Row],[Unidad de Negocio]],Tabla8[Unidades de Negocio],0),2),0)</f>
        <v>0</v>
      </c>
      <c r="J54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44" s="488"/>
      <c r="L544" s="482"/>
      <c r="M544" s="483"/>
      <c r="N544" s="484"/>
      <c r="O544" s="690">
        <f>Producción_Agricola[[#This Row],[Superficie]]*Producción_Agricola[[#This Row],[Cantidad]]</f>
        <v>0</v>
      </c>
      <c r="P544" s="482"/>
      <c r="Q544" s="484"/>
      <c r="R544" s="485"/>
      <c r="S54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44" s="695">
        <f>IFERROR(Producción_Agricola[[#This Row],[Económico $Corrientes]]/Producción_Agricola[[#This Row],[Indexación Económico]],0)</f>
        <v>0</v>
      </c>
      <c r="U54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4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44" s="695">
        <f>IFERROR(Producción_Agricola[[#This Row],[Financiero $Corrientes]]/Producción_Agricola[[#This Row],[Indexación Financiero]],0)</f>
        <v>0</v>
      </c>
      <c r="X54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4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44" s="699">
        <f>IFERROR(Producción_Agricola[[#This Row],[Intereses $Corrientes]]/Producción_Agricola[[#This Row],[Indexación Financiero]],0)</f>
        <v>0</v>
      </c>
      <c r="AA54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44" s="701">
        <f>IFERROR(INDEX(Produccion_Agricola_Cuentas[],MATCH(Producción_Agricola[[#This Row],[Cuenta Contable]],Produccion_Agricola_Cuentas[Cuenta Contable],0),2),0)</f>
        <v>0</v>
      </c>
      <c r="AC544" s="702">
        <f>IFERROR(INDEX(Tabla9[],MATCH(Producción_Agricola[[#This Row],[Movimiento]],Tabla9[Movimientos],0),2),0)</f>
        <v>0</v>
      </c>
      <c r="AD544" s="703">
        <f>IFERROR(INDEX(Tabla9[],MATCH(Producción_Agricola[[#This Row],[Movimiento]],Tabla9[Movimientos],0),3),0)</f>
        <v>0</v>
      </c>
      <c r="AE544" s="698">
        <f>IF(Producción_Agricola[[#This Row],[Fecha Económico]]=0,0,MONTH(Producción_Agricola[[#This Row],[Fecha Económico]]))</f>
        <v>0</v>
      </c>
      <c r="AF544" s="699">
        <f>IF(Producción_Agricola[[#This Row],[Fecha Económico]]=0,0,YEAR(Producción_Agricola[[#This Row],[Fecha Económico]]))</f>
        <v>0</v>
      </c>
      <c r="AG544" s="704">
        <f>SUMPRODUCT((Producción_Agricola[[#This Row],[Mes Económico]]=Tipo_Cambio[Mes])*(Producción_Agricola[[#This Row],[Año Económico]]=Tipo_Cambio[Año])*(Tipo_Cambio[$/U$S]))</f>
        <v>0</v>
      </c>
      <c r="AH544" s="703">
        <f>SUMPRODUCT((Producción_Agricola[[#This Row],[Mes Económico]]=Tipo_Cambio[Mes])*(Producción_Agricola[[#This Row],[Año Económico]]=Tipo_Cambio[Año])*(Tipo_Cambio[Actualización]))</f>
        <v>0</v>
      </c>
      <c r="AI544" s="699">
        <f>IF(ISNUMBER(Producción_Agricola[[#This Row],[Fecha Financiero]])=TRUE,MONTH(Producción_Agricola[[#This Row],[Fecha Financiero]]),0)</f>
        <v>0</v>
      </c>
      <c r="AJ544" s="699">
        <f>IF(ISNUMBER(Producción_Agricola[[#This Row],[Fecha Financiero]])=TRUE,YEAR(Producción_Agricola[[#This Row],[Fecha Financiero]]),0)</f>
        <v>0</v>
      </c>
      <c r="AK544" s="704">
        <f>SUMPRODUCT((Producción_Agricola[[#This Row],[Mes Financiero]]=Tipo_Cambio[Mes])*(Producción_Agricola[[#This Row],[Año Financiero]]=Tipo_Cambio[Año])*(Tipo_Cambio[$/U$S]))</f>
        <v>0</v>
      </c>
      <c r="AL544" s="704">
        <f>SUMPRODUCT((Producción_Agricola[[#This Row],[Mes Financiero]]=Tipo_Cambio[Mes])*(Producción_Agricola[[#This Row],[Año Financiero]]=Tipo_Cambio[Año])*(Tipo_Cambio[Actualización]))</f>
        <v>0</v>
      </c>
      <c r="AM544" s="709">
        <f>IFERROR(Producción_Agricola[[#This Row],[Económico $Corrientes]]/Producción_Agricola[[#This Row],[Superficie]],0)</f>
        <v>0</v>
      </c>
      <c r="AN544" s="712">
        <f>IFERROR(Producción_Agricola[[#This Row],[Económico $Constantes]]/Producción_Agricola[[#This Row],[Superficie]],0)</f>
        <v>0</v>
      </c>
      <c r="AO544" s="712">
        <f>IFERROR(Producción_Agricola[[#This Row],[Económico U$S Dólares]]/Producción_Agricola[[#This Row],[Superficie]],0)</f>
        <v>0</v>
      </c>
      <c r="AP544" s="711">
        <f>IF(Económico!$F$4=0,0,Producción_Agricola[[#This Row],[Centro de Costo]])</f>
        <v>0</v>
      </c>
      <c r="AQ544" s="512"/>
      <c r="AR544" s="513"/>
      <c r="AS544"/>
    </row>
    <row r="545" spans="1:45" x14ac:dyDescent="0.25">
      <c r="A545" s="509"/>
      <c r="B545" s="486"/>
      <c r="C545" s="509"/>
      <c r="D545" s="478"/>
      <c r="E545" s="478"/>
      <c r="F545" s="668">
        <f t="shared" si="68"/>
        <v>0</v>
      </c>
      <c r="G545" s="673">
        <f t="shared" si="69"/>
        <v>0</v>
      </c>
      <c r="H545" s="673">
        <f t="shared" si="70"/>
        <v>0</v>
      </c>
      <c r="I545" s="675">
        <f>IFERROR(INDEX(Tabla8[],MATCH(Producción_Agricola[[#This Row],[Unidad de Negocio]],Tabla8[Unidades de Negocio],0),2),0)</f>
        <v>0</v>
      </c>
      <c r="J54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45" s="488"/>
      <c r="L545" s="482"/>
      <c r="M545" s="483"/>
      <c r="N545" s="484"/>
      <c r="O545" s="690">
        <f>Producción_Agricola[[#This Row],[Superficie]]*Producción_Agricola[[#This Row],[Cantidad]]</f>
        <v>0</v>
      </c>
      <c r="P545" s="482"/>
      <c r="Q545" s="484"/>
      <c r="R545" s="485"/>
      <c r="S54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45" s="695">
        <f>IFERROR(Producción_Agricola[[#This Row],[Económico $Corrientes]]/Producción_Agricola[[#This Row],[Indexación Económico]],0)</f>
        <v>0</v>
      </c>
      <c r="U54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4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45" s="695">
        <f>IFERROR(Producción_Agricola[[#This Row],[Financiero $Corrientes]]/Producción_Agricola[[#This Row],[Indexación Financiero]],0)</f>
        <v>0</v>
      </c>
      <c r="X54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4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45" s="699">
        <f>IFERROR(Producción_Agricola[[#This Row],[Intereses $Corrientes]]/Producción_Agricola[[#This Row],[Indexación Financiero]],0)</f>
        <v>0</v>
      </c>
      <c r="AA54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45" s="701">
        <f>IFERROR(INDEX(Produccion_Agricola_Cuentas[],MATCH(Producción_Agricola[[#This Row],[Cuenta Contable]],Produccion_Agricola_Cuentas[Cuenta Contable],0),2),0)</f>
        <v>0</v>
      </c>
      <c r="AC545" s="702">
        <f>IFERROR(INDEX(Tabla9[],MATCH(Producción_Agricola[[#This Row],[Movimiento]],Tabla9[Movimientos],0),2),0)</f>
        <v>0</v>
      </c>
      <c r="AD545" s="703">
        <f>IFERROR(INDEX(Tabla9[],MATCH(Producción_Agricola[[#This Row],[Movimiento]],Tabla9[Movimientos],0),3),0)</f>
        <v>0</v>
      </c>
      <c r="AE545" s="698">
        <f>IF(Producción_Agricola[[#This Row],[Fecha Económico]]=0,0,MONTH(Producción_Agricola[[#This Row],[Fecha Económico]]))</f>
        <v>0</v>
      </c>
      <c r="AF545" s="699">
        <f>IF(Producción_Agricola[[#This Row],[Fecha Económico]]=0,0,YEAR(Producción_Agricola[[#This Row],[Fecha Económico]]))</f>
        <v>0</v>
      </c>
      <c r="AG545" s="704">
        <f>SUMPRODUCT((Producción_Agricola[[#This Row],[Mes Económico]]=Tipo_Cambio[Mes])*(Producción_Agricola[[#This Row],[Año Económico]]=Tipo_Cambio[Año])*(Tipo_Cambio[$/U$S]))</f>
        <v>0</v>
      </c>
      <c r="AH545" s="703">
        <f>SUMPRODUCT((Producción_Agricola[[#This Row],[Mes Económico]]=Tipo_Cambio[Mes])*(Producción_Agricola[[#This Row],[Año Económico]]=Tipo_Cambio[Año])*(Tipo_Cambio[Actualización]))</f>
        <v>0</v>
      </c>
      <c r="AI545" s="699">
        <f>IF(ISNUMBER(Producción_Agricola[[#This Row],[Fecha Financiero]])=TRUE,MONTH(Producción_Agricola[[#This Row],[Fecha Financiero]]),0)</f>
        <v>0</v>
      </c>
      <c r="AJ545" s="699">
        <f>IF(ISNUMBER(Producción_Agricola[[#This Row],[Fecha Financiero]])=TRUE,YEAR(Producción_Agricola[[#This Row],[Fecha Financiero]]),0)</f>
        <v>0</v>
      </c>
      <c r="AK545" s="704">
        <f>SUMPRODUCT((Producción_Agricola[[#This Row],[Mes Financiero]]=Tipo_Cambio[Mes])*(Producción_Agricola[[#This Row],[Año Financiero]]=Tipo_Cambio[Año])*(Tipo_Cambio[$/U$S]))</f>
        <v>0</v>
      </c>
      <c r="AL545" s="704">
        <f>SUMPRODUCT((Producción_Agricola[[#This Row],[Mes Financiero]]=Tipo_Cambio[Mes])*(Producción_Agricola[[#This Row],[Año Financiero]]=Tipo_Cambio[Año])*(Tipo_Cambio[Actualización]))</f>
        <v>0</v>
      </c>
      <c r="AM545" s="709">
        <f>IFERROR(Producción_Agricola[[#This Row],[Económico $Corrientes]]/Producción_Agricola[[#This Row],[Superficie]],0)</f>
        <v>0</v>
      </c>
      <c r="AN545" s="712">
        <f>IFERROR(Producción_Agricola[[#This Row],[Económico $Constantes]]/Producción_Agricola[[#This Row],[Superficie]],0)</f>
        <v>0</v>
      </c>
      <c r="AO545" s="712">
        <f>IFERROR(Producción_Agricola[[#This Row],[Económico U$S Dólares]]/Producción_Agricola[[#This Row],[Superficie]],0)</f>
        <v>0</v>
      </c>
      <c r="AP545" s="711">
        <f>IF(Económico!$F$4=0,0,Producción_Agricola[[#This Row],[Centro de Costo]])</f>
        <v>0</v>
      </c>
      <c r="AQ545" s="512"/>
      <c r="AR545" s="513"/>
      <c r="AS545"/>
    </row>
    <row r="546" spans="1:45" x14ac:dyDescent="0.25">
      <c r="A546" s="509"/>
      <c r="B546" s="486"/>
      <c r="C546" s="509"/>
      <c r="D546" s="478"/>
      <c r="E546" s="478"/>
      <c r="F546" s="668">
        <f t="shared" si="68"/>
        <v>0</v>
      </c>
      <c r="G546" s="673">
        <f t="shared" si="69"/>
        <v>0</v>
      </c>
      <c r="H546" s="673">
        <f t="shared" si="70"/>
        <v>0</v>
      </c>
      <c r="I546" s="675">
        <f>IFERROR(INDEX(Tabla8[],MATCH(Producción_Agricola[[#This Row],[Unidad de Negocio]],Tabla8[Unidades de Negocio],0),2),0)</f>
        <v>0</v>
      </c>
      <c r="J54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46" s="488"/>
      <c r="L546" s="482"/>
      <c r="M546" s="483"/>
      <c r="N546" s="484"/>
      <c r="O546" s="690">
        <f>Producción_Agricola[[#This Row],[Superficie]]*Producción_Agricola[[#This Row],[Cantidad]]</f>
        <v>0</v>
      </c>
      <c r="P546" s="482"/>
      <c r="Q546" s="484"/>
      <c r="R546" s="485"/>
      <c r="S54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46" s="695">
        <f>IFERROR(Producción_Agricola[[#This Row],[Económico $Corrientes]]/Producción_Agricola[[#This Row],[Indexación Económico]],0)</f>
        <v>0</v>
      </c>
      <c r="U54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4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46" s="695">
        <f>IFERROR(Producción_Agricola[[#This Row],[Financiero $Corrientes]]/Producción_Agricola[[#This Row],[Indexación Financiero]],0)</f>
        <v>0</v>
      </c>
      <c r="X54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4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46" s="699">
        <f>IFERROR(Producción_Agricola[[#This Row],[Intereses $Corrientes]]/Producción_Agricola[[#This Row],[Indexación Financiero]],0)</f>
        <v>0</v>
      </c>
      <c r="AA54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46" s="701">
        <f>IFERROR(INDEX(Produccion_Agricola_Cuentas[],MATCH(Producción_Agricola[[#This Row],[Cuenta Contable]],Produccion_Agricola_Cuentas[Cuenta Contable],0),2),0)</f>
        <v>0</v>
      </c>
      <c r="AC546" s="702">
        <f>IFERROR(INDEX(Tabla9[],MATCH(Producción_Agricola[[#This Row],[Movimiento]],Tabla9[Movimientos],0),2),0)</f>
        <v>0</v>
      </c>
      <c r="AD546" s="703">
        <f>IFERROR(INDEX(Tabla9[],MATCH(Producción_Agricola[[#This Row],[Movimiento]],Tabla9[Movimientos],0),3),0)</f>
        <v>0</v>
      </c>
      <c r="AE546" s="698">
        <f>IF(Producción_Agricola[[#This Row],[Fecha Económico]]=0,0,MONTH(Producción_Agricola[[#This Row],[Fecha Económico]]))</f>
        <v>0</v>
      </c>
      <c r="AF546" s="699">
        <f>IF(Producción_Agricola[[#This Row],[Fecha Económico]]=0,0,YEAR(Producción_Agricola[[#This Row],[Fecha Económico]]))</f>
        <v>0</v>
      </c>
      <c r="AG546" s="704">
        <f>SUMPRODUCT((Producción_Agricola[[#This Row],[Mes Económico]]=Tipo_Cambio[Mes])*(Producción_Agricola[[#This Row],[Año Económico]]=Tipo_Cambio[Año])*(Tipo_Cambio[$/U$S]))</f>
        <v>0</v>
      </c>
      <c r="AH546" s="703">
        <f>SUMPRODUCT((Producción_Agricola[[#This Row],[Mes Económico]]=Tipo_Cambio[Mes])*(Producción_Agricola[[#This Row],[Año Económico]]=Tipo_Cambio[Año])*(Tipo_Cambio[Actualización]))</f>
        <v>0</v>
      </c>
      <c r="AI546" s="699">
        <f>IF(ISNUMBER(Producción_Agricola[[#This Row],[Fecha Financiero]])=TRUE,MONTH(Producción_Agricola[[#This Row],[Fecha Financiero]]),0)</f>
        <v>0</v>
      </c>
      <c r="AJ546" s="699">
        <f>IF(ISNUMBER(Producción_Agricola[[#This Row],[Fecha Financiero]])=TRUE,YEAR(Producción_Agricola[[#This Row],[Fecha Financiero]]),0)</f>
        <v>0</v>
      </c>
      <c r="AK546" s="704">
        <f>SUMPRODUCT((Producción_Agricola[[#This Row],[Mes Financiero]]=Tipo_Cambio[Mes])*(Producción_Agricola[[#This Row],[Año Financiero]]=Tipo_Cambio[Año])*(Tipo_Cambio[$/U$S]))</f>
        <v>0</v>
      </c>
      <c r="AL546" s="704">
        <f>SUMPRODUCT((Producción_Agricola[[#This Row],[Mes Financiero]]=Tipo_Cambio[Mes])*(Producción_Agricola[[#This Row],[Año Financiero]]=Tipo_Cambio[Año])*(Tipo_Cambio[Actualización]))</f>
        <v>0</v>
      </c>
      <c r="AM546" s="709">
        <f>IFERROR(Producción_Agricola[[#This Row],[Económico $Corrientes]]/Producción_Agricola[[#This Row],[Superficie]],0)</f>
        <v>0</v>
      </c>
      <c r="AN546" s="712">
        <f>IFERROR(Producción_Agricola[[#This Row],[Económico $Constantes]]/Producción_Agricola[[#This Row],[Superficie]],0)</f>
        <v>0</v>
      </c>
      <c r="AO546" s="712">
        <f>IFERROR(Producción_Agricola[[#This Row],[Económico U$S Dólares]]/Producción_Agricola[[#This Row],[Superficie]],0)</f>
        <v>0</v>
      </c>
      <c r="AP546" s="711">
        <f>IF(Económico!$F$4=0,0,Producción_Agricola[[#This Row],[Centro de Costo]])</f>
        <v>0</v>
      </c>
      <c r="AQ546" s="512"/>
      <c r="AR546" s="513"/>
      <c r="AS546"/>
    </row>
    <row r="547" spans="1:45" x14ac:dyDescent="0.25">
      <c r="A547" s="509"/>
      <c r="B547" s="487">
        <f>+$J$543</f>
        <v>0</v>
      </c>
      <c r="C547" s="509"/>
      <c r="D547" s="478"/>
      <c r="E547" s="478"/>
      <c r="F547" s="668">
        <f t="shared" si="68"/>
        <v>0</v>
      </c>
      <c r="G547" s="673">
        <f t="shared" si="69"/>
        <v>0</v>
      </c>
      <c r="H547" s="673">
        <f t="shared" si="70"/>
        <v>0</v>
      </c>
      <c r="I547" s="675">
        <f>IFERROR(INDEX(Tabla8[],MATCH(Producción_Agricola[[#This Row],[Unidad de Negocio]],Tabla8[Unidades de Negocio],0),2),0)</f>
        <v>0</v>
      </c>
      <c r="J54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47" s="488"/>
      <c r="L547" s="482"/>
      <c r="M547" s="483"/>
      <c r="N547" s="484"/>
      <c r="O547" s="690">
        <f>Producción_Agricola[[#This Row],[Superficie]]*Producción_Agricola[[#This Row],[Cantidad]]</f>
        <v>0</v>
      </c>
      <c r="P547" s="482"/>
      <c r="Q547" s="484"/>
      <c r="R547" s="485"/>
      <c r="S54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47" s="695">
        <f>IFERROR(Producción_Agricola[[#This Row],[Económico $Corrientes]]/Producción_Agricola[[#This Row],[Indexación Económico]],0)</f>
        <v>0</v>
      </c>
      <c r="U54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4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47" s="695">
        <f>IFERROR(Producción_Agricola[[#This Row],[Financiero $Corrientes]]/Producción_Agricola[[#This Row],[Indexación Financiero]],0)</f>
        <v>0</v>
      </c>
      <c r="X54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4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47" s="699">
        <f>IFERROR(Producción_Agricola[[#This Row],[Intereses $Corrientes]]/Producción_Agricola[[#This Row],[Indexación Financiero]],0)</f>
        <v>0</v>
      </c>
      <c r="AA54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47" s="701">
        <f>IFERROR(INDEX(Produccion_Agricola_Cuentas[],MATCH(Producción_Agricola[[#This Row],[Cuenta Contable]],Produccion_Agricola_Cuentas[Cuenta Contable],0),2),0)</f>
        <v>0</v>
      </c>
      <c r="AC547" s="702">
        <f>IFERROR(INDEX(Tabla9[],MATCH(Producción_Agricola[[#This Row],[Movimiento]],Tabla9[Movimientos],0),2),0)</f>
        <v>0</v>
      </c>
      <c r="AD547" s="703">
        <f>IFERROR(INDEX(Tabla9[],MATCH(Producción_Agricola[[#This Row],[Movimiento]],Tabla9[Movimientos],0),3),0)</f>
        <v>0</v>
      </c>
      <c r="AE547" s="698">
        <f>IF(Producción_Agricola[[#This Row],[Fecha Económico]]=0,0,MONTH(Producción_Agricola[[#This Row],[Fecha Económico]]))</f>
        <v>0</v>
      </c>
      <c r="AF547" s="699">
        <f>IF(Producción_Agricola[[#This Row],[Fecha Económico]]=0,0,YEAR(Producción_Agricola[[#This Row],[Fecha Económico]]))</f>
        <v>0</v>
      </c>
      <c r="AG547" s="704">
        <f>SUMPRODUCT((Producción_Agricola[[#This Row],[Mes Económico]]=Tipo_Cambio[Mes])*(Producción_Agricola[[#This Row],[Año Económico]]=Tipo_Cambio[Año])*(Tipo_Cambio[$/U$S]))</f>
        <v>0</v>
      </c>
      <c r="AH547" s="703">
        <f>SUMPRODUCT((Producción_Agricola[[#This Row],[Mes Económico]]=Tipo_Cambio[Mes])*(Producción_Agricola[[#This Row],[Año Económico]]=Tipo_Cambio[Año])*(Tipo_Cambio[Actualización]))</f>
        <v>0</v>
      </c>
      <c r="AI547" s="699">
        <f>IF(ISNUMBER(Producción_Agricola[[#This Row],[Fecha Financiero]])=TRUE,MONTH(Producción_Agricola[[#This Row],[Fecha Financiero]]),0)</f>
        <v>0</v>
      </c>
      <c r="AJ547" s="699">
        <f>IF(ISNUMBER(Producción_Agricola[[#This Row],[Fecha Financiero]])=TRUE,YEAR(Producción_Agricola[[#This Row],[Fecha Financiero]]),0)</f>
        <v>0</v>
      </c>
      <c r="AK547" s="704">
        <f>SUMPRODUCT((Producción_Agricola[[#This Row],[Mes Financiero]]=Tipo_Cambio[Mes])*(Producción_Agricola[[#This Row],[Año Financiero]]=Tipo_Cambio[Año])*(Tipo_Cambio[$/U$S]))</f>
        <v>0</v>
      </c>
      <c r="AL547" s="704">
        <f>SUMPRODUCT((Producción_Agricola[[#This Row],[Mes Financiero]]=Tipo_Cambio[Mes])*(Producción_Agricola[[#This Row],[Año Financiero]]=Tipo_Cambio[Año])*(Tipo_Cambio[Actualización]))</f>
        <v>0</v>
      </c>
      <c r="AM547" s="709">
        <f>IFERROR(Producción_Agricola[[#This Row],[Económico $Corrientes]]/Producción_Agricola[[#This Row],[Superficie]],0)</f>
        <v>0</v>
      </c>
      <c r="AN547" s="712">
        <f>IFERROR(Producción_Agricola[[#This Row],[Económico $Constantes]]/Producción_Agricola[[#This Row],[Superficie]],0)</f>
        <v>0</v>
      </c>
      <c r="AO547" s="712">
        <f>IFERROR(Producción_Agricola[[#This Row],[Económico U$S Dólares]]/Producción_Agricola[[#This Row],[Superficie]],0)</f>
        <v>0</v>
      </c>
      <c r="AP547" s="711">
        <f>IF(Económico!$F$4=0,0,Producción_Agricola[[#This Row],[Centro de Costo]])</f>
        <v>0</v>
      </c>
      <c r="AQ547" s="512"/>
      <c r="AR547" s="513"/>
      <c r="AS547"/>
    </row>
    <row r="548" spans="1:45" x14ac:dyDescent="0.25">
      <c r="A548" s="509"/>
      <c r="B548" s="494"/>
      <c r="C548" s="509"/>
      <c r="D548" s="478"/>
      <c r="E548" s="478"/>
      <c r="F548" s="668">
        <f t="shared" si="68"/>
        <v>0</v>
      </c>
      <c r="G548" s="673">
        <f t="shared" si="69"/>
        <v>0</v>
      </c>
      <c r="H548" s="673">
        <f t="shared" si="70"/>
        <v>0</v>
      </c>
      <c r="I548" s="675">
        <f>IFERROR(INDEX(Tabla8[],MATCH(Producción_Agricola[[#This Row],[Unidad de Negocio]],Tabla8[Unidades de Negocio],0),2),0)</f>
        <v>0</v>
      </c>
      <c r="J54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48" s="488"/>
      <c r="L548" s="482"/>
      <c r="M548" s="483"/>
      <c r="N548" s="484"/>
      <c r="O548" s="690">
        <f>Producción_Agricola[[#This Row],[Superficie]]*Producción_Agricola[[#This Row],[Cantidad]]</f>
        <v>0</v>
      </c>
      <c r="P548" s="482"/>
      <c r="Q548" s="484"/>
      <c r="R548" s="485"/>
      <c r="S54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48" s="695">
        <f>IFERROR(Producción_Agricola[[#This Row],[Económico $Corrientes]]/Producción_Agricola[[#This Row],[Indexación Económico]],0)</f>
        <v>0</v>
      </c>
      <c r="U54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4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48" s="695">
        <f>IFERROR(Producción_Agricola[[#This Row],[Financiero $Corrientes]]/Producción_Agricola[[#This Row],[Indexación Financiero]],0)</f>
        <v>0</v>
      </c>
      <c r="X54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4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48" s="699">
        <f>IFERROR(Producción_Agricola[[#This Row],[Intereses $Corrientes]]/Producción_Agricola[[#This Row],[Indexación Financiero]],0)</f>
        <v>0</v>
      </c>
      <c r="AA54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48" s="701">
        <f>IFERROR(INDEX(Produccion_Agricola_Cuentas[],MATCH(Producción_Agricola[[#This Row],[Cuenta Contable]],Produccion_Agricola_Cuentas[Cuenta Contable],0),2),0)</f>
        <v>0</v>
      </c>
      <c r="AC548" s="702">
        <f>IFERROR(INDEX(Tabla9[],MATCH(Producción_Agricola[[#This Row],[Movimiento]],Tabla9[Movimientos],0),2),0)</f>
        <v>0</v>
      </c>
      <c r="AD548" s="703">
        <f>IFERROR(INDEX(Tabla9[],MATCH(Producción_Agricola[[#This Row],[Movimiento]],Tabla9[Movimientos],0),3),0)</f>
        <v>0</v>
      </c>
      <c r="AE548" s="698">
        <f>IF(Producción_Agricola[[#This Row],[Fecha Económico]]=0,0,MONTH(Producción_Agricola[[#This Row],[Fecha Económico]]))</f>
        <v>0</v>
      </c>
      <c r="AF548" s="699">
        <f>IF(Producción_Agricola[[#This Row],[Fecha Económico]]=0,0,YEAR(Producción_Agricola[[#This Row],[Fecha Económico]]))</f>
        <v>0</v>
      </c>
      <c r="AG548" s="704">
        <f>SUMPRODUCT((Producción_Agricola[[#This Row],[Mes Económico]]=Tipo_Cambio[Mes])*(Producción_Agricola[[#This Row],[Año Económico]]=Tipo_Cambio[Año])*(Tipo_Cambio[$/U$S]))</f>
        <v>0</v>
      </c>
      <c r="AH548" s="703">
        <f>SUMPRODUCT((Producción_Agricola[[#This Row],[Mes Económico]]=Tipo_Cambio[Mes])*(Producción_Agricola[[#This Row],[Año Económico]]=Tipo_Cambio[Año])*(Tipo_Cambio[Actualización]))</f>
        <v>0</v>
      </c>
      <c r="AI548" s="699">
        <f>IF(ISNUMBER(Producción_Agricola[[#This Row],[Fecha Financiero]])=TRUE,MONTH(Producción_Agricola[[#This Row],[Fecha Financiero]]),0)</f>
        <v>0</v>
      </c>
      <c r="AJ548" s="699">
        <f>IF(ISNUMBER(Producción_Agricola[[#This Row],[Fecha Financiero]])=TRUE,YEAR(Producción_Agricola[[#This Row],[Fecha Financiero]]),0)</f>
        <v>0</v>
      </c>
      <c r="AK548" s="704">
        <f>SUMPRODUCT((Producción_Agricola[[#This Row],[Mes Financiero]]=Tipo_Cambio[Mes])*(Producción_Agricola[[#This Row],[Año Financiero]]=Tipo_Cambio[Año])*(Tipo_Cambio[$/U$S]))</f>
        <v>0</v>
      </c>
      <c r="AL548" s="704">
        <f>SUMPRODUCT((Producción_Agricola[[#This Row],[Mes Financiero]]=Tipo_Cambio[Mes])*(Producción_Agricola[[#This Row],[Año Financiero]]=Tipo_Cambio[Año])*(Tipo_Cambio[Actualización]))</f>
        <v>0</v>
      </c>
      <c r="AM548" s="709">
        <f>IFERROR(Producción_Agricola[[#This Row],[Económico $Corrientes]]/Producción_Agricola[[#This Row],[Superficie]],0)</f>
        <v>0</v>
      </c>
      <c r="AN548" s="712">
        <f>IFERROR(Producción_Agricola[[#This Row],[Económico $Constantes]]/Producción_Agricola[[#This Row],[Superficie]],0)</f>
        <v>0</v>
      </c>
      <c r="AO548" s="712">
        <f>IFERROR(Producción_Agricola[[#This Row],[Económico U$S Dólares]]/Producción_Agricola[[#This Row],[Superficie]],0)</f>
        <v>0</v>
      </c>
      <c r="AP548" s="711">
        <f>IF(Económico!$F$4=0,0,Producción_Agricola[[#This Row],[Centro de Costo]])</f>
        <v>0</v>
      </c>
      <c r="AQ548" s="512"/>
      <c r="AR548" s="513"/>
      <c r="AS548"/>
    </row>
    <row r="549" spans="1:45" x14ac:dyDescent="0.25">
      <c r="A549" s="509"/>
      <c r="B549" s="494"/>
      <c r="C549" s="509"/>
      <c r="D549" s="478"/>
      <c r="E549" s="478"/>
      <c r="F549" s="668">
        <f t="shared" si="68"/>
        <v>0</v>
      </c>
      <c r="G549" s="673">
        <f t="shared" si="69"/>
        <v>0</v>
      </c>
      <c r="H549" s="673">
        <f t="shared" si="70"/>
        <v>0</v>
      </c>
      <c r="I549" s="675">
        <f>IFERROR(INDEX(Tabla8[],MATCH(Producción_Agricola[[#This Row],[Unidad de Negocio]],Tabla8[Unidades de Negocio],0),2),0)</f>
        <v>0</v>
      </c>
      <c r="J54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49" s="488"/>
      <c r="L549" s="482"/>
      <c r="M549" s="483"/>
      <c r="N549" s="484"/>
      <c r="O549" s="690">
        <f>Producción_Agricola[[#This Row],[Superficie]]*Producción_Agricola[[#This Row],[Cantidad]]</f>
        <v>0</v>
      </c>
      <c r="P549" s="482"/>
      <c r="Q549" s="484"/>
      <c r="R549" s="485"/>
      <c r="S54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49" s="695">
        <f>IFERROR(Producción_Agricola[[#This Row],[Económico $Corrientes]]/Producción_Agricola[[#This Row],[Indexación Económico]],0)</f>
        <v>0</v>
      </c>
      <c r="U54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4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49" s="695">
        <f>IFERROR(Producción_Agricola[[#This Row],[Financiero $Corrientes]]/Producción_Agricola[[#This Row],[Indexación Financiero]],0)</f>
        <v>0</v>
      </c>
      <c r="X54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4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49" s="699">
        <f>IFERROR(Producción_Agricola[[#This Row],[Intereses $Corrientes]]/Producción_Agricola[[#This Row],[Indexación Financiero]],0)</f>
        <v>0</v>
      </c>
      <c r="AA54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49" s="701">
        <f>IFERROR(INDEX(Produccion_Agricola_Cuentas[],MATCH(Producción_Agricola[[#This Row],[Cuenta Contable]],Produccion_Agricola_Cuentas[Cuenta Contable],0),2),0)</f>
        <v>0</v>
      </c>
      <c r="AC549" s="702">
        <f>IFERROR(INDEX(Tabla9[],MATCH(Producción_Agricola[[#This Row],[Movimiento]],Tabla9[Movimientos],0),2),0)</f>
        <v>0</v>
      </c>
      <c r="AD549" s="703">
        <f>IFERROR(INDEX(Tabla9[],MATCH(Producción_Agricola[[#This Row],[Movimiento]],Tabla9[Movimientos],0),3),0)</f>
        <v>0</v>
      </c>
      <c r="AE549" s="698">
        <f>IF(Producción_Agricola[[#This Row],[Fecha Económico]]=0,0,MONTH(Producción_Agricola[[#This Row],[Fecha Económico]]))</f>
        <v>0</v>
      </c>
      <c r="AF549" s="699">
        <f>IF(Producción_Agricola[[#This Row],[Fecha Económico]]=0,0,YEAR(Producción_Agricola[[#This Row],[Fecha Económico]]))</f>
        <v>0</v>
      </c>
      <c r="AG549" s="704">
        <f>SUMPRODUCT((Producción_Agricola[[#This Row],[Mes Económico]]=Tipo_Cambio[Mes])*(Producción_Agricola[[#This Row],[Año Económico]]=Tipo_Cambio[Año])*(Tipo_Cambio[$/U$S]))</f>
        <v>0</v>
      </c>
      <c r="AH549" s="703">
        <f>SUMPRODUCT((Producción_Agricola[[#This Row],[Mes Económico]]=Tipo_Cambio[Mes])*(Producción_Agricola[[#This Row],[Año Económico]]=Tipo_Cambio[Año])*(Tipo_Cambio[Actualización]))</f>
        <v>0</v>
      </c>
      <c r="AI549" s="699">
        <f>IF(ISNUMBER(Producción_Agricola[[#This Row],[Fecha Financiero]])=TRUE,MONTH(Producción_Agricola[[#This Row],[Fecha Financiero]]),0)</f>
        <v>0</v>
      </c>
      <c r="AJ549" s="699">
        <f>IF(ISNUMBER(Producción_Agricola[[#This Row],[Fecha Financiero]])=TRUE,YEAR(Producción_Agricola[[#This Row],[Fecha Financiero]]),0)</f>
        <v>0</v>
      </c>
      <c r="AK549" s="704">
        <f>SUMPRODUCT((Producción_Agricola[[#This Row],[Mes Financiero]]=Tipo_Cambio[Mes])*(Producción_Agricola[[#This Row],[Año Financiero]]=Tipo_Cambio[Año])*(Tipo_Cambio[$/U$S]))</f>
        <v>0</v>
      </c>
      <c r="AL549" s="704">
        <f>SUMPRODUCT((Producción_Agricola[[#This Row],[Mes Financiero]]=Tipo_Cambio[Mes])*(Producción_Agricola[[#This Row],[Año Financiero]]=Tipo_Cambio[Año])*(Tipo_Cambio[Actualización]))</f>
        <v>0</v>
      </c>
      <c r="AM549" s="709">
        <f>IFERROR(Producción_Agricola[[#This Row],[Económico $Corrientes]]/Producción_Agricola[[#This Row],[Superficie]],0)</f>
        <v>0</v>
      </c>
      <c r="AN549" s="712">
        <f>IFERROR(Producción_Agricola[[#This Row],[Económico $Constantes]]/Producción_Agricola[[#This Row],[Superficie]],0)</f>
        <v>0</v>
      </c>
      <c r="AO549" s="712">
        <f>IFERROR(Producción_Agricola[[#This Row],[Económico U$S Dólares]]/Producción_Agricola[[#This Row],[Superficie]],0)</f>
        <v>0</v>
      </c>
      <c r="AP549" s="711">
        <f>IF(Económico!$F$4=0,0,Producción_Agricola[[#This Row],[Centro de Costo]])</f>
        <v>0</v>
      </c>
      <c r="AQ549" s="512"/>
      <c r="AR549" s="513"/>
      <c r="AS549"/>
    </row>
    <row r="550" spans="1:45" x14ac:dyDescent="0.25">
      <c r="A550" s="509"/>
      <c r="B550" s="494"/>
      <c r="C550" s="509"/>
      <c r="D550" s="478"/>
      <c r="E550" s="478"/>
      <c r="F550" s="668">
        <f t="shared" si="68"/>
        <v>0</v>
      </c>
      <c r="G550" s="673">
        <f t="shared" si="69"/>
        <v>0</v>
      </c>
      <c r="H550" s="673">
        <f t="shared" si="70"/>
        <v>0</v>
      </c>
      <c r="I550" s="675">
        <f>IFERROR(INDEX(Tabla8[],MATCH(Producción_Agricola[[#This Row],[Unidad de Negocio]],Tabla8[Unidades de Negocio],0),2),0)</f>
        <v>0</v>
      </c>
      <c r="J55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50" s="488"/>
      <c r="L550" s="482"/>
      <c r="M550" s="483"/>
      <c r="N550" s="484"/>
      <c r="O550" s="690">
        <f>Producción_Agricola[[#This Row],[Superficie]]*Producción_Agricola[[#This Row],[Cantidad]]</f>
        <v>0</v>
      </c>
      <c r="P550" s="482"/>
      <c r="Q550" s="484"/>
      <c r="R550" s="485"/>
      <c r="S55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50" s="695">
        <f>IFERROR(Producción_Agricola[[#This Row],[Económico $Corrientes]]/Producción_Agricola[[#This Row],[Indexación Económico]],0)</f>
        <v>0</v>
      </c>
      <c r="U55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5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50" s="695">
        <f>IFERROR(Producción_Agricola[[#This Row],[Financiero $Corrientes]]/Producción_Agricola[[#This Row],[Indexación Financiero]],0)</f>
        <v>0</v>
      </c>
      <c r="X55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5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50" s="699">
        <f>IFERROR(Producción_Agricola[[#This Row],[Intereses $Corrientes]]/Producción_Agricola[[#This Row],[Indexación Financiero]],0)</f>
        <v>0</v>
      </c>
      <c r="AA55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50" s="701">
        <f>IFERROR(INDEX(Produccion_Agricola_Cuentas[],MATCH(Producción_Agricola[[#This Row],[Cuenta Contable]],Produccion_Agricola_Cuentas[Cuenta Contable],0),2),0)</f>
        <v>0</v>
      </c>
      <c r="AC550" s="702">
        <f>IFERROR(INDEX(Tabla9[],MATCH(Producción_Agricola[[#This Row],[Movimiento]],Tabla9[Movimientos],0),2),0)</f>
        <v>0</v>
      </c>
      <c r="AD550" s="703">
        <f>IFERROR(INDEX(Tabla9[],MATCH(Producción_Agricola[[#This Row],[Movimiento]],Tabla9[Movimientos],0),3),0)</f>
        <v>0</v>
      </c>
      <c r="AE550" s="698">
        <f>IF(Producción_Agricola[[#This Row],[Fecha Económico]]=0,0,MONTH(Producción_Agricola[[#This Row],[Fecha Económico]]))</f>
        <v>0</v>
      </c>
      <c r="AF550" s="699">
        <f>IF(Producción_Agricola[[#This Row],[Fecha Económico]]=0,0,YEAR(Producción_Agricola[[#This Row],[Fecha Económico]]))</f>
        <v>0</v>
      </c>
      <c r="AG550" s="704">
        <f>SUMPRODUCT((Producción_Agricola[[#This Row],[Mes Económico]]=Tipo_Cambio[Mes])*(Producción_Agricola[[#This Row],[Año Económico]]=Tipo_Cambio[Año])*(Tipo_Cambio[$/U$S]))</f>
        <v>0</v>
      </c>
      <c r="AH550" s="703">
        <f>SUMPRODUCT((Producción_Agricola[[#This Row],[Mes Económico]]=Tipo_Cambio[Mes])*(Producción_Agricola[[#This Row],[Año Económico]]=Tipo_Cambio[Año])*(Tipo_Cambio[Actualización]))</f>
        <v>0</v>
      </c>
      <c r="AI550" s="699">
        <f>IF(ISNUMBER(Producción_Agricola[[#This Row],[Fecha Financiero]])=TRUE,MONTH(Producción_Agricola[[#This Row],[Fecha Financiero]]),0)</f>
        <v>0</v>
      </c>
      <c r="AJ550" s="699">
        <f>IF(ISNUMBER(Producción_Agricola[[#This Row],[Fecha Financiero]])=TRUE,YEAR(Producción_Agricola[[#This Row],[Fecha Financiero]]),0)</f>
        <v>0</v>
      </c>
      <c r="AK550" s="704">
        <f>SUMPRODUCT((Producción_Agricola[[#This Row],[Mes Financiero]]=Tipo_Cambio[Mes])*(Producción_Agricola[[#This Row],[Año Financiero]]=Tipo_Cambio[Año])*(Tipo_Cambio[$/U$S]))</f>
        <v>0</v>
      </c>
      <c r="AL550" s="704">
        <f>SUMPRODUCT((Producción_Agricola[[#This Row],[Mes Financiero]]=Tipo_Cambio[Mes])*(Producción_Agricola[[#This Row],[Año Financiero]]=Tipo_Cambio[Año])*(Tipo_Cambio[Actualización]))</f>
        <v>0</v>
      </c>
      <c r="AM550" s="709">
        <f>IFERROR(Producción_Agricola[[#This Row],[Económico $Corrientes]]/Producción_Agricola[[#This Row],[Superficie]],0)</f>
        <v>0</v>
      </c>
      <c r="AN550" s="712">
        <f>IFERROR(Producción_Agricola[[#This Row],[Económico $Constantes]]/Producción_Agricola[[#This Row],[Superficie]],0)</f>
        <v>0</v>
      </c>
      <c r="AO550" s="712">
        <f>IFERROR(Producción_Agricola[[#This Row],[Económico U$S Dólares]]/Producción_Agricola[[#This Row],[Superficie]],0)</f>
        <v>0</v>
      </c>
      <c r="AP550" s="711">
        <f>IF(Económico!$F$4=0,0,Producción_Agricola[[#This Row],[Centro de Costo]])</f>
        <v>0</v>
      </c>
      <c r="AQ550" s="512"/>
      <c r="AR550" s="513"/>
      <c r="AS550"/>
    </row>
    <row r="551" spans="1:45" x14ac:dyDescent="0.25">
      <c r="A551" s="509"/>
      <c r="B551" s="494"/>
      <c r="C551" s="509"/>
      <c r="D551" s="478"/>
      <c r="E551" s="478"/>
      <c r="F551" s="668">
        <f t="shared" si="68"/>
        <v>0</v>
      </c>
      <c r="G551" s="673">
        <f t="shared" si="69"/>
        <v>0</v>
      </c>
      <c r="H551" s="673">
        <f t="shared" si="70"/>
        <v>0</v>
      </c>
      <c r="I551" s="675">
        <f>IFERROR(INDEX(Tabla8[],MATCH(Producción_Agricola[[#This Row],[Unidad de Negocio]],Tabla8[Unidades de Negocio],0),2),0)</f>
        <v>0</v>
      </c>
      <c r="J55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51" s="488"/>
      <c r="L551" s="482"/>
      <c r="M551" s="483"/>
      <c r="N551" s="484"/>
      <c r="O551" s="690">
        <f>Producción_Agricola[[#This Row],[Superficie]]*Producción_Agricola[[#This Row],[Cantidad]]</f>
        <v>0</v>
      </c>
      <c r="P551" s="482"/>
      <c r="Q551" s="484"/>
      <c r="R551" s="485"/>
      <c r="S55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51" s="695">
        <f>IFERROR(Producción_Agricola[[#This Row],[Económico $Corrientes]]/Producción_Agricola[[#This Row],[Indexación Económico]],0)</f>
        <v>0</v>
      </c>
      <c r="U55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5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51" s="695">
        <f>IFERROR(Producción_Agricola[[#This Row],[Financiero $Corrientes]]/Producción_Agricola[[#This Row],[Indexación Financiero]],0)</f>
        <v>0</v>
      </c>
      <c r="X55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5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51" s="699">
        <f>IFERROR(Producción_Agricola[[#This Row],[Intereses $Corrientes]]/Producción_Agricola[[#This Row],[Indexación Financiero]],0)</f>
        <v>0</v>
      </c>
      <c r="AA55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51" s="701">
        <f>IFERROR(INDEX(Produccion_Agricola_Cuentas[],MATCH(Producción_Agricola[[#This Row],[Cuenta Contable]],Produccion_Agricola_Cuentas[Cuenta Contable],0),2),0)</f>
        <v>0</v>
      </c>
      <c r="AC551" s="702">
        <f>IFERROR(INDEX(Tabla9[],MATCH(Producción_Agricola[[#This Row],[Movimiento]],Tabla9[Movimientos],0),2),0)</f>
        <v>0</v>
      </c>
      <c r="AD551" s="703">
        <f>IFERROR(INDEX(Tabla9[],MATCH(Producción_Agricola[[#This Row],[Movimiento]],Tabla9[Movimientos],0),3),0)</f>
        <v>0</v>
      </c>
      <c r="AE551" s="698">
        <f>IF(Producción_Agricola[[#This Row],[Fecha Económico]]=0,0,MONTH(Producción_Agricola[[#This Row],[Fecha Económico]]))</f>
        <v>0</v>
      </c>
      <c r="AF551" s="699">
        <f>IF(Producción_Agricola[[#This Row],[Fecha Económico]]=0,0,YEAR(Producción_Agricola[[#This Row],[Fecha Económico]]))</f>
        <v>0</v>
      </c>
      <c r="AG551" s="704">
        <f>SUMPRODUCT((Producción_Agricola[[#This Row],[Mes Económico]]=Tipo_Cambio[Mes])*(Producción_Agricola[[#This Row],[Año Económico]]=Tipo_Cambio[Año])*(Tipo_Cambio[$/U$S]))</f>
        <v>0</v>
      </c>
      <c r="AH551" s="703">
        <f>SUMPRODUCT((Producción_Agricola[[#This Row],[Mes Económico]]=Tipo_Cambio[Mes])*(Producción_Agricola[[#This Row],[Año Económico]]=Tipo_Cambio[Año])*(Tipo_Cambio[Actualización]))</f>
        <v>0</v>
      </c>
      <c r="AI551" s="699">
        <f>IF(ISNUMBER(Producción_Agricola[[#This Row],[Fecha Financiero]])=TRUE,MONTH(Producción_Agricola[[#This Row],[Fecha Financiero]]),0)</f>
        <v>0</v>
      </c>
      <c r="AJ551" s="699">
        <f>IF(ISNUMBER(Producción_Agricola[[#This Row],[Fecha Financiero]])=TRUE,YEAR(Producción_Agricola[[#This Row],[Fecha Financiero]]),0)</f>
        <v>0</v>
      </c>
      <c r="AK551" s="704">
        <f>SUMPRODUCT((Producción_Agricola[[#This Row],[Mes Financiero]]=Tipo_Cambio[Mes])*(Producción_Agricola[[#This Row],[Año Financiero]]=Tipo_Cambio[Año])*(Tipo_Cambio[$/U$S]))</f>
        <v>0</v>
      </c>
      <c r="AL551" s="704">
        <f>SUMPRODUCT((Producción_Agricola[[#This Row],[Mes Financiero]]=Tipo_Cambio[Mes])*(Producción_Agricola[[#This Row],[Año Financiero]]=Tipo_Cambio[Año])*(Tipo_Cambio[Actualización]))</f>
        <v>0</v>
      </c>
      <c r="AM551" s="709">
        <f>IFERROR(Producción_Agricola[[#This Row],[Económico $Corrientes]]/Producción_Agricola[[#This Row],[Superficie]],0)</f>
        <v>0</v>
      </c>
      <c r="AN551" s="712">
        <f>IFERROR(Producción_Agricola[[#This Row],[Económico $Constantes]]/Producción_Agricola[[#This Row],[Superficie]],0)</f>
        <v>0</v>
      </c>
      <c r="AO551" s="712">
        <f>IFERROR(Producción_Agricola[[#This Row],[Económico U$S Dólares]]/Producción_Agricola[[#This Row],[Superficie]],0)</f>
        <v>0</v>
      </c>
      <c r="AP551" s="711">
        <f>IF(Económico!$F$4=0,0,Producción_Agricola[[#This Row],[Centro de Costo]])</f>
        <v>0</v>
      </c>
      <c r="AQ551" s="512"/>
      <c r="AR551" s="513"/>
      <c r="AS551"/>
    </row>
    <row r="552" spans="1:45" x14ac:dyDescent="0.25">
      <c r="A552" s="509"/>
      <c r="B552" s="494"/>
      <c r="C552" s="509"/>
      <c r="D552" s="478"/>
      <c r="E552" s="478"/>
      <c r="F552" s="668">
        <f t="shared" si="68"/>
        <v>0</v>
      </c>
      <c r="G552" s="673">
        <f t="shared" si="69"/>
        <v>0</v>
      </c>
      <c r="H552" s="673">
        <f t="shared" si="70"/>
        <v>0</v>
      </c>
      <c r="I552" s="675">
        <f>IFERROR(INDEX(Tabla8[],MATCH(Producción_Agricola[[#This Row],[Unidad de Negocio]],Tabla8[Unidades de Negocio],0),2),0)</f>
        <v>0</v>
      </c>
      <c r="J55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52" s="488"/>
      <c r="L552" s="482"/>
      <c r="M552" s="483"/>
      <c r="N552" s="484"/>
      <c r="O552" s="690">
        <f>Producción_Agricola[[#This Row],[Superficie]]*Producción_Agricola[[#This Row],[Cantidad]]</f>
        <v>0</v>
      </c>
      <c r="P552" s="482"/>
      <c r="Q552" s="484"/>
      <c r="R552" s="485"/>
      <c r="S55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52" s="695">
        <f>IFERROR(Producción_Agricola[[#This Row],[Económico $Corrientes]]/Producción_Agricola[[#This Row],[Indexación Económico]],0)</f>
        <v>0</v>
      </c>
      <c r="U55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5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52" s="695">
        <f>IFERROR(Producción_Agricola[[#This Row],[Financiero $Corrientes]]/Producción_Agricola[[#This Row],[Indexación Financiero]],0)</f>
        <v>0</v>
      </c>
      <c r="X55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5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52" s="699">
        <f>IFERROR(Producción_Agricola[[#This Row],[Intereses $Corrientes]]/Producción_Agricola[[#This Row],[Indexación Financiero]],0)</f>
        <v>0</v>
      </c>
      <c r="AA55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52" s="701">
        <f>IFERROR(INDEX(Produccion_Agricola_Cuentas[],MATCH(Producción_Agricola[[#This Row],[Cuenta Contable]],Produccion_Agricola_Cuentas[Cuenta Contable],0),2),0)</f>
        <v>0</v>
      </c>
      <c r="AC552" s="702">
        <f>IFERROR(INDEX(Tabla9[],MATCH(Producción_Agricola[[#This Row],[Movimiento]],Tabla9[Movimientos],0),2),0)</f>
        <v>0</v>
      </c>
      <c r="AD552" s="703">
        <f>IFERROR(INDEX(Tabla9[],MATCH(Producción_Agricola[[#This Row],[Movimiento]],Tabla9[Movimientos],0),3),0)</f>
        <v>0</v>
      </c>
      <c r="AE552" s="698">
        <f>IF(Producción_Agricola[[#This Row],[Fecha Económico]]=0,0,MONTH(Producción_Agricola[[#This Row],[Fecha Económico]]))</f>
        <v>0</v>
      </c>
      <c r="AF552" s="699">
        <f>IF(Producción_Agricola[[#This Row],[Fecha Económico]]=0,0,YEAR(Producción_Agricola[[#This Row],[Fecha Económico]]))</f>
        <v>0</v>
      </c>
      <c r="AG552" s="704">
        <f>SUMPRODUCT((Producción_Agricola[[#This Row],[Mes Económico]]=Tipo_Cambio[Mes])*(Producción_Agricola[[#This Row],[Año Económico]]=Tipo_Cambio[Año])*(Tipo_Cambio[$/U$S]))</f>
        <v>0</v>
      </c>
      <c r="AH552" s="703">
        <f>SUMPRODUCT((Producción_Agricola[[#This Row],[Mes Económico]]=Tipo_Cambio[Mes])*(Producción_Agricola[[#This Row],[Año Económico]]=Tipo_Cambio[Año])*(Tipo_Cambio[Actualización]))</f>
        <v>0</v>
      </c>
      <c r="AI552" s="699">
        <f>IF(ISNUMBER(Producción_Agricola[[#This Row],[Fecha Financiero]])=TRUE,MONTH(Producción_Agricola[[#This Row],[Fecha Financiero]]),0)</f>
        <v>0</v>
      </c>
      <c r="AJ552" s="699">
        <f>IF(ISNUMBER(Producción_Agricola[[#This Row],[Fecha Financiero]])=TRUE,YEAR(Producción_Agricola[[#This Row],[Fecha Financiero]]),0)</f>
        <v>0</v>
      </c>
      <c r="AK552" s="704">
        <f>SUMPRODUCT((Producción_Agricola[[#This Row],[Mes Financiero]]=Tipo_Cambio[Mes])*(Producción_Agricola[[#This Row],[Año Financiero]]=Tipo_Cambio[Año])*(Tipo_Cambio[$/U$S]))</f>
        <v>0</v>
      </c>
      <c r="AL552" s="704">
        <f>SUMPRODUCT((Producción_Agricola[[#This Row],[Mes Financiero]]=Tipo_Cambio[Mes])*(Producción_Agricola[[#This Row],[Año Financiero]]=Tipo_Cambio[Año])*(Tipo_Cambio[Actualización]))</f>
        <v>0</v>
      </c>
      <c r="AM552" s="709">
        <f>IFERROR(Producción_Agricola[[#This Row],[Económico $Corrientes]]/Producción_Agricola[[#This Row],[Superficie]],0)</f>
        <v>0</v>
      </c>
      <c r="AN552" s="712">
        <f>IFERROR(Producción_Agricola[[#This Row],[Económico $Constantes]]/Producción_Agricola[[#This Row],[Superficie]],0)</f>
        <v>0</v>
      </c>
      <c r="AO552" s="712">
        <f>IFERROR(Producción_Agricola[[#This Row],[Económico U$S Dólares]]/Producción_Agricola[[#This Row],[Superficie]],0)</f>
        <v>0</v>
      </c>
      <c r="AP552" s="711">
        <f>IF(Económico!$F$4=0,0,Producción_Agricola[[#This Row],[Centro de Costo]])</f>
        <v>0</v>
      </c>
      <c r="AQ552" s="512"/>
      <c r="AR552" s="513"/>
      <c r="AS552"/>
    </row>
    <row r="553" spans="1:45" x14ac:dyDescent="0.25">
      <c r="A553" s="509"/>
      <c r="B553" s="494"/>
      <c r="C553" s="509"/>
      <c r="D553" s="478"/>
      <c r="E553" s="478"/>
      <c r="F553" s="668">
        <f t="shared" si="68"/>
        <v>0</v>
      </c>
      <c r="G553" s="673">
        <f t="shared" si="69"/>
        <v>0</v>
      </c>
      <c r="H553" s="673">
        <f t="shared" si="70"/>
        <v>0</v>
      </c>
      <c r="I553" s="675">
        <f>IFERROR(INDEX(Tabla8[],MATCH(Producción_Agricola[[#This Row],[Unidad de Negocio]],Tabla8[Unidades de Negocio],0),2),0)</f>
        <v>0</v>
      </c>
      <c r="J55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53" s="488"/>
      <c r="L553" s="482"/>
      <c r="M553" s="483"/>
      <c r="N553" s="484"/>
      <c r="O553" s="690">
        <f>Producción_Agricola[[#This Row],[Superficie]]*Producción_Agricola[[#This Row],[Cantidad]]</f>
        <v>0</v>
      </c>
      <c r="P553" s="482"/>
      <c r="Q553" s="484"/>
      <c r="R553" s="485"/>
      <c r="S55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53" s="695">
        <f>IFERROR(Producción_Agricola[[#This Row],[Económico $Corrientes]]/Producción_Agricola[[#This Row],[Indexación Económico]],0)</f>
        <v>0</v>
      </c>
      <c r="U55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5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53" s="695">
        <f>IFERROR(Producción_Agricola[[#This Row],[Financiero $Corrientes]]/Producción_Agricola[[#This Row],[Indexación Financiero]],0)</f>
        <v>0</v>
      </c>
      <c r="X55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5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53" s="699">
        <f>IFERROR(Producción_Agricola[[#This Row],[Intereses $Corrientes]]/Producción_Agricola[[#This Row],[Indexación Financiero]],0)</f>
        <v>0</v>
      </c>
      <c r="AA55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53" s="701">
        <f>IFERROR(INDEX(Produccion_Agricola_Cuentas[],MATCH(Producción_Agricola[[#This Row],[Cuenta Contable]],Produccion_Agricola_Cuentas[Cuenta Contable],0),2),0)</f>
        <v>0</v>
      </c>
      <c r="AC553" s="702">
        <f>IFERROR(INDEX(Tabla9[],MATCH(Producción_Agricola[[#This Row],[Movimiento]],Tabla9[Movimientos],0),2),0)</f>
        <v>0</v>
      </c>
      <c r="AD553" s="703">
        <f>IFERROR(INDEX(Tabla9[],MATCH(Producción_Agricola[[#This Row],[Movimiento]],Tabla9[Movimientos],0),3),0)</f>
        <v>0</v>
      </c>
      <c r="AE553" s="698">
        <f>IF(Producción_Agricola[[#This Row],[Fecha Económico]]=0,0,MONTH(Producción_Agricola[[#This Row],[Fecha Económico]]))</f>
        <v>0</v>
      </c>
      <c r="AF553" s="699">
        <f>IF(Producción_Agricola[[#This Row],[Fecha Económico]]=0,0,YEAR(Producción_Agricola[[#This Row],[Fecha Económico]]))</f>
        <v>0</v>
      </c>
      <c r="AG553" s="704">
        <f>SUMPRODUCT((Producción_Agricola[[#This Row],[Mes Económico]]=Tipo_Cambio[Mes])*(Producción_Agricola[[#This Row],[Año Económico]]=Tipo_Cambio[Año])*(Tipo_Cambio[$/U$S]))</f>
        <v>0</v>
      </c>
      <c r="AH553" s="703">
        <f>SUMPRODUCT((Producción_Agricola[[#This Row],[Mes Económico]]=Tipo_Cambio[Mes])*(Producción_Agricola[[#This Row],[Año Económico]]=Tipo_Cambio[Año])*(Tipo_Cambio[Actualización]))</f>
        <v>0</v>
      </c>
      <c r="AI553" s="699">
        <f>IF(ISNUMBER(Producción_Agricola[[#This Row],[Fecha Financiero]])=TRUE,MONTH(Producción_Agricola[[#This Row],[Fecha Financiero]]),0)</f>
        <v>0</v>
      </c>
      <c r="AJ553" s="699">
        <f>IF(ISNUMBER(Producción_Agricola[[#This Row],[Fecha Financiero]])=TRUE,YEAR(Producción_Agricola[[#This Row],[Fecha Financiero]]),0)</f>
        <v>0</v>
      </c>
      <c r="AK553" s="704">
        <f>SUMPRODUCT((Producción_Agricola[[#This Row],[Mes Financiero]]=Tipo_Cambio[Mes])*(Producción_Agricola[[#This Row],[Año Financiero]]=Tipo_Cambio[Año])*(Tipo_Cambio[$/U$S]))</f>
        <v>0</v>
      </c>
      <c r="AL553" s="704">
        <f>SUMPRODUCT((Producción_Agricola[[#This Row],[Mes Financiero]]=Tipo_Cambio[Mes])*(Producción_Agricola[[#This Row],[Año Financiero]]=Tipo_Cambio[Año])*(Tipo_Cambio[Actualización]))</f>
        <v>0</v>
      </c>
      <c r="AM553" s="709">
        <f>IFERROR(Producción_Agricola[[#This Row],[Económico $Corrientes]]/Producción_Agricola[[#This Row],[Superficie]],0)</f>
        <v>0</v>
      </c>
      <c r="AN553" s="712">
        <f>IFERROR(Producción_Agricola[[#This Row],[Económico $Constantes]]/Producción_Agricola[[#This Row],[Superficie]],0)</f>
        <v>0</v>
      </c>
      <c r="AO553" s="712">
        <f>IFERROR(Producción_Agricola[[#This Row],[Económico U$S Dólares]]/Producción_Agricola[[#This Row],[Superficie]],0)</f>
        <v>0</v>
      </c>
      <c r="AP553" s="711">
        <f>IF(Económico!$F$4=0,0,Producción_Agricola[[#This Row],[Centro de Costo]])</f>
        <v>0</v>
      </c>
      <c r="AQ553" s="512"/>
      <c r="AR553" s="513"/>
      <c r="AS553"/>
    </row>
    <row r="554" spans="1:45" x14ac:dyDescent="0.25">
      <c r="A554" s="509"/>
      <c r="B554" s="494"/>
      <c r="C554" s="509"/>
      <c r="D554" s="478"/>
      <c r="E554" s="478"/>
      <c r="F554" s="668">
        <f t="shared" si="68"/>
        <v>0</v>
      </c>
      <c r="G554" s="673">
        <f t="shared" si="69"/>
        <v>0</v>
      </c>
      <c r="H554" s="673">
        <f t="shared" si="70"/>
        <v>0</v>
      </c>
      <c r="I554" s="675">
        <f>IFERROR(INDEX(Tabla8[],MATCH(Producción_Agricola[[#This Row],[Unidad de Negocio]],Tabla8[Unidades de Negocio],0),2),0)</f>
        <v>0</v>
      </c>
      <c r="J55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54" s="488"/>
      <c r="L554" s="482"/>
      <c r="M554" s="483"/>
      <c r="N554" s="484"/>
      <c r="O554" s="690">
        <f>Producción_Agricola[[#This Row],[Superficie]]*Producción_Agricola[[#This Row],[Cantidad]]</f>
        <v>0</v>
      </c>
      <c r="P554" s="482"/>
      <c r="Q554" s="484"/>
      <c r="R554" s="485"/>
      <c r="S55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54" s="695">
        <f>IFERROR(Producción_Agricola[[#This Row],[Económico $Corrientes]]/Producción_Agricola[[#This Row],[Indexación Económico]],0)</f>
        <v>0</v>
      </c>
      <c r="U55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5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54" s="695">
        <f>IFERROR(Producción_Agricola[[#This Row],[Financiero $Corrientes]]/Producción_Agricola[[#This Row],[Indexación Financiero]],0)</f>
        <v>0</v>
      </c>
      <c r="X55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5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54" s="699">
        <f>IFERROR(Producción_Agricola[[#This Row],[Intereses $Corrientes]]/Producción_Agricola[[#This Row],[Indexación Financiero]],0)</f>
        <v>0</v>
      </c>
      <c r="AA55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54" s="701">
        <f>IFERROR(INDEX(Produccion_Agricola_Cuentas[],MATCH(Producción_Agricola[[#This Row],[Cuenta Contable]],Produccion_Agricola_Cuentas[Cuenta Contable],0),2),0)</f>
        <v>0</v>
      </c>
      <c r="AC554" s="702">
        <f>IFERROR(INDEX(Tabla9[],MATCH(Producción_Agricola[[#This Row],[Movimiento]],Tabla9[Movimientos],0),2),0)</f>
        <v>0</v>
      </c>
      <c r="AD554" s="703">
        <f>IFERROR(INDEX(Tabla9[],MATCH(Producción_Agricola[[#This Row],[Movimiento]],Tabla9[Movimientos],0),3),0)</f>
        <v>0</v>
      </c>
      <c r="AE554" s="698">
        <f>IF(Producción_Agricola[[#This Row],[Fecha Económico]]=0,0,MONTH(Producción_Agricola[[#This Row],[Fecha Económico]]))</f>
        <v>0</v>
      </c>
      <c r="AF554" s="699">
        <f>IF(Producción_Agricola[[#This Row],[Fecha Económico]]=0,0,YEAR(Producción_Agricola[[#This Row],[Fecha Económico]]))</f>
        <v>0</v>
      </c>
      <c r="AG554" s="704">
        <f>SUMPRODUCT((Producción_Agricola[[#This Row],[Mes Económico]]=Tipo_Cambio[Mes])*(Producción_Agricola[[#This Row],[Año Económico]]=Tipo_Cambio[Año])*(Tipo_Cambio[$/U$S]))</f>
        <v>0</v>
      </c>
      <c r="AH554" s="703">
        <f>SUMPRODUCT((Producción_Agricola[[#This Row],[Mes Económico]]=Tipo_Cambio[Mes])*(Producción_Agricola[[#This Row],[Año Económico]]=Tipo_Cambio[Año])*(Tipo_Cambio[Actualización]))</f>
        <v>0</v>
      </c>
      <c r="AI554" s="699">
        <f>IF(ISNUMBER(Producción_Agricola[[#This Row],[Fecha Financiero]])=TRUE,MONTH(Producción_Agricola[[#This Row],[Fecha Financiero]]),0)</f>
        <v>0</v>
      </c>
      <c r="AJ554" s="699">
        <f>IF(ISNUMBER(Producción_Agricola[[#This Row],[Fecha Financiero]])=TRUE,YEAR(Producción_Agricola[[#This Row],[Fecha Financiero]]),0)</f>
        <v>0</v>
      </c>
      <c r="AK554" s="704">
        <f>SUMPRODUCT((Producción_Agricola[[#This Row],[Mes Financiero]]=Tipo_Cambio[Mes])*(Producción_Agricola[[#This Row],[Año Financiero]]=Tipo_Cambio[Año])*(Tipo_Cambio[$/U$S]))</f>
        <v>0</v>
      </c>
      <c r="AL554" s="704">
        <f>SUMPRODUCT((Producción_Agricola[[#This Row],[Mes Financiero]]=Tipo_Cambio[Mes])*(Producción_Agricola[[#This Row],[Año Financiero]]=Tipo_Cambio[Año])*(Tipo_Cambio[Actualización]))</f>
        <v>0</v>
      </c>
      <c r="AM554" s="709">
        <f>IFERROR(Producción_Agricola[[#This Row],[Económico $Corrientes]]/Producción_Agricola[[#This Row],[Superficie]],0)</f>
        <v>0</v>
      </c>
      <c r="AN554" s="712">
        <f>IFERROR(Producción_Agricola[[#This Row],[Económico $Constantes]]/Producción_Agricola[[#This Row],[Superficie]],0)</f>
        <v>0</v>
      </c>
      <c r="AO554" s="712">
        <f>IFERROR(Producción_Agricola[[#This Row],[Económico U$S Dólares]]/Producción_Agricola[[#This Row],[Superficie]],0)</f>
        <v>0</v>
      </c>
      <c r="AP554" s="711">
        <f>IF(Económico!$F$4=0,0,Producción_Agricola[[#This Row],[Centro de Costo]])</f>
        <v>0</v>
      </c>
      <c r="AQ554" s="512"/>
      <c r="AR554" s="513"/>
      <c r="AS554"/>
    </row>
    <row r="555" spans="1:45" x14ac:dyDescent="0.25">
      <c r="A555" s="509"/>
      <c r="B555" s="494"/>
      <c r="C555" s="509"/>
      <c r="D555" s="478"/>
      <c r="E555" s="478"/>
      <c r="F555" s="668">
        <f t="shared" si="68"/>
        <v>0</v>
      </c>
      <c r="G555" s="673">
        <f t="shared" si="69"/>
        <v>0</v>
      </c>
      <c r="H555" s="673">
        <f t="shared" si="70"/>
        <v>0</v>
      </c>
      <c r="I555" s="675">
        <f>IFERROR(INDEX(Tabla8[],MATCH(Producción_Agricola[[#This Row],[Unidad de Negocio]],Tabla8[Unidades de Negocio],0),2),0)</f>
        <v>0</v>
      </c>
      <c r="J55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55" s="488"/>
      <c r="L555" s="482"/>
      <c r="M555" s="483"/>
      <c r="N555" s="484"/>
      <c r="O555" s="690">
        <f>Producción_Agricola[[#This Row],[Superficie]]*Producción_Agricola[[#This Row],[Cantidad]]</f>
        <v>0</v>
      </c>
      <c r="P555" s="482"/>
      <c r="Q555" s="484"/>
      <c r="R555" s="485"/>
      <c r="S55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55" s="695">
        <f>IFERROR(Producción_Agricola[[#This Row],[Económico $Corrientes]]/Producción_Agricola[[#This Row],[Indexación Económico]],0)</f>
        <v>0</v>
      </c>
      <c r="U55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5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55" s="695">
        <f>IFERROR(Producción_Agricola[[#This Row],[Financiero $Corrientes]]/Producción_Agricola[[#This Row],[Indexación Financiero]],0)</f>
        <v>0</v>
      </c>
      <c r="X55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5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55" s="699">
        <f>IFERROR(Producción_Agricola[[#This Row],[Intereses $Corrientes]]/Producción_Agricola[[#This Row],[Indexación Financiero]],0)</f>
        <v>0</v>
      </c>
      <c r="AA55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55" s="701">
        <f>IFERROR(INDEX(Produccion_Agricola_Cuentas[],MATCH(Producción_Agricola[[#This Row],[Cuenta Contable]],Produccion_Agricola_Cuentas[Cuenta Contable],0),2),0)</f>
        <v>0</v>
      </c>
      <c r="AC555" s="702">
        <f>IFERROR(INDEX(Tabla9[],MATCH(Producción_Agricola[[#This Row],[Movimiento]],Tabla9[Movimientos],0),2),0)</f>
        <v>0</v>
      </c>
      <c r="AD555" s="703">
        <f>IFERROR(INDEX(Tabla9[],MATCH(Producción_Agricola[[#This Row],[Movimiento]],Tabla9[Movimientos],0),3),0)</f>
        <v>0</v>
      </c>
      <c r="AE555" s="698">
        <f>IF(Producción_Agricola[[#This Row],[Fecha Económico]]=0,0,MONTH(Producción_Agricola[[#This Row],[Fecha Económico]]))</f>
        <v>0</v>
      </c>
      <c r="AF555" s="699">
        <f>IF(Producción_Agricola[[#This Row],[Fecha Económico]]=0,0,YEAR(Producción_Agricola[[#This Row],[Fecha Económico]]))</f>
        <v>0</v>
      </c>
      <c r="AG555" s="704">
        <f>SUMPRODUCT((Producción_Agricola[[#This Row],[Mes Económico]]=Tipo_Cambio[Mes])*(Producción_Agricola[[#This Row],[Año Económico]]=Tipo_Cambio[Año])*(Tipo_Cambio[$/U$S]))</f>
        <v>0</v>
      </c>
      <c r="AH555" s="703">
        <f>SUMPRODUCT((Producción_Agricola[[#This Row],[Mes Económico]]=Tipo_Cambio[Mes])*(Producción_Agricola[[#This Row],[Año Económico]]=Tipo_Cambio[Año])*(Tipo_Cambio[Actualización]))</f>
        <v>0</v>
      </c>
      <c r="AI555" s="699">
        <f>IF(ISNUMBER(Producción_Agricola[[#This Row],[Fecha Financiero]])=TRUE,MONTH(Producción_Agricola[[#This Row],[Fecha Financiero]]),0)</f>
        <v>0</v>
      </c>
      <c r="AJ555" s="699">
        <f>IF(ISNUMBER(Producción_Agricola[[#This Row],[Fecha Financiero]])=TRUE,YEAR(Producción_Agricola[[#This Row],[Fecha Financiero]]),0)</f>
        <v>0</v>
      </c>
      <c r="AK555" s="704">
        <f>SUMPRODUCT((Producción_Agricola[[#This Row],[Mes Financiero]]=Tipo_Cambio[Mes])*(Producción_Agricola[[#This Row],[Año Financiero]]=Tipo_Cambio[Año])*(Tipo_Cambio[$/U$S]))</f>
        <v>0</v>
      </c>
      <c r="AL555" s="704">
        <f>SUMPRODUCT((Producción_Agricola[[#This Row],[Mes Financiero]]=Tipo_Cambio[Mes])*(Producción_Agricola[[#This Row],[Año Financiero]]=Tipo_Cambio[Año])*(Tipo_Cambio[Actualización]))</f>
        <v>0</v>
      </c>
      <c r="AM555" s="709">
        <f>IFERROR(Producción_Agricola[[#This Row],[Económico $Corrientes]]/Producción_Agricola[[#This Row],[Superficie]],0)</f>
        <v>0</v>
      </c>
      <c r="AN555" s="712">
        <f>IFERROR(Producción_Agricola[[#This Row],[Económico $Constantes]]/Producción_Agricola[[#This Row],[Superficie]],0)</f>
        <v>0</v>
      </c>
      <c r="AO555" s="712">
        <f>IFERROR(Producción_Agricola[[#This Row],[Económico U$S Dólares]]/Producción_Agricola[[#This Row],[Superficie]],0)</f>
        <v>0</v>
      </c>
      <c r="AP555" s="711">
        <f>IF(Económico!$F$4=0,0,Producción_Agricola[[#This Row],[Centro de Costo]])</f>
        <v>0</v>
      </c>
      <c r="AQ555" s="512"/>
      <c r="AR555" s="513"/>
      <c r="AS555"/>
    </row>
    <row r="556" spans="1:45" x14ac:dyDescent="0.25">
      <c r="A556" s="509"/>
      <c r="B556" s="494"/>
      <c r="C556" s="509"/>
      <c r="D556" s="478"/>
      <c r="E556" s="478"/>
      <c r="F556" s="668">
        <f t="shared" si="68"/>
        <v>0</v>
      </c>
      <c r="G556" s="673">
        <f t="shared" si="69"/>
        <v>0</v>
      </c>
      <c r="H556" s="673">
        <f t="shared" si="70"/>
        <v>0</v>
      </c>
      <c r="I556" s="675">
        <f>IFERROR(INDEX(Tabla8[],MATCH(Producción_Agricola[[#This Row],[Unidad de Negocio]],Tabla8[Unidades de Negocio],0),2),0)</f>
        <v>0</v>
      </c>
      <c r="J55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56" s="488"/>
      <c r="L556" s="482"/>
      <c r="M556" s="483"/>
      <c r="N556" s="484"/>
      <c r="O556" s="690">
        <f>Producción_Agricola[[#This Row],[Superficie]]*Producción_Agricola[[#This Row],[Cantidad]]</f>
        <v>0</v>
      </c>
      <c r="P556" s="482"/>
      <c r="Q556" s="484"/>
      <c r="R556" s="485"/>
      <c r="S55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56" s="695">
        <f>IFERROR(Producción_Agricola[[#This Row],[Económico $Corrientes]]/Producción_Agricola[[#This Row],[Indexación Económico]],0)</f>
        <v>0</v>
      </c>
      <c r="U55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5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56" s="695">
        <f>IFERROR(Producción_Agricola[[#This Row],[Financiero $Corrientes]]/Producción_Agricola[[#This Row],[Indexación Financiero]],0)</f>
        <v>0</v>
      </c>
      <c r="X55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5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56" s="699">
        <f>IFERROR(Producción_Agricola[[#This Row],[Intereses $Corrientes]]/Producción_Agricola[[#This Row],[Indexación Financiero]],0)</f>
        <v>0</v>
      </c>
      <c r="AA55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56" s="701">
        <f>IFERROR(INDEX(Produccion_Agricola_Cuentas[],MATCH(Producción_Agricola[[#This Row],[Cuenta Contable]],Produccion_Agricola_Cuentas[Cuenta Contable],0),2),0)</f>
        <v>0</v>
      </c>
      <c r="AC556" s="702">
        <f>IFERROR(INDEX(Tabla9[],MATCH(Producción_Agricola[[#This Row],[Movimiento]],Tabla9[Movimientos],0),2),0)</f>
        <v>0</v>
      </c>
      <c r="AD556" s="703">
        <f>IFERROR(INDEX(Tabla9[],MATCH(Producción_Agricola[[#This Row],[Movimiento]],Tabla9[Movimientos],0),3),0)</f>
        <v>0</v>
      </c>
      <c r="AE556" s="698">
        <f>IF(Producción_Agricola[[#This Row],[Fecha Económico]]=0,0,MONTH(Producción_Agricola[[#This Row],[Fecha Económico]]))</f>
        <v>0</v>
      </c>
      <c r="AF556" s="699">
        <f>IF(Producción_Agricola[[#This Row],[Fecha Económico]]=0,0,YEAR(Producción_Agricola[[#This Row],[Fecha Económico]]))</f>
        <v>0</v>
      </c>
      <c r="AG556" s="704">
        <f>SUMPRODUCT((Producción_Agricola[[#This Row],[Mes Económico]]=Tipo_Cambio[Mes])*(Producción_Agricola[[#This Row],[Año Económico]]=Tipo_Cambio[Año])*(Tipo_Cambio[$/U$S]))</f>
        <v>0</v>
      </c>
      <c r="AH556" s="703">
        <f>SUMPRODUCT((Producción_Agricola[[#This Row],[Mes Económico]]=Tipo_Cambio[Mes])*(Producción_Agricola[[#This Row],[Año Económico]]=Tipo_Cambio[Año])*(Tipo_Cambio[Actualización]))</f>
        <v>0</v>
      </c>
      <c r="AI556" s="699">
        <f>IF(ISNUMBER(Producción_Agricola[[#This Row],[Fecha Financiero]])=TRUE,MONTH(Producción_Agricola[[#This Row],[Fecha Financiero]]),0)</f>
        <v>0</v>
      </c>
      <c r="AJ556" s="699">
        <f>IF(ISNUMBER(Producción_Agricola[[#This Row],[Fecha Financiero]])=TRUE,YEAR(Producción_Agricola[[#This Row],[Fecha Financiero]]),0)</f>
        <v>0</v>
      </c>
      <c r="AK556" s="704">
        <f>SUMPRODUCT((Producción_Agricola[[#This Row],[Mes Financiero]]=Tipo_Cambio[Mes])*(Producción_Agricola[[#This Row],[Año Financiero]]=Tipo_Cambio[Año])*(Tipo_Cambio[$/U$S]))</f>
        <v>0</v>
      </c>
      <c r="AL556" s="704">
        <f>SUMPRODUCT((Producción_Agricola[[#This Row],[Mes Financiero]]=Tipo_Cambio[Mes])*(Producción_Agricola[[#This Row],[Año Financiero]]=Tipo_Cambio[Año])*(Tipo_Cambio[Actualización]))</f>
        <v>0</v>
      </c>
      <c r="AM556" s="709">
        <f>IFERROR(Producción_Agricola[[#This Row],[Económico $Corrientes]]/Producción_Agricola[[#This Row],[Superficie]],0)</f>
        <v>0</v>
      </c>
      <c r="AN556" s="712">
        <f>IFERROR(Producción_Agricola[[#This Row],[Económico $Constantes]]/Producción_Agricola[[#This Row],[Superficie]],0)</f>
        <v>0</v>
      </c>
      <c r="AO556" s="712">
        <f>IFERROR(Producción_Agricola[[#This Row],[Económico U$S Dólares]]/Producción_Agricola[[#This Row],[Superficie]],0)</f>
        <v>0</v>
      </c>
      <c r="AP556" s="711">
        <f>IF(Económico!$F$4=0,0,Producción_Agricola[[#This Row],[Centro de Costo]])</f>
        <v>0</v>
      </c>
      <c r="AQ556" s="512"/>
      <c r="AR556" s="513"/>
      <c r="AS556"/>
    </row>
    <row r="557" spans="1:45" x14ac:dyDescent="0.25">
      <c r="A557" s="509"/>
      <c r="B557" s="494"/>
      <c r="C557" s="509"/>
      <c r="D557" s="478"/>
      <c r="E557" s="478"/>
      <c r="F557" s="668">
        <f t="shared" si="68"/>
        <v>0</v>
      </c>
      <c r="G557" s="673">
        <f t="shared" si="69"/>
        <v>0</v>
      </c>
      <c r="H557" s="673">
        <f t="shared" si="70"/>
        <v>0</v>
      </c>
      <c r="I557" s="675">
        <f>IFERROR(INDEX(Tabla8[],MATCH(Producción_Agricola[[#This Row],[Unidad de Negocio]],Tabla8[Unidades de Negocio],0),2),0)</f>
        <v>0</v>
      </c>
      <c r="J55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57" s="488"/>
      <c r="L557" s="482"/>
      <c r="M557" s="483"/>
      <c r="N557" s="484"/>
      <c r="O557" s="690">
        <f>Producción_Agricola[[#This Row],[Superficie]]*Producción_Agricola[[#This Row],[Cantidad]]</f>
        <v>0</v>
      </c>
      <c r="P557" s="482"/>
      <c r="Q557" s="484"/>
      <c r="R557" s="485"/>
      <c r="S55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57" s="695">
        <f>IFERROR(Producción_Agricola[[#This Row],[Económico $Corrientes]]/Producción_Agricola[[#This Row],[Indexación Económico]],0)</f>
        <v>0</v>
      </c>
      <c r="U55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5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57" s="695">
        <f>IFERROR(Producción_Agricola[[#This Row],[Financiero $Corrientes]]/Producción_Agricola[[#This Row],[Indexación Financiero]],0)</f>
        <v>0</v>
      </c>
      <c r="X55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5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57" s="699">
        <f>IFERROR(Producción_Agricola[[#This Row],[Intereses $Corrientes]]/Producción_Agricola[[#This Row],[Indexación Financiero]],0)</f>
        <v>0</v>
      </c>
      <c r="AA55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57" s="701">
        <f>IFERROR(INDEX(Produccion_Agricola_Cuentas[],MATCH(Producción_Agricola[[#This Row],[Cuenta Contable]],Produccion_Agricola_Cuentas[Cuenta Contable],0),2),0)</f>
        <v>0</v>
      </c>
      <c r="AC557" s="702">
        <f>IFERROR(INDEX(Tabla9[],MATCH(Producción_Agricola[[#This Row],[Movimiento]],Tabla9[Movimientos],0),2),0)</f>
        <v>0</v>
      </c>
      <c r="AD557" s="703">
        <f>IFERROR(INDEX(Tabla9[],MATCH(Producción_Agricola[[#This Row],[Movimiento]],Tabla9[Movimientos],0),3),0)</f>
        <v>0</v>
      </c>
      <c r="AE557" s="698">
        <f>IF(Producción_Agricola[[#This Row],[Fecha Económico]]=0,0,MONTH(Producción_Agricola[[#This Row],[Fecha Económico]]))</f>
        <v>0</v>
      </c>
      <c r="AF557" s="699">
        <f>IF(Producción_Agricola[[#This Row],[Fecha Económico]]=0,0,YEAR(Producción_Agricola[[#This Row],[Fecha Económico]]))</f>
        <v>0</v>
      </c>
      <c r="AG557" s="704">
        <f>SUMPRODUCT((Producción_Agricola[[#This Row],[Mes Económico]]=Tipo_Cambio[Mes])*(Producción_Agricola[[#This Row],[Año Económico]]=Tipo_Cambio[Año])*(Tipo_Cambio[$/U$S]))</f>
        <v>0</v>
      </c>
      <c r="AH557" s="703">
        <f>SUMPRODUCT((Producción_Agricola[[#This Row],[Mes Económico]]=Tipo_Cambio[Mes])*(Producción_Agricola[[#This Row],[Año Económico]]=Tipo_Cambio[Año])*(Tipo_Cambio[Actualización]))</f>
        <v>0</v>
      </c>
      <c r="AI557" s="699">
        <f>IF(ISNUMBER(Producción_Agricola[[#This Row],[Fecha Financiero]])=TRUE,MONTH(Producción_Agricola[[#This Row],[Fecha Financiero]]),0)</f>
        <v>0</v>
      </c>
      <c r="AJ557" s="699">
        <f>IF(ISNUMBER(Producción_Agricola[[#This Row],[Fecha Financiero]])=TRUE,YEAR(Producción_Agricola[[#This Row],[Fecha Financiero]]),0)</f>
        <v>0</v>
      </c>
      <c r="AK557" s="704">
        <f>SUMPRODUCT((Producción_Agricola[[#This Row],[Mes Financiero]]=Tipo_Cambio[Mes])*(Producción_Agricola[[#This Row],[Año Financiero]]=Tipo_Cambio[Año])*(Tipo_Cambio[$/U$S]))</f>
        <v>0</v>
      </c>
      <c r="AL557" s="704">
        <f>SUMPRODUCT((Producción_Agricola[[#This Row],[Mes Financiero]]=Tipo_Cambio[Mes])*(Producción_Agricola[[#This Row],[Año Financiero]]=Tipo_Cambio[Año])*(Tipo_Cambio[Actualización]))</f>
        <v>0</v>
      </c>
      <c r="AM557" s="709">
        <f>IFERROR(Producción_Agricola[[#This Row],[Económico $Corrientes]]/Producción_Agricola[[#This Row],[Superficie]],0)</f>
        <v>0</v>
      </c>
      <c r="AN557" s="712">
        <f>IFERROR(Producción_Agricola[[#This Row],[Económico $Constantes]]/Producción_Agricola[[#This Row],[Superficie]],0)</f>
        <v>0</v>
      </c>
      <c r="AO557" s="712">
        <f>IFERROR(Producción_Agricola[[#This Row],[Económico U$S Dólares]]/Producción_Agricola[[#This Row],[Superficie]],0)</f>
        <v>0</v>
      </c>
      <c r="AP557" s="711">
        <f>IF(Económico!$F$4=0,0,Producción_Agricola[[#This Row],[Centro de Costo]])</f>
        <v>0</v>
      </c>
      <c r="AQ557" s="512"/>
      <c r="AR557" s="513"/>
      <c r="AS557"/>
    </row>
    <row r="558" spans="1:45" x14ac:dyDescent="0.25">
      <c r="A558" s="509"/>
      <c r="B558" s="494"/>
      <c r="C558" s="509"/>
      <c r="D558" s="478"/>
      <c r="E558" s="478"/>
      <c r="F558" s="668">
        <f t="shared" si="68"/>
        <v>0</v>
      </c>
      <c r="G558" s="673">
        <f t="shared" si="69"/>
        <v>0</v>
      </c>
      <c r="H558" s="673">
        <f t="shared" si="70"/>
        <v>0</v>
      </c>
      <c r="I558" s="675">
        <f>IFERROR(INDEX(Tabla8[],MATCH(Producción_Agricola[[#This Row],[Unidad de Negocio]],Tabla8[Unidades de Negocio],0),2),0)</f>
        <v>0</v>
      </c>
      <c r="J55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58" s="488"/>
      <c r="L558" s="482"/>
      <c r="M558" s="483"/>
      <c r="N558" s="484"/>
      <c r="O558" s="690">
        <f>Producción_Agricola[[#This Row],[Superficie]]*Producción_Agricola[[#This Row],[Cantidad]]</f>
        <v>0</v>
      </c>
      <c r="P558" s="482"/>
      <c r="Q558" s="484"/>
      <c r="R558" s="485"/>
      <c r="S55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58" s="695">
        <f>IFERROR(Producción_Agricola[[#This Row],[Económico $Corrientes]]/Producción_Agricola[[#This Row],[Indexación Económico]],0)</f>
        <v>0</v>
      </c>
      <c r="U55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5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58" s="695">
        <f>IFERROR(Producción_Agricola[[#This Row],[Financiero $Corrientes]]/Producción_Agricola[[#This Row],[Indexación Financiero]],0)</f>
        <v>0</v>
      </c>
      <c r="X55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5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58" s="699">
        <f>IFERROR(Producción_Agricola[[#This Row],[Intereses $Corrientes]]/Producción_Agricola[[#This Row],[Indexación Financiero]],0)</f>
        <v>0</v>
      </c>
      <c r="AA55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58" s="701">
        <f>IFERROR(INDEX(Produccion_Agricola_Cuentas[],MATCH(Producción_Agricola[[#This Row],[Cuenta Contable]],Produccion_Agricola_Cuentas[Cuenta Contable],0),2),0)</f>
        <v>0</v>
      </c>
      <c r="AC558" s="702">
        <f>IFERROR(INDEX(Tabla9[],MATCH(Producción_Agricola[[#This Row],[Movimiento]],Tabla9[Movimientos],0),2),0)</f>
        <v>0</v>
      </c>
      <c r="AD558" s="703">
        <f>IFERROR(INDEX(Tabla9[],MATCH(Producción_Agricola[[#This Row],[Movimiento]],Tabla9[Movimientos],0),3),0)</f>
        <v>0</v>
      </c>
      <c r="AE558" s="698">
        <f>IF(Producción_Agricola[[#This Row],[Fecha Económico]]=0,0,MONTH(Producción_Agricola[[#This Row],[Fecha Económico]]))</f>
        <v>0</v>
      </c>
      <c r="AF558" s="699">
        <f>IF(Producción_Agricola[[#This Row],[Fecha Económico]]=0,0,YEAR(Producción_Agricola[[#This Row],[Fecha Económico]]))</f>
        <v>0</v>
      </c>
      <c r="AG558" s="704">
        <f>SUMPRODUCT((Producción_Agricola[[#This Row],[Mes Económico]]=Tipo_Cambio[Mes])*(Producción_Agricola[[#This Row],[Año Económico]]=Tipo_Cambio[Año])*(Tipo_Cambio[$/U$S]))</f>
        <v>0</v>
      </c>
      <c r="AH558" s="703">
        <f>SUMPRODUCT((Producción_Agricola[[#This Row],[Mes Económico]]=Tipo_Cambio[Mes])*(Producción_Agricola[[#This Row],[Año Económico]]=Tipo_Cambio[Año])*(Tipo_Cambio[Actualización]))</f>
        <v>0</v>
      </c>
      <c r="AI558" s="699">
        <f>IF(ISNUMBER(Producción_Agricola[[#This Row],[Fecha Financiero]])=TRUE,MONTH(Producción_Agricola[[#This Row],[Fecha Financiero]]),0)</f>
        <v>0</v>
      </c>
      <c r="AJ558" s="699">
        <f>IF(ISNUMBER(Producción_Agricola[[#This Row],[Fecha Financiero]])=TRUE,YEAR(Producción_Agricola[[#This Row],[Fecha Financiero]]),0)</f>
        <v>0</v>
      </c>
      <c r="AK558" s="704">
        <f>SUMPRODUCT((Producción_Agricola[[#This Row],[Mes Financiero]]=Tipo_Cambio[Mes])*(Producción_Agricola[[#This Row],[Año Financiero]]=Tipo_Cambio[Año])*(Tipo_Cambio[$/U$S]))</f>
        <v>0</v>
      </c>
      <c r="AL558" s="704">
        <f>SUMPRODUCT((Producción_Agricola[[#This Row],[Mes Financiero]]=Tipo_Cambio[Mes])*(Producción_Agricola[[#This Row],[Año Financiero]]=Tipo_Cambio[Año])*(Tipo_Cambio[Actualización]))</f>
        <v>0</v>
      </c>
      <c r="AM558" s="709">
        <f>IFERROR(Producción_Agricola[[#This Row],[Económico $Corrientes]]/Producción_Agricola[[#This Row],[Superficie]],0)</f>
        <v>0</v>
      </c>
      <c r="AN558" s="712">
        <f>IFERROR(Producción_Agricola[[#This Row],[Económico $Constantes]]/Producción_Agricola[[#This Row],[Superficie]],0)</f>
        <v>0</v>
      </c>
      <c r="AO558" s="712">
        <f>IFERROR(Producción_Agricola[[#This Row],[Económico U$S Dólares]]/Producción_Agricola[[#This Row],[Superficie]],0)</f>
        <v>0</v>
      </c>
      <c r="AP558" s="711">
        <f>IF(Económico!$F$4=0,0,Producción_Agricola[[#This Row],[Centro de Costo]])</f>
        <v>0</v>
      </c>
      <c r="AQ558" s="512"/>
      <c r="AR558" s="513"/>
      <c r="AS558"/>
    </row>
    <row r="559" spans="1:45" x14ac:dyDescent="0.25">
      <c r="A559" s="509"/>
      <c r="B559" s="494"/>
      <c r="C559" s="509"/>
      <c r="D559" s="478"/>
      <c r="E559" s="478"/>
      <c r="F559" s="668">
        <f t="shared" si="68"/>
        <v>0</v>
      </c>
      <c r="G559" s="673">
        <f t="shared" si="69"/>
        <v>0</v>
      </c>
      <c r="H559" s="673">
        <f t="shared" si="70"/>
        <v>0</v>
      </c>
      <c r="I559" s="675">
        <f>IFERROR(INDEX(Tabla8[],MATCH(Producción_Agricola[[#This Row],[Unidad de Negocio]],Tabla8[Unidades de Negocio],0),2),0)</f>
        <v>0</v>
      </c>
      <c r="J55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59" s="488"/>
      <c r="L559" s="482"/>
      <c r="M559" s="483"/>
      <c r="N559" s="484"/>
      <c r="O559" s="690">
        <f>Producción_Agricola[[#This Row],[Superficie]]*Producción_Agricola[[#This Row],[Cantidad]]</f>
        <v>0</v>
      </c>
      <c r="P559" s="482"/>
      <c r="Q559" s="484"/>
      <c r="R559" s="485"/>
      <c r="S55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59" s="695">
        <f>IFERROR(Producción_Agricola[[#This Row],[Económico $Corrientes]]/Producción_Agricola[[#This Row],[Indexación Económico]],0)</f>
        <v>0</v>
      </c>
      <c r="U55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5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59" s="695">
        <f>IFERROR(Producción_Agricola[[#This Row],[Financiero $Corrientes]]/Producción_Agricola[[#This Row],[Indexación Financiero]],0)</f>
        <v>0</v>
      </c>
      <c r="X55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5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59" s="699">
        <f>IFERROR(Producción_Agricola[[#This Row],[Intereses $Corrientes]]/Producción_Agricola[[#This Row],[Indexación Financiero]],0)</f>
        <v>0</v>
      </c>
      <c r="AA55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59" s="701">
        <f>IFERROR(INDEX(Produccion_Agricola_Cuentas[],MATCH(Producción_Agricola[[#This Row],[Cuenta Contable]],Produccion_Agricola_Cuentas[Cuenta Contable],0),2),0)</f>
        <v>0</v>
      </c>
      <c r="AC559" s="702">
        <f>IFERROR(INDEX(Tabla9[],MATCH(Producción_Agricola[[#This Row],[Movimiento]],Tabla9[Movimientos],0),2),0)</f>
        <v>0</v>
      </c>
      <c r="AD559" s="703">
        <f>IFERROR(INDEX(Tabla9[],MATCH(Producción_Agricola[[#This Row],[Movimiento]],Tabla9[Movimientos],0),3),0)</f>
        <v>0</v>
      </c>
      <c r="AE559" s="698">
        <f>IF(Producción_Agricola[[#This Row],[Fecha Económico]]=0,0,MONTH(Producción_Agricola[[#This Row],[Fecha Económico]]))</f>
        <v>0</v>
      </c>
      <c r="AF559" s="699">
        <f>IF(Producción_Agricola[[#This Row],[Fecha Económico]]=0,0,YEAR(Producción_Agricola[[#This Row],[Fecha Económico]]))</f>
        <v>0</v>
      </c>
      <c r="AG559" s="704">
        <f>SUMPRODUCT((Producción_Agricola[[#This Row],[Mes Económico]]=Tipo_Cambio[Mes])*(Producción_Agricola[[#This Row],[Año Económico]]=Tipo_Cambio[Año])*(Tipo_Cambio[$/U$S]))</f>
        <v>0</v>
      </c>
      <c r="AH559" s="703">
        <f>SUMPRODUCT((Producción_Agricola[[#This Row],[Mes Económico]]=Tipo_Cambio[Mes])*(Producción_Agricola[[#This Row],[Año Económico]]=Tipo_Cambio[Año])*(Tipo_Cambio[Actualización]))</f>
        <v>0</v>
      </c>
      <c r="AI559" s="699">
        <f>IF(ISNUMBER(Producción_Agricola[[#This Row],[Fecha Financiero]])=TRUE,MONTH(Producción_Agricola[[#This Row],[Fecha Financiero]]),0)</f>
        <v>0</v>
      </c>
      <c r="AJ559" s="699">
        <f>IF(ISNUMBER(Producción_Agricola[[#This Row],[Fecha Financiero]])=TRUE,YEAR(Producción_Agricola[[#This Row],[Fecha Financiero]]),0)</f>
        <v>0</v>
      </c>
      <c r="AK559" s="704">
        <f>SUMPRODUCT((Producción_Agricola[[#This Row],[Mes Financiero]]=Tipo_Cambio[Mes])*(Producción_Agricola[[#This Row],[Año Financiero]]=Tipo_Cambio[Año])*(Tipo_Cambio[$/U$S]))</f>
        <v>0</v>
      </c>
      <c r="AL559" s="704">
        <f>SUMPRODUCT((Producción_Agricola[[#This Row],[Mes Financiero]]=Tipo_Cambio[Mes])*(Producción_Agricola[[#This Row],[Año Financiero]]=Tipo_Cambio[Año])*(Tipo_Cambio[Actualización]))</f>
        <v>0</v>
      </c>
      <c r="AM559" s="709">
        <f>IFERROR(Producción_Agricola[[#This Row],[Económico $Corrientes]]/Producción_Agricola[[#This Row],[Superficie]],0)</f>
        <v>0</v>
      </c>
      <c r="AN559" s="712">
        <f>IFERROR(Producción_Agricola[[#This Row],[Económico $Constantes]]/Producción_Agricola[[#This Row],[Superficie]],0)</f>
        <v>0</v>
      </c>
      <c r="AO559" s="712">
        <f>IFERROR(Producción_Agricola[[#This Row],[Económico U$S Dólares]]/Producción_Agricola[[#This Row],[Superficie]],0)</f>
        <v>0</v>
      </c>
      <c r="AP559" s="711">
        <f>IF(Económico!$F$4=0,0,Producción_Agricola[[#This Row],[Centro de Costo]])</f>
        <v>0</v>
      </c>
      <c r="AQ559" s="512"/>
      <c r="AR559" s="513"/>
      <c r="AS559"/>
    </row>
    <row r="560" spans="1:45" x14ac:dyDescent="0.25">
      <c r="A560" s="509"/>
      <c r="B560" s="494"/>
      <c r="C560" s="509"/>
      <c r="D560" s="478"/>
      <c r="E560" s="478"/>
      <c r="F560" s="668">
        <f t="shared" si="68"/>
        <v>0</v>
      </c>
      <c r="G560" s="673">
        <f t="shared" si="69"/>
        <v>0</v>
      </c>
      <c r="H560" s="673">
        <f t="shared" si="70"/>
        <v>0</v>
      </c>
      <c r="I560" s="675">
        <f>IFERROR(INDEX(Tabla8[],MATCH(Producción_Agricola[[#This Row],[Unidad de Negocio]],Tabla8[Unidades de Negocio],0),2),0)</f>
        <v>0</v>
      </c>
      <c r="J56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60" s="488"/>
      <c r="L560" s="482"/>
      <c r="M560" s="483"/>
      <c r="N560" s="484"/>
      <c r="O560" s="690">
        <f>Producción_Agricola[[#This Row],[Superficie]]*Producción_Agricola[[#This Row],[Cantidad]]</f>
        <v>0</v>
      </c>
      <c r="P560" s="482"/>
      <c r="Q560" s="484"/>
      <c r="R560" s="485"/>
      <c r="S56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60" s="695">
        <f>IFERROR(Producción_Agricola[[#This Row],[Económico $Corrientes]]/Producción_Agricola[[#This Row],[Indexación Económico]],0)</f>
        <v>0</v>
      </c>
      <c r="U56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6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60" s="695">
        <f>IFERROR(Producción_Agricola[[#This Row],[Financiero $Corrientes]]/Producción_Agricola[[#This Row],[Indexación Financiero]],0)</f>
        <v>0</v>
      </c>
      <c r="X56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6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60" s="699">
        <f>IFERROR(Producción_Agricola[[#This Row],[Intereses $Corrientes]]/Producción_Agricola[[#This Row],[Indexación Financiero]],0)</f>
        <v>0</v>
      </c>
      <c r="AA56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60" s="701">
        <f>IFERROR(INDEX(Produccion_Agricola_Cuentas[],MATCH(Producción_Agricola[[#This Row],[Cuenta Contable]],Produccion_Agricola_Cuentas[Cuenta Contable],0),2),0)</f>
        <v>0</v>
      </c>
      <c r="AC560" s="702">
        <f>IFERROR(INDEX(Tabla9[],MATCH(Producción_Agricola[[#This Row],[Movimiento]],Tabla9[Movimientos],0),2),0)</f>
        <v>0</v>
      </c>
      <c r="AD560" s="703">
        <f>IFERROR(INDEX(Tabla9[],MATCH(Producción_Agricola[[#This Row],[Movimiento]],Tabla9[Movimientos],0),3),0)</f>
        <v>0</v>
      </c>
      <c r="AE560" s="698">
        <f>IF(Producción_Agricola[[#This Row],[Fecha Económico]]=0,0,MONTH(Producción_Agricola[[#This Row],[Fecha Económico]]))</f>
        <v>0</v>
      </c>
      <c r="AF560" s="699">
        <f>IF(Producción_Agricola[[#This Row],[Fecha Económico]]=0,0,YEAR(Producción_Agricola[[#This Row],[Fecha Económico]]))</f>
        <v>0</v>
      </c>
      <c r="AG560" s="704">
        <f>SUMPRODUCT((Producción_Agricola[[#This Row],[Mes Económico]]=Tipo_Cambio[Mes])*(Producción_Agricola[[#This Row],[Año Económico]]=Tipo_Cambio[Año])*(Tipo_Cambio[$/U$S]))</f>
        <v>0</v>
      </c>
      <c r="AH560" s="703">
        <f>SUMPRODUCT((Producción_Agricola[[#This Row],[Mes Económico]]=Tipo_Cambio[Mes])*(Producción_Agricola[[#This Row],[Año Económico]]=Tipo_Cambio[Año])*(Tipo_Cambio[Actualización]))</f>
        <v>0</v>
      </c>
      <c r="AI560" s="699">
        <f>IF(ISNUMBER(Producción_Agricola[[#This Row],[Fecha Financiero]])=TRUE,MONTH(Producción_Agricola[[#This Row],[Fecha Financiero]]),0)</f>
        <v>0</v>
      </c>
      <c r="AJ560" s="699">
        <f>IF(ISNUMBER(Producción_Agricola[[#This Row],[Fecha Financiero]])=TRUE,YEAR(Producción_Agricola[[#This Row],[Fecha Financiero]]),0)</f>
        <v>0</v>
      </c>
      <c r="AK560" s="704">
        <f>SUMPRODUCT((Producción_Agricola[[#This Row],[Mes Financiero]]=Tipo_Cambio[Mes])*(Producción_Agricola[[#This Row],[Año Financiero]]=Tipo_Cambio[Año])*(Tipo_Cambio[$/U$S]))</f>
        <v>0</v>
      </c>
      <c r="AL560" s="704">
        <f>SUMPRODUCT((Producción_Agricola[[#This Row],[Mes Financiero]]=Tipo_Cambio[Mes])*(Producción_Agricola[[#This Row],[Año Financiero]]=Tipo_Cambio[Año])*(Tipo_Cambio[Actualización]))</f>
        <v>0</v>
      </c>
      <c r="AM560" s="709">
        <f>IFERROR(Producción_Agricola[[#This Row],[Económico $Corrientes]]/Producción_Agricola[[#This Row],[Superficie]],0)</f>
        <v>0</v>
      </c>
      <c r="AN560" s="712">
        <f>IFERROR(Producción_Agricola[[#This Row],[Económico $Constantes]]/Producción_Agricola[[#This Row],[Superficie]],0)</f>
        <v>0</v>
      </c>
      <c r="AO560" s="712">
        <f>IFERROR(Producción_Agricola[[#This Row],[Económico U$S Dólares]]/Producción_Agricola[[#This Row],[Superficie]],0)</f>
        <v>0</v>
      </c>
      <c r="AP560" s="711">
        <f>IF(Económico!$F$4=0,0,Producción_Agricola[[#This Row],[Centro de Costo]])</f>
        <v>0</v>
      </c>
      <c r="AQ560" s="512"/>
      <c r="AR560" s="513"/>
      <c r="AS560"/>
    </row>
    <row r="561" spans="1:45" x14ac:dyDescent="0.25">
      <c r="A561" s="509"/>
      <c r="B561" s="494"/>
      <c r="C561" s="509"/>
      <c r="D561" s="478"/>
      <c r="E561" s="478"/>
      <c r="F561" s="668">
        <f t="shared" si="68"/>
        <v>0</v>
      </c>
      <c r="G561" s="673">
        <f t="shared" si="69"/>
        <v>0</v>
      </c>
      <c r="H561" s="673">
        <f t="shared" si="70"/>
        <v>0</v>
      </c>
      <c r="I561" s="675">
        <f>IFERROR(INDEX(Tabla8[],MATCH(Producción_Agricola[[#This Row],[Unidad de Negocio]],Tabla8[Unidades de Negocio],0),2),0)</f>
        <v>0</v>
      </c>
      <c r="J56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61" s="488"/>
      <c r="L561" s="482"/>
      <c r="M561" s="483"/>
      <c r="N561" s="484"/>
      <c r="O561" s="690">
        <f>Producción_Agricola[[#This Row],[Superficie]]*Producción_Agricola[[#This Row],[Cantidad]]</f>
        <v>0</v>
      </c>
      <c r="P561" s="482"/>
      <c r="Q561" s="484"/>
      <c r="R561" s="485"/>
      <c r="S56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61" s="695">
        <f>IFERROR(Producción_Agricola[[#This Row],[Económico $Corrientes]]/Producción_Agricola[[#This Row],[Indexación Económico]],0)</f>
        <v>0</v>
      </c>
      <c r="U56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6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61" s="695">
        <f>IFERROR(Producción_Agricola[[#This Row],[Financiero $Corrientes]]/Producción_Agricola[[#This Row],[Indexación Financiero]],0)</f>
        <v>0</v>
      </c>
      <c r="X56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6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61" s="699">
        <f>IFERROR(Producción_Agricola[[#This Row],[Intereses $Corrientes]]/Producción_Agricola[[#This Row],[Indexación Financiero]],0)</f>
        <v>0</v>
      </c>
      <c r="AA56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61" s="701">
        <f>IFERROR(INDEX(Produccion_Agricola_Cuentas[],MATCH(Producción_Agricola[[#This Row],[Cuenta Contable]],Produccion_Agricola_Cuentas[Cuenta Contable],0),2),0)</f>
        <v>0</v>
      </c>
      <c r="AC561" s="702">
        <f>IFERROR(INDEX(Tabla9[],MATCH(Producción_Agricola[[#This Row],[Movimiento]],Tabla9[Movimientos],0),2),0)</f>
        <v>0</v>
      </c>
      <c r="AD561" s="703">
        <f>IFERROR(INDEX(Tabla9[],MATCH(Producción_Agricola[[#This Row],[Movimiento]],Tabla9[Movimientos],0),3),0)</f>
        <v>0</v>
      </c>
      <c r="AE561" s="698">
        <f>IF(Producción_Agricola[[#This Row],[Fecha Económico]]=0,0,MONTH(Producción_Agricola[[#This Row],[Fecha Económico]]))</f>
        <v>0</v>
      </c>
      <c r="AF561" s="699">
        <f>IF(Producción_Agricola[[#This Row],[Fecha Económico]]=0,0,YEAR(Producción_Agricola[[#This Row],[Fecha Económico]]))</f>
        <v>0</v>
      </c>
      <c r="AG561" s="704">
        <f>SUMPRODUCT((Producción_Agricola[[#This Row],[Mes Económico]]=Tipo_Cambio[Mes])*(Producción_Agricola[[#This Row],[Año Económico]]=Tipo_Cambio[Año])*(Tipo_Cambio[$/U$S]))</f>
        <v>0</v>
      </c>
      <c r="AH561" s="703">
        <f>SUMPRODUCT((Producción_Agricola[[#This Row],[Mes Económico]]=Tipo_Cambio[Mes])*(Producción_Agricola[[#This Row],[Año Económico]]=Tipo_Cambio[Año])*(Tipo_Cambio[Actualización]))</f>
        <v>0</v>
      </c>
      <c r="AI561" s="699">
        <f>IF(ISNUMBER(Producción_Agricola[[#This Row],[Fecha Financiero]])=TRUE,MONTH(Producción_Agricola[[#This Row],[Fecha Financiero]]),0)</f>
        <v>0</v>
      </c>
      <c r="AJ561" s="699">
        <f>IF(ISNUMBER(Producción_Agricola[[#This Row],[Fecha Financiero]])=TRUE,YEAR(Producción_Agricola[[#This Row],[Fecha Financiero]]),0)</f>
        <v>0</v>
      </c>
      <c r="AK561" s="704">
        <f>SUMPRODUCT((Producción_Agricola[[#This Row],[Mes Financiero]]=Tipo_Cambio[Mes])*(Producción_Agricola[[#This Row],[Año Financiero]]=Tipo_Cambio[Año])*(Tipo_Cambio[$/U$S]))</f>
        <v>0</v>
      </c>
      <c r="AL561" s="704">
        <f>SUMPRODUCT((Producción_Agricola[[#This Row],[Mes Financiero]]=Tipo_Cambio[Mes])*(Producción_Agricola[[#This Row],[Año Financiero]]=Tipo_Cambio[Año])*(Tipo_Cambio[Actualización]))</f>
        <v>0</v>
      </c>
      <c r="AM561" s="709">
        <f>IFERROR(Producción_Agricola[[#This Row],[Económico $Corrientes]]/Producción_Agricola[[#This Row],[Superficie]],0)</f>
        <v>0</v>
      </c>
      <c r="AN561" s="712">
        <f>IFERROR(Producción_Agricola[[#This Row],[Económico $Constantes]]/Producción_Agricola[[#This Row],[Superficie]],0)</f>
        <v>0</v>
      </c>
      <c r="AO561" s="712">
        <f>IFERROR(Producción_Agricola[[#This Row],[Económico U$S Dólares]]/Producción_Agricola[[#This Row],[Superficie]],0)</f>
        <v>0</v>
      </c>
      <c r="AP561" s="711">
        <f>IF(Económico!$F$4=0,0,Producción_Agricola[[#This Row],[Centro de Costo]])</f>
        <v>0</v>
      </c>
      <c r="AQ561" s="512"/>
      <c r="AR561" s="513"/>
      <c r="AS561"/>
    </row>
    <row r="562" spans="1:45" x14ac:dyDescent="0.25">
      <c r="A562" s="509"/>
      <c r="B562" s="494"/>
      <c r="C562" s="509"/>
      <c r="D562" s="478"/>
      <c r="E562" s="478"/>
      <c r="F562" s="668">
        <f t="shared" si="68"/>
        <v>0</v>
      </c>
      <c r="G562" s="673">
        <f t="shared" si="69"/>
        <v>0</v>
      </c>
      <c r="H562" s="673">
        <f t="shared" si="70"/>
        <v>0</v>
      </c>
      <c r="I562" s="675">
        <f>IFERROR(INDEX(Tabla8[],MATCH(Producción_Agricola[[#This Row],[Unidad de Negocio]],Tabla8[Unidades de Negocio],0),2),0)</f>
        <v>0</v>
      </c>
      <c r="J56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62" s="488"/>
      <c r="L562" s="482"/>
      <c r="M562" s="483"/>
      <c r="N562" s="484"/>
      <c r="O562" s="690">
        <f>Producción_Agricola[[#This Row],[Superficie]]*Producción_Agricola[[#This Row],[Cantidad]]</f>
        <v>0</v>
      </c>
      <c r="P562" s="482"/>
      <c r="Q562" s="484"/>
      <c r="R562" s="485"/>
      <c r="S56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62" s="695">
        <f>IFERROR(Producción_Agricola[[#This Row],[Económico $Corrientes]]/Producción_Agricola[[#This Row],[Indexación Económico]],0)</f>
        <v>0</v>
      </c>
      <c r="U56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6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62" s="695">
        <f>IFERROR(Producción_Agricola[[#This Row],[Financiero $Corrientes]]/Producción_Agricola[[#This Row],[Indexación Financiero]],0)</f>
        <v>0</v>
      </c>
      <c r="X56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6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62" s="699">
        <f>IFERROR(Producción_Agricola[[#This Row],[Intereses $Corrientes]]/Producción_Agricola[[#This Row],[Indexación Financiero]],0)</f>
        <v>0</v>
      </c>
      <c r="AA56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62" s="701">
        <f>IFERROR(INDEX(Produccion_Agricola_Cuentas[],MATCH(Producción_Agricola[[#This Row],[Cuenta Contable]],Produccion_Agricola_Cuentas[Cuenta Contable],0),2),0)</f>
        <v>0</v>
      </c>
      <c r="AC562" s="702">
        <f>IFERROR(INDEX(Tabla9[],MATCH(Producción_Agricola[[#This Row],[Movimiento]],Tabla9[Movimientos],0),2),0)</f>
        <v>0</v>
      </c>
      <c r="AD562" s="703">
        <f>IFERROR(INDEX(Tabla9[],MATCH(Producción_Agricola[[#This Row],[Movimiento]],Tabla9[Movimientos],0),3),0)</f>
        <v>0</v>
      </c>
      <c r="AE562" s="698">
        <f>IF(Producción_Agricola[[#This Row],[Fecha Económico]]=0,0,MONTH(Producción_Agricola[[#This Row],[Fecha Económico]]))</f>
        <v>0</v>
      </c>
      <c r="AF562" s="699">
        <f>IF(Producción_Agricola[[#This Row],[Fecha Económico]]=0,0,YEAR(Producción_Agricola[[#This Row],[Fecha Económico]]))</f>
        <v>0</v>
      </c>
      <c r="AG562" s="704">
        <f>SUMPRODUCT((Producción_Agricola[[#This Row],[Mes Económico]]=Tipo_Cambio[Mes])*(Producción_Agricola[[#This Row],[Año Económico]]=Tipo_Cambio[Año])*(Tipo_Cambio[$/U$S]))</f>
        <v>0</v>
      </c>
      <c r="AH562" s="703">
        <f>SUMPRODUCT((Producción_Agricola[[#This Row],[Mes Económico]]=Tipo_Cambio[Mes])*(Producción_Agricola[[#This Row],[Año Económico]]=Tipo_Cambio[Año])*(Tipo_Cambio[Actualización]))</f>
        <v>0</v>
      </c>
      <c r="AI562" s="699">
        <f>IF(ISNUMBER(Producción_Agricola[[#This Row],[Fecha Financiero]])=TRUE,MONTH(Producción_Agricola[[#This Row],[Fecha Financiero]]),0)</f>
        <v>0</v>
      </c>
      <c r="AJ562" s="699">
        <f>IF(ISNUMBER(Producción_Agricola[[#This Row],[Fecha Financiero]])=TRUE,YEAR(Producción_Agricola[[#This Row],[Fecha Financiero]]),0)</f>
        <v>0</v>
      </c>
      <c r="AK562" s="704">
        <f>SUMPRODUCT((Producción_Agricola[[#This Row],[Mes Financiero]]=Tipo_Cambio[Mes])*(Producción_Agricola[[#This Row],[Año Financiero]]=Tipo_Cambio[Año])*(Tipo_Cambio[$/U$S]))</f>
        <v>0</v>
      </c>
      <c r="AL562" s="704">
        <f>SUMPRODUCT((Producción_Agricola[[#This Row],[Mes Financiero]]=Tipo_Cambio[Mes])*(Producción_Agricola[[#This Row],[Año Financiero]]=Tipo_Cambio[Año])*(Tipo_Cambio[Actualización]))</f>
        <v>0</v>
      </c>
      <c r="AM562" s="709">
        <f>IFERROR(Producción_Agricola[[#This Row],[Económico $Corrientes]]/Producción_Agricola[[#This Row],[Superficie]],0)</f>
        <v>0</v>
      </c>
      <c r="AN562" s="712">
        <f>IFERROR(Producción_Agricola[[#This Row],[Económico $Constantes]]/Producción_Agricola[[#This Row],[Superficie]],0)</f>
        <v>0</v>
      </c>
      <c r="AO562" s="712">
        <f>IFERROR(Producción_Agricola[[#This Row],[Económico U$S Dólares]]/Producción_Agricola[[#This Row],[Superficie]],0)</f>
        <v>0</v>
      </c>
      <c r="AP562" s="711">
        <f>IF(Económico!$F$4=0,0,Producción_Agricola[[#This Row],[Centro de Costo]])</f>
        <v>0</v>
      </c>
      <c r="AQ562" s="512"/>
      <c r="AR562" s="513"/>
      <c r="AS562"/>
    </row>
    <row r="563" spans="1:45" x14ac:dyDescent="0.25">
      <c r="A563" s="509"/>
      <c r="B563" s="494"/>
      <c r="C563" s="509"/>
      <c r="D563" s="478"/>
      <c r="E563" s="478"/>
      <c r="F563" s="668">
        <f t="shared" si="68"/>
        <v>0</v>
      </c>
      <c r="G563" s="673">
        <f t="shared" si="69"/>
        <v>0</v>
      </c>
      <c r="H563" s="673">
        <f t="shared" si="70"/>
        <v>0</v>
      </c>
      <c r="I563" s="675">
        <f>IFERROR(INDEX(Tabla8[],MATCH(Producción_Agricola[[#This Row],[Unidad de Negocio]],Tabla8[Unidades de Negocio],0),2),0)</f>
        <v>0</v>
      </c>
      <c r="J56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63" s="488"/>
      <c r="L563" s="482"/>
      <c r="M563" s="483"/>
      <c r="N563" s="484"/>
      <c r="O563" s="690">
        <f>Producción_Agricola[[#This Row],[Superficie]]*Producción_Agricola[[#This Row],[Cantidad]]</f>
        <v>0</v>
      </c>
      <c r="P563" s="482"/>
      <c r="Q563" s="484"/>
      <c r="R563" s="485"/>
      <c r="S56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63" s="695">
        <f>IFERROR(Producción_Agricola[[#This Row],[Económico $Corrientes]]/Producción_Agricola[[#This Row],[Indexación Económico]],0)</f>
        <v>0</v>
      </c>
      <c r="U56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6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63" s="695">
        <f>IFERROR(Producción_Agricola[[#This Row],[Financiero $Corrientes]]/Producción_Agricola[[#This Row],[Indexación Financiero]],0)</f>
        <v>0</v>
      </c>
      <c r="X56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6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63" s="699">
        <f>IFERROR(Producción_Agricola[[#This Row],[Intereses $Corrientes]]/Producción_Agricola[[#This Row],[Indexación Financiero]],0)</f>
        <v>0</v>
      </c>
      <c r="AA56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63" s="701">
        <f>IFERROR(INDEX(Produccion_Agricola_Cuentas[],MATCH(Producción_Agricola[[#This Row],[Cuenta Contable]],Produccion_Agricola_Cuentas[Cuenta Contable],0),2),0)</f>
        <v>0</v>
      </c>
      <c r="AC563" s="702">
        <f>IFERROR(INDEX(Tabla9[],MATCH(Producción_Agricola[[#This Row],[Movimiento]],Tabla9[Movimientos],0),2),0)</f>
        <v>0</v>
      </c>
      <c r="AD563" s="703">
        <f>IFERROR(INDEX(Tabla9[],MATCH(Producción_Agricola[[#This Row],[Movimiento]],Tabla9[Movimientos],0),3),0)</f>
        <v>0</v>
      </c>
      <c r="AE563" s="698">
        <f>IF(Producción_Agricola[[#This Row],[Fecha Económico]]=0,0,MONTH(Producción_Agricola[[#This Row],[Fecha Económico]]))</f>
        <v>0</v>
      </c>
      <c r="AF563" s="699">
        <f>IF(Producción_Agricola[[#This Row],[Fecha Económico]]=0,0,YEAR(Producción_Agricola[[#This Row],[Fecha Económico]]))</f>
        <v>0</v>
      </c>
      <c r="AG563" s="704">
        <f>SUMPRODUCT((Producción_Agricola[[#This Row],[Mes Económico]]=Tipo_Cambio[Mes])*(Producción_Agricola[[#This Row],[Año Económico]]=Tipo_Cambio[Año])*(Tipo_Cambio[$/U$S]))</f>
        <v>0</v>
      </c>
      <c r="AH563" s="703">
        <f>SUMPRODUCT((Producción_Agricola[[#This Row],[Mes Económico]]=Tipo_Cambio[Mes])*(Producción_Agricola[[#This Row],[Año Económico]]=Tipo_Cambio[Año])*(Tipo_Cambio[Actualización]))</f>
        <v>0</v>
      </c>
      <c r="AI563" s="699">
        <f>IF(ISNUMBER(Producción_Agricola[[#This Row],[Fecha Financiero]])=TRUE,MONTH(Producción_Agricola[[#This Row],[Fecha Financiero]]),0)</f>
        <v>0</v>
      </c>
      <c r="AJ563" s="699">
        <f>IF(ISNUMBER(Producción_Agricola[[#This Row],[Fecha Financiero]])=TRUE,YEAR(Producción_Agricola[[#This Row],[Fecha Financiero]]),0)</f>
        <v>0</v>
      </c>
      <c r="AK563" s="704">
        <f>SUMPRODUCT((Producción_Agricola[[#This Row],[Mes Financiero]]=Tipo_Cambio[Mes])*(Producción_Agricola[[#This Row],[Año Financiero]]=Tipo_Cambio[Año])*(Tipo_Cambio[$/U$S]))</f>
        <v>0</v>
      </c>
      <c r="AL563" s="704">
        <f>SUMPRODUCT((Producción_Agricola[[#This Row],[Mes Financiero]]=Tipo_Cambio[Mes])*(Producción_Agricola[[#This Row],[Año Financiero]]=Tipo_Cambio[Año])*(Tipo_Cambio[Actualización]))</f>
        <v>0</v>
      </c>
      <c r="AM563" s="709">
        <f>IFERROR(Producción_Agricola[[#This Row],[Económico $Corrientes]]/Producción_Agricola[[#This Row],[Superficie]],0)</f>
        <v>0</v>
      </c>
      <c r="AN563" s="712">
        <f>IFERROR(Producción_Agricola[[#This Row],[Económico $Constantes]]/Producción_Agricola[[#This Row],[Superficie]],0)</f>
        <v>0</v>
      </c>
      <c r="AO563" s="712">
        <f>IFERROR(Producción_Agricola[[#This Row],[Económico U$S Dólares]]/Producción_Agricola[[#This Row],[Superficie]],0)</f>
        <v>0</v>
      </c>
      <c r="AP563" s="711">
        <f>IF(Económico!$F$4=0,0,Producción_Agricola[[#This Row],[Centro de Costo]])</f>
        <v>0</v>
      </c>
      <c r="AQ563" s="512"/>
      <c r="AR563" s="513"/>
      <c r="AS563"/>
    </row>
    <row r="564" spans="1:45" x14ac:dyDescent="0.25">
      <c r="A564" s="509"/>
      <c r="B564" s="494"/>
      <c r="C564" s="509"/>
      <c r="D564" s="478"/>
      <c r="E564" s="478"/>
      <c r="F564" s="668">
        <f t="shared" si="68"/>
        <v>0</v>
      </c>
      <c r="G564" s="673">
        <f t="shared" si="69"/>
        <v>0</v>
      </c>
      <c r="H564" s="673">
        <f t="shared" si="70"/>
        <v>0</v>
      </c>
      <c r="I564" s="675">
        <f>IFERROR(INDEX(Tabla8[],MATCH(Producción_Agricola[[#This Row],[Unidad de Negocio]],Tabla8[Unidades de Negocio],0),2),0)</f>
        <v>0</v>
      </c>
      <c r="J56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64" s="488"/>
      <c r="L564" s="482"/>
      <c r="M564" s="483"/>
      <c r="N564" s="484"/>
      <c r="O564" s="690">
        <f>Producción_Agricola[[#This Row],[Superficie]]*Producción_Agricola[[#This Row],[Cantidad]]</f>
        <v>0</v>
      </c>
      <c r="P564" s="482"/>
      <c r="Q564" s="484"/>
      <c r="R564" s="485"/>
      <c r="S56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64" s="695">
        <f>IFERROR(Producción_Agricola[[#This Row],[Económico $Corrientes]]/Producción_Agricola[[#This Row],[Indexación Económico]],0)</f>
        <v>0</v>
      </c>
      <c r="U56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6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64" s="695">
        <f>IFERROR(Producción_Agricola[[#This Row],[Financiero $Corrientes]]/Producción_Agricola[[#This Row],[Indexación Financiero]],0)</f>
        <v>0</v>
      </c>
      <c r="X56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6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64" s="699">
        <f>IFERROR(Producción_Agricola[[#This Row],[Intereses $Corrientes]]/Producción_Agricola[[#This Row],[Indexación Financiero]],0)</f>
        <v>0</v>
      </c>
      <c r="AA56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64" s="701">
        <f>IFERROR(INDEX(Produccion_Agricola_Cuentas[],MATCH(Producción_Agricola[[#This Row],[Cuenta Contable]],Produccion_Agricola_Cuentas[Cuenta Contable],0),2),0)</f>
        <v>0</v>
      </c>
      <c r="AC564" s="702">
        <f>IFERROR(INDEX(Tabla9[],MATCH(Producción_Agricola[[#This Row],[Movimiento]],Tabla9[Movimientos],0),2),0)</f>
        <v>0</v>
      </c>
      <c r="AD564" s="703">
        <f>IFERROR(INDEX(Tabla9[],MATCH(Producción_Agricola[[#This Row],[Movimiento]],Tabla9[Movimientos],0),3),0)</f>
        <v>0</v>
      </c>
      <c r="AE564" s="698">
        <f>IF(Producción_Agricola[[#This Row],[Fecha Económico]]=0,0,MONTH(Producción_Agricola[[#This Row],[Fecha Económico]]))</f>
        <v>0</v>
      </c>
      <c r="AF564" s="699">
        <f>IF(Producción_Agricola[[#This Row],[Fecha Económico]]=0,0,YEAR(Producción_Agricola[[#This Row],[Fecha Económico]]))</f>
        <v>0</v>
      </c>
      <c r="AG564" s="704">
        <f>SUMPRODUCT((Producción_Agricola[[#This Row],[Mes Económico]]=Tipo_Cambio[Mes])*(Producción_Agricola[[#This Row],[Año Económico]]=Tipo_Cambio[Año])*(Tipo_Cambio[$/U$S]))</f>
        <v>0</v>
      </c>
      <c r="AH564" s="703">
        <f>SUMPRODUCT((Producción_Agricola[[#This Row],[Mes Económico]]=Tipo_Cambio[Mes])*(Producción_Agricola[[#This Row],[Año Económico]]=Tipo_Cambio[Año])*(Tipo_Cambio[Actualización]))</f>
        <v>0</v>
      </c>
      <c r="AI564" s="699">
        <f>IF(ISNUMBER(Producción_Agricola[[#This Row],[Fecha Financiero]])=TRUE,MONTH(Producción_Agricola[[#This Row],[Fecha Financiero]]),0)</f>
        <v>0</v>
      </c>
      <c r="AJ564" s="699">
        <f>IF(ISNUMBER(Producción_Agricola[[#This Row],[Fecha Financiero]])=TRUE,YEAR(Producción_Agricola[[#This Row],[Fecha Financiero]]),0)</f>
        <v>0</v>
      </c>
      <c r="AK564" s="704">
        <f>SUMPRODUCT((Producción_Agricola[[#This Row],[Mes Financiero]]=Tipo_Cambio[Mes])*(Producción_Agricola[[#This Row],[Año Financiero]]=Tipo_Cambio[Año])*(Tipo_Cambio[$/U$S]))</f>
        <v>0</v>
      </c>
      <c r="AL564" s="704">
        <f>SUMPRODUCT((Producción_Agricola[[#This Row],[Mes Financiero]]=Tipo_Cambio[Mes])*(Producción_Agricola[[#This Row],[Año Financiero]]=Tipo_Cambio[Año])*(Tipo_Cambio[Actualización]))</f>
        <v>0</v>
      </c>
      <c r="AM564" s="709">
        <f>IFERROR(Producción_Agricola[[#This Row],[Económico $Corrientes]]/Producción_Agricola[[#This Row],[Superficie]],0)</f>
        <v>0</v>
      </c>
      <c r="AN564" s="712">
        <f>IFERROR(Producción_Agricola[[#This Row],[Económico $Constantes]]/Producción_Agricola[[#This Row],[Superficie]],0)</f>
        <v>0</v>
      </c>
      <c r="AO564" s="712">
        <f>IFERROR(Producción_Agricola[[#This Row],[Económico U$S Dólares]]/Producción_Agricola[[#This Row],[Superficie]],0)</f>
        <v>0</v>
      </c>
      <c r="AP564" s="711">
        <f>IF(Económico!$F$4=0,0,Producción_Agricola[[#This Row],[Centro de Costo]])</f>
        <v>0</v>
      </c>
      <c r="AQ564" s="512"/>
      <c r="AR564" s="513"/>
      <c r="AS564"/>
    </row>
    <row r="565" spans="1:45" x14ac:dyDescent="0.25">
      <c r="A565" s="509"/>
      <c r="B565" s="494"/>
      <c r="C565" s="509"/>
      <c r="D565" s="478"/>
      <c r="E565" s="478"/>
      <c r="F565" s="668">
        <f t="shared" si="68"/>
        <v>0</v>
      </c>
      <c r="G565" s="673">
        <f t="shared" si="69"/>
        <v>0</v>
      </c>
      <c r="H565" s="673">
        <f t="shared" si="70"/>
        <v>0</v>
      </c>
      <c r="I565" s="675">
        <f>IFERROR(INDEX(Tabla8[],MATCH(Producción_Agricola[[#This Row],[Unidad de Negocio]],Tabla8[Unidades de Negocio],0),2),0)</f>
        <v>0</v>
      </c>
      <c r="J56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65" s="488"/>
      <c r="L565" s="482"/>
      <c r="M565" s="483"/>
      <c r="N565" s="484"/>
      <c r="O565" s="690">
        <f>Producción_Agricola[[#This Row],[Superficie]]*Producción_Agricola[[#This Row],[Cantidad]]</f>
        <v>0</v>
      </c>
      <c r="P565" s="482"/>
      <c r="Q565" s="484"/>
      <c r="R565" s="485"/>
      <c r="S56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65" s="695">
        <f>IFERROR(Producción_Agricola[[#This Row],[Económico $Corrientes]]/Producción_Agricola[[#This Row],[Indexación Económico]],0)</f>
        <v>0</v>
      </c>
      <c r="U56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6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65" s="695">
        <f>IFERROR(Producción_Agricola[[#This Row],[Financiero $Corrientes]]/Producción_Agricola[[#This Row],[Indexación Financiero]],0)</f>
        <v>0</v>
      </c>
      <c r="X56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6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65" s="699">
        <f>IFERROR(Producción_Agricola[[#This Row],[Intereses $Corrientes]]/Producción_Agricola[[#This Row],[Indexación Financiero]],0)</f>
        <v>0</v>
      </c>
      <c r="AA56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65" s="701">
        <f>IFERROR(INDEX(Produccion_Agricola_Cuentas[],MATCH(Producción_Agricola[[#This Row],[Cuenta Contable]],Produccion_Agricola_Cuentas[Cuenta Contable],0),2),0)</f>
        <v>0</v>
      </c>
      <c r="AC565" s="702">
        <f>IFERROR(INDEX(Tabla9[],MATCH(Producción_Agricola[[#This Row],[Movimiento]],Tabla9[Movimientos],0),2),0)</f>
        <v>0</v>
      </c>
      <c r="AD565" s="703">
        <f>IFERROR(INDEX(Tabla9[],MATCH(Producción_Agricola[[#This Row],[Movimiento]],Tabla9[Movimientos],0),3),0)</f>
        <v>0</v>
      </c>
      <c r="AE565" s="698">
        <f>IF(Producción_Agricola[[#This Row],[Fecha Económico]]=0,0,MONTH(Producción_Agricola[[#This Row],[Fecha Económico]]))</f>
        <v>0</v>
      </c>
      <c r="AF565" s="699">
        <f>IF(Producción_Agricola[[#This Row],[Fecha Económico]]=0,0,YEAR(Producción_Agricola[[#This Row],[Fecha Económico]]))</f>
        <v>0</v>
      </c>
      <c r="AG565" s="704">
        <f>SUMPRODUCT((Producción_Agricola[[#This Row],[Mes Económico]]=Tipo_Cambio[Mes])*(Producción_Agricola[[#This Row],[Año Económico]]=Tipo_Cambio[Año])*(Tipo_Cambio[$/U$S]))</f>
        <v>0</v>
      </c>
      <c r="AH565" s="703">
        <f>SUMPRODUCT((Producción_Agricola[[#This Row],[Mes Económico]]=Tipo_Cambio[Mes])*(Producción_Agricola[[#This Row],[Año Económico]]=Tipo_Cambio[Año])*(Tipo_Cambio[Actualización]))</f>
        <v>0</v>
      </c>
      <c r="AI565" s="699">
        <f>IF(ISNUMBER(Producción_Agricola[[#This Row],[Fecha Financiero]])=TRUE,MONTH(Producción_Agricola[[#This Row],[Fecha Financiero]]),0)</f>
        <v>0</v>
      </c>
      <c r="AJ565" s="699">
        <f>IF(ISNUMBER(Producción_Agricola[[#This Row],[Fecha Financiero]])=TRUE,YEAR(Producción_Agricola[[#This Row],[Fecha Financiero]]),0)</f>
        <v>0</v>
      </c>
      <c r="AK565" s="704">
        <f>SUMPRODUCT((Producción_Agricola[[#This Row],[Mes Financiero]]=Tipo_Cambio[Mes])*(Producción_Agricola[[#This Row],[Año Financiero]]=Tipo_Cambio[Año])*(Tipo_Cambio[$/U$S]))</f>
        <v>0</v>
      </c>
      <c r="AL565" s="704">
        <f>SUMPRODUCT((Producción_Agricola[[#This Row],[Mes Financiero]]=Tipo_Cambio[Mes])*(Producción_Agricola[[#This Row],[Año Financiero]]=Tipo_Cambio[Año])*(Tipo_Cambio[Actualización]))</f>
        <v>0</v>
      </c>
      <c r="AM565" s="709">
        <f>IFERROR(Producción_Agricola[[#This Row],[Económico $Corrientes]]/Producción_Agricola[[#This Row],[Superficie]],0)</f>
        <v>0</v>
      </c>
      <c r="AN565" s="712">
        <f>IFERROR(Producción_Agricola[[#This Row],[Económico $Constantes]]/Producción_Agricola[[#This Row],[Superficie]],0)</f>
        <v>0</v>
      </c>
      <c r="AO565" s="712">
        <f>IFERROR(Producción_Agricola[[#This Row],[Económico U$S Dólares]]/Producción_Agricola[[#This Row],[Superficie]],0)</f>
        <v>0</v>
      </c>
      <c r="AP565" s="711">
        <f>IF(Económico!$F$4=0,0,Producción_Agricola[[#This Row],[Centro de Costo]])</f>
        <v>0</v>
      </c>
      <c r="AQ565" s="512"/>
      <c r="AR565" s="513"/>
      <c r="AS565"/>
    </row>
    <row r="566" spans="1:45" x14ac:dyDescent="0.25">
      <c r="A566" s="509"/>
      <c r="B566" s="494"/>
      <c r="C566" s="509"/>
      <c r="D566" s="478"/>
      <c r="E566" s="478"/>
      <c r="F566" s="668">
        <f t="shared" si="68"/>
        <v>0</v>
      </c>
      <c r="G566" s="673">
        <f t="shared" si="69"/>
        <v>0</v>
      </c>
      <c r="H566" s="673">
        <f t="shared" si="70"/>
        <v>0</v>
      </c>
      <c r="I566" s="675">
        <f>IFERROR(INDEX(Tabla8[],MATCH(Producción_Agricola[[#This Row],[Unidad de Negocio]],Tabla8[Unidades de Negocio],0),2),0)</f>
        <v>0</v>
      </c>
      <c r="J56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66" s="488"/>
      <c r="L566" s="482"/>
      <c r="M566" s="483"/>
      <c r="N566" s="484"/>
      <c r="O566" s="690">
        <f>Producción_Agricola[[#This Row],[Superficie]]*Producción_Agricola[[#This Row],[Cantidad]]</f>
        <v>0</v>
      </c>
      <c r="P566" s="482"/>
      <c r="Q566" s="484"/>
      <c r="R566" s="485"/>
      <c r="S56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66" s="695">
        <f>IFERROR(Producción_Agricola[[#This Row],[Económico $Corrientes]]/Producción_Agricola[[#This Row],[Indexación Económico]],0)</f>
        <v>0</v>
      </c>
      <c r="U56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6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66" s="695">
        <f>IFERROR(Producción_Agricola[[#This Row],[Financiero $Corrientes]]/Producción_Agricola[[#This Row],[Indexación Financiero]],0)</f>
        <v>0</v>
      </c>
      <c r="X56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6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66" s="699">
        <f>IFERROR(Producción_Agricola[[#This Row],[Intereses $Corrientes]]/Producción_Agricola[[#This Row],[Indexación Financiero]],0)</f>
        <v>0</v>
      </c>
      <c r="AA56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66" s="701">
        <f>IFERROR(INDEX(Produccion_Agricola_Cuentas[],MATCH(Producción_Agricola[[#This Row],[Cuenta Contable]],Produccion_Agricola_Cuentas[Cuenta Contable],0),2),0)</f>
        <v>0</v>
      </c>
      <c r="AC566" s="702">
        <f>IFERROR(INDEX(Tabla9[],MATCH(Producción_Agricola[[#This Row],[Movimiento]],Tabla9[Movimientos],0),2),0)</f>
        <v>0</v>
      </c>
      <c r="AD566" s="703">
        <f>IFERROR(INDEX(Tabla9[],MATCH(Producción_Agricola[[#This Row],[Movimiento]],Tabla9[Movimientos],0),3),0)</f>
        <v>0</v>
      </c>
      <c r="AE566" s="698">
        <f>IF(Producción_Agricola[[#This Row],[Fecha Económico]]=0,0,MONTH(Producción_Agricola[[#This Row],[Fecha Económico]]))</f>
        <v>0</v>
      </c>
      <c r="AF566" s="699">
        <f>IF(Producción_Agricola[[#This Row],[Fecha Económico]]=0,0,YEAR(Producción_Agricola[[#This Row],[Fecha Económico]]))</f>
        <v>0</v>
      </c>
      <c r="AG566" s="704">
        <f>SUMPRODUCT((Producción_Agricola[[#This Row],[Mes Económico]]=Tipo_Cambio[Mes])*(Producción_Agricola[[#This Row],[Año Económico]]=Tipo_Cambio[Año])*(Tipo_Cambio[$/U$S]))</f>
        <v>0</v>
      </c>
      <c r="AH566" s="703">
        <f>SUMPRODUCT((Producción_Agricola[[#This Row],[Mes Económico]]=Tipo_Cambio[Mes])*(Producción_Agricola[[#This Row],[Año Económico]]=Tipo_Cambio[Año])*(Tipo_Cambio[Actualización]))</f>
        <v>0</v>
      </c>
      <c r="AI566" s="699">
        <f>IF(ISNUMBER(Producción_Agricola[[#This Row],[Fecha Financiero]])=TRUE,MONTH(Producción_Agricola[[#This Row],[Fecha Financiero]]),0)</f>
        <v>0</v>
      </c>
      <c r="AJ566" s="699">
        <f>IF(ISNUMBER(Producción_Agricola[[#This Row],[Fecha Financiero]])=TRUE,YEAR(Producción_Agricola[[#This Row],[Fecha Financiero]]),0)</f>
        <v>0</v>
      </c>
      <c r="AK566" s="704">
        <f>SUMPRODUCT((Producción_Agricola[[#This Row],[Mes Financiero]]=Tipo_Cambio[Mes])*(Producción_Agricola[[#This Row],[Año Financiero]]=Tipo_Cambio[Año])*(Tipo_Cambio[$/U$S]))</f>
        <v>0</v>
      </c>
      <c r="AL566" s="704">
        <f>SUMPRODUCT((Producción_Agricola[[#This Row],[Mes Financiero]]=Tipo_Cambio[Mes])*(Producción_Agricola[[#This Row],[Año Financiero]]=Tipo_Cambio[Año])*(Tipo_Cambio[Actualización]))</f>
        <v>0</v>
      </c>
      <c r="AM566" s="709">
        <f>IFERROR(Producción_Agricola[[#This Row],[Económico $Corrientes]]/Producción_Agricola[[#This Row],[Superficie]],0)</f>
        <v>0</v>
      </c>
      <c r="AN566" s="712">
        <f>IFERROR(Producción_Agricola[[#This Row],[Económico $Constantes]]/Producción_Agricola[[#This Row],[Superficie]],0)</f>
        <v>0</v>
      </c>
      <c r="AO566" s="712">
        <f>IFERROR(Producción_Agricola[[#This Row],[Económico U$S Dólares]]/Producción_Agricola[[#This Row],[Superficie]],0)</f>
        <v>0</v>
      </c>
      <c r="AP566" s="711">
        <f>IF(Económico!$F$4=0,0,Producción_Agricola[[#This Row],[Centro de Costo]])</f>
        <v>0</v>
      </c>
      <c r="AQ566" s="512"/>
      <c r="AR566" s="513"/>
      <c r="AS566"/>
    </row>
    <row r="567" spans="1:45" x14ac:dyDescent="0.25">
      <c r="A567" s="509"/>
      <c r="B567" s="494"/>
      <c r="C567" s="509"/>
      <c r="D567" s="478"/>
      <c r="E567" s="478"/>
      <c r="F567" s="668">
        <f t="shared" si="68"/>
        <v>0</v>
      </c>
      <c r="G567" s="673">
        <f t="shared" si="69"/>
        <v>0</v>
      </c>
      <c r="H567" s="673">
        <f t="shared" si="70"/>
        <v>0</v>
      </c>
      <c r="I567" s="675">
        <f>IFERROR(INDEX(Tabla8[],MATCH(Producción_Agricola[[#This Row],[Unidad de Negocio]],Tabla8[Unidades de Negocio],0),2),0)</f>
        <v>0</v>
      </c>
      <c r="J56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67" s="488"/>
      <c r="L567" s="482"/>
      <c r="M567" s="483"/>
      <c r="N567" s="484"/>
      <c r="O567" s="690">
        <f>Producción_Agricola[[#This Row],[Superficie]]*Producción_Agricola[[#This Row],[Cantidad]]</f>
        <v>0</v>
      </c>
      <c r="P567" s="482"/>
      <c r="Q567" s="484"/>
      <c r="R567" s="485"/>
      <c r="S56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67" s="695">
        <f>IFERROR(Producción_Agricola[[#This Row],[Económico $Corrientes]]/Producción_Agricola[[#This Row],[Indexación Económico]],0)</f>
        <v>0</v>
      </c>
      <c r="U56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6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67" s="695">
        <f>IFERROR(Producción_Agricola[[#This Row],[Financiero $Corrientes]]/Producción_Agricola[[#This Row],[Indexación Financiero]],0)</f>
        <v>0</v>
      </c>
      <c r="X56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6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67" s="699">
        <f>IFERROR(Producción_Agricola[[#This Row],[Intereses $Corrientes]]/Producción_Agricola[[#This Row],[Indexación Financiero]],0)</f>
        <v>0</v>
      </c>
      <c r="AA56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67" s="701">
        <f>IFERROR(INDEX(Produccion_Agricola_Cuentas[],MATCH(Producción_Agricola[[#This Row],[Cuenta Contable]],Produccion_Agricola_Cuentas[Cuenta Contable],0),2),0)</f>
        <v>0</v>
      </c>
      <c r="AC567" s="702">
        <f>IFERROR(INDEX(Tabla9[],MATCH(Producción_Agricola[[#This Row],[Movimiento]],Tabla9[Movimientos],0),2),0)</f>
        <v>0</v>
      </c>
      <c r="AD567" s="703">
        <f>IFERROR(INDEX(Tabla9[],MATCH(Producción_Agricola[[#This Row],[Movimiento]],Tabla9[Movimientos],0),3),0)</f>
        <v>0</v>
      </c>
      <c r="AE567" s="698">
        <f>IF(Producción_Agricola[[#This Row],[Fecha Económico]]=0,0,MONTH(Producción_Agricola[[#This Row],[Fecha Económico]]))</f>
        <v>0</v>
      </c>
      <c r="AF567" s="699">
        <f>IF(Producción_Agricola[[#This Row],[Fecha Económico]]=0,0,YEAR(Producción_Agricola[[#This Row],[Fecha Económico]]))</f>
        <v>0</v>
      </c>
      <c r="AG567" s="704">
        <f>SUMPRODUCT((Producción_Agricola[[#This Row],[Mes Económico]]=Tipo_Cambio[Mes])*(Producción_Agricola[[#This Row],[Año Económico]]=Tipo_Cambio[Año])*(Tipo_Cambio[$/U$S]))</f>
        <v>0</v>
      </c>
      <c r="AH567" s="703">
        <f>SUMPRODUCT((Producción_Agricola[[#This Row],[Mes Económico]]=Tipo_Cambio[Mes])*(Producción_Agricola[[#This Row],[Año Económico]]=Tipo_Cambio[Año])*(Tipo_Cambio[Actualización]))</f>
        <v>0</v>
      </c>
      <c r="AI567" s="699">
        <f>IF(ISNUMBER(Producción_Agricola[[#This Row],[Fecha Financiero]])=TRUE,MONTH(Producción_Agricola[[#This Row],[Fecha Financiero]]),0)</f>
        <v>0</v>
      </c>
      <c r="AJ567" s="699">
        <f>IF(ISNUMBER(Producción_Agricola[[#This Row],[Fecha Financiero]])=TRUE,YEAR(Producción_Agricola[[#This Row],[Fecha Financiero]]),0)</f>
        <v>0</v>
      </c>
      <c r="AK567" s="704">
        <f>SUMPRODUCT((Producción_Agricola[[#This Row],[Mes Financiero]]=Tipo_Cambio[Mes])*(Producción_Agricola[[#This Row],[Año Financiero]]=Tipo_Cambio[Año])*(Tipo_Cambio[$/U$S]))</f>
        <v>0</v>
      </c>
      <c r="AL567" s="704">
        <f>SUMPRODUCT((Producción_Agricola[[#This Row],[Mes Financiero]]=Tipo_Cambio[Mes])*(Producción_Agricola[[#This Row],[Año Financiero]]=Tipo_Cambio[Año])*(Tipo_Cambio[Actualización]))</f>
        <v>0</v>
      </c>
      <c r="AM567" s="709">
        <f>IFERROR(Producción_Agricola[[#This Row],[Económico $Corrientes]]/Producción_Agricola[[#This Row],[Superficie]],0)</f>
        <v>0</v>
      </c>
      <c r="AN567" s="712">
        <f>IFERROR(Producción_Agricola[[#This Row],[Económico $Constantes]]/Producción_Agricola[[#This Row],[Superficie]],0)</f>
        <v>0</v>
      </c>
      <c r="AO567" s="712">
        <f>IFERROR(Producción_Agricola[[#This Row],[Económico U$S Dólares]]/Producción_Agricola[[#This Row],[Superficie]],0)</f>
        <v>0</v>
      </c>
      <c r="AP567" s="711">
        <f>IF(Económico!$F$4=0,0,Producción_Agricola[[#This Row],[Centro de Costo]])</f>
        <v>0</v>
      </c>
      <c r="AQ567" s="512"/>
      <c r="AR567" s="513"/>
      <c r="AS567"/>
    </row>
    <row r="568" spans="1:45" x14ac:dyDescent="0.25">
      <c r="A568" s="509"/>
      <c r="B568" s="494"/>
      <c r="C568" s="509"/>
      <c r="D568" s="478"/>
      <c r="E568" s="478"/>
      <c r="F568" s="668">
        <f t="shared" si="68"/>
        <v>0</v>
      </c>
      <c r="G568" s="673">
        <f t="shared" si="69"/>
        <v>0</v>
      </c>
      <c r="H568" s="673">
        <f t="shared" si="70"/>
        <v>0</v>
      </c>
      <c r="I568" s="675">
        <f>IFERROR(INDEX(Tabla8[],MATCH(Producción_Agricola[[#This Row],[Unidad de Negocio]],Tabla8[Unidades de Negocio],0),2),0)</f>
        <v>0</v>
      </c>
      <c r="J56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68" s="488"/>
      <c r="L568" s="482"/>
      <c r="M568" s="483"/>
      <c r="N568" s="484"/>
      <c r="O568" s="690">
        <f>Producción_Agricola[[#This Row],[Superficie]]*Producción_Agricola[[#This Row],[Cantidad]]</f>
        <v>0</v>
      </c>
      <c r="P568" s="482"/>
      <c r="Q568" s="484"/>
      <c r="R568" s="485"/>
      <c r="S56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68" s="695">
        <f>IFERROR(Producción_Agricola[[#This Row],[Económico $Corrientes]]/Producción_Agricola[[#This Row],[Indexación Económico]],0)</f>
        <v>0</v>
      </c>
      <c r="U56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6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68" s="695">
        <f>IFERROR(Producción_Agricola[[#This Row],[Financiero $Corrientes]]/Producción_Agricola[[#This Row],[Indexación Financiero]],0)</f>
        <v>0</v>
      </c>
      <c r="X56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6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68" s="699">
        <f>IFERROR(Producción_Agricola[[#This Row],[Intereses $Corrientes]]/Producción_Agricola[[#This Row],[Indexación Financiero]],0)</f>
        <v>0</v>
      </c>
      <c r="AA56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68" s="701">
        <f>IFERROR(INDEX(Produccion_Agricola_Cuentas[],MATCH(Producción_Agricola[[#This Row],[Cuenta Contable]],Produccion_Agricola_Cuentas[Cuenta Contable],0),2),0)</f>
        <v>0</v>
      </c>
      <c r="AC568" s="702">
        <f>IFERROR(INDEX(Tabla9[],MATCH(Producción_Agricola[[#This Row],[Movimiento]],Tabla9[Movimientos],0),2),0)</f>
        <v>0</v>
      </c>
      <c r="AD568" s="703">
        <f>IFERROR(INDEX(Tabla9[],MATCH(Producción_Agricola[[#This Row],[Movimiento]],Tabla9[Movimientos],0),3),0)</f>
        <v>0</v>
      </c>
      <c r="AE568" s="698">
        <f>IF(Producción_Agricola[[#This Row],[Fecha Económico]]=0,0,MONTH(Producción_Agricola[[#This Row],[Fecha Económico]]))</f>
        <v>0</v>
      </c>
      <c r="AF568" s="699">
        <f>IF(Producción_Agricola[[#This Row],[Fecha Económico]]=0,0,YEAR(Producción_Agricola[[#This Row],[Fecha Económico]]))</f>
        <v>0</v>
      </c>
      <c r="AG568" s="704">
        <f>SUMPRODUCT((Producción_Agricola[[#This Row],[Mes Económico]]=Tipo_Cambio[Mes])*(Producción_Agricola[[#This Row],[Año Económico]]=Tipo_Cambio[Año])*(Tipo_Cambio[$/U$S]))</f>
        <v>0</v>
      </c>
      <c r="AH568" s="703">
        <f>SUMPRODUCT((Producción_Agricola[[#This Row],[Mes Económico]]=Tipo_Cambio[Mes])*(Producción_Agricola[[#This Row],[Año Económico]]=Tipo_Cambio[Año])*(Tipo_Cambio[Actualización]))</f>
        <v>0</v>
      </c>
      <c r="AI568" s="699">
        <f>IF(ISNUMBER(Producción_Agricola[[#This Row],[Fecha Financiero]])=TRUE,MONTH(Producción_Agricola[[#This Row],[Fecha Financiero]]),0)</f>
        <v>0</v>
      </c>
      <c r="AJ568" s="699">
        <f>IF(ISNUMBER(Producción_Agricola[[#This Row],[Fecha Financiero]])=TRUE,YEAR(Producción_Agricola[[#This Row],[Fecha Financiero]]),0)</f>
        <v>0</v>
      </c>
      <c r="AK568" s="704">
        <f>SUMPRODUCT((Producción_Agricola[[#This Row],[Mes Financiero]]=Tipo_Cambio[Mes])*(Producción_Agricola[[#This Row],[Año Financiero]]=Tipo_Cambio[Año])*(Tipo_Cambio[$/U$S]))</f>
        <v>0</v>
      </c>
      <c r="AL568" s="704">
        <f>SUMPRODUCT((Producción_Agricola[[#This Row],[Mes Financiero]]=Tipo_Cambio[Mes])*(Producción_Agricola[[#This Row],[Año Financiero]]=Tipo_Cambio[Año])*(Tipo_Cambio[Actualización]))</f>
        <v>0</v>
      </c>
      <c r="AM568" s="709">
        <f>IFERROR(Producción_Agricola[[#This Row],[Económico $Corrientes]]/Producción_Agricola[[#This Row],[Superficie]],0)</f>
        <v>0</v>
      </c>
      <c r="AN568" s="712">
        <f>IFERROR(Producción_Agricola[[#This Row],[Económico $Constantes]]/Producción_Agricola[[#This Row],[Superficie]],0)</f>
        <v>0</v>
      </c>
      <c r="AO568" s="712">
        <f>IFERROR(Producción_Agricola[[#This Row],[Económico U$S Dólares]]/Producción_Agricola[[#This Row],[Superficie]],0)</f>
        <v>0</v>
      </c>
      <c r="AP568" s="711">
        <f>IF(Económico!$F$4=0,0,Producción_Agricola[[#This Row],[Centro de Costo]])</f>
        <v>0</v>
      </c>
      <c r="AQ568" s="512"/>
      <c r="AR568" s="513"/>
      <c r="AS568"/>
    </row>
    <row r="569" spans="1:45" x14ac:dyDescent="0.25">
      <c r="A569" s="509"/>
      <c r="B569" s="494"/>
      <c r="C569" s="509"/>
      <c r="D569" s="478"/>
      <c r="E569" s="478"/>
      <c r="F569" s="668">
        <f t="shared" si="68"/>
        <v>0</v>
      </c>
      <c r="G569" s="673">
        <f t="shared" si="69"/>
        <v>0</v>
      </c>
      <c r="H569" s="673">
        <f t="shared" si="70"/>
        <v>0</v>
      </c>
      <c r="I569" s="675">
        <f>IFERROR(INDEX(Tabla8[],MATCH(Producción_Agricola[[#This Row],[Unidad de Negocio]],Tabla8[Unidades de Negocio],0),2),0)</f>
        <v>0</v>
      </c>
      <c r="J56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69" s="488"/>
      <c r="L569" s="482"/>
      <c r="M569" s="483"/>
      <c r="N569" s="484"/>
      <c r="O569" s="690">
        <f>Producción_Agricola[[#This Row],[Superficie]]*Producción_Agricola[[#This Row],[Cantidad]]</f>
        <v>0</v>
      </c>
      <c r="P569" s="482"/>
      <c r="Q569" s="484"/>
      <c r="R569" s="485"/>
      <c r="S56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69" s="695">
        <f>IFERROR(Producción_Agricola[[#This Row],[Económico $Corrientes]]/Producción_Agricola[[#This Row],[Indexación Económico]],0)</f>
        <v>0</v>
      </c>
      <c r="U56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6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69" s="695">
        <f>IFERROR(Producción_Agricola[[#This Row],[Financiero $Corrientes]]/Producción_Agricola[[#This Row],[Indexación Financiero]],0)</f>
        <v>0</v>
      </c>
      <c r="X56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6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69" s="699">
        <f>IFERROR(Producción_Agricola[[#This Row],[Intereses $Corrientes]]/Producción_Agricola[[#This Row],[Indexación Financiero]],0)</f>
        <v>0</v>
      </c>
      <c r="AA56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69" s="701">
        <f>IFERROR(INDEX(Produccion_Agricola_Cuentas[],MATCH(Producción_Agricola[[#This Row],[Cuenta Contable]],Produccion_Agricola_Cuentas[Cuenta Contable],0),2),0)</f>
        <v>0</v>
      </c>
      <c r="AC569" s="702">
        <f>IFERROR(INDEX(Tabla9[],MATCH(Producción_Agricola[[#This Row],[Movimiento]],Tabla9[Movimientos],0),2),0)</f>
        <v>0</v>
      </c>
      <c r="AD569" s="703">
        <f>IFERROR(INDEX(Tabla9[],MATCH(Producción_Agricola[[#This Row],[Movimiento]],Tabla9[Movimientos],0),3),0)</f>
        <v>0</v>
      </c>
      <c r="AE569" s="698">
        <f>IF(Producción_Agricola[[#This Row],[Fecha Económico]]=0,0,MONTH(Producción_Agricola[[#This Row],[Fecha Económico]]))</f>
        <v>0</v>
      </c>
      <c r="AF569" s="699">
        <f>IF(Producción_Agricola[[#This Row],[Fecha Económico]]=0,0,YEAR(Producción_Agricola[[#This Row],[Fecha Económico]]))</f>
        <v>0</v>
      </c>
      <c r="AG569" s="704">
        <f>SUMPRODUCT((Producción_Agricola[[#This Row],[Mes Económico]]=Tipo_Cambio[Mes])*(Producción_Agricola[[#This Row],[Año Económico]]=Tipo_Cambio[Año])*(Tipo_Cambio[$/U$S]))</f>
        <v>0</v>
      </c>
      <c r="AH569" s="703">
        <f>SUMPRODUCT((Producción_Agricola[[#This Row],[Mes Económico]]=Tipo_Cambio[Mes])*(Producción_Agricola[[#This Row],[Año Económico]]=Tipo_Cambio[Año])*(Tipo_Cambio[Actualización]))</f>
        <v>0</v>
      </c>
      <c r="AI569" s="699">
        <f>IF(ISNUMBER(Producción_Agricola[[#This Row],[Fecha Financiero]])=TRUE,MONTH(Producción_Agricola[[#This Row],[Fecha Financiero]]),0)</f>
        <v>0</v>
      </c>
      <c r="AJ569" s="699">
        <f>IF(ISNUMBER(Producción_Agricola[[#This Row],[Fecha Financiero]])=TRUE,YEAR(Producción_Agricola[[#This Row],[Fecha Financiero]]),0)</f>
        <v>0</v>
      </c>
      <c r="AK569" s="704">
        <f>SUMPRODUCT((Producción_Agricola[[#This Row],[Mes Financiero]]=Tipo_Cambio[Mes])*(Producción_Agricola[[#This Row],[Año Financiero]]=Tipo_Cambio[Año])*(Tipo_Cambio[$/U$S]))</f>
        <v>0</v>
      </c>
      <c r="AL569" s="704">
        <f>SUMPRODUCT((Producción_Agricola[[#This Row],[Mes Financiero]]=Tipo_Cambio[Mes])*(Producción_Agricola[[#This Row],[Año Financiero]]=Tipo_Cambio[Año])*(Tipo_Cambio[Actualización]))</f>
        <v>0</v>
      </c>
      <c r="AM569" s="709">
        <f>IFERROR(Producción_Agricola[[#This Row],[Económico $Corrientes]]/Producción_Agricola[[#This Row],[Superficie]],0)</f>
        <v>0</v>
      </c>
      <c r="AN569" s="712">
        <f>IFERROR(Producción_Agricola[[#This Row],[Económico $Constantes]]/Producción_Agricola[[#This Row],[Superficie]],0)</f>
        <v>0</v>
      </c>
      <c r="AO569" s="712">
        <f>IFERROR(Producción_Agricola[[#This Row],[Económico U$S Dólares]]/Producción_Agricola[[#This Row],[Superficie]],0)</f>
        <v>0</v>
      </c>
      <c r="AP569" s="711">
        <f>IF(Económico!$F$4=0,0,Producción_Agricola[[#This Row],[Centro de Costo]])</f>
        <v>0</v>
      </c>
      <c r="AQ569" s="512"/>
      <c r="AR569" s="513"/>
      <c r="AS569"/>
    </row>
    <row r="570" spans="1:45" x14ac:dyDescent="0.25">
      <c r="A570" s="509"/>
      <c r="B570" s="494"/>
      <c r="C570" s="509"/>
      <c r="D570" s="478"/>
      <c r="E570" s="478"/>
      <c r="F570" s="668">
        <f t="shared" si="68"/>
        <v>0</v>
      </c>
      <c r="G570" s="673">
        <f t="shared" si="69"/>
        <v>0</v>
      </c>
      <c r="H570" s="673">
        <f t="shared" si="70"/>
        <v>0</v>
      </c>
      <c r="I570" s="675">
        <f>IFERROR(INDEX(Tabla8[],MATCH(Producción_Agricola[[#This Row],[Unidad de Negocio]],Tabla8[Unidades de Negocio],0),2),0)</f>
        <v>0</v>
      </c>
      <c r="J57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70" s="488"/>
      <c r="L570" s="482"/>
      <c r="M570" s="483"/>
      <c r="N570" s="484"/>
      <c r="O570" s="690">
        <f>Producción_Agricola[[#This Row],[Superficie]]*Producción_Agricola[[#This Row],[Cantidad]]</f>
        <v>0</v>
      </c>
      <c r="P570" s="482"/>
      <c r="Q570" s="484"/>
      <c r="R570" s="485"/>
      <c r="S57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70" s="695">
        <f>IFERROR(Producción_Agricola[[#This Row],[Económico $Corrientes]]/Producción_Agricola[[#This Row],[Indexación Económico]],0)</f>
        <v>0</v>
      </c>
      <c r="U57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7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70" s="695">
        <f>IFERROR(Producción_Agricola[[#This Row],[Financiero $Corrientes]]/Producción_Agricola[[#This Row],[Indexación Financiero]],0)</f>
        <v>0</v>
      </c>
      <c r="X57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7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70" s="699">
        <f>IFERROR(Producción_Agricola[[#This Row],[Intereses $Corrientes]]/Producción_Agricola[[#This Row],[Indexación Financiero]],0)</f>
        <v>0</v>
      </c>
      <c r="AA57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70" s="701">
        <f>IFERROR(INDEX(Produccion_Agricola_Cuentas[],MATCH(Producción_Agricola[[#This Row],[Cuenta Contable]],Produccion_Agricola_Cuentas[Cuenta Contable],0),2),0)</f>
        <v>0</v>
      </c>
      <c r="AC570" s="702">
        <f>IFERROR(INDEX(Tabla9[],MATCH(Producción_Agricola[[#This Row],[Movimiento]],Tabla9[Movimientos],0),2),0)</f>
        <v>0</v>
      </c>
      <c r="AD570" s="703">
        <f>IFERROR(INDEX(Tabla9[],MATCH(Producción_Agricola[[#This Row],[Movimiento]],Tabla9[Movimientos],0),3),0)</f>
        <v>0</v>
      </c>
      <c r="AE570" s="698">
        <f>IF(Producción_Agricola[[#This Row],[Fecha Económico]]=0,0,MONTH(Producción_Agricola[[#This Row],[Fecha Económico]]))</f>
        <v>0</v>
      </c>
      <c r="AF570" s="699">
        <f>IF(Producción_Agricola[[#This Row],[Fecha Económico]]=0,0,YEAR(Producción_Agricola[[#This Row],[Fecha Económico]]))</f>
        <v>0</v>
      </c>
      <c r="AG570" s="704">
        <f>SUMPRODUCT((Producción_Agricola[[#This Row],[Mes Económico]]=Tipo_Cambio[Mes])*(Producción_Agricola[[#This Row],[Año Económico]]=Tipo_Cambio[Año])*(Tipo_Cambio[$/U$S]))</f>
        <v>0</v>
      </c>
      <c r="AH570" s="703">
        <f>SUMPRODUCT((Producción_Agricola[[#This Row],[Mes Económico]]=Tipo_Cambio[Mes])*(Producción_Agricola[[#This Row],[Año Económico]]=Tipo_Cambio[Año])*(Tipo_Cambio[Actualización]))</f>
        <v>0</v>
      </c>
      <c r="AI570" s="699">
        <f>IF(ISNUMBER(Producción_Agricola[[#This Row],[Fecha Financiero]])=TRUE,MONTH(Producción_Agricola[[#This Row],[Fecha Financiero]]),0)</f>
        <v>0</v>
      </c>
      <c r="AJ570" s="699">
        <f>IF(ISNUMBER(Producción_Agricola[[#This Row],[Fecha Financiero]])=TRUE,YEAR(Producción_Agricola[[#This Row],[Fecha Financiero]]),0)</f>
        <v>0</v>
      </c>
      <c r="AK570" s="704">
        <f>SUMPRODUCT((Producción_Agricola[[#This Row],[Mes Financiero]]=Tipo_Cambio[Mes])*(Producción_Agricola[[#This Row],[Año Financiero]]=Tipo_Cambio[Año])*(Tipo_Cambio[$/U$S]))</f>
        <v>0</v>
      </c>
      <c r="AL570" s="704">
        <f>SUMPRODUCT((Producción_Agricola[[#This Row],[Mes Financiero]]=Tipo_Cambio[Mes])*(Producción_Agricola[[#This Row],[Año Financiero]]=Tipo_Cambio[Año])*(Tipo_Cambio[Actualización]))</f>
        <v>0</v>
      </c>
      <c r="AM570" s="709">
        <f>IFERROR(Producción_Agricola[[#This Row],[Económico $Corrientes]]/Producción_Agricola[[#This Row],[Superficie]],0)</f>
        <v>0</v>
      </c>
      <c r="AN570" s="712">
        <f>IFERROR(Producción_Agricola[[#This Row],[Económico $Constantes]]/Producción_Agricola[[#This Row],[Superficie]],0)</f>
        <v>0</v>
      </c>
      <c r="AO570" s="712">
        <f>IFERROR(Producción_Agricola[[#This Row],[Económico U$S Dólares]]/Producción_Agricola[[#This Row],[Superficie]],0)</f>
        <v>0</v>
      </c>
      <c r="AP570" s="711">
        <f>IF(Económico!$F$4=0,0,Producción_Agricola[[#This Row],[Centro de Costo]])</f>
        <v>0</v>
      </c>
      <c r="AQ570" s="512"/>
      <c r="AR570" s="513"/>
      <c r="AS570"/>
    </row>
    <row r="571" spans="1:45" x14ac:dyDescent="0.25">
      <c r="A571" s="509"/>
      <c r="B571" s="494"/>
      <c r="C571" s="509"/>
      <c r="D571" s="478"/>
      <c r="E571" s="478"/>
      <c r="F571" s="668">
        <f t="shared" si="68"/>
        <v>0</v>
      </c>
      <c r="G571" s="673">
        <f t="shared" si="69"/>
        <v>0</v>
      </c>
      <c r="H571" s="673">
        <f t="shared" si="70"/>
        <v>0</v>
      </c>
      <c r="I571" s="675">
        <f>IFERROR(INDEX(Tabla8[],MATCH(Producción_Agricola[[#This Row],[Unidad de Negocio]],Tabla8[Unidades de Negocio],0),2),0)</f>
        <v>0</v>
      </c>
      <c r="J57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71" s="488"/>
      <c r="L571" s="482"/>
      <c r="M571" s="483"/>
      <c r="N571" s="484"/>
      <c r="O571" s="690">
        <f>Producción_Agricola[[#This Row],[Superficie]]*Producción_Agricola[[#This Row],[Cantidad]]</f>
        <v>0</v>
      </c>
      <c r="P571" s="482"/>
      <c r="Q571" s="484"/>
      <c r="R571" s="485"/>
      <c r="S57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71" s="695">
        <f>IFERROR(Producción_Agricola[[#This Row],[Económico $Corrientes]]/Producción_Agricola[[#This Row],[Indexación Económico]],0)</f>
        <v>0</v>
      </c>
      <c r="U57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7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71" s="695">
        <f>IFERROR(Producción_Agricola[[#This Row],[Financiero $Corrientes]]/Producción_Agricola[[#This Row],[Indexación Financiero]],0)</f>
        <v>0</v>
      </c>
      <c r="X57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7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71" s="699">
        <f>IFERROR(Producción_Agricola[[#This Row],[Intereses $Corrientes]]/Producción_Agricola[[#This Row],[Indexación Financiero]],0)</f>
        <v>0</v>
      </c>
      <c r="AA57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71" s="701">
        <f>IFERROR(INDEX(Produccion_Agricola_Cuentas[],MATCH(Producción_Agricola[[#This Row],[Cuenta Contable]],Produccion_Agricola_Cuentas[Cuenta Contable],0),2),0)</f>
        <v>0</v>
      </c>
      <c r="AC571" s="702">
        <f>IFERROR(INDEX(Tabla9[],MATCH(Producción_Agricola[[#This Row],[Movimiento]],Tabla9[Movimientos],0),2),0)</f>
        <v>0</v>
      </c>
      <c r="AD571" s="703">
        <f>IFERROR(INDEX(Tabla9[],MATCH(Producción_Agricola[[#This Row],[Movimiento]],Tabla9[Movimientos],0),3),0)</f>
        <v>0</v>
      </c>
      <c r="AE571" s="698">
        <f>IF(Producción_Agricola[[#This Row],[Fecha Económico]]=0,0,MONTH(Producción_Agricola[[#This Row],[Fecha Económico]]))</f>
        <v>0</v>
      </c>
      <c r="AF571" s="699">
        <f>IF(Producción_Agricola[[#This Row],[Fecha Económico]]=0,0,YEAR(Producción_Agricola[[#This Row],[Fecha Económico]]))</f>
        <v>0</v>
      </c>
      <c r="AG571" s="704">
        <f>SUMPRODUCT((Producción_Agricola[[#This Row],[Mes Económico]]=Tipo_Cambio[Mes])*(Producción_Agricola[[#This Row],[Año Económico]]=Tipo_Cambio[Año])*(Tipo_Cambio[$/U$S]))</f>
        <v>0</v>
      </c>
      <c r="AH571" s="703">
        <f>SUMPRODUCT((Producción_Agricola[[#This Row],[Mes Económico]]=Tipo_Cambio[Mes])*(Producción_Agricola[[#This Row],[Año Económico]]=Tipo_Cambio[Año])*(Tipo_Cambio[Actualización]))</f>
        <v>0</v>
      </c>
      <c r="AI571" s="699">
        <f>IF(ISNUMBER(Producción_Agricola[[#This Row],[Fecha Financiero]])=TRUE,MONTH(Producción_Agricola[[#This Row],[Fecha Financiero]]),0)</f>
        <v>0</v>
      </c>
      <c r="AJ571" s="699">
        <f>IF(ISNUMBER(Producción_Agricola[[#This Row],[Fecha Financiero]])=TRUE,YEAR(Producción_Agricola[[#This Row],[Fecha Financiero]]),0)</f>
        <v>0</v>
      </c>
      <c r="AK571" s="704">
        <f>SUMPRODUCT((Producción_Agricola[[#This Row],[Mes Financiero]]=Tipo_Cambio[Mes])*(Producción_Agricola[[#This Row],[Año Financiero]]=Tipo_Cambio[Año])*(Tipo_Cambio[$/U$S]))</f>
        <v>0</v>
      </c>
      <c r="AL571" s="704">
        <f>SUMPRODUCT((Producción_Agricola[[#This Row],[Mes Financiero]]=Tipo_Cambio[Mes])*(Producción_Agricola[[#This Row],[Año Financiero]]=Tipo_Cambio[Año])*(Tipo_Cambio[Actualización]))</f>
        <v>0</v>
      </c>
      <c r="AM571" s="709">
        <f>IFERROR(Producción_Agricola[[#This Row],[Económico $Corrientes]]/Producción_Agricola[[#This Row],[Superficie]],0)</f>
        <v>0</v>
      </c>
      <c r="AN571" s="712">
        <f>IFERROR(Producción_Agricola[[#This Row],[Económico $Constantes]]/Producción_Agricola[[#This Row],[Superficie]],0)</f>
        <v>0</v>
      </c>
      <c r="AO571" s="712">
        <f>IFERROR(Producción_Agricola[[#This Row],[Económico U$S Dólares]]/Producción_Agricola[[#This Row],[Superficie]],0)</f>
        <v>0</v>
      </c>
      <c r="AP571" s="711">
        <f>IF(Económico!$F$4=0,0,Producción_Agricola[[#This Row],[Centro de Costo]])</f>
        <v>0</v>
      </c>
      <c r="AQ571" s="512"/>
      <c r="AR571" s="513"/>
      <c r="AS571"/>
    </row>
    <row r="572" spans="1:45" x14ac:dyDescent="0.25">
      <c r="A572" s="509"/>
      <c r="B572" s="494"/>
      <c r="C572" s="509"/>
      <c r="D572" s="478"/>
      <c r="E572" s="478"/>
      <c r="F572" s="668">
        <f t="shared" si="68"/>
        <v>0</v>
      </c>
      <c r="G572" s="673">
        <f t="shared" si="69"/>
        <v>0</v>
      </c>
      <c r="H572" s="673">
        <f t="shared" si="70"/>
        <v>0</v>
      </c>
      <c r="I572" s="675">
        <f>IFERROR(INDEX(Tabla8[],MATCH(Producción_Agricola[[#This Row],[Unidad de Negocio]],Tabla8[Unidades de Negocio],0),2),0)</f>
        <v>0</v>
      </c>
      <c r="J57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72" s="488"/>
      <c r="L572" s="482"/>
      <c r="M572" s="483"/>
      <c r="N572" s="484"/>
      <c r="O572" s="690">
        <f>Producción_Agricola[[#This Row],[Superficie]]*Producción_Agricola[[#This Row],[Cantidad]]</f>
        <v>0</v>
      </c>
      <c r="P572" s="482"/>
      <c r="Q572" s="484"/>
      <c r="R572" s="485"/>
      <c r="S57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72" s="695">
        <f>IFERROR(Producción_Agricola[[#This Row],[Económico $Corrientes]]/Producción_Agricola[[#This Row],[Indexación Económico]],0)</f>
        <v>0</v>
      </c>
      <c r="U57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7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72" s="695">
        <f>IFERROR(Producción_Agricola[[#This Row],[Financiero $Corrientes]]/Producción_Agricola[[#This Row],[Indexación Financiero]],0)</f>
        <v>0</v>
      </c>
      <c r="X57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7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72" s="699">
        <f>IFERROR(Producción_Agricola[[#This Row],[Intereses $Corrientes]]/Producción_Agricola[[#This Row],[Indexación Financiero]],0)</f>
        <v>0</v>
      </c>
      <c r="AA57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72" s="701">
        <f>IFERROR(INDEX(Produccion_Agricola_Cuentas[],MATCH(Producción_Agricola[[#This Row],[Cuenta Contable]],Produccion_Agricola_Cuentas[Cuenta Contable],0),2),0)</f>
        <v>0</v>
      </c>
      <c r="AC572" s="702">
        <f>IFERROR(INDEX(Tabla9[],MATCH(Producción_Agricola[[#This Row],[Movimiento]],Tabla9[Movimientos],0),2),0)</f>
        <v>0</v>
      </c>
      <c r="AD572" s="703">
        <f>IFERROR(INDEX(Tabla9[],MATCH(Producción_Agricola[[#This Row],[Movimiento]],Tabla9[Movimientos],0),3),0)</f>
        <v>0</v>
      </c>
      <c r="AE572" s="698">
        <f>IF(Producción_Agricola[[#This Row],[Fecha Económico]]=0,0,MONTH(Producción_Agricola[[#This Row],[Fecha Económico]]))</f>
        <v>0</v>
      </c>
      <c r="AF572" s="699">
        <f>IF(Producción_Agricola[[#This Row],[Fecha Económico]]=0,0,YEAR(Producción_Agricola[[#This Row],[Fecha Económico]]))</f>
        <v>0</v>
      </c>
      <c r="AG572" s="704">
        <f>SUMPRODUCT((Producción_Agricola[[#This Row],[Mes Económico]]=Tipo_Cambio[Mes])*(Producción_Agricola[[#This Row],[Año Económico]]=Tipo_Cambio[Año])*(Tipo_Cambio[$/U$S]))</f>
        <v>0</v>
      </c>
      <c r="AH572" s="703">
        <f>SUMPRODUCT((Producción_Agricola[[#This Row],[Mes Económico]]=Tipo_Cambio[Mes])*(Producción_Agricola[[#This Row],[Año Económico]]=Tipo_Cambio[Año])*(Tipo_Cambio[Actualización]))</f>
        <v>0</v>
      </c>
      <c r="AI572" s="699">
        <f>IF(ISNUMBER(Producción_Agricola[[#This Row],[Fecha Financiero]])=TRUE,MONTH(Producción_Agricola[[#This Row],[Fecha Financiero]]),0)</f>
        <v>0</v>
      </c>
      <c r="AJ572" s="699">
        <f>IF(ISNUMBER(Producción_Agricola[[#This Row],[Fecha Financiero]])=TRUE,YEAR(Producción_Agricola[[#This Row],[Fecha Financiero]]),0)</f>
        <v>0</v>
      </c>
      <c r="AK572" s="704">
        <f>SUMPRODUCT((Producción_Agricola[[#This Row],[Mes Financiero]]=Tipo_Cambio[Mes])*(Producción_Agricola[[#This Row],[Año Financiero]]=Tipo_Cambio[Año])*(Tipo_Cambio[$/U$S]))</f>
        <v>0</v>
      </c>
      <c r="AL572" s="704">
        <f>SUMPRODUCT((Producción_Agricola[[#This Row],[Mes Financiero]]=Tipo_Cambio[Mes])*(Producción_Agricola[[#This Row],[Año Financiero]]=Tipo_Cambio[Año])*(Tipo_Cambio[Actualización]))</f>
        <v>0</v>
      </c>
      <c r="AM572" s="709">
        <f>IFERROR(Producción_Agricola[[#This Row],[Económico $Corrientes]]/Producción_Agricola[[#This Row],[Superficie]],0)</f>
        <v>0</v>
      </c>
      <c r="AN572" s="712">
        <f>IFERROR(Producción_Agricola[[#This Row],[Económico $Constantes]]/Producción_Agricola[[#This Row],[Superficie]],0)</f>
        <v>0</v>
      </c>
      <c r="AO572" s="712">
        <f>IFERROR(Producción_Agricola[[#This Row],[Económico U$S Dólares]]/Producción_Agricola[[#This Row],[Superficie]],0)</f>
        <v>0</v>
      </c>
      <c r="AP572" s="711">
        <f>IF(Económico!$F$4=0,0,Producción_Agricola[[#This Row],[Centro de Costo]])</f>
        <v>0</v>
      </c>
      <c r="AQ572" s="512"/>
      <c r="AR572" s="513"/>
      <c r="AS572"/>
    </row>
    <row r="573" spans="1:45" x14ac:dyDescent="0.25">
      <c r="A573" s="509"/>
      <c r="B573" s="494"/>
      <c r="C573" s="509"/>
      <c r="D573" s="478"/>
      <c r="E573" s="478"/>
      <c r="F573" s="668">
        <f t="shared" si="68"/>
        <v>0</v>
      </c>
      <c r="G573" s="673">
        <f t="shared" si="69"/>
        <v>0</v>
      </c>
      <c r="H573" s="673">
        <f t="shared" si="70"/>
        <v>0</v>
      </c>
      <c r="I573" s="675">
        <f>IFERROR(INDEX(Tabla8[],MATCH(Producción_Agricola[[#This Row],[Unidad de Negocio]],Tabla8[Unidades de Negocio],0),2),0)</f>
        <v>0</v>
      </c>
      <c r="J57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73" s="488"/>
      <c r="L573" s="482"/>
      <c r="M573" s="483"/>
      <c r="N573" s="484"/>
      <c r="O573" s="690">
        <f>Producción_Agricola[[#This Row],[Superficie]]*Producción_Agricola[[#This Row],[Cantidad]]</f>
        <v>0</v>
      </c>
      <c r="P573" s="482"/>
      <c r="Q573" s="484"/>
      <c r="R573" s="485"/>
      <c r="S57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73" s="695">
        <f>IFERROR(Producción_Agricola[[#This Row],[Económico $Corrientes]]/Producción_Agricola[[#This Row],[Indexación Económico]],0)</f>
        <v>0</v>
      </c>
      <c r="U57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7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73" s="695">
        <f>IFERROR(Producción_Agricola[[#This Row],[Financiero $Corrientes]]/Producción_Agricola[[#This Row],[Indexación Financiero]],0)</f>
        <v>0</v>
      </c>
      <c r="X57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7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73" s="699">
        <f>IFERROR(Producción_Agricola[[#This Row],[Intereses $Corrientes]]/Producción_Agricola[[#This Row],[Indexación Financiero]],0)</f>
        <v>0</v>
      </c>
      <c r="AA57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73" s="701">
        <f>IFERROR(INDEX(Produccion_Agricola_Cuentas[],MATCH(Producción_Agricola[[#This Row],[Cuenta Contable]],Produccion_Agricola_Cuentas[Cuenta Contable],0),2),0)</f>
        <v>0</v>
      </c>
      <c r="AC573" s="702">
        <f>IFERROR(INDEX(Tabla9[],MATCH(Producción_Agricola[[#This Row],[Movimiento]],Tabla9[Movimientos],0),2),0)</f>
        <v>0</v>
      </c>
      <c r="AD573" s="703">
        <f>IFERROR(INDEX(Tabla9[],MATCH(Producción_Agricola[[#This Row],[Movimiento]],Tabla9[Movimientos],0),3),0)</f>
        <v>0</v>
      </c>
      <c r="AE573" s="698">
        <f>IF(Producción_Agricola[[#This Row],[Fecha Económico]]=0,0,MONTH(Producción_Agricola[[#This Row],[Fecha Económico]]))</f>
        <v>0</v>
      </c>
      <c r="AF573" s="699">
        <f>IF(Producción_Agricola[[#This Row],[Fecha Económico]]=0,0,YEAR(Producción_Agricola[[#This Row],[Fecha Económico]]))</f>
        <v>0</v>
      </c>
      <c r="AG573" s="704">
        <f>SUMPRODUCT((Producción_Agricola[[#This Row],[Mes Económico]]=Tipo_Cambio[Mes])*(Producción_Agricola[[#This Row],[Año Económico]]=Tipo_Cambio[Año])*(Tipo_Cambio[$/U$S]))</f>
        <v>0</v>
      </c>
      <c r="AH573" s="703">
        <f>SUMPRODUCT((Producción_Agricola[[#This Row],[Mes Económico]]=Tipo_Cambio[Mes])*(Producción_Agricola[[#This Row],[Año Económico]]=Tipo_Cambio[Año])*(Tipo_Cambio[Actualización]))</f>
        <v>0</v>
      </c>
      <c r="AI573" s="699">
        <f>IF(ISNUMBER(Producción_Agricola[[#This Row],[Fecha Financiero]])=TRUE,MONTH(Producción_Agricola[[#This Row],[Fecha Financiero]]),0)</f>
        <v>0</v>
      </c>
      <c r="AJ573" s="699">
        <f>IF(ISNUMBER(Producción_Agricola[[#This Row],[Fecha Financiero]])=TRUE,YEAR(Producción_Agricola[[#This Row],[Fecha Financiero]]),0)</f>
        <v>0</v>
      </c>
      <c r="AK573" s="704">
        <f>SUMPRODUCT((Producción_Agricola[[#This Row],[Mes Financiero]]=Tipo_Cambio[Mes])*(Producción_Agricola[[#This Row],[Año Financiero]]=Tipo_Cambio[Año])*(Tipo_Cambio[$/U$S]))</f>
        <v>0</v>
      </c>
      <c r="AL573" s="704">
        <f>SUMPRODUCT((Producción_Agricola[[#This Row],[Mes Financiero]]=Tipo_Cambio[Mes])*(Producción_Agricola[[#This Row],[Año Financiero]]=Tipo_Cambio[Año])*(Tipo_Cambio[Actualización]))</f>
        <v>0</v>
      </c>
      <c r="AM573" s="709">
        <f>IFERROR(Producción_Agricola[[#This Row],[Económico $Corrientes]]/Producción_Agricola[[#This Row],[Superficie]],0)</f>
        <v>0</v>
      </c>
      <c r="AN573" s="712">
        <f>IFERROR(Producción_Agricola[[#This Row],[Económico $Constantes]]/Producción_Agricola[[#This Row],[Superficie]],0)</f>
        <v>0</v>
      </c>
      <c r="AO573" s="712">
        <f>IFERROR(Producción_Agricola[[#This Row],[Económico U$S Dólares]]/Producción_Agricola[[#This Row],[Superficie]],0)</f>
        <v>0</v>
      </c>
      <c r="AP573" s="711">
        <f>IF(Económico!$F$4=0,0,Producción_Agricola[[#This Row],[Centro de Costo]])</f>
        <v>0</v>
      </c>
      <c r="AQ573" s="512"/>
      <c r="AR573" s="513"/>
      <c r="AS573"/>
    </row>
    <row r="574" spans="1:45" x14ac:dyDescent="0.25">
      <c r="A574" s="509"/>
      <c r="B574" s="494"/>
      <c r="C574" s="509"/>
      <c r="D574" s="478"/>
      <c r="E574" s="478"/>
      <c r="F574" s="668">
        <f t="shared" si="68"/>
        <v>0</v>
      </c>
      <c r="G574" s="673">
        <f t="shared" si="69"/>
        <v>0</v>
      </c>
      <c r="H574" s="673">
        <f t="shared" si="70"/>
        <v>0</v>
      </c>
      <c r="I574" s="675">
        <f>IFERROR(INDEX(Tabla8[],MATCH(Producción_Agricola[[#This Row],[Unidad de Negocio]],Tabla8[Unidades de Negocio],0),2),0)</f>
        <v>0</v>
      </c>
      <c r="J57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74" s="488"/>
      <c r="L574" s="482"/>
      <c r="M574" s="483"/>
      <c r="N574" s="484"/>
      <c r="O574" s="690">
        <f>Producción_Agricola[[#This Row],[Superficie]]*Producción_Agricola[[#This Row],[Cantidad]]</f>
        <v>0</v>
      </c>
      <c r="P574" s="482"/>
      <c r="Q574" s="484"/>
      <c r="R574" s="485"/>
      <c r="S57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74" s="695">
        <f>IFERROR(Producción_Agricola[[#This Row],[Económico $Corrientes]]/Producción_Agricola[[#This Row],[Indexación Económico]],0)</f>
        <v>0</v>
      </c>
      <c r="U57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7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74" s="695">
        <f>IFERROR(Producción_Agricola[[#This Row],[Financiero $Corrientes]]/Producción_Agricola[[#This Row],[Indexación Financiero]],0)</f>
        <v>0</v>
      </c>
      <c r="X57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7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74" s="699">
        <f>IFERROR(Producción_Agricola[[#This Row],[Intereses $Corrientes]]/Producción_Agricola[[#This Row],[Indexación Financiero]],0)</f>
        <v>0</v>
      </c>
      <c r="AA57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74" s="701">
        <f>IFERROR(INDEX(Produccion_Agricola_Cuentas[],MATCH(Producción_Agricola[[#This Row],[Cuenta Contable]],Produccion_Agricola_Cuentas[Cuenta Contable],0),2),0)</f>
        <v>0</v>
      </c>
      <c r="AC574" s="702">
        <f>IFERROR(INDEX(Tabla9[],MATCH(Producción_Agricola[[#This Row],[Movimiento]],Tabla9[Movimientos],0),2),0)</f>
        <v>0</v>
      </c>
      <c r="AD574" s="703">
        <f>IFERROR(INDEX(Tabla9[],MATCH(Producción_Agricola[[#This Row],[Movimiento]],Tabla9[Movimientos],0),3),0)</f>
        <v>0</v>
      </c>
      <c r="AE574" s="698">
        <f>IF(Producción_Agricola[[#This Row],[Fecha Económico]]=0,0,MONTH(Producción_Agricola[[#This Row],[Fecha Económico]]))</f>
        <v>0</v>
      </c>
      <c r="AF574" s="699">
        <f>IF(Producción_Agricola[[#This Row],[Fecha Económico]]=0,0,YEAR(Producción_Agricola[[#This Row],[Fecha Económico]]))</f>
        <v>0</v>
      </c>
      <c r="AG574" s="704">
        <f>SUMPRODUCT((Producción_Agricola[[#This Row],[Mes Económico]]=Tipo_Cambio[Mes])*(Producción_Agricola[[#This Row],[Año Económico]]=Tipo_Cambio[Año])*(Tipo_Cambio[$/U$S]))</f>
        <v>0</v>
      </c>
      <c r="AH574" s="703">
        <f>SUMPRODUCT((Producción_Agricola[[#This Row],[Mes Económico]]=Tipo_Cambio[Mes])*(Producción_Agricola[[#This Row],[Año Económico]]=Tipo_Cambio[Año])*(Tipo_Cambio[Actualización]))</f>
        <v>0</v>
      </c>
      <c r="AI574" s="699">
        <f>IF(ISNUMBER(Producción_Agricola[[#This Row],[Fecha Financiero]])=TRUE,MONTH(Producción_Agricola[[#This Row],[Fecha Financiero]]),0)</f>
        <v>0</v>
      </c>
      <c r="AJ574" s="699">
        <f>IF(ISNUMBER(Producción_Agricola[[#This Row],[Fecha Financiero]])=TRUE,YEAR(Producción_Agricola[[#This Row],[Fecha Financiero]]),0)</f>
        <v>0</v>
      </c>
      <c r="AK574" s="704">
        <f>SUMPRODUCT((Producción_Agricola[[#This Row],[Mes Financiero]]=Tipo_Cambio[Mes])*(Producción_Agricola[[#This Row],[Año Financiero]]=Tipo_Cambio[Año])*(Tipo_Cambio[$/U$S]))</f>
        <v>0</v>
      </c>
      <c r="AL574" s="704">
        <f>SUMPRODUCT((Producción_Agricola[[#This Row],[Mes Financiero]]=Tipo_Cambio[Mes])*(Producción_Agricola[[#This Row],[Año Financiero]]=Tipo_Cambio[Año])*(Tipo_Cambio[Actualización]))</f>
        <v>0</v>
      </c>
      <c r="AM574" s="709">
        <f>IFERROR(Producción_Agricola[[#This Row],[Económico $Corrientes]]/Producción_Agricola[[#This Row],[Superficie]],0)</f>
        <v>0</v>
      </c>
      <c r="AN574" s="712">
        <f>IFERROR(Producción_Agricola[[#This Row],[Económico $Constantes]]/Producción_Agricola[[#This Row],[Superficie]],0)</f>
        <v>0</v>
      </c>
      <c r="AO574" s="712">
        <f>IFERROR(Producción_Agricola[[#This Row],[Económico U$S Dólares]]/Producción_Agricola[[#This Row],[Superficie]],0)</f>
        <v>0</v>
      </c>
      <c r="AP574" s="711">
        <f>IF(Económico!$F$4=0,0,Producción_Agricola[[#This Row],[Centro de Costo]])</f>
        <v>0</v>
      </c>
      <c r="AQ574" s="512"/>
      <c r="AR574" s="513"/>
      <c r="AS574"/>
    </row>
    <row r="575" spans="1:45" x14ac:dyDescent="0.25">
      <c r="A575" s="509"/>
      <c r="B575" s="494"/>
      <c r="C575" s="509"/>
      <c r="D575" s="478"/>
      <c r="E575" s="478"/>
      <c r="F575" s="668">
        <f t="shared" si="68"/>
        <v>0</v>
      </c>
      <c r="G575" s="673">
        <f t="shared" si="69"/>
        <v>0</v>
      </c>
      <c r="H575" s="673">
        <f t="shared" si="70"/>
        <v>0</v>
      </c>
      <c r="I575" s="675">
        <f>IFERROR(INDEX(Tabla8[],MATCH(Producción_Agricola[[#This Row],[Unidad de Negocio]],Tabla8[Unidades de Negocio],0),2),0)</f>
        <v>0</v>
      </c>
      <c r="J57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75" s="488"/>
      <c r="L575" s="482"/>
      <c r="M575" s="483"/>
      <c r="N575" s="484"/>
      <c r="O575" s="690">
        <f>Producción_Agricola[[#This Row],[Superficie]]*Producción_Agricola[[#This Row],[Cantidad]]</f>
        <v>0</v>
      </c>
      <c r="P575" s="482"/>
      <c r="Q575" s="484"/>
      <c r="R575" s="485"/>
      <c r="S57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75" s="695">
        <f>IFERROR(Producción_Agricola[[#This Row],[Económico $Corrientes]]/Producción_Agricola[[#This Row],[Indexación Económico]],0)</f>
        <v>0</v>
      </c>
      <c r="U57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7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75" s="695">
        <f>IFERROR(Producción_Agricola[[#This Row],[Financiero $Corrientes]]/Producción_Agricola[[#This Row],[Indexación Financiero]],0)</f>
        <v>0</v>
      </c>
      <c r="X57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7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75" s="699">
        <f>IFERROR(Producción_Agricola[[#This Row],[Intereses $Corrientes]]/Producción_Agricola[[#This Row],[Indexación Financiero]],0)</f>
        <v>0</v>
      </c>
      <c r="AA57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75" s="701">
        <f>IFERROR(INDEX(Produccion_Agricola_Cuentas[],MATCH(Producción_Agricola[[#This Row],[Cuenta Contable]],Produccion_Agricola_Cuentas[Cuenta Contable],0),2),0)</f>
        <v>0</v>
      </c>
      <c r="AC575" s="702">
        <f>IFERROR(INDEX(Tabla9[],MATCH(Producción_Agricola[[#This Row],[Movimiento]],Tabla9[Movimientos],0),2),0)</f>
        <v>0</v>
      </c>
      <c r="AD575" s="703">
        <f>IFERROR(INDEX(Tabla9[],MATCH(Producción_Agricola[[#This Row],[Movimiento]],Tabla9[Movimientos],0),3),0)</f>
        <v>0</v>
      </c>
      <c r="AE575" s="698">
        <f>IF(Producción_Agricola[[#This Row],[Fecha Económico]]=0,0,MONTH(Producción_Agricola[[#This Row],[Fecha Económico]]))</f>
        <v>0</v>
      </c>
      <c r="AF575" s="699">
        <f>IF(Producción_Agricola[[#This Row],[Fecha Económico]]=0,0,YEAR(Producción_Agricola[[#This Row],[Fecha Económico]]))</f>
        <v>0</v>
      </c>
      <c r="AG575" s="704">
        <f>SUMPRODUCT((Producción_Agricola[[#This Row],[Mes Económico]]=Tipo_Cambio[Mes])*(Producción_Agricola[[#This Row],[Año Económico]]=Tipo_Cambio[Año])*(Tipo_Cambio[$/U$S]))</f>
        <v>0</v>
      </c>
      <c r="AH575" s="703">
        <f>SUMPRODUCT((Producción_Agricola[[#This Row],[Mes Económico]]=Tipo_Cambio[Mes])*(Producción_Agricola[[#This Row],[Año Económico]]=Tipo_Cambio[Año])*(Tipo_Cambio[Actualización]))</f>
        <v>0</v>
      </c>
      <c r="AI575" s="699">
        <f>IF(ISNUMBER(Producción_Agricola[[#This Row],[Fecha Financiero]])=TRUE,MONTH(Producción_Agricola[[#This Row],[Fecha Financiero]]),0)</f>
        <v>0</v>
      </c>
      <c r="AJ575" s="699">
        <f>IF(ISNUMBER(Producción_Agricola[[#This Row],[Fecha Financiero]])=TRUE,YEAR(Producción_Agricola[[#This Row],[Fecha Financiero]]),0)</f>
        <v>0</v>
      </c>
      <c r="AK575" s="704">
        <f>SUMPRODUCT((Producción_Agricola[[#This Row],[Mes Financiero]]=Tipo_Cambio[Mes])*(Producción_Agricola[[#This Row],[Año Financiero]]=Tipo_Cambio[Año])*(Tipo_Cambio[$/U$S]))</f>
        <v>0</v>
      </c>
      <c r="AL575" s="704">
        <f>SUMPRODUCT((Producción_Agricola[[#This Row],[Mes Financiero]]=Tipo_Cambio[Mes])*(Producción_Agricola[[#This Row],[Año Financiero]]=Tipo_Cambio[Año])*(Tipo_Cambio[Actualización]))</f>
        <v>0</v>
      </c>
      <c r="AM575" s="709">
        <f>IFERROR(Producción_Agricola[[#This Row],[Económico $Corrientes]]/Producción_Agricola[[#This Row],[Superficie]],0)</f>
        <v>0</v>
      </c>
      <c r="AN575" s="712">
        <f>IFERROR(Producción_Agricola[[#This Row],[Económico $Constantes]]/Producción_Agricola[[#This Row],[Superficie]],0)</f>
        <v>0</v>
      </c>
      <c r="AO575" s="712">
        <f>IFERROR(Producción_Agricola[[#This Row],[Económico U$S Dólares]]/Producción_Agricola[[#This Row],[Superficie]],0)</f>
        <v>0</v>
      </c>
      <c r="AP575" s="711">
        <f>IF(Económico!$F$4=0,0,Producción_Agricola[[#This Row],[Centro de Costo]])</f>
        <v>0</v>
      </c>
      <c r="AQ575" s="512"/>
      <c r="AR575" s="513"/>
      <c r="AS575"/>
    </row>
    <row r="576" spans="1:45" x14ac:dyDescent="0.25">
      <c r="A576" s="509"/>
      <c r="B576" s="494"/>
      <c r="C576" s="509"/>
      <c r="D576" s="478"/>
      <c r="E576" s="478"/>
      <c r="F576" s="668">
        <f t="shared" si="68"/>
        <v>0</v>
      </c>
      <c r="G576" s="673">
        <f t="shared" si="69"/>
        <v>0</v>
      </c>
      <c r="H576" s="673">
        <f t="shared" si="70"/>
        <v>0</v>
      </c>
      <c r="I576" s="675">
        <f>IFERROR(INDEX(Tabla8[],MATCH(Producción_Agricola[[#This Row],[Unidad de Negocio]],Tabla8[Unidades de Negocio],0),2),0)</f>
        <v>0</v>
      </c>
      <c r="J57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76" s="488"/>
      <c r="L576" s="482"/>
      <c r="M576" s="483"/>
      <c r="N576" s="484"/>
      <c r="O576" s="690">
        <f>Producción_Agricola[[#This Row],[Superficie]]*Producción_Agricola[[#This Row],[Cantidad]]</f>
        <v>0</v>
      </c>
      <c r="P576" s="482"/>
      <c r="Q576" s="484"/>
      <c r="R576" s="485"/>
      <c r="S57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76" s="695">
        <f>IFERROR(Producción_Agricola[[#This Row],[Económico $Corrientes]]/Producción_Agricola[[#This Row],[Indexación Económico]],0)</f>
        <v>0</v>
      </c>
      <c r="U57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7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76" s="695">
        <f>IFERROR(Producción_Agricola[[#This Row],[Financiero $Corrientes]]/Producción_Agricola[[#This Row],[Indexación Financiero]],0)</f>
        <v>0</v>
      </c>
      <c r="X57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7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76" s="699">
        <f>IFERROR(Producción_Agricola[[#This Row],[Intereses $Corrientes]]/Producción_Agricola[[#This Row],[Indexación Financiero]],0)</f>
        <v>0</v>
      </c>
      <c r="AA57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76" s="701">
        <f>IFERROR(INDEX(Produccion_Agricola_Cuentas[],MATCH(Producción_Agricola[[#This Row],[Cuenta Contable]],Produccion_Agricola_Cuentas[Cuenta Contable],0),2),0)</f>
        <v>0</v>
      </c>
      <c r="AC576" s="702">
        <f>IFERROR(INDEX(Tabla9[],MATCH(Producción_Agricola[[#This Row],[Movimiento]],Tabla9[Movimientos],0),2),0)</f>
        <v>0</v>
      </c>
      <c r="AD576" s="703">
        <f>IFERROR(INDEX(Tabla9[],MATCH(Producción_Agricola[[#This Row],[Movimiento]],Tabla9[Movimientos],0),3),0)</f>
        <v>0</v>
      </c>
      <c r="AE576" s="698">
        <f>IF(Producción_Agricola[[#This Row],[Fecha Económico]]=0,0,MONTH(Producción_Agricola[[#This Row],[Fecha Económico]]))</f>
        <v>0</v>
      </c>
      <c r="AF576" s="699">
        <f>IF(Producción_Agricola[[#This Row],[Fecha Económico]]=0,0,YEAR(Producción_Agricola[[#This Row],[Fecha Económico]]))</f>
        <v>0</v>
      </c>
      <c r="AG576" s="704">
        <f>SUMPRODUCT((Producción_Agricola[[#This Row],[Mes Económico]]=Tipo_Cambio[Mes])*(Producción_Agricola[[#This Row],[Año Económico]]=Tipo_Cambio[Año])*(Tipo_Cambio[$/U$S]))</f>
        <v>0</v>
      </c>
      <c r="AH576" s="703">
        <f>SUMPRODUCT((Producción_Agricola[[#This Row],[Mes Económico]]=Tipo_Cambio[Mes])*(Producción_Agricola[[#This Row],[Año Económico]]=Tipo_Cambio[Año])*(Tipo_Cambio[Actualización]))</f>
        <v>0</v>
      </c>
      <c r="AI576" s="699">
        <f>IF(ISNUMBER(Producción_Agricola[[#This Row],[Fecha Financiero]])=TRUE,MONTH(Producción_Agricola[[#This Row],[Fecha Financiero]]),0)</f>
        <v>0</v>
      </c>
      <c r="AJ576" s="699">
        <f>IF(ISNUMBER(Producción_Agricola[[#This Row],[Fecha Financiero]])=TRUE,YEAR(Producción_Agricola[[#This Row],[Fecha Financiero]]),0)</f>
        <v>0</v>
      </c>
      <c r="AK576" s="704">
        <f>SUMPRODUCT((Producción_Agricola[[#This Row],[Mes Financiero]]=Tipo_Cambio[Mes])*(Producción_Agricola[[#This Row],[Año Financiero]]=Tipo_Cambio[Año])*(Tipo_Cambio[$/U$S]))</f>
        <v>0</v>
      </c>
      <c r="AL576" s="704">
        <f>SUMPRODUCT((Producción_Agricola[[#This Row],[Mes Financiero]]=Tipo_Cambio[Mes])*(Producción_Agricola[[#This Row],[Año Financiero]]=Tipo_Cambio[Año])*(Tipo_Cambio[Actualización]))</f>
        <v>0</v>
      </c>
      <c r="AM576" s="709">
        <f>IFERROR(Producción_Agricola[[#This Row],[Económico $Corrientes]]/Producción_Agricola[[#This Row],[Superficie]],0)</f>
        <v>0</v>
      </c>
      <c r="AN576" s="712">
        <f>IFERROR(Producción_Agricola[[#This Row],[Económico $Constantes]]/Producción_Agricola[[#This Row],[Superficie]],0)</f>
        <v>0</v>
      </c>
      <c r="AO576" s="712">
        <f>IFERROR(Producción_Agricola[[#This Row],[Económico U$S Dólares]]/Producción_Agricola[[#This Row],[Superficie]],0)</f>
        <v>0</v>
      </c>
      <c r="AP576" s="711">
        <f>IF(Económico!$F$4=0,0,Producción_Agricola[[#This Row],[Centro de Costo]])</f>
        <v>0</v>
      </c>
      <c r="AQ576" s="512"/>
      <c r="AR576" s="513"/>
      <c r="AS576"/>
    </row>
    <row r="577" spans="1:45" x14ac:dyDescent="0.25">
      <c r="A577" s="509"/>
      <c r="B577" s="494"/>
      <c r="C577" s="509"/>
      <c r="D577" s="478"/>
      <c r="E577" s="478"/>
      <c r="F577" s="668">
        <f t="shared" si="68"/>
        <v>0</v>
      </c>
      <c r="G577" s="673">
        <f t="shared" si="69"/>
        <v>0</v>
      </c>
      <c r="H577" s="673">
        <f t="shared" si="70"/>
        <v>0</v>
      </c>
      <c r="I577" s="675">
        <f>IFERROR(INDEX(Tabla8[],MATCH(Producción_Agricola[[#This Row],[Unidad de Negocio]],Tabla8[Unidades de Negocio],0),2),0)</f>
        <v>0</v>
      </c>
      <c r="J57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77" s="488"/>
      <c r="L577" s="482"/>
      <c r="M577" s="483"/>
      <c r="N577" s="484"/>
      <c r="O577" s="690">
        <f>Producción_Agricola[[#This Row],[Superficie]]*Producción_Agricola[[#This Row],[Cantidad]]</f>
        <v>0</v>
      </c>
      <c r="P577" s="482"/>
      <c r="Q577" s="484"/>
      <c r="R577" s="485"/>
      <c r="S57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77" s="695">
        <f>IFERROR(Producción_Agricola[[#This Row],[Económico $Corrientes]]/Producción_Agricola[[#This Row],[Indexación Económico]],0)</f>
        <v>0</v>
      </c>
      <c r="U57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7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77" s="695">
        <f>IFERROR(Producción_Agricola[[#This Row],[Financiero $Corrientes]]/Producción_Agricola[[#This Row],[Indexación Financiero]],0)</f>
        <v>0</v>
      </c>
      <c r="X57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7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77" s="699">
        <f>IFERROR(Producción_Agricola[[#This Row],[Intereses $Corrientes]]/Producción_Agricola[[#This Row],[Indexación Financiero]],0)</f>
        <v>0</v>
      </c>
      <c r="AA57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77" s="701">
        <f>IFERROR(INDEX(Produccion_Agricola_Cuentas[],MATCH(Producción_Agricola[[#This Row],[Cuenta Contable]],Produccion_Agricola_Cuentas[Cuenta Contable],0),2),0)</f>
        <v>0</v>
      </c>
      <c r="AC577" s="702">
        <f>IFERROR(INDEX(Tabla9[],MATCH(Producción_Agricola[[#This Row],[Movimiento]],Tabla9[Movimientos],0),2),0)</f>
        <v>0</v>
      </c>
      <c r="AD577" s="703">
        <f>IFERROR(INDEX(Tabla9[],MATCH(Producción_Agricola[[#This Row],[Movimiento]],Tabla9[Movimientos],0),3),0)</f>
        <v>0</v>
      </c>
      <c r="AE577" s="698">
        <f>IF(Producción_Agricola[[#This Row],[Fecha Económico]]=0,0,MONTH(Producción_Agricola[[#This Row],[Fecha Económico]]))</f>
        <v>0</v>
      </c>
      <c r="AF577" s="699">
        <f>IF(Producción_Agricola[[#This Row],[Fecha Económico]]=0,0,YEAR(Producción_Agricola[[#This Row],[Fecha Económico]]))</f>
        <v>0</v>
      </c>
      <c r="AG577" s="704">
        <f>SUMPRODUCT((Producción_Agricola[[#This Row],[Mes Económico]]=Tipo_Cambio[Mes])*(Producción_Agricola[[#This Row],[Año Económico]]=Tipo_Cambio[Año])*(Tipo_Cambio[$/U$S]))</f>
        <v>0</v>
      </c>
      <c r="AH577" s="703">
        <f>SUMPRODUCT((Producción_Agricola[[#This Row],[Mes Económico]]=Tipo_Cambio[Mes])*(Producción_Agricola[[#This Row],[Año Económico]]=Tipo_Cambio[Año])*(Tipo_Cambio[Actualización]))</f>
        <v>0</v>
      </c>
      <c r="AI577" s="699">
        <f>IF(ISNUMBER(Producción_Agricola[[#This Row],[Fecha Financiero]])=TRUE,MONTH(Producción_Agricola[[#This Row],[Fecha Financiero]]),0)</f>
        <v>0</v>
      </c>
      <c r="AJ577" s="699">
        <f>IF(ISNUMBER(Producción_Agricola[[#This Row],[Fecha Financiero]])=TRUE,YEAR(Producción_Agricola[[#This Row],[Fecha Financiero]]),0)</f>
        <v>0</v>
      </c>
      <c r="AK577" s="704">
        <f>SUMPRODUCT((Producción_Agricola[[#This Row],[Mes Financiero]]=Tipo_Cambio[Mes])*(Producción_Agricola[[#This Row],[Año Financiero]]=Tipo_Cambio[Año])*(Tipo_Cambio[$/U$S]))</f>
        <v>0</v>
      </c>
      <c r="AL577" s="704">
        <f>SUMPRODUCT((Producción_Agricola[[#This Row],[Mes Financiero]]=Tipo_Cambio[Mes])*(Producción_Agricola[[#This Row],[Año Financiero]]=Tipo_Cambio[Año])*(Tipo_Cambio[Actualización]))</f>
        <v>0</v>
      </c>
      <c r="AM577" s="709">
        <f>IFERROR(Producción_Agricola[[#This Row],[Económico $Corrientes]]/Producción_Agricola[[#This Row],[Superficie]],0)</f>
        <v>0</v>
      </c>
      <c r="AN577" s="712">
        <f>IFERROR(Producción_Agricola[[#This Row],[Económico $Constantes]]/Producción_Agricola[[#This Row],[Superficie]],0)</f>
        <v>0</v>
      </c>
      <c r="AO577" s="712">
        <f>IFERROR(Producción_Agricola[[#This Row],[Económico U$S Dólares]]/Producción_Agricola[[#This Row],[Superficie]],0)</f>
        <v>0</v>
      </c>
      <c r="AP577" s="711">
        <f>IF(Económico!$F$4=0,0,Producción_Agricola[[#This Row],[Centro de Costo]])</f>
        <v>0</v>
      </c>
      <c r="AQ577" s="512"/>
      <c r="AR577" s="513"/>
      <c r="AS577"/>
    </row>
    <row r="578" spans="1:45" x14ac:dyDescent="0.25">
      <c r="A578" s="509"/>
      <c r="B578" s="494"/>
      <c r="C578" s="509"/>
      <c r="D578" s="478"/>
      <c r="E578" s="478"/>
      <c r="F578" s="668">
        <f t="shared" si="68"/>
        <v>0</v>
      </c>
      <c r="G578" s="673">
        <f t="shared" si="69"/>
        <v>0</v>
      </c>
      <c r="H578" s="673">
        <f t="shared" si="70"/>
        <v>0</v>
      </c>
      <c r="I578" s="675">
        <f>IFERROR(INDEX(Tabla8[],MATCH(Producción_Agricola[[#This Row],[Unidad de Negocio]],Tabla8[Unidades de Negocio],0),2),0)</f>
        <v>0</v>
      </c>
      <c r="J57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78" s="488"/>
      <c r="L578" s="482"/>
      <c r="M578" s="483"/>
      <c r="N578" s="484"/>
      <c r="O578" s="690">
        <f>Producción_Agricola[[#This Row],[Superficie]]*Producción_Agricola[[#This Row],[Cantidad]]</f>
        <v>0</v>
      </c>
      <c r="P578" s="482"/>
      <c r="Q578" s="484"/>
      <c r="R578" s="485"/>
      <c r="S57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78" s="695">
        <f>IFERROR(Producción_Agricola[[#This Row],[Económico $Corrientes]]/Producción_Agricola[[#This Row],[Indexación Económico]],0)</f>
        <v>0</v>
      </c>
      <c r="U57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7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78" s="695">
        <f>IFERROR(Producción_Agricola[[#This Row],[Financiero $Corrientes]]/Producción_Agricola[[#This Row],[Indexación Financiero]],0)</f>
        <v>0</v>
      </c>
      <c r="X57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7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78" s="699">
        <f>IFERROR(Producción_Agricola[[#This Row],[Intereses $Corrientes]]/Producción_Agricola[[#This Row],[Indexación Financiero]],0)</f>
        <v>0</v>
      </c>
      <c r="AA57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78" s="701">
        <f>IFERROR(INDEX(Produccion_Agricola_Cuentas[],MATCH(Producción_Agricola[[#This Row],[Cuenta Contable]],Produccion_Agricola_Cuentas[Cuenta Contable],0),2),0)</f>
        <v>0</v>
      </c>
      <c r="AC578" s="702">
        <f>IFERROR(INDEX(Tabla9[],MATCH(Producción_Agricola[[#This Row],[Movimiento]],Tabla9[Movimientos],0),2),0)</f>
        <v>0</v>
      </c>
      <c r="AD578" s="703">
        <f>IFERROR(INDEX(Tabla9[],MATCH(Producción_Agricola[[#This Row],[Movimiento]],Tabla9[Movimientos],0),3),0)</f>
        <v>0</v>
      </c>
      <c r="AE578" s="698">
        <f>IF(Producción_Agricola[[#This Row],[Fecha Económico]]=0,0,MONTH(Producción_Agricola[[#This Row],[Fecha Económico]]))</f>
        <v>0</v>
      </c>
      <c r="AF578" s="699">
        <f>IF(Producción_Agricola[[#This Row],[Fecha Económico]]=0,0,YEAR(Producción_Agricola[[#This Row],[Fecha Económico]]))</f>
        <v>0</v>
      </c>
      <c r="AG578" s="704">
        <f>SUMPRODUCT((Producción_Agricola[[#This Row],[Mes Económico]]=Tipo_Cambio[Mes])*(Producción_Agricola[[#This Row],[Año Económico]]=Tipo_Cambio[Año])*(Tipo_Cambio[$/U$S]))</f>
        <v>0</v>
      </c>
      <c r="AH578" s="703">
        <f>SUMPRODUCT((Producción_Agricola[[#This Row],[Mes Económico]]=Tipo_Cambio[Mes])*(Producción_Agricola[[#This Row],[Año Económico]]=Tipo_Cambio[Año])*(Tipo_Cambio[Actualización]))</f>
        <v>0</v>
      </c>
      <c r="AI578" s="699">
        <f>IF(ISNUMBER(Producción_Agricola[[#This Row],[Fecha Financiero]])=TRUE,MONTH(Producción_Agricola[[#This Row],[Fecha Financiero]]),0)</f>
        <v>0</v>
      </c>
      <c r="AJ578" s="699">
        <f>IF(ISNUMBER(Producción_Agricola[[#This Row],[Fecha Financiero]])=TRUE,YEAR(Producción_Agricola[[#This Row],[Fecha Financiero]]),0)</f>
        <v>0</v>
      </c>
      <c r="AK578" s="704">
        <f>SUMPRODUCT((Producción_Agricola[[#This Row],[Mes Financiero]]=Tipo_Cambio[Mes])*(Producción_Agricola[[#This Row],[Año Financiero]]=Tipo_Cambio[Año])*(Tipo_Cambio[$/U$S]))</f>
        <v>0</v>
      </c>
      <c r="AL578" s="704">
        <f>SUMPRODUCT((Producción_Agricola[[#This Row],[Mes Financiero]]=Tipo_Cambio[Mes])*(Producción_Agricola[[#This Row],[Año Financiero]]=Tipo_Cambio[Año])*(Tipo_Cambio[Actualización]))</f>
        <v>0</v>
      </c>
      <c r="AM578" s="709">
        <f>IFERROR(Producción_Agricola[[#This Row],[Económico $Corrientes]]/Producción_Agricola[[#This Row],[Superficie]],0)</f>
        <v>0</v>
      </c>
      <c r="AN578" s="712">
        <f>IFERROR(Producción_Agricola[[#This Row],[Económico $Constantes]]/Producción_Agricola[[#This Row],[Superficie]],0)</f>
        <v>0</v>
      </c>
      <c r="AO578" s="712">
        <f>IFERROR(Producción_Agricola[[#This Row],[Económico U$S Dólares]]/Producción_Agricola[[#This Row],[Superficie]],0)</f>
        <v>0</v>
      </c>
      <c r="AP578" s="711">
        <f>IF(Económico!$F$4=0,0,Producción_Agricola[[#This Row],[Centro de Costo]])</f>
        <v>0</v>
      </c>
      <c r="AQ578" s="512"/>
      <c r="AR578" s="513"/>
      <c r="AS578"/>
    </row>
    <row r="579" spans="1:45" x14ac:dyDescent="0.25">
      <c r="A579" s="509"/>
      <c r="B579" s="494"/>
      <c r="C579" s="509"/>
      <c r="D579" s="478"/>
      <c r="E579" s="478"/>
      <c r="F579" s="668">
        <f t="shared" si="68"/>
        <v>0</v>
      </c>
      <c r="G579" s="673">
        <f t="shared" si="69"/>
        <v>0</v>
      </c>
      <c r="H579" s="673">
        <f t="shared" si="70"/>
        <v>0</v>
      </c>
      <c r="I579" s="675">
        <f>IFERROR(INDEX(Tabla8[],MATCH(Producción_Agricola[[#This Row],[Unidad de Negocio]],Tabla8[Unidades de Negocio],0),2),0)</f>
        <v>0</v>
      </c>
      <c r="J57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79" s="488"/>
      <c r="L579" s="482"/>
      <c r="M579" s="483"/>
      <c r="N579" s="484"/>
      <c r="O579" s="690">
        <f>Producción_Agricola[[#This Row],[Superficie]]*Producción_Agricola[[#This Row],[Cantidad]]</f>
        <v>0</v>
      </c>
      <c r="P579" s="482"/>
      <c r="Q579" s="484"/>
      <c r="R579" s="485"/>
      <c r="S57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79" s="695">
        <f>IFERROR(Producción_Agricola[[#This Row],[Económico $Corrientes]]/Producción_Agricola[[#This Row],[Indexación Económico]],0)</f>
        <v>0</v>
      </c>
      <c r="U57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7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79" s="695">
        <f>IFERROR(Producción_Agricola[[#This Row],[Financiero $Corrientes]]/Producción_Agricola[[#This Row],[Indexación Financiero]],0)</f>
        <v>0</v>
      </c>
      <c r="X57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7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79" s="699">
        <f>IFERROR(Producción_Agricola[[#This Row],[Intereses $Corrientes]]/Producción_Agricola[[#This Row],[Indexación Financiero]],0)</f>
        <v>0</v>
      </c>
      <c r="AA57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79" s="701">
        <f>IFERROR(INDEX(Produccion_Agricola_Cuentas[],MATCH(Producción_Agricola[[#This Row],[Cuenta Contable]],Produccion_Agricola_Cuentas[Cuenta Contable],0),2),0)</f>
        <v>0</v>
      </c>
      <c r="AC579" s="702">
        <f>IFERROR(INDEX(Tabla9[],MATCH(Producción_Agricola[[#This Row],[Movimiento]],Tabla9[Movimientos],0),2),0)</f>
        <v>0</v>
      </c>
      <c r="AD579" s="703">
        <f>IFERROR(INDEX(Tabla9[],MATCH(Producción_Agricola[[#This Row],[Movimiento]],Tabla9[Movimientos],0),3),0)</f>
        <v>0</v>
      </c>
      <c r="AE579" s="698">
        <f>IF(Producción_Agricola[[#This Row],[Fecha Económico]]=0,0,MONTH(Producción_Agricola[[#This Row],[Fecha Económico]]))</f>
        <v>0</v>
      </c>
      <c r="AF579" s="699">
        <f>IF(Producción_Agricola[[#This Row],[Fecha Económico]]=0,0,YEAR(Producción_Agricola[[#This Row],[Fecha Económico]]))</f>
        <v>0</v>
      </c>
      <c r="AG579" s="704">
        <f>SUMPRODUCT((Producción_Agricola[[#This Row],[Mes Económico]]=Tipo_Cambio[Mes])*(Producción_Agricola[[#This Row],[Año Económico]]=Tipo_Cambio[Año])*(Tipo_Cambio[$/U$S]))</f>
        <v>0</v>
      </c>
      <c r="AH579" s="703">
        <f>SUMPRODUCT((Producción_Agricola[[#This Row],[Mes Económico]]=Tipo_Cambio[Mes])*(Producción_Agricola[[#This Row],[Año Económico]]=Tipo_Cambio[Año])*(Tipo_Cambio[Actualización]))</f>
        <v>0</v>
      </c>
      <c r="AI579" s="699">
        <f>IF(ISNUMBER(Producción_Agricola[[#This Row],[Fecha Financiero]])=TRUE,MONTH(Producción_Agricola[[#This Row],[Fecha Financiero]]),0)</f>
        <v>0</v>
      </c>
      <c r="AJ579" s="699">
        <f>IF(ISNUMBER(Producción_Agricola[[#This Row],[Fecha Financiero]])=TRUE,YEAR(Producción_Agricola[[#This Row],[Fecha Financiero]]),0)</f>
        <v>0</v>
      </c>
      <c r="AK579" s="704">
        <f>SUMPRODUCT((Producción_Agricola[[#This Row],[Mes Financiero]]=Tipo_Cambio[Mes])*(Producción_Agricola[[#This Row],[Año Financiero]]=Tipo_Cambio[Año])*(Tipo_Cambio[$/U$S]))</f>
        <v>0</v>
      </c>
      <c r="AL579" s="704">
        <f>SUMPRODUCT((Producción_Agricola[[#This Row],[Mes Financiero]]=Tipo_Cambio[Mes])*(Producción_Agricola[[#This Row],[Año Financiero]]=Tipo_Cambio[Año])*(Tipo_Cambio[Actualización]))</f>
        <v>0</v>
      </c>
      <c r="AM579" s="709">
        <f>IFERROR(Producción_Agricola[[#This Row],[Económico $Corrientes]]/Producción_Agricola[[#This Row],[Superficie]],0)</f>
        <v>0</v>
      </c>
      <c r="AN579" s="712">
        <f>IFERROR(Producción_Agricola[[#This Row],[Económico $Constantes]]/Producción_Agricola[[#This Row],[Superficie]],0)</f>
        <v>0</v>
      </c>
      <c r="AO579" s="712">
        <f>IFERROR(Producción_Agricola[[#This Row],[Económico U$S Dólares]]/Producción_Agricola[[#This Row],[Superficie]],0)</f>
        <v>0</v>
      </c>
      <c r="AP579" s="711">
        <f>IF(Económico!$F$4=0,0,Producción_Agricola[[#This Row],[Centro de Costo]])</f>
        <v>0</v>
      </c>
      <c r="AQ579" s="512"/>
      <c r="AR579" s="513"/>
      <c r="AS579"/>
    </row>
    <row r="580" spans="1:45" x14ac:dyDescent="0.25">
      <c r="A580" s="509"/>
      <c r="B580" s="494"/>
      <c r="C580" s="509"/>
      <c r="D580" s="478"/>
      <c r="E580" s="478"/>
      <c r="F580" s="668">
        <f t="shared" si="68"/>
        <v>0</v>
      </c>
      <c r="G580" s="673">
        <f t="shared" si="69"/>
        <v>0</v>
      </c>
      <c r="H580" s="673">
        <f t="shared" si="70"/>
        <v>0</v>
      </c>
      <c r="I580" s="675">
        <f>IFERROR(INDEX(Tabla8[],MATCH(Producción_Agricola[[#This Row],[Unidad de Negocio]],Tabla8[Unidades de Negocio],0),2),0)</f>
        <v>0</v>
      </c>
      <c r="J58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80" s="488"/>
      <c r="L580" s="482"/>
      <c r="M580" s="483"/>
      <c r="N580" s="484"/>
      <c r="O580" s="690">
        <f>Producción_Agricola[[#This Row],[Superficie]]*Producción_Agricola[[#This Row],[Cantidad]]</f>
        <v>0</v>
      </c>
      <c r="P580" s="482"/>
      <c r="Q580" s="484"/>
      <c r="R580" s="485"/>
      <c r="S58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80" s="695">
        <f>IFERROR(Producción_Agricola[[#This Row],[Económico $Corrientes]]/Producción_Agricola[[#This Row],[Indexación Económico]],0)</f>
        <v>0</v>
      </c>
      <c r="U58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8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80" s="695">
        <f>IFERROR(Producción_Agricola[[#This Row],[Financiero $Corrientes]]/Producción_Agricola[[#This Row],[Indexación Financiero]],0)</f>
        <v>0</v>
      </c>
      <c r="X58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8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80" s="699">
        <f>IFERROR(Producción_Agricola[[#This Row],[Intereses $Corrientes]]/Producción_Agricola[[#This Row],[Indexación Financiero]],0)</f>
        <v>0</v>
      </c>
      <c r="AA58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80" s="701">
        <f>IFERROR(INDEX(Produccion_Agricola_Cuentas[],MATCH(Producción_Agricola[[#This Row],[Cuenta Contable]],Produccion_Agricola_Cuentas[Cuenta Contable],0),2),0)</f>
        <v>0</v>
      </c>
      <c r="AC580" s="702">
        <f>IFERROR(INDEX(Tabla9[],MATCH(Producción_Agricola[[#This Row],[Movimiento]],Tabla9[Movimientos],0),2),0)</f>
        <v>0</v>
      </c>
      <c r="AD580" s="703">
        <f>IFERROR(INDEX(Tabla9[],MATCH(Producción_Agricola[[#This Row],[Movimiento]],Tabla9[Movimientos],0),3),0)</f>
        <v>0</v>
      </c>
      <c r="AE580" s="698">
        <f>IF(Producción_Agricola[[#This Row],[Fecha Económico]]=0,0,MONTH(Producción_Agricola[[#This Row],[Fecha Económico]]))</f>
        <v>0</v>
      </c>
      <c r="AF580" s="699">
        <f>IF(Producción_Agricola[[#This Row],[Fecha Económico]]=0,0,YEAR(Producción_Agricola[[#This Row],[Fecha Económico]]))</f>
        <v>0</v>
      </c>
      <c r="AG580" s="704">
        <f>SUMPRODUCT((Producción_Agricola[[#This Row],[Mes Económico]]=Tipo_Cambio[Mes])*(Producción_Agricola[[#This Row],[Año Económico]]=Tipo_Cambio[Año])*(Tipo_Cambio[$/U$S]))</f>
        <v>0</v>
      </c>
      <c r="AH580" s="703">
        <f>SUMPRODUCT((Producción_Agricola[[#This Row],[Mes Económico]]=Tipo_Cambio[Mes])*(Producción_Agricola[[#This Row],[Año Económico]]=Tipo_Cambio[Año])*(Tipo_Cambio[Actualización]))</f>
        <v>0</v>
      </c>
      <c r="AI580" s="699">
        <f>IF(ISNUMBER(Producción_Agricola[[#This Row],[Fecha Financiero]])=TRUE,MONTH(Producción_Agricola[[#This Row],[Fecha Financiero]]),0)</f>
        <v>0</v>
      </c>
      <c r="AJ580" s="699">
        <f>IF(ISNUMBER(Producción_Agricola[[#This Row],[Fecha Financiero]])=TRUE,YEAR(Producción_Agricola[[#This Row],[Fecha Financiero]]),0)</f>
        <v>0</v>
      </c>
      <c r="AK580" s="704">
        <f>SUMPRODUCT((Producción_Agricola[[#This Row],[Mes Financiero]]=Tipo_Cambio[Mes])*(Producción_Agricola[[#This Row],[Año Financiero]]=Tipo_Cambio[Año])*(Tipo_Cambio[$/U$S]))</f>
        <v>0</v>
      </c>
      <c r="AL580" s="704">
        <f>SUMPRODUCT((Producción_Agricola[[#This Row],[Mes Financiero]]=Tipo_Cambio[Mes])*(Producción_Agricola[[#This Row],[Año Financiero]]=Tipo_Cambio[Año])*(Tipo_Cambio[Actualización]))</f>
        <v>0</v>
      </c>
      <c r="AM580" s="709">
        <f>IFERROR(Producción_Agricola[[#This Row],[Económico $Corrientes]]/Producción_Agricola[[#This Row],[Superficie]],0)</f>
        <v>0</v>
      </c>
      <c r="AN580" s="712">
        <f>IFERROR(Producción_Agricola[[#This Row],[Económico $Constantes]]/Producción_Agricola[[#This Row],[Superficie]],0)</f>
        <v>0</v>
      </c>
      <c r="AO580" s="712">
        <f>IFERROR(Producción_Agricola[[#This Row],[Económico U$S Dólares]]/Producción_Agricola[[#This Row],[Superficie]],0)</f>
        <v>0</v>
      </c>
      <c r="AP580" s="711">
        <f>IF(Económico!$F$4=0,0,Producción_Agricola[[#This Row],[Centro de Costo]])</f>
        <v>0</v>
      </c>
      <c r="AQ580" s="512"/>
      <c r="AR580" s="513"/>
      <c r="AS580"/>
    </row>
    <row r="581" spans="1:45" x14ac:dyDescent="0.25">
      <c r="A581" s="509"/>
      <c r="B581" s="494"/>
      <c r="C581" s="509"/>
      <c r="D581" s="478"/>
      <c r="E581" s="478"/>
      <c r="F581" s="668">
        <f t="shared" si="68"/>
        <v>0</v>
      </c>
      <c r="G581" s="673">
        <f t="shared" si="69"/>
        <v>0</v>
      </c>
      <c r="H581" s="673">
        <f t="shared" si="70"/>
        <v>0</v>
      </c>
      <c r="I581" s="675">
        <f>IFERROR(INDEX(Tabla8[],MATCH(Producción_Agricola[[#This Row],[Unidad de Negocio]],Tabla8[Unidades de Negocio],0),2),0)</f>
        <v>0</v>
      </c>
      <c r="J58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81" s="488"/>
      <c r="L581" s="482"/>
      <c r="M581" s="483"/>
      <c r="N581" s="484"/>
      <c r="O581" s="690">
        <f>Producción_Agricola[[#This Row],[Superficie]]*Producción_Agricola[[#This Row],[Cantidad]]</f>
        <v>0</v>
      </c>
      <c r="P581" s="482"/>
      <c r="Q581" s="484"/>
      <c r="R581" s="485"/>
      <c r="S58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81" s="695">
        <f>IFERROR(Producción_Agricola[[#This Row],[Económico $Corrientes]]/Producción_Agricola[[#This Row],[Indexación Económico]],0)</f>
        <v>0</v>
      </c>
      <c r="U58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8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81" s="695">
        <f>IFERROR(Producción_Agricola[[#This Row],[Financiero $Corrientes]]/Producción_Agricola[[#This Row],[Indexación Financiero]],0)</f>
        <v>0</v>
      </c>
      <c r="X58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8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81" s="699">
        <f>IFERROR(Producción_Agricola[[#This Row],[Intereses $Corrientes]]/Producción_Agricola[[#This Row],[Indexación Financiero]],0)</f>
        <v>0</v>
      </c>
      <c r="AA58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81" s="701">
        <f>IFERROR(INDEX(Produccion_Agricola_Cuentas[],MATCH(Producción_Agricola[[#This Row],[Cuenta Contable]],Produccion_Agricola_Cuentas[Cuenta Contable],0),2),0)</f>
        <v>0</v>
      </c>
      <c r="AC581" s="702">
        <f>IFERROR(INDEX(Tabla9[],MATCH(Producción_Agricola[[#This Row],[Movimiento]],Tabla9[Movimientos],0),2),0)</f>
        <v>0</v>
      </c>
      <c r="AD581" s="703">
        <f>IFERROR(INDEX(Tabla9[],MATCH(Producción_Agricola[[#This Row],[Movimiento]],Tabla9[Movimientos],0),3),0)</f>
        <v>0</v>
      </c>
      <c r="AE581" s="698">
        <f>IF(Producción_Agricola[[#This Row],[Fecha Económico]]=0,0,MONTH(Producción_Agricola[[#This Row],[Fecha Económico]]))</f>
        <v>0</v>
      </c>
      <c r="AF581" s="699">
        <f>IF(Producción_Agricola[[#This Row],[Fecha Económico]]=0,0,YEAR(Producción_Agricola[[#This Row],[Fecha Económico]]))</f>
        <v>0</v>
      </c>
      <c r="AG581" s="704">
        <f>SUMPRODUCT((Producción_Agricola[[#This Row],[Mes Económico]]=Tipo_Cambio[Mes])*(Producción_Agricola[[#This Row],[Año Económico]]=Tipo_Cambio[Año])*(Tipo_Cambio[$/U$S]))</f>
        <v>0</v>
      </c>
      <c r="AH581" s="703">
        <f>SUMPRODUCT((Producción_Agricola[[#This Row],[Mes Económico]]=Tipo_Cambio[Mes])*(Producción_Agricola[[#This Row],[Año Económico]]=Tipo_Cambio[Año])*(Tipo_Cambio[Actualización]))</f>
        <v>0</v>
      </c>
      <c r="AI581" s="699">
        <f>IF(ISNUMBER(Producción_Agricola[[#This Row],[Fecha Financiero]])=TRUE,MONTH(Producción_Agricola[[#This Row],[Fecha Financiero]]),0)</f>
        <v>0</v>
      </c>
      <c r="AJ581" s="699">
        <f>IF(ISNUMBER(Producción_Agricola[[#This Row],[Fecha Financiero]])=TRUE,YEAR(Producción_Agricola[[#This Row],[Fecha Financiero]]),0)</f>
        <v>0</v>
      </c>
      <c r="AK581" s="704">
        <f>SUMPRODUCT((Producción_Agricola[[#This Row],[Mes Financiero]]=Tipo_Cambio[Mes])*(Producción_Agricola[[#This Row],[Año Financiero]]=Tipo_Cambio[Año])*(Tipo_Cambio[$/U$S]))</f>
        <v>0</v>
      </c>
      <c r="AL581" s="704">
        <f>SUMPRODUCT((Producción_Agricola[[#This Row],[Mes Financiero]]=Tipo_Cambio[Mes])*(Producción_Agricola[[#This Row],[Año Financiero]]=Tipo_Cambio[Año])*(Tipo_Cambio[Actualización]))</f>
        <v>0</v>
      </c>
      <c r="AM581" s="709">
        <f>IFERROR(Producción_Agricola[[#This Row],[Económico $Corrientes]]/Producción_Agricola[[#This Row],[Superficie]],0)</f>
        <v>0</v>
      </c>
      <c r="AN581" s="712">
        <f>IFERROR(Producción_Agricola[[#This Row],[Económico $Constantes]]/Producción_Agricola[[#This Row],[Superficie]],0)</f>
        <v>0</v>
      </c>
      <c r="AO581" s="712">
        <f>IFERROR(Producción_Agricola[[#This Row],[Económico U$S Dólares]]/Producción_Agricola[[#This Row],[Superficie]],0)</f>
        <v>0</v>
      </c>
      <c r="AP581" s="711">
        <f>IF(Económico!$F$4=0,0,Producción_Agricola[[#This Row],[Centro de Costo]])</f>
        <v>0</v>
      </c>
      <c r="AQ581" s="512"/>
      <c r="AR581" s="513"/>
      <c r="AS581"/>
    </row>
    <row r="582" spans="1:45" x14ac:dyDescent="0.25">
      <c r="A582" s="509"/>
      <c r="B582" s="494"/>
      <c r="C582" s="509"/>
      <c r="D582" s="478"/>
      <c r="E582" s="478"/>
      <c r="F582" s="668">
        <f t="shared" si="68"/>
        <v>0</v>
      </c>
      <c r="G582" s="673">
        <f t="shared" si="69"/>
        <v>0</v>
      </c>
      <c r="H582" s="673">
        <f t="shared" si="70"/>
        <v>0</v>
      </c>
      <c r="I582" s="675">
        <f>IFERROR(INDEX(Tabla8[],MATCH(Producción_Agricola[[#This Row],[Unidad de Negocio]],Tabla8[Unidades de Negocio],0),2),0)</f>
        <v>0</v>
      </c>
      <c r="J58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82" s="488"/>
      <c r="L582" s="482"/>
      <c r="M582" s="483"/>
      <c r="N582" s="484"/>
      <c r="O582" s="690">
        <f>Producción_Agricola[[#This Row],[Superficie]]*Producción_Agricola[[#This Row],[Cantidad]]</f>
        <v>0</v>
      </c>
      <c r="P582" s="482"/>
      <c r="Q582" s="484"/>
      <c r="R582" s="485"/>
      <c r="S58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82" s="695">
        <f>IFERROR(Producción_Agricola[[#This Row],[Económico $Corrientes]]/Producción_Agricola[[#This Row],[Indexación Económico]],0)</f>
        <v>0</v>
      </c>
      <c r="U58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8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82" s="695">
        <f>IFERROR(Producción_Agricola[[#This Row],[Financiero $Corrientes]]/Producción_Agricola[[#This Row],[Indexación Financiero]],0)</f>
        <v>0</v>
      </c>
      <c r="X58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8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82" s="699">
        <f>IFERROR(Producción_Agricola[[#This Row],[Intereses $Corrientes]]/Producción_Agricola[[#This Row],[Indexación Financiero]],0)</f>
        <v>0</v>
      </c>
      <c r="AA58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82" s="701">
        <f>IFERROR(INDEX(Produccion_Agricola_Cuentas[],MATCH(Producción_Agricola[[#This Row],[Cuenta Contable]],Produccion_Agricola_Cuentas[Cuenta Contable],0),2),0)</f>
        <v>0</v>
      </c>
      <c r="AC582" s="702">
        <f>IFERROR(INDEX(Tabla9[],MATCH(Producción_Agricola[[#This Row],[Movimiento]],Tabla9[Movimientos],0),2),0)</f>
        <v>0</v>
      </c>
      <c r="AD582" s="703">
        <f>IFERROR(INDEX(Tabla9[],MATCH(Producción_Agricola[[#This Row],[Movimiento]],Tabla9[Movimientos],0),3),0)</f>
        <v>0</v>
      </c>
      <c r="AE582" s="698">
        <f>IF(Producción_Agricola[[#This Row],[Fecha Económico]]=0,0,MONTH(Producción_Agricola[[#This Row],[Fecha Económico]]))</f>
        <v>0</v>
      </c>
      <c r="AF582" s="699">
        <f>IF(Producción_Agricola[[#This Row],[Fecha Económico]]=0,0,YEAR(Producción_Agricola[[#This Row],[Fecha Económico]]))</f>
        <v>0</v>
      </c>
      <c r="AG582" s="704">
        <f>SUMPRODUCT((Producción_Agricola[[#This Row],[Mes Económico]]=Tipo_Cambio[Mes])*(Producción_Agricola[[#This Row],[Año Económico]]=Tipo_Cambio[Año])*(Tipo_Cambio[$/U$S]))</f>
        <v>0</v>
      </c>
      <c r="AH582" s="703">
        <f>SUMPRODUCT((Producción_Agricola[[#This Row],[Mes Económico]]=Tipo_Cambio[Mes])*(Producción_Agricola[[#This Row],[Año Económico]]=Tipo_Cambio[Año])*(Tipo_Cambio[Actualización]))</f>
        <v>0</v>
      </c>
      <c r="AI582" s="699">
        <f>IF(ISNUMBER(Producción_Agricola[[#This Row],[Fecha Financiero]])=TRUE,MONTH(Producción_Agricola[[#This Row],[Fecha Financiero]]),0)</f>
        <v>0</v>
      </c>
      <c r="AJ582" s="699">
        <f>IF(ISNUMBER(Producción_Agricola[[#This Row],[Fecha Financiero]])=TRUE,YEAR(Producción_Agricola[[#This Row],[Fecha Financiero]]),0)</f>
        <v>0</v>
      </c>
      <c r="AK582" s="704">
        <f>SUMPRODUCT((Producción_Agricola[[#This Row],[Mes Financiero]]=Tipo_Cambio[Mes])*(Producción_Agricola[[#This Row],[Año Financiero]]=Tipo_Cambio[Año])*(Tipo_Cambio[$/U$S]))</f>
        <v>0</v>
      </c>
      <c r="AL582" s="704">
        <f>SUMPRODUCT((Producción_Agricola[[#This Row],[Mes Financiero]]=Tipo_Cambio[Mes])*(Producción_Agricola[[#This Row],[Año Financiero]]=Tipo_Cambio[Año])*(Tipo_Cambio[Actualización]))</f>
        <v>0</v>
      </c>
      <c r="AM582" s="709">
        <f>IFERROR(Producción_Agricola[[#This Row],[Económico $Corrientes]]/Producción_Agricola[[#This Row],[Superficie]],0)</f>
        <v>0</v>
      </c>
      <c r="AN582" s="712">
        <f>IFERROR(Producción_Agricola[[#This Row],[Económico $Constantes]]/Producción_Agricola[[#This Row],[Superficie]],0)</f>
        <v>0</v>
      </c>
      <c r="AO582" s="712">
        <f>IFERROR(Producción_Agricola[[#This Row],[Económico U$S Dólares]]/Producción_Agricola[[#This Row],[Superficie]],0)</f>
        <v>0</v>
      </c>
      <c r="AP582" s="711">
        <f>IF(Económico!$F$4=0,0,Producción_Agricola[[#This Row],[Centro de Costo]])</f>
        <v>0</v>
      </c>
      <c r="AQ582" s="512"/>
      <c r="AR582" s="513"/>
      <c r="AS582"/>
    </row>
    <row r="583" spans="1:45" x14ac:dyDescent="0.25">
      <c r="A583" s="509"/>
      <c r="B583" s="494"/>
      <c r="C583" s="509"/>
      <c r="D583" s="478"/>
      <c r="E583" s="478"/>
      <c r="F583" s="668">
        <f t="shared" si="68"/>
        <v>0</v>
      </c>
      <c r="G583" s="673">
        <f t="shared" si="69"/>
        <v>0</v>
      </c>
      <c r="H583" s="673">
        <f t="shared" si="70"/>
        <v>0</v>
      </c>
      <c r="I583" s="675">
        <f>IFERROR(INDEX(Tabla8[],MATCH(Producción_Agricola[[#This Row],[Unidad de Negocio]],Tabla8[Unidades de Negocio],0),2),0)</f>
        <v>0</v>
      </c>
      <c r="J58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83" s="488"/>
      <c r="L583" s="482"/>
      <c r="M583" s="483"/>
      <c r="N583" s="484"/>
      <c r="O583" s="690">
        <f>Producción_Agricola[[#This Row],[Superficie]]*Producción_Agricola[[#This Row],[Cantidad]]</f>
        <v>0</v>
      </c>
      <c r="P583" s="482"/>
      <c r="Q583" s="484"/>
      <c r="R583" s="485"/>
      <c r="S58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83" s="695">
        <f>IFERROR(Producción_Agricola[[#This Row],[Económico $Corrientes]]/Producción_Agricola[[#This Row],[Indexación Económico]],0)</f>
        <v>0</v>
      </c>
      <c r="U58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8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83" s="695">
        <f>IFERROR(Producción_Agricola[[#This Row],[Financiero $Corrientes]]/Producción_Agricola[[#This Row],[Indexación Financiero]],0)</f>
        <v>0</v>
      </c>
      <c r="X58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8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83" s="699">
        <f>IFERROR(Producción_Agricola[[#This Row],[Intereses $Corrientes]]/Producción_Agricola[[#This Row],[Indexación Financiero]],0)</f>
        <v>0</v>
      </c>
      <c r="AA58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83" s="701">
        <f>IFERROR(INDEX(Produccion_Agricola_Cuentas[],MATCH(Producción_Agricola[[#This Row],[Cuenta Contable]],Produccion_Agricola_Cuentas[Cuenta Contable],0),2),0)</f>
        <v>0</v>
      </c>
      <c r="AC583" s="702">
        <f>IFERROR(INDEX(Tabla9[],MATCH(Producción_Agricola[[#This Row],[Movimiento]],Tabla9[Movimientos],0),2),0)</f>
        <v>0</v>
      </c>
      <c r="AD583" s="703">
        <f>IFERROR(INDEX(Tabla9[],MATCH(Producción_Agricola[[#This Row],[Movimiento]],Tabla9[Movimientos],0),3),0)</f>
        <v>0</v>
      </c>
      <c r="AE583" s="698">
        <f>IF(Producción_Agricola[[#This Row],[Fecha Económico]]=0,0,MONTH(Producción_Agricola[[#This Row],[Fecha Económico]]))</f>
        <v>0</v>
      </c>
      <c r="AF583" s="699">
        <f>IF(Producción_Agricola[[#This Row],[Fecha Económico]]=0,0,YEAR(Producción_Agricola[[#This Row],[Fecha Económico]]))</f>
        <v>0</v>
      </c>
      <c r="AG583" s="704">
        <f>SUMPRODUCT((Producción_Agricola[[#This Row],[Mes Económico]]=Tipo_Cambio[Mes])*(Producción_Agricola[[#This Row],[Año Económico]]=Tipo_Cambio[Año])*(Tipo_Cambio[$/U$S]))</f>
        <v>0</v>
      </c>
      <c r="AH583" s="703">
        <f>SUMPRODUCT((Producción_Agricola[[#This Row],[Mes Económico]]=Tipo_Cambio[Mes])*(Producción_Agricola[[#This Row],[Año Económico]]=Tipo_Cambio[Año])*(Tipo_Cambio[Actualización]))</f>
        <v>0</v>
      </c>
      <c r="AI583" s="699">
        <f>IF(ISNUMBER(Producción_Agricola[[#This Row],[Fecha Financiero]])=TRUE,MONTH(Producción_Agricola[[#This Row],[Fecha Financiero]]),0)</f>
        <v>0</v>
      </c>
      <c r="AJ583" s="699">
        <f>IF(ISNUMBER(Producción_Agricola[[#This Row],[Fecha Financiero]])=TRUE,YEAR(Producción_Agricola[[#This Row],[Fecha Financiero]]),0)</f>
        <v>0</v>
      </c>
      <c r="AK583" s="704">
        <f>SUMPRODUCT((Producción_Agricola[[#This Row],[Mes Financiero]]=Tipo_Cambio[Mes])*(Producción_Agricola[[#This Row],[Año Financiero]]=Tipo_Cambio[Año])*(Tipo_Cambio[$/U$S]))</f>
        <v>0</v>
      </c>
      <c r="AL583" s="704">
        <f>SUMPRODUCT((Producción_Agricola[[#This Row],[Mes Financiero]]=Tipo_Cambio[Mes])*(Producción_Agricola[[#This Row],[Año Financiero]]=Tipo_Cambio[Año])*(Tipo_Cambio[Actualización]))</f>
        <v>0</v>
      </c>
      <c r="AM583" s="709">
        <f>IFERROR(Producción_Agricola[[#This Row],[Económico $Corrientes]]/Producción_Agricola[[#This Row],[Superficie]],0)</f>
        <v>0</v>
      </c>
      <c r="AN583" s="712">
        <f>IFERROR(Producción_Agricola[[#This Row],[Económico $Constantes]]/Producción_Agricola[[#This Row],[Superficie]],0)</f>
        <v>0</v>
      </c>
      <c r="AO583" s="712">
        <f>IFERROR(Producción_Agricola[[#This Row],[Económico U$S Dólares]]/Producción_Agricola[[#This Row],[Superficie]],0)</f>
        <v>0</v>
      </c>
      <c r="AP583" s="711">
        <f>IF(Económico!$F$4=0,0,Producción_Agricola[[#This Row],[Centro de Costo]])</f>
        <v>0</v>
      </c>
      <c r="AQ583" s="512"/>
      <c r="AR583" s="513"/>
      <c r="AS583"/>
    </row>
    <row r="584" spans="1:45" x14ac:dyDescent="0.25">
      <c r="A584" s="509"/>
      <c r="B584" s="494"/>
      <c r="C584" s="509"/>
      <c r="D584" s="478"/>
      <c r="E584" s="478"/>
      <c r="F584" s="668">
        <f t="shared" si="68"/>
        <v>0</v>
      </c>
      <c r="G584" s="673">
        <f t="shared" si="69"/>
        <v>0</v>
      </c>
      <c r="H584" s="673">
        <f t="shared" si="70"/>
        <v>0</v>
      </c>
      <c r="I584" s="675">
        <f>IFERROR(INDEX(Tabla8[],MATCH(Producción_Agricola[[#This Row],[Unidad de Negocio]],Tabla8[Unidades de Negocio],0),2),0)</f>
        <v>0</v>
      </c>
      <c r="J58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84" s="488"/>
      <c r="L584" s="482"/>
      <c r="M584" s="483"/>
      <c r="N584" s="484"/>
      <c r="O584" s="690">
        <f>Producción_Agricola[[#This Row],[Superficie]]*Producción_Agricola[[#This Row],[Cantidad]]</f>
        <v>0</v>
      </c>
      <c r="P584" s="482"/>
      <c r="Q584" s="484"/>
      <c r="R584" s="485"/>
      <c r="S58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84" s="695">
        <f>IFERROR(Producción_Agricola[[#This Row],[Económico $Corrientes]]/Producción_Agricola[[#This Row],[Indexación Económico]],0)</f>
        <v>0</v>
      </c>
      <c r="U58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8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84" s="695">
        <f>IFERROR(Producción_Agricola[[#This Row],[Financiero $Corrientes]]/Producción_Agricola[[#This Row],[Indexación Financiero]],0)</f>
        <v>0</v>
      </c>
      <c r="X58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8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84" s="699">
        <f>IFERROR(Producción_Agricola[[#This Row],[Intereses $Corrientes]]/Producción_Agricola[[#This Row],[Indexación Financiero]],0)</f>
        <v>0</v>
      </c>
      <c r="AA58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84" s="701">
        <f>IFERROR(INDEX(Produccion_Agricola_Cuentas[],MATCH(Producción_Agricola[[#This Row],[Cuenta Contable]],Produccion_Agricola_Cuentas[Cuenta Contable],0),2),0)</f>
        <v>0</v>
      </c>
      <c r="AC584" s="702">
        <f>IFERROR(INDEX(Tabla9[],MATCH(Producción_Agricola[[#This Row],[Movimiento]],Tabla9[Movimientos],0),2),0)</f>
        <v>0</v>
      </c>
      <c r="AD584" s="703">
        <f>IFERROR(INDEX(Tabla9[],MATCH(Producción_Agricola[[#This Row],[Movimiento]],Tabla9[Movimientos],0),3),0)</f>
        <v>0</v>
      </c>
      <c r="AE584" s="698">
        <f>IF(Producción_Agricola[[#This Row],[Fecha Económico]]=0,0,MONTH(Producción_Agricola[[#This Row],[Fecha Económico]]))</f>
        <v>0</v>
      </c>
      <c r="AF584" s="699">
        <f>IF(Producción_Agricola[[#This Row],[Fecha Económico]]=0,0,YEAR(Producción_Agricola[[#This Row],[Fecha Económico]]))</f>
        <v>0</v>
      </c>
      <c r="AG584" s="704">
        <f>SUMPRODUCT((Producción_Agricola[[#This Row],[Mes Económico]]=Tipo_Cambio[Mes])*(Producción_Agricola[[#This Row],[Año Económico]]=Tipo_Cambio[Año])*(Tipo_Cambio[$/U$S]))</f>
        <v>0</v>
      </c>
      <c r="AH584" s="703">
        <f>SUMPRODUCT((Producción_Agricola[[#This Row],[Mes Económico]]=Tipo_Cambio[Mes])*(Producción_Agricola[[#This Row],[Año Económico]]=Tipo_Cambio[Año])*(Tipo_Cambio[Actualización]))</f>
        <v>0</v>
      </c>
      <c r="AI584" s="699">
        <f>IF(ISNUMBER(Producción_Agricola[[#This Row],[Fecha Financiero]])=TRUE,MONTH(Producción_Agricola[[#This Row],[Fecha Financiero]]),0)</f>
        <v>0</v>
      </c>
      <c r="AJ584" s="699">
        <f>IF(ISNUMBER(Producción_Agricola[[#This Row],[Fecha Financiero]])=TRUE,YEAR(Producción_Agricola[[#This Row],[Fecha Financiero]]),0)</f>
        <v>0</v>
      </c>
      <c r="AK584" s="704">
        <f>SUMPRODUCT((Producción_Agricola[[#This Row],[Mes Financiero]]=Tipo_Cambio[Mes])*(Producción_Agricola[[#This Row],[Año Financiero]]=Tipo_Cambio[Año])*(Tipo_Cambio[$/U$S]))</f>
        <v>0</v>
      </c>
      <c r="AL584" s="704">
        <f>SUMPRODUCT((Producción_Agricola[[#This Row],[Mes Financiero]]=Tipo_Cambio[Mes])*(Producción_Agricola[[#This Row],[Año Financiero]]=Tipo_Cambio[Año])*(Tipo_Cambio[Actualización]))</f>
        <v>0</v>
      </c>
      <c r="AM584" s="709">
        <f>IFERROR(Producción_Agricola[[#This Row],[Económico $Corrientes]]/Producción_Agricola[[#This Row],[Superficie]],0)</f>
        <v>0</v>
      </c>
      <c r="AN584" s="712">
        <f>IFERROR(Producción_Agricola[[#This Row],[Económico $Constantes]]/Producción_Agricola[[#This Row],[Superficie]],0)</f>
        <v>0</v>
      </c>
      <c r="AO584" s="712">
        <f>IFERROR(Producción_Agricola[[#This Row],[Económico U$S Dólares]]/Producción_Agricola[[#This Row],[Superficie]],0)</f>
        <v>0</v>
      </c>
      <c r="AP584" s="711">
        <f>IF(Económico!$F$4=0,0,Producción_Agricola[[#This Row],[Centro de Costo]])</f>
        <v>0</v>
      </c>
      <c r="AQ584" s="512"/>
      <c r="AR584" s="513"/>
      <c r="AS584"/>
    </row>
    <row r="585" spans="1:45" x14ac:dyDescent="0.25">
      <c r="A585" s="509"/>
      <c r="B585" s="494"/>
      <c r="C585" s="509"/>
      <c r="D585" s="478"/>
      <c r="E585" s="478"/>
      <c r="F585" s="668">
        <f t="shared" si="68"/>
        <v>0</v>
      </c>
      <c r="G585" s="673">
        <f t="shared" si="69"/>
        <v>0</v>
      </c>
      <c r="H585" s="673">
        <f t="shared" si="70"/>
        <v>0</v>
      </c>
      <c r="I585" s="675">
        <f>IFERROR(INDEX(Tabla8[],MATCH(Producción_Agricola[[#This Row],[Unidad de Negocio]],Tabla8[Unidades de Negocio],0),2),0)</f>
        <v>0</v>
      </c>
      <c r="J58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85" s="488"/>
      <c r="L585" s="482"/>
      <c r="M585" s="483"/>
      <c r="N585" s="484"/>
      <c r="O585" s="690">
        <f>Producción_Agricola[[#This Row],[Superficie]]*Producción_Agricola[[#This Row],[Cantidad]]</f>
        <v>0</v>
      </c>
      <c r="P585" s="482"/>
      <c r="Q585" s="484"/>
      <c r="R585" s="485"/>
      <c r="S58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85" s="695">
        <f>IFERROR(Producción_Agricola[[#This Row],[Económico $Corrientes]]/Producción_Agricola[[#This Row],[Indexación Económico]],0)</f>
        <v>0</v>
      </c>
      <c r="U58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8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85" s="695">
        <f>IFERROR(Producción_Agricola[[#This Row],[Financiero $Corrientes]]/Producción_Agricola[[#This Row],[Indexación Financiero]],0)</f>
        <v>0</v>
      </c>
      <c r="X58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8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85" s="699">
        <f>IFERROR(Producción_Agricola[[#This Row],[Intereses $Corrientes]]/Producción_Agricola[[#This Row],[Indexación Financiero]],0)</f>
        <v>0</v>
      </c>
      <c r="AA58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85" s="701">
        <f>IFERROR(INDEX(Produccion_Agricola_Cuentas[],MATCH(Producción_Agricola[[#This Row],[Cuenta Contable]],Produccion_Agricola_Cuentas[Cuenta Contable],0),2),0)</f>
        <v>0</v>
      </c>
      <c r="AC585" s="702">
        <f>IFERROR(INDEX(Tabla9[],MATCH(Producción_Agricola[[#This Row],[Movimiento]],Tabla9[Movimientos],0),2),0)</f>
        <v>0</v>
      </c>
      <c r="AD585" s="703">
        <f>IFERROR(INDEX(Tabla9[],MATCH(Producción_Agricola[[#This Row],[Movimiento]],Tabla9[Movimientos],0),3),0)</f>
        <v>0</v>
      </c>
      <c r="AE585" s="698">
        <f>IF(Producción_Agricola[[#This Row],[Fecha Económico]]=0,0,MONTH(Producción_Agricola[[#This Row],[Fecha Económico]]))</f>
        <v>0</v>
      </c>
      <c r="AF585" s="699">
        <f>IF(Producción_Agricola[[#This Row],[Fecha Económico]]=0,0,YEAR(Producción_Agricola[[#This Row],[Fecha Económico]]))</f>
        <v>0</v>
      </c>
      <c r="AG585" s="704">
        <f>SUMPRODUCT((Producción_Agricola[[#This Row],[Mes Económico]]=Tipo_Cambio[Mes])*(Producción_Agricola[[#This Row],[Año Económico]]=Tipo_Cambio[Año])*(Tipo_Cambio[$/U$S]))</f>
        <v>0</v>
      </c>
      <c r="AH585" s="703">
        <f>SUMPRODUCT((Producción_Agricola[[#This Row],[Mes Económico]]=Tipo_Cambio[Mes])*(Producción_Agricola[[#This Row],[Año Económico]]=Tipo_Cambio[Año])*(Tipo_Cambio[Actualización]))</f>
        <v>0</v>
      </c>
      <c r="AI585" s="699">
        <f>IF(ISNUMBER(Producción_Agricola[[#This Row],[Fecha Financiero]])=TRUE,MONTH(Producción_Agricola[[#This Row],[Fecha Financiero]]),0)</f>
        <v>0</v>
      </c>
      <c r="AJ585" s="699">
        <f>IF(ISNUMBER(Producción_Agricola[[#This Row],[Fecha Financiero]])=TRUE,YEAR(Producción_Agricola[[#This Row],[Fecha Financiero]]),0)</f>
        <v>0</v>
      </c>
      <c r="AK585" s="704">
        <f>SUMPRODUCT((Producción_Agricola[[#This Row],[Mes Financiero]]=Tipo_Cambio[Mes])*(Producción_Agricola[[#This Row],[Año Financiero]]=Tipo_Cambio[Año])*(Tipo_Cambio[$/U$S]))</f>
        <v>0</v>
      </c>
      <c r="AL585" s="704">
        <f>SUMPRODUCT((Producción_Agricola[[#This Row],[Mes Financiero]]=Tipo_Cambio[Mes])*(Producción_Agricola[[#This Row],[Año Financiero]]=Tipo_Cambio[Año])*(Tipo_Cambio[Actualización]))</f>
        <v>0</v>
      </c>
      <c r="AM585" s="709">
        <f>IFERROR(Producción_Agricola[[#This Row],[Económico $Corrientes]]/Producción_Agricola[[#This Row],[Superficie]],0)</f>
        <v>0</v>
      </c>
      <c r="AN585" s="712">
        <f>IFERROR(Producción_Agricola[[#This Row],[Económico $Constantes]]/Producción_Agricola[[#This Row],[Superficie]],0)</f>
        <v>0</v>
      </c>
      <c r="AO585" s="712">
        <f>IFERROR(Producción_Agricola[[#This Row],[Económico U$S Dólares]]/Producción_Agricola[[#This Row],[Superficie]],0)</f>
        <v>0</v>
      </c>
      <c r="AP585" s="711">
        <f>IF(Económico!$F$4=0,0,Producción_Agricola[[#This Row],[Centro de Costo]])</f>
        <v>0</v>
      </c>
      <c r="AQ585" s="512"/>
      <c r="AR585" s="513"/>
      <c r="AS585"/>
    </row>
    <row r="586" spans="1:45" x14ac:dyDescent="0.25">
      <c r="A586" s="509"/>
      <c r="B586" s="494"/>
      <c r="C586" s="509"/>
      <c r="D586" s="478"/>
      <c r="E586" s="478"/>
      <c r="F586" s="668">
        <f t="shared" si="68"/>
        <v>0</v>
      </c>
      <c r="G586" s="673">
        <f t="shared" si="69"/>
        <v>0</v>
      </c>
      <c r="H586" s="673">
        <f t="shared" si="70"/>
        <v>0</v>
      </c>
      <c r="I586" s="675">
        <f>IFERROR(INDEX(Tabla8[],MATCH(Producción_Agricola[[#This Row],[Unidad de Negocio]],Tabla8[Unidades de Negocio],0),2),0)</f>
        <v>0</v>
      </c>
      <c r="J58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86" s="488"/>
      <c r="L586" s="482"/>
      <c r="M586" s="483"/>
      <c r="N586" s="484"/>
      <c r="O586" s="690">
        <f>Producción_Agricola[[#This Row],[Superficie]]*Producción_Agricola[[#This Row],[Cantidad]]</f>
        <v>0</v>
      </c>
      <c r="P586" s="482"/>
      <c r="Q586" s="484"/>
      <c r="R586" s="485"/>
      <c r="S58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86" s="695">
        <f>IFERROR(Producción_Agricola[[#This Row],[Económico $Corrientes]]/Producción_Agricola[[#This Row],[Indexación Económico]],0)</f>
        <v>0</v>
      </c>
      <c r="U58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8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86" s="695">
        <f>IFERROR(Producción_Agricola[[#This Row],[Financiero $Corrientes]]/Producción_Agricola[[#This Row],[Indexación Financiero]],0)</f>
        <v>0</v>
      </c>
      <c r="X58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8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86" s="699">
        <f>IFERROR(Producción_Agricola[[#This Row],[Intereses $Corrientes]]/Producción_Agricola[[#This Row],[Indexación Financiero]],0)</f>
        <v>0</v>
      </c>
      <c r="AA58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86" s="701">
        <f>IFERROR(INDEX(Produccion_Agricola_Cuentas[],MATCH(Producción_Agricola[[#This Row],[Cuenta Contable]],Produccion_Agricola_Cuentas[Cuenta Contable],0),2),0)</f>
        <v>0</v>
      </c>
      <c r="AC586" s="702">
        <f>IFERROR(INDEX(Tabla9[],MATCH(Producción_Agricola[[#This Row],[Movimiento]],Tabla9[Movimientos],0),2),0)</f>
        <v>0</v>
      </c>
      <c r="AD586" s="703">
        <f>IFERROR(INDEX(Tabla9[],MATCH(Producción_Agricola[[#This Row],[Movimiento]],Tabla9[Movimientos],0),3),0)</f>
        <v>0</v>
      </c>
      <c r="AE586" s="698">
        <f>IF(Producción_Agricola[[#This Row],[Fecha Económico]]=0,0,MONTH(Producción_Agricola[[#This Row],[Fecha Económico]]))</f>
        <v>0</v>
      </c>
      <c r="AF586" s="699">
        <f>IF(Producción_Agricola[[#This Row],[Fecha Económico]]=0,0,YEAR(Producción_Agricola[[#This Row],[Fecha Económico]]))</f>
        <v>0</v>
      </c>
      <c r="AG586" s="704">
        <f>SUMPRODUCT((Producción_Agricola[[#This Row],[Mes Económico]]=Tipo_Cambio[Mes])*(Producción_Agricola[[#This Row],[Año Económico]]=Tipo_Cambio[Año])*(Tipo_Cambio[$/U$S]))</f>
        <v>0</v>
      </c>
      <c r="AH586" s="703">
        <f>SUMPRODUCT((Producción_Agricola[[#This Row],[Mes Económico]]=Tipo_Cambio[Mes])*(Producción_Agricola[[#This Row],[Año Económico]]=Tipo_Cambio[Año])*(Tipo_Cambio[Actualización]))</f>
        <v>0</v>
      </c>
      <c r="AI586" s="699">
        <f>IF(ISNUMBER(Producción_Agricola[[#This Row],[Fecha Financiero]])=TRUE,MONTH(Producción_Agricola[[#This Row],[Fecha Financiero]]),0)</f>
        <v>0</v>
      </c>
      <c r="AJ586" s="699">
        <f>IF(ISNUMBER(Producción_Agricola[[#This Row],[Fecha Financiero]])=TRUE,YEAR(Producción_Agricola[[#This Row],[Fecha Financiero]]),0)</f>
        <v>0</v>
      </c>
      <c r="AK586" s="704">
        <f>SUMPRODUCT((Producción_Agricola[[#This Row],[Mes Financiero]]=Tipo_Cambio[Mes])*(Producción_Agricola[[#This Row],[Año Financiero]]=Tipo_Cambio[Año])*(Tipo_Cambio[$/U$S]))</f>
        <v>0</v>
      </c>
      <c r="AL586" s="704">
        <f>SUMPRODUCT((Producción_Agricola[[#This Row],[Mes Financiero]]=Tipo_Cambio[Mes])*(Producción_Agricola[[#This Row],[Año Financiero]]=Tipo_Cambio[Año])*(Tipo_Cambio[Actualización]))</f>
        <v>0</v>
      </c>
      <c r="AM586" s="709">
        <f>IFERROR(Producción_Agricola[[#This Row],[Económico $Corrientes]]/Producción_Agricola[[#This Row],[Superficie]],0)</f>
        <v>0</v>
      </c>
      <c r="AN586" s="712">
        <f>IFERROR(Producción_Agricola[[#This Row],[Económico $Constantes]]/Producción_Agricola[[#This Row],[Superficie]],0)</f>
        <v>0</v>
      </c>
      <c r="AO586" s="712">
        <f>IFERROR(Producción_Agricola[[#This Row],[Económico U$S Dólares]]/Producción_Agricola[[#This Row],[Superficie]],0)</f>
        <v>0</v>
      </c>
      <c r="AP586" s="711">
        <f>IF(Económico!$F$4=0,0,Producción_Agricola[[#This Row],[Centro de Costo]])</f>
        <v>0</v>
      </c>
      <c r="AQ586" s="512"/>
      <c r="AR586" s="513"/>
      <c r="AS586"/>
    </row>
    <row r="587" spans="1:45" x14ac:dyDescent="0.25">
      <c r="A587" s="509"/>
      <c r="B587" s="494"/>
      <c r="C587" s="509"/>
      <c r="D587" s="478"/>
      <c r="E587" s="478"/>
      <c r="F587" s="668">
        <f t="shared" si="68"/>
        <v>0</v>
      </c>
      <c r="G587" s="673">
        <f t="shared" si="69"/>
        <v>0</v>
      </c>
      <c r="H587" s="673">
        <f t="shared" si="70"/>
        <v>0</v>
      </c>
      <c r="I587" s="675">
        <f>IFERROR(INDEX(Tabla8[],MATCH(Producción_Agricola[[#This Row],[Unidad de Negocio]],Tabla8[Unidades de Negocio],0),2),0)</f>
        <v>0</v>
      </c>
      <c r="J58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87" s="488"/>
      <c r="L587" s="482"/>
      <c r="M587" s="483"/>
      <c r="N587" s="484"/>
      <c r="O587" s="690">
        <f>Producción_Agricola[[#This Row],[Superficie]]*Producción_Agricola[[#This Row],[Cantidad]]</f>
        <v>0</v>
      </c>
      <c r="P587" s="482"/>
      <c r="Q587" s="484"/>
      <c r="R587" s="485"/>
      <c r="S58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87" s="695">
        <f>IFERROR(Producción_Agricola[[#This Row],[Económico $Corrientes]]/Producción_Agricola[[#This Row],[Indexación Económico]],0)</f>
        <v>0</v>
      </c>
      <c r="U58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8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87" s="695">
        <f>IFERROR(Producción_Agricola[[#This Row],[Financiero $Corrientes]]/Producción_Agricola[[#This Row],[Indexación Financiero]],0)</f>
        <v>0</v>
      </c>
      <c r="X58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8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87" s="699">
        <f>IFERROR(Producción_Agricola[[#This Row],[Intereses $Corrientes]]/Producción_Agricola[[#This Row],[Indexación Financiero]],0)</f>
        <v>0</v>
      </c>
      <c r="AA58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87" s="701">
        <f>IFERROR(INDEX(Produccion_Agricola_Cuentas[],MATCH(Producción_Agricola[[#This Row],[Cuenta Contable]],Produccion_Agricola_Cuentas[Cuenta Contable],0),2),0)</f>
        <v>0</v>
      </c>
      <c r="AC587" s="702">
        <f>IFERROR(INDEX(Tabla9[],MATCH(Producción_Agricola[[#This Row],[Movimiento]],Tabla9[Movimientos],0),2),0)</f>
        <v>0</v>
      </c>
      <c r="AD587" s="703">
        <f>IFERROR(INDEX(Tabla9[],MATCH(Producción_Agricola[[#This Row],[Movimiento]],Tabla9[Movimientos],0),3),0)</f>
        <v>0</v>
      </c>
      <c r="AE587" s="698">
        <f>IF(Producción_Agricola[[#This Row],[Fecha Económico]]=0,0,MONTH(Producción_Agricola[[#This Row],[Fecha Económico]]))</f>
        <v>0</v>
      </c>
      <c r="AF587" s="699">
        <f>IF(Producción_Agricola[[#This Row],[Fecha Económico]]=0,0,YEAR(Producción_Agricola[[#This Row],[Fecha Económico]]))</f>
        <v>0</v>
      </c>
      <c r="AG587" s="704">
        <f>SUMPRODUCT((Producción_Agricola[[#This Row],[Mes Económico]]=Tipo_Cambio[Mes])*(Producción_Agricola[[#This Row],[Año Económico]]=Tipo_Cambio[Año])*(Tipo_Cambio[$/U$S]))</f>
        <v>0</v>
      </c>
      <c r="AH587" s="703">
        <f>SUMPRODUCT((Producción_Agricola[[#This Row],[Mes Económico]]=Tipo_Cambio[Mes])*(Producción_Agricola[[#This Row],[Año Económico]]=Tipo_Cambio[Año])*(Tipo_Cambio[Actualización]))</f>
        <v>0</v>
      </c>
      <c r="AI587" s="699">
        <f>IF(ISNUMBER(Producción_Agricola[[#This Row],[Fecha Financiero]])=TRUE,MONTH(Producción_Agricola[[#This Row],[Fecha Financiero]]),0)</f>
        <v>0</v>
      </c>
      <c r="AJ587" s="699">
        <f>IF(ISNUMBER(Producción_Agricola[[#This Row],[Fecha Financiero]])=TRUE,YEAR(Producción_Agricola[[#This Row],[Fecha Financiero]]),0)</f>
        <v>0</v>
      </c>
      <c r="AK587" s="704">
        <f>SUMPRODUCT((Producción_Agricola[[#This Row],[Mes Financiero]]=Tipo_Cambio[Mes])*(Producción_Agricola[[#This Row],[Año Financiero]]=Tipo_Cambio[Año])*(Tipo_Cambio[$/U$S]))</f>
        <v>0</v>
      </c>
      <c r="AL587" s="704">
        <f>SUMPRODUCT((Producción_Agricola[[#This Row],[Mes Financiero]]=Tipo_Cambio[Mes])*(Producción_Agricola[[#This Row],[Año Financiero]]=Tipo_Cambio[Año])*(Tipo_Cambio[Actualización]))</f>
        <v>0</v>
      </c>
      <c r="AM587" s="709">
        <f>IFERROR(Producción_Agricola[[#This Row],[Económico $Corrientes]]/Producción_Agricola[[#This Row],[Superficie]],0)</f>
        <v>0</v>
      </c>
      <c r="AN587" s="712">
        <f>IFERROR(Producción_Agricola[[#This Row],[Económico $Constantes]]/Producción_Agricola[[#This Row],[Superficie]],0)</f>
        <v>0</v>
      </c>
      <c r="AO587" s="712">
        <f>IFERROR(Producción_Agricola[[#This Row],[Económico U$S Dólares]]/Producción_Agricola[[#This Row],[Superficie]],0)</f>
        <v>0</v>
      </c>
      <c r="AP587" s="711">
        <f>IF(Económico!$F$4=0,0,Producción_Agricola[[#This Row],[Centro de Costo]])</f>
        <v>0</v>
      </c>
      <c r="AQ587" s="512"/>
      <c r="AR587" s="513"/>
      <c r="AS587"/>
    </row>
    <row r="588" spans="1:45" x14ac:dyDescent="0.25">
      <c r="A588" s="509"/>
      <c r="B588" s="494"/>
      <c r="C588" s="509"/>
      <c r="D588" s="478"/>
      <c r="E588" s="478"/>
      <c r="F588" s="668">
        <f t="shared" si="68"/>
        <v>0</v>
      </c>
      <c r="G588" s="673">
        <f t="shared" si="69"/>
        <v>0</v>
      </c>
      <c r="H588" s="673">
        <f t="shared" si="70"/>
        <v>0</v>
      </c>
      <c r="I588" s="675">
        <f>IFERROR(INDEX(Tabla8[],MATCH(Producción_Agricola[[#This Row],[Unidad de Negocio]],Tabla8[Unidades de Negocio],0),2),0)</f>
        <v>0</v>
      </c>
      <c r="J58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88" s="488"/>
      <c r="L588" s="482"/>
      <c r="M588" s="483"/>
      <c r="N588" s="484"/>
      <c r="O588" s="690">
        <f>Producción_Agricola[[#This Row],[Superficie]]*Producción_Agricola[[#This Row],[Cantidad]]</f>
        <v>0</v>
      </c>
      <c r="P588" s="482"/>
      <c r="Q588" s="484"/>
      <c r="R588" s="485"/>
      <c r="S58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88" s="695">
        <f>IFERROR(Producción_Agricola[[#This Row],[Económico $Corrientes]]/Producción_Agricola[[#This Row],[Indexación Económico]],0)</f>
        <v>0</v>
      </c>
      <c r="U58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8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88" s="695">
        <f>IFERROR(Producción_Agricola[[#This Row],[Financiero $Corrientes]]/Producción_Agricola[[#This Row],[Indexación Financiero]],0)</f>
        <v>0</v>
      </c>
      <c r="X58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8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88" s="699">
        <f>IFERROR(Producción_Agricola[[#This Row],[Intereses $Corrientes]]/Producción_Agricola[[#This Row],[Indexación Financiero]],0)</f>
        <v>0</v>
      </c>
      <c r="AA58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88" s="701">
        <f>IFERROR(INDEX(Produccion_Agricola_Cuentas[],MATCH(Producción_Agricola[[#This Row],[Cuenta Contable]],Produccion_Agricola_Cuentas[Cuenta Contable],0),2),0)</f>
        <v>0</v>
      </c>
      <c r="AC588" s="702">
        <f>IFERROR(INDEX(Tabla9[],MATCH(Producción_Agricola[[#This Row],[Movimiento]],Tabla9[Movimientos],0),2),0)</f>
        <v>0</v>
      </c>
      <c r="AD588" s="703">
        <f>IFERROR(INDEX(Tabla9[],MATCH(Producción_Agricola[[#This Row],[Movimiento]],Tabla9[Movimientos],0),3),0)</f>
        <v>0</v>
      </c>
      <c r="AE588" s="698">
        <f>IF(Producción_Agricola[[#This Row],[Fecha Económico]]=0,0,MONTH(Producción_Agricola[[#This Row],[Fecha Económico]]))</f>
        <v>0</v>
      </c>
      <c r="AF588" s="699">
        <f>IF(Producción_Agricola[[#This Row],[Fecha Económico]]=0,0,YEAR(Producción_Agricola[[#This Row],[Fecha Económico]]))</f>
        <v>0</v>
      </c>
      <c r="AG588" s="704">
        <f>SUMPRODUCT((Producción_Agricola[[#This Row],[Mes Económico]]=Tipo_Cambio[Mes])*(Producción_Agricola[[#This Row],[Año Económico]]=Tipo_Cambio[Año])*(Tipo_Cambio[$/U$S]))</f>
        <v>0</v>
      </c>
      <c r="AH588" s="703">
        <f>SUMPRODUCT((Producción_Agricola[[#This Row],[Mes Económico]]=Tipo_Cambio[Mes])*(Producción_Agricola[[#This Row],[Año Económico]]=Tipo_Cambio[Año])*(Tipo_Cambio[Actualización]))</f>
        <v>0</v>
      </c>
      <c r="AI588" s="699">
        <f>IF(ISNUMBER(Producción_Agricola[[#This Row],[Fecha Financiero]])=TRUE,MONTH(Producción_Agricola[[#This Row],[Fecha Financiero]]),0)</f>
        <v>0</v>
      </c>
      <c r="AJ588" s="699">
        <f>IF(ISNUMBER(Producción_Agricola[[#This Row],[Fecha Financiero]])=TRUE,YEAR(Producción_Agricola[[#This Row],[Fecha Financiero]]),0)</f>
        <v>0</v>
      </c>
      <c r="AK588" s="704">
        <f>SUMPRODUCT((Producción_Agricola[[#This Row],[Mes Financiero]]=Tipo_Cambio[Mes])*(Producción_Agricola[[#This Row],[Año Financiero]]=Tipo_Cambio[Año])*(Tipo_Cambio[$/U$S]))</f>
        <v>0</v>
      </c>
      <c r="AL588" s="704">
        <f>SUMPRODUCT((Producción_Agricola[[#This Row],[Mes Financiero]]=Tipo_Cambio[Mes])*(Producción_Agricola[[#This Row],[Año Financiero]]=Tipo_Cambio[Año])*(Tipo_Cambio[Actualización]))</f>
        <v>0</v>
      </c>
      <c r="AM588" s="709">
        <f>IFERROR(Producción_Agricola[[#This Row],[Económico $Corrientes]]/Producción_Agricola[[#This Row],[Superficie]],0)</f>
        <v>0</v>
      </c>
      <c r="AN588" s="712">
        <f>IFERROR(Producción_Agricola[[#This Row],[Económico $Constantes]]/Producción_Agricola[[#This Row],[Superficie]],0)</f>
        <v>0</v>
      </c>
      <c r="AO588" s="712">
        <f>IFERROR(Producción_Agricola[[#This Row],[Económico U$S Dólares]]/Producción_Agricola[[#This Row],[Superficie]],0)</f>
        <v>0</v>
      </c>
      <c r="AP588" s="711">
        <f>IF(Económico!$F$4=0,0,Producción_Agricola[[#This Row],[Centro de Costo]])</f>
        <v>0</v>
      </c>
      <c r="AQ588" s="512"/>
      <c r="AR588" s="513"/>
      <c r="AS588"/>
    </row>
    <row r="589" spans="1:45" x14ac:dyDescent="0.25">
      <c r="A589" s="509"/>
      <c r="B589" s="494"/>
      <c r="C589" s="509"/>
      <c r="D589" s="478"/>
      <c r="E589" s="478"/>
      <c r="F589" s="668">
        <f t="shared" si="68"/>
        <v>0</v>
      </c>
      <c r="G589" s="673">
        <f t="shared" si="69"/>
        <v>0</v>
      </c>
      <c r="H589" s="673">
        <f t="shared" si="70"/>
        <v>0</v>
      </c>
      <c r="I589" s="675">
        <f>IFERROR(INDEX(Tabla8[],MATCH(Producción_Agricola[[#This Row],[Unidad de Negocio]],Tabla8[Unidades de Negocio],0),2),0)</f>
        <v>0</v>
      </c>
      <c r="J58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89" s="488"/>
      <c r="L589" s="482"/>
      <c r="M589" s="483"/>
      <c r="N589" s="484"/>
      <c r="O589" s="690">
        <f>Producción_Agricola[[#This Row],[Superficie]]*Producción_Agricola[[#This Row],[Cantidad]]</f>
        <v>0</v>
      </c>
      <c r="P589" s="482"/>
      <c r="Q589" s="484"/>
      <c r="R589" s="485"/>
      <c r="S58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89" s="695">
        <f>IFERROR(Producción_Agricola[[#This Row],[Económico $Corrientes]]/Producción_Agricola[[#This Row],[Indexación Económico]],0)</f>
        <v>0</v>
      </c>
      <c r="U58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8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89" s="695">
        <f>IFERROR(Producción_Agricola[[#This Row],[Financiero $Corrientes]]/Producción_Agricola[[#This Row],[Indexación Financiero]],0)</f>
        <v>0</v>
      </c>
      <c r="X58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8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89" s="699">
        <f>IFERROR(Producción_Agricola[[#This Row],[Intereses $Corrientes]]/Producción_Agricola[[#This Row],[Indexación Financiero]],0)</f>
        <v>0</v>
      </c>
      <c r="AA58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89" s="701">
        <f>IFERROR(INDEX(Produccion_Agricola_Cuentas[],MATCH(Producción_Agricola[[#This Row],[Cuenta Contable]],Produccion_Agricola_Cuentas[Cuenta Contable],0),2),0)</f>
        <v>0</v>
      </c>
      <c r="AC589" s="702">
        <f>IFERROR(INDEX(Tabla9[],MATCH(Producción_Agricola[[#This Row],[Movimiento]],Tabla9[Movimientos],0),2),0)</f>
        <v>0</v>
      </c>
      <c r="AD589" s="703">
        <f>IFERROR(INDEX(Tabla9[],MATCH(Producción_Agricola[[#This Row],[Movimiento]],Tabla9[Movimientos],0),3),0)</f>
        <v>0</v>
      </c>
      <c r="AE589" s="698">
        <f>IF(Producción_Agricola[[#This Row],[Fecha Económico]]=0,0,MONTH(Producción_Agricola[[#This Row],[Fecha Económico]]))</f>
        <v>0</v>
      </c>
      <c r="AF589" s="699">
        <f>IF(Producción_Agricola[[#This Row],[Fecha Económico]]=0,0,YEAR(Producción_Agricola[[#This Row],[Fecha Económico]]))</f>
        <v>0</v>
      </c>
      <c r="AG589" s="704">
        <f>SUMPRODUCT((Producción_Agricola[[#This Row],[Mes Económico]]=Tipo_Cambio[Mes])*(Producción_Agricola[[#This Row],[Año Económico]]=Tipo_Cambio[Año])*(Tipo_Cambio[$/U$S]))</f>
        <v>0</v>
      </c>
      <c r="AH589" s="703">
        <f>SUMPRODUCT((Producción_Agricola[[#This Row],[Mes Económico]]=Tipo_Cambio[Mes])*(Producción_Agricola[[#This Row],[Año Económico]]=Tipo_Cambio[Año])*(Tipo_Cambio[Actualización]))</f>
        <v>0</v>
      </c>
      <c r="AI589" s="699">
        <f>IF(ISNUMBER(Producción_Agricola[[#This Row],[Fecha Financiero]])=TRUE,MONTH(Producción_Agricola[[#This Row],[Fecha Financiero]]),0)</f>
        <v>0</v>
      </c>
      <c r="AJ589" s="699">
        <f>IF(ISNUMBER(Producción_Agricola[[#This Row],[Fecha Financiero]])=TRUE,YEAR(Producción_Agricola[[#This Row],[Fecha Financiero]]),0)</f>
        <v>0</v>
      </c>
      <c r="AK589" s="704">
        <f>SUMPRODUCT((Producción_Agricola[[#This Row],[Mes Financiero]]=Tipo_Cambio[Mes])*(Producción_Agricola[[#This Row],[Año Financiero]]=Tipo_Cambio[Año])*(Tipo_Cambio[$/U$S]))</f>
        <v>0</v>
      </c>
      <c r="AL589" s="704">
        <f>SUMPRODUCT((Producción_Agricola[[#This Row],[Mes Financiero]]=Tipo_Cambio[Mes])*(Producción_Agricola[[#This Row],[Año Financiero]]=Tipo_Cambio[Año])*(Tipo_Cambio[Actualización]))</f>
        <v>0</v>
      </c>
      <c r="AM589" s="709">
        <f>IFERROR(Producción_Agricola[[#This Row],[Económico $Corrientes]]/Producción_Agricola[[#This Row],[Superficie]],0)</f>
        <v>0</v>
      </c>
      <c r="AN589" s="712">
        <f>IFERROR(Producción_Agricola[[#This Row],[Económico $Constantes]]/Producción_Agricola[[#This Row],[Superficie]],0)</f>
        <v>0</v>
      </c>
      <c r="AO589" s="712">
        <f>IFERROR(Producción_Agricola[[#This Row],[Económico U$S Dólares]]/Producción_Agricola[[#This Row],[Superficie]],0)</f>
        <v>0</v>
      </c>
      <c r="AP589" s="711">
        <f>IF(Económico!$F$4=0,0,Producción_Agricola[[#This Row],[Centro de Costo]])</f>
        <v>0</v>
      </c>
      <c r="AQ589" s="512"/>
      <c r="AR589" s="513"/>
      <c r="AS589"/>
    </row>
    <row r="590" spans="1:45" x14ac:dyDescent="0.25">
      <c r="A590" s="509"/>
      <c r="B590" s="494"/>
      <c r="C590" s="509"/>
      <c r="D590" s="478"/>
      <c r="E590" s="478"/>
      <c r="F590" s="668">
        <f t="shared" si="68"/>
        <v>0</v>
      </c>
      <c r="G590" s="673">
        <f t="shared" si="69"/>
        <v>0</v>
      </c>
      <c r="H590" s="673">
        <f t="shared" si="70"/>
        <v>0</v>
      </c>
      <c r="I590" s="675">
        <f>IFERROR(INDEX(Tabla8[],MATCH(Producción_Agricola[[#This Row],[Unidad de Negocio]],Tabla8[Unidades de Negocio],0),2),0)</f>
        <v>0</v>
      </c>
      <c r="J59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90" s="488"/>
      <c r="L590" s="482"/>
      <c r="M590" s="483"/>
      <c r="N590" s="484"/>
      <c r="O590" s="690">
        <f>Producción_Agricola[[#This Row],[Superficie]]*Producción_Agricola[[#This Row],[Cantidad]]</f>
        <v>0</v>
      </c>
      <c r="P590" s="482"/>
      <c r="Q590" s="484"/>
      <c r="R590" s="485"/>
      <c r="S59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90" s="695">
        <f>IFERROR(Producción_Agricola[[#This Row],[Económico $Corrientes]]/Producción_Agricola[[#This Row],[Indexación Económico]],0)</f>
        <v>0</v>
      </c>
      <c r="U59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9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90" s="695">
        <f>IFERROR(Producción_Agricola[[#This Row],[Financiero $Corrientes]]/Producción_Agricola[[#This Row],[Indexación Financiero]],0)</f>
        <v>0</v>
      </c>
      <c r="X59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9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90" s="699">
        <f>IFERROR(Producción_Agricola[[#This Row],[Intereses $Corrientes]]/Producción_Agricola[[#This Row],[Indexación Financiero]],0)</f>
        <v>0</v>
      </c>
      <c r="AA59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90" s="701">
        <f>IFERROR(INDEX(Produccion_Agricola_Cuentas[],MATCH(Producción_Agricola[[#This Row],[Cuenta Contable]],Produccion_Agricola_Cuentas[Cuenta Contable],0),2),0)</f>
        <v>0</v>
      </c>
      <c r="AC590" s="702">
        <f>IFERROR(INDEX(Tabla9[],MATCH(Producción_Agricola[[#This Row],[Movimiento]],Tabla9[Movimientos],0),2),0)</f>
        <v>0</v>
      </c>
      <c r="AD590" s="703">
        <f>IFERROR(INDEX(Tabla9[],MATCH(Producción_Agricola[[#This Row],[Movimiento]],Tabla9[Movimientos],0),3),0)</f>
        <v>0</v>
      </c>
      <c r="AE590" s="698">
        <f>IF(Producción_Agricola[[#This Row],[Fecha Económico]]=0,0,MONTH(Producción_Agricola[[#This Row],[Fecha Económico]]))</f>
        <v>0</v>
      </c>
      <c r="AF590" s="699">
        <f>IF(Producción_Agricola[[#This Row],[Fecha Económico]]=0,0,YEAR(Producción_Agricola[[#This Row],[Fecha Económico]]))</f>
        <v>0</v>
      </c>
      <c r="AG590" s="704">
        <f>SUMPRODUCT((Producción_Agricola[[#This Row],[Mes Económico]]=Tipo_Cambio[Mes])*(Producción_Agricola[[#This Row],[Año Económico]]=Tipo_Cambio[Año])*(Tipo_Cambio[$/U$S]))</f>
        <v>0</v>
      </c>
      <c r="AH590" s="703">
        <f>SUMPRODUCT((Producción_Agricola[[#This Row],[Mes Económico]]=Tipo_Cambio[Mes])*(Producción_Agricola[[#This Row],[Año Económico]]=Tipo_Cambio[Año])*(Tipo_Cambio[Actualización]))</f>
        <v>0</v>
      </c>
      <c r="AI590" s="699">
        <f>IF(ISNUMBER(Producción_Agricola[[#This Row],[Fecha Financiero]])=TRUE,MONTH(Producción_Agricola[[#This Row],[Fecha Financiero]]),0)</f>
        <v>0</v>
      </c>
      <c r="AJ590" s="699">
        <f>IF(ISNUMBER(Producción_Agricola[[#This Row],[Fecha Financiero]])=TRUE,YEAR(Producción_Agricola[[#This Row],[Fecha Financiero]]),0)</f>
        <v>0</v>
      </c>
      <c r="AK590" s="704">
        <f>SUMPRODUCT((Producción_Agricola[[#This Row],[Mes Financiero]]=Tipo_Cambio[Mes])*(Producción_Agricola[[#This Row],[Año Financiero]]=Tipo_Cambio[Año])*(Tipo_Cambio[$/U$S]))</f>
        <v>0</v>
      </c>
      <c r="AL590" s="704">
        <f>SUMPRODUCT((Producción_Agricola[[#This Row],[Mes Financiero]]=Tipo_Cambio[Mes])*(Producción_Agricola[[#This Row],[Año Financiero]]=Tipo_Cambio[Año])*(Tipo_Cambio[Actualización]))</f>
        <v>0</v>
      </c>
      <c r="AM590" s="709">
        <f>IFERROR(Producción_Agricola[[#This Row],[Económico $Corrientes]]/Producción_Agricola[[#This Row],[Superficie]],0)</f>
        <v>0</v>
      </c>
      <c r="AN590" s="712">
        <f>IFERROR(Producción_Agricola[[#This Row],[Económico $Constantes]]/Producción_Agricola[[#This Row],[Superficie]],0)</f>
        <v>0</v>
      </c>
      <c r="AO590" s="712">
        <f>IFERROR(Producción_Agricola[[#This Row],[Económico U$S Dólares]]/Producción_Agricola[[#This Row],[Superficie]],0)</f>
        <v>0</v>
      </c>
      <c r="AP590" s="711">
        <f>IF(Económico!$F$4=0,0,Producción_Agricola[[#This Row],[Centro de Costo]])</f>
        <v>0</v>
      </c>
      <c r="AQ590" s="512"/>
      <c r="AR590" s="513"/>
      <c r="AS590"/>
    </row>
    <row r="591" spans="1:45" x14ac:dyDescent="0.25">
      <c r="A591" s="509"/>
      <c r="B591" s="494"/>
      <c r="C591" s="509"/>
      <c r="D591" s="478"/>
      <c r="E591" s="478"/>
      <c r="F591" s="668">
        <f t="shared" si="68"/>
        <v>0</v>
      </c>
      <c r="G591" s="673">
        <f t="shared" si="69"/>
        <v>0</v>
      </c>
      <c r="H591" s="673">
        <f t="shared" si="70"/>
        <v>0</v>
      </c>
      <c r="I591" s="675">
        <f>IFERROR(INDEX(Tabla8[],MATCH(Producción_Agricola[[#This Row],[Unidad de Negocio]],Tabla8[Unidades de Negocio],0),2),0)</f>
        <v>0</v>
      </c>
      <c r="J59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91" s="488"/>
      <c r="L591" s="482"/>
      <c r="M591" s="483"/>
      <c r="N591" s="484"/>
      <c r="O591" s="690">
        <f>Producción_Agricola[[#This Row],[Superficie]]*Producción_Agricola[[#This Row],[Cantidad]]</f>
        <v>0</v>
      </c>
      <c r="P591" s="482"/>
      <c r="Q591" s="484"/>
      <c r="R591" s="485"/>
      <c r="S59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91" s="695">
        <f>IFERROR(Producción_Agricola[[#This Row],[Económico $Corrientes]]/Producción_Agricola[[#This Row],[Indexación Económico]],0)</f>
        <v>0</v>
      </c>
      <c r="U59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9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91" s="695">
        <f>IFERROR(Producción_Agricola[[#This Row],[Financiero $Corrientes]]/Producción_Agricola[[#This Row],[Indexación Financiero]],0)</f>
        <v>0</v>
      </c>
      <c r="X59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9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91" s="699">
        <f>IFERROR(Producción_Agricola[[#This Row],[Intereses $Corrientes]]/Producción_Agricola[[#This Row],[Indexación Financiero]],0)</f>
        <v>0</v>
      </c>
      <c r="AA59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91" s="701">
        <f>IFERROR(INDEX(Produccion_Agricola_Cuentas[],MATCH(Producción_Agricola[[#This Row],[Cuenta Contable]],Produccion_Agricola_Cuentas[Cuenta Contable],0),2),0)</f>
        <v>0</v>
      </c>
      <c r="AC591" s="702">
        <f>IFERROR(INDEX(Tabla9[],MATCH(Producción_Agricola[[#This Row],[Movimiento]],Tabla9[Movimientos],0),2),0)</f>
        <v>0</v>
      </c>
      <c r="AD591" s="703">
        <f>IFERROR(INDEX(Tabla9[],MATCH(Producción_Agricola[[#This Row],[Movimiento]],Tabla9[Movimientos],0),3),0)</f>
        <v>0</v>
      </c>
      <c r="AE591" s="698">
        <f>IF(Producción_Agricola[[#This Row],[Fecha Económico]]=0,0,MONTH(Producción_Agricola[[#This Row],[Fecha Económico]]))</f>
        <v>0</v>
      </c>
      <c r="AF591" s="699">
        <f>IF(Producción_Agricola[[#This Row],[Fecha Económico]]=0,0,YEAR(Producción_Agricola[[#This Row],[Fecha Económico]]))</f>
        <v>0</v>
      </c>
      <c r="AG591" s="704">
        <f>SUMPRODUCT((Producción_Agricola[[#This Row],[Mes Económico]]=Tipo_Cambio[Mes])*(Producción_Agricola[[#This Row],[Año Económico]]=Tipo_Cambio[Año])*(Tipo_Cambio[$/U$S]))</f>
        <v>0</v>
      </c>
      <c r="AH591" s="703">
        <f>SUMPRODUCT((Producción_Agricola[[#This Row],[Mes Económico]]=Tipo_Cambio[Mes])*(Producción_Agricola[[#This Row],[Año Económico]]=Tipo_Cambio[Año])*(Tipo_Cambio[Actualización]))</f>
        <v>0</v>
      </c>
      <c r="AI591" s="699">
        <f>IF(ISNUMBER(Producción_Agricola[[#This Row],[Fecha Financiero]])=TRUE,MONTH(Producción_Agricola[[#This Row],[Fecha Financiero]]),0)</f>
        <v>0</v>
      </c>
      <c r="AJ591" s="699">
        <f>IF(ISNUMBER(Producción_Agricola[[#This Row],[Fecha Financiero]])=TRUE,YEAR(Producción_Agricola[[#This Row],[Fecha Financiero]]),0)</f>
        <v>0</v>
      </c>
      <c r="AK591" s="704">
        <f>SUMPRODUCT((Producción_Agricola[[#This Row],[Mes Financiero]]=Tipo_Cambio[Mes])*(Producción_Agricola[[#This Row],[Año Financiero]]=Tipo_Cambio[Año])*(Tipo_Cambio[$/U$S]))</f>
        <v>0</v>
      </c>
      <c r="AL591" s="704">
        <f>SUMPRODUCT((Producción_Agricola[[#This Row],[Mes Financiero]]=Tipo_Cambio[Mes])*(Producción_Agricola[[#This Row],[Año Financiero]]=Tipo_Cambio[Año])*(Tipo_Cambio[Actualización]))</f>
        <v>0</v>
      </c>
      <c r="AM591" s="709">
        <f>IFERROR(Producción_Agricola[[#This Row],[Económico $Corrientes]]/Producción_Agricola[[#This Row],[Superficie]],0)</f>
        <v>0</v>
      </c>
      <c r="AN591" s="712">
        <f>IFERROR(Producción_Agricola[[#This Row],[Económico $Constantes]]/Producción_Agricola[[#This Row],[Superficie]],0)</f>
        <v>0</v>
      </c>
      <c r="AO591" s="712">
        <f>IFERROR(Producción_Agricola[[#This Row],[Económico U$S Dólares]]/Producción_Agricola[[#This Row],[Superficie]],0)</f>
        <v>0</v>
      </c>
      <c r="AP591" s="711">
        <f>IF(Económico!$F$4=0,0,Producción_Agricola[[#This Row],[Centro de Costo]])</f>
        <v>0</v>
      </c>
      <c r="AQ591" s="512"/>
      <c r="AR591" s="513"/>
      <c r="AS591"/>
    </row>
    <row r="592" spans="1:45" x14ac:dyDescent="0.25">
      <c r="A592" s="509"/>
      <c r="B592" s="494"/>
      <c r="C592" s="509"/>
      <c r="D592" s="478"/>
      <c r="E592" s="478"/>
      <c r="F592" s="668">
        <f t="shared" si="68"/>
        <v>0</v>
      </c>
      <c r="G592" s="673">
        <f t="shared" si="69"/>
        <v>0</v>
      </c>
      <c r="H592" s="673">
        <f t="shared" si="70"/>
        <v>0</v>
      </c>
      <c r="I592" s="675">
        <f>IFERROR(INDEX(Tabla8[],MATCH(Producción_Agricola[[#This Row],[Unidad de Negocio]],Tabla8[Unidades de Negocio],0),2),0)</f>
        <v>0</v>
      </c>
      <c r="J59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92" s="488"/>
      <c r="L592" s="482"/>
      <c r="M592" s="483"/>
      <c r="N592" s="484"/>
      <c r="O592" s="690">
        <f>Producción_Agricola[[#This Row],[Superficie]]*Producción_Agricola[[#This Row],[Cantidad]]</f>
        <v>0</v>
      </c>
      <c r="P592" s="482"/>
      <c r="Q592" s="484"/>
      <c r="R592" s="485"/>
      <c r="S59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92" s="695">
        <f>IFERROR(Producción_Agricola[[#This Row],[Económico $Corrientes]]/Producción_Agricola[[#This Row],[Indexación Económico]],0)</f>
        <v>0</v>
      </c>
      <c r="U59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9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92" s="695">
        <f>IFERROR(Producción_Agricola[[#This Row],[Financiero $Corrientes]]/Producción_Agricola[[#This Row],[Indexación Financiero]],0)</f>
        <v>0</v>
      </c>
      <c r="X59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9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92" s="699">
        <f>IFERROR(Producción_Agricola[[#This Row],[Intereses $Corrientes]]/Producción_Agricola[[#This Row],[Indexación Financiero]],0)</f>
        <v>0</v>
      </c>
      <c r="AA59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92" s="701">
        <f>IFERROR(INDEX(Produccion_Agricola_Cuentas[],MATCH(Producción_Agricola[[#This Row],[Cuenta Contable]],Produccion_Agricola_Cuentas[Cuenta Contable],0),2),0)</f>
        <v>0</v>
      </c>
      <c r="AC592" s="702">
        <f>IFERROR(INDEX(Tabla9[],MATCH(Producción_Agricola[[#This Row],[Movimiento]],Tabla9[Movimientos],0),2),0)</f>
        <v>0</v>
      </c>
      <c r="AD592" s="703">
        <f>IFERROR(INDEX(Tabla9[],MATCH(Producción_Agricola[[#This Row],[Movimiento]],Tabla9[Movimientos],0),3),0)</f>
        <v>0</v>
      </c>
      <c r="AE592" s="698">
        <f>IF(Producción_Agricola[[#This Row],[Fecha Económico]]=0,0,MONTH(Producción_Agricola[[#This Row],[Fecha Económico]]))</f>
        <v>0</v>
      </c>
      <c r="AF592" s="699">
        <f>IF(Producción_Agricola[[#This Row],[Fecha Económico]]=0,0,YEAR(Producción_Agricola[[#This Row],[Fecha Económico]]))</f>
        <v>0</v>
      </c>
      <c r="AG592" s="704">
        <f>SUMPRODUCT((Producción_Agricola[[#This Row],[Mes Económico]]=Tipo_Cambio[Mes])*(Producción_Agricola[[#This Row],[Año Económico]]=Tipo_Cambio[Año])*(Tipo_Cambio[$/U$S]))</f>
        <v>0</v>
      </c>
      <c r="AH592" s="703">
        <f>SUMPRODUCT((Producción_Agricola[[#This Row],[Mes Económico]]=Tipo_Cambio[Mes])*(Producción_Agricola[[#This Row],[Año Económico]]=Tipo_Cambio[Año])*(Tipo_Cambio[Actualización]))</f>
        <v>0</v>
      </c>
      <c r="AI592" s="699">
        <f>IF(ISNUMBER(Producción_Agricola[[#This Row],[Fecha Financiero]])=TRUE,MONTH(Producción_Agricola[[#This Row],[Fecha Financiero]]),0)</f>
        <v>0</v>
      </c>
      <c r="AJ592" s="699">
        <f>IF(ISNUMBER(Producción_Agricola[[#This Row],[Fecha Financiero]])=TRUE,YEAR(Producción_Agricola[[#This Row],[Fecha Financiero]]),0)</f>
        <v>0</v>
      </c>
      <c r="AK592" s="704">
        <f>SUMPRODUCT((Producción_Agricola[[#This Row],[Mes Financiero]]=Tipo_Cambio[Mes])*(Producción_Agricola[[#This Row],[Año Financiero]]=Tipo_Cambio[Año])*(Tipo_Cambio[$/U$S]))</f>
        <v>0</v>
      </c>
      <c r="AL592" s="704">
        <f>SUMPRODUCT((Producción_Agricola[[#This Row],[Mes Financiero]]=Tipo_Cambio[Mes])*(Producción_Agricola[[#This Row],[Año Financiero]]=Tipo_Cambio[Año])*(Tipo_Cambio[Actualización]))</f>
        <v>0</v>
      </c>
      <c r="AM592" s="709">
        <f>IFERROR(Producción_Agricola[[#This Row],[Económico $Corrientes]]/Producción_Agricola[[#This Row],[Superficie]],0)</f>
        <v>0</v>
      </c>
      <c r="AN592" s="712">
        <f>IFERROR(Producción_Agricola[[#This Row],[Económico $Constantes]]/Producción_Agricola[[#This Row],[Superficie]],0)</f>
        <v>0</v>
      </c>
      <c r="AO592" s="712">
        <f>IFERROR(Producción_Agricola[[#This Row],[Económico U$S Dólares]]/Producción_Agricola[[#This Row],[Superficie]],0)</f>
        <v>0</v>
      </c>
      <c r="AP592" s="711">
        <f>IF(Económico!$F$4=0,0,Producción_Agricola[[#This Row],[Centro de Costo]])</f>
        <v>0</v>
      </c>
      <c r="AQ592" s="512"/>
      <c r="AR592" s="513"/>
      <c r="AS592"/>
    </row>
    <row r="593" spans="1:45" x14ac:dyDescent="0.25">
      <c r="A593" s="509"/>
      <c r="B593" s="494"/>
      <c r="C593" s="509"/>
      <c r="D593" s="478"/>
      <c r="E593" s="478"/>
      <c r="F593" s="668">
        <f t="shared" si="68"/>
        <v>0</v>
      </c>
      <c r="G593" s="673">
        <f t="shared" si="69"/>
        <v>0</v>
      </c>
      <c r="H593" s="673">
        <f t="shared" si="70"/>
        <v>0</v>
      </c>
      <c r="I593" s="675">
        <f>IFERROR(INDEX(Tabla8[],MATCH(Producción_Agricola[[#This Row],[Unidad de Negocio]],Tabla8[Unidades de Negocio],0),2),0)</f>
        <v>0</v>
      </c>
      <c r="J59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93" s="488"/>
      <c r="L593" s="482"/>
      <c r="M593" s="483"/>
      <c r="N593" s="484"/>
      <c r="O593" s="690">
        <f>Producción_Agricola[[#This Row],[Superficie]]*Producción_Agricola[[#This Row],[Cantidad]]</f>
        <v>0</v>
      </c>
      <c r="P593" s="482"/>
      <c r="Q593" s="484"/>
      <c r="R593" s="485"/>
      <c r="S59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93" s="695">
        <f>IFERROR(Producción_Agricola[[#This Row],[Económico $Corrientes]]/Producción_Agricola[[#This Row],[Indexación Económico]],0)</f>
        <v>0</v>
      </c>
      <c r="U59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9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93" s="695">
        <f>IFERROR(Producción_Agricola[[#This Row],[Financiero $Corrientes]]/Producción_Agricola[[#This Row],[Indexación Financiero]],0)</f>
        <v>0</v>
      </c>
      <c r="X59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9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93" s="699">
        <f>IFERROR(Producción_Agricola[[#This Row],[Intereses $Corrientes]]/Producción_Agricola[[#This Row],[Indexación Financiero]],0)</f>
        <v>0</v>
      </c>
      <c r="AA59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93" s="701">
        <f>IFERROR(INDEX(Produccion_Agricola_Cuentas[],MATCH(Producción_Agricola[[#This Row],[Cuenta Contable]],Produccion_Agricola_Cuentas[Cuenta Contable],0),2),0)</f>
        <v>0</v>
      </c>
      <c r="AC593" s="702">
        <f>IFERROR(INDEX(Tabla9[],MATCH(Producción_Agricola[[#This Row],[Movimiento]],Tabla9[Movimientos],0),2),0)</f>
        <v>0</v>
      </c>
      <c r="AD593" s="703">
        <f>IFERROR(INDEX(Tabla9[],MATCH(Producción_Agricola[[#This Row],[Movimiento]],Tabla9[Movimientos],0),3),0)</f>
        <v>0</v>
      </c>
      <c r="AE593" s="698">
        <f>IF(Producción_Agricola[[#This Row],[Fecha Económico]]=0,0,MONTH(Producción_Agricola[[#This Row],[Fecha Económico]]))</f>
        <v>0</v>
      </c>
      <c r="AF593" s="699">
        <f>IF(Producción_Agricola[[#This Row],[Fecha Económico]]=0,0,YEAR(Producción_Agricola[[#This Row],[Fecha Económico]]))</f>
        <v>0</v>
      </c>
      <c r="AG593" s="704">
        <f>SUMPRODUCT((Producción_Agricola[[#This Row],[Mes Económico]]=Tipo_Cambio[Mes])*(Producción_Agricola[[#This Row],[Año Económico]]=Tipo_Cambio[Año])*(Tipo_Cambio[$/U$S]))</f>
        <v>0</v>
      </c>
      <c r="AH593" s="703">
        <f>SUMPRODUCT((Producción_Agricola[[#This Row],[Mes Económico]]=Tipo_Cambio[Mes])*(Producción_Agricola[[#This Row],[Año Económico]]=Tipo_Cambio[Año])*(Tipo_Cambio[Actualización]))</f>
        <v>0</v>
      </c>
      <c r="AI593" s="699">
        <f>IF(ISNUMBER(Producción_Agricola[[#This Row],[Fecha Financiero]])=TRUE,MONTH(Producción_Agricola[[#This Row],[Fecha Financiero]]),0)</f>
        <v>0</v>
      </c>
      <c r="AJ593" s="699">
        <f>IF(ISNUMBER(Producción_Agricola[[#This Row],[Fecha Financiero]])=TRUE,YEAR(Producción_Agricola[[#This Row],[Fecha Financiero]]),0)</f>
        <v>0</v>
      </c>
      <c r="AK593" s="704">
        <f>SUMPRODUCT((Producción_Agricola[[#This Row],[Mes Financiero]]=Tipo_Cambio[Mes])*(Producción_Agricola[[#This Row],[Año Financiero]]=Tipo_Cambio[Año])*(Tipo_Cambio[$/U$S]))</f>
        <v>0</v>
      </c>
      <c r="AL593" s="704">
        <f>SUMPRODUCT((Producción_Agricola[[#This Row],[Mes Financiero]]=Tipo_Cambio[Mes])*(Producción_Agricola[[#This Row],[Año Financiero]]=Tipo_Cambio[Año])*(Tipo_Cambio[Actualización]))</f>
        <v>0</v>
      </c>
      <c r="AM593" s="709">
        <f>IFERROR(Producción_Agricola[[#This Row],[Económico $Corrientes]]/Producción_Agricola[[#This Row],[Superficie]],0)</f>
        <v>0</v>
      </c>
      <c r="AN593" s="712">
        <f>IFERROR(Producción_Agricola[[#This Row],[Económico $Constantes]]/Producción_Agricola[[#This Row],[Superficie]],0)</f>
        <v>0</v>
      </c>
      <c r="AO593" s="712">
        <f>IFERROR(Producción_Agricola[[#This Row],[Económico U$S Dólares]]/Producción_Agricola[[#This Row],[Superficie]],0)</f>
        <v>0</v>
      </c>
      <c r="AP593" s="711">
        <f>IF(Económico!$F$4=0,0,Producción_Agricola[[#This Row],[Centro de Costo]])</f>
        <v>0</v>
      </c>
      <c r="AQ593" s="512"/>
      <c r="AR593" s="513"/>
      <c r="AS593"/>
    </row>
    <row r="594" spans="1:45" x14ac:dyDescent="0.25">
      <c r="A594" s="509"/>
      <c r="B594" s="494"/>
      <c r="C594" s="509"/>
      <c r="D594" s="478"/>
      <c r="E594" s="478"/>
      <c r="F594" s="668">
        <f t="shared" si="68"/>
        <v>0</v>
      </c>
      <c r="G594" s="673">
        <f t="shared" si="69"/>
        <v>0</v>
      </c>
      <c r="H594" s="673">
        <f t="shared" si="70"/>
        <v>0</v>
      </c>
      <c r="I594" s="675">
        <f>IFERROR(INDEX(Tabla8[],MATCH(Producción_Agricola[[#This Row],[Unidad de Negocio]],Tabla8[Unidades de Negocio],0),2),0)</f>
        <v>0</v>
      </c>
      <c r="J59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94" s="488"/>
      <c r="L594" s="482"/>
      <c r="M594" s="483"/>
      <c r="N594" s="484"/>
      <c r="O594" s="690">
        <f>Producción_Agricola[[#This Row],[Superficie]]*Producción_Agricola[[#This Row],[Cantidad]]</f>
        <v>0</v>
      </c>
      <c r="P594" s="482"/>
      <c r="Q594" s="484"/>
      <c r="R594" s="485"/>
      <c r="S59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94" s="695">
        <f>IFERROR(Producción_Agricola[[#This Row],[Económico $Corrientes]]/Producción_Agricola[[#This Row],[Indexación Económico]],0)</f>
        <v>0</v>
      </c>
      <c r="U59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9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94" s="695">
        <f>IFERROR(Producción_Agricola[[#This Row],[Financiero $Corrientes]]/Producción_Agricola[[#This Row],[Indexación Financiero]],0)</f>
        <v>0</v>
      </c>
      <c r="X59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9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94" s="699">
        <f>IFERROR(Producción_Agricola[[#This Row],[Intereses $Corrientes]]/Producción_Agricola[[#This Row],[Indexación Financiero]],0)</f>
        <v>0</v>
      </c>
      <c r="AA59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94" s="701">
        <f>IFERROR(INDEX(Produccion_Agricola_Cuentas[],MATCH(Producción_Agricola[[#This Row],[Cuenta Contable]],Produccion_Agricola_Cuentas[Cuenta Contable],0),2),0)</f>
        <v>0</v>
      </c>
      <c r="AC594" s="702">
        <f>IFERROR(INDEX(Tabla9[],MATCH(Producción_Agricola[[#This Row],[Movimiento]],Tabla9[Movimientos],0),2),0)</f>
        <v>0</v>
      </c>
      <c r="AD594" s="703">
        <f>IFERROR(INDEX(Tabla9[],MATCH(Producción_Agricola[[#This Row],[Movimiento]],Tabla9[Movimientos],0),3),0)</f>
        <v>0</v>
      </c>
      <c r="AE594" s="698">
        <f>IF(Producción_Agricola[[#This Row],[Fecha Económico]]=0,0,MONTH(Producción_Agricola[[#This Row],[Fecha Económico]]))</f>
        <v>0</v>
      </c>
      <c r="AF594" s="699">
        <f>IF(Producción_Agricola[[#This Row],[Fecha Económico]]=0,0,YEAR(Producción_Agricola[[#This Row],[Fecha Económico]]))</f>
        <v>0</v>
      </c>
      <c r="AG594" s="704">
        <f>SUMPRODUCT((Producción_Agricola[[#This Row],[Mes Económico]]=Tipo_Cambio[Mes])*(Producción_Agricola[[#This Row],[Año Económico]]=Tipo_Cambio[Año])*(Tipo_Cambio[$/U$S]))</f>
        <v>0</v>
      </c>
      <c r="AH594" s="703">
        <f>SUMPRODUCT((Producción_Agricola[[#This Row],[Mes Económico]]=Tipo_Cambio[Mes])*(Producción_Agricola[[#This Row],[Año Económico]]=Tipo_Cambio[Año])*(Tipo_Cambio[Actualización]))</f>
        <v>0</v>
      </c>
      <c r="AI594" s="699">
        <f>IF(ISNUMBER(Producción_Agricola[[#This Row],[Fecha Financiero]])=TRUE,MONTH(Producción_Agricola[[#This Row],[Fecha Financiero]]),0)</f>
        <v>0</v>
      </c>
      <c r="AJ594" s="699">
        <f>IF(ISNUMBER(Producción_Agricola[[#This Row],[Fecha Financiero]])=TRUE,YEAR(Producción_Agricola[[#This Row],[Fecha Financiero]]),0)</f>
        <v>0</v>
      </c>
      <c r="AK594" s="704">
        <f>SUMPRODUCT((Producción_Agricola[[#This Row],[Mes Financiero]]=Tipo_Cambio[Mes])*(Producción_Agricola[[#This Row],[Año Financiero]]=Tipo_Cambio[Año])*(Tipo_Cambio[$/U$S]))</f>
        <v>0</v>
      </c>
      <c r="AL594" s="704">
        <f>SUMPRODUCT((Producción_Agricola[[#This Row],[Mes Financiero]]=Tipo_Cambio[Mes])*(Producción_Agricola[[#This Row],[Año Financiero]]=Tipo_Cambio[Año])*(Tipo_Cambio[Actualización]))</f>
        <v>0</v>
      </c>
      <c r="AM594" s="709">
        <f>IFERROR(Producción_Agricola[[#This Row],[Económico $Corrientes]]/Producción_Agricola[[#This Row],[Superficie]],0)</f>
        <v>0</v>
      </c>
      <c r="AN594" s="712">
        <f>IFERROR(Producción_Agricola[[#This Row],[Económico $Constantes]]/Producción_Agricola[[#This Row],[Superficie]],0)</f>
        <v>0</v>
      </c>
      <c r="AO594" s="712">
        <f>IFERROR(Producción_Agricola[[#This Row],[Económico U$S Dólares]]/Producción_Agricola[[#This Row],[Superficie]],0)</f>
        <v>0</v>
      </c>
      <c r="AP594" s="711">
        <f>IF(Económico!$F$4=0,0,Producción_Agricola[[#This Row],[Centro de Costo]])</f>
        <v>0</v>
      </c>
      <c r="AQ594" s="512"/>
      <c r="AR594" s="513"/>
      <c r="AS594"/>
    </row>
    <row r="595" spans="1:45" x14ac:dyDescent="0.25">
      <c r="A595" s="509"/>
      <c r="B595" s="494"/>
      <c r="C595" s="509"/>
      <c r="D595" s="478"/>
      <c r="E595" s="478"/>
      <c r="F595" s="668">
        <f t="shared" si="68"/>
        <v>0</v>
      </c>
      <c r="G595" s="673">
        <f t="shared" si="69"/>
        <v>0</v>
      </c>
      <c r="H595" s="673">
        <f t="shared" si="70"/>
        <v>0</v>
      </c>
      <c r="I595" s="675">
        <f>IFERROR(INDEX(Tabla8[],MATCH(Producción_Agricola[[#This Row],[Unidad de Negocio]],Tabla8[Unidades de Negocio],0),2),0)</f>
        <v>0</v>
      </c>
      <c r="J59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95" s="488"/>
      <c r="L595" s="482"/>
      <c r="M595" s="483"/>
      <c r="N595" s="484"/>
      <c r="O595" s="690">
        <f>Producción_Agricola[[#This Row],[Superficie]]*Producción_Agricola[[#This Row],[Cantidad]]</f>
        <v>0</v>
      </c>
      <c r="P595" s="482"/>
      <c r="Q595" s="484"/>
      <c r="R595" s="485"/>
      <c r="S59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95" s="695">
        <f>IFERROR(Producción_Agricola[[#This Row],[Económico $Corrientes]]/Producción_Agricola[[#This Row],[Indexación Económico]],0)</f>
        <v>0</v>
      </c>
      <c r="U59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9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95" s="695">
        <f>IFERROR(Producción_Agricola[[#This Row],[Financiero $Corrientes]]/Producción_Agricola[[#This Row],[Indexación Financiero]],0)</f>
        <v>0</v>
      </c>
      <c r="X59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9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95" s="699">
        <f>IFERROR(Producción_Agricola[[#This Row],[Intereses $Corrientes]]/Producción_Agricola[[#This Row],[Indexación Financiero]],0)</f>
        <v>0</v>
      </c>
      <c r="AA59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95" s="701">
        <f>IFERROR(INDEX(Produccion_Agricola_Cuentas[],MATCH(Producción_Agricola[[#This Row],[Cuenta Contable]],Produccion_Agricola_Cuentas[Cuenta Contable],0),2),0)</f>
        <v>0</v>
      </c>
      <c r="AC595" s="702">
        <f>IFERROR(INDEX(Tabla9[],MATCH(Producción_Agricola[[#This Row],[Movimiento]],Tabla9[Movimientos],0),2),0)</f>
        <v>0</v>
      </c>
      <c r="AD595" s="703">
        <f>IFERROR(INDEX(Tabla9[],MATCH(Producción_Agricola[[#This Row],[Movimiento]],Tabla9[Movimientos],0),3),0)</f>
        <v>0</v>
      </c>
      <c r="AE595" s="698">
        <f>IF(Producción_Agricola[[#This Row],[Fecha Económico]]=0,0,MONTH(Producción_Agricola[[#This Row],[Fecha Económico]]))</f>
        <v>0</v>
      </c>
      <c r="AF595" s="699">
        <f>IF(Producción_Agricola[[#This Row],[Fecha Económico]]=0,0,YEAR(Producción_Agricola[[#This Row],[Fecha Económico]]))</f>
        <v>0</v>
      </c>
      <c r="AG595" s="704">
        <f>SUMPRODUCT((Producción_Agricola[[#This Row],[Mes Económico]]=Tipo_Cambio[Mes])*(Producción_Agricola[[#This Row],[Año Económico]]=Tipo_Cambio[Año])*(Tipo_Cambio[$/U$S]))</f>
        <v>0</v>
      </c>
      <c r="AH595" s="703">
        <f>SUMPRODUCT((Producción_Agricola[[#This Row],[Mes Económico]]=Tipo_Cambio[Mes])*(Producción_Agricola[[#This Row],[Año Económico]]=Tipo_Cambio[Año])*(Tipo_Cambio[Actualización]))</f>
        <v>0</v>
      </c>
      <c r="AI595" s="699">
        <f>IF(ISNUMBER(Producción_Agricola[[#This Row],[Fecha Financiero]])=TRUE,MONTH(Producción_Agricola[[#This Row],[Fecha Financiero]]),0)</f>
        <v>0</v>
      </c>
      <c r="AJ595" s="699">
        <f>IF(ISNUMBER(Producción_Agricola[[#This Row],[Fecha Financiero]])=TRUE,YEAR(Producción_Agricola[[#This Row],[Fecha Financiero]]),0)</f>
        <v>0</v>
      </c>
      <c r="AK595" s="704">
        <f>SUMPRODUCT((Producción_Agricola[[#This Row],[Mes Financiero]]=Tipo_Cambio[Mes])*(Producción_Agricola[[#This Row],[Año Financiero]]=Tipo_Cambio[Año])*(Tipo_Cambio[$/U$S]))</f>
        <v>0</v>
      </c>
      <c r="AL595" s="704">
        <f>SUMPRODUCT((Producción_Agricola[[#This Row],[Mes Financiero]]=Tipo_Cambio[Mes])*(Producción_Agricola[[#This Row],[Año Financiero]]=Tipo_Cambio[Año])*(Tipo_Cambio[Actualización]))</f>
        <v>0</v>
      </c>
      <c r="AM595" s="709">
        <f>IFERROR(Producción_Agricola[[#This Row],[Económico $Corrientes]]/Producción_Agricola[[#This Row],[Superficie]],0)</f>
        <v>0</v>
      </c>
      <c r="AN595" s="712">
        <f>IFERROR(Producción_Agricola[[#This Row],[Económico $Constantes]]/Producción_Agricola[[#This Row],[Superficie]],0)</f>
        <v>0</v>
      </c>
      <c r="AO595" s="712">
        <f>IFERROR(Producción_Agricola[[#This Row],[Económico U$S Dólares]]/Producción_Agricola[[#This Row],[Superficie]],0)</f>
        <v>0</v>
      </c>
      <c r="AP595" s="711">
        <f>IF(Económico!$F$4=0,0,Producción_Agricola[[#This Row],[Centro de Costo]])</f>
        <v>0</v>
      </c>
      <c r="AQ595" s="512"/>
      <c r="AR595" s="513"/>
      <c r="AS595"/>
    </row>
    <row r="596" spans="1:45" ht="15.75" thickBot="1" x14ac:dyDescent="0.3">
      <c r="A596" s="509"/>
      <c r="B596" s="494" t="s">
        <v>101</v>
      </c>
      <c r="C596" s="509"/>
      <c r="D596" s="478"/>
      <c r="E596" s="478"/>
      <c r="F596" s="668">
        <f t="shared" si="68"/>
        <v>0</v>
      </c>
      <c r="G596" s="673">
        <f t="shared" si="69"/>
        <v>0</v>
      </c>
      <c r="H596" s="673">
        <f t="shared" si="70"/>
        <v>0</v>
      </c>
      <c r="I596" s="675">
        <f>IFERROR(INDEX(Tabla8[],MATCH(Producción_Agricola[[#This Row],[Unidad de Negocio]],Tabla8[Unidades de Negocio],0),2),0)</f>
        <v>0</v>
      </c>
      <c r="J59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96" s="488"/>
      <c r="L596" s="482"/>
      <c r="M596" s="483"/>
      <c r="N596" s="484"/>
      <c r="O596" s="690">
        <f>Producción_Agricola[[#This Row],[Superficie]]*Producción_Agricola[[#This Row],[Cantidad]]</f>
        <v>0</v>
      </c>
      <c r="P596" s="482"/>
      <c r="Q596" s="484"/>
      <c r="R596" s="485"/>
      <c r="S59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96" s="695">
        <f>IFERROR(Producción_Agricola[[#This Row],[Económico $Corrientes]]/Producción_Agricola[[#This Row],[Indexación Económico]],0)</f>
        <v>0</v>
      </c>
      <c r="U59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9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96" s="695">
        <f>IFERROR(Producción_Agricola[[#This Row],[Financiero $Corrientes]]/Producción_Agricola[[#This Row],[Indexación Financiero]],0)</f>
        <v>0</v>
      </c>
      <c r="X59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9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96" s="699">
        <f>IFERROR(Producción_Agricola[[#This Row],[Intereses $Corrientes]]/Producción_Agricola[[#This Row],[Indexación Financiero]],0)</f>
        <v>0</v>
      </c>
      <c r="AA59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96" s="701">
        <f>IFERROR(INDEX(Produccion_Agricola_Cuentas[],MATCH(Producción_Agricola[[#This Row],[Cuenta Contable]],Produccion_Agricola_Cuentas[Cuenta Contable],0),2),0)</f>
        <v>0</v>
      </c>
      <c r="AC596" s="702">
        <f>IFERROR(INDEX(Tabla9[],MATCH(Producción_Agricola[[#This Row],[Movimiento]],Tabla9[Movimientos],0),2),0)</f>
        <v>0</v>
      </c>
      <c r="AD596" s="703">
        <f>IFERROR(INDEX(Tabla9[],MATCH(Producción_Agricola[[#This Row],[Movimiento]],Tabla9[Movimientos],0),3),0)</f>
        <v>0</v>
      </c>
      <c r="AE596" s="698">
        <f>IF(Producción_Agricola[[#This Row],[Fecha Económico]]=0,0,MONTH(Producción_Agricola[[#This Row],[Fecha Económico]]))</f>
        <v>0</v>
      </c>
      <c r="AF596" s="699">
        <f>IF(Producción_Agricola[[#This Row],[Fecha Económico]]=0,0,YEAR(Producción_Agricola[[#This Row],[Fecha Económico]]))</f>
        <v>0</v>
      </c>
      <c r="AG596" s="704">
        <f>SUMPRODUCT((Producción_Agricola[[#This Row],[Mes Económico]]=Tipo_Cambio[Mes])*(Producción_Agricola[[#This Row],[Año Económico]]=Tipo_Cambio[Año])*(Tipo_Cambio[$/U$S]))</f>
        <v>0</v>
      </c>
      <c r="AH596" s="703">
        <f>SUMPRODUCT((Producción_Agricola[[#This Row],[Mes Económico]]=Tipo_Cambio[Mes])*(Producción_Agricola[[#This Row],[Año Económico]]=Tipo_Cambio[Año])*(Tipo_Cambio[Actualización]))</f>
        <v>0</v>
      </c>
      <c r="AI596" s="699">
        <f>IF(ISNUMBER(Producción_Agricola[[#This Row],[Fecha Financiero]])=TRUE,MONTH(Producción_Agricola[[#This Row],[Fecha Financiero]]),0)</f>
        <v>0</v>
      </c>
      <c r="AJ596" s="699">
        <f>IF(ISNUMBER(Producción_Agricola[[#This Row],[Fecha Financiero]])=TRUE,YEAR(Producción_Agricola[[#This Row],[Fecha Financiero]]),0)</f>
        <v>0</v>
      </c>
      <c r="AK596" s="704">
        <f>SUMPRODUCT((Producción_Agricola[[#This Row],[Mes Financiero]]=Tipo_Cambio[Mes])*(Producción_Agricola[[#This Row],[Año Financiero]]=Tipo_Cambio[Año])*(Tipo_Cambio[$/U$S]))</f>
        <v>0</v>
      </c>
      <c r="AL596" s="704">
        <f>SUMPRODUCT((Producción_Agricola[[#This Row],[Mes Financiero]]=Tipo_Cambio[Mes])*(Producción_Agricola[[#This Row],[Año Financiero]]=Tipo_Cambio[Año])*(Tipo_Cambio[Actualización]))</f>
        <v>0</v>
      </c>
      <c r="AM596" s="709">
        <f>IFERROR(Producción_Agricola[[#This Row],[Económico $Corrientes]]/Producción_Agricola[[#This Row],[Superficie]],0)</f>
        <v>0</v>
      </c>
      <c r="AN596" s="712">
        <f>IFERROR(Producción_Agricola[[#This Row],[Económico $Constantes]]/Producción_Agricola[[#This Row],[Superficie]],0)</f>
        <v>0</v>
      </c>
      <c r="AO596" s="712">
        <f>IFERROR(Producción_Agricola[[#This Row],[Económico U$S Dólares]]/Producción_Agricola[[#This Row],[Superficie]],0)</f>
        <v>0</v>
      </c>
      <c r="AP596" s="711">
        <f>IF(Económico!$F$4=0,0,Producción_Agricola[[#This Row],[Centro de Costo]])</f>
        <v>0</v>
      </c>
      <c r="AQ596" s="512"/>
      <c r="AR596" s="513"/>
      <c r="AS596"/>
    </row>
    <row r="597" spans="1:45" ht="15.75" thickTop="1" x14ac:dyDescent="0.25">
      <c r="A597" s="509"/>
      <c r="B597" s="477" t="s">
        <v>451</v>
      </c>
      <c r="C597" s="509"/>
      <c r="D597" s="495"/>
      <c r="E597" s="495"/>
      <c r="F597" s="679" t="str">
        <f>+$B$598</f>
        <v>2018-2019</v>
      </c>
      <c r="G597" s="680" t="str">
        <f>+$B$599</f>
        <v>Campo 1</v>
      </c>
      <c r="H597" s="680" t="str">
        <f>+$B$600</f>
        <v>Soja de Segunda</v>
      </c>
      <c r="I597" s="683" t="str">
        <f>IFERROR(INDEX(Tabla8[],MATCH(Producción_Agricola[[#This Row],[Unidad de Negocio]],Tabla8[Unidades de Negocio],0),2),0)</f>
        <v>Soja</v>
      </c>
      <c r="J597" s="684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97" s="508"/>
      <c r="L597" s="497"/>
      <c r="M597" s="498"/>
      <c r="N597" s="499"/>
      <c r="O597" s="691">
        <f>Producción_Agricola[[#This Row],[Superficie]]*Producción_Agricola[[#This Row],[Cantidad]]</f>
        <v>0</v>
      </c>
      <c r="P597" s="497"/>
      <c r="Q597" s="499"/>
      <c r="R597" s="500"/>
      <c r="S597" s="74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97" s="714">
        <f>IFERROR(Producción_Agricola[[#This Row],[Económico $Corrientes]]/Producción_Agricola[[#This Row],[Indexación Económico]],0)</f>
        <v>0</v>
      </c>
      <c r="U597" s="741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97" s="715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97" s="714">
        <f>IFERROR(Producción_Agricola[[#This Row],[Financiero $Corrientes]]/Producción_Agricola[[#This Row],[Indexación Financiero]],0)</f>
        <v>0</v>
      </c>
      <c r="X597" s="716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97" s="717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97" s="718">
        <f>IFERROR(Producción_Agricola[[#This Row],[Intereses $Corrientes]]/Producción_Agricola[[#This Row],[Indexación Financiero]],0)</f>
        <v>0</v>
      </c>
      <c r="AA597" s="719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97" s="720">
        <f>IFERROR(INDEX(Produccion_Agricola_Cuentas[],MATCH(Producción_Agricola[[#This Row],[Cuenta Contable]],Produccion_Agricola_Cuentas[Cuenta Contable],0),2),0)</f>
        <v>0</v>
      </c>
      <c r="AC597" s="721">
        <f>IFERROR(INDEX(Tabla9[],MATCH(Producción_Agricola[[#This Row],[Movimiento]],Tabla9[Movimientos],0),2),0)</f>
        <v>0</v>
      </c>
      <c r="AD597" s="722">
        <f>IFERROR(INDEX(Tabla9[],MATCH(Producción_Agricola[[#This Row],[Movimiento]],Tabla9[Movimientos],0),3),0)</f>
        <v>0</v>
      </c>
      <c r="AE597" s="717">
        <f>IF(Producción_Agricola[[#This Row],[Fecha Económico]]=0,0,MONTH(Producción_Agricola[[#This Row],[Fecha Económico]]))</f>
        <v>0</v>
      </c>
      <c r="AF597" s="718">
        <f>IF(Producción_Agricola[[#This Row],[Fecha Económico]]=0,0,YEAR(Producción_Agricola[[#This Row],[Fecha Económico]]))</f>
        <v>0</v>
      </c>
      <c r="AG597" s="723">
        <f>SUMPRODUCT((Producción_Agricola[[#This Row],[Mes Económico]]=Tipo_Cambio[Mes])*(Producción_Agricola[[#This Row],[Año Económico]]=Tipo_Cambio[Año])*(Tipo_Cambio[$/U$S]))</f>
        <v>0</v>
      </c>
      <c r="AH597" s="722">
        <f>SUMPRODUCT((Producción_Agricola[[#This Row],[Mes Económico]]=Tipo_Cambio[Mes])*(Producción_Agricola[[#This Row],[Año Económico]]=Tipo_Cambio[Año])*(Tipo_Cambio[Actualización]))</f>
        <v>0</v>
      </c>
      <c r="AI597" s="718">
        <f>IF(ISNUMBER(Producción_Agricola[[#This Row],[Fecha Financiero]])=TRUE,MONTH(Producción_Agricola[[#This Row],[Fecha Financiero]]),0)</f>
        <v>0</v>
      </c>
      <c r="AJ597" s="718">
        <f>IF(ISNUMBER(Producción_Agricola[[#This Row],[Fecha Financiero]])=TRUE,YEAR(Producción_Agricola[[#This Row],[Fecha Financiero]]),0)</f>
        <v>0</v>
      </c>
      <c r="AK597" s="723">
        <f>SUMPRODUCT((Producción_Agricola[[#This Row],[Mes Financiero]]=Tipo_Cambio[Mes])*(Producción_Agricola[[#This Row],[Año Financiero]]=Tipo_Cambio[Año])*(Tipo_Cambio[$/U$S]))</f>
        <v>0</v>
      </c>
      <c r="AL597" s="723">
        <f>SUMPRODUCT((Producción_Agricola[[#This Row],[Mes Financiero]]=Tipo_Cambio[Mes])*(Producción_Agricola[[#This Row],[Año Financiero]]=Tipo_Cambio[Año])*(Tipo_Cambio[Actualización]))</f>
        <v>0</v>
      </c>
      <c r="AM597" s="742">
        <f>IFERROR(Producción_Agricola[[#This Row],[Económico $Corrientes]]/Producción_Agricola[[#This Row],[Superficie]],0)</f>
        <v>0</v>
      </c>
      <c r="AN597" s="743">
        <f>IFERROR(Producción_Agricola[[#This Row],[Económico $Constantes]]/Producción_Agricola[[#This Row],[Superficie]],0)</f>
        <v>0</v>
      </c>
      <c r="AO597" s="743">
        <f>IFERROR(Producción_Agricola[[#This Row],[Económico U$S Dólares]]/Producción_Agricola[[#This Row],[Superficie]],0)</f>
        <v>0</v>
      </c>
      <c r="AP597" s="744" t="str">
        <f>IF(Económico!$F$4=0,0,Producción_Agricola[[#This Row],[Centro de Costo]])</f>
        <v>Campo 1</v>
      </c>
      <c r="AQ597" s="516"/>
      <c r="AR597" s="517"/>
      <c r="AS597"/>
    </row>
    <row r="598" spans="1:45" x14ac:dyDescent="0.25">
      <c r="A598" s="509"/>
      <c r="B598" s="501" t="str">
        <f>$F$165</f>
        <v>2018-2019</v>
      </c>
      <c r="C598" s="509"/>
      <c r="D598" s="478"/>
      <c r="E598" s="478"/>
      <c r="F598" s="668" t="str">
        <f t="shared" ref="F598:F650" si="71">+$B$598</f>
        <v>2018-2019</v>
      </c>
      <c r="G598" s="673" t="str">
        <f t="shared" ref="G598:G650" si="72">+$B$599</f>
        <v>Campo 1</v>
      </c>
      <c r="H598" s="673" t="str">
        <f t="shared" ref="H598:H650" si="73">+$B$600</f>
        <v>Soja de Segunda</v>
      </c>
      <c r="I598" s="675" t="str">
        <f>IFERROR(INDEX(Tabla8[],MATCH(Producción_Agricola[[#This Row],[Unidad de Negocio]],Tabla8[Unidades de Negocio],0),2),0)</f>
        <v>Soja</v>
      </c>
      <c r="J59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98" s="488"/>
      <c r="L598" s="482"/>
      <c r="M598" s="483"/>
      <c r="N598" s="484"/>
      <c r="O598" s="690">
        <f>Producción_Agricola[[#This Row],[Superficie]]*Producción_Agricola[[#This Row],[Cantidad]]</f>
        <v>0</v>
      </c>
      <c r="P598" s="482"/>
      <c r="Q598" s="484"/>
      <c r="R598" s="485"/>
      <c r="S59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98" s="695">
        <f>IFERROR(Producción_Agricola[[#This Row],[Económico $Corrientes]]/Producción_Agricola[[#This Row],[Indexación Económico]],0)</f>
        <v>0</v>
      </c>
      <c r="U59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9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98" s="695">
        <f>IFERROR(Producción_Agricola[[#This Row],[Financiero $Corrientes]]/Producción_Agricola[[#This Row],[Indexación Financiero]],0)</f>
        <v>0</v>
      </c>
      <c r="X59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9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98" s="699">
        <f>IFERROR(Producción_Agricola[[#This Row],[Intereses $Corrientes]]/Producción_Agricola[[#This Row],[Indexación Financiero]],0)</f>
        <v>0</v>
      </c>
      <c r="AA59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98" s="701">
        <f>IFERROR(INDEX(Produccion_Agricola_Cuentas[],MATCH(Producción_Agricola[[#This Row],[Cuenta Contable]],Produccion_Agricola_Cuentas[Cuenta Contable],0),2),0)</f>
        <v>0</v>
      </c>
      <c r="AC598" s="702">
        <f>IFERROR(INDEX(Tabla9[],MATCH(Producción_Agricola[[#This Row],[Movimiento]],Tabla9[Movimientos],0),2),0)</f>
        <v>0</v>
      </c>
      <c r="AD598" s="703">
        <f>IFERROR(INDEX(Tabla9[],MATCH(Producción_Agricola[[#This Row],[Movimiento]],Tabla9[Movimientos],0),3),0)</f>
        <v>0</v>
      </c>
      <c r="AE598" s="698">
        <f>IF(Producción_Agricola[[#This Row],[Fecha Económico]]=0,0,MONTH(Producción_Agricola[[#This Row],[Fecha Económico]]))</f>
        <v>0</v>
      </c>
      <c r="AF598" s="699">
        <f>IF(Producción_Agricola[[#This Row],[Fecha Económico]]=0,0,YEAR(Producción_Agricola[[#This Row],[Fecha Económico]]))</f>
        <v>0</v>
      </c>
      <c r="AG598" s="704">
        <f>SUMPRODUCT((Producción_Agricola[[#This Row],[Mes Económico]]=Tipo_Cambio[Mes])*(Producción_Agricola[[#This Row],[Año Económico]]=Tipo_Cambio[Año])*(Tipo_Cambio[$/U$S]))</f>
        <v>0</v>
      </c>
      <c r="AH598" s="703">
        <f>SUMPRODUCT((Producción_Agricola[[#This Row],[Mes Económico]]=Tipo_Cambio[Mes])*(Producción_Agricola[[#This Row],[Año Económico]]=Tipo_Cambio[Año])*(Tipo_Cambio[Actualización]))</f>
        <v>0</v>
      </c>
      <c r="AI598" s="699">
        <f>IF(ISNUMBER(Producción_Agricola[[#This Row],[Fecha Financiero]])=TRUE,MONTH(Producción_Agricola[[#This Row],[Fecha Financiero]]),0)</f>
        <v>0</v>
      </c>
      <c r="AJ598" s="699">
        <f>IF(ISNUMBER(Producción_Agricola[[#This Row],[Fecha Financiero]])=TRUE,YEAR(Producción_Agricola[[#This Row],[Fecha Financiero]]),0)</f>
        <v>0</v>
      </c>
      <c r="AK598" s="704">
        <f>SUMPRODUCT((Producción_Agricola[[#This Row],[Mes Financiero]]=Tipo_Cambio[Mes])*(Producción_Agricola[[#This Row],[Año Financiero]]=Tipo_Cambio[Año])*(Tipo_Cambio[$/U$S]))</f>
        <v>0</v>
      </c>
      <c r="AL598" s="704">
        <f>SUMPRODUCT((Producción_Agricola[[#This Row],[Mes Financiero]]=Tipo_Cambio[Mes])*(Producción_Agricola[[#This Row],[Año Financiero]]=Tipo_Cambio[Año])*(Tipo_Cambio[Actualización]))</f>
        <v>0</v>
      </c>
      <c r="AM598" s="709">
        <f>IFERROR(Producción_Agricola[[#This Row],[Económico $Corrientes]]/Producción_Agricola[[#This Row],[Superficie]],0)</f>
        <v>0</v>
      </c>
      <c r="AN598" s="712">
        <f>IFERROR(Producción_Agricola[[#This Row],[Económico $Constantes]]/Producción_Agricola[[#This Row],[Superficie]],0)</f>
        <v>0</v>
      </c>
      <c r="AO598" s="712">
        <f>IFERROR(Producción_Agricola[[#This Row],[Económico U$S Dólares]]/Producción_Agricola[[#This Row],[Superficie]],0)</f>
        <v>0</v>
      </c>
      <c r="AP598" s="711" t="str">
        <f>IF(Económico!$F$4=0,0,Producción_Agricola[[#This Row],[Centro de Costo]])</f>
        <v>Campo 1</v>
      </c>
      <c r="AQ598" s="512"/>
      <c r="AR598" s="513"/>
      <c r="AS598"/>
    </row>
    <row r="599" spans="1:45" x14ac:dyDescent="0.25">
      <c r="A599" s="509"/>
      <c r="B599" s="486" t="s">
        <v>2</v>
      </c>
      <c r="C599" s="509"/>
      <c r="D599" s="478"/>
      <c r="E599" s="478"/>
      <c r="F599" s="668" t="str">
        <f t="shared" si="71"/>
        <v>2018-2019</v>
      </c>
      <c r="G599" s="673" t="str">
        <f t="shared" si="72"/>
        <v>Campo 1</v>
      </c>
      <c r="H599" s="673" t="str">
        <f t="shared" si="73"/>
        <v>Soja de Segunda</v>
      </c>
      <c r="I599" s="675" t="str">
        <f>IFERROR(INDEX(Tabla8[],MATCH(Producción_Agricola[[#This Row],[Unidad de Negocio]],Tabla8[Unidades de Negocio],0),2),0)</f>
        <v>Soja</v>
      </c>
      <c r="J59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599" s="488"/>
      <c r="L599" s="482"/>
      <c r="M599" s="483"/>
      <c r="N599" s="484"/>
      <c r="O599" s="690">
        <f>Producción_Agricola[[#This Row],[Superficie]]*Producción_Agricola[[#This Row],[Cantidad]]</f>
        <v>0</v>
      </c>
      <c r="P599" s="482"/>
      <c r="Q599" s="484"/>
      <c r="R599" s="485"/>
      <c r="S59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599" s="695">
        <f>IFERROR(Producción_Agricola[[#This Row],[Económico $Corrientes]]/Producción_Agricola[[#This Row],[Indexación Económico]],0)</f>
        <v>0</v>
      </c>
      <c r="U59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59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599" s="695">
        <f>IFERROR(Producción_Agricola[[#This Row],[Financiero $Corrientes]]/Producción_Agricola[[#This Row],[Indexación Financiero]],0)</f>
        <v>0</v>
      </c>
      <c r="X59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59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599" s="699">
        <f>IFERROR(Producción_Agricola[[#This Row],[Intereses $Corrientes]]/Producción_Agricola[[#This Row],[Indexación Financiero]],0)</f>
        <v>0</v>
      </c>
      <c r="AA59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599" s="701">
        <f>IFERROR(INDEX(Produccion_Agricola_Cuentas[],MATCH(Producción_Agricola[[#This Row],[Cuenta Contable]],Produccion_Agricola_Cuentas[Cuenta Contable],0),2),0)</f>
        <v>0</v>
      </c>
      <c r="AC599" s="702">
        <f>IFERROR(INDEX(Tabla9[],MATCH(Producción_Agricola[[#This Row],[Movimiento]],Tabla9[Movimientos],0),2),0)</f>
        <v>0</v>
      </c>
      <c r="AD599" s="703">
        <f>IFERROR(INDEX(Tabla9[],MATCH(Producción_Agricola[[#This Row],[Movimiento]],Tabla9[Movimientos],0),3),0)</f>
        <v>0</v>
      </c>
      <c r="AE599" s="698">
        <f>IF(Producción_Agricola[[#This Row],[Fecha Económico]]=0,0,MONTH(Producción_Agricola[[#This Row],[Fecha Económico]]))</f>
        <v>0</v>
      </c>
      <c r="AF599" s="699">
        <f>IF(Producción_Agricola[[#This Row],[Fecha Económico]]=0,0,YEAR(Producción_Agricola[[#This Row],[Fecha Económico]]))</f>
        <v>0</v>
      </c>
      <c r="AG599" s="704">
        <f>SUMPRODUCT((Producción_Agricola[[#This Row],[Mes Económico]]=Tipo_Cambio[Mes])*(Producción_Agricola[[#This Row],[Año Económico]]=Tipo_Cambio[Año])*(Tipo_Cambio[$/U$S]))</f>
        <v>0</v>
      </c>
      <c r="AH599" s="703">
        <f>SUMPRODUCT((Producción_Agricola[[#This Row],[Mes Económico]]=Tipo_Cambio[Mes])*(Producción_Agricola[[#This Row],[Año Económico]]=Tipo_Cambio[Año])*(Tipo_Cambio[Actualización]))</f>
        <v>0</v>
      </c>
      <c r="AI599" s="699">
        <f>IF(ISNUMBER(Producción_Agricola[[#This Row],[Fecha Financiero]])=TRUE,MONTH(Producción_Agricola[[#This Row],[Fecha Financiero]]),0)</f>
        <v>0</v>
      </c>
      <c r="AJ599" s="699">
        <f>IF(ISNUMBER(Producción_Agricola[[#This Row],[Fecha Financiero]])=TRUE,YEAR(Producción_Agricola[[#This Row],[Fecha Financiero]]),0)</f>
        <v>0</v>
      </c>
      <c r="AK599" s="704">
        <f>SUMPRODUCT((Producción_Agricola[[#This Row],[Mes Financiero]]=Tipo_Cambio[Mes])*(Producción_Agricola[[#This Row],[Año Financiero]]=Tipo_Cambio[Año])*(Tipo_Cambio[$/U$S]))</f>
        <v>0</v>
      </c>
      <c r="AL599" s="704">
        <f>SUMPRODUCT((Producción_Agricola[[#This Row],[Mes Financiero]]=Tipo_Cambio[Mes])*(Producción_Agricola[[#This Row],[Año Financiero]]=Tipo_Cambio[Año])*(Tipo_Cambio[Actualización]))</f>
        <v>0</v>
      </c>
      <c r="AM599" s="709">
        <f>IFERROR(Producción_Agricola[[#This Row],[Económico $Corrientes]]/Producción_Agricola[[#This Row],[Superficie]],0)</f>
        <v>0</v>
      </c>
      <c r="AN599" s="712">
        <f>IFERROR(Producción_Agricola[[#This Row],[Económico $Constantes]]/Producción_Agricola[[#This Row],[Superficie]],0)</f>
        <v>0</v>
      </c>
      <c r="AO599" s="712">
        <f>IFERROR(Producción_Agricola[[#This Row],[Económico U$S Dólares]]/Producción_Agricola[[#This Row],[Superficie]],0)</f>
        <v>0</v>
      </c>
      <c r="AP599" s="711" t="str">
        <f>IF(Económico!$F$4=0,0,Producción_Agricola[[#This Row],[Centro de Costo]])</f>
        <v>Campo 1</v>
      </c>
      <c r="AQ599" s="512"/>
      <c r="AR599" s="513"/>
      <c r="AS599"/>
    </row>
    <row r="600" spans="1:45" x14ac:dyDescent="0.25">
      <c r="A600" s="509"/>
      <c r="B600" s="486" t="s">
        <v>246</v>
      </c>
      <c r="C600" s="509"/>
      <c r="D600" s="478"/>
      <c r="E600" s="478"/>
      <c r="F600" s="668" t="str">
        <f t="shared" si="71"/>
        <v>2018-2019</v>
      </c>
      <c r="G600" s="673" t="str">
        <f t="shared" si="72"/>
        <v>Campo 1</v>
      </c>
      <c r="H600" s="673" t="str">
        <f t="shared" si="73"/>
        <v>Soja de Segunda</v>
      </c>
      <c r="I600" s="675" t="str">
        <f>IFERROR(INDEX(Tabla8[],MATCH(Producción_Agricola[[#This Row],[Unidad de Negocio]],Tabla8[Unidades de Negocio],0),2),0)</f>
        <v>Soja</v>
      </c>
      <c r="J60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00" s="488"/>
      <c r="L600" s="482"/>
      <c r="M600" s="483"/>
      <c r="N600" s="484"/>
      <c r="O600" s="690">
        <f>Producción_Agricola[[#This Row],[Superficie]]*Producción_Agricola[[#This Row],[Cantidad]]</f>
        <v>0</v>
      </c>
      <c r="P600" s="482"/>
      <c r="Q600" s="484"/>
      <c r="R600" s="485"/>
      <c r="S60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00" s="695">
        <f>IFERROR(Producción_Agricola[[#This Row],[Económico $Corrientes]]/Producción_Agricola[[#This Row],[Indexación Económico]],0)</f>
        <v>0</v>
      </c>
      <c r="U60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0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00" s="695">
        <f>IFERROR(Producción_Agricola[[#This Row],[Financiero $Corrientes]]/Producción_Agricola[[#This Row],[Indexación Financiero]],0)</f>
        <v>0</v>
      </c>
      <c r="X60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0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00" s="699">
        <f>IFERROR(Producción_Agricola[[#This Row],[Intereses $Corrientes]]/Producción_Agricola[[#This Row],[Indexación Financiero]],0)</f>
        <v>0</v>
      </c>
      <c r="AA60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00" s="701">
        <f>IFERROR(INDEX(Produccion_Agricola_Cuentas[],MATCH(Producción_Agricola[[#This Row],[Cuenta Contable]],Produccion_Agricola_Cuentas[Cuenta Contable],0),2),0)</f>
        <v>0</v>
      </c>
      <c r="AC600" s="702">
        <f>IFERROR(INDEX(Tabla9[],MATCH(Producción_Agricola[[#This Row],[Movimiento]],Tabla9[Movimientos],0),2),0)</f>
        <v>0</v>
      </c>
      <c r="AD600" s="703">
        <f>IFERROR(INDEX(Tabla9[],MATCH(Producción_Agricola[[#This Row],[Movimiento]],Tabla9[Movimientos],0),3),0)</f>
        <v>0</v>
      </c>
      <c r="AE600" s="698">
        <f>IF(Producción_Agricola[[#This Row],[Fecha Económico]]=0,0,MONTH(Producción_Agricola[[#This Row],[Fecha Económico]]))</f>
        <v>0</v>
      </c>
      <c r="AF600" s="699">
        <f>IF(Producción_Agricola[[#This Row],[Fecha Económico]]=0,0,YEAR(Producción_Agricola[[#This Row],[Fecha Económico]]))</f>
        <v>0</v>
      </c>
      <c r="AG600" s="704">
        <f>SUMPRODUCT((Producción_Agricola[[#This Row],[Mes Económico]]=Tipo_Cambio[Mes])*(Producción_Agricola[[#This Row],[Año Económico]]=Tipo_Cambio[Año])*(Tipo_Cambio[$/U$S]))</f>
        <v>0</v>
      </c>
      <c r="AH600" s="703">
        <f>SUMPRODUCT((Producción_Agricola[[#This Row],[Mes Económico]]=Tipo_Cambio[Mes])*(Producción_Agricola[[#This Row],[Año Económico]]=Tipo_Cambio[Año])*(Tipo_Cambio[Actualización]))</f>
        <v>0</v>
      </c>
      <c r="AI600" s="699">
        <f>IF(ISNUMBER(Producción_Agricola[[#This Row],[Fecha Financiero]])=TRUE,MONTH(Producción_Agricola[[#This Row],[Fecha Financiero]]),0)</f>
        <v>0</v>
      </c>
      <c r="AJ600" s="699">
        <f>IF(ISNUMBER(Producción_Agricola[[#This Row],[Fecha Financiero]])=TRUE,YEAR(Producción_Agricola[[#This Row],[Fecha Financiero]]),0)</f>
        <v>0</v>
      </c>
      <c r="AK600" s="704">
        <f>SUMPRODUCT((Producción_Agricola[[#This Row],[Mes Financiero]]=Tipo_Cambio[Mes])*(Producción_Agricola[[#This Row],[Año Financiero]]=Tipo_Cambio[Año])*(Tipo_Cambio[$/U$S]))</f>
        <v>0</v>
      </c>
      <c r="AL600" s="704">
        <f>SUMPRODUCT((Producción_Agricola[[#This Row],[Mes Financiero]]=Tipo_Cambio[Mes])*(Producción_Agricola[[#This Row],[Año Financiero]]=Tipo_Cambio[Año])*(Tipo_Cambio[Actualización]))</f>
        <v>0</v>
      </c>
      <c r="AM600" s="709">
        <f>IFERROR(Producción_Agricola[[#This Row],[Económico $Corrientes]]/Producción_Agricola[[#This Row],[Superficie]],0)</f>
        <v>0</v>
      </c>
      <c r="AN600" s="712">
        <f>IFERROR(Producción_Agricola[[#This Row],[Económico $Constantes]]/Producción_Agricola[[#This Row],[Superficie]],0)</f>
        <v>0</v>
      </c>
      <c r="AO600" s="712">
        <f>IFERROR(Producción_Agricola[[#This Row],[Económico U$S Dólares]]/Producción_Agricola[[#This Row],[Superficie]],0)</f>
        <v>0</v>
      </c>
      <c r="AP600" s="711" t="str">
        <f>IF(Económico!$F$4=0,0,Producción_Agricola[[#This Row],[Centro de Costo]])</f>
        <v>Campo 1</v>
      </c>
      <c r="AQ600" s="512"/>
      <c r="AR600" s="513"/>
      <c r="AS600"/>
    </row>
    <row r="601" spans="1:45" x14ac:dyDescent="0.25">
      <c r="A601" s="509"/>
      <c r="B601" s="487">
        <f>$J$597</f>
        <v>0</v>
      </c>
      <c r="C601" s="509"/>
      <c r="D601" s="478"/>
      <c r="E601" s="478"/>
      <c r="F601" s="668" t="str">
        <f t="shared" si="71"/>
        <v>2018-2019</v>
      </c>
      <c r="G601" s="673" t="str">
        <f t="shared" si="72"/>
        <v>Campo 1</v>
      </c>
      <c r="H601" s="673" t="str">
        <f t="shared" si="73"/>
        <v>Soja de Segunda</v>
      </c>
      <c r="I601" s="675" t="str">
        <f>IFERROR(INDEX(Tabla8[],MATCH(Producción_Agricola[[#This Row],[Unidad de Negocio]],Tabla8[Unidades de Negocio],0),2),0)</f>
        <v>Soja</v>
      </c>
      <c r="J60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01" s="488"/>
      <c r="L601" s="482"/>
      <c r="M601" s="483"/>
      <c r="N601" s="484"/>
      <c r="O601" s="690">
        <f>Producción_Agricola[[#This Row],[Superficie]]*Producción_Agricola[[#This Row],[Cantidad]]</f>
        <v>0</v>
      </c>
      <c r="P601" s="482"/>
      <c r="Q601" s="484"/>
      <c r="R601" s="485"/>
      <c r="S60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01" s="695">
        <f>IFERROR(Producción_Agricola[[#This Row],[Económico $Corrientes]]/Producción_Agricola[[#This Row],[Indexación Económico]],0)</f>
        <v>0</v>
      </c>
      <c r="U60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0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01" s="695">
        <f>IFERROR(Producción_Agricola[[#This Row],[Financiero $Corrientes]]/Producción_Agricola[[#This Row],[Indexación Financiero]],0)</f>
        <v>0</v>
      </c>
      <c r="X60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0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01" s="699">
        <f>IFERROR(Producción_Agricola[[#This Row],[Intereses $Corrientes]]/Producción_Agricola[[#This Row],[Indexación Financiero]],0)</f>
        <v>0</v>
      </c>
      <c r="AA60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01" s="701">
        <f>IFERROR(INDEX(Produccion_Agricola_Cuentas[],MATCH(Producción_Agricola[[#This Row],[Cuenta Contable]],Produccion_Agricola_Cuentas[Cuenta Contable],0),2),0)</f>
        <v>0</v>
      </c>
      <c r="AC601" s="702">
        <f>IFERROR(INDEX(Tabla9[],MATCH(Producción_Agricola[[#This Row],[Movimiento]],Tabla9[Movimientos],0),2),0)</f>
        <v>0</v>
      </c>
      <c r="AD601" s="703">
        <f>IFERROR(INDEX(Tabla9[],MATCH(Producción_Agricola[[#This Row],[Movimiento]],Tabla9[Movimientos],0),3),0)</f>
        <v>0</v>
      </c>
      <c r="AE601" s="698">
        <f>IF(Producción_Agricola[[#This Row],[Fecha Económico]]=0,0,MONTH(Producción_Agricola[[#This Row],[Fecha Económico]]))</f>
        <v>0</v>
      </c>
      <c r="AF601" s="699">
        <f>IF(Producción_Agricola[[#This Row],[Fecha Económico]]=0,0,YEAR(Producción_Agricola[[#This Row],[Fecha Económico]]))</f>
        <v>0</v>
      </c>
      <c r="AG601" s="704">
        <f>SUMPRODUCT((Producción_Agricola[[#This Row],[Mes Económico]]=Tipo_Cambio[Mes])*(Producción_Agricola[[#This Row],[Año Económico]]=Tipo_Cambio[Año])*(Tipo_Cambio[$/U$S]))</f>
        <v>0</v>
      </c>
      <c r="AH601" s="703">
        <f>SUMPRODUCT((Producción_Agricola[[#This Row],[Mes Económico]]=Tipo_Cambio[Mes])*(Producción_Agricola[[#This Row],[Año Económico]]=Tipo_Cambio[Año])*(Tipo_Cambio[Actualización]))</f>
        <v>0</v>
      </c>
      <c r="AI601" s="699">
        <f>IF(ISNUMBER(Producción_Agricola[[#This Row],[Fecha Financiero]])=TRUE,MONTH(Producción_Agricola[[#This Row],[Fecha Financiero]]),0)</f>
        <v>0</v>
      </c>
      <c r="AJ601" s="699">
        <f>IF(ISNUMBER(Producción_Agricola[[#This Row],[Fecha Financiero]])=TRUE,YEAR(Producción_Agricola[[#This Row],[Fecha Financiero]]),0)</f>
        <v>0</v>
      </c>
      <c r="AK601" s="704">
        <f>SUMPRODUCT((Producción_Agricola[[#This Row],[Mes Financiero]]=Tipo_Cambio[Mes])*(Producción_Agricola[[#This Row],[Año Financiero]]=Tipo_Cambio[Año])*(Tipo_Cambio[$/U$S]))</f>
        <v>0</v>
      </c>
      <c r="AL601" s="704">
        <f>SUMPRODUCT((Producción_Agricola[[#This Row],[Mes Financiero]]=Tipo_Cambio[Mes])*(Producción_Agricola[[#This Row],[Año Financiero]]=Tipo_Cambio[Año])*(Tipo_Cambio[Actualización]))</f>
        <v>0</v>
      </c>
      <c r="AM601" s="709">
        <f>IFERROR(Producción_Agricola[[#This Row],[Económico $Corrientes]]/Producción_Agricola[[#This Row],[Superficie]],0)</f>
        <v>0</v>
      </c>
      <c r="AN601" s="712">
        <f>IFERROR(Producción_Agricola[[#This Row],[Económico $Constantes]]/Producción_Agricola[[#This Row],[Superficie]],0)</f>
        <v>0</v>
      </c>
      <c r="AO601" s="712">
        <f>IFERROR(Producción_Agricola[[#This Row],[Económico U$S Dólares]]/Producción_Agricola[[#This Row],[Superficie]],0)</f>
        <v>0</v>
      </c>
      <c r="AP601" s="711" t="str">
        <f>IF(Económico!$F$4=0,0,Producción_Agricola[[#This Row],[Centro de Costo]])</f>
        <v>Campo 1</v>
      </c>
      <c r="AQ601" s="512"/>
      <c r="AR601" s="513"/>
      <c r="AS601"/>
    </row>
    <row r="602" spans="1:45" x14ac:dyDescent="0.25">
      <c r="A602" s="509"/>
      <c r="B602" s="494"/>
      <c r="C602" s="509"/>
      <c r="D602" s="478"/>
      <c r="E602" s="478"/>
      <c r="F602" s="668" t="str">
        <f t="shared" si="71"/>
        <v>2018-2019</v>
      </c>
      <c r="G602" s="673" t="str">
        <f t="shared" si="72"/>
        <v>Campo 1</v>
      </c>
      <c r="H602" s="673" t="str">
        <f t="shared" si="73"/>
        <v>Soja de Segunda</v>
      </c>
      <c r="I602" s="675" t="str">
        <f>IFERROR(INDEX(Tabla8[],MATCH(Producción_Agricola[[#This Row],[Unidad de Negocio]],Tabla8[Unidades de Negocio],0),2),0)</f>
        <v>Soja</v>
      </c>
      <c r="J60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02" s="488"/>
      <c r="L602" s="482"/>
      <c r="M602" s="483"/>
      <c r="N602" s="484"/>
      <c r="O602" s="690">
        <f>Producción_Agricola[[#This Row],[Superficie]]*Producción_Agricola[[#This Row],[Cantidad]]</f>
        <v>0</v>
      </c>
      <c r="P602" s="482"/>
      <c r="Q602" s="484"/>
      <c r="R602" s="485"/>
      <c r="S60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02" s="695">
        <f>IFERROR(Producción_Agricola[[#This Row],[Económico $Corrientes]]/Producción_Agricola[[#This Row],[Indexación Económico]],0)</f>
        <v>0</v>
      </c>
      <c r="U60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0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02" s="695">
        <f>IFERROR(Producción_Agricola[[#This Row],[Financiero $Corrientes]]/Producción_Agricola[[#This Row],[Indexación Financiero]],0)</f>
        <v>0</v>
      </c>
      <c r="X60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0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02" s="699">
        <f>IFERROR(Producción_Agricola[[#This Row],[Intereses $Corrientes]]/Producción_Agricola[[#This Row],[Indexación Financiero]],0)</f>
        <v>0</v>
      </c>
      <c r="AA60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02" s="701">
        <f>IFERROR(INDEX(Produccion_Agricola_Cuentas[],MATCH(Producción_Agricola[[#This Row],[Cuenta Contable]],Produccion_Agricola_Cuentas[Cuenta Contable],0),2),0)</f>
        <v>0</v>
      </c>
      <c r="AC602" s="702">
        <f>IFERROR(INDEX(Tabla9[],MATCH(Producción_Agricola[[#This Row],[Movimiento]],Tabla9[Movimientos],0),2),0)</f>
        <v>0</v>
      </c>
      <c r="AD602" s="703">
        <f>IFERROR(INDEX(Tabla9[],MATCH(Producción_Agricola[[#This Row],[Movimiento]],Tabla9[Movimientos],0),3),0)</f>
        <v>0</v>
      </c>
      <c r="AE602" s="698">
        <f>IF(Producción_Agricola[[#This Row],[Fecha Económico]]=0,0,MONTH(Producción_Agricola[[#This Row],[Fecha Económico]]))</f>
        <v>0</v>
      </c>
      <c r="AF602" s="699">
        <f>IF(Producción_Agricola[[#This Row],[Fecha Económico]]=0,0,YEAR(Producción_Agricola[[#This Row],[Fecha Económico]]))</f>
        <v>0</v>
      </c>
      <c r="AG602" s="704">
        <f>SUMPRODUCT((Producción_Agricola[[#This Row],[Mes Económico]]=Tipo_Cambio[Mes])*(Producción_Agricola[[#This Row],[Año Económico]]=Tipo_Cambio[Año])*(Tipo_Cambio[$/U$S]))</f>
        <v>0</v>
      </c>
      <c r="AH602" s="703">
        <f>SUMPRODUCT((Producción_Agricola[[#This Row],[Mes Económico]]=Tipo_Cambio[Mes])*(Producción_Agricola[[#This Row],[Año Económico]]=Tipo_Cambio[Año])*(Tipo_Cambio[Actualización]))</f>
        <v>0</v>
      </c>
      <c r="AI602" s="699">
        <f>IF(ISNUMBER(Producción_Agricola[[#This Row],[Fecha Financiero]])=TRUE,MONTH(Producción_Agricola[[#This Row],[Fecha Financiero]]),0)</f>
        <v>0</v>
      </c>
      <c r="AJ602" s="699">
        <f>IF(ISNUMBER(Producción_Agricola[[#This Row],[Fecha Financiero]])=TRUE,YEAR(Producción_Agricola[[#This Row],[Fecha Financiero]]),0)</f>
        <v>0</v>
      </c>
      <c r="AK602" s="704">
        <f>SUMPRODUCT((Producción_Agricola[[#This Row],[Mes Financiero]]=Tipo_Cambio[Mes])*(Producción_Agricola[[#This Row],[Año Financiero]]=Tipo_Cambio[Año])*(Tipo_Cambio[$/U$S]))</f>
        <v>0</v>
      </c>
      <c r="AL602" s="704">
        <f>SUMPRODUCT((Producción_Agricola[[#This Row],[Mes Financiero]]=Tipo_Cambio[Mes])*(Producción_Agricola[[#This Row],[Año Financiero]]=Tipo_Cambio[Año])*(Tipo_Cambio[Actualización]))</f>
        <v>0</v>
      </c>
      <c r="AM602" s="709">
        <f>IFERROR(Producción_Agricola[[#This Row],[Económico $Corrientes]]/Producción_Agricola[[#This Row],[Superficie]],0)</f>
        <v>0</v>
      </c>
      <c r="AN602" s="712">
        <f>IFERROR(Producción_Agricola[[#This Row],[Económico $Constantes]]/Producción_Agricola[[#This Row],[Superficie]],0)</f>
        <v>0</v>
      </c>
      <c r="AO602" s="712">
        <f>IFERROR(Producción_Agricola[[#This Row],[Económico U$S Dólares]]/Producción_Agricola[[#This Row],[Superficie]],0)</f>
        <v>0</v>
      </c>
      <c r="AP602" s="711" t="str">
        <f>IF(Económico!$F$4=0,0,Producción_Agricola[[#This Row],[Centro de Costo]])</f>
        <v>Campo 1</v>
      </c>
      <c r="AQ602" s="512"/>
      <c r="AR602" s="513"/>
      <c r="AS602"/>
    </row>
    <row r="603" spans="1:45" x14ac:dyDescent="0.25">
      <c r="A603" s="509"/>
      <c r="B603" s="494"/>
      <c r="C603" s="509"/>
      <c r="D603" s="478"/>
      <c r="E603" s="478"/>
      <c r="F603" s="668" t="str">
        <f t="shared" si="71"/>
        <v>2018-2019</v>
      </c>
      <c r="G603" s="673" t="str">
        <f t="shared" si="72"/>
        <v>Campo 1</v>
      </c>
      <c r="H603" s="673" t="str">
        <f t="shared" si="73"/>
        <v>Soja de Segunda</v>
      </c>
      <c r="I603" s="675" t="str">
        <f>IFERROR(INDEX(Tabla8[],MATCH(Producción_Agricola[[#This Row],[Unidad de Negocio]],Tabla8[Unidades de Negocio],0),2),0)</f>
        <v>Soja</v>
      </c>
      <c r="J60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03" s="488"/>
      <c r="L603" s="482"/>
      <c r="M603" s="483"/>
      <c r="N603" s="484"/>
      <c r="O603" s="690">
        <f>Producción_Agricola[[#This Row],[Superficie]]*Producción_Agricola[[#This Row],[Cantidad]]</f>
        <v>0</v>
      </c>
      <c r="P603" s="482"/>
      <c r="Q603" s="484"/>
      <c r="R603" s="485"/>
      <c r="S60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03" s="695">
        <f>IFERROR(Producción_Agricola[[#This Row],[Económico $Corrientes]]/Producción_Agricola[[#This Row],[Indexación Económico]],0)</f>
        <v>0</v>
      </c>
      <c r="U60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0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03" s="695">
        <f>IFERROR(Producción_Agricola[[#This Row],[Financiero $Corrientes]]/Producción_Agricola[[#This Row],[Indexación Financiero]],0)</f>
        <v>0</v>
      </c>
      <c r="X60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0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03" s="699">
        <f>IFERROR(Producción_Agricola[[#This Row],[Intereses $Corrientes]]/Producción_Agricola[[#This Row],[Indexación Financiero]],0)</f>
        <v>0</v>
      </c>
      <c r="AA60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03" s="701">
        <f>IFERROR(INDEX(Produccion_Agricola_Cuentas[],MATCH(Producción_Agricola[[#This Row],[Cuenta Contable]],Produccion_Agricola_Cuentas[Cuenta Contable],0),2),0)</f>
        <v>0</v>
      </c>
      <c r="AC603" s="702">
        <f>IFERROR(INDEX(Tabla9[],MATCH(Producción_Agricola[[#This Row],[Movimiento]],Tabla9[Movimientos],0),2),0)</f>
        <v>0</v>
      </c>
      <c r="AD603" s="703">
        <f>IFERROR(INDEX(Tabla9[],MATCH(Producción_Agricola[[#This Row],[Movimiento]],Tabla9[Movimientos],0),3),0)</f>
        <v>0</v>
      </c>
      <c r="AE603" s="698">
        <f>IF(Producción_Agricola[[#This Row],[Fecha Económico]]=0,0,MONTH(Producción_Agricola[[#This Row],[Fecha Económico]]))</f>
        <v>0</v>
      </c>
      <c r="AF603" s="699">
        <f>IF(Producción_Agricola[[#This Row],[Fecha Económico]]=0,0,YEAR(Producción_Agricola[[#This Row],[Fecha Económico]]))</f>
        <v>0</v>
      </c>
      <c r="AG603" s="704">
        <f>SUMPRODUCT((Producción_Agricola[[#This Row],[Mes Económico]]=Tipo_Cambio[Mes])*(Producción_Agricola[[#This Row],[Año Económico]]=Tipo_Cambio[Año])*(Tipo_Cambio[$/U$S]))</f>
        <v>0</v>
      </c>
      <c r="AH603" s="703">
        <f>SUMPRODUCT((Producción_Agricola[[#This Row],[Mes Económico]]=Tipo_Cambio[Mes])*(Producción_Agricola[[#This Row],[Año Económico]]=Tipo_Cambio[Año])*(Tipo_Cambio[Actualización]))</f>
        <v>0</v>
      </c>
      <c r="AI603" s="699">
        <f>IF(ISNUMBER(Producción_Agricola[[#This Row],[Fecha Financiero]])=TRUE,MONTH(Producción_Agricola[[#This Row],[Fecha Financiero]]),0)</f>
        <v>0</v>
      </c>
      <c r="AJ603" s="699">
        <f>IF(ISNUMBER(Producción_Agricola[[#This Row],[Fecha Financiero]])=TRUE,YEAR(Producción_Agricola[[#This Row],[Fecha Financiero]]),0)</f>
        <v>0</v>
      </c>
      <c r="AK603" s="704">
        <f>SUMPRODUCT((Producción_Agricola[[#This Row],[Mes Financiero]]=Tipo_Cambio[Mes])*(Producción_Agricola[[#This Row],[Año Financiero]]=Tipo_Cambio[Año])*(Tipo_Cambio[$/U$S]))</f>
        <v>0</v>
      </c>
      <c r="AL603" s="704">
        <f>SUMPRODUCT((Producción_Agricola[[#This Row],[Mes Financiero]]=Tipo_Cambio[Mes])*(Producción_Agricola[[#This Row],[Año Financiero]]=Tipo_Cambio[Año])*(Tipo_Cambio[Actualización]))</f>
        <v>0</v>
      </c>
      <c r="AM603" s="709">
        <f>IFERROR(Producción_Agricola[[#This Row],[Económico $Corrientes]]/Producción_Agricola[[#This Row],[Superficie]],0)</f>
        <v>0</v>
      </c>
      <c r="AN603" s="712">
        <f>IFERROR(Producción_Agricola[[#This Row],[Económico $Constantes]]/Producción_Agricola[[#This Row],[Superficie]],0)</f>
        <v>0</v>
      </c>
      <c r="AO603" s="712">
        <f>IFERROR(Producción_Agricola[[#This Row],[Económico U$S Dólares]]/Producción_Agricola[[#This Row],[Superficie]],0)</f>
        <v>0</v>
      </c>
      <c r="AP603" s="711" t="str">
        <f>IF(Económico!$F$4=0,0,Producción_Agricola[[#This Row],[Centro de Costo]])</f>
        <v>Campo 1</v>
      </c>
      <c r="AQ603" s="512"/>
      <c r="AR603" s="513"/>
      <c r="AS603"/>
    </row>
    <row r="604" spans="1:45" x14ac:dyDescent="0.25">
      <c r="A604" s="509"/>
      <c r="B604" s="494"/>
      <c r="C604" s="509"/>
      <c r="D604" s="478"/>
      <c r="E604" s="478"/>
      <c r="F604" s="668" t="str">
        <f t="shared" si="71"/>
        <v>2018-2019</v>
      </c>
      <c r="G604" s="673" t="str">
        <f t="shared" si="72"/>
        <v>Campo 1</v>
      </c>
      <c r="H604" s="673" t="str">
        <f t="shared" si="73"/>
        <v>Soja de Segunda</v>
      </c>
      <c r="I604" s="675" t="str">
        <f>IFERROR(INDEX(Tabla8[],MATCH(Producción_Agricola[[#This Row],[Unidad de Negocio]],Tabla8[Unidades de Negocio],0),2),0)</f>
        <v>Soja</v>
      </c>
      <c r="J60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04" s="488"/>
      <c r="L604" s="482"/>
      <c r="M604" s="483"/>
      <c r="N604" s="484"/>
      <c r="O604" s="690">
        <f>Producción_Agricola[[#This Row],[Superficie]]*Producción_Agricola[[#This Row],[Cantidad]]</f>
        <v>0</v>
      </c>
      <c r="P604" s="482"/>
      <c r="Q604" s="484"/>
      <c r="R604" s="485"/>
      <c r="S60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04" s="695">
        <f>IFERROR(Producción_Agricola[[#This Row],[Económico $Corrientes]]/Producción_Agricola[[#This Row],[Indexación Económico]],0)</f>
        <v>0</v>
      </c>
      <c r="U60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0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04" s="695">
        <f>IFERROR(Producción_Agricola[[#This Row],[Financiero $Corrientes]]/Producción_Agricola[[#This Row],[Indexación Financiero]],0)</f>
        <v>0</v>
      </c>
      <c r="X60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0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04" s="699">
        <f>IFERROR(Producción_Agricola[[#This Row],[Intereses $Corrientes]]/Producción_Agricola[[#This Row],[Indexación Financiero]],0)</f>
        <v>0</v>
      </c>
      <c r="AA60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04" s="701">
        <f>IFERROR(INDEX(Produccion_Agricola_Cuentas[],MATCH(Producción_Agricola[[#This Row],[Cuenta Contable]],Produccion_Agricola_Cuentas[Cuenta Contable],0),2),0)</f>
        <v>0</v>
      </c>
      <c r="AC604" s="702">
        <f>IFERROR(INDEX(Tabla9[],MATCH(Producción_Agricola[[#This Row],[Movimiento]],Tabla9[Movimientos],0),2),0)</f>
        <v>0</v>
      </c>
      <c r="AD604" s="703">
        <f>IFERROR(INDEX(Tabla9[],MATCH(Producción_Agricola[[#This Row],[Movimiento]],Tabla9[Movimientos],0),3),0)</f>
        <v>0</v>
      </c>
      <c r="AE604" s="698">
        <f>IF(Producción_Agricola[[#This Row],[Fecha Económico]]=0,0,MONTH(Producción_Agricola[[#This Row],[Fecha Económico]]))</f>
        <v>0</v>
      </c>
      <c r="AF604" s="699">
        <f>IF(Producción_Agricola[[#This Row],[Fecha Económico]]=0,0,YEAR(Producción_Agricola[[#This Row],[Fecha Económico]]))</f>
        <v>0</v>
      </c>
      <c r="AG604" s="704">
        <f>SUMPRODUCT((Producción_Agricola[[#This Row],[Mes Económico]]=Tipo_Cambio[Mes])*(Producción_Agricola[[#This Row],[Año Económico]]=Tipo_Cambio[Año])*(Tipo_Cambio[$/U$S]))</f>
        <v>0</v>
      </c>
      <c r="AH604" s="703">
        <f>SUMPRODUCT((Producción_Agricola[[#This Row],[Mes Económico]]=Tipo_Cambio[Mes])*(Producción_Agricola[[#This Row],[Año Económico]]=Tipo_Cambio[Año])*(Tipo_Cambio[Actualización]))</f>
        <v>0</v>
      </c>
      <c r="AI604" s="699">
        <f>IF(ISNUMBER(Producción_Agricola[[#This Row],[Fecha Financiero]])=TRUE,MONTH(Producción_Agricola[[#This Row],[Fecha Financiero]]),0)</f>
        <v>0</v>
      </c>
      <c r="AJ604" s="699">
        <f>IF(ISNUMBER(Producción_Agricola[[#This Row],[Fecha Financiero]])=TRUE,YEAR(Producción_Agricola[[#This Row],[Fecha Financiero]]),0)</f>
        <v>0</v>
      </c>
      <c r="AK604" s="704">
        <f>SUMPRODUCT((Producción_Agricola[[#This Row],[Mes Financiero]]=Tipo_Cambio[Mes])*(Producción_Agricola[[#This Row],[Año Financiero]]=Tipo_Cambio[Año])*(Tipo_Cambio[$/U$S]))</f>
        <v>0</v>
      </c>
      <c r="AL604" s="704">
        <f>SUMPRODUCT((Producción_Agricola[[#This Row],[Mes Financiero]]=Tipo_Cambio[Mes])*(Producción_Agricola[[#This Row],[Año Financiero]]=Tipo_Cambio[Año])*(Tipo_Cambio[Actualización]))</f>
        <v>0</v>
      </c>
      <c r="AM604" s="709">
        <f>IFERROR(Producción_Agricola[[#This Row],[Económico $Corrientes]]/Producción_Agricola[[#This Row],[Superficie]],0)</f>
        <v>0</v>
      </c>
      <c r="AN604" s="712">
        <f>IFERROR(Producción_Agricola[[#This Row],[Económico $Constantes]]/Producción_Agricola[[#This Row],[Superficie]],0)</f>
        <v>0</v>
      </c>
      <c r="AO604" s="712">
        <f>IFERROR(Producción_Agricola[[#This Row],[Económico U$S Dólares]]/Producción_Agricola[[#This Row],[Superficie]],0)</f>
        <v>0</v>
      </c>
      <c r="AP604" s="711" t="str">
        <f>IF(Económico!$F$4=0,0,Producción_Agricola[[#This Row],[Centro de Costo]])</f>
        <v>Campo 1</v>
      </c>
      <c r="AQ604" s="512"/>
      <c r="AR604" s="513"/>
      <c r="AS604"/>
    </row>
    <row r="605" spans="1:45" x14ac:dyDescent="0.25">
      <c r="A605" s="509"/>
      <c r="B605" s="494"/>
      <c r="C605" s="509"/>
      <c r="D605" s="478"/>
      <c r="E605" s="478"/>
      <c r="F605" s="668" t="str">
        <f t="shared" si="71"/>
        <v>2018-2019</v>
      </c>
      <c r="G605" s="673" t="str">
        <f t="shared" si="72"/>
        <v>Campo 1</v>
      </c>
      <c r="H605" s="673" t="str">
        <f t="shared" si="73"/>
        <v>Soja de Segunda</v>
      </c>
      <c r="I605" s="675" t="str">
        <f>IFERROR(INDEX(Tabla8[],MATCH(Producción_Agricola[[#This Row],[Unidad de Negocio]],Tabla8[Unidades de Negocio],0),2),0)</f>
        <v>Soja</v>
      </c>
      <c r="J60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05" s="488"/>
      <c r="L605" s="482"/>
      <c r="M605" s="483"/>
      <c r="N605" s="484"/>
      <c r="O605" s="690">
        <f>Producción_Agricola[[#This Row],[Superficie]]*Producción_Agricola[[#This Row],[Cantidad]]</f>
        <v>0</v>
      </c>
      <c r="P605" s="482"/>
      <c r="Q605" s="484"/>
      <c r="R605" s="485"/>
      <c r="S60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05" s="695">
        <f>IFERROR(Producción_Agricola[[#This Row],[Económico $Corrientes]]/Producción_Agricola[[#This Row],[Indexación Económico]],0)</f>
        <v>0</v>
      </c>
      <c r="U60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0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05" s="695">
        <f>IFERROR(Producción_Agricola[[#This Row],[Financiero $Corrientes]]/Producción_Agricola[[#This Row],[Indexación Financiero]],0)</f>
        <v>0</v>
      </c>
      <c r="X60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0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05" s="699">
        <f>IFERROR(Producción_Agricola[[#This Row],[Intereses $Corrientes]]/Producción_Agricola[[#This Row],[Indexación Financiero]],0)</f>
        <v>0</v>
      </c>
      <c r="AA60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05" s="701">
        <f>IFERROR(INDEX(Produccion_Agricola_Cuentas[],MATCH(Producción_Agricola[[#This Row],[Cuenta Contable]],Produccion_Agricola_Cuentas[Cuenta Contable],0),2),0)</f>
        <v>0</v>
      </c>
      <c r="AC605" s="702">
        <f>IFERROR(INDEX(Tabla9[],MATCH(Producción_Agricola[[#This Row],[Movimiento]],Tabla9[Movimientos],0),2),0)</f>
        <v>0</v>
      </c>
      <c r="AD605" s="703">
        <f>IFERROR(INDEX(Tabla9[],MATCH(Producción_Agricola[[#This Row],[Movimiento]],Tabla9[Movimientos],0),3),0)</f>
        <v>0</v>
      </c>
      <c r="AE605" s="698">
        <f>IF(Producción_Agricola[[#This Row],[Fecha Económico]]=0,0,MONTH(Producción_Agricola[[#This Row],[Fecha Económico]]))</f>
        <v>0</v>
      </c>
      <c r="AF605" s="699">
        <f>IF(Producción_Agricola[[#This Row],[Fecha Económico]]=0,0,YEAR(Producción_Agricola[[#This Row],[Fecha Económico]]))</f>
        <v>0</v>
      </c>
      <c r="AG605" s="704">
        <f>SUMPRODUCT((Producción_Agricola[[#This Row],[Mes Económico]]=Tipo_Cambio[Mes])*(Producción_Agricola[[#This Row],[Año Económico]]=Tipo_Cambio[Año])*(Tipo_Cambio[$/U$S]))</f>
        <v>0</v>
      </c>
      <c r="AH605" s="703">
        <f>SUMPRODUCT((Producción_Agricola[[#This Row],[Mes Económico]]=Tipo_Cambio[Mes])*(Producción_Agricola[[#This Row],[Año Económico]]=Tipo_Cambio[Año])*(Tipo_Cambio[Actualización]))</f>
        <v>0</v>
      </c>
      <c r="AI605" s="699">
        <f>IF(ISNUMBER(Producción_Agricola[[#This Row],[Fecha Financiero]])=TRUE,MONTH(Producción_Agricola[[#This Row],[Fecha Financiero]]),0)</f>
        <v>0</v>
      </c>
      <c r="AJ605" s="699">
        <f>IF(ISNUMBER(Producción_Agricola[[#This Row],[Fecha Financiero]])=TRUE,YEAR(Producción_Agricola[[#This Row],[Fecha Financiero]]),0)</f>
        <v>0</v>
      </c>
      <c r="AK605" s="704">
        <f>SUMPRODUCT((Producción_Agricola[[#This Row],[Mes Financiero]]=Tipo_Cambio[Mes])*(Producción_Agricola[[#This Row],[Año Financiero]]=Tipo_Cambio[Año])*(Tipo_Cambio[$/U$S]))</f>
        <v>0</v>
      </c>
      <c r="AL605" s="704">
        <f>SUMPRODUCT((Producción_Agricola[[#This Row],[Mes Financiero]]=Tipo_Cambio[Mes])*(Producción_Agricola[[#This Row],[Año Financiero]]=Tipo_Cambio[Año])*(Tipo_Cambio[Actualización]))</f>
        <v>0</v>
      </c>
      <c r="AM605" s="709">
        <f>IFERROR(Producción_Agricola[[#This Row],[Económico $Corrientes]]/Producción_Agricola[[#This Row],[Superficie]],0)</f>
        <v>0</v>
      </c>
      <c r="AN605" s="712">
        <f>IFERROR(Producción_Agricola[[#This Row],[Económico $Constantes]]/Producción_Agricola[[#This Row],[Superficie]],0)</f>
        <v>0</v>
      </c>
      <c r="AO605" s="712">
        <f>IFERROR(Producción_Agricola[[#This Row],[Económico U$S Dólares]]/Producción_Agricola[[#This Row],[Superficie]],0)</f>
        <v>0</v>
      </c>
      <c r="AP605" s="711" t="str">
        <f>IF(Económico!$F$4=0,0,Producción_Agricola[[#This Row],[Centro de Costo]])</f>
        <v>Campo 1</v>
      </c>
      <c r="AQ605" s="512"/>
      <c r="AR605" s="513"/>
      <c r="AS605"/>
    </row>
    <row r="606" spans="1:45" x14ac:dyDescent="0.25">
      <c r="A606" s="509"/>
      <c r="B606" s="494"/>
      <c r="C606" s="509"/>
      <c r="D606" s="478"/>
      <c r="E606" s="478"/>
      <c r="F606" s="668" t="str">
        <f t="shared" si="71"/>
        <v>2018-2019</v>
      </c>
      <c r="G606" s="673" t="str">
        <f t="shared" si="72"/>
        <v>Campo 1</v>
      </c>
      <c r="H606" s="673" t="str">
        <f t="shared" si="73"/>
        <v>Soja de Segunda</v>
      </c>
      <c r="I606" s="675" t="str">
        <f>IFERROR(INDEX(Tabla8[],MATCH(Producción_Agricola[[#This Row],[Unidad de Negocio]],Tabla8[Unidades de Negocio],0),2),0)</f>
        <v>Soja</v>
      </c>
      <c r="J60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06" s="488"/>
      <c r="L606" s="482"/>
      <c r="M606" s="483"/>
      <c r="N606" s="484"/>
      <c r="O606" s="690">
        <f>Producción_Agricola[[#This Row],[Superficie]]*Producción_Agricola[[#This Row],[Cantidad]]</f>
        <v>0</v>
      </c>
      <c r="P606" s="482"/>
      <c r="Q606" s="484"/>
      <c r="R606" s="485"/>
      <c r="S60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06" s="695">
        <f>IFERROR(Producción_Agricola[[#This Row],[Económico $Corrientes]]/Producción_Agricola[[#This Row],[Indexación Económico]],0)</f>
        <v>0</v>
      </c>
      <c r="U60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0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06" s="695">
        <f>IFERROR(Producción_Agricola[[#This Row],[Financiero $Corrientes]]/Producción_Agricola[[#This Row],[Indexación Financiero]],0)</f>
        <v>0</v>
      </c>
      <c r="X60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0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06" s="699">
        <f>IFERROR(Producción_Agricola[[#This Row],[Intereses $Corrientes]]/Producción_Agricola[[#This Row],[Indexación Financiero]],0)</f>
        <v>0</v>
      </c>
      <c r="AA60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06" s="701">
        <f>IFERROR(INDEX(Produccion_Agricola_Cuentas[],MATCH(Producción_Agricola[[#This Row],[Cuenta Contable]],Produccion_Agricola_Cuentas[Cuenta Contable],0),2),0)</f>
        <v>0</v>
      </c>
      <c r="AC606" s="702">
        <f>IFERROR(INDEX(Tabla9[],MATCH(Producción_Agricola[[#This Row],[Movimiento]],Tabla9[Movimientos],0),2),0)</f>
        <v>0</v>
      </c>
      <c r="AD606" s="703">
        <f>IFERROR(INDEX(Tabla9[],MATCH(Producción_Agricola[[#This Row],[Movimiento]],Tabla9[Movimientos],0),3),0)</f>
        <v>0</v>
      </c>
      <c r="AE606" s="698">
        <f>IF(Producción_Agricola[[#This Row],[Fecha Económico]]=0,0,MONTH(Producción_Agricola[[#This Row],[Fecha Económico]]))</f>
        <v>0</v>
      </c>
      <c r="AF606" s="699">
        <f>IF(Producción_Agricola[[#This Row],[Fecha Económico]]=0,0,YEAR(Producción_Agricola[[#This Row],[Fecha Económico]]))</f>
        <v>0</v>
      </c>
      <c r="AG606" s="704">
        <f>SUMPRODUCT((Producción_Agricola[[#This Row],[Mes Económico]]=Tipo_Cambio[Mes])*(Producción_Agricola[[#This Row],[Año Económico]]=Tipo_Cambio[Año])*(Tipo_Cambio[$/U$S]))</f>
        <v>0</v>
      </c>
      <c r="AH606" s="703">
        <f>SUMPRODUCT((Producción_Agricola[[#This Row],[Mes Económico]]=Tipo_Cambio[Mes])*(Producción_Agricola[[#This Row],[Año Económico]]=Tipo_Cambio[Año])*(Tipo_Cambio[Actualización]))</f>
        <v>0</v>
      </c>
      <c r="AI606" s="699">
        <f>IF(ISNUMBER(Producción_Agricola[[#This Row],[Fecha Financiero]])=TRUE,MONTH(Producción_Agricola[[#This Row],[Fecha Financiero]]),0)</f>
        <v>0</v>
      </c>
      <c r="AJ606" s="699">
        <f>IF(ISNUMBER(Producción_Agricola[[#This Row],[Fecha Financiero]])=TRUE,YEAR(Producción_Agricola[[#This Row],[Fecha Financiero]]),0)</f>
        <v>0</v>
      </c>
      <c r="AK606" s="704">
        <f>SUMPRODUCT((Producción_Agricola[[#This Row],[Mes Financiero]]=Tipo_Cambio[Mes])*(Producción_Agricola[[#This Row],[Año Financiero]]=Tipo_Cambio[Año])*(Tipo_Cambio[$/U$S]))</f>
        <v>0</v>
      </c>
      <c r="AL606" s="704">
        <f>SUMPRODUCT((Producción_Agricola[[#This Row],[Mes Financiero]]=Tipo_Cambio[Mes])*(Producción_Agricola[[#This Row],[Año Financiero]]=Tipo_Cambio[Año])*(Tipo_Cambio[Actualización]))</f>
        <v>0</v>
      </c>
      <c r="AM606" s="709">
        <f>IFERROR(Producción_Agricola[[#This Row],[Económico $Corrientes]]/Producción_Agricola[[#This Row],[Superficie]],0)</f>
        <v>0</v>
      </c>
      <c r="AN606" s="712">
        <f>IFERROR(Producción_Agricola[[#This Row],[Económico $Constantes]]/Producción_Agricola[[#This Row],[Superficie]],0)</f>
        <v>0</v>
      </c>
      <c r="AO606" s="712">
        <f>IFERROR(Producción_Agricola[[#This Row],[Económico U$S Dólares]]/Producción_Agricola[[#This Row],[Superficie]],0)</f>
        <v>0</v>
      </c>
      <c r="AP606" s="711" t="str">
        <f>IF(Económico!$F$4=0,0,Producción_Agricola[[#This Row],[Centro de Costo]])</f>
        <v>Campo 1</v>
      </c>
      <c r="AQ606" s="512"/>
      <c r="AR606" s="513"/>
      <c r="AS606"/>
    </row>
    <row r="607" spans="1:45" x14ac:dyDescent="0.25">
      <c r="A607" s="509"/>
      <c r="B607" s="494"/>
      <c r="C607" s="509"/>
      <c r="D607" s="478"/>
      <c r="E607" s="478"/>
      <c r="F607" s="668" t="str">
        <f t="shared" si="71"/>
        <v>2018-2019</v>
      </c>
      <c r="G607" s="673" t="str">
        <f t="shared" si="72"/>
        <v>Campo 1</v>
      </c>
      <c r="H607" s="673" t="str">
        <f t="shared" si="73"/>
        <v>Soja de Segunda</v>
      </c>
      <c r="I607" s="675" t="str">
        <f>IFERROR(INDEX(Tabla8[],MATCH(Producción_Agricola[[#This Row],[Unidad de Negocio]],Tabla8[Unidades de Negocio],0),2),0)</f>
        <v>Soja</v>
      </c>
      <c r="J60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07" s="488"/>
      <c r="L607" s="482"/>
      <c r="M607" s="483"/>
      <c r="N607" s="484"/>
      <c r="O607" s="690">
        <f>Producción_Agricola[[#This Row],[Superficie]]*Producción_Agricola[[#This Row],[Cantidad]]</f>
        <v>0</v>
      </c>
      <c r="P607" s="482"/>
      <c r="Q607" s="484"/>
      <c r="R607" s="485"/>
      <c r="S60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07" s="695">
        <f>IFERROR(Producción_Agricola[[#This Row],[Económico $Corrientes]]/Producción_Agricola[[#This Row],[Indexación Económico]],0)</f>
        <v>0</v>
      </c>
      <c r="U60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0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07" s="695">
        <f>IFERROR(Producción_Agricola[[#This Row],[Financiero $Corrientes]]/Producción_Agricola[[#This Row],[Indexación Financiero]],0)</f>
        <v>0</v>
      </c>
      <c r="X60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0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07" s="699">
        <f>IFERROR(Producción_Agricola[[#This Row],[Intereses $Corrientes]]/Producción_Agricola[[#This Row],[Indexación Financiero]],0)</f>
        <v>0</v>
      </c>
      <c r="AA60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07" s="701">
        <f>IFERROR(INDEX(Produccion_Agricola_Cuentas[],MATCH(Producción_Agricola[[#This Row],[Cuenta Contable]],Produccion_Agricola_Cuentas[Cuenta Contable],0),2),0)</f>
        <v>0</v>
      </c>
      <c r="AC607" s="702">
        <f>IFERROR(INDEX(Tabla9[],MATCH(Producción_Agricola[[#This Row],[Movimiento]],Tabla9[Movimientos],0),2),0)</f>
        <v>0</v>
      </c>
      <c r="AD607" s="703">
        <f>IFERROR(INDEX(Tabla9[],MATCH(Producción_Agricola[[#This Row],[Movimiento]],Tabla9[Movimientos],0),3),0)</f>
        <v>0</v>
      </c>
      <c r="AE607" s="698">
        <f>IF(Producción_Agricola[[#This Row],[Fecha Económico]]=0,0,MONTH(Producción_Agricola[[#This Row],[Fecha Económico]]))</f>
        <v>0</v>
      </c>
      <c r="AF607" s="699">
        <f>IF(Producción_Agricola[[#This Row],[Fecha Económico]]=0,0,YEAR(Producción_Agricola[[#This Row],[Fecha Económico]]))</f>
        <v>0</v>
      </c>
      <c r="AG607" s="704">
        <f>SUMPRODUCT((Producción_Agricola[[#This Row],[Mes Económico]]=Tipo_Cambio[Mes])*(Producción_Agricola[[#This Row],[Año Económico]]=Tipo_Cambio[Año])*(Tipo_Cambio[$/U$S]))</f>
        <v>0</v>
      </c>
      <c r="AH607" s="703">
        <f>SUMPRODUCT((Producción_Agricola[[#This Row],[Mes Económico]]=Tipo_Cambio[Mes])*(Producción_Agricola[[#This Row],[Año Económico]]=Tipo_Cambio[Año])*(Tipo_Cambio[Actualización]))</f>
        <v>0</v>
      </c>
      <c r="AI607" s="699">
        <f>IF(ISNUMBER(Producción_Agricola[[#This Row],[Fecha Financiero]])=TRUE,MONTH(Producción_Agricola[[#This Row],[Fecha Financiero]]),0)</f>
        <v>0</v>
      </c>
      <c r="AJ607" s="699">
        <f>IF(ISNUMBER(Producción_Agricola[[#This Row],[Fecha Financiero]])=TRUE,YEAR(Producción_Agricola[[#This Row],[Fecha Financiero]]),0)</f>
        <v>0</v>
      </c>
      <c r="AK607" s="704">
        <f>SUMPRODUCT((Producción_Agricola[[#This Row],[Mes Financiero]]=Tipo_Cambio[Mes])*(Producción_Agricola[[#This Row],[Año Financiero]]=Tipo_Cambio[Año])*(Tipo_Cambio[$/U$S]))</f>
        <v>0</v>
      </c>
      <c r="AL607" s="704">
        <f>SUMPRODUCT((Producción_Agricola[[#This Row],[Mes Financiero]]=Tipo_Cambio[Mes])*(Producción_Agricola[[#This Row],[Año Financiero]]=Tipo_Cambio[Año])*(Tipo_Cambio[Actualización]))</f>
        <v>0</v>
      </c>
      <c r="AM607" s="709">
        <f>IFERROR(Producción_Agricola[[#This Row],[Económico $Corrientes]]/Producción_Agricola[[#This Row],[Superficie]],0)</f>
        <v>0</v>
      </c>
      <c r="AN607" s="712">
        <f>IFERROR(Producción_Agricola[[#This Row],[Económico $Constantes]]/Producción_Agricola[[#This Row],[Superficie]],0)</f>
        <v>0</v>
      </c>
      <c r="AO607" s="712">
        <f>IFERROR(Producción_Agricola[[#This Row],[Económico U$S Dólares]]/Producción_Agricola[[#This Row],[Superficie]],0)</f>
        <v>0</v>
      </c>
      <c r="AP607" s="711" t="str">
        <f>IF(Económico!$F$4=0,0,Producción_Agricola[[#This Row],[Centro de Costo]])</f>
        <v>Campo 1</v>
      </c>
      <c r="AQ607" s="512"/>
      <c r="AR607" s="513"/>
      <c r="AS607"/>
    </row>
    <row r="608" spans="1:45" x14ac:dyDescent="0.25">
      <c r="A608" s="509"/>
      <c r="B608" s="494"/>
      <c r="C608" s="509"/>
      <c r="D608" s="478"/>
      <c r="E608" s="478"/>
      <c r="F608" s="668" t="str">
        <f t="shared" si="71"/>
        <v>2018-2019</v>
      </c>
      <c r="G608" s="673" t="str">
        <f t="shared" si="72"/>
        <v>Campo 1</v>
      </c>
      <c r="H608" s="673" t="str">
        <f t="shared" si="73"/>
        <v>Soja de Segunda</v>
      </c>
      <c r="I608" s="675" t="str">
        <f>IFERROR(INDEX(Tabla8[],MATCH(Producción_Agricola[[#This Row],[Unidad de Negocio]],Tabla8[Unidades de Negocio],0),2),0)</f>
        <v>Soja</v>
      </c>
      <c r="J60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08" s="488"/>
      <c r="L608" s="482"/>
      <c r="M608" s="483"/>
      <c r="N608" s="484"/>
      <c r="O608" s="690">
        <f>Producción_Agricola[[#This Row],[Superficie]]*Producción_Agricola[[#This Row],[Cantidad]]</f>
        <v>0</v>
      </c>
      <c r="P608" s="482"/>
      <c r="Q608" s="484"/>
      <c r="R608" s="485"/>
      <c r="S60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08" s="695">
        <f>IFERROR(Producción_Agricola[[#This Row],[Económico $Corrientes]]/Producción_Agricola[[#This Row],[Indexación Económico]],0)</f>
        <v>0</v>
      </c>
      <c r="U60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0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08" s="695">
        <f>IFERROR(Producción_Agricola[[#This Row],[Financiero $Corrientes]]/Producción_Agricola[[#This Row],[Indexación Financiero]],0)</f>
        <v>0</v>
      </c>
      <c r="X60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0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08" s="699">
        <f>IFERROR(Producción_Agricola[[#This Row],[Intereses $Corrientes]]/Producción_Agricola[[#This Row],[Indexación Financiero]],0)</f>
        <v>0</v>
      </c>
      <c r="AA60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08" s="701">
        <f>IFERROR(INDEX(Produccion_Agricola_Cuentas[],MATCH(Producción_Agricola[[#This Row],[Cuenta Contable]],Produccion_Agricola_Cuentas[Cuenta Contable],0),2),0)</f>
        <v>0</v>
      </c>
      <c r="AC608" s="702">
        <f>IFERROR(INDEX(Tabla9[],MATCH(Producción_Agricola[[#This Row],[Movimiento]],Tabla9[Movimientos],0),2),0)</f>
        <v>0</v>
      </c>
      <c r="AD608" s="703">
        <f>IFERROR(INDEX(Tabla9[],MATCH(Producción_Agricola[[#This Row],[Movimiento]],Tabla9[Movimientos],0),3),0)</f>
        <v>0</v>
      </c>
      <c r="AE608" s="698">
        <f>IF(Producción_Agricola[[#This Row],[Fecha Económico]]=0,0,MONTH(Producción_Agricola[[#This Row],[Fecha Económico]]))</f>
        <v>0</v>
      </c>
      <c r="AF608" s="699">
        <f>IF(Producción_Agricola[[#This Row],[Fecha Económico]]=0,0,YEAR(Producción_Agricola[[#This Row],[Fecha Económico]]))</f>
        <v>0</v>
      </c>
      <c r="AG608" s="704">
        <f>SUMPRODUCT((Producción_Agricola[[#This Row],[Mes Económico]]=Tipo_Cambio[Mes])*(Producción_Agricola[[#This Row],[Año Económico]]=Tipo_Cambio[Año])*(Tipo_Cambio[$/U$S]))</f>
        <v>0</v>
      </c>
      <c r="AH608" s="703">
        <f>SUMPRODUCT((Producción_Agricola[[#This Row],[Mes Económico]]=Tipo_Cambio[Mes])*(Producción_Agricola[[#This Row],[Año Económico]]=Tipo_Cambio[Año])*(Tipo_Cambio[Actualización]))</f>
        <v>0</v>
      </c>
      <c r="AI608" s="699">
        <f>IF(ISNUMBER(Producción_Agricola[[#This Row],[Fecha Financiero]])=TRUE,MONTH(Producción_Agricola[[#This Row],[Fecha Financiero]]),0)</f>
        <v>0</v>
      </c>
      <c r="AJ608" s="699">
        <f>IF(ISNUMBER(Producción_Agricola[[#This Row],[Fecha Financiero]])=TRUE,YEAR(Producción_Agricola[[#This Row],[Fecha Financiero]]),0)</f>
        <v>0</v>
      </c>
      <c r="AK608" s="704">
        <f>SUMPRODUCT((Producción_Agricola[[#This Row],[Mes Financiero]]=Tipo_Cambio[Mes])*(Producción_Agricola[[#This Row],[Año Financiero]]=Tipo_Cambio[Año])*(Tipo_Cambio[$/U$S]))</f>
        <v>0</v>
      </c>
      <c r="AL608" s="704">
        <f>SUMPRODUCT((Producción_Agricola[[#This Row],[Mes Financiero]]=Tipo_Cambio[Mes])*(Producción_Agricola[[#This Row],[Año Financiero]]=Tipo_Cambio[Año])*(Tipo_Cambio[Actualización]))</f>
        <v>0</v>
      </c>
      <c r="AM608" s="709">
        <f>IFERROR(Producción_Agricola[[#This Row],[Económico $Corrientes]]/Producción_Agricola[[#This Row],[Superficie]],0)</f>
        <v>0</v>
      </c>
      <c r="AN608" s="712">
        <f>IFERROR(Producción_Agricola[[#This Row],[Económico $Constantes]]/Producción_Agricola[[#This Row],[Superficie]],0)</f>
        <v>0</v>
      </c>
      <c r="AO608" s="712">
        <f>IFERROR(Producción_Agricola[[#This Row],[Económico U$S Dólares]]/Producción_Agricola[[#This Row],[Superficie]],0)</f>
        <v>0</v>
      </c>
      <c r="AP608" s="711" t="str">
        <f>IF(Económico!$F$4=0,0,Producción_Agricola[[#This Row],[Centro de Costo]])</f>
        <v>Campo 1</v>
      </c>
      <c r="AQ608" s="512"/>
      <c r="AR608" s="513"/>
      <c r="AS608"/>
    </row>
    <row r="609" spans="1:45" x14ac:dyDescent="0.25">
      <c r="A609" s="509"/>
      <c r="B609" s="494"/>
      <c r="C609" s="509"/>
      <c r="D609" s="478"/>
      <c r="E609" s="478"/>
      <c r="F609" s="668" t="str">
        <f t="shared" si="71"/>
        <v>2018-2019</v>
      </c>
      <c r="G609" s="673" t="str">
        <f t="shared" si="72"/>
        <v>Campo 1</v>
      </c>
      <c r="H609" s="673" t="str">
        <f t="shared" si="73"/>
        <v>Soja de Segunda</v>
      </c>
      <c r="I609" s="675" t="str">
        <f>IFERROR(INDEX(Tabla8[],MATCH(Producción_Agricola[[#This Row],[Unidad de Negocio]],Tabla8[Unidades de Negocio],0),2),0)</f>
        <v>Soja</v>
      </c>
      <c r="J60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09" s="488"/>
      <c r="L609" s="482"/>
      <c r="M609" s="483"/>
      <c r="N609" s="484"/>
      <c r="O609" s="690">
        <f>Producción_Agricola[[#This Row],[Superficie]]*Producción_Agricola[[#This Row],[Cantidad]]</f>
        <v>0</v>
      </c>
      <c r="P609" s="482"/>
      <c r="Q609" s="484"/>
      <c r="R609" s="485"/>
      <c r="S60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09" s="695">
        <f>IFERROR(Producción_Agricola[[#This Row],[Económico $Corrientes]]/Producción_Agricola[[#This Row],[Indexación Económico]],0)</f>
        <v>0</v>
      </c>
      <c r="U60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0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09" s="695">
        <f>IFERROR(Producción_Agricola[[#This Row],[Financiero $Corrientes]]/Producción_Agricola[[#This Row],[Indexación Financiero]],0)</f>
        <v>0</v>
      </c>
      <c r="X60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0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09" s="699">
        <f>IFERROR(Producción_Agricola[[#This Row],[Intereses $Corrientes]]/Producción_Agricola[[#This Row],[Indexación Financiero]],0)</f>
        <v>0</v>
      </c>
      <c r="AA60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09" s="701">
        <f>IFERROR(INDEX(Produccion_Agricola_Cuentas[],MATCH(Producción_Agricola[[#This Row],[Cuenta Contable]],Produccion_Agricola_Cuentas[Cuenta Contable],0),2),0)</f>
        <v>0</v>
      </c>
      <c r="AC609" s="702">
        <f>IFERROR(INDEX(Tabla9[],MATCH(Producción_Agricola[[#This Row],[Movimiento]],Tabla9[Movimientos],0),2),0)</f>
        <v>0</v>
      </c>
      <c r="AD609" s="703">
        <f>IFERROR(INDEX(Tabla9[],MATCH(Producción_Agricola[[#This Row],[Movimiento]],Tabla9[Movimientos],0),3),0)</f>
        <v>0</v>
      </c>
      <c r="AE609" s="698">
        <f>IF(Producción_Agricola[[#This Row],[Fecha Económico]]=0,0,MONTH(Producción_Agricola[[#This Row],[Fecha Económico]]))</f>
        <v>0</v>
      </c>
      <c r="AF609" s="699">
        <f>IF(Producción_Agricola[[#This Row],[Fecha Económico]]=0,0,YEAR(Producción_Agricola[[#This Row],[Fecha Económico]]))</f>
        <v>0</v>
      </c>
      <c r="AG609" s="704">
        <f>SUMPRODUCT((Producción_Agricola[[#This Row],[Mes Económico]]=Tipo_Cambio[Mes])*(Producción_Agricola[[#This Row],[Año Económico]]=Tipo_Cambio[Año])*(Tipo_Cambio[$/U$S]))</f>
        <v>0</v>
      </c>
      <c r="AH609" s="703">
        <f>SUMPRODUCT((Producción_Agricola[[#This Row],[Mes Económico]]=Tipo_Cambio[Mes])*(Producción_Agricola[[#This Row],[Año Económico]]=Tipo_Cambio[Año])*(Tipo_Cambio[Actualización]))</f>
        <v>0</v>
      </c>
      <c r="AI609" s="699">
        <f>IF(ISNUMBER(Producción_Agricola[[#This Row],[Fecha Financiero]])=TRUE,MONTH(Producción_Agricola[[#This Row],[Fecha Financiero]]),0)</f>
        <v>0</v>
      </c>
      <c r="AJ609" s="699">
        <f>IF(ISNUMBER(Producción_Agricola[[#This Row],[Fecha Financiero]])=TRUE,YEAR(Producción_Agricola[[#This Row],[Fecha Financiero]]),0)</f>
        <v>0</v>
      </c>
      <c r="AK609" s="704">
        <f>SUMPRODUCT((Producción_Agricola[[#This Row],[Mes Financiero]]=Tipo_Cambio[Mes])*(Producción_Agricola[[#This Row],[Año Financiero]]=Tipo_Cambio[Año])*(Tipo_Cambio[$/U$S]))</f>
        <v>0</v>
      </c>
      <c r="AL609" s="704">
        <f>SUMPRODUCT((Producción_Agricola[[#This Row],[Mes Financiero]]=Tipo_Cambio[Mes])*(Producción_Agricola[[#This Row],[Año Financiero]]=Tipo_Cambio[Año])*(Tipo_Cambio[Actualización]))</f>
        <v>0</v>
      </c>
      <c r="AM609" s="709">
        <f>IFERROR(Producción_Agricola[[#This Row],[Económico $Corrientes]]/Producción_Agricola[[#This Row],[Superficie]],0)</f>
        <v>0</v>
      </c>
      <c r="AN609" s="712">
        <f>IFERROR(Producción_Agricola[[#This Row],[Económico $Constantes]]/Producción_Agricola[[#This Row],[Superficie]],0)</f>
        <v>0</v>
      </c>
      <c r="AO609" s="712">
        <f>IFERROR(Producción_Agricola[[#This Row],[Económico U$S Dólares]]/Producción_Agricola[[#This Row],[Superficie]],0)</f>
        <v>0</v>
      </c>
      <c r="AP609" s="711" t="str">
        <f>IF(Económico!$F$4=0,0,Producción_Agricola[[#This Row],[Centro de Costo]])</f>
        <v>Campo 1</v>
      </c>
      <c r="AQ609" s="512"/>
      <c r="AR609" s="513"/>
      <c r="AS609"/>
    </row>
    <row r="610" spans="1:45" x14ac:dyDescent="0.25">
      <c r="A610" s="509"/>
      <c r="B610" s="494"/>
      <c r="C610" s="509"/>
      <c r="D610" s="478"/>
      <c r="E610" s="478"/>
      <c r="F610" s="668" t="str">
        <f t="shared" si="71"/>
        <v>2018-2019</v>
      </c>
      <c r="G610" s="673" t="str">
        <f t="shared" si="72"/>
        <v>Campo 1</v>
      </c>
      <c r="H610" s="673" t="str">
        <f t="shared" si="73"/>
        <v>Soja de Segunda</v>
      </c>
      <c r="I610" s="675" t="str">
        <f>IFERROR(INDEX(Tabla8[],MATCH(Producción_Agricola[[#This Row],[Unidad de Negocio]],Tabla8[Unidades de Negocio],0),2),0)</f>
        <v>Soja</v>
      </c>
      <c r="J61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10" s="488"/>
      <c r="L610" s="482"/>
      <c r="M610" s="483"/>
      <c r="N610" s="484"/>
      <c r="O610" s="690">
        <f>Producción_Agricola[[#This Row],[Superficie]]*Producción_Agricola[[#This Row],[Cantidad]]</f>
        <v>0</v>
      </c>
      <c r="P610" s="482"/>
      <c r="Q610" s="484"/>
      <c r="R610" s="485"/>
      <c r="S61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10" s="695">
        <f>IFERROR(Producción_Agricola[[#This Row],[Económico $Corrientes]]/Producción_Agricola[[#This Row],[Indexación Económico]],0)</f>
        <v>0</v>
      </c>
      <c r="U61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1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10" s="695">
        <f>IFERROR(Producción_Agricola[[#This Row],[Financiero $Corrientes]]/Producción_Agricola[[#This Row],[Indexación Financiero]],0)</f>
        <v>0</v>
      </c>
      <c r="X61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1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10" s="699">
        <f>IFERROR(Producción_Agricola[[#This Row],[Intereses $Corrientes]]/Producción_Agricola[[#This Row],[Indexación Financiero]],0)</f>
        <v>0</v>
      </c>
      <c r="AA61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10" s="701">
        <f>IFERROR(INDEX(Produccion_Agricola_Cuentas[],MATCH(Producción_Agricola[[#This Row],[Cuenta Contable]],Produccion_Agricola_Cuentas[Cuenta Contable],0),2),0)</f>
        <v>0</v>
      </c>
      <c r="AC610" s="702">
        <f>IFERROR(INDEX(Tabla9[],MATCH(Producción_Agricola[[#This Row],[Movimiento]],Tabla9[Movimientos],0),2),0)</f>
        <v>0</v>
      </c>
      <c r="AD610" s="703">
        <f>IFERROR(INDEX(Tabla9[],MATCH(Producción_Agricola[[#This Row],[Movimiento]],Tabla9[Movimientos],0),3),0)</f>
        <v>0</v>
      </c>
      <c r="AE610" s="698">
        <f>IF(Producción_Agricola[[#This Row],[Fecha Económico]]=0,0,MONTH(Producción_Agricola[[#This Row],[Fecha Económico]]))</f>
        <v>0</v>
      </c>
      <c r="AF610" s="699">
        <f>IF(Producción_Agricola[[#This Row],[Fecha Económico]]=0,0,YEAR(Producción_Agricola[[#This Row],[Fecha Económico]]))</f>
        <v>0</v>
      </c>
      <c r="AG610" s="704">
        <f>SUMPRODUCT((Producción_Agricola[[#This Row],[Mes Económico]]=Tipo_Cambio[Mes])*(Producción_Agricola[[#This Row],[Año Económico]]=Tipo_Cambio[Año])*(Tipo_Cambio[$/U$S]))</f>
        <v>0</v>
      </c>
      <c r="AH610" s="703">
        <f>SUMPRODUCT((Producción_Agricola[[#This Row],[Mes Económico]]=Tipo_Cambio[Mes])*(Producción_Agricola[[#This Row],[Año Económico]]=Tipo_Cambio[Año])*(Tipo_Cambio[Actualización]))</f>
        <v>0</v>
      </c>
      <c r="AI610" s="699">
        <f>IF(ISNUMBER(Producción_Agricola[[#This Row],[Fecha Financiero]])=TRUE,MONTH(Producción_Agricola[[#This Row],[Fecha Financiero]]),0)</f>
        <v>0</v>
      </c>
      <c r="AJ610" s="699">
        <f>IF(ISNUMBER(Producción_Agricola[[#This Row],[Fecha Financiero]])=TRUE,YEAR(Producción_Agricola[[#This Row],[Fecha Financiero]]),0)</f>
        <v>0</v>
      </c>
      <c r="AK610" s="704">
        <f>SUMPRODUCT((Producción_Agricola[[#This Row],[Mes Financiero]]=Tipo_Cambio[Mes])*(Producción_Agricola[[#This Row],[Año Financiero]]=Tipo_Cambio[Año])*(Tipo_Cambio[$/U$S]))</f>
        <v>0</v>
      </c>
      <c r="AL610" s="704">
        <f>SUMPRODUCT((Producción_Agricola[[#This Row],[Mes Financiero]]=Tipo_Cambio[Mes])*(Producción_Agricola[[#This Row],[Año Financiero]]=Tipo_Cambio[Año])*(Tipo_Cambio[Actualización]))</f>
        <v>0</v>
      </c>
      <c r="AM610" s="709">
        <f>IFERROR(Producción_Agricola[[#This Row],[Económico $Corrientes]]/Producción_Agricola[[#This Row],[Superficie]],0)</f>
        <v>0</v>
      </c>
      <c r="AN610" s="712">
        <f>IFERROR(Producción_Agricola[[#This Row],[Económico $Constantes]]/Producción_Agricola[[#This Row],[Superficie]],0)</f>
        <v>0</v>
      </c>
      <c r="AO610" s="712">
        <f>IFERROR(Producción_Agricola[[#This Row],[Económico U$S Dólares]]/Producción_Agricola[[#This Row],[Superficie]],0)</f>
        <v>0</v>
      </c>
      <c r="AP610" s="711" t="str">
        <f>IF(Económico!$F$4=0,0,Producción_Agricola[[#This Row],[Centro de Costo]])</f>
        <v>Campo 1</v>
      </c>
      <c r="AQ610" s="512"/>
      <c r="AR610" s="513"/>
      <c r="AS610"/>
    </row>
    <row r="611" spans="1:45" x14ac:dyDescent="0.25">
      <c r="A611" s="509"/>
      <c r="B611" s="494"/>
      <c r="C611" s="509"/>
      <c r="D611" s="478"/>
      <c r="E611" s="478"/>
      <c r="F611" s="668" t="str">
        <f t="shared" si="71"/>
        <v>2018-2019</v>
      </c>
      <c r="G611" s="673" t="str">
        <f t="shared" si="72"/>
        <v>Campo 1</v>
      </c>
      <c r="H611" s="673" t="str">
        <f t="shared" si="73"/>
        <v>Soja de Segunda</v>
      </c>
      <c r="I611" s="675" t="str">
        <f>IFERROR(INDEX(Tabla8[],MATCH(Producción_Agricola[[#This Row],[Unidad de Negocio]],Tabla8[Unidades de Negocio],0),2),0)</f>
        <v>Soja</v>
      </c>
      <c r="J61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11" s="488"/>
      <c r="L611" s="482"/>
      <c r="M611" s="483"/>
      <c r="N611" s="484"/>
      <c r="O611" s="690">
        <f>Producción_Agricola[[#This Row],[Superficie]]*Producción_Agricola[[#This Row],[Cantidad]]</f>
        <v>0</v>
      </c>
      <c r="P611" s="482"/>
      <c r="Q611" s="484"/>
      <c r="R611" s="485"/>
      <c r="S61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11" s="695">
        <f>IFERROR(Producción_Agricola[[#This Row],[Económico $Corrientes]]/Producción_Agricola[[#This Row],[Indexación Económico]],0)</f>
        <v>0</v>
      </c>
      <c r="U61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1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11" s="695">
        <f>IFERROR(Producción_Agricola[[#This Row],[Financiero $Corrientes]]/Producción_Agricola[[#This Row],[Indexación Financiero]],0)</f>
        <v>0</v>
      </c>
      <c r="X61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1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11" s="699">
        <f>IFERROR(Producción_Agricola[[#This Row],[Intereses $Corrientes]]/Producción_Agricola[[#This Row],[Indexación Financiero]],0)</f>
        <v>0</v>
      </c>
      <c r="AA61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11" s="701">
        <f>IFERROR(INDEX(Produccion_Agricola_Cuentas[],MATCH(Producción_Agricola[[#This Row],[Cuenta Contable]],Produccion_Agricola_Cuentas[Cuenta Contable],0),2),0)</f>
        <v>0</v>
      </c>
      <c r="AC611" s="702">
        <f>IFERROR(INDEX(Tabla9[],MATCH(Producción_Agricola[[#This Row],[Movimiento]],Tabla9[Movimientos],0),2),0)</f>
        <v>0</v>
      </c>
      <c r="AD611" s="703">
        <f>IFERROR(INDEX(Tabla9[],MATCH(Producción_Agricola[[#This Row],[Movimiento]],Tabla9[Movimientos],0),3),0)</f>
        <v>0</v>
      </c>
      <c r="AE611" s="698">
        <f>IF(Producción_Agricola[[#This Row],[Fecha Económico]]=0,0,MONTH(Producción_Agricola[[#This Row],[Fecha Económico]]))</f>
        <v>0</v>
      </c>
      <c r="AF611" s="699">
        <f>IF(Producción_Agricola[[#This Row],[Fecha Económico]]=0,0,YEAR(Producción_Agricola[[#This Row],[Fecha Económico]]))</f>
        <v>0</v>
      </c>
      <c r="AG611" s="704">
        <f>SUMPRODUCT((Producción_Agricola[[#This Row],[Mes Económico]]=Tipo_Cambio[Mes])*(Producción_Agricola[[#This Row],[Año Económico]]=Tipo_Cambio[Año])*(Tipo_Cambio[$/U$S]))</f>
        <v>0</v>
      </c>
      <c r="AH611" s="703">
        <f>SUMPRODUCT((Producción_Agricola[[#This Row],[Mes Económico]]=Tipo_Cambio[Mes])*(Producción_Agricola[[#This Row],[Año Económico]]=Tipo_Cambio[Año])*(Tipo_Cambio[Actualización]))</f>
        <v>0</v>
      </c>
      <c r="AI611" s="699">
        <f>IF(ISNUMBER(Producción_Agricola[[#This Row],[Fecha Financiero]])=TRUE,MONTH(Producción_Agricola[[#This Row],[Fecha Financiero]]),0)</f>
        <v>0</v>
      </c>
      <c r="AJ611" s="699">
        <f>IF(ISNUMBER(Producción_Agricola[[#This Row],[Fecha Financiero]])=TRUE,YEAR(Producción_Agricola[[#This Row],[Fecha Financiero]]),0)</f>
        <v>0</v>
      </c>
      <c r="AK611" s="704">
        <f>SUMPRODUCT((Producción_Agricola[[#This Row],[Mes Financiero]]=Tipo_Cambio[Mes])*(Producción_Agricola[[#This Row],[Año Financiero]]=Tipo_Cambio[Año])*(Tipo_Cambio[$/U$S]))</f>
        <v>0</v>
      </c>
      <c r="AL611" s="704">
        <f>SUMPRODUCT((Producción_Agricola[[#This Row],[Mes Financiero]]=Tipo_Cambio[Mes])*(Producción_Agricola[[#This Row],[Año Financiero]]=Tipo_Cambio[Año])*(Tipo_Cambio[Actualización]))</f>
        <v>0</v>
      </c>
      <c r="AM611" s="709">
        <f>IFERROR(Producción_Agricola[[#This Row],[Económico $Corrientes]]/Producción_Agricola[[#This Row],[Superficie]],0)</f>
        <v>0</v>
      </c>
      <c r="AN611" s="712">
        <f>IFERROR(Producción_Agricola[[#This Row],[Económico $Constantes]]/Producción_Agricola[[#This Row],[Superficie]],0)</f>
        <v>0</v>
      </c>
      <c r="AO611" s="712">
        <f>IFERROR(Producción_Agricola[[#This Row],[Económico U$S Dólares]]/Producción_Agricola[[#This Row],[Superficie]],0)</f>
        <v>0</v>
      </c>
      <c r="AP611" s="711" t="str">
        <f>IF(Económico!$F$4=0,0,Producción_Agricola[[#This Row],[Centro de Costo]])</f>
        <v>Campo 1</v>
      </c>
      <c r="AQ611" s="512"/>
      <c r="AR611" s="513"/>
      <c r="AS611"/>
    </row>
    <row r="612" spans="1:45" x14ac:dyDescent="0.25">
      <c r="A612" s="509"/>
      <c r="B612" s="494"/>
      <c r="C612" s="509"/>
      <c r="D612" s="478"/>
      <c r="E612" s="478"/>
      <c r="F612" s="668" t="str">
        <f t="shared" si="71"/>
        <v>2018-2019</v>
      </c>
      <c r="G612" s="673" t="str">
        <f t="shared" si="72"/>
        <v>Campo 1</v>
      </c>
      <c r="H612" s="673" t="str">
        <f t="shared" si="73"/>
        <v>Soja de Segunda</v>
      </c>
      <c r="I612" s="675" t="str">
        <f>IFERROR(INDEX(Tabla8[],MATCH(Producción_Agricola[[#This Row],[Unidad de Negocio]],Tabla8[Unidades de Negocio],0),2),0)</f>
        <v>Soja</v>
      </c>
      <c r="J61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12" s="488"/>
      <c r="L612" s="482"/>
      <c r="M612" s="483"/>
      <c r="N612" s="484"/>
      <c r="O612" s="690">
        <f>Producción_Agricola[[#This Row],[Superficie]]*Producción_Agricola[[#This Row],[Cantidad]]</f>
        <v>0</v>
      </c>
      <c r="P612" s="482"/>
      <c r="Q612" s="484"/>
      <c r="R612" s="485"/>
      <c r="S61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12" s="695">
        <f>IFERROR(Producción_Agricola[[#This Row],[Económico $Corrientes]]/Producción_Agricola[[#This Row],[Indexación Económico]],0)</f>
        <v>0</v>
      </c>
      <c r="U61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1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12" s="695">
        <f>IFERROR(Producción_Agricola[[#This Row],[Financiero $Corrientes]]/Producción_Agricola[[#This Row],[Indexación Financiero]],0)</f>
        <v>0</v>
      </c>
      <c r="X61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1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12" s="699">
        <f>IFERROR(Producción_Agricola[[#This Row],[Intereses $Corrientes]]/Producción_Agricola[[#This Row],[Indexación Financiero]],0)</f>
        <v>0</v>
      </c>
      <c r="AA61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12" s="701">
        <f>IFERROR(INDEX(Produccion_Agricola_Cuentas[],MATCH(Producción_Agricola[[#This Row],[Cuenta Contable]],Produccion_Agricola_Cuentas[Cuenta Contable],0),2),0)</f>
        <v>0</v>
      </c>
      <c r="AC612" s="702">
        <f>IFERROR(INDEX(Tabla9[],MATCH(Producción_Agricola[[#This Row],[Movimiento]],Tabla9[Movimientos],0),2),0)</f>
        <v>0</v>
      </c>
      <c r="AD612" s="703">
        <f>IFERROR(INDEX(Tabla9[],MATCH(Producción_Agricola[[#This Row],[Movimiento]],Tabla9[Movimientos],0),3),0)</f>
        <v>0</v>
      </c>
      <c r="AE612" s="698">
        <f>IF(Producción_Agricola[[#This Row],[Fecha Económico]]=0,0,MONTH(Producción_Agricola[[#This Row],[Fecha Económico]]))</f>
        <v>0</v>
      </c>
      <c r="AF612" s="699">
        <f>IF(Producción_Agricola[[#This Row],[Fecha Económico]]=0,0,YEAR(Producción_Agricola[[#This Row],[Fecha Económico]]))</f>
        <v>0</v>
      </c>
      <c r="AG612" s="704">
        <f>SUMPRODUCT((Producción_Agricola[[#This Row],[Mes Económico]]=Tipo_Cambio[Mes])*(Producción_Agricola[[#This Row],[Año Económico]]=Tipo_Cambio[Año])*(Tipo_Cambio[$/U$S]))</f>
        <v>0</v>
      </c>
      <c r="AH612" s="703">
        <f>SUMPRODUCT((Producción_Agricola[[#This Row],[Mes Económico]]=Tipo_Cambio[Mes])*(Producción_Agricola[[#This Row],[Año Económico]]=Tipo_Cambio[Año])*(Tipo_Cambio[Actualización]))</f>
        <v>0</v>
      </c>
      <c r="AI612" s="699">
        <f>IF(ISNUMBER(Producción_Agricola[[#This Row],[Fecha Financiero]])=TRUE,MONTH(Producción_Agricola[[#This Row],[Fecha Financiero]]),0)</f>
        <v>0</v>
      </c>
      <c r="AJ612" s="699">
        <f>IF(ISNUMBER(Producción_Agricola[[#This Row],[Fecha Financiero]])=TRUE,YEAR(Producción_Agricola[[#This Row],[Fecha Financiero]]),0)</f>
        <v>0</v>
      </c>
      <c r="AK612" s="704">
        <f>SUMPRODUCT((Producción_Agricola[[#This Row],[Mes Financiero]]=Tipo_Cambio[Mes])*(Producción_Agricola[[#This Row],[Año Financiero]]=Tipo_Cambio[Año])*(Tipo_Cambio[$/U$S]))</f>
        <v>0</v>
      </c>
      <c r="AL612" s="704">
        <f>SUMPRODUCT((Producción_Agricola[[#This Row],[Mes Financiero]]=Tipo_Cambio[Mes])*(Producción_Agricola[[#This Row],[Año Financiero]]=Tipo_Cambio[Año])*(Tipo_Cambio[Actualización]))</f>
        <v>0</v>
      </c>
      <c r="AM612" s="709">
        <f>IFERROR(Producción_Agricola[[#This Row],[Económico $Corrientes]]/Producción_Agricola[[#This Row],[Superficie]],0)</f>
        <v>0</v>
      </c>
      <c r="AN612" s="712">
        <f>IFERROR(Producción_Agricola[[#This Row],[Económico $Constantes]]/Producción_Agricola[[#This Row],[Superficie]],0)</f>
        <v>0</v>
      </c>
      <c r="AO612" s="712">
        <f>IFERROR(Producción_Agricola[[#This Row],[Económico U$S Dólares]]/Producción_Agricola[[#This Row],[Superficie]],0)</f>
        <v>0</v>
      </c>
      <c r="AP612" s="711" t="str">
        <f>IF(Económico!$F$4=0,0,Producción_Agricola[[#This Row],[Centro de Costo]])</f>
        <v>Campo 1</v>
      </c>
      <c r="AQ612" s="512"/>
      <c r="AR612" s="513"/>
      <c r="AS612"/>
    </row>
    <row r="613" spans="1:45" x14ac:dyDescent="0.25">
      <c r="A613" s="509"/>
      <c r="B613" s="494"/>
      <c r="C613" s="509"/>
      <c r="D613" s="478"/>
      <c r="E613" s="478"/>
      <c r="F613" s="668" t="str">
        <f t="shared" si="71"/>
        <v>2018-2019</v>
      </c>
      <c r="G613" s="673" t="str">
        <f t="shared" si="72"/>
        <v>Campo 1</v>
      </c>
      <c r="H613" s="673" t="str">
        <f t="shared" si="73"/>
        <v>Soja de Segunda</v>
      </c>
      <c r="I613" s="675" t="str">
        <f>IFERROR(INDEX(Tabla8[],MATCH(Producción_Agricola[[#This Row],[Unidad de Negocio]],Tabla8[Unidades de Negocio],0),2),0)</f>
        <v>Soja</v>
      </c>
      <c r="J61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13" s="488"/>
      <c r="L613" s="482"/>
      <c r="M613" s="483"/>
      <c r="N613" s="484"/>
      <c r="O613" s="690">
        <f>Producción_Agricola[[#This Row],[Superficie]]*Producción_Agricola[[#This Row],[Cantidad]]</f>
        <v>0</v>
      </c>
      <c r="P613" s="482"/>
      <c r="Q613" s="484"/>
      <c r="R613" s="485"/>
      <c r="S61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13" s="695">
        <f>IFERROR(Producción_Agricola[[#This Row],[Económico $Corrientes]]/Producción_Agricola[[#This Row],[Indexación Económico]],0)</f>
        <v>0</v>
      </c>
      <c r="U61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1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13" s="695">
        <f>IFERROR(Producción_Agricola[[#This Row],[Financiero $Corrientes]]/Producción_Agricola[[#This Row],[Indexación Financiero]],0)</f>
        <v>0</v>
      </c>
      <c r="X61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1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13" s="699">
        <f>IFERROR(Producción_Agricola[[#This Row],[Intereses $Corrientes]]/Producción_Agricola[[#This Row],[Indexación Financiero]],0)</f>
        <v>0</v>
      </c>
      <c r="AA61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13" s="701">
        <f>IFERROR(INDEX(Produccion_Agricola_Cuentas[],MATCH(Producción_Agricola[[#This Row],[Cuenta Contable]],Produccion_Agricola_Cuentas[Cuenta Contable],0),2),0)</f>
        <v>0</v>
      </c>
      <c r="AC613" s="702">
        <f>IFERROR(INDEX(Tabla9[],MATCH(Producción_Agricola[[#This Row],[Movimiento]],Tabla9[Movimientos],0),2),0)</f>
        <v>0</v>
      </c>
      <c r="AD613" s="703">
        <f>IFERROR(INDEX(Tabla9[],MATCH(Producción_Agricola[[#This Row],[Movimiento]],Tabla9[Movimientos],0),3),0)</f>
        <v>0</v>
      </c>
      <c r="AE613" s="698">
        <f>IF(Producción_Agricola[[#This Row],[Fecha Económico]]=0,0,MONTH(Producción_Agricola[[#This Row],[Fecha Económico]]))</f>
        <v>0</v>
      </c>
      <c r="AF613" s="699">
        <f>IF(Producción_Agricola[[#This Row],[Fecha Económico]]=0,0,YEAR(Producción_Agricola[[#This Row],[Fecha Económico]]))</f>
        <v>0</v>
      </c>
      <c r="AG613" s="704">
        <f>SUMPRODUCT((Producción_Agricola[[#This Row],[Mes Económico]]=Tipo_Cambio[Mes])*(Producción_Agricola[[#This Row],[Año Económico]]=Tipo_Cambio[Año])*(Tipo_Cambio[$/U$S]))</f>
        <v>0</v>
      </c>
      <c r="AH613" s="703">
        <f>SUMPRODUCT((Producción_Agricola[[#This Row],[Mes Económico]]=Tipo_Cambio[Mes])*(Producción_Agricola[[#This Row],[Año Económico]]=Tipo_Cambio[Año])*(Tipo_Cambio[Actualización]))</f>
        <v>0</v>
      </c>
      <c r="AI613" s="699">
        <f>IF(ISNUMBER(Producción_Agricola[[#This Row],[Fecha Financiero]])=TRUE,MONTH(Producción_Agricola[[#This Row],[Fecha Financiero]]),0)</f>
        <v>0</v>
      </c>
      <c r="AJ613" s="699">
        <f>IF(ISNUMBER(Producción_Agricola[[#This Row],[Fecha Financiero]])=TRUE,YEAR(Producción_Agricola[[#This Row],[Fecha Financiero]]),0)</f>
        <v>0</v>
      </c>
      <c r="AK613" s="704">
        <f>SUMPRODUCT((Producción_Agricola[[#This Row],[Mes Financiero]]=Tipo_Cambio[Mes])*(Producción_Agricola[[#This Row],[Año Financiero]]=Tipo_Cambio[Año])*(Tipo_Cambio[$/U$S]))</f>
        <v>0</v>
      </c>
      <c r="AL613" s="704">
        <f>SUMPRODUCT((Producción_Agricola[[#This Row],[Mes Financiero]]=Tipo_Cambio[Mes])*(Producción_Agricola[[#This Row],[Año Financiero]]=Tipo_Cambio[Año])*(Tipo_Cambio[Actualización]))</f>
        <v>0</v>
      </c>
      <c r="AM613" s="709">
        <f>IFERROR(Producción_Agricola[[#This Row],[Económico $Corrientes]]/Producción_Agricola[[#This Row],[Superficie]],0)</f>
        <v>0</v>
      </c>
      <c r="AN613" s="712">
        <f>IFERROR(Producción_Agricola[[#This Row],[Económico $Constantes]]/Producción_Agricola[[#This Row],[Superficie]],0)</f>
        <v>0</v>
      </c>
      <c r="AO613" s="712">
        <f>IFERROR(Producción_Agricola[[#This Row],[Económico U$S Dólares]]/Producción_Agricola[[#This Row],[Superficie]],0)</f>
        <v>0</v>
      </c>
      <c r="AP613" s="711" t="str">
        <f>IF(Económico!$F$4=0,0,Producción_Agricola[[#This Row],[Centro de Costo]])</f>
        <v>Campo 1</v>
      </c>
      <c r="AQ613" s="512"/>
      <c r="AR613" s="513"/>
      <c r="AS613"/>
    </row>
    <row r="614" spans="1:45" x14ac:dyDescent="0.25">
      <c r="A614" s="509"/>
      <c r="B614" s="494"/>
      <c r="C614" s="509"/>
      <c r="D614" s="478"/>
      <c r="E614" s="478"/>
      <c r="F614" s="668" t="str">
        <f t="shared" si="71"/>
        <v>2018-2019</v>
      </c>
      <c r="G614" s="673" t="str">
        <f t="shared" si="72"/>
        <v>Campo 1</v>
      </c>
      <c r="H614" s="673" t="str">
        <f t="shared" si="73"/>
        <v>Soja de Segunda</v>
      </c>
      <c r="I614" s="675" t="str">
        <f>IFERROR(INDEX(Tabla8[],MATCH(Producción_Agricola[[#This Row],[Unidad de Negocio]],Tabla8[Unidades de Negocio],0),2),0)</f>
        <v>Soja</v>
      </c>
      <c r="J61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14" s="488"/>
      <c r="L614" s="482"/>
      <c r="M614" s="483"/>
      <c r="N614" s="484"/>
      <c r="O614" s="690">
        <f>Producción_Agricola[[#This Row],[Superficie]]*Producción_Agricola[[#This Row],[Cantidad]]</f>
        <v>0</v>
      </c>
      <c r="P614" s="482"/>
      <c r="Q614" s="484"/>
      <c r="R614" s="485"/>
      <c r="S61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14" s="695">
        <f>IFERROR(Producción_Agricola[[#This Row],[Económico $Corrientes]]/Producción_Agricola[[#This Row],[Indexación Económico]],0)</f>
        <v>0</v>
      </c>
      <c r="U61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1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14" s="695">
        <f>IFERROR(Producción_Agricola[[#This Row],[Financiero $Corrientes]]/Producción_Agricola[[#This Row],[Indexación Financiero]],0)</f>
        <v>0</v>
      </c>
      <c r="X61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1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14" s="699">
        <f>IFERROR(Producción_Agricola[[#This Row],[Intereses $Corrientes]]/Producción_Agricola[[#This Row],[Indexación Financiero]],0)</f>
        <v>0</v>
      </c>
      <c r="AA61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14" s="701">
        <f>IFERROR(INDEX(Produccion_Agricola_Cuentas[],MATCH(Producción_Agricola[[#This Row],[Cuenta Contable]],Produccion_Agricola_Cuentas[Cuenta Contable],0),2),0)</f>
        <v>0</v>
      </c>
      <c r="AC614" s="702">
        <f>IFERROR(INDEX(Tabla9[],MATCH(Producción_Agricola[[#This Row],[Movimiento]],Tabla9[Movimientos],0),2),0)</f>
        <v>0</v>
      </c>
      <c r="AD614" s="703">
        <f>IFERROR(INDEX(Tabla9[],MATCH(Producción_Agricola[[#This Row],[Movimiento]],Tabla9[Movimientos],0),3),0)</f>
        <v>0</v>
      </c>
      <c r="AE614" s="698">
        <f>IF(Producción_Agricola[[#This Row],[Fecha Económico]]=0,0,MONTH(Producción_Agricola[[#This Row],[Fecha Económico]]))</f>
        <v>0</v>
      </c>
      <c r="AF614" s="699">
        <f>IF(Producción_Agricola[[#This Row],[Fecha Económico]]=0,0,YEAR(Producción_Agricola[[#This Row],[Fecha Económico]]))</f>
        <v>0</v>
      </c>
      <c r="AG614" s="704">
        <f>SUMPRODUCT((Producción_Agricola[[#This Row],[Mes Económico]]=Tipo_Cambio[Mes])*(Producción_Agricola[[#This Row],[Año Económico]]=Tipo_Cambio[Año])*(Tipo_Cambio[$/U$S]))</f>
        <v>0</v>
      </c>
      <c r="AH614" s="703">
        <f>SUMPRODUCT((Producción_Agricola[[#This Row],[Mes Económico]]=Tipo_Cambio[Mes])*(Producción_Agricola[[#This Row],[Año Económico]]=Tipo_Cambio[Año])*(Tipo_Cambio[Actualización]))</f>
        <v>0</v>
      </c>
      <c r="AI614" s="699">
        <f>IF(ISNUMBER(Producción_Agricola[[#This Row],[Fecha Financiero]])=TRUE,MONTH(Producción_Agricola[[#This Row],[Fecha Financiero]]),0)</f>
        <v>0</v>
      </c>
      <c r="AJ614" s="699">
        <f>IF(ISNUMBER(Producción_Agricola[[#This Row],[Fecha Financiero]])=TRUE,YEAR(Producción_Agricola[[#This Row],[Fecha Financiero]]),0)</f>
        <v>0</v>
      </c>
      <c r="AK614" s="704">
        <f>SUMPRODUCT((Producción_Agricola[[#This Row],[Mes Financiero]]=Tipo_Cambio[Mes])*(Producción_Agricola[[#This Row],[Año Financiero]]=Tipo_Cambio[Año])*(Tipo_Cambio[$/U$S]))</f>
        <v>0</v>
      </c>
      <c r="AL614" s="704">
        <f>SUMPRODUCT((Producción_Agricola[[#This Row],[Mes Financiero]]=Tipo_Cambio[Mes])*(Producción_Agricola[[#This Row],[Año Financiero]]=Tipo_Cambio[Año])*(Tipo_Cambio[Actualización]))</f>
        <v>0</v>
      </c>
      <c r="AM614" s="709">
        <f>IFERROR(Producción_Agricola[[#This Row],[Económico $Corrientes]]/Producción_Agricola[[#This Row],[Superficie]],0)</f>
        <v>0</v>
      </c>
      <c r="AN614" s="712">
        <f>IFERROR(Producción_Agricola[[#This Row],[Económico $Constantes]]/Producción_Agricola[[#This Row],[Superficie]],0)</f>
        <v>0</v>
      </c>
      <c r="AO614" s="712">
        <f>IFERROR(Producción_Agricola[[#This Row],[Económico U$S Dólares]]/Producción_Agricola[[#This Row],[Superficie]],0)</f>
        <v>0</v>
      </c>
      <c r="AP614" s="711" t="str">
        <f>IF(Económico!$F$4=0,0,Producción_Agricola[[#This Row],[Centro de Costo]])</f>
        <v>Campo 1</v>
      </c>
      <c r="AQ614" s="512"/>
      <c r="AR614" s="513"/>
      <c r="AS614"/>
    </row>
    <row r="615" spans="1:45" x14ac:dyDescent="0.25">
      <c r="A615" s="509"/>
      <c r="B615" s="494"/>
      <c r="C615" s="509"/>
      <c r="D615" s="478"/>
      <c r="E615" s="478"/>
      <c r="F615" s="668" t="str">
        <f t="shared" si="71"/>
        <v>2018-2019</v>
      </c>
      <c r="G615" s="673" t="str">
        <f t="shared" si="72"/>
        <v>Campo 1</v>
      </c>
      <c r="H615" s="673" t="str">
        <f t="shared" si="73"/>
        <v>Soja de Segunda</v>
      </c>
      <c r="I615" s="675" t="str">
        <f>IFERROR(INDEX(Tabla8[],MATCH(Producción_Agricola[[#This Row],[Unidad de Negocio]],Tabla8[Unidades de Negocio],0),2),0)</f>
        <v>Soja</v>
      </c>
      <c r="J61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15" s="488"/>
      <c r="L615" s="482"/>
      <c r="M615" s="483"/>
      <c r="N615" s="484"/>
      <c r="O615" s="690">
        <f>Producción_Agricola[[#This Row],[Superficie]]*Producción_Agricola[[#This Row],[Cantidad]]</f>
        <v>0</v>
      </c>
      <c r="P615" s="482"/>
      <c r="Q615" s="484"/>
      <c r="R615" s="485"/>
      <c r="S61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15" s="695">
        <f>IFERROR(Producción_Agricola[[#This Row],[Económico $Corrientes]]/Producción_Agricola[[#This Row],[Indexación Económico]],0)</f>
        <v>0</v>
      </c>
      <c r="U61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1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15" s="695">
        <f>IFERROR(Producción_Agricola[[#This Row],[Financiero $Corrientes]]/Producción_Agricola[[#This Row],[Indexación Financiero]],0)</f>
        <v>0</v>
      </c>
      <c r="X61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1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15" s="699">
        <f>IFERROR(Producción_Agricola[[#This Row],[Intereses $Corrientes]]/Producción_Agricola[[#This Row],[Indexación Financiero]],0)</f>
        <v>0</v>
      </c>
      <c r="AA61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15" s="701">
        <f>IFERROR(INDEX(Produccion_Agricola_Cuentas[],MATCH(Producción_Agricola[[#This Row],[Cuenta Contable]],Produccion_Agricola_Cuentas[Cuenta Contable],0),2),0)</f>
        <v>0</v>
      </c>
      <c r="AC615" s="702">
        <f>IFERROR(INDEX(Tabla9[],MATCH(Producción_Agricola[[#This Row],[Movimiento]],Tabla9[Movimientos],0),2),0)</f>
        <v>0</v>
      </c>
      <c r="AD615" s="703">
        <f>IFERROR(INDEX(Tabla9[],MATCH(Producción_Agricola[[#This Row],[Movimiento]],Tabla9[Movimientos],0),3),0)</f>
        <v>0</v>
      </c>
      <c r="AE615" s="698">
        <f>IF(Producción_Agricola[[#This Row],[Fecha Económico]]=0,0,MONTH(Producción_Agricola[[#This Row],[Fecha Económico]]))</f>
        <v>0</v>
      </c>
      <c r="AF615" s="699">
        <f>IF(Producción_Agricola[[#This Row],[Fecha Económico]]=0,0,YEAR(Producción_Agricola[[#This Row],[Fecha Económico]]))</f>
        <v>0</v>
      </c>
      <c r="AG615" s="704">
        <f>SUMPRODUCT((Producción_Agricola[[#This Row],[Mes Económico]]=Tipo_Cambio[Mes])*(Producción_Agricola[[#This Row],[Año Económico]]=Tipo_Cambio[Año])*(Tipo_Cambio[$/U$S]))</f>
        <v>0</v>
      </c>
      <c r="AH615" s="703">
        <f>SUMPRODUCT((Producción_Agricola[[#This Row],[Mes Económico]]=Tipo_Cambio[Mes])*(Producción_Agricola[[#This Row],[Año Económico]]=Tipo_Cambio[Año])*(Tipo_Cambio[Actualización]))</f>
        <v>0</v>
      </c>
      <c r="AI615" s="699">
        <f>IF(ISNUMBER(Producción_Agricola[[#This Row],[Fecha Financiero]])=TRUE,MONTH(Producción_Agricola[[#This Row],[Fecha Financiero]]),0)</f>
        <v>0</v>
      </c>
      <c r="AJ615" s="699">
        <f>IF(ISNUMBER(Producción_Agricola[[#This Row],[Fecha Financiero]])=TRUE,YEAR(Producción_Agricola[[#This Row],[Fecha Financiero]]),0)</f>
        <v>0</v>
      </c>
      <c r="AK615" s="704">
        <f>SUMPRODUCT((Producción_Agricola[[#This Row],[Mes Financiero]]=Tipo_Cambio[Mes])*(Producción_Agricola[[#This Row],[Año Financiero]]=Tipo_Cambio[Año])*(Tipo_Cambio[$/U$S]))</f>
        <v>0</v>
      </c>
      <c r="AL615" s="704">
        <f>SUMPRODUCT((Producción_Agricola[[#This Row],[Mes Financiero]]=Tipo_Cambio[Mes])*(Producción_Agricola[[#This Row],[Año Financiero]]=Tipo_Cambio[Año])*(Tipo_Cambio[Actualización]))</f>
        <v>0</v>
      </c>
      <c r="AM615" s="709">
        <f>IFERROR(Producción_Agricola[[#This Row],[Económico $Corrientes]]/Producción_Agricola[[#This Row],[Superficie]],0)</f>
        <v>0</v>
      </c>
      <c r="AN615" s="712">
        <f>IFERROR(Producción_Agricola[[#This Row],[Económico $Constantes]]/Producción_Agricola[[#This Row],[Superficie]],0)</f>
        <v>0</v>
      </c>
      <c r="AO615" s="712">
        <f>IFERROR(Producción_Agricola[[#This Row],[Económico U$S Dólares]]/Producción_Agricola[[#This Row],[Superficie]],0)</f>
        <v>0</v>
      </c>
      <c r="AP615" s="711" t="str">
        <f>IF(Económico!$F$4=0,0,Producción_Agricola[[#This Row],[Centro de Costo]])</f>
        <v>Campo 1</v>
      </c>
      <c r="AQ615" s="512"/>
      <c r="AR615" s="513"/>
      <c r="AS615"/>
    </row>
    <row r="616" spans="1:45" x14ac:dyDescent="0.25">
      <c r="A616" s="509"/>
      <c r="B616" s="494"/>
      <c r="C616" s="509"/>
      <c r="D616" s="478"/>
      <c r="E616" s="478"/>
      <c r="F616" s="668" t="str">
        <f t="shared" si="71"/>
        <v>2018-2019</v>
      </c>
      <c r="G616" s="673" t="str">
        <f t="shared" si="72"/>
        <v>Campo 1</v>
      </c>
      <c r="H616" s="673" t="str">
        <f t="shared" si="73"/>
        <v>Soja de Segunda</v>
      </c>
      <c r="I616" s="675" t="str">
        <f>IFERROR(INDEX(Tabla8[],MATCH(Producción_Agricola[[#This Row],[Unidad de Negocio]],Tabla8[Unidades de Negocio],0),2),0)</f>
        <v>Soja</v>
      </c>
      <c r="J61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16" s="488"/>
      <c r="L616" s="482"/>
      <c r="M616" s="483"/>
      <c r="N616" s="484"/>
      <c r="O616" s="690">
        <f>Producción_Agricola[[#This Row],[Superficie]]*Producción_Agricola[[#This Row],[Cantidad]]</f>
        <v>0</v>
      </c>
      <c r="P616" s="482"/>
      <c r="Q616" s="484"/>
      <c r="R616" s="485"/>
      <c r="S61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16" s="695">
        <f>IFERROR(Producción_Agricola[[#This Row],[Económico $Corrientes]]/Producción_Agricola[[#This Row],[Indexación Económico]],0)</f>
        <v>0</v>
      </c>
      <c r="U61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1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16" s="695">
        <f>IFERROR(Producción_Agricola[[#This Row],[Financiero $Corrientes]]/Producción_Agricola[[#This Row],[Indexación Financiero]],0)</f>
        <v>0</v>
      </c>
      <c r="X61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1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16" s="699">
        <f>IFERROR(Producción_Agricola[[#This Row],[Intereses $Corrientes]]/Producción_Agricola[[#This Row],[Indexación Financiero]],0)</f>
        <v>0</v>
      </c>
      <c r="AA61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16" s="701">
        <f>IFERROR(INDEX(Produccion_Agricola_Cuentas[],MATCH(Producción_Agricola[[#This Row],[Cuenta Contable]],Produccion_Agricola_Cuentas[Cuenta Contable],0),2),0)</f>
        <v>0</v>
      </c>
      <c r="AC616" s="702">
        <f>IFERROR(INDEX(Tabla9[],MATCH(Producción_Agricola[[#This Row],[Movimiento]],Tabla9[Movimientos],0),2),0)</f>
        <v>0</v>
      </c>
      <c r="AD616" s="703">
        <f>IFERROR(INDEX(Tabla9[],MATCH(Producción_Agricola[[#This Row],[Movimiento]],Tabla9[Movimientos],0),3),0)</f>
        <v>0</v>
      </c>
      <c r="AE616" s="698">
        <f>IF(Producción_Agricola[[#This Row],[Fecha Económico]]=0,0,MONTH(Producción_Agricola[[#This Row],[Fecha Económico]]))</f>
        <v>0</v>
      </c>
      <c r="AF616" s="699">
        <f>IF(Producción_Agricola[[#This Row],[Fecha Económico]]=0,0,YEAR(Producción_Agricola[[#This Row],[Fecha Económico]]))</f>
        <v>0</v>
      </c>
      <c r="AG616" s="704">
        <f>SUMPRODUCT((Producción_Agricola[[#This Row],[Mes Económico]]=Tipo_Cambio[Mes])*(Producción_Agricola[[#This Row],[Año Económico]]=Tipo_Cambio[Año])*(Tipo_Cambio[$/U$S]))</f>
        <v>0</v>
      </c>
      <c r="AH616" s="703">
        <f>SUMPRODUCT((Producción_Agricola[[#This Row],[Mes Económico]]=Tipo_Cambio[Mes])*(Producción_Agricola[[#This Row],[Año Económico]]=Tipo_Cambio[Año])*(Tipo_Cambio[Actualización]))</f>
        <v>0</v>
      </c>
      <c r="AI616" s="699">
        <f>IF(ISNUMBER(Producción_Agricola[[#This Row],[Fecha Financiero]])=TRUE,MONTH(Producción_Agricola[[#This Row],[Fecha Financiero]]),0)</f>
        <v>0</v>
      </c>
      <c r="AJ616" s="699">
        <f>IF(ISNUMBER(Producción_Agricola[[#This Row],[Fecha Financiero]])=TRUE,YEAR(Producción_Agricola[[#This Row],[Fecha Financiero]]),0)</f>
        <v>0</v>
      </c>
      <c r="AK616" s="704">
        <f>SUMPRODUCT((Producción_Agricola[[#This Row],[Mes Financiero]]=Tipo_Cambio[Mes])*(Producción_Agricola[[#This Row],[Año Financiero]]=Tipo_Cambio[Año])*(Tipo_Cambio[$/U$S]))</f>
        <v>0</v>
      </c>
      <c r="AL616" s="704">
        <f>SUMPRODUCT((Producción_Agricola[[#This Row],[Mes Financiero]]=Tipo_Cambio[Mes])*(Producción_Agricola[[#This Row],[Año Financiero]]=Tipo_Cambio[Año])*(Tipo_Cambio[Actualización]))</f>
        <v>0</v>
      </c>
      <c r="AM616" s="709">
        <f>IFERROR(Producción_Agricola[[#This Row],[Económico $Corrientes]]/Producción_Agricola[[#This Row],[Superficie]],0)</f>
        <v>0</v>
      </c>
      <c r="AN616" s="712">
        <f>IFERROR(Producción_Agricola[[#This Row],[Económico $Constantes]]/Producción_Agricola[[#This Row],[Superficie]],0)</f>
        <v>0</v>
      </c>
      <c r="AO616" s="712">
        <f>IFERROR(Producción_Agricola[[#This Row],[Económico U$S Dólares]]/Producción_Agricola[[#This Row],[Superficie]],0)</f>
        <v>0</v>
      </c>
      <c r="AP616" s="711" t="str">
        <f>IF(Económico!$F$4=0,0,Producción_Agricola[[#This Row],[Centro de Costo]])</f>
        <v>Campo 1</v>
      </c>
      <c r="AQ616" s="512"/>
      <c r="AR616" s="513"/>
      <c r="AS616"/>
    </row>
    <row r="617" spans="1:45" x14ac:dyDescent="0.25">
      <c r="A617" s="509"/>
      <c r="B617" s="494"/>
      <c r="C617" s="509"/>
      <c r="D617" s="478"/>
      <c r="E617" s="478"/>
      <c r="F617" s="668" t="str">
        <f t="shared" si="71"/>
        <v>2018-2019</v>
      </c>
      <c r="G617" s="673" t="str">
        <f t="shared" si="72"/>
        <v>Campo 1</v>
      </c>
      <c r="H617" s="673" t="str">
        <f t="shared" si="73"/>
        <v>Soja de Segunda</v>
      </c>
      <c r="I617" s="675" t="str">
        <f>IFERROR(INDEX(Tabla8[],MATCH(Producción_Agricola[[#This Row],[Unidad de Negocio]],Tabla8[Unidades de Negocio],0),2),0)</f>
        <v>Soja</v>
      </c>
      <c r="J61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17" s="488"/>
      <c r="L617" s="482"/>
      <c r="M617" s="483"/>
      <c r="N617" s="484"/>
      <c r="O617" s="690">
        <f>Producción_Agricola[[#This Row],[Superficie]]*Producción_Agricola[[#This Row],[Cantidad]]</f>
        <v>0</v>
      </c>
      <c r="P617" s="482"/>
      <c r="Q617" s="484"/>
      <c r="R617" s="485"/>
      <c r="S61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17" s="695">
        <f>IFERROR(Producción_Agricola[[#This Row],[Económico $Corrientes]]/Producción_Agricola[[#This Row],[Indexación Económico]],0)</f>
        <v>0</v>
      </c>
      <c r="U61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1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17" s="695">
        <f>IFERROR(Producción_Agricola[[#This Row],[Financiero $Corrientes]]/Producción_Agricola[[#This Row],[Indexación Financiero]],0)</f>
        <v>0</v>
      </c>
      <c r="X61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1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17" s="699">
        <f>IFERROR(Producción_Agricola[[#This Row],[Intereses $Corrientes]]/Producción_Agricola[[#This Row],[Indexación Financiero]],0)</f>
        <v>0</v>
      </c>
      <c r="AA61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17" s="701">
        <f>IFERROR(INDEX(Produccion_Agricola_Cuentas[],MATCH(Producción_Agricola[[#This Row],[Cuenta Contable]],Produccion_Agricola_Cuentas[Cuenta Contable],0),2),0)</f>
        <v>0</v>
      </c>
      <c r="AC617" s="702">
        <f>IFERROR(INDEX(Tabla9[],MATCH(Producción_Agricola[[#This Row],[Movimiento]],Tabla9[Movimientos],0),2),0)</f>
        <v>0</v>
      </c>
      <c r="AD617" s="703">
        <f>IFERROR(INDEX(Tabla9[],MATCH(Producción_Agricola[[#This Row],[Movimiento]],Tabla9[Movimientos],0),3),0)</f>
        <v>0</v>
      </c>
      <c r="AE617" s="698">
        <f>IF(Producción_Agricola[[#This Row],[Fecha Económico]]=0,0,MONTH(Producción_Agricola[[#This Row],[Fecha Económico]]))</f>
        <v>0</v>
      </c>
      <c r="AF617" s="699">
        <f>IF(Producción_Agricola[[#This Row],[Fecha Económico]]=0,0,YEAR(Producción_Agricola[[#This Row],[Fecha Económico]]))</f>
        <v>0</v>
      </c>
      <c r="AG617" s="704">
        <f>SUMPRODUCT((Producción_Agricola[[#This Row],[Mes Económico]]=Tipo_Cambio[Mes])*(Producción_Agricola[[#This Row],[Año Económico]]=Tipo_Cambio[Año])*(Tipo_Cambio[$/U$S]))</f>
        <v>0</v>
      </c>
      <c r="AH617" s="703">
        <f>SUMPRODUCT((Producción_Agricola[[#This Row],[Mes Económico]]=Tipo_Cambio[Mes])*(Producción_Agricola[[#This Row],[Año Económico]]=Tipo_Cambio[Año])*(Tipo_Cambio[Actualización]))</f>
        <v>0</v>
      </c>
      <c r="AI617" s="699">
        <f>IF(ISNUMBER(Producción_Agricola[[#This Row],[Fecha Financiero]])=TRUE,MONTH(Producción_Agricola[[#This Row],[Fecha Financiero]]),0)</f>
        <v>0</v>
      </c>
      <c r="AJ617" s="699">
        <f>IF(ISNUMBER(Producción_Agricola[[#This Row],[Fecha Financiero]])=TRUE,YEAR(Producción_Agricola[[#This Row],[Fecha Financiero]]),0)</f>
        <v>0</v>
      </c>
      <c r="AK617" s="704">
        <f>SUMPRODUCT((Producción_Agricola[[#This Row],[Mes Financiero]]=Tipo_Cambio[Mes])*(Producción_Agricola[[#This Row],[Año Financiero]]=Tipo_Cambio[Año])*(Tipo_Cambio[$/U$S]))</f>
        <v>0</v>
      </c>
      <c r="AL617" s="704">
        <f>SUMPRODUCT((Producción_Agricola[[#This Row],[Mes Financiero]]=Tipo_Cambio[Mes])*(Producción_Agricola[[#This Row],[Año Financiero]]=Tipo_Cambio[Año])*(Tipo_Cambio[Actualización]))</f>
        <v>0</v>
      </c>
      <c r="AM617" s="709">
        <f>IFERROR(Producción_Agricola[[#This Row],[Económico $Corrientes]]/Producción_Agricola[[#This Row],[Superficie]],0)</f>
        <v>0</v>
      </c>
      <c r="AN617" s="712">
        <f>IFERROR(Producción_Agricola[[#This Row],[Económico $Constantes]]/Producción_Agricola[[#This Row],[Superficie]],0)</f>
        <v>0</v>
      </c>
      <c r="AO617" s="712">
        <f>IFERROR(Producción_Agricola[[#This Row],[Económico U$S Dólares]]/Producción_Agricola[[#This Row],[Superficie]],0)</f>
        <v>0</v>
      </c>
      <c r="AP617" s="711" t="str">
        <f>IF(Económico!$F$4=0,0,Producción_Agricola[[#This Row],[Centro de Costo]])</f>
        <v>Campo 1</v>
      </c>
      <c r="AQ617" s="512"/>
      <c r="AR617" s="513"/>
      <c r="AS617"/>
    </row>
    <row r="618" spans="1:45" x14ac:dyDescent="0.25">
      <c r="A618" s="509"/>
      <c r="B618" s="494"/>
      <c r="C618" s="509"/>
      <c r="D618" s="478"/>
      <c r="E618" s="478"/>
      <c r="F618" s="668" t="str">
        <f t="shared" si="71"/>
        <v>2018-2019</v>
      </c>
      <c r="G618" s="673" t="str">
        <f t="shared" si="72"/>
        <v>Campo 1</v>
      </c>
      <c r="H618" s="673" t="str">
        <f t="shared" si="73"/>
        <v>Soja de Segunda</v>
      </c>
      <c r="I618" s="675" t="str">
        <f>IFERROR(INDEX(Tabla8[],MATCH(Producción_Agricola[[#This Row],[Unidad de Negocio]],Tabla8[Unidades de Negocio],0),2),0)</f>
        <v>Soja</v>
      </c>
      <c r="J61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18" s="488"/>
      <c r="L618" s="482"/>
      <c r="M618" s="483"/>
      <c r="N618" s="484"/>
      <c r="O618" s="690">
        <f>Producción_Agricola[[#This Row],[Superficie]]*Producción_Agricola[[#This Row],[Cantidad]]</f>
        <v>0</v>
      </c>
      <c r="P618" s="482"/>
      <c r="Q618" s="484"/>
      <c r="R618" s="485"/>
      <c r="S61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18" s="695">
        <f>IFERROR(Producción_Agricola[[#This Row],[Económico $Corrientes]]/Producción_Agricola[[#This Row],[Indexación Económico]],0)</f>
        <v>0</v>
      </c>
      <c r="U61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1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18" s="695">
        <f>IFERROR(Producción_Agricola[[#This Row],[Financiero $Corrientes]]/Producción_Agricola[[#This Row],[Indexación Financiero]],0)</f>
        <v>0</v>
      </c>
      <c r="X61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1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18" s="699">
        <f>IFERROR(Producción_Agricola[[#This Row],[Intereses $Corrientes]]/Producción_Agricola[[#This Row],[Indexación Financiero]],0)</f>
        <v>0</v>
      </c>
      <c r="AA61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18" s="701">
        <f>IFERROR(INDEX(Produccion_Agricola_Cuentas[],MATCH(Producción_Agricola[[#This Row],[Cuenta Contable]],Produccion_Agricola_Cuentas[Cuenta Contable],0),2),0)</f>
        <v>0</v>
      </c>
      <c r="AC618" s="702">
        <f>IFERROR(INDEX(Tabla9[],MATCH(Producción_Agricola[[#This Row],[Movimiento]],Tabla9[Movimientos],0),2),0)</f>
        <v>0</v>
      </c>
      <c r="AD618" s="703">
        <f>IFERROR(INDEX(Tabla9[],MATCH(Producción_Agricola[[#This Row],[Movimiento]],Tabla9[Movimientos],0),3),0)</f>
        <v>0</v>
      </c>
      <c r="AE618" s="698">
        <f>IF(Producción_Agricola[[#This Row],[Fecha Económico]]=0,0,MONTH(Producción_Agricola[[#This Row],[Fecha Económico]]))</f>
        <v>0</v>
      </c>
      <c r="AF618" s="699">
        <f>IF(Producción_Agricola[[#This Row],[Fecha Económico]]=0,0,YEAR(Producción_Agricola[[#This Row],[Fecha Económico]]))</f>
        <v>0</v>
      </c>
      <c r="AG618" s="704">
        <f>SUMPRODUCT((Producción_Agricola[[#This Row],[Mes Económico]]=Tipo_Cambio[Mes])*(Producción_Agricola[[#This Row],[Año Económico]]=Tipo_Cambio[Año])*(Tipo_Cambio[$/U$S]))</f>
        <v>0</v>
      </c>
      <c r="AH618" s="703">
        <f>SUMPRODUCT((Producción_Agricola[[#This Row],[Mes Económico]]=Tipo_Cambio[Mes])*(Producción_Agricola[[#This Row],[Año Económico]]=Tipo_Cambio[Año])*(Tipo_Cambio[Actualización]))</f>
        <v>0</v>
      </c>
      <c r="AI618" s="699">
        <f>IF(ISNUMBER(Producción_Agricola[[#This Row],[Fecha Financiero]])=TRUE,MONTH(Producción_Agricola[[#This Row],[Fecha Financiero]]),0)</f>
        <v>0</v>
      </c>
      <c r="AJ618" s="699">
        <f>IF(ISNUMBER(Producción_Agricola[[#This Row],[Fecha Financiero]])=TRUE,YEAR(Producción_Agricola[[#This Row],[Fecha Financiero]]),0)</f>
        <v>0</v>
      </c>
      <c r="AK618" s="704">
        <f>SUMPRODUCT((Producción_Agricola[[#This Row],[Mes Financiero]]=Tipo_Cambio[Mes])*(Producción_Agricola[[#This Row],[Año Financiero]]=Tipo_Cambio[Año])*(Tipo_Cambio[$/U$S]))</f>
        <v>0</v>
      </c>
      <c r="AL618" s="704">
        <f>SUMPRODUCT((Producción_Agricola[[#This Row],[Mes Financiero]]=Tipo_Cambio[Mes])*(Producción_Agricola[[#This Row],[Año Financiero]]=Tipo_Cambio[Año])*(Tipo_Cambio[Actualización]))</f>
        <v>0</v>
      </c>
      <c r="AM618" s="709">
        <f>IFERROR(Producción_Agricola[[#This Row],[Económico $Corrientes]]/Producción_Agricola[[#This Row],[Superficie]],0)</f>
        <v>0</v>
      </c>
      <c r="AN618" s="712">
        <f>IFERROR(Producción_Agricola[[#This Row],[Económico $Constantes]]/Producción_Agricola[[#This Row],[Superficie]],0)</f>
        <v>0</v>
      </c>
      <c r="AO618" s="712">
        <f>IFERROR(Producción_Agricola[[#This Row],[Económico U$S Dólares]]/Producción_Agricola[[#This Row],[Superficie]],0)</f>
        <v>0</v>
      </c>
      <c r="AP618" s="711" t="str">
        <f>IF(Económico!$F$4=0,0,Producción_Agricola[[#This Row],[Centro de Costo]])</f>
        <v>Campo 1</v>
      </c>
      <c r="AQ618" s="512"/>
      <c r="AR618" s="513"/>
      <c r="AS618"/>
    </row>
    <row r="619" spans="1:45" x14ac:dyDescent="0.25">
      <c r="A619" s="509"/>
      <c r="B619" s="494"/>
      <c r="C619" s="509"/>
      <c r="D619" s="478"/>
      <c r="E619" s="478"/>
      <c r="F619" s="668" t="str">
        <f t="shared" si="71"/>
        <v>2018-2019</v>
      </c>
      <c r="G619" s="673" t="str">
        <f t="shared" si="72"/>
        <v>Campo 1</v>
      </c>
      <c r="H619" s="673" t="str">
        <f t="shared" si="73"/>
        <v>Soja de Segunda</v>
      </c>
      <c r="I619" s="675" t="str">
        <f>IFERROR(INDEX(Tabla8[],MATCH(Producción_Agricola[[#This Row],[Unidad de Negocio]],Tabla8[Unidades de Negocio],0),2),0)</f>
        <v>Soja</v>
      </c>
      <c r="J61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19" s="488"/>
      <c r="L619" s="482"/>
      <c r="M619" s="483"/>
      <c r="N619" s="484"/>
      <c r="O619" s="690">
        <f>Producción_Agricola[[#This Row],[Superficie]]*Producción_Agricola[[#This Row],[Cantidad]]</f>
        <v>0</v>
      </c>
      <c r="P619" s="482"/>
      <c r="Q619" s="484"/>
      <c r="R619" s="485"/>
      <c r="S61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19" s="695">
        <f>IFERROR(Producción_Agricola[[#This Row],[Económico $Corrientes]]/Producción_Agricola[[#This Row],[Indexación Económico]],0)</f>
        <v>0</v>
      </c>
      <c r="U61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1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19" s="695">
        <f>IFERROR(Producción_Agricola[[#This Row],[Financiero $Corrientes]]/Producción_Agricola[[#This Row],[Indexación Financiero]],0)</f>
        <v>0</v>
      </c>
      <c r="X61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1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19" s="699">
        <f>IFERROR(Producción_Agricola[[#This Row],[Intereses $Corrientes]]/Producción_Agricola[[#This Row],[Indexación Financiero]],0)</f>
        <v>0</v>
      </c>
      <c r="AA61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19" s="701">
        <f>IFERROR(INDEX(Produccion_Agricola_Cuentas[],MATCH(Producción_Agricola[[#This Row],[Cuenta Contable]],Produccion_Agricola_Cuentas[Cuenta Contable],0),2),0)</f>
        <v>0</v>
      </c>
      <c r="AC619" s="702">
        <f>IFERROR(INDEX(Tabla9[],MATCH(Producción_Agricola[[#This Row],[Movimiento]],Tabla9[Movimientos],0),2),0)</f>
        <v>0</v>
      </c>
      <c r="AD619" s="703">
        <f>IFERROR(INDEX(Tabla9[],MATCH(Producción_Agricola[[#This Row],[Movimiento]],Tabla9[Movimientos],0),3),0)</f>
        <v>0</v>
      </c>
      <c r="AE619" s="698">
        <f>IF(Producción_Agricola[[#This Row],[Fecha Económico]]=0,0,MONTH(Producción_Agricola[[#This Row],[Fecha Económico]]))</f>
        <v>0</v>
      </c>
      <c r="AF619" s="699">
        <f>IF(Producción_Agricola[[#This Row],[Fecha Económico]]=0,0,YEAR(Producción_Agricola[[#This Row],[Fecha Económico]]))</f>
        <v>0</v>
      </c>
      <c r="AG619" s="704">
        <f>SUMPRODUCT((Producción_Agricola[[#This Row],[Mes Económico]]=Tipo_Cambio[Mes])*(Producción_Agricola[[#This Row],[Año Económico]]=Tipo_Cambio[Año])*(Tipo_Cambio[$/U$S]))</f>
        <v>0</v>
      </c>
      <c r="AH619" s="703">
        <f>SUMPRODUCT((Producción_Agricola[[#This Row],[Mes Económico]]=Tipo_Cambio[Mes])*(Producción_Agricola[[#This Row],[Año Económico]]=Tipo_Cambio[Año])*(Tipo_Cambio[Actualización]))</f>
        <v>0</v>
      </c>
      <c r="AI619" s="699">
        <f>IF(ISNUMBER(Producción_Agricola[[#This Row],[Fecha Financiero]])=TRUE,MONTH(Producción_Agricola[[#This Row],[Fecha Financiero]]),0)</f>
        <v>0</v>
      </c>
      <c r="AJ619" s="699">
        <f>IF(ISNUMBER(Producción_Agricola[[#This Row],[Fecha Financiero]])=TRUE,YEAR(Producción_Agricola[[#This Row],[Fecha Financiero]]),0)</f>
        <v>0</v>
      </c>
      <c r="AK619" s="704">
        <f>SUMPRODUCT((Producción_Agricola[[#This Row],[Mes Financiero]]=Tipo_Cambio[Mes])*(Producción_Agricola[[#This Row],[Año Financiero]]=Tipo_Cambio[Año])*(Tipo_Cambio[$/U$S]))</f>
        <v>0</v>
      </c>
      <c r="AL619" s="704">
        <f>SUMPRODUCT((Producción_Agricola[[#This Row],[Mes Financiero]]=Tipo_Cambio[Mes])*(Producción_Agricola[[#This Row],[Año Financiero]]=Tipo_Cambio[Año])*(Tipo_Cambio[Actualización]))</f>
        <v>0</v>
      </c>
      <c r="AM619" s="709">
        <f>IFERROR(Producción_Agricola[[#This Row],[Económico $Corrientes]]/Producción_Agricola[[#This Row],[Superficie]],0)</f>
        <v>0</v>
      </c>
      <c r="AN619" s="712">
        <f>IFERROR(Producción_Agricola[[#This Row],[Económico $Constantes]]/Producción_Agricola[[#This Row],[Superficie]],0)</f>
        <v>0</v>
      </c>
      <c r="AO619" s="712">
        <f>IFERROR(Producción_Agricola[[#This Row],[Económico U$S Dólares]]/Producción_Agricola[[#This Row],[Superficie]],0)</f>
        <v>0</v>
      </c>
      <c r="AP619" s="711" t="str">
        <f>IF(Económico!$F$4=0,0,Producción_Agricola[[#This Row],[Centro de Costo]])</f>
        <v>Campo 1</v>
      </c>
      <c r="AQ619" s="512"/>
      <c r="AR619" s="513"/>
      <c r="AS619"/>
    </row>
    <row r="620" spans="1:45" x14ac:dyDescent="0.25">
      <c r="A620" s="509"/>
      <c r="B620" s="494"/>
      <c r="C620" s="509"/>
      <c r="D620" s="478"/>
      <c r="E620" s="478"/>
      <c r="F620" s="668" t="str">
        <f t="shared" si="71"/>
        <v>2018-2019</v>
      </c>
      <c r="G620" s="673" t="str">
        <f t="shared" si="72"/>
        <v>Campo 1</v>
      </c>
      <c r="H620" s="673" t="str">
        <f t="shared" si="73"/>
        <v>Soja de Segunda</v>
      </c>
      <c r="I620" s="675" t="str">
        <f>IFERROR(INDEX(Tabla8[],MATCH(Producción_Agricola[[#This Row],[Unidad de Negocio]],Tabla8[Unidades de Negocio],0),2),0)</f>
        <v>Soja</v>
      </c>
      <c r="J62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20" s="488"/>
      <c r="L620" s="482"/>
      <c r="M620" s="483"/>
      <c r="N620" s="484"/>
      <c r="O620" s="690">
        <f>Producción_Agricola[[#This Row],[Superficie]]*Producción_Agricola[[#This Row],[Cantidad]]</f>
        <v>0</v>
      </c>
      <c r="P620" s="482"/>
      <c r="Q620" s="484"/>
      <c r="R620" s="485"/>
      <c r="S62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20" s="695">
        <f>IFERROR(Producción_Agricola[[#This Row],[Económico $Corrientes]]/Producción_Agricola[[#This Row],[Indexación Económico]],0)</f>
        <v>0</v>
      </c>
      <c r="U62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2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20" s="695">
        <f>IFERROR(Producción_Agricola[[#This Row],[Financiero $Corrientes]]/Producción_Agricola[[#This Row],[Indexación Financiero]],0)</f>
        <v>0</v>
      </c>
      <c r="X62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2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20" s="699">
        <f>IFERROR(Producción_Agricola[[#This Row],[Intereses $Corrientes]]/Producción_Agricola[[#This Row],[Indexación Financiero]],0)</f>
        <v>0</v>
      </c>
      <c r="AA62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20" s="701">
        <f>IFERROR(INDEX(Produccion_Agricola_Cuentas[],MATCH(Producción_Agricola[[#This Row],[Cuenta Contable]],Produccion_Agricola_Cuentas[Cuenta Contable],0),2),0)</f>
        <v>0</v>
      </c>
      <c r="AC620" s="702">
        <f>IFERROR(INDEX(Tabla9[],MATCH(Producción_Agricola[[#This Row],[Movimiento]],Tabla9[Movimientos],0),2),0)</f>
        <v>0</v>
      </c>
      <c r="AD620" s="703">
        <f>IFERROR(INDEX(Tabla9[],MATCH(Producción_Agricola[[#This Row],[Movimiento]],Tabla9[Movimientos],0),3),0)</f>
        <v>0</v>
      </c>
      <c r="AE620" s="698">
        <f>IF(Producción_Agricola[[#This Row],[Fecha Económico]]=0,0,MONTH(Producción_Agricola[[#This Row],[Fecha Económico]]))</f>
        <v>0</v>
      </c>
      <c r="AF620" s="699">
        <f>IF(Producción_Agricola[[#This Row],[Fecha Económico]]=0,0,YEAR(Producción_Agricola[[#This Row],[Fecha Económico]]))</f>
        <v>0</v>
      </c>
      <c r="AG620" s="704">
        <f>SUMPRODUCT((Producción_Agricola[[#This Row],[Mes Económico]]=Tipo_Cambio[Mes])*(Producción_Agricola[[#This Row],[Año Económico]]=Tipo_Cambio[Año])*(Tipo_Cambio[$/U$S]))</f>
        <v>0</v>
      </c>
      <c r="AH620" s="703">
        <f>SUMPRODUCT((Producción_Agricola[[#This Row],[Mes Económico]]=Tipo_Cambio[Mes])*(Producción_Agricola[[#This Row],[Año Económico]]=Tipo_Cambio[Año])*(Tipo_Cambio[Actualización]))</f>
        <v>0</v>
      </c>
      <c r="AI620" s="699">
        <f>IF(ISNUMBER(Producción_Agricola[[#This Row],[Fecha Financiero]])=TRUE,MONTH(Producción_Agricola[[#This Row],[Fecha Financiero]]),0)</f>
        <v>0</v>
      </c>
      <c r="AJ620" s="699">
        <f>IF(ISNUMBER(Producción_Agricola[[#This Row],[Fecha Financiero]])=TRUE,YEAR(Producción_Agricola[[#This Row],[Fecha Financiero]]),0)</f>
        <v>0</v>
      </c>
      <c r="AK620" s="704">
        <f>SUMPRODUCT((Producción_Agricola[[#This Row],[Mes Financiero]]=Tipo_Cambio[Mes])*(Producción_Agricola[[#This Row],[Año Financiero]]=Tipo_Cambio[Año])*(Tipo_Cambio[$/U$S]))</f>
        <v>0</v>
      </c>
      <c r="AL620" s="704">
        <f>SUMPRODUCT((Producción_Agricola[[#This Row],[Mes Financiero]]=Tipo_Cambio[Mes])*(Producción_Agricola[[#This Row],[Año Financiero]]=Tipo_Cambio[Año])*(Tipo_Cambio[Actualización]))</f>
        <v>0</v>
      </c>
      <c r="AM620" s="709">
        <f>IFERROR(Producción_Agricola[[#This Row],[Económico $Corrientes]]/Producción_Agricola[[#This Row],[Superficie]],0)</f>
        <v>0</v>
      </c>
      <c r="AN620" s="712">
        <f>IFERROR(Producción_Agricola[[#This Row],[Económico $Constantes]]/Producción_Agricola[[#This Row],[Superficie]],0)</f>
        <v>0</v>
      </c>
      <c r="AO620" s="712">
        <f>IFERROR(Producción_Agricola[[#This Row],[Económico U$S Dólares]]/Producción_Agricola[[#This Row],[Superficie]],0)</f>
        <v>0</v>
      </c>
      <c r="AP620" s="711" t="str">
        <f>IF(Económico!$F$4=0,0,Producción_Agricola[[#This Row],[Centro de Costo]])</f>
        <v>Campo 1</v>
      </c>
      <c r="AQ620" s="512"/>
      <c r="AR620" s="513"/>
      <c r="AS620"/>
    </row>
    <row r="621" spans="1:45" x14ac:dyDescent="0.25">
      <c r="A621" s="509"/>
      <c r="B621" s="494"/>
      <c r="C621" s="509"/>
      <c r="D621" s="478"/>
      <c r="E621" s="478"/>
      <c r="F621" s="668" t="str">
        <f t="shared" si="71"/>
        <v>2018-2019</v>
      </c>
      <c r="G621" s="673" t="str">
        <f t="shared" si="72"/>
        <v>Campo 1</v>
      </c>
      <c r="H621" s="673" t="str">
        <f t="shared" si="73"/>
        <v>Soja de Segunda</v>
      </c>
      <c r="I621" s="675" t="str">
        <f>IFERROR(INDEX(Tabla8[],MATCH(Producción_Agricola[[#This Row],[Unidad de Negocio]],Tabla8[Unidades de Negocio],0),2),0)</f>
        <v>Soja</v>
      </c>
      <c r="J62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21" s="488"/>
      <c r="L621" s="482"/>
      <c r="M621" s="483"/>
      <c r="N621" s="484"/>
      <c r="O621" s="690">
        <f>Producción_Agricola[[#This Row],[Superficie]]*Producción_Agricola[[#This Row],[Cantidad]]</f>
        <v>0</v>
      </c>
      <c r="P621" s="482"/>
      <c r="Q621" s="484"/>
      <c r="R621" s="485"/>
      <c r="S62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21" s="695">
        <f>IFERROR(Producción_Agricola[[#This Row],[Económico $Corrientes]]/Producción_Agricola[[#This Row],[Indexación Económico]],0)</f>
        <v>0</v>
      </c>
      <c r="U62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2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21" s="695">
        <f>IFERROR(Producción_Agricola[[#This Row],[Financiero $Corrientes]]/Producción_Agricola[[#This Row],[Indexación Financiero]],0)</f>
        <v>0</v>
      </c>
      <c r="X62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2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21" s="699">
        <f>IFERROR(Producción_Agricola[[#This Row],[Intereses $Corrientes]]/Producción_Agricola[[#This Row],[Indexación Financiero]],0)</f>
        <v>0</v>
      </c>
      <c r="AA62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21" s="701">
        <f>IFERROR(INDEX(Produccion_Agricola_Cuentas[],MATCH(Producción_Agricola[[#This Row],[Cuenta Contable]],Produccion_Agricola_Cuentas[Cuenta Contable],0),2),0)</f>
        <v>0</v>
      </c>
      <c r="AC621" s="702">
        <f>IFERROR(INDEX(Tabla9[],MATCH(Producción_Agricola[[#This Row],[Movimiento]],Tabla9[Movimientos],0),2),0)</f>
        <v>0</v>
      </c>
      <c r="AD621" s="703">
        <f>IFERROR(INDEX(Tabla9[],MATCH(Producción_Agricola[[#This Row],[Movimiento]],Tabla9[Movimientos],0),3),0)</f>
        <v>0</v>
      </c>
      <c r="AE621" s="698">
        <f>IF(Producción_Agricola[[#This Row],[Fecha Económico]]=0,0,MONTH(Producción_Agricola[[#This Row],[Fecha Económico]]))</f>
        <v>0</v>
      </c>
      <c r="AF621" s="699">
        <f>IF(Producción_Agricola[[#This Row],[Fecha Económico]]=0,0,YEAR(Producción_Agricola[[#This Row],[Fecha Económico]]))</f>
        <v>0</v>
      </c>
      <c r="AG621" s="704">
        <f>SUMPRODUCT((Producción_Agricola[[#This Row],[Mes Económico]]=Tipo_Cambio[Mes])*(Producción_Agricola[[#This Row],[Año Económico]]=Tipo_Cambio[Año])*(Tipo_Cambio[$/U$S]))</f>
        <v>0</v>
      </c>
      <c r="AH621" s="703">
        <f>SUMPRODUCT((Producción_Agricola[[#This Row],[Mes Económico]]=Tipo_Cambio[Mes])*(Producción_Agricola[[#This Row],[Año Económico]]=Tipo_Cambio[Año])*(Tipo_Cambio[Actualización]))</f>
        <v>0</v>
      </c>
      <c r="AI621" s="699">
        <f>IF(ISNUMBER(Producción_Agricola[[#This Row],[Fecha Financiero]])=TRUE,MONTH(Producción_Agricola[[#This Row],[Fecha Financiero]]),0)</f>
        <v>0</v>
      </c>
      <c r="AJ621" s="699">
        <f>IF(ISNUMBER(Producción_Agricola[[#This Row],[Fecha Financiero]])=TRUE,YEAR(Producción_Agricola[[#This Row],[Fecha Financiero]]),0)</f>
        <v>0</v>
      </c>
      <c r="AK621" s="704">
        <f>SUMPRODUCT((Producción_Agricola[[#This Row],[Mes Financiero]]=Tipo_Cambio[Mes])*(Producción_Agricola[[#This Row],[Año Financiero]]=Tipo_Cambio[Año])*(Tipo_Cambio[$/U$S]))</f>
        <v>0</v>
      </c>
      <c r="AL621" s="704">
        <f>SUMPRODUCT((Producción_Agricola[[#This Row],[Mes Financiero]]=Tipo_Cambio[Mes])*(Producción_Agricola[[#This Row],[Año Financiero]]=Tipo_Cambio[Año])*(Tipo_Cambio[Actualización]))</f>
        <v>0</v>
      </c>
      <c r="AM621" s="709">
        <f>IFERROR(Producción_Agricola[[#This Row],[Económico $Corrientes]]/Producción_Agricola[[#This Row],[Superficie]],0)</f>
        <v>0</v>
      </c>
      <c r="AN621" s="712">
        <f>IFERROR(Producción_Agricola[[#This Row],[Económico $Constantes]]/Producción_Agricola[[#This Row],[Superficie]],0)</f>
        <v>0</v>
      </c>
      <c r="AO621" s="712">
        <f>IFERROR(Producción_Agricola[[#This Row],[Económico U$S Dólares]]/Producción_Agricola[[#This Row],[Superficie]],0)</f>
        <v>0</v>
      </c>
      <c r="AP621" s="711" t="str">
        <f>IF(Económico!$F$4=0,0,Producción_Agricola[[#This Row],[Centro de Costo]])</f>
        <v>Campo 1</v>
      </c>
      <c r="AQ621" s="512"/>
      <c r="AR621" s="513"/>
      <c r="AS621"/>
    </row>
    <row r="622" spans="1:45" x14ac:dyDescent="0.25">
      <c r="A622" s="509"/>
      <c r="B622" s="494"/>
      <c r="C622" s="509"/>
      <c r="D622" s="478"/>
      <c r="E622" s="478"/>
      <c r="F622" s="668" t="str">
        <f t="shared" si="71"/>
        <v>2018-2019</v>
      </c>
      <c r="G622" s="673" t="str">
        <f t="shared" si="72"/>
        <v>Campo 1</v>
      </c>
      <c r="H622" s="673" t="str">
        <f t="shared" si="73"/>
        <v>Soja de Segunda</v>
      </c>
      <c r="I622" s="675" t="str">
        <f>IFERROR(INDEX(Tabla8[],MATCH(Producción_Agricola[[#This Row],[Unidad de Negocio]],Tabla8[Unidades de Negocio],0),2),0)</f>
        <v>Soja</v>
      </c>
      <c r="J62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22" s="488"/>
      <c r="L622" s="482"/>
      <c r="M622" s="483"/>
      <c r="N622" s="484"/>
      <c r="O622" s="690">
        <f>Producción_Agricola[[#This Row],[Superficie]]*Producción_Agricola[[#This Row],[Cantidad]]</f>
        <v>0</v>
      </c>
      <c r="P622" s="482"/>
      <c r="Q622" s="484"/>
      <c r="R622" s="485"/>
      <c r="S62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22" s="695">
        <f>IFERROR(Producción_Agricola[[#This Row],[Económico $Corrientes]]/Producción_Agricola[[#This Row],[Indexación Económico]],0)</f>
        <v>0</v>
      </c>
      <c r="U62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2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22" s="695">
        <f>IFERROR(Producción_Agricola[[#This Row],[Financiero $Corrientes]]/Producción_Agricola[[#This Row],[Indexación Financiero]],0)</f>
        <v>0</v>
      </c>
      <c r="X62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2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22" s="699">
        <f>IFERROR(Producción_Agricola[[#This Row],[Intereses $Corrientes]]/Producción_Agricola[[#This Row],[Indexación Financiero]],0)</f>
        <v>0</v>
      </c>
      <c r="AA62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22" s="701">
        <f>IFERROR(INDEX(Produccion_Agricola_Cuentas[],MATCH(Producción_Agricola[[#This Row],[Cuenta Contable]],Produccion_Agricola_Cuentas[Cuenta Contable],0),2),0)</f>
        <v>0</v>
      </c>
      <c r="AC622" s="702">
        <f>IFERROR(INDEX(Tabla9[],MATCH(Producción_Agricola[[#This Row],[Movimiento]],Tabla9[Movimientos],0),2),0)</f>
        <v>0</v>
      </c>
      <c r="AD622" s="703">
        <f>IFERROR(INDEX(Tabla9[],MATCH(Producción_Agricola[[#This Row],[Movimiento]],Tabla9[Movimientos],0),3),0)</f>
        <v>0</v>
      </c>
      <c r="AE622" s="698">
        <f>IF(Producción_Agricola[[#This Row],[Fecha Económico]]=0,0,MONTH(Producción_Agricola[[#This Row],[Fecha Económico]]))</f>
        <v>0</v>
      </c>
      <c r="AF622" s="699">
        <f>IF(Producción_Agricola[[#This Row],[Fecha Económico]]=0,0,YEAR(Producción_Agricola[[#This Row],[Fecha Económico]]))</f>
        <v>0</v>
      </c>
      <c r="AG622" s="704">
        <f>SUMPRODUCT((Producción_Agricola[[#This Row],[Mes Económico]]=Tipo_Cambio[Mes])*(Producción_Agricola[[#This Row],[Año Económico]]=Tipo_Cambio[Año])*(Tipo_Cambio[$/U$S]))</f>
        <v>0</v>
      </c>
      <c r="AH622" s="703">
        <f>SUMPRODUCT((Producción_Agricola[[#This Row],[Mes Económico]]=Tipo_Cambio[Mes])*(Producción_Agricola[[#This Row],[Año Económico]]=Tipo_Cambio[Año])*(Tipo_Cambio[Actualización]))</f>
        <v>0</v>
      </c>
      <c r="AI622" s="699">
        <f>IF(ISNUMBER(Producción_Agricola[[#This Row],[Fecha Financiero]])=TRUE,MONTH(Producción_Agricola[[#This Row],[Fecha Financiero]]),0)</f>
        <v>0</v>
      </c>
      <c r="AJ622" s="699">
        <f>IF(ISNUMBER(Producción_Agricola[[#This Row],[Fecha Financiero]])=TRUE,YEAR(Producción_Agricola[[#This Row],[Fecha Financiero]]),0)</f>
        <v>0</v>
      </c>
      <c r="AK622" s="704">
        <f>SUMPRODUCT((Producción_Agricola[[#This Row],[Mes Financiero]]=Tipo_Cambio[Mes])*(Producción_Agricola[[#This Row],[Año Financiero]]=Tipo_Cambio[Año])*(Tipo_Cambio[$/U$S]))</f>
        <v>0</v>
      </c>
      <c r="AL622" s="704">
        <f>SUMPRODUCT((Producción_Agricola[[#This Row],[Mes Financiero]]=Tipo_Cambio[Mes])*(Producción_Agricola[[#This Row],[Año Financiero]]=Tipo_Cambio[Año])*(Tipo_Cambio[Actualización]))</f>
        <v>0</v>
      </c>
      <c r="AM622" s="709">
        <f>IFERROR(Producción_Agricola[[#This Row],[Económico $Corrientes]]/Producción_Agricola[[#This Row],[Superficie]],0)</f>
        <v>0</v>
      </c>
      <c r="AN622" s="712">
        <f>IFERROR(Producción_Agricola[[#This Row],[Económico $Constantes]]/Producción_Agricola[[#This Row],[Superficie]],0)</f>
        <v>0</v>
      </c>
      <c r="AO622" s="712">
        <f>IFERROR(Producción_Agricola[[#This Row],[Económico U$S Dólares]]/Producción_Agricola[[#This Row],[Superficie]],0)</f>
        <v>0</v>
      </c>
      <c r="AP622" s="711" t="str">
        <f>IF(Económico!$F$4=0,0,Producción_Agricola[[#This Row],[Centro de Costo]])</f>
        <v>Campo 1</v>
      </c>
      <c r="AQ622" s="512"/>
      <c r="AR622" s="513"/>
      <c r="AS622"/>
    </row>
    <row r="623" spans="1:45" x14ac:dyDescent="0.25">
      <c r="A623" s="509"/>
      <c r="B623" s="494"/>
      <c r="C623" s="509"/>
      <c r="D623" s="478"/>
      <c r="E623" s="478"/>
      <c r="F623" s="668" t="str">
        <f t="shared" si="71"/>
        <v>2018-2019</v>
      </c>
      <c r="G623" s="673" t="str">
        <f t="shared" si="72"/>
        <v>Campo 1</v>
      </c>
      <c r="H623" s="673" t="str">
        <f t="shared" si="73"/>
        <v>Soja de Segunda</v>
      </c>
      <c r="I623" s="675" t="str">
        <f>IFERROR(INDEX(Tabla8[],MATCH(Producción_Agricola[[#This Row],[Unidad de Negocio]],Tabla8[Unidades de Negocio],0),2),0)</f>
        <v>Soja</v>
      </c>
      <c r="J62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23" s="488"/>
      <c r="L623" s="482"/>
      <c r="M623" s="483"/>
      <c r="N623" s="484"/>
      <c r="O623" s="690">
        <f>Producción_Agricola[[#This Row],[Superficie]]*Producción_Agricola[[#This Row],[Cantidad]]</f>
        <v>0</v>
      </c>
      <c r="P623" s="482"/>
      <c r="Q623" s="484"/>
      <c r="R623" s="485"/>
      <c r="S62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23" s="695">
        <f>IFERROR(Producción_Agricola[[#This Row],[Económico $Corrientes]]/Producción_Agricola[[#This Row],[Indexación Económico]],0)</f>
        <v>0</v>
      </c>
      <c r="U62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2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23" s="695">
        <f>IFERROR(Producción_Agricola[[#This Row],[Financiero $Corrientes]]/Producción_Agricola[[#This Row],[Indexación Financiero]],0)</f>
        <v>0</v>
      </c>
      <c r="X62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2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23" s="699">
        <f>IFERROR(Producción_Agricola[[#This Row],[Intereses $Corrientes]]/Producción_Agricola[[#This Row],[Indexación Financiero]],0)</f>
        <v>0</v>
      </c>
      <c r="AA62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23" s="701">
        <f>IFERROR(INDEX(Produccion_Agricola_Cuentas[],MATCH(Producción_Agricola[[#This Row],[Cuenta Contable]],Produccion_Agricola_Cuentas[Cuenta Contable],0),2),0)</f>
        <v>0</v>
      </c>
      <c r="AC623" s="702">
        <f>IFERROR(INDEX(Tabla9[],MATCH(Producción_Agricola[[#This Row],[Movimiento]],Tabla9[Movimientos],0),2),0)</f>
        <v>0</v>
      </c>
      <c r="AD623" s="703">
        <f>IFERROR(INDEX(Tabla9[],MATCH(Producción_Agricola[[#This Row],[Movimiento]],Tabla9[Movimientos],0),3),0)</f>
        <v>0</v>
      </c>
      <c r="AE623" s="698">
        <f>IF(Producción_Agricola[[#This Row],[Fecha Económico]]=0,0,MONTH(Producción_Agricola[[#This Row],[Fecha Económico]]))</f>
        <v>0</v>
      </c>
      <c r="AF623" s="699">
        <f>IF(Producción_Agricola[[#This Row],[Fecha Económico]]=0,0,YEAR(Producción_Agricola[[#This Row],[Fecha Económico]]))</f>
        <v>0</v>
      </c>
      <c r="AG623" s="704">
        <f>SUMPRODUCT((Producción_Agricola[[#This Row],[Mes Económico]]=Tipo_Cambio[Mes])*(Producción_Agricola[[#This Row],[Año Económico]]=Tipo_Cambio[Año])*(Tipo_Cambio[$/U$S]))</f>
        <v>0</v>
      </c>
      <c r="AH623" s="703">
        <f>SUMPRODUCT((Producción_Agricola[[#This Row],[Mes Económico]]=Tipo_Cambio[Mes])*(Producción_Agricola[[#This Row],[Año Económico]]=Tipo_Cambio[Año])*(Tipo_Cambio[Actualización]))</f>
        <v>0</v>
      </c>
      <c r="AI623" s="699">
        <f>IF(ISNUMBER(Producción_Agricola[[#This Row],[Fecha Financiero]])=TRUE,MONTH(Producción_Agricola[[#This Row],[Fecha Financiero]]),0)</f>
        <v>0</v>
      </c>
      <c r="AJ623" s="699">
        <f>IF(ISNUMBER(Producción_Agricola[[#This Row],[Fecha Financiero]])=TRUE,YEAR(Producción_Agricola[[#This Row],[Fecha Financiero]]),0)</f>
        <v>0</v>
      </c>
      <c r="AK623" s="704">
        <f>SUMPRODUCT((Producción_Agricola[[#This Row],[Mes Financiero]]=Tipo_Cambio[Mes])*(Producción_Agricola[[#This Row],[Año Financiero]]=Tipo_Cambio[Año])*(Tipo_Cambio[$/U$S]))</f>
        <v>0</v>
      </c>
      <c r="AL623" s="704">
        <f>SUMPRODUCT((Producción_Agricola[[#This Row],[Mes Financiero]]=Tipo_Cambio[Mes])*(Producción_Agricola[[#This Row],[Año Financiero]]=Tipo_Cambio[Año])*(Tipo_Cambio[Actualización]))</f>
        <v>0</v>
      </c>
      <c r="AM623" s="709">
        <f>IFERROR(Producción_Agricola[[#This Row],[Económico $Corrientes]]/Producción_Agricola[[#This Row],[Superficie]],0)</f>
        <v>0</v>
      </c>
      <c r="AN623" s="712">
        <f>IFERROR(Producción_Agricola[[#This Row],[Económico $Constantes]]/Producción_Agricola[[#This Row],[Superficie]],0)</f>
        <v>0</v>
      </c>
      <c r="AO623" s="712">
        <f>IFERROR(Producción_Agricola[[#This Row],[Económico U$S Dólares]]/Producción_Agricola[[#This Row],[Superficie]],0)</f>
        <v>0</v>
      </c>
      <c r="AP623" s="711" t="str">
        <f>IF(Económico!$F$4=0,0,Producción_Agricola[[#This Row],[Centro de Costo]])</f>
        <v>Campo 1</v>
      </c>
      <c r="AQ623" s="512"/>
      <c r="AR623" s="513"/>
      <c r="AS623"/>
    </row>
    <row r="624" spans="1:45" x14ac:dyDescent="0.25">
      <c r="A624" s="509"/>
      <c r="B624" s="494"/>
      <c r="C624" s="509"/>
      <c r="D624" s="478"/>
      <c r="E624" s="478"/>
      <c r="F624" s="668" t="str">
        <f t="shared" si="71"/>
        <v>2018-2019</v>
      </c>
      <c r="G624" s="673" t="str">
        <f t="shared" si="72"/>
        <v>Campo 1</v>
      </c>
      <c r="H624" s="673" t="str">
        <f t="shared" si="73"/>
        <v>Soja de Segunda</v>
      </c>
      <c r="I624" s="675" t="str">
        <f>IFERROR(INDEX(Tabla8[],MATCH(Producción_Agricola[[#This Row],[Unidad de Negocio]],Tabla8[Unidades de Negocio],0),2),0)</f>
        <v>Soja</v>
      </c>
      <c r="J62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24" s="488"/>
      <c r="L624" s="482"/>
      <c r="M624" s="483"/>
      <c r="N624" s="484"/>
      <c r="O624" s="690">
        <f>Producción_Agricola[[#This Row],[Superficie]]*Producción_Agricola[[#This Row],[Cantidad]]</f>
        <v>0</v>
      </c>
      <c r="P624" s="482"/>
      <c r="Q624" s="484"/>
      <c r="R624" s="485"/>
      <c r="S62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24" s="695">
        <f>IFERROR(Producción_Agricola[[#This Row],[Económico $Corrientes]]/Producción_Agricola[[#This Row],[Indexación Económico]],0)</f>
        <v>0</v>
      </c>
      <c r="U62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2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24" s="695">
        <f>IFERROR(Producción_Agricola[[#This Row],[Financiero $Corrientes]]/Producción_Agricola[[#This Row],[Indexación Financiero]],0)</f>
        <v>0</v>
      </c>
      <c r="X62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2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24" s="699">
        <f>IFERROR(Producción_Agricola[[#This Row],[Intereses $Corrientes]]/Producción_Agricola[[#This Row],[Indexación Financiero]],0)</f>
        <v>0</v>
      </c>
      <c r="AA62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24" s="701">
        <f>IFERROR(INDEX(Produccion_Agricola_Cuentas[],MATCH(Producción_Agricola[[#This Row],[Cuenta Contable]],Produccion_Agricola_Cuentas[Cuenta Contable],0),2),0)</f>
        <v>0</v>
      </c>
      <c r="AC624" s="702">
        <f>IFERROR(INDEX(Tabla9[],MATCH(Producción_Agricola[[#This Row],[Movimiento]],Tabla9[Movimientos],0),2),0)</f>
        <v>0</v>
      </c>
      <c r="AD624" s="703">
        <f>IFERROR(INDEX(Tabla9[],MATCH(Producción_Agricola[[#This Row],[Movimiento]],Tabla9[Movimientos],0),3),0)</f>
        <v>0</v>
      </c>
      <c r="AE624" s="698">
        <f>IF(Producción_Agricola[[#This Row],[Fecha Económico]]=0,0,MONTH(Producción_Agricola[[#This Row],[Fecha Económico]]))</f>
        <v>0</v>
      </c>
      <c r="AF624" s="699">
        <f>IF(Producción_Agricola[[#This Row],[Fecha Económico]]=0,0,YEAR(Producción_Agricola[[#This Row],[Fecha Económico]]))</f>
        <v>0</v>
      </c>
      <c r="AG624" s="704">
        <f>SUMPRODUCT((Producción_Agricola[[#This Row],[Mes Económico]]=Tipo_Cambio[Mes])*(Producción_Agricola[[#This Row],[Año Económico]]=Tipo_Cambio[Año])*(Tipo_Cambio[$/U$S]))</f>
        <v>0</v>
      </c>
      <c r="AH624" s="703">
        <f>SUMPRODUCT((Producción_Agricola[[#This Row],[Mes Económico]]=Tipo_Cambio[Mes])*(Producción_Agricola[[#This Row],[Año Económico]]=Tipo_Cambio[Año])*(Tipo_Cambio[Actualización]))</f>
        <v>0</v>
      </c>
      <c r="AI624" s="699">
        <f>IF(ISNUMBER(Producción_Agricola[[#This Row],[Fecha Financiero]])=TRUE,MONTH(Producción_Agricola[[#This Row],[Fecha Financiero]]),0)</f>
        <v>0</v>
      </c>
      <c r="AJ624" s="699">
        <f>IF(ISNUMBER(Producción_Agricola[[#This Row],[Fecha Financiero]])=TRUE,YEAR(Producción_Agricola[[#This Row],[Fecha Financiero]]),0)</f>
        <v>0</v>
      </c>
      <c r="AK624" s="704">
        <f>SUMPRODUCT((Producción_Agricola[[#This Row],[Mes Financiero]]=Tipo_Cambio[Mes])*(Producción_Agricola[[#This Row],[Año Financiero]]=Tipo_Cambio[Año])*(Tipo_Cambio[$/U$S]))</f>
        <v>0</v>
      </c>
      <c r="AL624" s="704">
        <f>SUMPRODUCT((Producción_Agricola[[#This Row],[Mes Financiero]]=Tipo_Cambio[Mes])*(Producción_Agricola[[#This Row],[Año Financiero]]=Tipo_Cambio[Año])*(Tipo_Cambio[Actualización]))</f>
        <v>0</v>
      </c>
      <c r="AM624" s="709">
        <f>IFERROR(Producción_Agricola[[#This Row],[Económico $Corrientes]]/Producción_Agricola[[#This Row],[Superficie]],0)</f>
        <v>0</v>
      </c>
      <c r="AN624" s="712">
        <f>IFERROR(Producción_Agricola[[#This Row],[Económico $Constantes]]/Producción_Agricola[[#This Row],[Superficie]],0)</f>
        <v>0</v>
      </c>
      <c r="AO624" s="712">
        <f>IFERROR(Producción_Agricola[[#This Row],[Económico U$S Dólares]]/Producción_Agricola[[#This Row],[Superficie]],0)</f>
        <v>0</v>
      </c>
      <c r="AP624" s="711" t="str">
        <f>IF(Económico!$F$4=0,0,Producción_Agricola[[#This Row],[Centro de Costo]])</f>
        <v>Campo 1</v>
      </c>
      <c r="AQ624" s="512"/>
      <c r="AR624" s="513"/>
      <c r="AS624"/>
    </row>
    <row r="625" spans="1:45" x14ac:dyDescent="0.25">
      <c r="A625" s="509"/>
      <c r="B625" s="494"/>
      <c r="C625" s="509"/>
      <c r="D625" s="478"/>
      <c r="E625" s="478"/>
      <c r="F625" s="668" t="str">
        <f t="shared" si="71"/>
        <v>2018-2019</v>
      </c>
      <c r="G625" s="673" t="str">
        <f t="shared" si="72"/>
        <v>Campo 1</v>
      </c>
      <c r="H625" s="673" t="str">
        <f t="shared" si="73"/>
        <v>Soja de Segunda</v>
      </c>
      <c r="I625" s="675" t="str">
        <f>IFERROR(INDEX(Tabla8[],MATCH(Producción_Agricola[[#This Row],[Unidad de Negocio]],Tabla8[Unidades de Negocio],0),2),0)</f>
        <v>Soja</v>
      </c>
      <c r="J62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25" s="488"/>
      <c r="L625" s="482"/>
      <c r="M625" s="483"/>
      <c r="N625" s="484"/>
      <c r="O625" s="690">
        <f>Producción_Agricola[[#This Row],[Superficie]]*Producción_Agricola[[#This Row],[Cantidad]]</f>
        <v>0</v>
      </c>
      <c r="P625" s="482"/>
      <c r="Q625" s="484"/>
      <c r="R625" s="485"/>
      <c r="S62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25" s="695">
        <f>IFERROR(Producción_Agricola[[#This Row],[Económico $Corrientes]]/Producción_Agricola[[#This Row],[Indexación Económico]],0)</f>
        <v>0</v>
      </c>
      <c r="U62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2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25" s="695">
        <f>IFERROR(Producción_Agricola[[#This Row],[Financiero $Corrientes]]/Producción_Agricola[[#This Row],[Indexación Financiero]],0)</f>
        <v>0</v>
      </c>
      <c r="X62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2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25" s="699">
        <f>IFERROR(Producción_Agricola[[#This Row],[Intereses $Corrientes]]/Producción_Agricola[[#This Row],[Indexación Financiero]],0)</f>
        <v>0</v>
      </c>
      <c r="AA62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25" s="701">
        <f>IFERROR(INDEX(Produccion_Agricola_Cuentas[],MATCH(Producción_Agricola[[#This Row],[Cuenta Contable]],Produccion_Agricola_Cuentas[Cuenta Contable],0),2),0)</f>
        <v>0</v>
      </c>
      <c r="AC625" s="702">
        <f>IFERROR(INDEX(Tabla9[],MATCH(Producción_Agricola[[#This Row],[Movimiento]],Tabla9[Movimientos],0),2),0)</f>
        <v>0</v>
      </c>
      <c r="AD625" s="703">
        <f>IFERROR(INDEX(Tabla9[],MATCH(Producción_Agricola[[#This Row],[Movimiento]],Tabla9[Movimientos],0),3),0)</f>
        <v>0</v>
      </c>
      <c r="AE625" s="698">
        <f>IF(Producción_Agricola[[#This Row],[Fecha Económico]]=0,0,MONTH(Producción_Agricola[[#This Row],[Fecha Económico]]))</f>
        <v>0</v>
      </c>
      <c r="AF625" s="699">
        <f>IF(Producción_Agricola[[#This Row],[Fecha Económico]]=0,0,YEAR(Producción_Agricola[[#This Row],[Fecha Económico]]))</f>
        <v>0</v>
      </c>
      <c r="AG625" s="704">
        <f>SUMPRODUCT((Producción_Agricola[[#This Row],[Mes Económico]]=Tipo_Cambio[Mes])*(Producción_Agricola[[#This Row],[Año Económico]]=Tipo_Cambio[Año])*(Tipo_Cambio[$/U$S]))</f>
        <v>0</v>
      </c>
      <c r="AH625" s="703">
        <f>SUMPRODUCT((Producción_Agricola[[#This Row],[Mes Económico]]=Tipo_Cambio[Mes])*(Producción_Agricola[[#This Row],[Año Económico]]=Tipo_Cambio[Año])*(Tipo_Cambio[Actualización]))</f>
        <v>0</v>
      </c>
      <c r="AI625" s="699">
        <f>IF(ISNUMBER(Producción_Agricola[[#This Row],[Fecha Financiero]])=TRUE,MONTH(Producción_Agricola[[#This Row],[Fecha Financiero]]),0)</f>
        <v>0</v>
      </c>
      <c r="AJ625" s="699">
        <f>IF(ISNUMBER(Producción_Agricola[[#This Row],[Fecha Financiero]])=TRUE,YEAR(Producción_Agricola[[#This Row],[Fecha Financiero]]),0)</f>
        <v>0</v>
      </c>
      <c r="AK625" s="704">
        <f>SUMPRODUCT((Producción_Agricola[[#This Row],[Mes Financiero]]=Tipo_Cambio[Mes])*(Producción_Agricola[[#This Row],[Año Financiero]]=Tipo_Cambio[Año])*(Tipo_Cambio[$/U$S]))</f>
        <v>0</v>
      </c>
      <c r="AL625" s="704">
        <f>SUMPRODUCT((Producción_Agricola[[#This Row],[Mes Financiero]]=Tipo_Cambio[Mes])*(Producción_Agricola[[#This Row],[Año Financiero]]=Tipo_Cambio[Año])*(Tipo_Cambio[Actualización]))</f>
        <v>0</v>
      </c>
      <c r="AM625" s="709">
        <f>IFERROR(Producción_Agricola[[#This Row],[Económico $Corrientes]]/Producción_Agricola[[#This Row],[Superficie]],0)</f>
        <v>0</v>
      </c>
      <c r="AN625" s="712">
        <f>IFERROR(Producción_Agricola[[#This Row],[Económico $Constantes]]/Producción_Agricola[[#This Row],[Superficie]],0)</f>
        <v>0</v>
      </c>
      <c r="AO625" s="712">
        <f>IFERROR(Producción_Agricola[[#This Row],[Económico U$S Dólares]]/Producción_Agricola[[#This Row],[Superficie]],0)</f>
        <v>0</v>
      </c>
      <c r="AP625" s="711" t="str">
        <f>IF(Económico!$F$4=0,0,Producción_Agricola[[#This Row],[Centro de Costo]])</f>
        <v>Campo 1</v>
      </c>
      <c r="AQ625" s="512"/>
      <c r="AR625" s="513"/>
      <c r="AS625"/>
    </row>
    <row r="626" spans="1:45" x14ac:dyDescent="0.25">
      <c r="A626" s="509"/>
      <c r="B626" s="494"/>
      <c r="C626" s="509"/>
      <c r="D626" s="478"/>
      <c r="E626" s="478"/>
      <c r="F626" s="668" t="str">
        <f t="shared" si="71"/>
        <v>2018-2019</v>
      </c>
      <c r="G626" s="673" t="str">
        <f t="shared" si="72"/>
        <v>Campo 1</v>
      </c>
      <c r="H626" s="673" t="str">
        <f t="shared" si="73"/>
        <v>Soja de Segunda</v>
      </c>
      <c r="I626" s="675" t="str">
        <f>IFERROR(INDEX(Tabla8[],MATCH(Producción_Agricola[[#This Row],[Unidad de Negocio]],Tabla8[Unidades de Negocio],0),2),0)</f>
        <v>Soja</v>
      </c>
      <c r="J62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26" s="488"/>
      <c r="L626" s="482"/>
      <c r="M626" s="483"/>
      <c r="N626" s="484"/>
      <c r="O626" s="690">
        <f>Producción_Agricola[[#This Row],[Superficie]]*Producción_Agricola[[#This Row],[Cantidad]]</f>
        <v>0</v>
      </c>
      <c r="P626" s="482"/>
      <c r="Q626" s="484"/>
      <c r="R626" s="485"/>
      <c r="S62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26" s="695">
        <f>IFERROR(Producción_Agricola[[#This Row],[Económico $Corrientes]]/Producción_Agricola[[#This Row],[Indexación Económico]],0)</f>
        <v>0</v>
      </c>
      <c r="U62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2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26" s="695">
        <f>IFERROR(Producción_Agricola[[#This Row],[Financiero $Corrientes]]/Producción_Agricola[[#This Row],[Indexación Financiero]],0)</f>
        <v>0</v>
      </c>
      <c r="X62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2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26" s="699">
        <f>IFERROR(Producción_Agricola[[#This Row],[Intereses $Corrientes]]/Producción_Agricola[[#This Row],[Indexación Financiero]],0)</f>
        <v>0</v>
      </c>
      <c r="AA62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26" s="701">
        <f>IFERROR(INDEX(Produccion_Agricola_Cuentas[],MATCH(Producción_Agricola[[#This Row],[Cuenta Contable]],Produccion_Agricola_Cuentas[Cuenta Contable],0),2),0)</f>
        <v>0</v>
      </c>
      <c r="AC626" s="702">
        <f>IFERROR(INDEX(Tabla9[],MATCH(Producción_Agricola[[#This Row],[Movimiento]],Tabla9[Movimientos],0),2),0)</f>
        <v>0</v>
      </c>
      <c r="AD626" s="703">
        <f>IFERROR(INDEX(Tabla9[],MATCH(Producción_Agricola[[#This Row],[Movimiento]],Tabla9[Movimientos],0),3),0)</f>
        <v>0</v>
      </c>
      <c r="AE626" s="698">
        <f>IF(Producción_Agricola[[#This Row],[Fecha Económico]]=0,0,MONTH(Producción_Agricola[[#This Row],[Fecha Económico]]))</f>
        <v>0</v>
      </c>
      <c r="AF626" s="699">
        <f>IF(Producción_Agricola[[#This Row],[Fecha Económico]]=0,0,YEAR(Producción_Agricola[[#This Row],[Fecha Económico]]))</f>
        <v>0</v>
      </c>
      <c r="AG626" s="704">
        <f>SUMPRODUCT((Producción_Agricola[[#This Row],[Mes Económico]]=Tipo_Cambio[Mes])*(Producción_Agricola[[#This Row],[Año Económico]]=Tipo_Cambio[Año])*(Tipo_Cambio[$/U$S]))</f>
        <v>0</v>
      </c>
      <c r="AH626" s="703">
        <f>SUMPRODUCT((Producción_Agricola[[#This Row],[Mes Económico]]=Tipo_Cambio[Mes])*(Producción_Agricola[[#This Row],[Año Económico]]=Tipo_Cambio[Año])*(Tipo_Cambio[Actualización]))</f>
        <v>0</v>
      </c>
      <c r="AI626" s="699">
        <f>IF(ISNUMBER(Producción_Agricola[[#This Row],[Fecha Financiero]])=TRUE,MONTH(Producción_Agricola[[#This Row],[Fecha Financiero]]),0)</f>
        <v>0</v>
      </c>
      <c r="AJ626" s="699">
        <f>IF(ISNUMBER(Producción_Agricola[[#This Row],[Fecha Financiero]])=TRUE,YEAR(Producción_Agricola[[#This Row],[Fecha Financiero]]),0)</f>
        <v>0</v>
      </c>
      <c r="AK626" s="704">
        <f>SUMPRODUCT((Producción_Agricola[[#This Row],[Mes Financiero]]=Tipo_Cambio[Mes])*(Producción_Agricola[[#This Row],[Año Financiero]]=Tipo_Cambio[Año])*(Tipo_Cambio[$/U$S]))</f>
        <v>0</v>
      </c>
      <c r="AL626" s="704">
        <f>SUMPRODUCT((Producción_Agricola[[#This Row],[Mes Financiero]]=Tipo_Cambio[Mes])*(Producción_Agricola[[#This Row],[Año Financiero]]=Tipo_Cambio[Año])*(Tipo_Cambio[Actualización]))</f>
        <v>0</v>
      </c>
      <c r="AM626" s="709">
        <f>IFERROR(Producción_Agricola[[#This Row],[Económico $Corrientes]]/Producción_Agricola[[#This Row],[Superficie]],0)</f>
        <v>0</v>
      </c>
      <c r="AN626" s="712">
        <f>IFERROR(Producción_Agricola[[#This Row],[Económico $Constantes]]/Producción_Agricola[[#This Row],[Superficie]],0)</f>
        <v>0</v>
      </c>
      <c r="AO626" s="712">
        <f>IFERROR(Producción_Agricola[[#This Row],[Económico U$S Dólares]]/Producción_Agricola[[#This Row],[Superficie]],0)</f>
        <v>0</v>
      </c>
      <c r="AP626" s="711" t="str">
        <f>IF(Económico!$F$4=0,0,Producción_Agricola[[#This Row],[Centro de Costo]])</f>
        <v>Campo 1</v>
      </c>
      <c r="AQ626" s="512"/>
      <c r="AR626" s="513"/>
      <c r="AS626"/>
    </row>
    <row r="627" spans="1:45" x14ac:dyDescent="0.25">
      <c r="A627" s="509"/>
      <c r="B627" s="494"/>
      <c r="C627" s="509"/>
      <c r="D627" s="478"/>
      <c r="E627" s="478"/>
      <c r="F627" s="668" t="str">
        <f t="shared" si="71"/>
        <v>2018-2019</v>
      </c>
      <c r="G627" s="673" t="str">
        <f t="shared" si="72"/>
        <v>Campo 1</v>
      </c>
      <c r="H627" s="673" t="str">
        <f t="shared" si="73"/>
        <v>Soja de Segunda</v>
      </c>
      <c r="I627" s="675" t="str">
        <f>IFERROR(INDEX(Tabla8[],MATCH(Producción_Agricola[[#This Row],[Unidad de Negocio]],Tabla8[Unidades de Negocio],0),2),0)</f>
        <v>Soja</v>
      </c>
      <c r="J62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27" s="488"/>
      <c r="L627" s="482"/>
      <c r="M627" s="483"/>
      <c r="N627" s="484"/>
      <c r="O627" s="690">
        <f>Producción_Agricola[[#This Row],[Superficie]]*Producción_Agricola[[#This Row],[Cantidad]]</f>
        <v>0</v>
      </c>
      <c r="P627" s="482"/>
      <c r="Q627" s="484"/>
      <c r="R627" s="485"/>
      <c r="S62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27" s="695">
        <f>IFERROR(Producción_Agricola[[#This Row],[Económico $Corrientes]]/Producción_Agricola[[#This Row],[Indexación Económico]],0)</f>
        <v>0</v>
      </c>
      <c r="U62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2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27" s="695">
        <f>IFERROR(Producción_Agricola[[#This Row],[Financiero $Corrientes]]/Producción_Agricola[[#This Row],[Indexación Financiero]],0)</f>
        <v>0</v>
      </c>
      <c r="X62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2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27" s="699">
        <f>IFERROR(Producción_Agricola[[#This Row],[Intereses $Corrientes]]/Producción_Agricola[[#This Row],[Indexación Financiero]],0)</f>
        <v>0</v>
      </c>
      <c r="AA62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27" s="701">
        <f>IFERROR(INDEX(Produccion_Agricola_Cuentas[],MATCH(Producción_Agricola[[#This Row],[Cuenta Contable]],Produccion_Agricola_Cuentas[Cuenta Contable],0),2),0)</f>
        <v>0</v>
      </c>
      <c r="AC627" s="702">
        <f>IFERROR(INDEX(Tabla9[],MATCH(Producción_Agricola[[#This Row],[Movimiento]],Tabla9[Movimientos],0),2),0)</f>
        <v>0</v>
      </c>
      <c r="AD627" s="703">
        <f>IFERROR(INDEX(Tabla9[],MATCH(Producción_Agricola[[#This Row],[Movimiento]],Tabla9[Movimientos],0),3),0)</f>
        <v>0</v>
      </c>
      <c r="AE627" s="698">
        <f>IF(Producción_Agricola[[#This Row],[Fecha Económico]]=0,0,MONTH(Producción_Agricola[[#This Row],[Fecha Económico]]))</f>
        <v>0</v>
      </c>
      <c r="AF627" s="699">
        <f>IF(Producción_Agricola[[#This Row],[Fecha Económico]]=0,0,YEAR(Producción_Agricola[[#This Row],[Fecha Económico]]))</f>
        <v>0</v>
      </c>
      <c r="AG627" s="704">
        <f>SUMPRODUCT((Producción_Agricola[[#This Row],[Mes Económico]]=Tipo_Cambio[Mes])*(Producción_Agricola[[#This Row],[Año Económico]]=Tipo_Cambio[Año])*(Tipo_Cambio[$/U$S]))</f>
        <v>0</v>
      </c>
      <c r="AH627" s="703">
        <f>SUMPRODUCT((Producción_Agricola[[#This Row],[Mes Económico]]=Tipo_Cambio[Mes])*(Producción_Agricola[[#This Row],[Año Económico]]=Tipo_Cambio[Año])*(Tipo_Cambio[Actualización]))</f>
        <v>0</v>
      </c>
      <c r="AI627" s="699">
        <f>IF(ISNUMBER(Producción_Agricola[[#This Row],[Fecha Financiero]])=TRUE,MONTH(Producción_Agricola[[#This Row],[Fecha Financiero]]),0)</f>
        <v>0</v>
      </c>
      <c r="AJ627" s="699">
        <f>IF(ISNUMBER(Producción_Agricola[[#This Row],[Fecha Financiero]])=TRUE,YEAR(Producción_Agricola[[#This Row],[Fecha Financiero]]),0)</f>
        <v>0</v>
      </c>
      <c r="AK627" s="704">
        <f>SUMPRODUCT((Producción_Agricola[[#This Row],[Mes Financiero]]=Tipo_Cambio[Mes])*(Producción_Agricola[[#This Row],[Año Financiero]]=Tipo_Cambio[Año])*(Tipo_Cambio[$/U$S]))</f>
        <v>0</v>
      </c>
      <c r="AL627" s="704">
        <f>SUMPRODUCT((Producción_Agricola[[#This Row],[Mes Financiero]]=Tipo_Cambio[Mes])*(Producción_Agricola[[#This Row],[Año Financiero]]=Tipo_Cambio[Año])*(Tipo_Cambio[Actualización]))</f>
        <v>0</v>
      </c>
      <c r="AM627" s="709">
        <f>IFERROR(Producción_Agricola[[#This Row],[Económico $Corrientes]]/Producción_Agricola[[#This Row],[Superficie]],0)</f>
        <v>0</v>
      </c>
      <c r="AN627" s="712">
        <f>IFERROR(Producción_Agricola[[#This Row],[Económico $Constantes]]/Producción_Agricola[[#This Row],[Superficie]],0)</f>
        <v>0</v>
      </c>
      <c r="AO627" s="712">
        <f>IFERROR(Producción_Agricola[[#This Row],[Económico U$S Dólares]]/Producción_Agricola[[#This Row],[Superficie]],0)</f>
        <v>0</v>
      </c>
      <c r="AP627" s="711" t="str">
        <f>IF(Económico!$F$4=0,0,Producción_Agricola[[#This Row],[Centro de Costo]])</f>
        <v>Campo 1</v>
      </c>
      <c r="AQ627" s="512"/>
      <c r="AR627" s="513"/>
      <c r="AS627"/>
    </row>
    <row r="628" spans="1:45" x14ac:dyDescent="0.25">
      <c r="A628" s="509"/>
      <c r="B628" s="494"/>
      <c r="C628" s="509"/>
      <c r="D628" s="478"/>
      <c r="E628" s="478"/>
      <c r="F628" s="668" t="str">
        <f t="shared" si="71"/>
        <v>2018-2019</v>
      </c>
      <c r="G628" s="673" t="str">
        <f t="shared" si="72"/>
        <v>Campo 1</v>
      </c>
      <c r="H628" s="673" t="str">
        <f t="shared" si="73"/>
        <v>Soja de Segunda</v>
      </c>
      <c r="I628" s="675" t="str">
        <f>IFERROR(INDEX(Tabla8[],MATCH(Producción_Agricola[[#This Row],[Unidad de Negocio]],Tabla8[Unidades de Negocio],0),2),0)</f>
        <v>Soja</v>
      </c>
      <c r="J62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28" s="488"/>
      <c r="L628" s="482"/>
      <c r="M628" s="483"/>
      <c r="N628" s="484"/>
      <c r="O628" s="690">
        <f>Producción_Agricola[[#This Row],[Superficie]]*Producción_Agricola[[#This Row],[Cantidad]]</f>
        <v>0</v>
      </c>
      <c r="P628" s="482"/>
      <c r="Q628" s="484"/>
      <c r="R628" s="485"/>
      <c r="S62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28" s="695">
        <f>IFERROR(Producción_Agricola[[#This Row],[Económico $Corrientes]]/Producción_Agricola[[#This Row],[Indexación Económico]],0)</f>
        <v>0</v>
      </c>
      <c r="U62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2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28" s="695">
        <f>IFERROR(Producción_Agricola[[#This Row],[Financiero $Corrientes]]/Producción_Agricola[[#This Row],[Indexación Financiero]],0)</f>
        <v>0</v>
      </c>
      <c r="X62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2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28" s="699">
        <f>IFERROR(Producción_Agricola[[#This Row],[Intereses $Corrientes]]/Producción_Agricola[[#This Row],[Indexación Financiero]],0)</f>
        <v>0</v>
      </c>
      <c r="AA62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28" s="701">
        <f>IFERROR(INDEX(Produccion_Agricola_Cuentas[],MATCH(Producción_Agricola[[#This Row],[Cuenta Contable]],Produccion_Agricola_Cuentas[Cuenta Contable],0),2),0)</f>
        <v>0</v>
      </c>
      <c r="AC628" s="702">
        <f>IFERROR(INDEX(Tabla9[],MATCH(Producción_Agricola[[#This Row],[Movimiento]],Tabla9[Movimientos],0),2),0)</f>
        <v>0</v>
      </c>
      <c r="AD628" s="703">
        <f>IFERROR(INDEX(Tabla9[],MATCH(Producción_Agricola[[#This Row],[Movimiento]],Tabla9[Movimientos],0),3),0)</f>
        <v>0</v>
      </c>
      <c r="AE628" s="698">
        <f>IF(Producción_Agricola[[#This Row],[Fecha Económico]]=0,0,MONTH(Producción_Agricola[[#This Row],[Fecha Económico]]))</f>
        <v>0</v>
      </c>
      <c r="AF628" s="699">
        <f>IF(Producción_Agricola[[#This Row],[Fecha Económico]]=0,0,YEAR(Producción_Agricola[[#This Row],[Fecha Económico]]))</f>
        <v>0</v>
      </c>
      <c r="AG628" s="704">
        <f>SUMPRODUCT((Producción_Agricola[[#This Row],[Mes Económico]]=Tipo_Cambio[Mes])*(Producción_Agricola[[#This Row],[Año Económico]]=Tipo_Cambio[Año])*(Tipo_Cambio[$/U$S]))</f>
        <v>0</v>
      </c>
      <c r="AH628" s="703">
        <f>SUMPRODUCT((Producción_Agricola[[#This Row],[Mes Económico]]=Tipo_Cambio[Mes])*(Producción_Agricola[[#This Row],[Año Económico]]=Tipo_Cambio[Año])*(Tipo_Cambio[Actualización]))</f>
        <v>0</v>
      </c>
      <c r="AI628" s="699">
        <f>IF(ISNUMBER(Producción_Agricola[[#This Row],[Fecha Financiero]])=TRUE,MONTH(Producción_Agricola[[#This Row],[Fecha Financiero]]),0)</f>
        <v>0</v>
      </c>
      <c r="AJ628" s="699">
        <f>IF(ISNUMBER(Producción_Agricola[[#This Row],[Fecha Financiero]])=TRUE,YEAR(Producción_Agricola[[#This Row],[Fecha Financiero]]),0)</f>
        <v>0</v>
      </c>
      <c r="AK628" s="704">
        <f>SUMPRODUCT((Producción_Agricola[[#This Row],[Mes Financiero]]=Tipo_Cambio[Mes])*(Producción_Agricola[[#This Row],[Año Financiero]]=Tipo_Cambio[Año])*(Tipo_Cambio[$/U$S]))</f>
        <v>0</v>
      </c>
      <c r="AL628" s="704">
        <f>SUMPRODUCT((Producción_Agricola[[#This Row],[Mes Financiero]]=Tipo_Cambio[Mes])*(Producción_Agricola[[#This Row],[Año Financiero]]=Tipo_Cambio[Año])*(Tipo_Cambio[Actualización]))</f>
        <v>0</v>
      </c>
      <c r="AM628" s="709">
        <f>IFERROR(Producción_Agricola[[#This Row],[Económico $Corrientes]]/Producción_Agricola[[#This Row],[Superficie]],0)</f>
        <v>0</v>
      </c>
      <c r="AN628" s="712">
        <f>IFERROR(Producción_Agricola[[#This Row],[Económico $Constantes]]/Producción_Agricola[[#This Row],[Superficie]],0)</f>
        <v>0</v>
      </c>
      <c r="AO628" s="712">
        <f>IFERROR(Producción_Agricola[[#This Row],[Económico U$S Dólares]]/Producción_Agricola[[#This Row],[Superficie]],0)</f>
        <v>0</v>
      </c>
      <c r="AP628" s="711" t="str">
        <f>IF(Económico!$F$4=0,0,Producción_Agricola[[#This Row],[Centro de Costo]])</f>
        <v>Campo 1</v>
      </c>
      <c r="AQ628" s="512"/>
      <c r="AR628" s="513"/>
      <c r="AS628"/>
    </row>
    <row r="629" spans="1:45" x14ac:dyDescent="0.25">
      <c r="A629" s="509"/>
      <c r="B629" s="494"/>
      <c r="C629" s="509"/>
      <c r="D629" s="478"/>
      <c r="E629" s="478"/>
      <c r="F629" s="668" t="str">
        <f t="shared" si="71"/>
        <v>2018-2019</v>
      </c>
      <c r="G629" s="673" t="str">
        <f t="shared" si="72"/>
        <v>Campo 1</v>
      </c>
      <c r="H629" s="673" t="str">
        <f t="shared" si="73"/>
        <v>Soja de Segunda</v>
      </c>
      <c r="I629" s="675" t="str">
        <f>IFERROR(INDEX(Tabla8[],MATCH(Producción_Agricola[[#This Row],[Unidad de Negocio]],Tabla8[Unidades de Negocio],0),2),0)</f>
        <v>Soja</v>
      </c>
      <c r="J62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29" s="488"/>
      <c r="L629" s="482"/>
      <c r="M629" s="483"/>
      <c r="N629" s="484"/>
      <c r="O629" s="690">
        <f>Producción_Agricola[[#This Row],[Superficie]]*Producción_Agricola[[#This Row],[Cantidad]]</f>
        <v>0</v>
      </c>
      <c r="P629" s="482"/>
      <c r="Q629" s="484"/>
      <c r="R629" s="485"/>
      <c r="S62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29" s="695">
        <f>IFERROR(Producción_Agricola[[#This Row],[Económico $Corrientes]]/Producción_Agricola[[#This Row],[Indexación Económico]],0)</f>
        <v>0</v>
      </c>
      <c r="U62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2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29" s="695">
        <f>IFERROR(Producción_Agricola[[#This Row],[Financiero $Corrientes]]/Producción_Agricola[[#This Row],[Indexación Financiero]],0)</f>
        <v>0</v>
      </c>
      <c r="X62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2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29" s="699">
        <f>IFERROR(Producción_Agricola[[#This Row],[Intereses $Corrientes]]/Producción_Agricola[[#This Row],[Indexación Financiero]],0)</f>
        <v>0</v>
      </c>
      <c r="AA62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29" s="701">
        <f>IFERROR(INDEX(Produccion_Agricola_Cuentas[],MATCH(Producción_Agricola[[#This Row],[Cuenta Contable]],Produccion_Agricola_Cuentas[Cuenta Contable],0),2),0)</f>
        <v>0</v>
      </c>
      <c r="AC629" s="702">
        <f>IFERROR(INDEX(Tabla9[],MATCH(Producción_Agricola[[#This Row],[Movimiento]],Tabla9[Movimientos],0),2),0)</f>
        <v>0</v>
      </c>
      <c r="AD629" s="703">
        <f>IFERROR(INDEX(Tabla9[],MATCH(Producción_Agricola[[#This Row],[Movimiento]],Tabla9[Movimientos],0),3),0)</f>
        <v>0</v>
      </c>
      <c r="AE629" s="698">
        <f>IF(Producción_Agricola[[#This Row],[Fecha Económico]]=0,0,MONTH(Producción_Agricola[[#This Row],[Fecha Económico]]))</f>
        <v>0</v>
      </c>
      <c r="AF629" s="699">
        <f>IF(Producción_Agricola[[#This Row],[Fecha Económico]]=0,0,YEAR(Producción_Agricola[[#This Row],[Fecha Económico]]))</f>
        <v>0</v>
      </c>
      <c r="AG629" s="704">
        <f>SUMPRODUCT((Producción_Agricola[[#This Row],[Mes Económico]]=Tipo_Cambio[Mes])*(Producción_Agricola[[#This Row],[Año Económico]]=Tipo_Cambio[Año])*(Tipo_Cambio[$/U$S]))</f>
        <v>0</v>
      </c>
      <c r="AH629" s="703">
        <f>SUMPRODUCT((Producción_Agricola[[#This Row],[Mes Económico]]=Tipo_Cambio[Mes])*(Producción_Agricola[[#This Row],[Año Económico]]=Tipo_Cambio[Año])*(Tipo_Cambio[Actualización]))</f>
        <v>0</v>
      </c>
      <c r="AI629" s="699">
        <f>IF(ISNUMBER(Producción_Agricola[[#This Row],[Fecha Financiero]])=TRUE,MONTH(Producción_Agricola[[#This Row],[Fecha Financiero]]),0)</f>
        <v>0</v>
      </c>
      <c r="AJ629" s="699">
        <f>IF(ISNUMBER(Producción_Agricola[[#This Row],[Fecha Financiero]])=TRUE,YEAR(Producción_Agricola[[#This Row],[Fecha Financiero]]),0)</f>
        <v>0</v>
      </c>
      <c r="AK629" s="704">
        <f>SUMPRODUCT((Producción_Agricola[[#This Row],[Mes Financiero]]=Tipo_Cambio[Mes])*(Producción_Agricola[[#This Row],[Año Financiero]]=Tipo_Cambio[Año])*(Tipo_Cambio[$/U$S]))</f>
        <v>0</v>
      </c>
      <c r="AL629" s="704">
        <f>SUMPRODUCT((Producción_Agricola[[#This Row],[Mes Financiero]]=Tipo_Cambio[Mes])*(Producción_Agricola[[#This Row],[Año Financiero]]=Tipo_Cambio[Año])*(Tipo_Cambio[Actualización]))</f>
        <v>0</v>
      </c>
      <c r="AM629" s="709">
        <f>IFERROR(Producción_Agricola[[#This Row],[Económico $Corrientes]]/Producción_Agricola[[#This Row],[Superficie]],0)</f>
        <v>0</v>
      </c>
      <c r="AN629" s="712">
        <f>IFERROR(Producción_Agricola[[#This Row],[Económico $Constantes]]/Producción_Agricola[[#This Row],[Superficie]],0)</f>
        <v>0</v>
      </c>
      <c r="AO629" s="712">
        <f>IFERROR(Producción_Agricola[[#This Row],[Económico U$S Dólares]]/Producción_Agricola[[#This Row],[Superficie]],0)</f>
        <v>0</v>
      </c>
      <c r="AP629" s="711" t="str">
        <f>IF(Económico!$F$4=0,0,Producción_Agricola[[#This Row],[Centro de Costo]])</f>
        <v>Campo 1</v>
      </c>
      <c r="AQ629" s="512"/>
      <c r="AR629" s="513"/>
      <c r="AS629"/>
    </row>
    <row r="630" spans="1:45" x14ac:dyDescent="0.25">
      <c r="A630" s="509"/>
      <c r="B630" s="494"/>
      <c r="C630" s="509"/>
      <c r="D630" s="478"/>
      <c r="E630" s="478"/>
      <c r="F630" s="668" t="str">
        <f t="shared" si="71"/>
        <v>2018-2019</v>
      </c>
      <c r="G630" s="673" t="str">
        <f t="shared" si="72"/>
        <v>Campo 1</v>
      </c>
      <c r="H630" s="673" t="str">
        <f t="shared" si="73"/>
        <v>Soja de Segunda</v>
      </c>
      <c r="I630" s="675" t="str">
        <f>IFERROR(INDEX(Tabla8[],MATCH(Producción_Agricola[[#This Row],[Unidad de Negocio]],Tabla8[Unidades de Negocio],0),2),0)</f>
        <v>Soja</v>
      </c>
      <c r="J63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30" s="488"/>
      <c r="L630" s="482"/>
      <c r="M630" s="483"/>
      <c r="N630" s="484"/>
      <c r="O630" s="690">
        <f>Producción_Agricola[[#This Row],[Superficie]]*Producción_Agricola[[#This Row],[Cantidad]]</f>
        <v>0</v>
      </c>
      <c r="P630" s="482"/>
      <c r="Q630" s="484"/>
      <c r="R630" s="485"/>
      <c r="S63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30" s="695">
        <f>IFERROR(Producción_Agricola[[#This Row],[Económico $Corrientes]]/Producción_Agricola[[#This Row],[Indexación Económico]],0)</f>
        <v>0</v>
      </c>
      <c r="U63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3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30" s="695">
        <f>IFERROR(Producción_Agricola[[#This Row],[Financiero $Corrientes]]/Producción_Agricola[[#This Row],[Indexación Financiero]],0)</f>
        <v>0</v>
      </c>
      <c r="X63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3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30" s="699">
        <f>IFERROR(Producción_Agricola[[#This Row],[Intereses $Corrientes]]/Producción_Agricola[[#This Row],[Indexación Financiero]],0)</f>
        <v>0</v>
      </c>
      <c r="AA63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30" s="701">
        <f>IFERROR(INDEX(Produccion_Agricola_Cuentas[],MATCH(Producción_Agricola[[#This Row],[Cuenta Contable]],Produccion_Agricola_Cuentas[Cuenta Contable],0),2),0)</f>
        <v>0</v>
      </c>
      <c r="AC630" s="702">
        <f>IFERROR(INDEX(Tabla9[],MATCH(Producción_Agricola[[#This Row],[Movimiento]],Tabla9[Movimientos],0),2),0)</f>
        <v>0</v>
      </c>
      <c r="AD630" s="703">
        <f>IFERROR(INDEX(Tabla9[],MATCH(Producción_Agricola[[#This Row],[Movimiento]],Tabla9[Movimientos],0),3),0)</f>
        <v>0</v>
      </c>
      <c r="AE630" s="698">
        <f>IF(Producción_Agricola[[#This Row],[Fecha Económico]]=0,0,MONTH(Producción_Agricola[[#This Row],[Fecha Económico]]))</f>
        <v>0</v>
      </c>
      <c r="AF630" s="699">
        <f>IF(Producción_Agricola[[#This Row],[Fecha Económico]]=0,0,YEAR(Producción_Agricola[[#This Row],[Fecha Económico]]))</f>
        <v>0</v>
      </c>
      <c r="AG630" s="704">
        <f>SUMPRODUCT((Producción_Agricola[[#This Row],[Mes Económico]]=Tipo_Cambio[Mes])*(Producción_Agricola[[#This Row],[Año Económico]]=Tipo_Cambio[Año])*(Tipo_Cambio[$/U$S]))</f>
        <v>0</v>
      </c>
      <c r="AH630" s="703">
        <f>SUMPRODUCT((Producción_Agricola[[#This Row],[Mes Económico]]=Tipo_Cambio[Mes])*(Producción_Agricola[[#This Row],[Año Económico]]=Tipo_Cambio[Año])*(Tipo_Cambio[Actualización]))</f>
        <v>0</v>
      </c>
      <c r="AI630" s="699">
        <f>IF(ISNUMBER(Producción_Agricola[[#This Row],[Fecha Financiero]])=TRUE,MONTH(Producción_Agricola[[#This Row],[Fecha Financiero]]),0)</f>
        <v>0</v>
      </c>
      <c r="AJ630" s="699">
        <f>IF(ISNUMBER(Producción_Agricola[[#This Row],[Fecha Financiero]])=TRUE,YEAR(Producción_Agricola[[#This Row],[Fecha Financiero]]),0)</f>
        <v>0</v>
      </c>
      <c r="AK630" s="704">
        <f>SUMPRODUCT((Producción_Agricola[[#This Row],[Mes Financiero]]=Tipo_Cambio[Mes])*(Producción_Agricola[[#This Row],[Año Financiero]]=Tipo_Cambio[Año])*(Tipo_Cambio[$/U$S]))</f>
        <v>0</v>
      </c>
      <c r="AL630" s="704">
        <f>SUMPRODUCT((Producción_Agricola[[#This Row],[Mes Financiero]]=Tipo_Cambio[Mes])*(Producción_Agricola[[#This Row],[Año Financiero]]=Tipo_Cambio[Año])*(Tipo_Cambio[Actualización]))</f>
        <v>0</v>
      </c>
      <c r="AM630" s="709">
        <f>IFERROR(Producción_Agricola[[#This Row],[Económico $Corrientes]]/Producción_Agricola[[#This Row],[Superficie]],0)</f>
        <v>0</v>
      </c>
      <c r="AN630" s="712">
        <f>IFERROR(Producción_Agricola[[#This Row],[Económico $Constantes]]/Producción_Agricola[[#This Row],[Superficie]],0)</f>
        <v>0</v>
      </c>
      <c r="AO630" s="712">
        <f>IFERROR(Producción_Agricola[[#This Row],[Económico U$S Dólares]]/Producción_Agricola[[#This Row],[Superficie]],0)</f>
        <v>0</v>
      </c>
      <c r="AP630" s="711" t="str">
        <f>IF(Económico!$F$4=0,0,Producción_Agricola[[#This Row],[Centro de Costo]])</f>
        <v>Campo 1</v>
      </c>
      <c r="AQ630" s="512"/>
      <c r="AR630" s="513"/>
      <c r="AS630"/>
    </row>
    <row r="631" spans="1:45" x14ac:dyDescent="0.25">
      <c r="A631" s="509"/>
      <c r="B631" s="494"/>
      <c r="C631" s="509"/>
      <c r="D631" s="478"/>
      <c r="E631" s="478"/>
      <c r="F631" s="668" t="str">
        <f t="shared" si="71"/>
        <v>2018-2019</v>
      </c>
      <c r="G631" s="673" t="str">
        <f t="shared" si="72"/>
        <v>Campo 1</v>
      </c>
      <c r="H631" s="673" t="str">
        <f t="shared" si="73"/>
        <v>Soja de Segunda</v>
      </c>
      <c r="I631" s="675" t="str">
        <f>IFERROR(INDEX(Tabla8[],MATCH(Producción_Agricola[[#This Row],[Unidad de Negocio]],Tabla8[Unidades de Negocio],0),2),0)</f>
        <v>Soja</v>
      </c>
      <c r="J63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31" s="488"/>
      <c r="L631" s="482"/>
      <c r="M631" s="483"/>
      <c r="N631" s="484"/>
      <c r="O631" s="690">
        <f>Producción_Agricola[[#This Row],[Superficie]]*Producción_Agricola[[#This Row],[Cantidad]]</f>
        <v>0</v>
      </c>
      <c r="P631" s="482"/>
      <c r="Q631" s="484"/>
      <c r="R631" s="485"/>
      <c r="S63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31" s="695">
        <f>IFERROR(Producción_Agricola[[#This Row],[Económico $Corrientes]]/Producción_Agricola[[#This Row],[Indexación Económico]],0)</f>
        <v>0</v>
      </c>
      <c r="U63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3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31" s="695">
        <f>IFERROR(Producción_Agricola[[#This Row],[Financiero $Corrientes]]/Producción_Agricola[[#This Row],[Indexación Financiero]],0)</f>
        <v>0</v>
      </c>
      <c r="X63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3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31" s="699">
        <f>IFERROR(Producción_Agricola[[#This Row],[Intereses $Corrientes]]/Producción_Agricola[[#This Row],[Indexación Financiero]],0)</f>
        <v>0</v>
      </c>
      <c r="AA63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31" s="701">
        <f>IFERROR(INDEX(Produccion_Agricola_Cuentas[],MATCH(Producción_Agricola[[#This Row],[Cuenta Contable]],Produccion_Agricola_Cuentas[Cuenta Contable],0),2),0)</f>
        <v>0</v>
      </c>
      <c r="AC631" s="702">
        <f>IFERROR(INDEX(Tabla9[],MATCH(Producción_Agricola[[#This Row],[Movimiento]],Tabla9[Movimientos],0),2),0)</f>
        <v>0</v>
      </c>
      <c r="AD631" s="703">
        <f>IFERROR(INDEX(Tabla9[],MATCH(Producción_Agricola[[#This Row],[Movimiento]],Tabla9[Movimientos],0),3),0)</f>
        <v>0</v>
      </c>
      <c r="AE631" s="698">
        <f>IF(Producción_Agricola[[#This Row],[Fecha Económico]]=0,0,MONTH(Producción_Agricola[[#This Row],[Fecha Económico]]))</f>
        <v>0</v>
      </c>
      <c r="AF631" s="699">
        <f>IF(Producción_Agricola[[#This Row],[Fecha Económico]]=0,0,YEAR(Producción_Agricola[[#This Row],[Fecha Económico]]))</f>
        <v>0</v>
      </c>
      <c r="AG631" s="704">
        <f>SUMPRODUCT((Producción_Agricola[[#This Row],[Mes Económico]]=Tipo_Cambio[Mes])*(Producción_Agricola[[#This Row],[Año Económico]]=Tipo_Cambio[Año])*(Tipo_Cambio[$/U$S]))</f>
        <v>0</v>
      </c>
      <c r="AH631" s="703">
        <f>SUMPRODUCT((Producción_Agricola[[#This Row],[Mes Económico]]=Tipo_Cambio[Mes])*(Producción_Agricola[[#This Row],[Año Económico]]=Tipo_Cambio[Año])*(Tipo_Cambio[Actualización]))</f>
        <v>0</v>
      </c>
      <c r="AI631" s="699">
        <f>IF(ISNUMBER(Producción_Agricola[[#This Row],[Fecha Financiero]])=TRUE,MONTH(Producción_Agricola[[#This Row],[Fecha Financiero]]),0)</f>
        <v>0</v>
      </c>
      <c r="AJ631" s="699">
        <f>IF(ISNUMBER(Producción_Agricola[[#This Row],[Fecha Financiero]])=TRUE,YEAR(Producción_Agricola[[#This Row],[Fecha Financiero]]),0)</f>
        <v>0</v>
      </c>
      <c r="AK631" s="704">
        <f>SUMPRODUCT((Producción_Agricola[[#This Row],[Mes Financiero]]=Tipo_Cambio[Mes])*(Producción_Agricola[[#This Row],[Año Financiero]]=Tipo_Cambio[Año])*(Tipo_Cambio[$/U$S]))</f>
        <v>0</v>
      </c>
      <c r="AL631" s="704">
        <f>SUMPRODUCT((Producción_Agricola[[#This Row],[Mes Financiero]]=Tipo_Cambio[Mes])*(Producción_Agricola[[#This Row],[Año Financiero]]=Tipo_Cambio[Año])*(Tipo_Cambio[Actualización]))</f>
        <v>0</v>
      </c>
      <c r="AM631" s="709">
        <f>IFERROR(Producción_Agricola[[#This Row],[Económico $Corrientes]]/Producción_Agricola[[#This Row],[Superficie]],0)</f>
        <v>0</v>
      </c>
      <c r="AN631" s="712">
        <f>IFERROR(Producción_Agricola[[#This Row],[Económico $Constantes]]/Producción_Agricola[[#This Row],[Superficie]],0)</f>
        <v>0</v>
      </c>
      <c r="AO631" s="712">
        <f>IFERROR(Producción_Agricola[[#This Row],[Económico U$S Dólares]]/Producción_Agricola[[#This Row],[Superficie]],0)</f>
        <v>0</v>
      </c>
      <c r="AP631" s="711" t="str">
        <f>IF(Económico!$F$4=0,0,Producción_Agricola[[#This Row],[Centro de Costo]])</f>
        <v>Campo 1</v>
      </c>
      <c r="AQ631" s="512"/>
      <c r="AR631" s="513"/>
      <c r="AS631"/>
    </row>
    <row r="632" spans="1:45" x14ac:dyDescent="0.25">
      <c r="A632" s="509"/>
      <c r="B632" s="494"/>
      <c r="C632" s="509"/>
      <c r="D632" s="478"/>
      <c r="E632" s="478"/>
      <c r="F632" s="668" t="str">
        <f t="shared" si="71"/>
        <v>2018-2019</v>
      </c>
      <c r="G632" s="673" t="str">
        <f t="shared" si="72"/>
        <v>Campo 1</v>
      </c>
      <c r="H632" s="673" t="str">
        <f t="shared" si="73"/>
        <v>Soja de Segunda</v>
      </c>
      <c r="I632" s="675" t="str">
        <f>IFERROR(INDEX(Tabla8[],MATCH(Producción_Agricola[[#This Row],[Unidad de Negocio]],Tabla8[Unidades de Negocio],0),2),0)</f>
        <v>Soja</v>
      </c>
      <c r="J63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32" s="488"/>
      <c r="L632" s="482"/>
      <c r="M632" s="483"/>
      <c r="N632" s="484"/>
      <c r="O632" s="690">
        <f>Producción_Agricola[[#This Row],[Superficie]]*Producción_Agricola[[#This Row],[Cantidad]]</f>
        <v>0</v>
      </c>
      <c r="P632" s="482"/>
      <c r="Q632" s="484"/>
      <c r="R632" s="485"/>
      <c r="S63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32" s="695">
        <f>IFERROR(Producción_Agricola[[#This Row],[Económico $Corrientes]]/Producción_Agricola[[#This Row],[Indexación Económico]],0)</f>
        <v>0</v>
      </c>
      <c r="U63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3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32" s="695">
        <f>IFERROR(Producción_Agricola[[#This Row],[Financiero $Corrientes]]/Producción_Agricola[[#This Row],[Indexación Financiero]],0)</f>
        <v>0</v>
      </c>
      <c r="X63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3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32" s="699">
        <f>IFERROR(Producción_Agricola[[#This Row],[Intereses $Corrientes]]/Producción_Agricola[[#This Row],[Indexación Financiero]],0)</f>
        <v>0</v>
      </c>
      <c r="AA63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32" s="701">
        <f>IFERROR(INDEX(Produccion_Agricola_Cuentas[],MATCH(Producción_Agricola[[#This Row],[Cuenta Contable]],Produccion_Agricola_Cuentas[Cuenta Contable],0),2),0)</f>
        <v>0</v>
      </c>
      <c r="AC632" s="702">
        <f>IFERROR(INDEX(Tabla9[],MATCH(Producción_Agricola[[#This Row],[Movimiento]],Tabla9[Movimientos],0),2),0)</f>
        <v>0</v>
      </c>
      <c r="AD632" s="703">
        <f>IFERROR(INDEX(Tabla9[],MATCH(Producción_Agricola[[#This Row],[Movimiento]],Tabla9[Movimientos],0),3),0)</f>
        <v>0</v>
      </c>
      <c r="AE632" s="698">
        <f>IF(Producción_Agricola[[#This Row],[Fecha Económico]]=0,0,MONTH(Producción_Agricola[[#This Row],[Fecha Económico]]))</f>
        <v>0</v>
      </c>
      <c r="AF632" s="699">
        <f>IF(Producción_Agricola[[#This Row],[Fecha Económico]]=0,0,YEAR(Producción_Agricola[[#This Row],[Fecha Económico]]))</f>
        <v>0</v>
      </c>
      <c r="AG632" s="704">
        <f>SUMPRODUCT((Producción_Agricola[[#This Row],[Mes Económico]]=Tipo_Cambio[Mes])*(Producción_Agricola[[#This Row],[Año Económico]]=Tipo_Cambio[Año])*(Tipo_Cambio[$/U$S]))</f>
        <v>0</v>
      </c>
      <c r="AH632" s="703">
        <f>SUMPRODUCT((Producción_Agricola[[#This Row],[Mes Económico]]=Tipo_Cambio[Mes])*(Producción_Agricola[[#This Row],[Año Económico]]=Tipo_Cambio[Año])*(Tipo_Cambio[Actualización]))</f>
        <v>0</v>
      </c>
      <c r="AI632" s="699">
        <f>IF(ISNUMBER(Producción_Agricola[[#This Row],[Fecha Financiero]])=TRUE,MONTH(Producción_Agricola[[#This Row],[Fecha Financiero]]),0)</f>
        <v>0</v>
      </c>
      <c r="AJ632" s="699">
        <f>IF(ISNUMBER(Producción_Agricola[[#This Row],[Fecha Financiero]])=TRUE,YEAR(Producción_Agricola[[#This Row],[Fecha Financiero]]),0)</f>
        <v>0</v>
      </c>
      <c r="AK632" s="704">
        <f>SUMPRODUCT((Producción_Agricola[[#This Row],[Mes Financiero]]=Tipo_Cambio[Mes])*(Producción_Agricola[[#This Row],[Año Financiero]]=Tipo_Cambio[Año])*(Tipo_Cambio[$/U$S]))</f>
        <v>0</v>
      </c>
      <c r="AL632" s="704">
        <f>SUMPRODUCT((Producción_Agricola[[#This Row],[Mes Financiero]]=Tipo_Cambio[Mes])*(Producción_Agricola[[#This Row],[Año Financiero]]=Tipo_Cambio[Año])*(Tipo_Cambio[Actualización]))</f>
        <v>0</v>
      </c>
      <c r="AM632" s="709">
        <f>IFERROR(Producción_Agricola[[#This Row],[Económico $Corrientes]]/Producción_Agricola[[#This Row],[Superficie]],0)</f>
        <v>0</v>
      </c>
      <c r="AN632" s="712">
        <f>IFERROR(Producción_Agricola[[#This Row],[Económico $Constantes]]/Producción_Agricola[[#This Row],[Superficie]],0)</f>
        <v>0</v>
      </c>
      <c r="AO632" s="712">
        <f>IFERROR(Producción_Agricola[[#This Row],[Económico U$S Dólares]]/Producción_Agricola[[#This Row],[Superficie]],0)</f>
        <v>0</v>
      </c>
      <c r="AP632" s="711" t="str">
        <f>IF(Económico!$F$4=0,0,Producción_Agricola[[#This Row],[Centro de Costo]])</f>
        <v>Campo 1</v>
      </c>
      <c r="AQ632" s="512"/>
      <c r="AR632" s="513"/>
      <c r="AS632"/>
    </row>
    <row r="633" spans="1:45" x14ac:dyDescent="0.25">
      <c r="A633" s="509"/>
      <c r="B633" s="494"/>
      <c r="C633" s="509"/>
      <c r="D633" s="478"/>
      <c r="E633" s="478"/>
      <c r="F633" s="668" t="str">
        <f t="shared" si="71"/>
        <v>2018-2019</v>
      </c>
      <c r="G633" s="673" t="str">
        <f t="shared" si="72"/>
        <v>Campo 1</v>
      </c>
      <c r="H633" s="673" t="str">
        <f t="shared" si="73"/>
        <v>Soja de Segunda</v>
      </c>
      <c r="I633" s="675" t="str">
        <f>IFERROR(INDEX(Tabla8[],MATCH(Producción_Agricola[[#This Row],[Unidad de Negocio]],Tabla8[Unidades de Negocio],0),2),0)</f>
        <v>Soja</v>
      </c>
      <c r="J63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33" s="488"/>
      <c r="L633" s="482"/>
      <c r="M633" s="483"/>
      <c r="N633" s="484"/>
      <c r="O633" s="690">
        <f>Producción_Agricola[[#This Row],[Superficie]]*Producción_Agricola[[#This Row],[Cantidad]]</f>
        <v>0</v>
      </c>
      <c r="P633" s="482"/>
      <c r="Q633" s="484"/>
      <c r="R633" s="485"/>
      <c r="S63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33" s="695">
        <f>IFERROR(Producción_Agricola[[#This Row],[Económico $Corrientes]]/Producción_Agricola[[#This Row],[Indexación Económico]],0)</f>
        <v>0</v>
      </c>
      <c r="U63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3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33" s="695">
        <f>IFERROR(Producción_Agricola[[#This Row],[Financiero $Corrientes]]/Producción_Agricola[[#This Row],[Indexación Financiero]],0)</f>
        <v>0</v>
      </c>
      <c r="X63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3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33" s="699">
        <f>IFERROR(Producción_Agricola[[#This Row],[Intereses $Corrientes]]/Producción_Agricola[[#This Row],[Indexación Financiero]],0)</f>
        <v>0</v>
      </c>
      <c r="AA63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33" s="701">
        <f>IFERROR(INDEX(Produccion_Agricola_Cuentas[],MATCH(Producción_Agricola[[#This Row],[Cuenta Contable]],Produccion_Agricola_Cuentas[Cuenta Contable],0),2),0)</f>
        <v>0</v>
      </c>
      <c r="AC633" s="702">
        <f>IFERROR(INDEX(Tabla9[],MATCH(Producción_Agricola[[#This Row],[Movimiento]],Tabla9[Movimientos],0),2),0)</f>
        <v>0</v>
      </c>
      <c r="AD633" s="703">
        <f>IFERROR(INDEX(Tabla9[],MATCH(Producción_Agricola[[#This Row],[Movimiento]],Tabla9[Movimientos],0),3),0)</f>
        <v>0</v>
      </c>
      <c r="AE633" s="698">
        <f>IF(Producción_Agricola[[#This Row],[Fecha Económico]]=0,0,MONTH(Producción_Agricola[[#This Row],[Fecha Económico]]))</f>
        <v>0</v>
      </c>
      <c r="AF633" s="699">
        <f>IF(Producción_Agricola[[#This Row],[Fecha Económico]]=0,0,YEAR(Producción_Agricola[[#This Row],[Fecha Económico]]))</f>
        <v>0</v>
      </c>
      <c r="AG633" s="704">
        <f>SUMPRODUCT((Producción_Agricola[[#This Row],[Mes Económico]]=Tipo_Cambio[Mes])*(Producción_Agricola[[#This Row],[Año Económico]]=Tipo_Cambio[Año])*(Tipo_Cambio[$/U$S]))</f>
        <v>0</v>
      </c>
      <c r="AH633" s="703">
        <f>SUMPRODUCT((Producción_Agricola[[#This Row],[Mes Económico]]=Tipo_Cambio[Mes])*(Producción_Agricola[[#This Row],[Año Económico]]=Tipo_Cambio[Año])*(Tipo_Cambio[Actualización]))</f>
        <v>0</v>
      </c>
      <c r="AI633" s="699">
        <f>IF(ISNUMBER(Producción_Agricola[[#This Row],[Fecha Financiero]])=TRUE,MONTH(Producción_Agricola[[#This Row],[Fecha Financiero]]),0)</f>
        <v>0</v>
      </c>
      <c r="AJ633" s="699">
        <f>IF(ISNUMBER(Producción_Agricola[[#This Row],[Fecha Financiero]])=TRUE,YEAR(Producción_Agricola[[#This Row],[Fecha Financiero]]),0)</f>
        <v>0</v>
      </c>
      <c r="AK633" s="704">
        <f>SUMPRODUCT((Producción_Agricola[[#This Row],[Mes Financiero]]=Tipo_Cambio[Mes])*(Producción_Agricola[[#This Row],[Año Financiero]]=Tipo_Cambio[Año])*(Tipo_Cambio[$/U$S]))</f>
        <v>0</v>
      </c>
      <c r="AL633" s="704">
        <f>SUMPRODUCT((Producción_Agricola[[#This Row],[Mes Financiero]]=Tipo_Cambio[Mes])*(Producción_Agricola[[#This Row],[Año Financiero]]=Tipo_Cambio[Año])*(Tipo_Cambio[Actualización]))</f>
        <v>0</v>
      </c>
      <c r="AM633" s="709">
        <f>IFERROR(Producción_Agricola[[#This Row],[Económico $Corrientes]]/Producción_Agricola[[#This Row],[Superficie]],0)</f>
        <v>0</v>
      </c>
      <c r="AN633" s="712">
        <f>IFERROR(Producción_Agricola[[#This Row],[Económico $Constantes]]/Producción_Agricola[[#This Row],[Superficie]],0)</f>
        <v>0</v>
      </c>
      <c r="AO633" s="712">
        <f>IFERROR(Producción_Agricola[[#This Row],[Económico U$S Dólares]]/Producción_Agricola[[#This Row],[Superficie]],0)</f>
        <v>0</v>
      </c>
      <c r="AP633" s="711" t="str">
        <f>IF(Económico!$F$4=0,0,Producción_Agricola[[#This Row],[Centro de Costo]])</f>
        <v>Campo 1</v>
      </c>
      <c r="AQ633" s="512"/>
      <c r="AR633" s="513"/>
      <c r="AS633"/>
    </row>
    <row r="634" spans="1:45" x14ac:dyDescent="0.25">
      <c r="A634" s="509"/>
      <c r="B634" s="494"/>
      <c r="C634" s="509"/>
      <c r="D634" s="478"/>
      <c r="E634" s="478"/>
      <c r="F634" s="668" t="str">
        <f t="shared" si="71"/>
        <v>2018-2019</v>
      </c>
      <c r="G634" s="673" t="str">
        <f t="shared" si="72"/>
        <v>Campo 1</v>
      </c>
      <c r="H634" s="673" t="str">
        <f t="shared" si="73"/>
        <v>Soja de Segunda</v>
      </c>
      <c r="I634" s="675" t="str">
        <f>IFERROR(INDEX(Tabla8[],MATCH(Producción_Agricola[[#This Row],[Unidad de Negocio]],Tabla8[Unidades de Negocio],0),2),0)</f>
        <v>Soja</v>
      </c>
      <c r="J63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34" s="488"/>
      <c r="L634" s="482"/>
      <c r="M634" s="483"/>
      <c r="N634" s="484"/>
      <c r="O634" s="690">
        <f>Producción_Agricola[[#This Row],[Superficie]]*Producción_Agricola[[#This Row],[Cantidad]]</f>
        <v>0</v>
      </c>
      <c r="P634" s="482"/>
      <c r="Q634" s="484"/>
      <c r="R634" s="485"/>
      <c r="S63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34" s="695">
        <f>IFERROR(Producción_Agricola[[#This Row],[Económico $Corrientes]]/Producción_Agricola[[#This Row],[Indexación Económico]],0)</f>
        <v>0</v>
      </c>
      <c r="U63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3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34" s="695">
        <f>IFERROR(Producción_Agricola[[#This Row],[Financiero $Corrientes]]/Producción_Agricola[[#This Row],[Indexación Financiero]],0)</f>
        <v>0</v>
      </c>
      <c r="X63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3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34" s="699">
        <f>IFERROR(Producción_Agricola[[#This Row],[Intereses $Corrientes]]/Producción_Agricola[[#This Row],[Indexación Financiero]],0)</f>
        <v>0</v>
      </c>
      <c r="AA63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34" s="701">
        <f>IFERROR(INDEX(Produccion_Agricola_Cuentas[],MATCH(Producción_Agricola[[#This Row],[Cuenta Contable]],Produccion_Agricola_Cuentas[Cuenta Contable],0),2),0)</f>
        <v>0</v>
      </c>
      <c r="AC634" s="702">
        <f>IFERROR(INDEX(Tabla9[],MATCH(Producción_Agricola[[#This Row],[Movimiento]],Tabla9[Movimientos],0),2),0)</f>
        <v>0</v>
      </c>
      <c r="AD634" s="703">
        <f>IFERROR(INDEX(Tabla9[],MATCH(Producción_Agricola[[#This Row],[Movimiento]],Tabla9[Movimientos],0),3),0)</f>
        <v>0</v>
      </c>
      <c r="AE634" s="698">
        <f>IF(Producción_Agricola[[#This Row],[Fecha Económico]]=0,0,MONTH(Producción_Agricola[[#This Row],[Fecha Económico]]))</f>
        <v>0</v>
      </c>
      <c r="AF634" s="699">
        <f>IF(Producción_Agricola[[#This Row],[Fecha Económico]]=0,0,YEAR(Producción_Agricola[[#This Row],[Fecha Económico]]))</f>
        <v>0</v>
      </c>
      <c r="AG634" s="704">
        <f>SUMPRODUCT((Producción_Agricola[[#This Row],[Mes Económico]]=Tipo_Cambio[Mes])*(Producción_Agricola[[#This Row],[Año Económico]]=Tipo_Cambio[Año])*(Tipo_Cambio[$/U$S]))</f>
        <v>0</v>
      </c>
      <c r="AH634" s="703">
        <f>SUMPRODUCT((Producción_Agricola[[#This Row],[Mes Económico]]=Tipo_Cambio[Mes])*(Producción_Agricola[[#This Row],[Año Económico]]=Tipo_Cambio[Año])*(Tipo_Cambio[Actualización]))</f>
        <v>0</v>
      </c>
      <c r="AI634" s="699">
        <f>IF(ISNUMBER(Producción_Agricola[[#This Row],[Fecha Financiero]])=TRUE,MONTH(Producción_Agricola[[#This Row],[Fecha Financiero]]),0)</f>
        <v>0</v>
      </c>
      <c r="AJ634" s="699">
        <f>IF(ISNUMBER(Producción_Agricola[[#This Row],[Fecha Financiero]])=TRUE,YEAR(Producción_Agricola[[#This Row],[Fecha Financiero]]),0)</f>
        <v>0</v>
      </c>
      <c r="AK634" s="704">
        <f>SUMPRODUCT((Producción_Agricola[[#This Row],[Mes Financiero]]=Tipo_Cambio[Mes])*(Producción_Agricola[[#This Row],[Año Financiero]]=Tipo_Cambio[Año])*(Tipo_Cambio[$/U$S]))</f>
        <v>0</v>
      </c>
      <c r="AL634" s="704">
        <f>SUMPRODUCT((Producción_Agricola[[#This Row],[Mes Financiero]]=Tipo_Cambio[Mes])*(Producción_Agricola[[#This Row],[Año Financiero]]=Tipo_Cambio[Año])*(Tipo_Cambio[Actualización]))</f>
        <v>0</v>
      </c>
      <c r="AM634" s="709">
        <f>IFERROR(Producción_Agricola[[#This Row],[Económico $Corrientes]]/Producción_Agricola[[#This Row],[Superficie]],0)</f>
        <v>0</v>
      </c>
      <c r="AN634" s="712">
        <f>IFERROR(Producción_Agricola[[#This Row],[Económico $Constantes]]/Producción_Agricola[[#This Row],[Superficie]],0)</f>
        <v>0</v>
      </c>
      <c r="AO634" s="712">
        <f>IFERROR(Producción_Agricola[[#This Row],[Económico U$S Dólares]]/Producción_Agricola[[#This Row],[Superficie]],0)</f>
        <v>0</v>
      </c>
      <c r="AP634" s="711" t="str">
        <f>IF(Económico!$F$4=0,0,Producción_Agricola[[#This Row],[Centro de Costo]])</f>
        <v>Campo 1</v>
      </c>
      <c r="AQ634" s="512"/>
      <c r="AR634" s="513"/>
      <c r="AS634"/>
    </row>
    <row r="635" spans="1:45" x14ac:dyDescent="0.25">
      <c r="A635" s="509"/>
      <c r="B635" s="494"/>
      <c r="C635" s="509"/>
      <c r="D635" s="478"/>
      <c r="E635" s="478"/>
      <c r="F635" s="668" t="str">
        <f t="shared" si="71"/>
        <v>2018-2019</v>
      </c>
      <c r="G635" s="673" t="str">
        <f t="shared" si="72"/>
        <v>Campo 1</v>
      </c>
      <c r="H635" s="673" t="str">
        <f t="shared" si="73"/>
        <v>Soja de Segunda</v>
      </c>
      <c r="I635" s="675" t="str">
        <f>IFERROR(INDEX(Tabla8[],MATCH(Producción_Agricola[[#This Row],[Unidad de Negocio]],Tabla8[Unidades de Negocio],0),2),0)</f>
        <v>Soja</v>
      </c>
      <c r="J63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35" s="488"/>
      <c r="L635" s="482"/>
      <c r="M635" s="483"/>
      <c r="N635" s="484"/>
      <c r="O635" s="690">
        <f>Producción_Agricola[[#This Row],[Superficie]]*Producción_Agricola[[#This Row],[Cantidad]]</f>
        <v>0</v>
      </c>
      <c r="P635" s="482"/>
      <c r="Q635" s="484"/>
      <c r="R635" s="485"/>
      <c r="S63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35" s="695">
        <f>IFERROR(Producción_Agricola[[#This Row],[Económico $Corrientes]]/Producción_Agricola[[#This Row],[Indexación Económico]],0)</f>
        <v>0</v>
      </c>
      <c r="U63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3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35" s="695">
        <f>IFERROR(Producción_Agricola[[#This Row],[Financiero $Corrientes]]/Producción_Agricola[[#This Row],[Indexación Financiero]],0)</f>
        <v>0</v>
      </c>
      <c r="X63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3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35" s="699">
        <f>IFERROR(Producción_Agricola[[#This Row],[Intereses $Corrientes]]/Producción_Agricola[[#This Row],[Indexación Financiero]],0)</f>
        <v>0</v>
      </c>
      <c r="AA63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35" s="701">
        <f>IFERROR(INDEX(Produccion_Agricola_Cuentas[],MATCH(Producción_Agricola[[#This Row],[Cuenta Contable]],Produccion_Agricola_Cuentas[Cuenta Contable],0),2),0)</f>
        <v>0</v>
      </c>
      <c r="AC635" s="702">
        <f>IFERROR(INDEX(Tabla9[],MATCH(Producción_Agricola[[#This Row],[Movimiento]],Tabla9[Movimientos],0),2),0)</f>
        <v>0</v>
      </c>
      <c r="AD635" s="703">
        <f>IFERROR(INDEX(Tabla9[],MATCH(Producción_Agricola[[#This Row],[Movimiento]],Tabla9[Movimientos],0),3),0)</f>
        <v>0</v>
      </c>
      <c r="AE635" s="698">
        <f>IF(Producción_Agricola[[#This Row],[Fecha Económico]]=0,0,MONTH(Producción_Agricola[[#This Row],[Fecha Económico]]))</f>
        <v>0</v>
      </c>
      <c r="AF635" s="699">
        <f>IF(Producción_Agricola[[#This Row],[Fecha Económico]]=0,0,YEAR(Producción_Agricola[[#This Row],[Fecha Económico]]))</f>
        <v>0</v>
      </c>
      <c r="AG635" s="704">
        <f>SUMPRODUCT((Producción_Agricola[[#This Row],[Mes Económico]]=Tipo_Cambio[Mes])*(Producción_Agricola[[#This Row],[Año Económico]]=Tipo_Cambio[Año])*(Tipo_Cambio[$/U$S]))</f>
        <v>0</v>
      </c>
      <c r="AH635" s="703">
        <f>SUMPRODUCT((Producción_Agricola[[#This Row],[Mes Económico]]=Tipo_Cambio[Mes])*(Producción_Agricola[[#This Row],[Año Económico]]=Tipo_Cambio[Año])*(Tipo_Cambio[Actualización]))</f>
        <v>0</v>
      </c>
      <c r="AI635" s="699">
        <f>IF(ISNUMBER(Producción_Agricola[[#This Row],[Fecha Financiero]])=TRUE,MONTH(Producción_Agricola[[#This Row],[Fecha Financiero]]),0)</f>
        <v>0</v>
      </c>
      <c r="AJ635" s="699">
        <f>IF(ISNUMBER(Producción_Agricola[[#This Row],[Fecha Financiero]])=TRUE,YEAR(Producción_Agricola[[#This Row],[Fecha Financiero]]),0)</f>
        <v>0</v>
      </c>
      <c r="AK635" s="704">
        <f>SUMPRODUCT((Producción_Agricola[[#This Row],[Mes Financiero]]=Tipo_Cambio[Mes])*(Producción_Agricola[[#This Row],[Año Financiero]]=Tipo_Cambio[Año])*(Tipo_Cambio[$/U$S]))</f>
        <v>0</v>
      </c>
      <c r="AL635" s="704">
        <f>SUMPRODUCT((Producción_Agricola[[#This Row],[Mes Financiero]]=Tipo_Cambio[Mes])*(Producción_Agricola[[#This Row],[Año Financiero]]=Tipo_Cambio[Año])*(Tipo_Cambio[Actualización]))</f>
        <v>0</v>
      </c>
      <c r="AM635" s="709">
        <f>IFERROR(Producción_Agricola[[#This Row],[Económico $Corrientes]]/Producción_Agricola[[#This Row],[Superficie]],0)</f>
        <v>0</v>
      </c>
      <c r="AN635" s="712">
        <f>IFERROR(Producción_Agricola[[#This Row],[Económico $Constantes]]/Producción_Agricola[[#This Row],[Superficie]],0)</f>
        <v>0</v>
      </c>
      <c r="AO635" s="712">
        <f>IFERROR(Producción_Agricola[[#This Row],[Económico U$S Dólares]]/Producción_Agricola[[#This Row],[Superficie]],0)</f>
        <v>0</v>
      </c>
      <c r="AP635" s="711" t="str">
        <f>IF(Económico!$F$4=0,0,Producción_Agricola[[#This Row],[Centro de Costo]])</f>
        <v>Campo 1</v>
      </c>
      <c r="AQ635" s="512"/>
      <c r="AR635" s="513"/>
      <c r="AS635"/>
    </row>
    <row r="636" spans="1:45" x14ac:dyDescent="0.25">
      <c r="A636" s="509"/>
      <c r="B636" s="494"/>
      <c r="C636" s="509"/>
      <c r="D636" s="478"/>
      <c r="E636" s="478"/>
      <c r="F636" s="668" t="str">
        <f t="shared" si="71"/>
        <v>2018-2019</v>
      </c>
      <c r="G636" s="673" t="str">
        <f t="shared" si="72"/>
        <v>Campo 1</v>
      </c>
      <c r="H636" s="673" t="str">
        <f t="shared" si="73"/>
        <v>Soja de Segunda</v>
      </c>
      <c r="I636" s="675" t="str">
        <f>IFERROR(INDEX(Tabla8[],MATCH(Producción_Agricola[[#This Row],[Unidad de Negocio]],Tabla8[Unidades de Negocio],0),2),0)</f>
        <v>Soja</v>
      </c>
      <c r="J63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36" s="488"/>
      <c r="L636" s="482"/>
      <c r="M636" s="483"/>
      <c r="N636" s="484"/>
      <c r="O636" s="690">
        <f>Producción_Agricola[[#This Row],[Superficie]]*Producción_Agricola[[#This Row],[Cantidad]]</f>
        <v>0</v>
      </c>
      <c r="P636" s="482"/>
      <c r="Q636" s="484"/>
      <c r="R636" s="485"/>
      <c r="S63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36" s="695">
        <f>IFERROR(Producción_Agricola[[#This Row],[Económico $Corrientes]]/Producción_Agricola[[#This Row],[Indexación Económico]],0)</f>
        <v>0</v>
      </c>
      <c r="U63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3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36" s="695">
        <f>IFERROR(Producción_Agricola[[#This Row],[Financiero $Corrientes]]/Producción_Agricola[[#This Row],[Indexación Financiero]],0)</f>
        <v>0</v>
      </c>
      <c r="X63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3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36" s="699">
        <f>IFERROR(Producción_Agricola[[#This Row],[Intereses $Corrientes]]/Producción_Agricola[[#This Row],[Indexación Financiero]],0)</f>
        <v>0</v>
      </c>
      <c r="AA63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36" s="701">
        <f>IFERROR(INDEX(Produccion_Agricola_Cuentas[],MATCH(Producción_Agricola[[#This Row],[Cuenta Contable]],Produccion_Agricola_Cuentas[Cuenta Contable],0),2),0)</f>
        <v>0</v>
      </c>
      <c r="AC636" s="702">
        <f>IFERROR(INDEX(Tabla9[],MATCH(Producción_Agricola[[#This Row],[Movimiento]],Tabla9[Movimientos],0),2),0)</f>
        <v>0</v>
      </c>
      <c r="AD636" s="703">
        <f>IFERROR(INDEX(Tabla9[],MATCH(Producción_Agricola[[#This Row],[Movimiento]],Tabla9[Movimientos],0),3),0)</f>
        <v>0</v>
      </c>
      <c r="AE636" s="698">
        <f>IF(Producción_Agricola[[#This Row],[Fecha Económico]]=0,0,MONTH(Producción_Agricola[[#This Row],[Fecha Económico]]))</f>
        <v>0</v>
      </c>
      <c r="AF636" s="699">
        <f>IF(Producción_Agricola[[#This Row],[Fecha Económico]]=0,0,YEAR(Producción_Agricola[[#This Row],[Fecha Económico]]))</f>
        <v>0</v>
      </c>
      <c r="AG636" s="704">
        <f>SUMPRODUCT((Producción_Agricola[[#This Row],[Mes Económico]]=Tipo_Cambio[Mes])*(Producción_Agricola[[#This Row],[Año Económico]]=Tipo_Cambio[Año])*(Tipo_Cambio[$/U$S]))</f>
        <v>0</v>
      </c>
      <c r="AH636" s="703">
        <f>SUMPRODUCT((Producción_Agricola[[#This Row],[Mes Económico]]=Tipo_Cambio[Mes])*(Producción_Agricola[[#This Row],[Año Económico]]=Tipo_Cambio[Año])*(Tipo_Cambio[Actualización]))</f>
        <v>0</v>
      </c>
      <c r="AI636" s="699">
        <f>IF(ISNUMBER(Producción_Agricola[[#This Row],[Fecha Financiero]])=TRUE,MONTH(Producción_Agricola[[#This Row],[Fecha Financiero]]),0)</f>
        <v>0</v>
      </c>
      <c r="AJ636" s="699">
        <f>IF(ISNUMBER(Producción_Agricola[[#This Row],[Fecha Financiero]])=TRUE,YEAR(Producción_Agricola[[#This Row],[Fecha Financiero]]),0)</f>
        <v>0</v>
      </c>
      <c r="AK636" s="704">
        <f>SUMPRODUCT((Producción_Agricola[[#This Row],[Mes Financiero]]=Tipo_Cambio[Mes])*(Producción_Agricola[[#This Row],[Año Financiero]]=Tipo_Cambio[Año])*(Tipo_Cambio[$/U$S]))</f>
        <v>0</v>
      </c>
      <c r="AL636" s="704">
        <f>SUMPRODUCT((Producción_Agricola[[#This Row],[Mes Financiero]]=Tipo_Cambio[Mes])*(Producción_Agricola[[#This Row],[Año Financiero]]=Tipo_Cambio[Año])*(Tipo_Cambio[Actualización]))</f>
        <v>0</v>
      </c>
      <c r="AM636" s="709">
        <f>IFERROR(Producción_Agricola[[#This Row],[Económico $Corrientes]]/Producción_Agricola[[#This Row],[Superficie]],0)</f>
        <v>0</v>
      </c>
      <c r="AN636" s="712">
        <f>IFERROR(Producción_Agricola[[#This Row],[Económico $Constantes]]/Producción_Agricola[[#This Row],[Superficie]],0)</f>
        <v>0</v>
      </c>
      <c r="AO636" s="712">
        <f>IFERROR(Producción_Agricola[[#This Row],[Económico U$S Dólares]]/Producción_Agricola[[#This Row],[Superficie]],0)</f>
        <v>0</v>
      </c>
      <c r="AP636" s="711" t="str">
        <f>IF(Económico!$F$4=0,0,Producción_Agricola[[#This Row],[Centro de Costo]])</f>
        <v>Campo 1</v>
      </c>
      <c r="AQ636" s="512"/>
      <c r="AR636" s="513"/>
      <c r="AS636"/>
    </row>
    <row r="637" spans="1:45" x14ac:dyDescent="0.25">
      <c r="A637" s="509"/>
      <c r="B637" s="494"/>
      <c r="C637" s="509"/>
      <c r="D637" s="478"/>
      <c r="E637" s="478"/>
      <c r="F637" s="668" t="str">
        <f t="shared" si="71"/>
        <v>2018-2019</v>
      </c>
      <c r="G637" s="673" t="str">
        <f t="shared" si="72"/>
        <v>Campo 1</v>
      </c>
      <c r="H637" s="673" t="str">
        <f t="shared" si="73"/>
        <v>Soja de Segunda</v>
      </c>
      <c r="I637" s="675" t="str">
        <f>IFERROR(INDEX(Tabla8[],MATCH(Producción_Agricola[[#This Row],[Unidad de Negocio]],Tabla8[Unidades de Negocio],0),2),0)</f>
        <v>Soja</v>
      </c>
      <c r="J63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37" s="488"/>
      <c r="L637" s="482"/>
      <c r="M637" s="483"/>
      <c r="N637" s="484"/>
      <c r="O637" s="690">
        <f>Producción_Agricola[[#This Row],[Superficie]]*Producción_Agricola[[#This Row],[Cantidad]]</f>
        <v>0</v>
      </c>
      <c r="P637" s="482"/>
      <c r="Q637" s="484"/>
      <c r="R637" s="485"/>
      <c r="S63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37" s="695">
        <f>IFERROR(Producción_Agricola[[#This Row],[Económico $Corrientes]]/Producción_Agricola[[#This Row],[Indexación Económico]],0)</f>
        <v>0</v>
      </c>
      <c r="U63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3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37" s="695">
        <f>IFERROR(Producción_Agricola[[#This Row],[Financiero $Corrientes]]/Producción_Agricola[[#This Row],[Indexación Financiero]],0)</f>
        <v>0</v>
      </c>
      <c r="X63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3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37" s="699">
        <f>IFERROR(Producción_Agricola[[#This Row],[Intereses $Corrientes]]/Producción_Agricola[[#This Row],[Indexación Financiero]],0)</f>
        <v>0</v>
      </c>
      <c r="AA63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37" s="701">
        <f>IFERROR(INDEX(Produccion_Agricola_Cuentas[],MATCH(Producción_Agricola[[#This Row],[Cuenta Contable]],Produccion_Agricola_Cuentas[Cuenta Contable],0),2),0)</f>
        <v>0</v>
      </c>
      <c r="AC637" s="702">
        <f>IFERROR(INDEX(Tabla9[],MATCH(Producción_Agricola[[#This Row],[Movimiento]],Tabla9[Movimientos],0),2),0)</f>
        <v>0</v>
      </c>
      <c r="AD637" s="703">
        <f>IFERROR(INDEX(Tabla9[],MATCH(Producción_Agricola[[#This Row],[Movimiento]],Tabla9[Movimientos],0),3),0)</f>
        <v>0</v>
      </c>
      <c r="AE637" s="698">
        <f>IF(Producción_Agricola[[#This Row],[Fecha Económico]]=0,0,MONTH(Producción_Agricola[[#This Row],[Fecha Económico]]))</f>
        <v>0</v>
      </c>
      <c r="AF637" s="699">
        <f>IF(Producción_Agricola[[#This Row],[Fecha Económico]]=0,0,YEAR(Producción_Agricola[[#This Row],[Fecha Económico]]))</f>
        <v>0</v>
      </c>
      <c r="AG637" s="704">
        <f>SUMPRODUCT((Producción_Agricola[[#This Row],[Mes Económico]]=Tipo_Cambio[Mes])*(Producción_Agricola[[#This Row],[Año Económico]]=Tipo_Cambio[Año])*(Tipo_Cambio[$/U$S]))</f>
        <v>0</v>
      </c>
      <c r="AH637" s="703">
        <f>SUMPRODUCT((Producción_Agricola[[#This Row],[Mes Económico]]=Tipo_Cambio[Mes])*(Producción_Agricola[[#This Row],[Año Económico]]=Tipo_Cambio[Año])*(Tipo_Cambio[Actualización]))</f>
        <v>0</v>
      </c>
      <c r="AI637" s="699">
        <f>IF(ISNUMBER(Producción_Agricola[[#This Row],[Fecha Financiero]])=TRUE,MONTH(Producción_Agricola[[#This Row],[Fecha Financiero]]),0)</f>
        <v>0</v>
      </c>
      <c r="AJ637" s="699">
        <f>IF(ISNUMBER(Producción_Agricola[[#This Row],[Fecha Financiero]])=TRUE,YEAR(Producción_Agricola[[#This Row],[Fecha Financiero]]),0)</f>
        <v>0</v>
      </c>
      <c r="AK637" s="704">
        <f>SUMPRODUCT((Producción_Agricola[[#This Row],[Mes Financiero]]=Tipo_Cambio[Mes])*(Producción_Agricola[[#This Row],[Año Financiero]]=Tipo_Cambio[Año])*(Tipo_Cambio[$/U$S]))</f>
        <v>0</v>
      </c>
      <c r="AL637" s="704">
        <f>SUMPRODUCT((Producción_Agricola[[#This Row],[Mes Financiero]]=Tipo_Cambio[Mes])*(Producción_Agricola[[#This Row],[Año Financiero]]=Tipo_Cambio[Año])*(Tipo_Cambio[Actualización]))</f>
        <v>0</v>
      </c>
      <c r="AM637" s="709">
        <f>IFERROR(Producción_Agricola[[#This Row],[Económico $Corrientes]]/Producción_Agricola[[#This Row],[Superficie]],0)</f>
        <v>0</v>
      </c>
      <c r="AN637" s="712">
        <f>IFERROR(Producción_Agricola[[#This Row],[Económico $Constantes]]/Producción_Agricola[[#This Row],[Superficie]],0)</f>
        <v>0</v>
      </c>
      <c r="AO637" s="712">
        <f>IFERROR(Producción_Agricola[[#This Row],[Económico U$S Dólares]]/Producción_Agricola[[#This Row],[Superficie]],0)</f>
        <v>0</v>
      </c>
      <c r="AP637" s="711" t="str">
        <f>IF(Económico!$F$4=0,0,Producción_Agricola[[#This Row],[Centro de Costo]])</f>
        <v>Campo 1</v>
      </c>
      <c r="AQ637" s="512"/>
      <c r="AR637" s="513"/>
      <c r="AS637"/>
    </row>
    <row r="638" spans="1:45" x14ac:dyDescent="0.25">
      <c r="A638" s="509"/>
      <c r="B638" s="494"/>
      <c r="C638" s="509"/>
      <c r="D638" s="478"/>
      <c r="E638" s="478"/>
      <c r="F638" s="668" t="str">
        <f t="shared" si="71"/>
        <v>2018-2019</v>
      </c>
      <c r="G638" s="673" t="str">
        <f t="shared" si="72"/>
        <v>Campo 1</v>
      </c>
      <c r="H638" s="673" t="str">
        <f t="shared" si="73"/>
        <v>Soja de Segunda</v>
      </c>
      <c r="I638" s="675" t="str">
        <f>IFERROR(INDEX(Tabla8[],MATCH(Producción_Agricola[[#This Row],[Unidad de Negocio]],Tabla8[Unidades de Negocio],0),2),0)</f>
        <v>Soja</v>
      </c>
      <c r="J63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38" s="488"/>
      <c r="L638" s="482"/>
      <c r="M638" s="483"/>
      <c r="N638" s="484"/>
      <c r="O638" s="690">
        <f>Producción_Agricola[[#This Row],[Superficie]]*Producción_Agricola[[#This Row],[Cantidad]]</f>
        <v>0</v>
      </c>
      <c r="P638" s="482"/>
      <c r="Q638" s="484"/>
      <c r="R638" s="485"/>
      <c r="S63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38" s="695">
        <f>IFERROR(Producción_Agricola[[#This Row],[Económico $Corrientes]]/Producción_Agricola[[#This Row],[Indexación Económico]],0)</f>
        <v>0</v>
      </c>
      <c r="U63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3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38" s="695">
        <f>IFERROR(Producción_Agricola[[#This Row],[Financiero $Corrientes]]/Producción_Agricola[[#This Row],[Indexación Financiero]],0)</f>
        <v>0</v>
      </c>
      <c r="X63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3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38" s="699">
        <f>IFERROR(Producción_Agricola[[#This Row],[Intereses $Corrientes]]/Producción_Agricola[[#This Row],[Indexación Financiero]],0)</f>
        <v>0</v>
      </c>
      <c r="AA63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38" s="701">
        <f>IFERROR(INDEX(Produccion_Agricola_Cuentas[],MATCH(Producción_Agricola[[#This Row],[Cuenta Contable]],Produccion_Agricola_Cuentas[Cuenta Contable],0),2),0)</f>
        <v>0</v>
      </c>
      <c r="AC638" s="702">
        <f>IFERROR(INDEX(Tabla9[],MATCH(Producción_Agricola[[#This Row],[Movimiento]],Tabla9[Movimientos],0),2),0)</f>
        <v>0</v>
      </c>
      <c r="AD638" s="703">
        <f>IFERROR(INDEX(Tabla9[],MATCH(Producción_Agricola[[#This Row],[Movimiento]],Tabla9[Movimientos],0),3),0)</f>
        <v>0</v>
      </c>
      <c r="AE638" s="698">
        <f>IF(Producción_Agricola[[#This Row],[Fecha Económico]]=0,0,MONTH(Producción_Agricola[[#This Row],[Fecha Económico]]))</f>
        <v>0</v>
      </c>
      <c r="AF638" s="699">
        <f>IF(Producción_Agricola[[#This Row],[Fecha Económico]]=0,0,YEAR(Producción_Agricola[[#This Row],[Fecha Económico]]))</f>
        <v>0</v>
      </c>
      <c r="AG638" s="704">
        <f>SUMPRODUCT((Producción_Agricola[[#This Row],[Mes Económico]]=Tipo_Cambio[Mes])*(Producción_Agricola[[#This Row],[Año Económico]]=Tipo_Cambio[Año])*(Tipo_Cambio[$/U$S]))</f>
        <v>0</v>
      </c>
      <c r="AH638" s="703">
        <f>SUMPRODUCT((Producción_Agricola[[#This Row],[Mes Económico]]=Tipo_Cambio[Mes])*(Producción_Agricola[[#This Row],[Año Económico]]=Tipo_Cambio[Año])*(Tipo_Cambio[Actualización]))</f>
        <v>0</v>
      </c>
      <c r="AI638" s="699">
        <f>IF(ISNUMBER(Producción_Agricola[[#This Row],[Fecha Financiero]])=TRUE,MONTH(Producción_Agricola[[#This Row],[Fecha Financiero]]),0)</f>
        <v>0</v>
      </c>
      <c r="AJ638" s="699">
        <f>IF(ISNUMBER(Producción_Agricola[[#This Row],[Fecha Financiero]])=TRUE,YEAR(Producción_Agricola[[#This Row],[Fecha Financiero]]),0)</f>
        <v>0</v>
      </c>
      <c r="AK638" s="704">
        <f>SUMPRODUCT((Producción_Agricola[[#This Row],[Mes Financiero]]=Tipo_Cambio[Mes])*(Producción_Agricola[[#This Row],[Año Financiero]]=Tipo_Cambio[Año])*(Tipo_Cambio[$/U$S]))</f>
        <v>0</v>
      </c>
      <c r="AL638" s="704">
        <f>SUMPRODUCT((Producción_Agricola[[#This Row],[Mes Financiero]]=Tipo_Cambio[Mes])*(Producción_Agricola[[#This Row],[Año Financiero]]=Tipo_Cambio[Año])*(Tipo_Cambio[Actualización]))</f>
        <v>0</v>
      </c>
      <c r="AM638" s="709">
        <f>IFERROR(Producción_Agricola[[#This Row],[Económico $Corrientes]]/Producción_Agricola[[#This Row],[Superficie]],0)</f>
        <v>0</v>
      </c>
      <c r="AN638" s="712">
        <f>IFERROR(Producción_Agricola[[#This Row],[Económico $Constantes]]/Producción_Agricola[[#This Row],[Superficie]],0)</f>
        <v>0</v>
      </c>
      <c r="AO638" s="712">
        <f>IFERROR(Producción_Agricola[[#This Row],[Económico U$S Dólares]]/Producción_Agricola[[#This Row],[Superficie]],0)</f>
        <v>0</v>
      </c>
      <c r="AP638" s="711" t="str">
        <f>IF(Económico!$F$4=0,0,Producción_Agricola[[#This Row],[Centro de Costo]])</f>
        <v>Campo 1</v>
      </c>
      <c r="AQ638" s="512"/>
      <c r="AR638" s="513"/>
      <c r="AS638"/>
    </row>
    <row r="639" spans="1:45" x14ac:dyDescent="0.25">
      <c r="A639" s="509"/>
      <c r="B639" s="494"/>
      <c r="C639" s="509"/>
      <c r="D639" s="478"/>
      <c r="E639" s="478"/>
      <c r="F639" s="668" t="str">
        <f t="shared" si="71"/>
        <v>2018-2019</v>
      </c>
      <c r="G639" s="673" t="str">
        <f t="shared" si="72"/>
        <v>Campo 1</v>
      </c>
      <c r="H639" s="673" t="str">
        <f t="shared" si="73"/>
        <v>Soja de Segunda</v>
      </c>
      <c r="I639" s="675" t="str">
        <f>IFERROR(INDEX(Tabla8[],MATCH(Producción_Agricola[[#This Row],[Unidad de Negocio]],Tabla8[Unidades de Negocio],0),2),0)</f>
        <v>Soja</v>
      </c>
      <c r="J63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39" s="488"/>
      <c r="L639" s="482"/>
      <c r="M639" s="483"/>
      <c r="N639" s="484"/>
      <c r="O639" s="690">
        <f>Producción_Agricola[[#This Row],[Superficie]]*Producción_Agricola[[#This Row],[Cantidad]]</f>
        <v>0</v>
      </c>
      <c r="P639" s="482"/>
      <c r="Q639" s="484"/>
      <c r="R639" s="485"/>
      <c r="S63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39" s="695">
        <f>IFERROR(Producción_Agricola[[#This Row],[Económico $Corrientes]]/Producción_Agricola[[#This Row],[Indexación Económico]],0)</f>
        <v>0</v>
      </c>
      <c r="U63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3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39" s="695">
        <f>IFERROR(Producción_Agricola[[#This Row],[Financiero $Corrientes]]/Producción_Agricola[[#This Row],[Indexación Financiero]],0)</f>
        <v>0</v>
      </c>
      <c r="X63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3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39" s="699">
        <f>IFERROR(Producción_Agricola[[#This Row],[Intereses $Corrientes]]/Producción_Agricola[[#This Row],[Indexación Financiero]],0)</f>
        <v>0</v>
      </c>
      <c r="AA63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39" s="701">
        <f>IFERROR(INDEX(Produccion_Agricola_Cuentas[],MATCH(Producción_Agricola[[#This Row],[Cuenta Contable]],Produccion_Agricola_Cuentas[Cuenta Contable],0),2),0)</f>
        <v>0</v>
      </c>
      <c r="AC639" s="702">
        <f>IFERROR(INDEX(Tabla9[],MATCH(Producción_Agricola[[#This Row],[Movimiento]],Tabla9[Movimientos],0),2),0)</f>
        <v>0</v>
      </c>
      <c r="AD639" s="703">
        <f>IFERROR(INDEX(Tabla9[],MATCH(Producción_Agricola[[#This Row],[Movimiento]],Tabla9[Movimientos],0),3),0)</f>
        <v>0</v>
      </c>
      <c r="AE639" s="698">
        <f>IF(Producción_Agricola[[#This Row],[Fecha Económico]]=0,0,MONTH(Producción_Agricola[[#This Row],[Fecha Económico]]))</f>
        <v>0</v>
      </c>
      <c r="AF639" s="699">
        <f>IF(Producción_Agricola[[#This Row],[Fecha Económico]]=0,0,YEAR(Producción_Agricola[[#This Row],[Fecha Económico]]))</f>
        <v>0</v>
      </c>
      <c r="AG639" s="704">
        <f>SUMPRODUCT((Producción_Agricola[[#This Row],[Mes Económico]]=Tipo_Cambio[Mes])*(Producción_Agricola[[#This Row],[Año Económico]]=Tipo_Cambio[Año])*(Tipo_Cambio[$/U$S]))</f>
        <v>0</v>
      </c>
      <c r="AH639" s="703">
        <f>SUMPRODUCT((Producción_Agricola[[#This Row],[Mes Económico]]=Tipo_Cambio[Mes])*(Producción_Agricola[[#This Row],[Año Económico]]=Tipo_Cambio[Año])*(Tipo_Cambio[Actualización]))</f>
        <v>0</v>
      </c>
      <c r="AI639" s="699">
        <f>IF(ISNUMBER(Producción_Agricola[[#This Row],[Fecha Financiero]])=TRUE,MONTH(Producción_Agricola[[#This Row],[Fecha Financiero]]),0)</f>
        <v>0</v>
      </c>
      <c r="AJ639" s="699">
        <f>IF(ISNUMBER(Producción_Agricola[[#This Row],[Fecha Financiero]])=TRUE,YEAR(Producción_Agricola[[#This Row],[Fecha Financiero]]),0)</f>
        <v>0</v>
      </c>
      <c r="AK639" s="704">
        <f>SUMPRODUCT((Producción_Agricola[[#This Row],[Mes Financiero]]=Tipo_Cambio[Mes])*(Producción_Agricola[[#This Row],[Año Financiero]]=Tipo_Cambio[Año])*(Tipo_Cambio[$/U$S]))</f>
        <v>0</v>
      </c>
      <c r="AL639" s="704">
        <f>SUMPRODUCT((Producción_Agricola[[#This Row],[Mes Financiero]]=Tipo_Cambio[Mes])*(Producción_Agricola[[#This Row],[Año Financiero]]=Tipo_Cambio[Año])*(Tipo_Cambio[Actualización]))</f>
        <v>0</v>
      </c>
      <c r="AM639" s="709">
        <f>IFERROR(Producción_Agricola[[#This Row],[Económico $Corrientes]]/Producción_Agricola[[#This Row],[Superficie]],0)</f>
        <v>0</v>
      </c>
      <c r="AN639" s="712">
        <f>IFERROR(Producción_Agricola[[#This Row],[Económico $Constantes]]/Producción_Agricola[[#This Row],[Superficie]],0)</f>
        <v>0</v>
      </c>
      <c r="AO639" s="712">
        <f>IFERROR(Producción_Agricola[[#This Row],[Económico U$S Dólares]]/Producción_Agricola[[#This Row],[Superficie]],0)</f>
        <v>0</v>
      </c>
      <c r="AP639" s="711" t="str">
        <f>IF(Económico!$F$4=0,0,Producción_Agricola[[#This Row],[Centro de Costo]])</f>
        <v>Campo 1</v>
      </c>
      <c r="AQ639" s="512"/>
      <c r="AR639" s="513"/>
      <c r="AS639"/>
    </row>
    <row r="640" spans="1:45" x14ac:dyDescent="0.25">
      <c r="A640" s="509"/>
      <c r="B640" s="494"/>
      <c r="C640" s="509"/>
      <c r="D640" s="478"/>
      <c r="E640" s="478"/>
      <c r="F640" s="668" t="str">
        <f t="shared" si="71"/>
        <v>2018-2019</v>
      </c>
      <c r="G640" s="673" t="str">
        <f t="shared" si="72"/>
        <v>Campo 1</v>
      </c>
      <c r="H640" s="673" t="str">
        <f t="shared" si="73"/>
        <v>Soja de Segunda</v>
      </c>
      <c r="I640" s="675" t="str">
        <f>IFERROR(INDEX(Tabla8[],MATCH(Producción_Agricola[[#This Row],[Unidad de Negocio]],Tabla8[Unidades de Negocio],0),2),0)</f>
        <v>Soja</v>
      </c>
      <c r="J64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40" s="488"/>
      <c r="L640" s="482"/>
      <c r="M640" s="483"/>
      <c r="N640" s="484"/>
      <c r="O640" s="690">
        <f>Producción_Agricola[[#This Row],[Superficie]]*Producción_Agricola[[#This Row],[Cantidad]]</f>
        <v>0</v>
      </c>
      <c r="P640" s="482"/>
      <c r="Q640" s="484"/>
      <c r="R640" s="485"/>
      <c r="S640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40" s="695">
        <f>IFERROR(Producción_Agricola[[#This Row],[Económico $Corrientes]]/Producción_Agricola[[#This Row],[Indexación Económico]],0)</f>
        <v>0</v>
      </c>
      <c r="U640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40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40" s="695">
        <f>IFERROR(Producción_Agricola[[#This Row],[Financiero $Corrientes]]/Producción_Agricola[[#This Row],[Indexación Financiero]],0)</f>
        <v>0</v>
      </c>
      <c r="X640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40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40" s="699">
        <f>IFERROR(Producción_Agricola[[#This Row],[Intereses $Corrientes]]/Producción_Agricola[[#This Row],[Indexación Financiero]],0)</f>
        <v>0</v>
      </c>
      <c r="AA640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40" s="701">
        <f>IFERROR(INDEX(Produccion_Agricola_Cuentas[],MATCH(Producción_Agricola[[#This Row],[Cuenta Contable]],Produccion_Agricola_Cuentas[Cuenta Contable],0),2),0)</f>
        <v>0</v>
      </c>
      <c r="AC640" s="702">
        <f>IFERROR(INDEX(Tabla9[],MATCH(Producción_Agricola[[#This Row],[Movimiento]],Tabla9[Movimientos],0),2),0)</f>
        <v>0</v>
      </c>
      <c r="AD640" s="703">
        <f>IFERROR(INDEX(Tabla9[],MATCH(Producción_Agricola[[#This Row],[Movimiento]],Tabla9[Movimientos],0),3),0)</f>
        <v>0</v>
      </c>
      <c r="AE640" s="698">
        <f>IF(Producción_Agricola[[#This Row],[Fecha Económico]]=0,0,MONTH(Producción_Agricola[[#This Row],[Fecha Económico]]))</f>
        <v>0</v>
      </c>
      <c r="AF640" s="699">
        <f>IF(Producción_Agricola[[#This Row],[Fecha Económico]]=0,0,YEAR(Producción_Agricola[[#This Row],[Fecha Económico]]))</f>
        <v>0</v>
      </c>
      <c r="AG640" s="704">
        <f>SUMPRODUCT((Producción_Agricola[[#This Row],[Mes Económico]]=Tipo_Cambio[Mes])*(Producción_Agricola[[#This Row],[Año Económico]]=Tipo_Cambio[Año])*(Tipo_Cambio[$/U$S]))</f>
        <v>0</v>
      </c>
      <c r="AH640" s="703">
        <f>SUMPRODUCT((Producción_Agricola[[#This Row],[Mes Económico]]=Tipo_Cambio[Mes])*(Producción_Agricola[[#This Row],[Año Económico]]=Tipo_Cambio[Año])*(Tipo_Cambio[Actualización]))</f>
        <v>0</v>
      </c>
      <c r="AI640" s="699">
        <f>IF(ISNUMBER(Producción_Agricola[[#This Row],[Fecha Financiero]])=TRUE,MONTH(Producción_Agricola[[#This Row],[Fecha Financiero]]),0)</f>
        <v>0</v>
      </c>
      <c r="AJ640" s="699">
        <f>IF(ISNUMBER(Producción_Agricola[[#This Row],[Fecha Financiero]])=TRUE,YEAR(Producción_Agricola[[#This Row],[Fecha Financiero]]),0)</f>
        <v>0</v>
      </c>
      <c r="AK640" s="704">
        <f>SUMPRODUCT((Producción_Agricola[[#This Row],[Mes Financiero]]=Tipo_Cambio[Mes])*(Producción_Agricola[[#This Row],[Año Financiero]]=Tipo_Cambio[Año])*(Tipo_Cambio[$/U$S]))</f>
        <v>0</v>
      </c>
      <c r="AL640" s="704">
        <f>SUMPRODUCT((Producción_Agricola[[#This Row],[Mes Financiero]]=Tipo_Cambio[Mes])*(Producción_Agricola[[#This Row],[Año Financiero]]=Tipo_Cambio[Año])*(Tipo_Cambio[Actualización]))</f>
        <v>0</v>
      </c>
      <c r="AM640" s="709">
        <f>IFERROR(Producción_Agricola[[#This Row],[Económico $Corrientes]]/Producción_Agricola[[#This Row],[Superficie]],0)</f>
        <v>0</v>
      </c>
      <c r="AN640" s="712">
        <f>IFERROR(Producción_Agricola[[#This Row],[Económico $Constantes]]/Producción_Agricola[[#This Row],[Superficie]],0)</f>
        <v>0</v>
      </c>
      <c r="AO640" s="712">
        <f>IFERROR(Producción_Agricola[[#This Row],[Económico U$S Dólares]]/Producción_Agricola[[#This Row],[Superficie]],0)</f>
        <v>0</v>
      </c>
      <c r="AP640" s="711" t="str">
        <f>IF(Económico!$F$4=0,0,Producción_Agricola[[#This Row],[Centro de Costo]])</f>
        <v>Campo 1</v>
      </c>
      <c r="AQ640" s="512"/>
      <c r="AR640" s="513"/>
      <c r="AS640"/>
    </row>
    <row r="641" spans="1:45" x14ac:dyDescent="0.25">
      <c r="A641" s="509"/>
      <c r="B641" s="494"/>
      <c r="C641" s="509"/>
      <c r="D641" s="478"/>
      <c r="E641" s="478"/>
      <c r="F641" s="668" t="str">
        <f t="shared" si="71"/>
        <v>2018-2019</v>
      </c>
      <c r="G641" s="673" t="str">
        <f t="shared" si="72"/>
        <v>Campo 1</v>
      </c>
      <c r="H641" s="673" t="str">
        <f t="shared" si="73"/>
        <v>Soja de Segunda</v>
      </c>
      <c r="I641" s="675" t="str">
        <f>IFERROR(INDEX(Tabla8[],MATCH(Producción_Agricola[[#This Row],[Unidad de Negocio]],Tabla8[Unidades de Negocio],0),2),0)</f>
        <v>Soja</v>
      </c>
      <c r="J641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41" s="488"/>
      <c r="L641" s="482"/>
      <c r="M641" s="483"/>
      <c r="N641" s="484"/>
      <c r="O641" s="690">
        <f>Producción_Agricola[[#This Row],[Superficie]]*Producción_Agricola[[#This Row],[Cantidad]]</f>
        <v>0</v>
      </c>
      <c r="P641" s="482"/>
      <c r="Q641" s="484"/>
      <c r="R641" s="485"/>
      <c r="S641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41" s="695">
        <f>IFERROR(Producción_Agricola[[#This Row],[Económico $Corrientes]]/Producción_Agricola[[#This Row],[Indexación Económico]],0)</f>
        <v>0</v>
      </c>
      <c r="U641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41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41" s="695">
        <f>IFERROR(Producción_Agricola[[#This Row],[Financiero $Corrientes]]/Producción_Agricola[[#This Row],[Indexación Financiero]],0)</f>
        <v>0</v>
      </c>
      <c r="X641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41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41" s="699">
        <f>IFERROR(Producción_Agricola[[#This Row],[Intereses $Corrientes]]/Producción_Agricola[[#This Row],[Indexación Financiero]],0)</f>
        <v>0</v>
      </c>
      <c r="AA641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41" s="701">
        <f>IFERROR(INDEX(Produccion_Agricola_Cuentas[],MATCH(Producción_Agricola[[#This Row],[Cuenta Contable]],Produccion_Agricola_Cuentas[Cuenta Contable],0),2),0)</f>
        <v>0</v>
      </c>
      <c r="AC641" s="702">
        <f>IFERROR(INDEX(Tabla9[],MATCH(Producción_Agricola[[#This Row],[Movimiento]],Tabla9[Movimientos],0),2),0)</f>
        <v>0</v>
      </c>
      <c r="AD641" s="703">
        <f>IFERROR(INDEX(Tabla9[],MATCH(Producción_Agricola[[#This Row],[Movimiento]],Tabla9[Movimientos],0),3),0)</f>
        <v>0</v>
      </c>
      <c r="AE641" s="698">
        <f>IF(Producción_Agricola[[#This Row],[Fecha Económico]]=0,0,MONTH(Producción_Agricola[[#This Row],[Fecha Económico]]))</f>
        <v>0</v>
      </c>
      <c r="AF641" s="699">
        <f>IF(Producción_Agricola[[#This Row],[Fecha Económico]]=0,0,YEAR(Producción_Agricola[[#This Row],[Fecha Económico]]))</f>
        <v>0</v>
      </c>
      <c r="AG641" s="704">
        <f>SUMPRODUCT((Producción_Agricola[[#This Row],[Mes Económico]]=Tipo_Cambio[Mes])*(Producción_Agricola[[#This Row],[Año Económico]]=Tipo_Cambio[Año])*(Tipo_Cambio[$/U$S]))</f>
        <v>0</v>
      </c>
      <c r="AH641" s="703">
        <f>SUMPRODUCT((Producción_Agricola[[#This Row],[Mes Económico]]=Tipo_Cambio[Mes])*(Producción_Agricola[[#This Row],[Año Económico]]=Tipo_Cambio[Año])*(Tipo_Cambio[Actualización]))</f>
        <v>0</v>
      </c>
      <c r="AI641" s="699">
        <f>IF(ISNUMBER(Producción_Agricola[[#This Row],[Fecha Financiero]])=TRUE,MONTH(Producción_Agricola[[#This Row],[Fecha Financiero]]),0)</f>
        <v>0</v>
      </c>
      <c r="AJ641" s="699">
        <f>IF(ISNUMBER(Producción_Agricola[[#This Row],[Fecha Financiero]])=TRUE,YEAR(Producción_Agricola[[#This Row],[Fecha Financiero]]),0)</f>
        <v>0</v>
      </c>
      <c r="AK641" s="704">
        <f>SUMPRODUCT((Producción_Agricola[[#This Row],[Mes Financiero]]=Tipo_Cambio[Mes])*(Producción_Agricola[[#This Row],[Año Financiero]]=Tipo_Cambio[Año])*(Tipo_Cambio[$/U$S]))</f>
        <v>0</v>
      </c>
      <c r="AL641" s="704">
        <f>SUMPRODUCT((Producción_Agricola[[#This Row],[Mes Financiero]]=Tipo_Cambio[Mes])*(Producción_Agricola[[#This Row],[Año Financiero]]=Tipo_Cambio[Año])*(Tipo_Cambio[Actualización]))</f>
        <v>0</v>
      </c>
      <c r="AM641" s="709">
        <f>IFERROR(Producción_Agricola[[#This Row],[Económico $Corrientes]]/Producción_Agricola[[#This Row],[Superficie]],0)</f>
        <v>0</v>
      </c>
      <c r="AN641" s="712">
        <f>IFERROR(Producción_Agricola[[#This Row],[Económico $Constantes]]/Producción_Agricola[[#This Row],[Superficie]],0)</f>
        <v>0</v>
      </c>
      <c r="AO641" s="712">
        <f>IFERROR(Producción_Agricola[[#This Row],[Económico U$S Dólares]]/Producción_Agricola[[#This Row],[Superficie]],0)</f>
        <v>0</v>
      </c>
      <c r="AP641" s="711" t="str">
        <f>IF(Económico!$F$4=0,0,Producción_Agricola[[#This Row],[Centro de Costo]])</f>
        <v>Campo 1</v>
      </c>
      <c r="AQ641" s="512"/>
      <c r="AR641" s="513"/>
      <c r="AS641"/>
    </row>
    <row r="642" spans="1:45" x14ac:dyDescent="0.25">
      <c r="A642" s="509"/>
      <c r="B642" s="494"/>
      <c r="C642" s="509"/>
      <c r="D642" s="478"/>
      <c r="E642" s="478"/>
      <c r="F642" s="668" t="str">
        <f t="shared" si="71"/>
        <v>2018-2019</v>
      </c>
      <c r="G642" s="673" t="str">
        <f t="shared" si="72"/>
        <v>Campo 1</v>
      </c>
      <c r="H642" s="673" t="str">
        <f t="shared" si="73"/>
        <v>Soja de Segunda</v>
      </c>
      <c r="I642" s="675" t="str">
        <f>IFERROR(INDEX(Tabla8[],MATCH(Producción_Agricola[[#This Row],[Unidad de Negocio]],Tabla8[Unidades de Negocio],0),2),0)</f>
        <v>Soja</v>
      </c>
      <c r="J642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42" s="488"/>
      <c r="L642" s="482"/>
      <c r="M642" s="483"/>
      <c r="N642" s="484"/>
      <c r="O642" s="690">
        <f>Producción_Agricola[[#This Row],[Superficie]]*Producción_Agricola[[#This Row],[Cantidad]]</f>
        <v>0</v>
      </c>
      <c r="P642" s="482"/>
      <c r="Q642" s="484"/>
      <c r="R642" s="485"/>
      <c r="S642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42" s="695">
        <f>IFERROR(Producción_Agricola[[#This Row],[Económico $Corrientes]]/Producción_Agricola[[#This Row],[Indexación Económico]],0)</f>
        <v>0</v>
      </c>
      <c r="U642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42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42" s="695">
        <f>IFERROR(Producción_Agricola[[#This Row],[Financiero $Corrientes]]/Producción_Agricola[[#This Row],[Indexación Financiero]],0)</f>
        <v>0</v>
      </c>
      <c r="X642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42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42" s="699">
        <f>IFERROR(Producción_Agricola[[#This Row],[Intereses $Corrientes]]/Producción_Agricola[[#This Row],[Indexación Financiero]],0)</f>
        <v>0</v>
      </c>
      <c r="AA642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42" s="701">
        <f>IFERROR(INDEX(Produccion_Agricola_Cuentas[],MATCH(Producción_Agricola[[#This Row],[Cuenta Contable]],Produccion_Agricola_Cuentas[Cuenta Contable],0),2),0)</f>
        <v>0</v>
      </c>
      <c r="AC642" s="702">
        <f>IFERROR(INDEX(Tabla9[],MATCH(Producción_Agricola[[#This Row],[Movimiento]],Tabla9[Movimientos],0),2),0)</f>
        <v>0</v>
      </c>
      <c r="AD642" s="703">
        <f>IFERROR(INDEX(Tabla9[],MATCH(Producción_Agricola[[#This Row],[Movimiento]],Tabla9[Movimientos],0),3),0)</f>
        <v>0</v>
      </c>
      <c r="AE642" s="698">
        <f>IF(Producción_Agricola[[#This Row],[Fecha Económico]]=0,0,MONTH(Producción_Agricola[[#This Row],[Fecha Económico]]))</f>
        <v>0</v>
      </c>
      <c r="AF642" s="699">
        <f>IF(Producción_Agricola[[#This Row],[Fecha Económico]]=0,0,YEAR(Producción_Agricola[[#This Row],[Fecha Económico]]))</f>
        <v>0</v>
      </c>
      <c r="AG642" s="704">
        <f>SUMPRODUCT((Producción_Agricola[[#This Row],[Mes Económico]]=Tipo_Cambio[Mes])*(Producción_Agricola[[#This Row],[Año Económico]]=Tipo_Cambio[Año])*(Tipo_Cambio[$/U$S]))</f>
        <v>0</v>
      </c>
      <c r="AH642" s="703">
        <f>SUMPRODUCT((Producción_Agricola[[#This Row],[Mes Económico]]=Tipo_Cambio[Mes])*(Producción_Agricola[[#This Row],[Año Económico]]=Tipo_Cambio[Año])*(Tipo_Cambio[Actualización]))</f>
        <v>0</v>
      </c>
      <c r="AI642" s="699">
        <f>IF(ISNUMBER(Producción_Agricola[[#This Row],[Fecha Financiero]])=TRUE,MONTH(Producción_Agricola[[#This Row],[Fecha Financiero]]),0)</f>
        <v>0</v>
      </c>
      <c r="AJ642" s="699">
        <f>IF(ISNUMBER(Producción_Agricola[[#This Row],[Fecha Financiero]])=TRUE,YEAR(Producción_Agricola[[#This Row],[Fecha Financiero]]),0)</f>
        <v>0</v>
      </c>
      <c r="AK642" s="704">
        <f>SUMPRODUCT((Producción_Agricola[[#This Row],[Mes Financiero]]=Tipo_Cambio[Mes])*(Producción_Agricola[[#This Row],[Año Financiero]]=Tipo_Cambio[Año])*(Tipo_Cambio[$/U$S]))</f>
        <v>0</v>
      </c>
      <c r="AL642" s="704">
        <f>SUMPRODUCT((Producción_Agricola[[#This Row],[Mes Financiero]]=Tipo_Cambio[Mes])*(Producción_Agricola[[#This Row],[Año Financiero]]=Tipo_Cambio[Año])*(Tipo_Cambio[Actualización]))</f>
        <v>0</v>
      </c>
      <c r="AM642" s="709">
        <f>IFERROR(Producción_Agricola[[#This Row],[Económico $Corrientes]]/Producción_Agricola[[#This Row],[Superficie]],0)</f>
        <v>0</v>
      </c>
      <c r="AN642" s="712">
        <f>IFERROR(Producción_Agricola[[#This Row],[Económico $Constantes]]/Producción_Agricola[[#This Row],[Superficie]],0)</f>
        <v>0</v>
      </c>
      <c r="AO642" s="712">
        <f>IFERROR(Producción_Agricola[[#This Row],[Económico U$S Dólares]]/Producción_Agricola[[#This Row],[Superficie]],0)</f>
        <v>0</v>
      </c>
      <c r="AP642" s="711" t="str">
        <f>IF(Económico!$F$4=0,0,Producción_Agricola[[#This Row],[Centro de Costo]])</f>
        <v>Campo 1</v>
      </c>
      <c r="AQ642" s="512"/>
      <c r="AR642" s="513"/>
      <c r="AS642"/>
    </row>
    <row r="643" spans="1:45" x14ac:dyDescent="0.25">
      <c r="A643" s="509"/>
      <c r="B643" s="494"/>
      <c r="C643" s="509"/>
      <c r="D643" s="478"/>
      <c r="E643" s="478"/>
      <c r="F643" s="668" t="str">
        <f t="shared" si="71"/>
        <v>2018-2019</v>
      </c>
      <c r="G643" s="673" t="str">
        <f t="shared" si="72"/>
        <v>Campo 1</v>
      </c>
      <c r="H643" s="673" t="str">
        <f t="shared" si="73"/>
        <v>Soja de Segunda</v>
      </c>
      <c r="I643" s="675" t="str">
        <f>IFERROR(INDEX(Tabla8[],MATCH(Producción_Agricola[[#This Row],[Unidad de Negocio]],Tabla8[Unidades de Negocio],0),2),0)</f>
        <v>Soja</v>
      </c>
      <c r="J643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43" s="488"/>
      <c r="L643" s="482"/>
      <c r="M643" s="483"/>
      <c r="N643" s="484"/>
      <c r="O643" s="690">
        <f>Producción_Agricola[[#This Row],[Superficie]]*Producción_Agricola[[#This Row],[Cantidad]]</f>
        <v>0</v>
      </c>
      <c r="P643" s="482"/>
      <c r="Q643" s="484"/>
      <c r="R643" s="485"/>
      <c r="S643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43" s="695">
        <f>IFERROR(Producción_Agricola[[#This Row],[Económico $Corrientes]]/Producción_Agricola[[#This Row],[Indexación Económico]],0)</f>
        <v>0</v>
      </c>
      <c r="U643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43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43" s="695">
        <f>IFERROR(Producción_Agricola[[#This Row],[Financiero $Corrientes]]/Producción_Agricola[[#This Row],[Indexación Financiero]],0)</f>
        <v>0</v>
      </c>
      <c r="X643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43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43" s="699">
        <f>IFERROR(Producción_Agricola[[#This Row],[Intereses $Corrientes]]/Producción_Agricola[[#This Row],[Indexación Financiero]],0)</f>
        <v>0</v>
      </c>
      <c r="AA643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43" s="701">
        <f>IFERROR(INDEX(Produccion_Agricola_Cuentas[],MATCH(Producción_Agricola[[#This Row],[Cuenta Contable]],Produccion_Agricola_Cuentas[Cuenta Contable],0),2),0)</f>
        <v>0</v>
      </c>
      <c r="AC643" s="702">
        <f>IFERROR(INDEX(Tabla9[],MATCH(Producción_Agricola[[#This Row],[Movimiento]],Tabla9[Movimientos],0),2),0)</f>
        <v>0</v>
      </c>
      <c r="AD643" s="703">
        <f>IFERROR(INDEX(Tabla9[],MATCH(Producción_Agricola[[#This Row],[Movimiento]],Tabla9[Movimientos],0),3),0)</f>
        <v>0</v>
      </c>
      <c r="AE643" s="698">
        <f>IF(Producción_Agricola[[#This Row],[Fecha Económico]]=0,0,MONTH(Producción_Agricola[[#This Row],[Fecha Económico]]))</f>
        <v>0</v>
      </c>
      <c r="AF643" s="699">
        <f>IF(Producción_Agricola[[#This Row],[Fecha Económico]]=0,0,YEAR(Producción_Agricola[[#This Row],[Fecha Económico]]))</f>
        <v>0</v>
      </c>
      <c r="AG643" s="704">
        <f>SUMPRODUCT((Producción_Agricola[[#This Row],[Mes Económico]]=Tipo_Cambio[Mes])*(Producción_Agricola[[#This Row],[Año Económico]]=Tipo_Cambio[Año])*(Tipo_Cambio[$/U$S]))</f>
        <v>0</v>
      </c>
      <c r="AH643" s="703">
        <f>SUMPRODUCT((Producción_Agricola[[#This Row],[Mes Económico]]=Tipo_Cambio[Mes])*(Producción_Agricola[[#This Row],[Año Económico]]=Tipo_Cambio[Año])*(Tipo_Cambio[Actualización]))</f>
        <v>0</v>
      </c>
      <c r="AI643" s="699">
        <f>IF(ISNUMBER(Producción_Agricola[[#This Row],[Fecha Financiero]])=TRUE,MONTH(Producción_Agricola[[#This Row],[Fecha Financiero]]),0)</f>
        <v>0</v>
      </c>
      <c r="AJ643" s="699">
        <f>IF(ISNUMBER(Producción_Agricola[[#This Row],[Fecha Financiero]])=TRUE,YEAR(Producción_Agricola[[#This Row],[Fecha Financiero]]),0)</f>
        <v>0</v>
      </c>
      <c r="AK643" s="704">
        <f>SUMPRODUCT((Producción_Agricola[[#This Row],[Mes Financiero]]=Tipo_Cambio[Mes])*(Producción_Agricola[[#This Row],[Año Financiero]]=Tipo_Cambio[Año])*(Tipo_Cambio[$/U$S]))</f>
        <v>0</v>
      </c>
      <c r="AL643" s="704">
        <f>SUMPRODUCT((Producción_Agricola[[#This Row],[Mes Financiero]]=Tipo_Cambio[Mes])*(Producción_Agricola[[#This Row],[Año Financiero]]=Tipo_Cambio[Año])*(Tipo_Cambio[Actualización]))</f>
        <v>0</v>
      </c>
      <c r="AM643" s="709">
        <f>IFERROR(Producción_Agricola[[#This Row],[Económico $Corrientes]]/Producción_Agricola[[#This Row],[Superficie]],0)</f>
        <v>0</v>
      </c>
      <c r="AN643" s="712">
        <f>IFERROR(Producción_Agricola[[#This Row],[Económico $Constantes]]/Producción_Agricola[[#This Row],[Superficie]],0)</f>
        <v>0</v>
      </c>
      <c r="AO643" s="712">
        <f>IFERROR(Producción_Agricola[[#This Row],[Económico U$S Dólares]]/Producción_Agricola[[#This Row],[Superficie]],0)</f>
        <v>0</v>
      </c>
      <c r="AP643" s="711" t="str">
        <f>IF(Económico!$F$4=0,0,Producción_Agricola[[#This Row],[Centro de Costo]])</f>
        <v>Campo 1</v>
      </c>
      <c r="AQ643" s="512"/>
      <c r="AR643" s="513"/>
      <c r="AS643"/>
    </row>
    <row r="644" spans="1:45" x14ac:dyDescent="0.25">
      <c r="A644" s="509"/>
      <c r="B644" s="494"/>
      <c r="C644" s="509"/>
      <c r="D644" s="478"/>
      <c r="E644" s="478"/>
      <c r="F644" s="668" t="str">
        <f t="shared" si="71"/>
        <v>2018-2019</v>
      </c>
      <c r="G644" s="673" t="str">
        <f t="shared" si="72"/>
        <v>Campo 1</v>
      </c>
      <c r="H644" s="673" t="str">
        <f t="shared" si="73"/>
        <v>Soja de Segunda</v>
      </c>
      <c r="I644" s="675" t="str">
        <f>IFERROR(INDEX(Tabla8[],MATCH(Producción_Agricola[[#This Row],[Unidad de Negocio]],Tabla8[Unidades de Negocio],0),2),0)</f>
        <v>Soja</v>
      </c>
      <c r="J644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44" s="488"/>
      <c r="L644" s="482"/>
      <c r="M644" s="483"/>
      <c r="N644" s="484"/>
      <c r="O644" s="690">
        <f>Producción_Agricola[[#This Row],[Superficie]]*Producción_Agricola[[#This Row],[Cantidad]]</f>
        <v>0</v>
      </c>
      <c r="P644" s="482"/>
      <c r="Q644" s="484"/>
      <c r="R644" s="485"/>
      <c r="S644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44" s="695">
        <f>IFERROR(Producción_Agricola[[#This Row],[Económico $Corrientes]]/Producción_Agricola[[#This Row],[Indexación Económico]],0)</f>
        <v>0</v>
      </c>
      <c r="U644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44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44" s="695">
        <f>IFERROR(Producción_Agricola[[#This Row],[Financiero $Corrientes]]/Producción_Agricola[[#This Row],[Indexación Financiero]],0)</f>
        <v>0</v>
      </c>
      <c r="X644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44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44" s="699">
        <f>IFERROR(Producción_Agricola[[#This Row],[Intereses $Corrientes]]/Producción_Agricola[[#This Row],[Indexación Financiero]],0)</f>
        <v>0</v>
      </c>
      <c r="AA644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44" s="701">
        <f>IFERROR(INDEX(Produccion_Agricola_Cuentas[],MATCH(Producción_Agricola[[#This Row],[Cuenta Contable]],Produccion_Agricola_Cuentas[Cuenta Contable],0),2),0)</f>
        <v>0</v>
      </c>
      <c r="AC644" s="702">
        <f>IFERROR(INDEX(Tabla9[],MATCH(Producción_Agricola[[#This Row],[Movimiento]],Tabla9[Movimientos],0),2),0)</f>
        <v>0</v>
      </c>
      <c r="AD644" s="703">
        <f>IFERROR(INDEX(Tabla9[],MATCH(Producción_Agricola[[#This Row],[Movimiento]],Tabla9[Movimientos],0),3),0)</f>
        <v>0</v>
      </c>
      <c r="AE644" s="698">
        <f>IF(Producción_Agricola[[#This Row],[Fecha Económico]]=0,0,MONTH(Producción_Agricola[[#This Row],[Fecha Económico]]))</f>
        <v>0</v>
      </c>
      <c r="AF644" s="699">
        <f>IF(Producción_Agricola[[#This Row],[Fecha Económico]]=0,0,YEAR(Producción_Agricola[[#This Row],[Fecha Económico]]))</f>
        <v>0</v>
      </c>
      <c r="AG644" s="704">
        <f>SUMPRODUCT((Producción_Agricola[[#This Row],[Mes Económico]]=Tipo_Cambio[Mes])*(Producción_Agricola[[#This Row],[Año Económico]]=Tipo_Cambio[Año])*(Tipo_Cambio[$/U$S]))</f>
        <v>0</v>
      </c>
      <c r="AH644" s="703">
        <f>SUMPRODUCT((Producción_Agricola[[#This Row],[Mes Económico]]=Tipo_Cambio[Mes])*(Producción_Agricola[[#This Row],[Año Económico]]=Tipo_Cambio[Año])*(Tipo_Cambio[Actualización]))</f>
        <v>0</v>
      </c>
      <c r="AI644" s="699">
        <f>IF(ISNUMBER(Producción_Agricola[[#This Row],[Fecha Financiero]])=TRUE,MONTH(Producción_Agricola[[#This Row],[Fecha Financiero]]),0)</f>
        <v>0</v>
      </c>
      <c r="AJ644" s="699">
        <f>IF(ISNUMBER(Producción_Agricola[[#This Row],[Fecha Financiero]])=TRUE,YEAR(Producción_Agricola[[#This Row],[Fecha Financiero]]),0)</f>
        <v>0</v>
      </c>
      <c r="AK644" s="704">
        <f>SUMPRODUCT((Producción_Agricola[[#This Row],[Mes Financiero]]=Tipo_Cambio[Mes])*(Producción_Agricola[[#This Row],[Año Financiero]]=Tipo_Cambio[Año])*(Tipo_Cambio[$/U$S]))</f>
        <v>0</v>
      </c>
      <c r="AL644" s="704">
        <f>SUMPRODUCT((Producción_Agricola[[#This Row],[Mes Financiero]]=Tipo_Cambio[Mes])*(Producción_Agricola[[#This Row],[Año Financiero]]=Tipo_Cambio[Año])*(Tipo_Cambio[Actualización]))</f>
        <v>0</v>
      </c>
      <c r="AM644" s="709">
        <f>IFERROR(Producción_Agricola[[#This Row],[Económico $Corrientes]]/Producción_Agricola[[#This Row],[Superficie]],0)</f>
        <v>0</v>
      </c>
      <c r="AN644" s="712">
        <f>IFERROR(Producción_Agricola[[#This Row],[Económico $Constantes]]/Producción_Agricola[[#This Row],[Superficie]],0)</f>
        <v>0</v>
      </c>
      <c r="AO644" s="712">
        <f>IFERROR(Producción_Agricola[[#This Row],[Económico U$S Dólares]]/Producción_Agricola[[#This Row],[Superficie]],0)</f>
        <v>0</v>
      </c>
      <c r="AP644" s="711" t="str">
        <f>IF(Económico!$F$4=0,0,Producción_Agricola[[#This Row],[Centro de Costo]])</f>
        <v>Campo 1</v>
      </c>
      <c r="AQ644" s="512"/>
      <c r="AR644" s="513"/>
      <c r="AS644"/>
    </row>
    <row r="645" spans="1:45" x14ac:dyDescent="0.25">
      <c r="A645" s="509"/>
      <c r="B645" s="494"/>
      <c r="C645" s="509"/>
      <c r="D645" s="478"/>
      <c r="E645" s="478"/>
      <c r="F645" s="668" t="str">
        <f t="shared" si="71"/>
        <v>2018-2019</v>
      </c>
      <c r="G645" s="673" t="str">
        <f t="shared" si="72"/>
        <v>Campo 1</v>
      </c>
      <c r="H645" s="673" t="str">
        <f t="shared" si="73"/>
        <v>Soja de Segunda</v>
      </c>
      <c r="I645" s="675" t="str">
        <f>IFERROR(INDEX(Tabla8[],MATCH(Producción_Agricola[[#This Row],[Unidad de Negocio]],Tabla8[Unidades de Negocio],0),2),0)</f>
        <v>Soja</v>
      </c>
      <c r="J645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45" s="488"/>
      <c r="L645" s="482"/>
      <c r="M645" s="483"/>
      <c r="N645" s="484"/>
      <c r="O645" s="690">
        <f>Producción_Agricola[[#This Row],[Superficie]]*Producción_Agricola[[#This Row],[Cantidad]]</f>
        <v>0</v>
      </c>
      <c r="P645" s="482"/>
      <c r="Q645" s="484"/>
      <c r="R645" s="485"/>
      <c r="S645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45" s="695">
        <f>IFERROR(Producción_Agricola[[#This Row],[Económico $Corrientes]]/Producción_Agricola[[#This Row],[Indexación Económico]],0)</f>
        <v>0</v>
      </c>
      <c r="U645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45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45" s="695">
        <f>IFERROR(Producción_Agricola[[#This Row],[Financiero $Corrientes]]/Producción_Agricola[[#This Row],[Indexación Financiero]],0)</f>
        <v>0</v>
      </c>
      <c r="X645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45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45" s="699">
        <f>IFERROR(Producción_Agricola[[#This Row],[Intereses $Corrientes]]/Producción_Agricola[[#This Row],[Indexación Financiero]],0)</f>
        <v>0</v>
      </c>
      <c r="AA645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45" s="701">
        <f>IFERROR(INDEX(Produccion_Agricola_Cuentas[],MATCH(Producción_Agricola[[#This Row],[Cuenta Contable]],Produccion_Agricola_Cuentas[Cuenta Contable],0),2),0)</f>
        <v>0</v>
      </c>
      <c r="AC645" s="702">
        <f>IFERROR(INDEX(Tabla9[],MATCH(Producción_Agricola[[#This Row],[Movimiento]],Tabla9[Movimientos],0),2),0)</f>
        <v>0</v>
      </c>
      <c r="AD645" s="703">
        <f>IFERROR(INDEX(Tabla9[],MATCH(Producción_Agricola[[#This Row],[Movimiento]],Tabla9[Movimientos],0),3),0)</f>
        <v>0</v>
      </c>
      <c r="AE645" s="698">
        <f>IF(Producción_Agricola[[#This Row],[Fecha Económico]]=0,0,MONTH(Producción_Agricola[[#This Row],[Fecha Económico]]))</f>
        <v>0</v>
      </c>
      <c r="AF645" s="699">
        <f>IF(Producción_Agricola[[#This Row],[Fecha Económico]]=0,0,YEAR(Producción_Agricola[[#This Row],[Fecha Económico]]))</f>
        <v>0</v>
      </c>
      <c r="AG645" s="704">
        <f>SUMPRODUCT((Producción_Agricola[[#This Row],[Mes Económico]]=Tipo_Cambio[Mes])*(Producción_Agricola[[#This Row],[Año Económico]]=Tipo_Cambio[Año])*(Tipo_Cambio[$/U$S]))</f>
        <v>0</v>
      </c>
      <c r="AH645" s="703">
        <f>SUMPRODUCT((Producción_Agricola[[#This Row],[Mes Económico]]=Tipo_Cambio[Mes])*(Producción_Agricola[[#This Row],[Año Económico]]=Tipo_Cambio[Año])*(Tipo_Cambio[Actualización]))</f>
        <v>0</v>
      </c>
      <c r="AI645" s="699">
        <f>IF(ISNUMBER(Producción_Agricola[[#This Row],[Fecha Financiero]])=TRUE,MONTH(Producción_Agricola[[#This Row],[Fecha Financiero]]),0)</f>
        <v>0</v>
      </c>
      <c r="AJ645" s="699">
        <f>IF(ISNUMBER(Producción_Agricola[[#This Row],[Fecha Financiero]])=TRUE,YEAR(Producción_Agricola[[#This Row],[Fecha Financiero]]),0)</f>
        <v>0</v>
      </c>
      <c r="AK645" s="704">
        <f>SUMPRODUCT((Producción_Agricola[[#This Row],[Mes Financiero]]=Tipo_Cambio[Mes])*(Producción_Agricola[[#This Row],[Año Financiero]]=Tipo_Cambio[Año])*(Tipo_Cambio[$/U$S]))</f>
        <v>0</v>
      </c>
      <c r="AL645" s="704">
        <f>SUMPRODUCT((Producción_Agricola[[#This Row],[Mes Financiero]]=Tipo_Cambio[Mes])*(Producción_Agricola[[#This Row],[Año Financiero]]=Tipo_Cambio[Año])*(Tipo_Cambio[Actualización]))</f>
        <v>0</v>
      </c>
      <c r="AM645" s="709">
        <f>IFERROR(Producción_Agricola[[#This Row],[Económico $Corrientes]]/Producción_Agricola[[#This Row],[Superficie]],0)</f>
        <v>0</v>
      </c>
      <c r="AN645" s="712">
        <f>IFERROR(Producción_Agricola[[#This Row],[Económico $Constantes]]/Producción_Agricola[[#This Row],[Superficie]],0)</f>
        <v>0</v>
      </c>
      <c r="AO645" s="712">
        <f>IFERROR(Producción_Agricola[[#This Row],[Económico U$S Dólares]]/Producción_Agricola[[#This Row],[Superficie]],0)</f>
        <v>0</v>
      </c>
      <c r="AP645" s="711" t="str">
        <f>IF(Económico!$F$4=0,0,Producción_Agricola[[#This Row],[Centro de Costo]])</f>
        <v>Campo 1</v>
      </c>
      <c r="AQ645" s="512"/>
      <c r="AR645" s="513"/>
      <c r="AS645"/>
    </row>
    <row r="646" spans="1:45" x14ac:dyDescent="0.25">
      <c r="A646" s="509"/>
      <c r="B646" s="494"/>
      <c r="C646" s="509"/>
      <c r="D646" s="478"/>
      <c r="E646" s="478"/>
      <c r="F646" s="668" t="str">
        <f t="shared" si="71"/>
        <v>2018-2019</v>
      </c>
      <c r="G646" s="673" t="str">
        <f t="shared" si="72"/>
        <v>Campo 1</v>
      </c>
      <c r="H646" s="673" t="str">
        <f t="shared" si="73"/>
        <v>Soja de Segunda</v>
      </c>
      <c r="I646" s="675" t="str">
        <f>IFERROR(INDEX(Tabla8[],MATCH(Producción_Agricola[[#This Row],[Unidad de Negocio]],Tabla8[Unidades de Negocio],0),2),0)</f>
        <v>Soja</v>
      </c>
      <c r="J646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46" s="488"/>
      <c r="L646" s="482"/>
      <c r="M646" s="483"/>
      <c r="N646" s="484"/>
      <c r="O646" s="690">
        <f>Producción_Agricola[[#This Row],[Superficie]]*Producción_Agricola[[#This Row],[Cantidad]]</f>
        <v>0</v>
      </c>
      <c r="P646" s="482"/>
      <c r="Q646" s="484"/>
      <c r="R646" s="485"/>
      <c r="S646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46" s="695">
        <f>IFERROR(Producción_Agricola[[#This Row],[Económico $Corrientes]]/Producción_Agricola[[#This Row],[Indexación Económico]],0)</f>
        <v>0</v>
      </c>
      <c r="U646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46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46" s="695">
        <f>IFERROR(Producción_Agricola[[#This Row],[Financiero $Corrientes]]/Producción_Agricola[[#This Row],[Indexación Financiero]],0)</f>
        <v>0</v>
      </c>
      <c r="X646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46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46" s="699">
        <f>IFERROR(Producción_Agricola[[#This Row],[Intereses $Corrientes]]/Producción_Agricola[[#This Row],[Indexación Financiero]],0)</f>
        <v>0</v>
      </c>
      <c r="AA646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46" s="701">
        <f>IFERROR(INDEX(Produccion_Agricola_Cuentas[],MATCH(Producción_Agricola[[#This Row],[Cuenta Contable]],Produccion_Agricola_Cuentas[Cuenta Contable],0),2),0)</f>
        <v>0</v>
      </c>
      <c r="AC646" s="702">
        <f>IFERROR(INDEX(Tabla9[],MATCH(Producción_Agricola[[#This Row],[Movimiento]],Tabla9[Movimientos],0),2),0)</f>
        <v>0</v>
      </c>
      <c r="AD646" s="703">
        <f>IFERROR(INDEX(Tabla9[],MATCH(Producción_Agricola[[#This Row],[Movimiento]],Tabla9[Movimientos],0),3),0)</f>
        <v>0</v>
      </c>
      <c r="AE646" s="698">
        <f>IF(Producción_Agricola[[#This Row],[Fecha Económico]]=0,0,MONTH(Producción_Agricola[[#This Row],[Fecha Económico]]))</f>
        <v>0</v>
      </c>
      <c r="AF646" s="699">
        <f>IF(Producción_Agricola[[#This Row],[Fecha Económico]]=0,0,YEAR(Producción_Agricola[[#This Row],[Fecha Económico]]))</f>
        <v>0</v>
      </c>
      <c r="AG646" s="704">
        <f>SUMPRODUCT((Producción_Agricola[[#This Row],[Mes Económico]]=Tipo_Cambio[Mes])*(Producción_Agricola[[#This Row],[Año Económico]]=Tipo_Cambio[Año])*(Tipo_Cambio[$/U$S]))</f>
        <v>0</v>
      </c>
      <c r="AH646" s="703">
        <f>SUMPRODUCT((Producción_Agricola[[#This Row],[Mes Económico]]=Tipo_Cambio[Mes])*(Producción_Agricola[[#This Row],[Año Económico]]=Tipo_Cambio[Año])*(Tipo_Cambio[Actualización]))</f>
        <v>0</v>
      </c>
      <c r="AI646" s="699">
        <f>IF(ISNUMBER(Producción_Agricola[[#This Row],[Fecha Financiero]])=TRUE,MONTH(Producción_Agricola[[#This Row],[Fecha Financiero]]),0)</f>
        <v>0</v>
      </c>
      <c r="AJ646" s="699">
        <f>IF(ISNUMBER(Producción_Agricola[[#This Row],[Fecha Financiero]])=TRUE,YEAR(Producción_Agricola[[#This Row],[Fecha Financiero]]),0)</f>
        <v>0</v>
      </c>
      <c r="AK646" s="704">
        <f>SUMPRODUCT((Producción_Agricola[[#This Row],[Mes Financiero]]=Tipo_Cambio[Mes])*(Producción_Agricola[[#This Row],[Año Financiero]]=Tipo_Cambio[Año])*(Tipo_Cambio[$/U$S]))</f>
        <v>0</v>
      </c>
      <c r="AL646" s="704">
        <f>SUMPRODUCT((Producción_Agricola[[#This Row],[Mes Financiero]]=Tipo_Cambio[Mes])*(Producción_Agricola[[#This Row],[Año Financiero]]=Tipo_Cambio[Año])*(Tipo_Cambio[Actualización]))</f>
        <v>0</v>
      </c>
      <c r="AM646" s="709">
        <f>IFERROR(Producción_Agricola[[#This Row],[Económico $Corrientes]]/Producción_Agricola[[#This Row],[Superficie]],0)</f>
        <v>0</v>
      </c>
      <c r="AN646" s="712">
        <f>IFERROR(Producción_Agricola[[#This Row],[Económico $Constantes]]/Producción_Agricola[[#This Row],[Superficie]],0)</f>
        <v>0</v>
      </c>
      <c r="AO646" s="712">
        <f>IFERROR(Producción_Agricola[[#This Row],[Económico U$S Dólares]]/Producción_Agricola[[#This Row],[Superficie]],0)</f>
        <v>0</v>
      </c>
      <c r="AP646" s="711" t="str">
        <f>IF(Económico!$F$4=0,0,Producción_Agricola[[#This Row],[Centro de Costo]])</f>
        <v>Campo 1</v>
      </c>
      <c r="AQ646" s="512"/>
      <c r="AR646" s="513"/>
      <c r="AS646"/>
    </row>
    <row r="647" spans="1:45" x14ac:dyDescent="0.25">
      <c r="A647" s="509"/>
      <c r="B647" s="494"/>
      <c r="C647" s="509"/>
      <c r="D647" s="478"/>
      <c r="E647" s="478"/>
      <c r="F647" s="668" t="str">
        <f t="shared" si="71"/>
        <v>2018-2019</v>
      </c>
      <c r="G647" s="673" t="str">
        <f t="shared" si="72"/>
        <v>Campo 1</v>
      </c>
      <c r="H647" s="673" t="str">
        <f t="shared" si="73"/>
        <v>Soja de Segunda</v>
      </c>
      <c r="I647" s="675" t="str">
        <f>IFERROR(INDEX(Tabla8[],MATCH(Producción_Agricola[[#This Row],[Unidad de Negocio]],Tabla8[Unidades de Negocio],0),2),0)</f>
        <v>Soja</v>
      </c>
      <c r="J647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47" s="488"/>
      <c r="L647" s="482"/>
      <c r="M647" s="483"/>
      <c r="N647" s="484"/>
      <c r="O647" s="690">
        <f>Producción_Agricola[[#This Row],[Superficie]]*Producción_Agricola[[#This Row],[Cantidad]]</f>
        <v>0</v>
      </c>
      <c r="P647" s="482"/>
      <c r="Q647" s="484"/>
      <c r="R647" s="485"/>
      <c r="S647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47" s="695">
        <f>IFERROR(Producción_Agricola[[#This Row],[Económico $Corrientes]]/Producción_Agricola[[#This Row],[Indexación Económico]],0)</f>
        <v>0</v>
      </c>
      <c r="U647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47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47" s="695">
        <f>IFERROR(Producción_Agricola[[#This Row],[Financiero $Corrientes]]/Producción_Agricola[[#This Row],[Indexación Financiero]],0)</f>
        <v>0</v>
      </c>
      <c r="X647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47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47" s="699">
        <f>IFERROR(Producción_Agricola[[#This Row],[Intereses $Corrientes]]/Producción_Agricola[[#This Row],[Indexación Financiero]],0)</f>
        <v>0</v>
      </c>
      <c r="AA647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47" s="701">
        <f>IFERROR(INDEX(Produccion_Agricola_Cuentas[],MATCH(Producción_Agricola[[#This Row],[Cuenta Contable]],Produccion_Agricola_Cuentas[Cuenta Contable],0),2),0)</f>
        <v>0</v>
      </c>
      <c r="AC647" s="702">
        <f>IFERROR(INDEX(Tabla9[],MATCH(Producción_Agricola[[#This Row],[Movimiento]],Tabla9[Movimientos],0),2),0)</f>
        <v>0</v>
      </c>
      <c r="AD647" s="703">
        <f>IFERROR(INDEX(Tabla9[],MATCH(Producción_Agricola[[#This Row],[Movimiento]],Tabla9[Movimientos],0),3),0)</f>
        <v>0</v>
      </c>
      <c r="AE647" s="698">
        <f>IF(Producción_Agricola[[#This Row],[Fecha Económico]]=0,0,MONTH(Producción_Agricola[[#This Row],[Fecha Económico]]))</f>
        <v>0</v>
      </c>
      <c r="AF647" s="699">
        <f>IF(Producción_Agricola[[#This Row],[Fecha Económico]]=0,0,YEAR(Producción_Agricola[[#This Row],[Fecha Económico]]))</f>
        <v>0</v>
      </c>
      <c r="AG647" s="704">
        <f>SUMPRODUCT((Producción_Agricola[[#This Row],[Mes Económico]]=Tipo_Cambio[Mes])*(Producción_Agricola[[#This Row],[Año Económico]]=Tipo_Cambio[Año])*(Tipo_Cambio[$/U$S]))</f>
        <v>0</v>
      </c>
      <c r="AH647" s="703">
        <f>SUMPRODUCT((Producción_Agricola[[#This Row],[Mes Económico]]=Tipo_Cambio[Mes])*(Producción_Agricola[[#This Row],[Año Económico]]=Tipo_Cambio[Año])*(Tipo_Cambio[Actualización]))</f>
        <v>0</v>
      </c>
      <c r="AI647" s="699">
        <f>IF(ISNUMBER(Producción_Agricola[[#This Row],[Fecha Financiero]])=TRUE,MONTH(Producción_Agricola[[#This Row],[Fecha Financiero]]),0)</f>
        <v>0</v>
      </c>
      <c r="AJ647" s="699">
        <f>IF(ISNUMBER(Producción_Agricola[[#This Row],[Fecha Financiero]])=TRUE,YEAR(Producción_Agricola[[#This Row],[Fecha Financiero]]),0)</f>
        <v>0</v>
      </c>
      <c r="AK647" s="704">
        <f>SUMPRODUCT((Producción_Agricola[[#This Row],[Mes Financiero]]=Tipo_Cambio[Mes])*(Producción_Agricola[[#This Row],[Año Financiero]]=Tipo_Cambio[Año])*(Tipo_Cambio[$/U$S]))</f>
        <v>0</v>
      </c>
      <c r="AL647" s="704">
        <f>SUMPRODUCT((Producción_Agricola[[#This Row],[Mes Financiero]]=Tipo_Cambio[Mes])*(Producción_Agricola[[#This Row],[Año Financiero]]=Tipo_Cambio[Año])*(Tipo_Cambio[Actualización]))</f>
        <v>0</v>
      </c>
      <c r="AM647" s="709">
        <f>IFERROR(Producción_Agricola[[#This Row],[Económico $Corrientes]]/Producción_Agricola[[#This Row],[Superficie]],0)</f>
        <v>0</v>
      </c>
      <c r="AN647" s="712">
        <f>IFERROR(Producción_Agricola[[#This Row],[Económico $Constantes]]/Producción_Agricola[[#This Row],[Superficie]],0)</f>
        <v>0</v>
      </c>
      <c r="AO647" s="712">
        <f>IFERROR(Producción_Agricola[[#This Row],[Económico U$S Dólares]]/Producción_Agricola[[#This Row],[Superficie]],0)</f>
        <v>0</v>
      </c>
      <c r="AP647" s="711" t="str">
        <f>IF(Económico!$F$4=0,0,Producción_Agricola[[#This Row],[Centro de Costo]])</f>
        <v>Campo 1</v>
      </c>
      <c r="AQ647" s="512"/>
      <c r="AR647" s="513"/>
      <c r="AS647"/>
    </row>
    <row r="648" spans="1:45" x14ac:dyDescent="0.25">
      <c r="A648" s="509"/>
      <c r="B648" s="494"/>
      <c r="C648" s="509"/>
      <c r="D648" s="478"/>
      <c r="E648" s="478"/>
      <c r="F648" s="668" t="str">
        <f t="shared" si="71"/>
        <v>2018-2019</v>
      </c>
      <c r="G648" s="673" t="str">
        <f t="shared" si="72"/>
        <v>Campo 1</v>
      </c>
      <c r="H648" s="673" t="str">
        <f t="shared" si="73"/>
        <v>Soja de Segunda</v>
      </c>
      <c r="I648" s="675" t="str">
        <f>IFERROR(INDEX(Tabla8[],MATCH(Producción_Agricola[[#This Row],[Unidad de Negocio]],Tabla8[Unidades de Negocio],0),2),0)</f>
        <v>Soja</v>
      </c>
      <c r="J648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48" s="488"/>
      <c r="L648" s="482"/>
      <c r="M648" s="483"/>
      <c r="N648" s="484"/>
      <c r="O648" s="690">
        <f>Producción_Agricola[[#This Row],[Superficie]]*Producción_Agricola[[#This Row],[Cantidad]]</f>
        <v>0</v>
      </c>
      <c r="P648" s="482"/>
      <c r="Q648" s="484"/>
      <c r="R648" s="485"/>
      <c r="S648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48" s="695">
        <f>IFERROR(Producción_Agricola[[#This Row],[Económico $Corrientes]]/Producción_Agricola[[#This Row],[Indexación Económico]],0)</f>
        <v>0</v>
      </c>
      <c r="U648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48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48" s="695">
        <f>IFERROR(Producción_Agricola[[#This Row],[Financiero $Corrientes]]/Producción_Agricola[[#This Row],[Indexación Financiero]],0)</f>
        <v>0</v>
      </c>
      <c r="X648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48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48" s="699">
        <f>IFERROR(Producción_Agricola[[#This Row],[Intereses $Corrientes]]/Producción_Agricola[[#This Row],[Indexación Financiero]],0)</f>
        <v>0</v>
      </c>
      <c r="AA648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48" s="701">
        <f>IFERROR(INDEX(Produccion_Agricola_Cuentas[],MATCH(Producción_Agricola[[#This Row],[Cuenta Contable]],Produccion_Agricola_Cuentas[Cuenta Contable],0),2),0)</f>
        <v>0</v>
      </c>
      <c r="AC648" s="702">
        <f>IFERROR(INDEX(Tabla9[],MATCH(Producción_Agricola[[#This Row],[Movimiento]],Tabla9[Movimientos],0),2),0)</f>
        <v>0</v>
      </c>
      <c r="AD648" s="703">
        <f>IFERROR(INDEX(Tabla9[],MATCH(Producción_Agricola[[#This Row],[Movimiento]],Tabla9[Movimientos],0),3),0)</f>
        <v>0</v>
      </c>
      <c r="AE648" s="698">
        <f>IF(Producción_Agricola[[#This Row],[Fecha Económico]]=0,0,MONTH(Producción_Agricola[[#This Row],[Fecha Económico]]))</f>
        <v>0</v>
      </c>
      <c r="AF648" s="699">
        <f>IF(Producción_Agricola[[#This Row],[Fecha Económico]]=0,0,YEAR(Producción_Agricola[[#This Row],[Fecha Económico]]))</f>
        <v>0</v>
      </c>
      <c r="AG648" s="704">
        <f>SUMPRODUCT((Producción_Agricola[[#This Row],[Mes Económico]]=Tipo_Cambio[Mes])*(Producción_Agricola[[#This Row],[Año Económico]]=Tipo_Cambio[Año])*(Tipo_Cambio[$/U$S]))</f>
        <v>0</v>
      </c>
      <c r="AH648" s="703">
        <f>SUMPRODUCT((Producción_Agricola[[#This Row],[Mes Económico]]=Tipo_Cambio[Mes])*(Producción_Agricola[[#This Row],[Año Económico]]=Tipo_Cambio[Año])*(Tipo_Cambio[Actualización]))</f>
        <v>0</v>
      </c>
      <c r="AI648" s="699">
        <f>IF(ISNUMBER(Producción_Agricola[[#This Row],[Fecha Financiero]])=TRUE,MONTH(Producción_Agricola[[#This Row],[Fecha Financiero]]),0)</f>
        <v>0</v>
      </c>
      <c r="AJ648" s="699">
        <f>IF(ISNUMBER(Producción_Agricola[[#This Row],[Fecha Financiero]])=TRUE,YEAR(Producción_Agricola[[#This Row],[Fecha Financiero]]),0)</f>
        <v>0</v>
      </c>
      <c r="AK648" s="704">
        <f>SUMPRODUCT((Producción_Agricola[[#This Row],[Mes Financiero]]=Tipo_Cambio[Mes])*(Producción_Agricola[[#This Row],[Año Financiero]]=Tipo_Cambio[Año])*(Tipo_Cambio[$/U$S]))</f>
        <v>0</v>
      </c>
      <c r="AL648" s="704">
        <f>SUMPRODUCT((Producción_Agricola[[#This Row],[Mes Financiero]]=Tipo_Cambio[Mes])*(Producción_Agricola[[#This Row],[Año Financiero]]=Tipo_Cambio[Año])*(Tipo_Cambio[Actualización]))</f>
        <v>0</v>
      </c>
      <c r="AM648" s="709">
        <f>IFERROR(Producción_Agricola[[#This Row],[Económico $Corrientes]]/Producción_Agricola[[#This Row],[Superficie]],0)</f>
        <v>0</v>
      </c>
      <c r="AN648" s="712">
        <f>IFERROR(Producción_Agricola[[#This Row],[Económico $Constantes]]/Producción_Agricola[[#This Row],[Superficie]],0)</f>
        <v>0</v>
      </c>
      <c r="AO648" s="712">
        <f>IFERROR(Producción_Agricola[[#This Row],[Económico U$S Dólares]]/Producción_Agricola[[#This Row],[Superficie]],0)</f>
        <v>0</v>
      </c>
      <c r="AP648" s="711" t="str">
        <f>IF(Económico!$F$4=0,0,Producción_Agricola[[#This Row],[Centro de Costo]])</f>
        <v>Campo 1</v>
      </c>
      <c r="AQ648" s="512"/>
      <c r="AR648" s="513"/>
      <c r="AS648"/>
    </row>
    <row r="649" spans="1:45" x14ac:dyDescent="0.25">
      <c r="A649" s="509"/>
      <c r="B649" s="494"/>
      <c r="C649" s="509"/>
      <c r="D649" s="478"/>
      <c r="E649" s="478"/>
      <c r="F649" s="668" t="str">
        <f t="shared" si="71"/>
        <v>2018-2019</v>
      </c>
      <c r="G649" s="673" t="str">
        <f t="shared" si="72"/>
        <v>Campo 1</v>
      </c>
      <c r="H649" s="673" t="str">
        <f t="shared" si="73"/>
        <v>Soja de Segunda</v>
      </c>
      <c r="I649" s="675" t="str">
        <f>IFERROR(INDEX(Tabla8[],MATCH(Producción_Agricola[[#This Row],[Unidad de Negocio]],Tabla8[Unidades de Negocio],0),2),0)</f>
        <v>Soja</v>
      </c>
      <c r="J649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49" s="488"/>
      <c r="L649" s="482"/>
      <c r="M649" s="483"/>
      <c r="N649" s="484"/>
      <c r="O649" s="690">
        <f>Producción_Agricola[[#This Row],[Superficie]]*Producción_Agricola[[#This Row],[Cantidad]]</f>
        <v>0</v>
      </c>
      <c r="P649" s="482"/>
      <c r="Q649" s="484"/>
      <c r="R649" s="485"/>
      <c r="S649" s="708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49" s="695">
        <f>IFERROR(Producción_Agricola[[#This Row],[Económico $Corrientes]]/Producción_Agricola[[#This Row],[Indexación Económico]],0)</f>
        <v>0</v>
      </c>
      <c r="U649" s="713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49" s="696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49" s="695">
        <f>IFERROR(Producción_Agricola[[#This Row],[Financiero $Corrientes]]/Producción_Agricola[[#This Row],[Indexación Financiero]],0)</f>
        <v>0</v>
      </c>
      <c r="X649" s="697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49" s="698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49" s="699">
        <f>IFERROR(Producción_Agricola[[#This Row],[Intereses $Corrientes]]/Producción_Agricola[[#This Row],[Indexación Financiero]],0)</f>
        <v>0</v>
      </c>
      <c r="AA649" s="700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49" s="701">
        <f>IFERROR(INDEX(Produccion_Agricola_Cuentas[],MATCH(Producción_Agricola[[#This Row],[Cuenta Contable]],Produccion_Agricola_Cuentas[Cuenta Contable],0),2),0)</f>
        <v>0</v>
      </c>
      <c r="AC649" s="702">
        <f>IFERROR(INDEX(Tabla9[],MATCH(Producción_Agricola[[#This Row],[Movimiento]],Tabla9[Movimientos],0),2),0)</f>
        <v>0</v>
      </c>
      <c r="AD649" s="703">
        <f>IFERROR(INDEX(Tabla9[],MATCH(Producción_Agricola[[#This Row],[Movimiento]],Tabla9[Movimientos],0),3),0)</f>
        <v>0</v>
      </c>
      <c r="AE649" s="698">
        <f>IF(Producción_Agricola[[#This Row],[Fecha Económico]]=0,0,MONTH(Producción_Agricola[[#This Row],[Fecha Económico]]))</f>
        <v>0</v>
      </c>
      <c r="AF649" s="699">
        <f>IF(Producción_Agricola[[#This Row],[Fecha Económico]]=0,0,YEAR(Producción_Agricola[[#This Row],[Fecha Económico]]))</f>
        <v>0</v>
      </c>
      <c r="AG649" s="704">
        <f>SUMPRODUCT((Producción_Agricola[[#This Row],[Mes Económico]]=Tipo_Cambio[Mes])*(Producción_Agricola[[#This Row],[Año Económico]]=Tipo_Cambio[Año])*(Tipo_Cambio[$/U$S]))</f>
        <v>0</v>
      </c>
      <c r="AH649" s="703">
        <f>SUMPRODUCT((Producción_Agricola[[#This Row],[Mes Económico]]=Tipo_Cambio[Mes])*(Producción_Agricola[[#This Row],[Año Económico]]=Tipo_Cambio[Año])*(Tipo_Cambio[Actualización]))</f>
        <v>0</v>
      </c>
      <c r="AI649" s="699">
        <f>IF(ISNUMBER(Producción_Agricola[[#This Row],[Fecha Financiero]])=TRUE,MONTH(Producción_Agricola[[#This Row],[Fecha Financiero]]),0)</f>
        <v>0</v>
      </c>
      <c r="AJ649" s="699">
        <f>IF(ISNUMBER(Producción_Agricola[[#This Row],[Fecha Financiero]])=TRUE,YEAR(Producción_Agricola[[#This Row],[Fecha Financiero]]),0)</f>
        <v>0</v>
      </c>
      <c r="AK649" s="704">
        <f>SUMPRODUCT((Producción_Agricola[[#This Row],[Mes Financiero]]=Tipo_Cambio[Mes])*(Producción_Agricola[[#This Row],[Año Financiero]]=Tipo_Cambio[Año])*(Tipo_Cambio[$/U$S]))</f>
        <v>0</v>
      </c>
      <c r="AL649" s="704">
        <f>SUMPRODUCT((Producción_Agricola[[#This Row],[Mes Financiero]]=Tipo_Cambio[Mes])*(Producción_Agricola[[#This Row],[Año Financiero]]=Tipo_Cambio[Año])*(Tipo_Cambio[Actualización]))</f>
        <v>0</v>
      </c>
      <c r="AM649" s="709">
        <f>IFERROR(Producción_Agricola[[#This Row],[Económico $Corrientes]]/Producción_Agricola[[#This Row],[Superficie]],0)</f>
        <v>0</v>
      </c>
      <c r="AN649" s="712">
        <f>IFERROR(Producción_Agricola[[#This Row],[Económico $Constantes]]/Producción_Agricola[[#This Row],[Superficie]],0)</f>
        <v>0</v>
      </c>
      <c r="AO649" s="712">
        <f>IFERROR(Producción_Agricola[[#This Row],[Económico U$S Dólares]]/Producción_Agricola[[#This Row],[Superficie]],0)</f>
        <v>0</v>
      </c>
      <c r="AP649" s="711" t="str">
        <f>IF(Económico!$F$4=0,0,Producción_Agricola[[#This Row],[Centro de Costo]])</f>
        <v>Campo 1</v>
      </c>
      <c r="AQ649" s="512"/>
      <c r="AR649" s="513"/>
      <c r="AS649"/>
    </row>
    <row r="650" spans="1:45" ht="15.75" thickBot="1" x14ac:dyDescent="0.3">
      <c r="A650" s="509"/>
      <c r="B650" s="494" t="s">
        <v>101</v>
      </c>
      <c r="C650" s="509"/>
      <c r="D650" s="478"/>
      <c r="E650" s="478"/>
      <c r="F650" s="668" t="str">
        <f t="shared" si="71"/>
        <v>2018-2019</v>
      </c>
      <c r="G650" s="673" t="str">
        <f t="shared" si="72"/>
        <v>Campo 1</v>
      </c>
      <c r="H650" s="673" t="str">
        <f t="shared" si="73"/>
        <v>Soja de Segunda</v>
      </c>
      <c r="I650" s="675" t="str">
        <f>IFERROR(INDEX(Tabla8[],MATCH(Producción_Agricola[[#This Row],[Unidad de Negocio]],Tabla8[Unidades de Negocio],0),2),0)</f>
        <v>Soja</v>
      </c>
      <c r="J650" s="672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50" s="1084"/>
      <c r="L650" s="504"/>
      <c r="M650" s="505"/>
      <c r="N650" s="506"/>
      <c r="O650" s="692">
        <f>Producción_Agricola[[#This Row],[Superficie]]*Producción_Agricola[[#This Row],[Cantidad]]</f>
        <v>0</v>
      </c>
      <c r="P650" s="504"/>
      <c r="Q650" s="506"/>
      <c r="R650" s="507"/>
      <c r="S650" s="725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50" s="726">
        <f>IFERROR(Producción_Agricola[[#This Row],[Económico $Corrientes]]/Producción_Agricola[[#This Row],[Indexación Económico]],0)</f>
        <v>0</v>
      </c>
      <c r="U650" s="727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50" s="728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50" s="726">
        <f>IFERROR(Producción_Agricola[[#This Row],[Financiero $Corrientes]]/Producción_Agricola[[#This Row],[Indexación Financiero]],0)</f>
        <v>0</v>
      </c>
      <c r="X650" s="729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50" s="730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50" s="731">
        <f>IFERROR(Producción_Agricola[[#This Row],[Intereses $Corrientes]]/Producción_Agricola[[#This Row],[Indexación Financiero]],0)</f>
        <v>0</v>
      </c>
      <c r="AA650" s="732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50" s="733">
        <f>IFERROR(INDEX(Produccion_Agricola_Cuentas[],MATCH(Producción_Agricola[[#This Row],[Cuenta Contable]],Produccion_Agricola_Cuentas[Cuenta Contable],0),2),0)</f>
        <v>0</v>
      </c>
      <c r="AC650" s="734">
        <f>IFERROR(INDEX(Tabla9[],MATCH(Producción_Agricola[[#This Row],[Movimiento]],Tabla9[Movimientos],0),2),0)</f>
        <v>0</v>
      </c>
      <c r="AD650" s="735">
        <f>IFERROR(INDEX(Tabla9[],MATCH(Producción_Agricola[[#This Row],[Movimiento]],Tabla9[Movimientos],0),3),0)</f>
        <v>0</v>
      </c>
      <c r="AE650" s="730">
        <f>IF(Producción_Agricola[[#This Row],[Fecha Económico]]=0,0,MONTH(Producción_Agricola[[#This Row],[Fecha Económico]]))</f>
        <v>0</v>
      </c>
      <c r="AF650" s="731">
        <f>IF(Producción_Agricola[[#This Row],[Fecha Económico]]=0,0,YEAR(Producción_Agricola[[#This Row],[Fecha Económico]]))</f>
        <v>0</v>
      </c>
      <c r="AG650" s="736">
        <f>SUMPRODUCT((Producción_Agricola[[#This Row],[Mes Económico]]=Tipo_Cambio[Mes])*(Producción_Agricola[[#This Row],[Año Económico]]=Tipo_Cambio[Año])*(Tipo_Cambio[$/U$S]))</f>
        <v>0</v>
      </c>
      <c r="AH650" s="735">
        <f>SUMPRODUCT((Producción_Agricola[[#This Row],[Mes Económico]]=Tipo_Cambio[Mes])*(Producción_Agricola[[#This Row],[Año Económico]]=Tipo_Cambio[Año])*(Tipo_Cambio[Actualización]))</f>
        <v>0</v>
      </c>
      <c r="AI650" s="731">
        <f>IF(ISNUMBER(Producción_Agricola[[#This Row],[Fecha Financiero]])=TRUE,MONTH(Producción_Agricola[[#This Row],[Fecha Financiero]]),0)</f>
        <v>0</v>
      </c>
      <c r="AJ650" s="731">
        <f>IF(ISNUMBER(Producción_Agricola[[#This Row],[Fecha Financiero]])=TRUE,YEAR(Producción_Agricola[[#This Row],[Fecha Financiero]]),0)</f>
        <v>0</v>
      </c>
      <c r="AK650" s="736">
        <f>SUMPRODUCT((Producción_Agricola[[#This Row],[Mes Financiero]]=Tipo_Cambio[Mes])*(Producción_Agricola[[#This Row],[Año Financiero]]=Tipo_Cambio[Año])*(Tipo_Cambio[$/U$S]))</f>
        <v>0</v>
      </c>
      <c r="AL650" s="736">
        <f>SUMPRODUCT((Producción_Agricola[[#This Row],[Mes Financiero]]=Tipo_Cambio[Mes])*(Producción_Agricola[[#This Row],[Año Financiero]]=Tipo_Cambio[Año])*(Tipo_Cambio[Actualización]))</f>
        <v>0</v>
      </c>
      <c r="AM650" s="737">
        <f>IFERROR(Producción_Agricola[[#This Row],[Económico $Corrientes]]/Producción_Agricola[[#This Row],[Superficie]],0)</f>
        <v>0</v>
      </c>
      <c r="AN650" s="738">
        <f>IFERROR(Producción_Agricola[[#This Row],[Económico $Constantes]]/Producción_Agricola[[#This Row],[Superficie]],0)</f>
        <v>0</v>
      </c>
      <c r="AO650" s="738">
        <f>IFERROR(Producción_Agricola[[#This Row],[Económico U$S Dólares]]/Producción_Agricola[[#This Row],[Superficie]],0)</f>
        <v>0</v>
      </c>
      <c r="AP650" s="739" t="str">
        <f>IF(Económico!$F$4=0,0,Producción_Agricola[[#This Row],[Centro de Costo]])</f>
        <v>Campo 1</v>
      </c>
      <c r="AQ650" s="518"/>
      <c r="AR650" s="519"/>
      <c r="AS650"/>
    </row>
    <row r="651" spans="1:45" ht="15.75" thickTop="1" x14ac:dyDescent="0.25">
      <c r="B651" s="477" t="s">
        <v>452</v>
      </c>
      <c r="D651" s="495"/>
      <c r="E651" s="495"/>
      <c r="F651" s="668" t="str">
        <f>$B$652</f>
        <v>2018-2019</v>
      </c>
      <c r="G651" s="680" t="str">
        <f>$B$653</f>
        <v>Campo 1</v>
      </c>
      <c r="H651" s="680" t="str">
        <f>+$B$654</f>
        <v>Soja de Segunda</v>
      </c>
      <c r="I651" s="685" t="str">
        <f>IFERROR(INDEX(Tabla8[],MATCH(Producción_Agricola[[#This Row],[Unidad de Negocio]],Tabla8[Unidades de Negocio],0),2),0)</f>
        <v>Soja</v>
      </c>
      <c r="J651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51" s="1082"/>
      <c r="L651" s="482"/>
      <c r="M651" s="483"/>
      <c r="N651" s="484"/>
      <c r="O651" s="694">
        <f>Producción_Agricola[[#This Row],[Superficie]]*Producción_Agricola[[#This Row],[Cantidad]]</f>
        <v>0</v>
      </c>
      <c r="P651" s="482"/>
      <c r="Q651" s="484"/>
      <c r="R651" s="485"/>
      <c r="S651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51" s="761">
        <f>IFERROR(Producción_Agricola[[#This Row],[Económico $Corrientes]]/Producción_Agricola[[#This Row],[Indexación Económico]],0)</f>
        <v>0</v>
      </c>
      <c r="U651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51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51" s="761">
        <f>IFERROR(Producción_Agricola[[#This Row],[Financiero $Corrientes]]/Producción_Agricola[[#This Row],[Indexación Financiero]],0)</f>
        <v>0</v>
      </c>
      <c r="X651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51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51" s="766">
        <f>IFERROR(Producción_Agricola[[#This Row],[Intereses $Corrientes]]/Producción_Agricola[[#This Row],[Indexación Financiero]],0)</f>
        <v>0</v>
      </c>
      <c r="AA651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51" s="768">
        <f>IFERROR(INDEX(Produccion_Agricola_Cuentas[],MATCH(Producción_Agricola[[#This Row],[Cuenta Contable]],Produccion_Agricola_Cuentas[Cuenta Contable],0),2),0)</f>
        <v>0</v>
      </c>
      <c r="AC651" s="769">
        <f>IFERROR(INDEX(Tabla9[],MATCH(Producción_Agricola[[#This Row],[Movimiento]],Tabla9[Movimientos],0),2),0)</f>
        <v>0</v>
      </c>
      <c r="AD651" s="770">
        <f>IFERROR(INDEX(Tabla9[],MATCH(Producción_Agricola[[#This Row],[Movimiento]],Tabla9[Movimientos],0),3),0)</f>
        <v>0</v>
      </c>
      <c r="AE651" s="765">
        <f>IF(Producción_Agricola[[#This Row],[Fecha Económico]]=0,0,MONTH(Producción_Agricola[[#This Row],[Fecha Económico]]))</f>
        <v>0</v>
      </c>
      <c r="AF651" s="766">
        <f>IF(Producción_Agricola[[#This Row],[Fecha Económico]]=0,0,YEAR(Producción_Agricola[[#This Row],[Fecha Económico]]))</f>
        <v>0</v>
      </c>
      <c r="AG651" s="771">
        <f>SUMPRODUCT((Producción_Agricola[[#This Row],[Mes Económico]]=Tipo_Cambio[Mes])*(Producción_Agricola[[#This Row],[Año Económico]]=Tipo_Cambio[Año])*(Tipo_Cambio[$/U$S]))</f>
        <v>0</v>
      </c>
      <c r="AH651" s="770">
        <f>SUMPRODUCT((Producción_Agricola[[#This Row],[Mes Económico]]=Tipo_Cambio[Mes])*(Producción_Agricola[[#This Row],[Año Económico]]=Tipo_Cambio[Año])*(Tipo_Cambio[Actualización]))</f>
        <v>0</v>
      </c>
      <c r="AI651" s="766">
        <f>IF(ISNUMBER(Producción_Agricola[[#This Row],[Fecha Financiero]])=TRUE,MONTH(Producción_Agricola[[#This Row],[Fecha Financiero]]),0)</f>
        <v>0</v>
      </c>
      <c r="AJ651" s="766">
        <f>IF(ISNUMBER(Producción_Agricola[[#This Row],[Fecha Financiero]])=TRUE,YEAR(Producción_Agricola[[#This Row],[Fecha Financiero]]),0)</f>
        <v>0</v>
      </c>
      <c r="AK651" s="771">
        <f>SUMPRODUCT((Producción_Agricola[[#This Row],[Mes Financiero]]=Tipo_Cambio[Mes])*(Producción_Agricola[[#This Row],[Año Financiero]]=Tipo_Cambio[Año])*(Tipo_Cambio[$/U$S]))</f>
        <v>0</v>
      </c>
      <c r="AL651" s="771">
        <f>SUMPRODUCT((Producción_Agricola[[#This Row],[Mes Financiero]]=Tipo_Cambio[Mes])*(Producción_Agricola[[#This Row],[Año Financiero]]=Tipo_Cambio[Año])*(Tipo_Cambio[Actualización]))</f>
        <v>0</v>
      </c>
      <c r="AM651" s="772">
        <f>IFERROR(Producción_Agricola[[#This Row],[Económico $Corrientes]]/Producción_Agricola[[#This Row],[Superficie]],0)</f>
        <v>0</v>
      </c>
      <c r="AN651" s="773">
        <f>IFERROR(Producción_Agricola[[#This Row],[Económico $Constantes]]/Producción_Agricola[[#This Row],[Superficie]],0)</f>
        <v>0</v>
      </c>
      <c r="AO651" s="773">
        <f>IFERROR(Producción_Agricola[[#This Row],[Económico U$S Dólares]]/Producción_Agricola[[#This Row],[Superficie]],0)</f>
        <v>0</v>
      </c>
      <c r="AP651" s="774" t="str">
        <f>IF(Económico!$F$4=0,0,Producción_Agricola[[#This Row],[Centro de Costo]])</f>
        <v>Campo 1</v>
      </c>
      <c r="AQ651" s="512"/>
      <c r="AR651" s="1083"/>
    </row>
    <row r="652" spans="1:45" x14ac:dyDescent="0.25">
      <c r="B652" s="501" t="str">
        <f>$F$165</f>
        <v>2018-2019</v>
      </c>
      <c r="D652" s="478"/>
      <c r="E652" s="478"/>
      <c r="F652" s="668" t="str">
        <f t="shared" ref="F652:F704" si="74">$B$652</f>
        <v>2018-2019</v>
      </c>
      <c r="G652" s="673" t="str">
        <f t="shared" ref="G652:G704" si="75">$B$653</f>
        <v>Campo 1</v>
      </c>
      <c r="H652" s="673" t="str">
        <f>+H651</f>
        <v>Soja de Segunda</v>
      </c>
      <c r="I652" s="687" t="str">
        <f>IFERROR(INDEX(Tabla8[],MATCH(Producción_Agricola[[#This Row],[Unidad de Negocio]],Tabla8[Unidades de Negocio],0),2),0)</f>
        <v>Soja</v>
      </c>
      <c r="J652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52" s="661"/>
      <c r="L652" s="482"/>
      <c r="M652" s="483"/>
      <c r="N652" s="484"/>
      <c r="O652" s="694">
        <f>Producción_Agricola[[#This Row],[Superficie]]*Producción_Agricola[[#This Row],[Cantidad]]</f>
        <v>0</v>
      </c>
      <c r="P652" s="482"/>
      <c r="Q652" s="484"/>
      <c r="R652" s="485"/>
      <c r="S652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52" s="761">
        <f>IFERROR(Producción_Agricola[[#This Row],[Económico $Corrientes]]/Producción_Agricola[[#This Row],[Indexación Económico]],0)</f>
        <v>0</v>
      </c>
      <c r="U652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52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52" s="761">
        <f>IFERROR(Producción_Agricola[[#This Row],[Financiero $Corrientes]]/Producción_Agricola[[#This Row],[Indexación Financiero]],0)</f>
        <v>0</v>
      </c>
      <c r="X652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52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52" s="766">
        <f>IFERROR(Producción_Agricola[[#This Row],[Intereses $Corrientes]]/Producción_Agricola[[#This Row],[Indexación Financiero]],0)</f>
        <v>0</v>
      </c>
      <c r="AA652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52" s="768">
        <f>IFERROR(INDEX(Produccion_Agricola_Cuentas[],MATCH(Producción_Agricola[[#This Row],[Cuenta Contable]],Produccion_Agricola_Cuentas[Cuenta Contable],0),2),0)</f>
        <v>0</v>
      </c>
      <c r="AC652" s="769">
        <f>IFERROR(INDEX(Tabla9[],MATCH(Producción_Agricola[[#This Row],[Movimiento]],Tabla9[Movimientos],0),2),0)</f>
        <v>0</v>
      </c>
      <c r="AD652" s="770">
        <f>IFERROR(INDEX(Tabla9[],MATCH(Producción_Agricola[[#This Row],[Movimiento]],Tabla9[Movimientos],0),3),0)</f>
        <v>0</v>
      </c>
      <c r="AE652" s="765">
        <f>IF(Producción_Agricola[[#This Row],[Fecha Económico]]=0,0,MONTH(Producción_Agricola[[#This Row],[Fecha Económico]]))</f>
        <v>0</v>
      </c>
      <c r="AF652" s="766">
        <f>IF(Producción_Agricola[[#This Row],[Fecha Económico]]=0,0,YEAR(Producción_Agricola[[#This Row],[Fecha Económico]]))</f>
        <v>0</v>
      </c>
      <c r="AG652" s="771">
        <f>SUMPRODUCT((Producción_Agricola[[#This Row],[Mes Económico]]=Tipo_Cambio[Mes])*(Producción_Agricola[[#This Row],[Año Económico]]=Tipo_Cambio[Año])*(Tipo_Cambio[$/U$S]))</f>
        <v>0</v>
      </c>
      <c r="AH652" s="770">
        <f>SUMPRODUCT((Producción_Agricola[[#This Row],[Mes Económico]]=Tipo_Cambio[Mes])*(Producción_Agricola[[#This Row],[Año Económico]]=Tipo_Cambio[Año])*(Tipo_Cambio[Actualización]))</f>
        <v>0</v>
      </c>
      <c r="AI652" s="766">
        <f>IF(ISNUMBER(Producción_Agricola[[#This Row],[Fecha Financiero]])=TRUE,MONTH(Producción_Agricola[[#This Row],[Fecha Financiero]]),0)</f>
        <v>0</v>
      </c>
      <c r="AJ652" s="766">
        <f>IF(ISNUMBER(Producción_Agricola[[#This Row],[Fecha Financiero]])=TRUE,YEAR(Producción_Agricola[[#This Row],[Fecha Financiero]]),0)</f>
        <v>0</v>
      </c>
      <c r="AK652" s="771">
        <f>SUMPRODUCT((Producción_Agricola[[#This Row],[Mes Financiero]]=Tipo_Cambio[Mes])*(Producción_Agricola[[#This Row],[Año Financiero]]=Tipo_Cambio[Año])*(Tipo_Cambio[$/U$S]))</f>
        <v>0</v>
      </c>
      <c r="AL652" s="771">
        <f>SUMPRODUCT((Producción_Agricola[[#This Row],[Mes Financiero]]=Tipo_Cambio[Mes])*(Producción_Agricola[[#This Row],[Año Financiero]]=Tipo_Cambio[Año])*(Tipo_Cambio[Actualización]))</f>
        <v>0</v>
      </c>
      <c r="AM652" s="772">
        <f>IFERROR(Producción_Agricola[[#This Row],[Económico $Corrientes]]/Producción_Agricola[[#This Row],[Superficie]],0)</f>
        <v>0</v>
      </c>
      <c r="AN652" s="773">
        <f>IFERROR(Producción_Agricola[[#This Row],[Económico $Constantes]]/Producción_Agricola[[#This Row],[Superficie]],0)</f>
        <v>0</v>
      </c>
      <c r="AO652" s="773">
        <f>IFERROR(Producción_Agricola[[#This Row],[Económico U$S Dólares]]/Producción_Agricola[[#This Row],[Superficie]],0)</f>
        <v>0</v>
      </c>
      <c r="AP652" s="774" t="str">
        <f>IF(Económico!$F$4=0,0,Producción_Agricola[[#This Row],[Centro de Costo]])</f>
        <v>Campo 1</v>
      </c>
      <c r="AQ652" s="512"/>
      <c r="AR652" s="663"/>
    </row>
    <row r="653" spans="1:45" x14ac:dyDescent="0.25">
      <c r="B653" s="486" t="s">
        <v>2</v>
      </c>
      <c r="D653" s="478"/>
      <c r="E653" s="478"/>
      <c r="F653" s="668" t="str">
        <f t="shared" si="74"/>
        <v>2018-2019</v>
      </c>
      <c r="G653" s="673" t="str">
        <f t="shared" si="75"/>
        <v>Campo 1</v>
      </c>
      <c r="H653" s="673" t="str">
        <f t="shared" ref="H653:H704" si="76">+H652</f>
        <v>Soja de Segunda</v>
      </c>
      <c r="I653" s="687" t="str">
        <f>IFERROR(INDEX(Tabla8[],MATCH(Producción_Agricola[[#This Row],[Unidad de Negocio]],Tabla8[Unidades de Negocio],0),2),0)</f>
        <v>Soja</v>
      </c>
      <c r="J653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53" s="661"/>
      <c r="L653" s="482"/>
      <c r="M653" s="483"/>
      <c r="N653" s="484"/>
      <c r="O653" s="694">
        <f>Producción_Agricola[[#This Row],[Superficie]]*Producción_Agricola[[#This Row],[Cantidad]]</f>
        <v>0</v>
      </c>
      <c r="P653" s="482"/>
      <c r="Q653" s="484"/>
      <c r="R653" s="485"/>
      <c r="S653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53" s="761">
        <f>IFERROR(Producción_Agricola[[#This Row],[Económico $Corrientes]]/Producción_Agricola[[#This Row],[Indexación Económico]],0)</f>
        <v>0</v>
      </c>
      <c r="U653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53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53" s="761">
        <f>IFERROR(Producción_Agricola[[#This Row],[Financiero $Corrientes]]/Producción_Agricola[[#This Row],[Indexación Financiero]],0)</f>
        <v>0</v>
      </c>
      <c r="X653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53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53" s="766">
        <f>IFERROR(Producción_Agricola[[#This Row],[Intereses $Corrientes]]/Producción_Agricola[[#This Row],[Indexación Financiero]],0)</f>
        <v>0</v>
      </c>
      <c r="AA653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53" s="768">
        <f>IFERROR(INDEX(Produccion_Agricola_Cuentas[],MATCH(Producción_Agricola[[#This Row],[Cuenta Contable]],Produccion_Agricola_Cuentas[Cuenta Contable],0),2),0)</f>
        <v>0</v>
      </c>
      <c r="AC653" s="769">
        <f>IFERROR(INDEX(Tabla9[],MATCH(Producción_Agricola[[#This Row],[Movimiento]],Tabla9[Movimientos],0),2),0)</f>
        <v>0</v>
      </c>
      <c r="AD653" s="770">
        <f>IFERROR(INDEX(Tabla9[],MATCH(Producción_Agricola[[#This Row],[Movimiento]],Tabla9[Movimientos],0),3),0)</f>
        <v>0</v>
      </c>
      <c r="AE653" s="765">
        <f>IF(Producción_Agricola[[#This Row],[Fecha Económico]]=0,0,MONTH(Producción_Agricola[[#This Row],[Fecha Económico]]))</f>
        <v>0</v>
      </c>
      <c r="AF653" s="766">
        <f>IF(Producción_Agricola[[#This Row],[Fecha Económico]]=0,0,YEAR(Producción_Agricola[[#This Row],[Fecha Económico]]))</f>
        <v>0</v>
      </c>
      <c r="AG653" s="771">
        <f>SUMPRODUCT((Producción_Agricola[[#This Row],[Mes Económico]]=Tipo_Cambio[Mes])*(Producción_Agricola[[#This Row],[Año Económico]]=Tipo_Cambio[Año])*(Tipo_Cambio[$/U$S]))</f>
        <v>0</v>
      </c>
      <c r="AH653" s="770">
        <f>SUMPRODUCT((Producción_Agricola[[#This Row],[Mes Económico]]=Tipo_Cambio[Mes])*(Producción_Agricola[[#This Row],[Año Económico]]=Tipo_Cambio[Año])*(Tipo_Cambio[Actualización]))</f>
        <v>0</v>
      </c>
      <c r="AI653" s="766">
        <f>IF(ISNUMBER(Producción_Agricola[[#This Row],[Fecha Financiero]])=TRUE,MONTH(Producción_Agricola[[#This Row],[Fecha Financiero]]),0)</f>
        <v>0</v>
      </c>
      <c r="AJ653" s="766">
        <f>IF(ISNUMBER(Producción_Agricola[[#This Row],[Fecha Financiero]])=TRUE,YEAR(Producción_Agricola[[#This Row],[Fecha Financiero]]),0)</f>
        <v>0</v>
      </c>
      <c r="AK653" s="771">
        <f>SUMPRODUCT((Producción_Agricola[[#This Row],[Mes Financiero]]=Tipo_Cambio[Mes])*(Producción_Agricola[[#This Row],[Año Financiero]]=Tipo_Cambio[Año])*(Tipo_Cambio[$/U$S]))</f>
        <v>0</v>
      </c>
      <c r="AL653" s="771">
        <f>SUMPRODUCT((Producción_Agricola[[#This Row],[Mes Financiero]]=Tipo_Cambio[Mes])*(Producción_Agricola[[#This Row],[Año Financiero]]=Tipo_Cambio[Año])*(Tipo_Cambio[Actualización]))</f>
        <v>0</v>
      </c>
      <c r="AM653" s="772">
        <f>IFERROR(Producción_Agricola[[#This Row],[Económico $Corrientes]]/Producción_Agricola[[#This Row],[Superficie]],0)</f>
        <v>0</v>
      </c>
      <c r="AN653" s="773">
        <f>IFERROR(Producción_Agricola[[#This Row],[Económico $Constantes]]/Producción_Agricola[[#This Row],[Superficie]],0)</f>
        <v>0</v>
      </c>
      <c r="AO653" s="773">
        <f>IFERROR(Producción_Agricola[[#This Row],[Económico U$S Dólares]]/Producción_Agricola[[#This Row],[Superficie]],0)</f>
        <v>0</v>
      </c>
      <c r="AP653" s="774" t="str">
        <f>IF(Económico!$F$4=0,0,Producción_Agricola[[#This Row],[Centro de Costo]])</f>
        <v>Campo 1</v>
      </c>
      <c r="AQ653" s="512"/>
      <c r="AR653" s="663"/>
    </row>
    <row r="654" spans="1:45" x14ac:dyDescent="0.25">
      <c r="B654" s="486" t="s">
        <v>246</v>
      </c>
      <c r="D654" s="478"/>
      <c r="E654" s="478"/>
      <c r="F654" s="668" t="str">
        <f t="shared" si="74"/>
        <v>2018-2019</v>
      </c>
      <c r="G654" s="673" t="str">
        <f t="shared" si="75"/>
        <v>Campo 1</v>
      </c>
      <c r="H654" s="673" t="str">
        <f t="shared" si="76"/>
        <v>Soja de Segunda</v>
      </c>
      <c r="I654" s="687" t="str">
        <f>IFERROR(INDEX(Tabla8[],MATCH(Producción_Agricola[[#This Row],[Unidad de Negocio]],Tabla8[Unidades de Negocio],0),2),0)</f>
        <v>Soja</v>
      </c>
      <c r="J654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54" s="661"/>
      <c r="L654" s="482"/>
      <c r="M654" s="483"/>
      <c r="N654" s="484"/>
      <c r="O654" s="694">
        <f>Producción_Agricola[[#This Row],[Superficie]]*Producción_Agricola[[#This Row],[Cantidad]]</f>
        <v>0</v>
      </c>
      <c r="P654" s="482"/>
      <c r="Q654" s="484"/>
      <c r="R654" s="485"/>
      <c r="S654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54" s="761">
        <f>IFERROR(Producción_Agricola[[#This Row],[Económico $Corrientes]]/Producción_Agricola[[#This Row],[Indexación Económico]],0)</f>
        <v>0</v>
      </c>
      <c r="U654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54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54" s="761">
        <f>IFERROR(Producción_Agricola[[#This Row],[Financiero $Corrientes]]/Producción_Agricola[[#This Row],[Indexación Financiero]],0)</f>
        <v>0</v>
      </c>
      <c r="X654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54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54" s="766">
        <f>IFERROR(Producción_Agricola[[#This Row],[Intereses $Corrientes]]/Producción_Agricola[[#This Row],[Indexación Financiero]],0)</f>
        <v>0</v>
      </c>
      <c r="AA654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54" s="768">
        <f>IFERROR(INDEX(Produccion_Agricola_Cuentas[],MATCH(Producción_Agricola[[#This Row],[Cuenta Contable]],Produccion_Agricola_Cuentas[Cuenta Contable],0),2),0)</f>
        <v>0</v>
      </c>
      <c r="AC654" s="769">
        <f>IFERROR(INDEX(Tabla9[],MATCH(Producción_Agricola[[#This Row],[Movimiento]],Tabla9[Movimientos],0),2),0)</f>
        <v>0</v>
      </c>
      <c r="AD654" s="770">
        <f>IFERROR(INDEX(Tabla9[],MATCH(Producción_Agricola[[#This Row],[Movimiento]],Tabla9[Movimientos],0),3),0)</f>
        <v>0</v>
      </c>
      <c r="AE654" s="765">
        <f>IF(Producción_Agricola[[#This Row],[Fecha Económico]]=0,0,MONTH(Producción_Agricola[[#This Row],[Fecha Económico]]))</f>
        <v>0</v>
      </c>
      <c r="AF654" s="766">
        <f>IF(Producción_Agricola[[#This Row],[Fecha Económico]]=0,0,YEAR(Producción_Agricola[[#This Row],[Fecha Económico]]))</f>
        <v>0</v>
      </c>
      <c r="AG654" s="771">
        <f>SUMPRODUCT((Producción_Agricola[[#This Row],[Mes Económico]]=Tipo_Cambio[Mes])*(Producción_Agricola[[#This Row],[Año Económico]]=Tipo_Cambio[Año])*(Tipo_Cambio[$/U$S]))</f>
        <v>0</v>
      </c>
      <c r="AH654" s="770">
        <f>SUMPRODUCT((Producción_Agricola[[#This Row],[Mes Económico]]=Tipo_Cambio[Mes])*(Producción_Agricola[[#This Row],[Año Económico]]=Tipo_Cambio[Año])*(Tipo_Cambio[Actualización]))</f>
        <v>0</v>
      </c>
      <c r="AI654" s="766">
        <f>IF(ISNUMBER(Producción_Agricola[[#This Row],[Fecha Financiero]])=TRUE,MONTH(Producción_Agricola[[#This Row],[Fecha Financiero]]),0)</f>
        <v>0</v>
      </c>
      <c r="AJ654" s="766">
        <f>IF(ISNUMBER(Producción_Agricola[[#This Row],[Fecha Financiero]])=TRUE,YEAR(Producción_Agricola[[#This Row],[Fecha Financiero]]),0)</f>
        <v>0</v>
      </c>
      <c r="AK654" s="771">
        <f>SUMPRODUCT((Producción_Agricola[[#This Row],[Mes Financiero]]=Tipo_Cambio[Mes])*(Producción_Agricola[[#This Row],[Año Financiero]]=Tipo_Cambio[Año])*(Tipo_Cambio[$/U$S]))</f>
        <v>0</v>
      </c>
      <c r="AL654" s="771">
        <f>SUMPRODUCT((Producción_Agricola[[#This Row],[Mes Financiero]]=Tipo_Cambio[Mes])*(Producción_Agricola[[#This Row],[Año Financiero]]=Tipo_Cambio[Año])*(Tipo_Cambio[Actualización]))</f>
        <v>0</v>
      </c>
      <c r="AM654" s="772">
        <f>IFERROR(Producción_Agricola[[#This Row],[Económico $Corrientes]]/Producción_Agricola[[#This Row],[Superficie]],0)</f>
        <v>0</v>
      </c>
      <c r="AN654" s="773">
        <f>IFERROR(Producción_Agricola[[#This Row],[Económico $Constantes]]/Producción_Agricola[[#This Row],[Superficie]],0)</f>
        <v>0</v>
      </c>
      <c r="AO654" s="773">
        <f>IFERROR(Producción_Agricola[[#This Row],[Económico U$S Dólares]]/Producción_Agricola[[#This Row],[Superficie]],0)</f>
        <v>0</v>
      </c>
      <c r="AP654" s="774" t="str">
        <f>IF(Económico!$F$4=0,0,Producción_Agricola[[#This Row],[Centro de Costo]])</f>
        <v>Campo 1</v>
      </c>
      <c r="AQ654" s="512"/>
      <c r="AR654" s="663"/>
    </row>
    <row r="655" spans="1:45" x14ac:dyDescent="0.25">
      <c r="B655" s="487">
        <f>+$J$651</f>
        <v>0</v>
      </c>
      <c r="D655" s="478"/>
      <c r="E655" s="478"/>
      <c r="F655" s="668" t="str">
        <f t="shared" si="74"/>
        <v>2018-2019</v>
      </c>
      <c r="G655" s="673" t="str">
        <f t="shared" si="75"/>
        <v>Campo 1</v>
      </c>
      <c r="H655" s="673" t="str">
        <f t="shared" si="76"/>
        <v>Soja de Segunda</v>
      </c>
      <c r="I655" s="687" t="str">
        <f>IFERROR(INDEX(Tabla8[],MATCH(Producción_Agricola[[#This Row],[Unidad de Negocio]],Tabla8[Unidades de Negocio],0),2),0)</f>
        <v>Soja</v>
      </c>
      <c r="J655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55" s="661"/>
      <c r="L655" s="482"/>
      <c r="M655" s="483"/>
      <c r="N655" s="484"/>
      <c r="O655" s="694">
        <f>Producción_Agricola[[#This Row],[Superficie]]*Producción_Agricola[[#This Row],[Cantidad]]</f>
        <v>0</v>
      </c>
      <c r="P655" s="482"/>
      <c r="Q655" s="484"/>
      <c r="R655" s="485"/>
      <c r="S655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55" s="761">
        <f>IFERROR(Producción_Agricola[[#This Row],[Económico $Corrientes]]/Producción_Agricola[[#This Row],[Indexación Económico]],0)</f>
        <v>0</v>
      </c>
      <c r="U655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55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55" s="761">
        <f>IFERROR(Producción_Agricola[[#This Row],[Financiero $Corrientes]]/Producción_Agricola[[#This Row],[Indexación Financiero]],0)</f>
        <v>0</v>
      </c>
      <c r="X655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55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55" s="766">
        <f>IFERROR(Producción_Agricola[[#This Row],[Intereses $Corrientes]]/Producción_Agricola[[#This Row],[Indexación Financiero]],0)</f>
        <v>0</v>
      </c>
      <c r="AA655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55" s="768">
        <f>IFERROR(INDEX(Produccion_Agricola_Cuentas[],MATCH(Producción_Agricola[[#This Row],[Cuenta Contable]],Produccion_Agricola_Cuentas[Cuenta Contable],0),2),0)</f>
        <v>0</v>
      </c>
      <c r="AC655" s="769">
        <f>IFERROR(INDEX(Tabla9[],MATCH(Producción_Agricola[[#This Row],[Movimiento]],Tabla9[Movimientos],0),2),0)</f>
        <v>0</v>
      </c>
      <c r="AD655" s="770">
        <f>IFERROR(INDEX(Tabla9[],MATCH(Producción_Agricola[[#This Row],[Movimiento]],Tabla9[Movimientos],0),3),0)</f>
        <v>0</v>
      </c>
      <c r="AE655" s="765">
        <f>IF(Producción_Agricola[[#This Row],[Fecha Económico]]=0,0,MONTH(Producción_Agricola[[#This Row],[Fecha Económico]]))</f>
        <v>0</v>
      </c>
      <c r="AF655" s="766">
        <f>IF(Producción_Agricola[[#This Row],[Fecha Económico]]=0,0,YEAR(Producción_Agricola[[#This Row],[Fecha Económico]]))</f>
        <v>0</v>
      </c>
      <c r="AG655" s="771">
        <f>SUMPRODUCT((Producción_Agricola[[#This Row],[Mes Económico]]=Tipo_Cambio[Mes])*(Producción_Agricola[[#This Row],[Año Económico]]=Tipo_Cambio[Año])*(Tipo_Cambio[$/U$S]))</f>
        <v>0</v>
      </c>
      <c r="AH655" s="770">
        <f>SUMPRODUCT((Producción_Agricola[[#This Row],[Mes Económico]]=Tipo_Cambio[Mes])*(Producción_Agricola[[#This Row],[Año Económico]]=Tipo_Cambio[Año])*(Tipo_Cambio[Actualización]))</f>
        <v>0</v>
      </c>
      <c r="AI655" s="766">
        <f>IF(ISNUMBER(Producción_Agricola[[#This Row],[Fecha Financiero]])=TRUE,MONTH(Producción_Agricola[[#This Row],[Fecha Financiero]]),0)</f>
        <v>0</v>
      </c>
      <c r="AJ655" s="766">
        <f>IF(ISNUMBER(Producción_Agricola[[#This Row],[Fecha Financiero]])=TRUE,YEAR(Producción_Agricola[[#This Row],[Fecha Financiero]]),0)</f>
        <v>0</v>
      </c>
      <c r="AK655" s="771">
        <f>SUMPRODUCT((Producción_Agricola[[#This Row],[Mes Financiero]]=Tipo_Cambio[Mes])*(Producción_Agricola[[#This Row],[Año Financiero]]=Tipo_Cambio[Año])*(Tipo_Cambio[$/U$S]))</f>
        <v>0</v>
      </c>
      <c r="AL655" s="771">
        <f>SUMPRODUCT((Producción_Agricola[[#This Row],[Mes Financiero]]=Tipo_Cambio[Mes])*(Producción_Agricola[[#This Row],[Año Financiero]]=Tipo_Cambio[Año])*(Tipo_Cambio[Actualización]))</f>
        <v>0</v>
      </c>
      <c r="AM655" s="772">
        <f>IFERROR(Producción_Agricola[[#This Row],[Económico $Corrientes]]/Producción_Agricola[[#This Row],[Superficie]],0)</f>
        <v>0</v>
      </c>
      <c r="AN655" s="773">
        <f>IFERROR(Producción_Agricola[[#This Row],[Económico $Constantes]]/Producción_Agricola[[#This Row],[Superficie]],0)</f>
        <v>0</v>
      </c>
      <c r="AO655" s="773">
        <f>IFERROR(Producción_Agricola[[#This Row],[Económico U$S Dólares]]/Producción_Agricola[[#This Row],[Superficie]],0)</f>
        <v>0</v>
      </c>
      <c r="AP655" s="774" t="str">
        <f>IF(Económico!$F$4=0,0,Producción_Agricola[[#This Row],[Centro de Costo]])</f>
        <v>Campo 1</v>
      </c>
      <c r="AQ655" s="512"/>
      <c r="AR655" s="663"/>
    </row>
    <row r="656" spans="1:45" x14ac:dyDescent="0.25">
      <c r="D656" s="478"/>
      <c r="E656" s="478"/>
      <c r="F656" s="668" t="str">
        <f t="shared" si="74"/>
        <v>2018-2019</v>
      </c>
      <c r="G656" s="673" t="str">
        <f t="shared" si="75"/>
        <v>Campo 1</v>
      </c>
      <c r="H656" s="673" t="str">
        <f t="shared" si="76"/>
        <v>Soja de Segunda</v>
      </c>
      <c r="I656" s="687" t="str">
        <f>IFERROR(INDEX(Tabla8[],MATCH(Producción_Agricola[[#This Row],[Unidad de Negocio]],Tabla8[Unidades de Negocio],0),2),0)</f>
        <v>Soja</v>
      </c>
      <c r="J656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56" s="661"/>
      <c r="L656" s="482"/>
      <c r="M656" s="483"/>
      <c r="N656" s="484"/>
      <c r="O656" s="694">
        <f>Producción_Agricola[[#This Row],[Superficie]]*Producción_Agricola[[#This Row],[Cantidad]]</f>
        <v>0</v>
      </c>
      <c r="P656" s="482"/>
      <c r="Q656" s="484"/>
      <c r="R656" s="485"/>
      <c r="S656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56" s="761">
        <f>IFERROR(Producción_Agricola[[#This Row],[Económico $Corrientes]]/Producción_Agricola[[#This Row],[Indexación Económico]],0)</f>
        <v>0</v>
      </c>
      <c r="U656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56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56" s="761">
        <f>IFERROR(Producción_Agricola[[#This Row],[Financiero $Corrientes]]/Producción_Agricola[[#This Row],[Indexación Financiero]],0)</f>
        <v>0</v>
      </c>
      <c r="X656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56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56" s="766">
        <f>IFERROR(Producción_Agricola[[#This Row],[Intereses $Corrientes]]/Producción_Agricola[[#This Row],[Indexación Financiero]],0)</f>
        <v>0</v>
      </c>
      <c r="AA656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56" s="768">
        <f>IFERROR(INDEX(Produccion_Agricola_Cuentas[],MATCH(Producción_Agricola[[#This Row],[Cuenta Contable]],Produccion_Agricola_Cuentas[Cuenta Contable],0),2),0)</f>
        <v>0</v>
      </c>
      <c r="AC656" s="769">
        <f>IFERROR(INDEX(Tabla9[],MATCH(Producción_Agricola[[#This Row],[Movimiento]],Tabla9[Movimientos],0),2),0)</f>
        <v>0</v>
      </c>
      <c r="AD656" s="770">
        <f>IFERROR(INDEX(Tabla9[],MATCH(Producción_Agricola[[#This Row],[Movimiento]],Tabla9[Movimientos],0),3),0)</f>
        <v>0</v>
      </c>
      <c r="AE656" s="765">
        <f>IF(Producción_Agricola[[#This Row],[Fecha Económico]]=0,0,MONTH(Producción_Agricola[[#This Row],[Fecha Económico]]))</f>
        <v>0</v>
      </c>
      <c r="AF656" s="766">
        <f>IF(Producción_Agricola[[#This Row],[Fecha Económico]]=0,0,YEAR(Producción_Agricola[[#This Row],[Fecha Económico]]))</f>
        <v>0</v>
      </c>
      <c r="AG656" s="771">
        <f>SUMPRODUCT((Producción_Agricola[[#This Row],[Mes Económico]]=Tipo_Cambio[Mes])*(Producción_Agricola[[#This Row],[Año Económico]]=Tipo_Cambio[Año])*(Tipo_Cambio[$/U$S]))</f>
        <v>0</v>
      </c>
      <c r="AH656" s="770">
        <f>SUMPRODUCT((Producción_Agricola[[#This Row],[Mes Económico]]=Tipo_Cambio[Mes])*(Producción_Agricola[[#This Row],[Año Económico]]=Tipo_Cambio[Año])*(Tipo_Cambio[Actualización]))</f>
        <v>0</v>
      </c>
      <c r="AI656" s="766">
        <f>IF(ISNUMBER(Producción_Agricola[[#This Row],[Fecha Financiero]])=TRUE,MONTH(Producción_Agricola[[#This Row],[Fecha Financiero]]),0)</f>
        <v>0</v>
      </c>
      <c r="AJ656" s="766">
        <f>IF(ISNUMBER(Producción_Agricola[[#This Row],[Fecha Financiero]])=TRUE,YEAR(Producción_Agricola[[#This Row],[Fecha Financiero]]),0)</f>
        <v>0</v>
      </c>
      <c r="AK656" s="771">
        <f>SUMPRODUCT((Producción_Agricola[[#This Row],[Mes Financiero]]=Tipo_Cambio[Mes])*(Producción_Agricola[[#This Row],[Año Financiero]]=Tipo_Cambio[Año])*(Tipo_Cambio[$/U$S]))</f>
        <v>0</v>
      </c>
      <c r="AL656" s="771">
        <f>SUMPRODUCT((Producción_Agricola[[#This Row],[Mes Financiero]]=Tipo_Cambio[Mes])*(Producción_Agricola[[#This Row],[Año Financiero]]=Tipo_Cambio[Año])*(Tipo_Cambio[Actualización]))</f>
        <v>0</v>
      </c>
      <c r="AM656" s="772">
        <f>IFERROR(Producción_Agricola[[#This Row],[Económico $Corrientes]]/Producción_Agricola[[#This Row],[Superficie]],0)</f>
        <v>0</v>
      </c>
      <c r="AN656" s="773">
        <f>IFERROR(Producción_Agricola[[#This Row],[Económico $Constantes]]/Producción_Agricola[[#This Row],[Superficie]],0)</f>
        <v>0</v>
      </c>
      <c r="AO656" s="773">
        <f>IFERROR(Producción_Agricola[[#This Row],[Económico U$S Dólares]]/Producción_Agricola[[#This Row],[Superficie]],0)</f>
        <v>0</v>
      </c>
      <c r="AP656" s="774" t="str">
        <f>IF(Económico!$F$4=0,0,Producción_Agricola[[#This Row],[Centro de Costo]])</f>
        <v>Campo 1</v>
      </c>
      <c r="AQ656" s="512"/>
      <c r="AR656" s="663"/>
    </row>
    <row r="657" spans="4:44" x14ac:dyDescent="0.25">
      <c r="D657" s="478"/>
      <c r="E657" s="478"/>
      <c r="F657" s="668" t="str">
        <f t="shared" si="74"/>
        <v>2018-2019</v>
      </c>
      <c r="G657" s="673" t="str">
        <f t="shared" si="75"/>
        <v>Campo 1</v>
      </c>
      <c r="H657" s="673" t="str">
        <f t="shared" si="76"/>
        <v>Soja de Segunda</v>
      </c>
      <c r="I657" s="687" t="str">
        <f>IFERROR(INDEX(Tabla8[],MATCH(Producción_Agricola[[#This Row],[Unidad de Negocio]],Tabla8[Unidades de Negocio],0),2),0)</f>
        <v>Soja</v>
      </c>
      <c r="J657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57" s="661"/>
      <c r="L657" s="482"/>
      <c r="M657" s="483"/>
      <c r="N657" s="484"/>
      <c r="O657" s="694">
        <f>Producción_Agricola[[#This Row],[Superficie]]*Producción_Agricola[[#This Row],[Cantidad]]</f>
        <v>0</v>
      </c>
      <c r="P657" s="482"/>
      <c r="Q657" s="484"/>
      <c r="R657" s="485"/>
      <c r="S657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57" s="761">
        <f>IFERROR(Producción_Agricola[[#This Row],[Económico $Corrientes]]/Producción_Agricola[[#This Row],[Indexación Económico]],0)</f>
        <v>0</v>
      </c>
      <c r="U657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57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57" s="761">
        <f>IFERROR(Producción_Agricola[[#This Row],[Financiero $Corrientes]]/Producción_Agricola[[#This Row],[Indexación Financiero]],0)</f>
        <v>0</v>
      </c>
      <c r="X657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57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57" s="766">
        <f>IFERROR(Producción_Agricola[[#This Row],[Intereses $Corrientes]]/Producción_Agricola[[#This Row],[Indexación Financiero]],0)</f>
        <v>0</v>
      </c>
      <c r="AA657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57" s="768">
        <f>IFERROR(INDEX(Produccion_Agricola_Cuentas[],MATCH(Producción_Agricola[[#This Row],[Cuenta Contable]],Produccion_Agricola_Cuentas[Cuenta Contable],0),2),0)</f>
        <v>0</v>
      </c>
      <c r="AC657" s="769">
        <f>IFERROR(INDEX(Tabla9[],MATCH(Producción_Agricola[[#This Row],[Movimiento]],Tabla9[Movimientos],0),2),0)</f>
        <v>0</v>
      </c>
      <c r="AD657" s="770">
        <f>IFERROR(INDEX(Tabla9[],MATCH(Producción_Agricola[[#This Row],[Movimiento]],Tabla9[Movimientos],0),3),0)</f>
        <v>0</v>
      </c>
      <c r="AE657" s="765">
        <f>IF(Producción_Agricola[[#This Row],[Fecha Económico]]=0,0,MONTH(Producción_Agricola[[#This Row],[Fecha Económico]]))</f>
        <v>0</v>
      </c>
      <c r="AF657" s="766">
        <f>IF(Producción_Agricola[[#This Row],[Fecha Económico]]=0,0,YEAR(Producción_Agricola[[#This Row],[Fecha Económico]]))</f>
        <v>0</v>
      </c>
      <c r="AG657" s="771">
        <f>SUMPRODUCT((Producción_Agricola[[#This Row],[Mes Económico]]=Tipo_Cambio[Mes])*(Producción_Agricola[[#This Row],[Año Económico]]=Tipo_Cambio[Año])*(Tipo_Cambio[$/U$S]))</f>
        <v>0</v>
      </c>
      <c r="AH657" s="770">
        <f>SUMPRODUCT((Producción_Agricola[[#This Row],[Mes Económico]]=Tipo_Cambio[Mes])*(Producción_Agricola[[#This Row],[Año Económico]]=Tipo_Cambio[Año])*(Tipo_Cambio[Actualización]))</f>
        <v>0</v>
      </c>
      <c r="AI657" s="766">
        <f>IF(ISNUMBER(Producción_Agricola[[#This Row],[Fecha Financiero]])=TRUE,MONTH(Producción_Agricola[[#This Row],[Fecha Financiero]]),0)</f>
        <v>0</v>
      </c>
      <c r="AJ657" s="766">
        <f>IF(ISNUMBER(Producción_Agricola[[#This Row],[Fecha Financiero]])=TRUE,YEAR(Producción_Agricola[[#This Row],[Fecha Financiero]]),0)</f>
        <v>0</v>
      </c>
      <c r="AK657" s="771">
        <f>SUMPRODUCT((Producción_Agricola[[#This Row],[Mes Financiero]]=Tipo_Cambio[Mes])*(Producción_Agricola[[#This Row],[Año Financiero]]=Tipo_Cambio[Año])*(Tipo_Cambio[$/U$S]))</f>
        <v>0</v>
      </c>
      <c r="AL657" s="771">
        <f>SUMPRODUCT((Producción_Agricola[[#This Row],[Mes Financiero]]=Tipo_Cambio[Mes])*(Producción_Agricola[[#This Row],[Año Financiero]]=Tipo_Cambio[Año])*(Tipo_Cambio[Actualización]))</f>
        <v>0</v>
      </c>
      <c r="AM657" s="772">
        <f>IFERROR(Producción_Agricola[[#This Row],[Económico $Corrientes]]/Producción_Agricola[[#This Row],[Superficie]],0)</f>
        <v>0</v>
      </c>
      <c r="AN657" s="773">
        <f>IFERROR(Producción_Agricola[[#This Row],[Económico $Constantes]]/Producción_Agricola[[#This Row],[Superficie]],0)</f>
        <v>0</v>
      </c>
      <c r="AO657" s="773">
        <f>IFERROR(Producción_Agricola[[#This Row],[Económico U$S Dólares]]/Producción_Agricola[[#This Row],[Superficie]],0)</f>
        <v>0</v>
      </c>
      <c r="AP657" s="774" t="str">
        <f>IF(Económico!$F$4=0,0,Producción_Agricola[[#This Row],[Centro de Costo]])</f>
        <v>Campo 1</v>
      </c>
      <c r="AQ657" s="512"/>
      <c r="AR657" s="663"/>
    </row>
    <row r="658" spans="4:44" x14ac:dyDescent="0.25">
      <c r="D658" s="478"/>
      <c r="E658" s="478"/>
      <c r="F658" s="668" t="str">
        <f t="shared" si="74"/>
        <v>2018-2019</v>
      </c>
      <c r="G658" s="673" t="str">
        <f t="shared" si="75"/>
        <v>Campo 1</v>
      </c>
      <c r="H658" s="673" t="str">
        <f t="shared" si="76"/>
        <v>Soja de Segunda</v>
      </c>
      <c r="I658" s="687" t="str">
        <f>IFERROR(INDEX(Tabla8[],MATCH(Producción_Agricola[[#This Row],[Unidad de Negocio]],Tabla8[Unidades de Negocio],0),2),0)</f>
        <v>Soja</v>
      </c>
      <c r="J658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58" s="661"/>
      <c r="L658" s="482"/>
      <c r="M658" s="483"/>
      <c r="N658" s="484"/>
      <c r="O658" s="694">
        <f>Producción_Agricola[[#This Row],[Superficie]]*Producción_Agricola[[#This Row],[Cantidad]]</f>
        <v>0</v>
      </c>
      <c r="P658" s="482"/>
      <c r="Q658" s="484"/>
      <c r="R658" s="485"/>
      <c r="S658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58" s="761">
        <f>IFERROR(Producción_Agricola[[#This Row],[Económico $Corrientes]]/Producción_Agricola[[#This Row],[Indexación Económico]],0)</f>
        <v>0</v>
      </c>
      <c r="U658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58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58" s="761">
        <f>IFERROR(Producción_Agricola[[#This Row],[Financiero $Corrientes]]/Producción_Agricola[[#This Row],[Indexación Financiero]],0)</f>
        <v>0</v>
      </c>
      <c r="X658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58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58" s="766">
        <f>IFERROR(Producción_Agricola[[#This Row],[Intereses $Corrientes]]/Producción_Agricola[[#This Row],[Indexación Financiero]],0)</f>
        <v>0</v>
      </c>
      <c r="AA658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58" s="768">
        <f>IFERROR(INDEX(Produccion_Agricola_Cuentas[],MATCH(Producción_Agricola[[#This Row],[Cuenta Contable]],Produccion_Agricola_Cuentas[Cuenta Contable],0),2),0)</f>
        <v>0</v>
      </c>
      <c r="AC658" s="769">
        <f>IFERROR(INDEX(Tabla9[],MATCH(Producción_Agricola[[#This Row],[Movimiento]],Tabla9[Movimientos],0),2),0)</f>
        <v>0</v>
      </c>
      <c r="AD658" s="770">
        <f>IFERROR(INDEX(Tabla9[],MATCH(Producción_Agricola[[#This Row],[Movimiento]],Tabla9[Movimientos],0),3),0)</f>
        <v>0</v>
      </c>
      <c r="AE658" s="765">
        <f>IF(Producción_Agricola[[#This Row],[Fecha Económico]]=0,0,MONTH(Producción_Agricola[[#This Row],[Fecha Económico]]))</f>
        <v>0</v>
      </c>
      <c r="AF658" s="766">
        <f>IF(Producción_Agricola[[#This Row],[Fecha Económico]]=0,0,YEAR(Producción_Agricola[[#This Row],[Fecha Económico]]))</f>
        <v>0</v>
      </c>
      <c r="AG658" s="771">
        <f>SUMPRODUCT((Producción_Agricola[[#This Row],[Mes Económico]]=Tipo_Cambio[Mes])*(Producción_Agricola[[#This Row],[Año Económico]]=Tipo_Cambio[Año])*(Tipo_Cambio[$/U$S]))</f>
        <v>0</v>
      </c>
      <c r="AH658" s="770">
        <f>SUMPRODUCT((Producción_Agricola[[#This Row],[Mes Económico]]=Tipo_Cambio[Mes])*(Producción_Agricola[[#This Row],[Año Económico]]=Tipo_Cambio[Año])*(Tipo_Cambio[Actualización]))</f>
        <v>0</v>
      </c>
      <c r="AI658" s="766">
        <f>IF(ISNUMBER(Producción_Agricola[[#This Row],[Fecha Financiero]])=TRUE,MONTH(Producción_Agricola[[#This Row],[Fecha Financiero]]),0)</f>
        <v>0</v>
      </c>
      <c r="AJ658" s="766">
        <f>IF(ISNUMBER(Producción_Agricola[[#This Row],[Fecha Financiero]])=TRUE,YEAR(Producción_Agricola[[#This Row],[Fecha Financiero]]),0)</f>
        <v>0</v>
      </c>
      <c r="AK658" s="771">
        <f>SUMPRODUCT((Producción_Agricola[[#This Row],[Mes Financiero]]=Tipo_Cambio[Mes])*(Producción_Agricola[[#This Row],[Año Financiero]]=Tipo_Cambio[Año])*(Tipo_Cambio[$/U$S]))</f>
        <v>0</v>
      </c>
      <c r="AL658" s="771">
        <f>SUMPRODUCT((Producción_Agricola[[#This Row],[Mes Financiero]]=Tipo_Cambio[Mes])*(Producción_Agricola[[#This Row],[Año Financiero]]=Tipo_Cambio[Año])*(Tipo_Cambio[Actualización]))</f>
        <v>0</v>
      </c>
      <c r="AM658" s="772">
        <f>IFERROR(Producción_Agricola[[#This Row],[Económico $Corrientes]]/Producción_Agricola[[#This Row],[Superficie]],0)</f>
        <v>0</v>
      </c>
      <c r="AN658" s="773">
        <f>IFERROR(Producción_Agricola[[#This Row],[Económico $Constantes]]/Producción_Agricola[[#This Row],[Superficie]],0)</f>
        <v>0</v>
      </c>
      <c r="AO658" s="773">
        <f>IFERROR(Producción_Agricola[[#This Row],[Económico U$S Dólares]]/Producción_Agricola[[#This Row],[Superficie]],0)</f>
        <v>0</v>
      </c>
      <c r="AP658" s="774" t="str">
        <f>IF(Económico!$F$4=0,0,Producción_Agricola[[#This Row],[Centro de Costo]])</f>
        <v>Campo 1</v>
      </c>
      <c r="AQ658" s="512"/>
      <c r="AR658" s="663"/>
    </row>
    <row r="659" spans="4:44" x14ac:dyDescent="0.25">
      <c r="D659" s="478"/>
      <c r="E659" s="478"/>
      <c r="F659" s="668" t="str">
        <f t="shared" si="74"/>
        <v>2018-2019</v>
      </c>
      <c r="G659" s="673" t="str">
        <f t="shared" si="75"/>
        <v>Campo 1</v>
      </c>
      <c r="H659" s="673" t="str">
        <f t="shared" si="76"/>
        <v>Soja de Segunda</v>
      </c>
      <c r="I659" s="687" t="str">
        <f>IFERROR(INDEX(Tabla8[],MATCH(Producción_Agricola[[#This Row],[Unidad de Negocio]],Tabla8[Unidades de Negocio],0),2),0)</f>
        <v>Soja</v>
      </c>
      <c r="J659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59" s="661"/>
      <c r="L659" s="482"/>
      <c r="M659" s="483"/>
      <c r="N659" s="484"/>
      <c r="O659" s="694">
        <f>Producción_Agricola[[#This Row],[Superficie]]*Producción_Agricola[[#This Row],[Cantidad]]</f>
        <v>0</v>
      </c>
      <c r="P659" s="482"/>
      <c r="Q659" s="484"/>
      <c r="R659" s="485"/>
      <c r="S659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59" s="761">
        <f>IFERROR(Producción_Agricola[[#This Row],[Económico $Corrientes]]/Producción_Agricola[[#This Row],[Indexación Económico]],0)</f>
        <v>0</v>
      </c>
      <c r="U659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59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59" s="761">
        <f>IFERROR(Producción_Agricola[[#This Row],[Financiero $Corrientes]]/Producción_Agricola[[#This Row],[Indexación Financiero]],0)</f>
        <v>0</v>
      </c>
      <c r="X659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59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59" s="766">
        <f>IFERROR(Producción_Agricola[[#This Row],[Intereses $Corrientes]]/Producción_Agricola[[#This Row],[Indexación Financiero]],0)</f>
        <v>0</v>
      </c>
      <c r="AA659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59" s="768">
        <f>IFERROR(INDEX(Produccion_Agricola_Cuentas[],MATCH(Producción_Agricola[[#This Row],[Cuenta Contable]],Produccion_Agricola_Cuentas[Cuenta Contable],0),2),0)</f>
        <v>0</v>
      </c>
      <c r="AC659" s="769">
        <f>IFERROR(INDEX(Tabla9[],MATCH(Producción_Agricola[[#This Row],[Movimiento]],Tabla9[Movimientos],0),2),0)</f>
        <v>0</v>
      </c>
      <c r="AD659" s="770">
        <f>IFERROR(INDEX(Tabla9[],MATCH(Producción_Agricola[[#This Row],[Movimiento]],Tabla9[Movimientos],0),3),0)</f>
        <v>0</v>
      </c>
      <c r="AE659" s="765">
        <f>IF(Producción_Agricola[[#This Row],[Fecha Económico]]=0,0,MONTH(Producción_Agricola[[#This Row],[Fecha Económico]]))</f>
        <v>0</v>
      </c>
      <c r="AF659" s="766">
        <f>IF(Producción_Agricola[[#This Row],[Fecha Económico]]=0,0,YEAR(Producción_Agricola[[#This Row],[Fecha Económico]]))</f>
        <v>0</v>
      </c>
      <c r="AG659" s="771">
        <f>SUMPRODUCT((Producción_Agricola[[#This Row],[Mes Económico]]=Tipo_Cambio[Mes])*(Producción_Agricola[[#This Row],[Año Económico]]=Tipo_Cambio[Año])*(Tipo_Cambio[$/U$S]))</f>
        <v>0</v>
      </c>
      <c r="AH659" s="770">
        <f>SUMPRODUCT((Producción_Agricola[[#This Row],[Mes Económico]]=Tipo_Cambio[Mes])*(Producción_Agricola[[#This Row],[Año Económico]]=Tipo_Cambio[Año])*(Tipo_Cambio[Actualización]))</f>
        <v>0</v>
      </c>
      <c r="AI659" s="766">
        <f>IF(ISNUMBER(Producción_Agricola[[#This Row],[Fecha Financiero]])=TRUE,MONTH(Producción_Agricola[[#This Row],[Fecha Financiero]]),0)</f>
        <v>0</v>
      </c>
      <c r="AJ659" s="766">
        <f>IF(ISNUMBER(Producción_Agricola[[#This Row],[Fecha Financiero]])=TRUE,YEAR(Producción_Agricola[[#This Row],[Fecha Financiero]]),0)</f>
        <v>0</v>
      </c>
      <c r="AK659" s="771">
        <f>SUMPRODUCT((Producción_Agricola[[#This Row],[Mes Financiero]]=Tipo_Cambio[Mes])*(Producción_Agricola[[#This Row],[Año Financiero]]=Tipo_Cambio[Año])*(Tipo_Cambio[$/U$S]))</f>
        <v>0</v>
      </c>
      <c r="AL659" s="771">
        <f>SUMPRODUCT((Producción_Agricola[[#This Row],[Mes Financiero]]=Tipo_Cambio[Mes])*(Producción_Agricola[[#This Row],[Año Financiero]]=Tipo_Cambio[Año])*(Tipo_Cambio[Actualización]))</f>
        <v>0</v>
      </c>
      <c r="AM659" s="772">
        <f>IFERROR(Producción_Agricola[[#This Row],[Económico $Corrientes]]/Producción_Agricola[[#This Row],[Superficie]],0)</f>
        <v>0</v>
      </c>
      <c r="AN659" s="773">
        <f>IFERROR(Producción_Agricola[[#This Row],[Económico $Constantes]]/Producción_Agricola[[#This Row],[Superficie]],0)</f>
        <v>0</v>
      </c>
      <c r="AO659" s="773">
        <f>IFERROR(Producción_Agricola[[#This Row],[Económico U$S Dólares]]/Producción_Agricola[[#This Row],[Superficie]],0)</f>
        <v>0</v>
      </c>
      <c r="AP659" s="774" t="str">
        <f>IF(Económico!$F$4=0,0,Producción_Agricola[[#This Row],[Centro de Costo]])</f>
        <v>Campo 1</v>
      </c>
      <c r="AQ659" s="512"/>
      <c r="AR659" s="663"/>
    </row>
    <row r="660" spans="4:44" x14ac:dyDescent="0.25">
      <c r="D660" s="478"/>
      <c r="E660" s="478"/>
      <c r="F660" s="668" t="str">
        <f t="shared" si="74"/>
        <v>2018-2019</v>
      </c>
      <c r="G660" s="673" t="str">
        <f t="shared" si="75"/>
        <v>Campo 1</v>
      </c>
      <c r="H660" s="673" t="str">
        <f t="shared" si="76"/>
        <v>Soja de Segunda</v>
      </c>
      <c r="I660" s="687" t="str">
        <f>IFERROR(INDEX(Tabla8[],MATCH(Producción_Agricola[[#This Row],[Unidad de Negocio]],Tabla8[Unidades de Negocio],0),2),0)</f>
        <v>Soja</v>
      </c>
      <c r="J660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60" s="661"/>
      <c r="L660" s="482"/>
      <c r="M660" s="483"/>
      <c r="N660" s="484"/>
      <c r="O660" s="694">
        <f>Producción_Agricola[[#This Row],[Superficie]]*Producción_Agricola[[#This Row],[Cantidad]]</f>
        <v>0</v>
      </c>
      <c r="P660" s="482"/>
      <c r="Q660" s="484"/>
      <c r="R660" s="485"/>
      <c r="S660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60" s="761">
        <f>IFERROR(Producción_Agricola[[#This Row],[Económico $Corrientes]]/Producción_Agricola[[#This Row],[Indexación Económico]],0)</f>
        <v>0</v>
      </c>
      <c r="U660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60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60" s="761">
        <f>IFERROR(Producción_Agricola[[#This Row],[Financiero $Corrientes]]/Producción_Agricola[[#This Row],[Indexación Financiero]],0)</f>
        <v>0</v>
      </c>
      <c r="X660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60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60" s="766">
        <f>IFERROR(Producción_Agricola[[#This Row],[Intereses $Corrientes]]/Producción_Agricola[[#This Row],[Indexación Financiero]],0)</f>
        <v>0</v>
      </c>
      <c r="AA660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60" s="768">
        <f>IFERROR(INDEX(Produccion_Agricola_Cuentas[],MATCH(Producción_Agricola[[#This Row],[Cuenta Contable]],Produccion_Agricola_Cuentas[Cuenta Contable],0),2),0)</f>
        <v>0</v>
      </c>
      <c r="AC660" s="769">
        <f>IFERROR(INDEX(Tabla9[],MATCH(Producción_Agricola[[#This Row],[Movimiento]],Tabla9[Movimientos],0),2),0)</f>
        <v>0</v>
      </c>
      <c r="AD660" s="770">
        <f>IFERROR(INDEX(Tabla9[],MATCH(Producción_Agricola[[#This Row],[Movimiento]],Tabla9[Movimientos],0),3),0)</f>
        <v>0</v>
      </c>
      <c r="AE660" s="765">
        <f>IF(Producción_Agricola[[#This Row],[Fecha Económico]]=0,0,MONTH(Producción_Agricola[[#This Row],[Fecha Económico]]))</f>
        <v>0</v>
      </c>
      <c r="AF660" s="766">
        <f>IF(Producción_Agricola[[#This Row],[Fecha Económico]]=0,0,YEAR(Producción_Agricola[[#This Row],[Fecha Económico]]))</f>
        <v>0</v>
      </c>
      <c r="AG660" s="771">
        <f>SUMPRODUCT((Producción_Agricola[[#This Row],[Mes Económico]]=Tipo_Cambio[Mes])*(Producción_Agricola[[#This Row],[Año Económico]]=Tipo_Cambio[Año])*(Tipo_Cambio[$/U$S]))</f>
        <v>0</v>
      </c>
      <c r="AH660" s="770">
        <f>SUMPRODUCT((Producción_Agricola[[#This Row],[Mes Económico]]=Tipo_Cambio[Mes])*(Producción_Agricola[[#This Row],[Año Económico]]=Tipo_Cambio[Año])*(Tipo_Cambio[Actualización]))</f>
        <v>0</v>
      </c>
      <c r="AI660" s="766">
        <f>IF(ISNUMBER(Producción_Agricola[[#This Row],[Fecha Financiero]])=TRUE,MONTH(Producción_Agricola[[#This Row],[Fecha Financiero]]),0)</f>
        <v>0</v>
      </c>
      <c r="AJ660" s="766">
        <f>IF(ISNUMBER(Producción_Agricola[[#This Row],[Fecha Financiero]])=TRUE,YEAR(Producción_Agricola[[#This Row],[Fecha Financiero]]),0)</f>
        <v>0</v>
      </c>
      <c r="AK660" s="771">
        <f>SUMPRODUCT((Producción_Agricola[[#This Row],[Mes Financiero]]=Tipo_Cambio[Mes])*(Producción_Agricola[[#This Row],[Año Financiero]]=Tipo_Cambio[Año])*(Tipo_Cambio[$/U$S]))</f>
        <v>0</v>
      </c>
      <c r="AL660" s="771">
        <f>SUMPRODUCT((Producción_Agricola[[#This Row],[Mes Financiero]]=Tipo_Cambio[Mes])*(Producción_Agricola[[#This Row],[Año Financiero]]=Tipo_Cambio[Año])*(Tipo_Cambio[Actualización]))</f>
        <v>0</v>
      </c>
      <c r="AM660" s="772">
        <f>IFERROR(Producción_Agricola[[#This Row],[Económico $Corrientes]]/Producción_Agricola[[#This Row],[Superficie]],0)</f>
        <v>0</v>
      </c>
      <c r="AN660" s="773">
        <f>IFERROR(Producción_Agricola[[#This Row],[Económico $Constantes]]/Producción_Agricola[[#This Row],[Superficie]],0)</f>
        <v>0</v>
      </c>
      <c r="AO660" s="773">
        <f>IFERROR(Producción_Agricola[[#This Row],[Económico U$S Dólares]]/Producción_Agricola[[#This Row],[Superficie]],0)</f>
        <v>0</v>
      </c>
      <c r="AP660" s="774" t="str">
        <f>IF(Económico!$F$4=0,0,Producción_Agricola[[#This Row],[Centro de Costo]])</f>
        <v>Campo 1</v>
      </c>
      <c r="AQ660" s="512"/>
      <c r="AR660" s="663"/>
    </row>
    <row r="661" spans="4:44" x14ac:dyDescent="0.25">
      <c r="D661" s="478"/>
      <c r="E661" s="478"/>
      <c r="F661" s="668" t="str">
        <f t="shared" si="74"/>
        <v>2018-2019</v>
      </c>
      <c r="G661" s="673" t="str">
        <f t="shared" si="75"/>
        <v>Campo 1</v>
      </c>
      <c r="H661" s="673" t="str">
        <f t="shared" si="76"/>
        <v>Soja de Segunda</v>
      </c>
      <c r="I661" s="687" t="str">
        <f>IFERROR(INDEX(Tabla8[],MATCH(Producción_Agricola[[#This Row],[Unidad de Negocio]],Tabla8[Unidades de Negocio],0),2),0)</f>
        <v>Soja</v>
      </c>
      <c r="J661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61" s="661"/>
      <c r="L661" s="482"/>
      <c r="M661" s="483"/>
      <c r="N661" s="484"/>
      <c r="O661" s="694">
        <f>Producción_Agricola[[#This Row],[Superficie]]*Producción_Agricola[[#This Row],[Cantidad]]</f>
        <v>0</v>
      </c>
      <c r="P661" s="482"/>
      <c r="Q661" s="484"/>
      <c r="R661" s="485"/>
      <c r="S661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61" s="761">
        <f>IFERROR(Producción_Agricola[[#This Row],[Económico $Corrientes]]/Producción_Agricola[[#This Row],[Indexación Económico]],0)</f>
        <v>0</v>
      </c>
      <c r="U661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61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61" s="761">
        <f>IFERROR(Producción_Agricola[[#This Row],[Financiero $Corrientes]]/Producción_Agricola[[#This Row],[Indexación Financiero]],0)</f>
        <v>0</v>
      </c>
      <c r="X661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61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61" s="766">
        <f>IFERROR(Producción_Agricola[[#This Row],[Intereses $Corrientes]]/Producción_Agricola[[#This Row],[Indexación Financiero]],0)</f>
        <v>0</v>
      </c>
      <c r="AA661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61" s="768">
        <f>IFERROR(INDEX(Produccion_Agricola_Cuentas[],MATCH(Producción_Agricola[[#This Row],[Cuenta Contable]],Produccion_Agricola_Cuentas[Cuenta Contable],0),2),0)</f>
        <v>0</v>
      </c>
      <c r="AC661" s="769">
        <f>IFERROR(INDEX(Tabla9[],MATCH(Producción_Agricola[[#This Row],[Movimiento]],Tabla9[Movimientos],0),2),0)</f>
        <v>0</v>
      </c>
      <c r="AD661" s="770">
        <f>IFERROR(INDEX(Tabla9[],MATCH(Producción_Agricola[[#This Row],[Movimiento]],Tabla9[Movimientos],0),3),0)</f>
        <v>0</v>
      </c>
      <c r="AE661" s="765">
        <f>IF(Producción_Agricola[[#This Row],[Fecha Económico]]=0,0,MONTH(Producción_Agricola[[#This Row],[Fecha Económico]]))</f>
        <v>0</v>
      </c>
      <c r="AF661" s="766">
        <f>IF(Producción_Agricola[[#This Row],[Fecha Económico]]=0,0,YEAR(Producción_Agricola[[#This Row],[Fecha Económico]]))</f>
        <v>0</v>
      </c>
      <c r="AG661" s="771">
        <f>SUMPRODUCT((Producción_Agricola[[#This Row],[Mes Económico]]=Tipo_Cambio[Mes])*(Producción_Agricola[[#This Row],[Año Económico]]=Tipo_Cambio[Año])*(Tipo_Cambio[$/U$S]))</f>
        <v>0</v>
      </c>
      <c r="AH661" s="770">
        <f>SUMPRODUCT((Producción_Agricola[[#This Row],[Mes Económico]]=Tipo_Cambio[Mes])*(Producción_Agricola[[#This Row],[Año Económico]]=Tipo_Cambio[Año])*(Tipo_Cambio[Actualización]))</f>
        <v>0</v>
      </c>
      <c r="AI661" s="766">
        <f>IF(ISNUMBER(Producción_Agricola[[#This Row],[Fecha Financiero]])=TRUE,MONTH(Producción_Agricola[[#This Row],[Fecha Financiero]]),0)</f>
        <v>0</v>
      </c>
      <c r="AJ661" s="766">
        <f>IF(ISNUMBER(Producción_Agricola[[#This Row],[Fecha Financiero]])=TRUE,YEAR(Producción_Agricola[[#This Row],[Fecha Financiero]]),0)</f>
        <v>0</v>
      </c>
      <c r="AK661" s="771">
        <f>SUMPRODUCT((Producción_Agricola[[#This Row],[Mes Financiero]]=Tipo_Cambio[Mes])*(Producción_Agricola[[#This Row],[Año Financiero]]=Tipo_Cambio[Año])*(Tipo_Cambio[$/U$S]))</f>
        <v>0</v>
      </c>
      <c r="AL661" s="771">
        <f>SUMPRODUCT((Producción_Agricola[[#This Row],[Mes Financiero]]=Tipo_Cambio[Mes])*(Producción_Agricola[[#This Row],[Año Financiero]]=Tipo_Cambio[Año])*(Tipo_Cambio[Actualización]))</f>
        <v>0</v>
      </c>
      <c r="AM661" s="772">
        <f>IFERROR(Producción_Agricola[[#This Row],[Económico $Corrientes]]/Producción_Agricola[[#This Row],[Superficie]],0)</f>
        <v>0</v>
      </c>
      <c r="AN661" s="773">
        <f>IFERROR(Producción_Agricola[[#This Row],[Económico $Constantes]]/Producción_Agricola[[#This Row],[Superficie]],0)</f>
        <v>0</v>
      </c>
      <c r="AO661" s="773">
        <f>IFERROR(Producción_Agricola[[#This Row],[Económico U$S Dólares]]/Producción_Agricola[[#This Row],[Superficie]],0)</f>
        <v>0</v>
      </c>
      <c r="AP661" s="774" t="str">
        <f>IF(Económico!$F$4=0,0,Producción_Agricola[[#This Row],[Centro de Costo]])</f>
        <v>Campo 1</v>
      </c>
      <c r="AQ661" s="512"/>
      <c r="AR661" s="663"/>
    </row>
    <row r="662" spans="4:44" x14ac:dyDescent="0.25">
      <c r="D662" s="478"/>
      <c r="E662" s="478"/>
      <c r="F662" s="668" t="str">
        <f t="shared" si="74"/>
        <v>2018-2019</v>
      </c>
      <c r="G662" s="673" t="str">
        <f t="shared" si="75"/>
        <v>Campo 1</v>
      </c>
      <c r="H662" s="673" t="str">
        <f t="shared" si="76"/>
        <v>Soja de Segunda</v>
      </c>
      <c r="I662" s="687" t="str">
        <f>IFERROR(INDEX(Tabla8[],MATCH(Producción_Agricola[[#This Row],[Unidad de Negocio]],Tabla8[Unidades de Negocio],0),2),0)</f>
        <v>Soja</v>
      </c>
      <c r="J662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62" s="661"/>
      <c r="L662" s="482"/>
      <c r="M662" s="483"/>
      <c r="N662" s="484"/>
      <c r="O662" s="694">
        <f>Producción_Agricola[[#This Row],[Superficie]]*Producción_Agricola[[#This Row],[Cantidad]]</f>
        <v>0</v>
      </c>
      <c r="P662" s="482"/>
      <c r="Q662" s="484"/>
      <c r="R662" s="485"/>
      <c r="S662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62" s="761">
        <f>IFERROR(Producción_Agricola[[#This Row],[Económico $Corrientes]]/Producción_Agricola[[#This Row],[Indexación Económico]],0)</f>
        <v>0</v>
      </c>
      <c r="U662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62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62" s="761">
        <f>IFERROR(Producción_Agricola[[#This Row],[Financiero $Corrientes]]/Producción_Agricola[[#This Row],[Indexación Financiero]],0)</f>
        <v>0</v>
      </c>
      <c r="X662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62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62" s="766">
        <f>IFERROR(Producción_Agricola[[#This Row],[Intereses $Corrientes]]/Producción_Agricola[[#This Row],[Indexación Financiero]],0)</f>
        <v>0</v>
      </c>
      <c r="AA662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62" s="768">
        <f>IFERROR(INDEX(Produccion_Agricola_Cuentas[],MATCH(Producción_Agricola[[#This Row],[Cuenta Contable]],Produccion_Agricola_Cuentas[Cuenta Contable],0),2),0)</f>
        <v>0</v>
      </c>
      <c r="AC662" s="769">
        <f>IFERROR(INDEX(Tabla9[],MATCH(Producción_Agricola[[#This Row],[Movimiento]],Tabla9[Movimientos],0),2),0)</f>
        <v>0</v>
      </c>
      <c r="AD662" s="770">
        <f>IFERROR(INDEX(Tabla9[],MATCH(Producción_Agricola[[#This Row],[Movimiento]],Tabla9[Movimientos],0),3),0)</f>
        <v>0</v>
      </c>
      <c r="AE662" s="765">
        <f>IF(Producción_Agricola[[#This Row],[Fecha Económico]]=0,0,MONTH(Producción_Agricola[[#This Row],[Fecha Económico]]))</f>
        <v>0</v>
      </c>
      <c r="AF662" s="766">
        <f>IF(Producción_Agricola[[#This Row],[Fecha Económico]]=0,0,YEAR(Producción_Agricola[[#This Row],[Fecha Económico]]))</f>
        <v>0</v>
      </c>
      <c r="AG662" s="771">
        <f>SUMPRODUCT((Producción_Agricola[[#This Row],[Mes Económico]]=Tipo_Cambio[Mes])*(Producción_Agricola[[#This Row],[Año Económico]]=Tipo_Cambio[Año])*(Tipo_Cambio[$/U$S]))</f>
        <v>0</v>
      </c>
      <c r="AH662" s="770">
        <f>SUMPRODUCT((Producción_Agricola[[#This Row],[Mes Económico]]=Tipo_Cambio[Mes])*(Producción_Agricola[[#This Row],[Año Económico]]=Tipo_Cambio[Año])*(Tipo_Cambio[Actualización]))</f>
        <v>0</v>
      </c>
      <c r="AI662" s="766">
        <f>IF(ISNUMBER(Producción_Agricola[[#This Row],[Fecha Financiero]])=TRUE,MONTH(Producción_Agricola[[#This Row],[Fecha Financiero]]),0)</f>
        <v>0</v>
      </c>
      <c r="AJ662" s="766">
        <f>IF(ISNUMBER(Producción_Agricola[[#This Row],[Fecha Financiero]])=TRUE,YEAR(Producción_Agricola[[#This Row],[Fecha Financiero]]),0)</f>
        <v>0</v>
      </c>
      <c r="AK662" s="771">
        <f>SUMPRODUCT((Producción_Agricola[[#This Row],[Mes Financiero]]=Tipo_Cambio[Mes])*(Producción_Agricola[[#This Row],[Año Financiero]]=Tipo_Cambio[Año])*(Tipo_Cambio[$/U$S]))</f>
        <v>0</v>
      </c>
      <c r="AL662" s="771">
        <f>SUMPRODUCT((Producción_Agricola[[#This Row],[Mes Financiero]]=Tipo_Cambio[Mes])*(Producción_Agricola[[#This Row],[Año Financiero]]=Tipo_Cambio[Año])*(Tipo_Cambio[Actualización]))</f>
        <v>0</v>
      </c>
      <c r="AM662" s="772">
        <f>IFERROR(Producción_Agricola[[#This Row],[Económico $Corrientes]]/Producción_Agricola[[#This Row],[Superficie]],0)</f>
        <v>0</v>
      </c>
      <c r="AN662" s="773">
        <f>IFERROR(Producción_Agricola[[#This Row],[Económico $Constantes]]/Producción_Agricola[[#This Row],[Superficie]],0)</f>
        <v>0</v>
      </c>
      <c r="AO662" s="773">
        <f>IFERROR(Producción_Agricola[[#This Row],[Económico U$S Dólares]]/Producción_Agricola[[#This Row],[Superficie]],0)</f>
        <v>0</v>
      </c>
      <c r="AP662" s="774" t="str">
        <f>IF(Económico!$F$4=0,0,Producción_Agricola[[#This Row],[Centro de Costo]])</f>
        <v>Campo 1</v>
      </c>
      <c r="AQ662" s="512"/>
      <c r="AR662" s="663"/>
    </row>
    <row r="663" spans="4:44" x14ac:dyDescent="0.25">
      <c r="D663" s="478"/>
      <c r="E663" s="478"/>
      <c r="F663" s="668" t="str">
        <f t="shared" si="74"/>
        <v>2018-2019</v>
      </c>
      <c r="G663" s="673" t="str">
        <f t="shared" si="75"/>
        <v>Campo 1</v>
      </c>
      <c r="H663" s="673" t="str">
        <f t="shared" si="76"/>
        <v>Soja de Segunda</v>
      </c>
      <c r="I663" s="687" t="str">
        <f>IFERROR(INDEX(Tabla8[],MATCH(Producción_Agricola[[#This Row],[Unidad de Negocio]],Tabla8[Unidades de Negocio],0),2),0)</f>
        <v>Soja</v>
      </c>
      <c r="J663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63" s="661"/>
      <c r="L663" s="482"/>
      <c r="M663" s="483"/>
      <c r="N663" s="484"/>
      <c r="O663" s="694">
        <f>Producción_Agricola[[#This Row],[Superficie]]*Producción_Agricola[[#This Row],[Cantidad]]</f>
        <v>0</v>
      </c>
      <c r="P663" s="482"/>
      <c r="Q663" s="484"/>
      <c r="R663" s="485"/>
      <c r="S663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63" s="761">
        <f>IFERROR(Producción_Agricola[[#This Row],[Económico $Corrientes]]/Producción_Agricola[[#This Row],[Indexación Económico]],0)</f>
        <v>0</v>
      </c>
      <c r="U663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63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63" s="761">
        <f>IFERROR(Producción_Agricola[[#This Row],[Financiero $Corrientes]]/Producción_Agricola[[#This Row],[Indexación Financiero]],0)</f>
        <v>0</v>
      </c>
      <c r="X663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63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63" s="766">
        <f>IFERROR(Producción_Agricola[[#This Row],[Intereses $Corrientes]]/Producción_Agricola[[#This Row],[Indexación Financiero]],0)</f>
        <v>0</v>
      </c>
      <c r="AA663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63" s="768">
        <f>IFERROR(INDEX(Produccion_Agricola_Cuentas[],MATCH(Producción_Agricola[[#This Row],[Cuenta Contable]],Produccion_Agricola_Cuentas[Cuenta Contable],0),2),0)</f>
        <v>0</v>
      </c>
      <c r="AC663" s="769">
        <f>IFERROR(INDEX(Tabla9[],MATCH(Producción_Agricola[[#This Row],[Movimiento]],Tabla9[Movimientos],0),2),0)</f>
        <v>0</v>
      </c>
      <c r="AD663" s="770">
        <f>IFERROR(INDEX(Tabla9[],MATCH(Producción_Agricola[[#This Row],[Movimiento]],Tabla9[Movimientos],0),3),0)</f>
        <v>0</v>
      </c>
      <c r="AE663" s="765">
        <f>IF(Producción_Agricola[[#This Row],[Fecha Económico]]=0,0,MONTH(Producción_Agricola[[#This Row],[Fecha Económico]]))</f>
        <v>0</v>
      </c>
      <c r="AF663" s="766">
        <f>IF(Producción_Agricola[[#This Row],[Fecha Económico]]=0,0,YEAR(Producción_Agricola[[#This Row],[Fecha Económico]]))</f>
        <v>0</v>
      </c>
      <c r="AG663" s="771">
        <f>SUMPRODUCT((Producción_Agricola[[#This Row],[Mes Económico]]=Tipo_Cambio[Mes])*(Producción_Agricola[[#This Row],[Año Económico]]=Tipo_Cambio[Año])*(Tipo_Cambio[$/U$S]))</f>
        <v>0</v>
      </c>
      <c r="AH663" s="770">
        <f>SUMPRODUCT((Producción_Agricola[[#This Row],[Mes Económico]]=Tipo_Cambio[Mes])*(Producción_Agricola[[#This Row],[Año Económico]]=Tipo_Cambio[Año])*(Tipo_Cambio[Actualización]))</f>
        <v>0</v>
      </c>
      <c r="AI663" s="766">
        <f>IF(ISNUMBER(Producción_Agricola[[#This Row],[Fecha Financiero]])=TRUE,MONTH(Producción_Agricola[[#This Row],[Fecha Financiero]]),0)</f>
        <v>0</v>
      </c>
      <c r="AJ663" s="766">
        <f>IF(ISNUMBER(Producción_Agricola[[#This Row],[Fecha Financiero]])=TRUE,YEAR(Producción_Agricola[[#This Row],[Fecha Financiero]]),0)</f>
        <v>0</v>
      </c>
      <c r="AK663" s="771">
        <f>SUMPRODUCT((Producción_Agricola[[#This Row],[Mes Financiero]]=Tipo_Cambio[Mes])*(Producción_Agricola[[#This Row],[Año Financiero]]=Tipo_Cambio[Año])*(Tipo_Cambio[$/U$S]))</f>
        <v>0</v>
      </c>
      <c r="AL663" s="771">
        <f>SUMPRODUCT((Producción_Agricola[[#This Row],[Mes Financiero]]=Tipo_Cambio[Mes])*(Producción_Agricola[[#This Row],[Año Financiero]]=Tipo_Cambio[Año])*(Tipo_Cambio[Actualización]))</f>
        <v>0</v>
      </c>
      <c r="AM663" s="772">
        <f>IFERROR(Producción_Agricola[[#This Row],[Económico $Corrientes]]/Producción_Agricola[[#This Row],[Superficie]],0)</f>
        <v>0</v>
      </c>
      <c r="AN663" s="773">
        <f>IFERROR(Producción_Agricola[[#This Row],[Económico $Constantes]]/Producción_Agricola[[#This Row],[Superficie]],0)</f>
        <v>0</v>
      </c>
      <c r="AO663" s="773">
        <f>IFERROR(Producción_Agricola[[#This Row],[Económico U$S Dólares]]/Producción_Agricola[[#This Row],[Superficie]],0)</f>
        <v>0</v>
      </c>
      <c r="AP663" s="774" t="str">
        <f>IF(Económico!$F$4=0,0,Producción_Agricola[[#This Row],[Centro de Costo]])</f>
        <v>Campo 1</v>
      </c>
      <c r="AQ663" s="512"/>
      <c r="AR663" s="663"/>
    </row>
    <row r="664" spans="4:44" x14ac:dyDescent="0.25">
      <c r="D664" s="478"/>
      <c r="E664" s="478"/>
      <c r="F664" s="668" t="str">
        <f t="shared" si="74"/>
        <v>2018-2019</v>
      </c>
      <c r="G664" s="673" t="str">
        <f t="shared" si="75"/>
        <v>Campo 1</v>
      </c>
      <c r="H664" s="673" t="str">
        <f t="shared" si="76"/>
        <v>Soja de Segunda</v>
      </c>
      <c r="I664" s="687" t="str">
        <f>IFERROR(INDEX(Tabla8[],MATCH(Producción_Agricola[[#This Row],[Unidad de Negocio]],Tabla8[Unidades de Negocio],0),2),0)</f>
        <v>Soja</v>
      </c>
      <c r="J664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64" s="661"/>
      <c r="L664" s="482"/>
      <c r="M664" s="483"/>
      <c r="N664" s="484"/>
      <c r="O664" s="694">
        <f>Producción_Agricola[[#This Row],[Superficie]]*Producción_Agricola[[#This Row],[Cantidad]]</f>
        <v>0</v>
      </c>
      <c r="P664" s="482"/>
      <c r="Q664" s="484"/>
      <c r="R664" s="485"/>
      <c r="S664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64" s="761">
        <f>IFERROR(Producción_Agricola[[#This Row],[Económico $Corrientes]]/Producción_Agricola[[#This Row],[Indexación Económico]],0)</f>
        <v>0</v>
      </c>
      <c r="U664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64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64" s="761">
        <f>IFERROR(Producción_Agricola[[#This Row],[Financiero $Corrientes]]/Producción_Agricola[[#This Row],[Indexación Financiero]],0)</f>
        <v>0</v>
      </c>
      <c r="X664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64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64" s="766">
        <f>IFERROR(Producción_Agricola[[#This Row],[Intereses $Corrientes]]/Producción_Agricola[[#This Row],[Indexación Financiero]],0)</f>
        <v>0</v>
      </c>
      <c r="AA664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64" s="768">
        <f>IFERROR(INDEX(Produccion_Agricola_Cuentas[],MATCH(Producción_Agricola[[#This Row],[Cuenta Contable]],Produccion_Agricola_Cuentas[Cuenta Contable],0),2),0)</f>
        <v>0</v>
      </c>
      <c r="AC664" s="769">
        <f>IFERROR(INDEX(Tabla9[],MATCH(Producción_Agricola[[#This Row],[Movimiento]],Tabla9[Movimientos],0),2),0)</f>
        <v>0</v>
      </c>
      <c r="AD664" s="770">
        <f>IFERROR(INDEX(Tabla9[],MATCH(Producción_Agricola[[#This Row],[Movimiento]],Tabla9[Movimientos],0),3),0)</f>
        <v>0</v>
      </c>
      <c r="AE664" s="765">
        <f>IF(Producción_Agricola[[#This Row],[Fecha Económico]]=0,0,MONTH(Producción_Agricola[[#This Row],[Fecha Económico]]))</f>
        <v>0</v>
      </c>
      <c r="AF664" s="766">
        <f>IF(Producción_Agricola[[#This Row],[Fecha Económico]]=0,0,YEAR(Producción_Agricola[[#This Row],[Fecha Económico]]))</f>
        <v>0</v>
      </c>
      <c r="AG664" s="771">
        <f>SUMPRODUCT((Producción_Agricola[[#This Row],[Mes Económico]]=Tipo_Cambio[Mes])*(Producción_Agricola[[#This Row],[Año Económico]]=Tipo_Cambio[Año])*(Tipo_Cambio[$/U$S]))</f>
        <v>0</v>
      </c>
      <c r="AH664" s="770">
        <f>SUMPRODUCT((Producción_Agricola[[#This Row],[Mes Económico]]=Tipo_Cambio[Mes])*(Producción_Agricola[[#This Row],[Año Económico]]=Tipo_Cambio[Año])*(Tipo_Cambio[Actualización]))</f>
        <v>0</v>
      </c>
      <c r="AI664" s="766">
        <f>IF(ISNUMBER(Producción_Agricola[[#This Row],[Fecha Financiero]])=TRUE,MONTH(Producción_Agricola[[#This Row],[Fecha Financiero]]),0)</f>
        <v>0</v>
      </c>
      <c r="AJ664" s="766">
        <f>IF(ISNUMBER(Producción_Agricola[[#This Row],[Fecha Financiero]])=TRUE,YEAR(Producción_Agricola[[#This Row],[Fecha Financiero]]),0)</f>
        <v>0</v>
      </c>
      <c r="AK664" s="771">
        <f>SUMPRODUCT((Producción_Agricola[[#This Row],[Mes Financiero]]=Tipo_Cambio[Mes])*(Producción_Agricola[[#This Row],[Año Financiero]]=Tipo_Cambio[Año])*(Tipo_Cambio[$/U$S]))</f>
        <v>0</v>
      </c>
      <c r="AL664" s="771">
        <f>SUMPRODUCT((Producción_Agricola[[#This Row],[Mes Financiero]]=Tipo_Cambio[Mes])*(Producción_Agricola[[#This Row],[Año Financiero]]=Tipo_Cambio[Año])*(Tipo_Cambio[Actualización]))</f>
        <v>0</v>
      </c>
      <c r="AM664" s="772">
        <f>IFERROR(Producción_Agricola[[#This Row],[Económico $Corrientes]]/Producción_Agricola[[#This Row],[Superficie]],0)</f>
        <v>0</v>
      </c>
      <c r="AN664" s="773">
        <f>IFERROR(Producción_Agricola[[#This Row],[Económico $Constantes]]/Producción_Agricola[[#This Row],[Superficie]],0)</f>
        <v>0</v>
      </c>
      <c r="AO664" s="773">
        <f>IFERROR(Producción_Agricola[[#This Row],[Económico U$S Dólares]]/Producción_Agricola[[#This Row],[Superficie]],0)</f>
        <v>0</v>
      </c>
      <c r="AP664" s="774" t="str">
        <f>IF(Económico!$F$4=0,0,Producción_Agricola[[#This Row],[Centro de Costo]])</f>
        <v>Campo 1</v>
      </c>
      <c r="AQ664" s="512"/>
      <c r="AR664" s="663"/>
    </row>
    <row r="665" spans="4:44" x14ac:dyDescent="0.25">
      <c r="D665" s="478"/>
      <c r="E665" s="478"/>
      <c r="F665" s="668" t="str">
        <f t="shared" si="74"/>
        <v>2018-2019</v>
      </c>
      <c r="G665" s="673" t="str">
        <f t="shared" si="75"/>
        <v>Campo 1</v>
      </c>
      <c r="H665" s="673" t="str">
        <f t="shared" si="76"/>
        <v>Soja de Segunda</v>
      </c>
      <c r="I665" s="687" t="str">
        <f>IFERROR(INDEX(Tabla8[],MATCH(Producción_Agricola[[#This Row],[Unidad de Negocio]],Tabla8[Unidades de Negocio],0),2),0)</f>
        <v>Soja</v>
      </c>
      <c r="J665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65" s="661"/>
      <c r="L665" s="482"/>
      <c r="M665" s="483"/>
      <c r="N665" s="484"/>
      <c r="O665" s="694">
        <f>Producción_Agricola[[#This Row],[Superficie]]*Producción_Agricola[[#This Row],[Cantidad]]</f>
        <v>0</v>
      </c>
      <c r="P665" s="482"/>
      <c r="Q665" s="484"/>
      <c r="R665" s="485"/>
      <c r="S665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65" s="761">
        <f>IFERROR(Producción_Agricola[[#This Row],[Económico $Corrientes]]/Producción_Agricola[[#This Row],[Indexación Económico]],0)</f>
        <v>0</v>
      </c>
      <c r="U665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65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65" s="761">
        <f>IFERROR(Producción_Agricola[[#This Row],[Financiero $Corrientes]]/Producción_Agricola[[#This Row],[Indexación Financiero]],0)</f>
        <v>0</v>
      </c>
      <c r="X665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65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65" s="766">
        <f>IFERROR(Producción_Agricola[[#This Row],[Intereses $Corrientes]]/Producción_Agricola[[#This Row],[Indexación Financiero]],0)</f>
        <v>0</v>
      </c>
      <c r="AA665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65" s="768">
        <f>IFERROR(INDEX(Produccion_Agricola_Cuentas[],MATCH(Producción_Agricola[[#This Row],[Cuenta Contable]],Produccion_Agricola_Cuentas[Cuenta Contable],0),2),0)</f>
        <v>0</v>
      </c>
      <c r="AC665" s="769">
        <f>IFERROR(INDEX(Tabla9[],MATCH(Producción_Agricola[[#This Row],[Movimiento]],Tabla9[Movimientos],0),2),0)</f>
        <v>0</v>
      </c>
      <c r="AD665" s="770">
        <f>IFERROR(INDEX(Tabla9[],MATCH(Producción_Agricola[[#This Row],[Movimiento]],Tabla9[Movimientos],0),3),0)</f>
        <v>0</v>
      </c>
      <c r="AE665" s="765">
        <f>IF(Producción_Agricola[[#This Row],[Fecha Económico]]=0,0,MONTH(Producción_Agricola[[#This Row],[Fecha Económico]]))</f>
        <v>0</v>
      </c>
      <c r="AF665" s="766">
        <f>IF(Producción_Agricola[[#This Row],[Fecha Económico]]=0,0,YEAR(Producción_Agricola[[#This Row],[Fecha Económico]]))</f>
        <v>0</v>
      </c>
      <c r="AG665" s="771">
        <f>SUMPRODUCT((Producción_Agricola[[#This Row],[Mes Económico]]=Tipo_Cambio[Mes])*(Producción_Agricola[[#This Row],[Año Económico]]=Tipo_Cambio[Año])*(Tipo_Cambio[$/U$S]))</f>
        <v>0</v>
      </c>
      <c r="AH665" s="770">
        <f>SUMPRODUCT((Producción_Agricola[[#This Row],[Mes Económico]]=Tipo_Cambio[Mes])*(Producción_Agricola[[#This Row],[Año Económico]]=Tipo_Cambio[Año])*(Tipo_Cambio[Actualización]))</f>
        <v>0</v>
      </c>
      <c r="AI665" s="766">
        <f>IF(ISNUMBER(Producción_Agricola[[#This Row],[Fecha Financiero]])=TRUE,MONTH(Producción_Agricola[[#This Row],[Fecha Financiero]]),0)</f>
        <v>0</v>
      </c>
      <c r="AJ665" s="766">
        <f>IF(ISNUMBER(Producción_Agricola[[#This Row],[Fecha Financiero]])=TRUE,YEAR(Producción_Agricola[[#This Row],[Fecha Financiero]]),0)</f>
        <v>0</v>
      </c>
      <c r="AK665" s="771">
        <f>SUMPRODUCT((Producción_Agricola[[#This Row],[Mes Financiero]]=Tipo_Cambio[Mes])*(Producción_Agricola[[#This Row],[Año Financiero]]=Tipo_Cambio[Año])*(Tipo_Cambio[$/U$S]))</f>
        <v>0</v>
      </c>
      <c r="AL665" s="771">
        <f>SUMPRODUCT((Producción_Agricola[[#This Row],[Mes Financiero]]=Tipo_Cambio[Mes])*(Producción_Agricola[[#This Row],[Año Financiero]]=Tipo_Cambio[Año])*(Tipo_Cambio[Actualización]))</f>
        <v>0</v>
      </c>
      <c r="AM665" s="772">
        <f>IFERROR(Producción_Agricola[[#This Row],[Económico $Corrientes]]/Producción_Agricola[[#This Row],[Superficie]],0)</f>
        <v>0</v>
      </c>
      <c r="AN665" s="773">
        <f>IFERROR(Producción_Agricola[[#This Row],[Económico $Constantes]]/Producción_Agricola[[#This Row],[Superficie]],0)</f>
        <v>0</v>
      </c>
      <c r="AO665" s="773">
        <f>IFERROR(Producción_Agricola[[#This Row],[Económico U$S Dólares]]/Producción_Agricola[[#This Row],[Superficie]],0)</f>
        <v>0</v>
      </c>
      <c r="AP665" s="774" t="str">
        <f>IF(Económico!$F$4=0,0,Producción_Agricola[[#This Row],[Centro de Costo]])</f>
        <v>Campo 1</v>
      </c>
      <c r="AQ665" s="512"/>
      <c r="AR665" s="663"/>
    </row>
    <row r="666" spans="4:44" x14ac:dyDescent="0.25">
      <c r="D666" s="478"/>
      <c r="E666" s="478"/>
      <c r="F666" s="668" t="str">
        <f t="shared" si="74"/>
        <v>2018-2019</v>
      </c>
      <c r="G666" s="673" t="str">
        <f t="shared" si="75"/>
        <v>Campo 1</v>
      </c>
      <c r="H666" s="673" t="str">
        <f t="shared" si="76"/>
        <v>Soja de Segunda</v>
      </c>
      <c r="I666" s="687" t="str">
        <f>IFERROR(INDEX(Tabla8[],MATCH(Producción_Agricola[[#This Row],[Unidad de Negocio]],Tabla8[Unidades de Negocio],0),2),0)</f>
        <v>Soja</v>
      </c>
      <c r="J666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66" s="661"/>
      <c r="L666" s="482"/>
      <c r="M666" s="483"/>
      <c r="N666" s="484"/>
      <c r="O666" s="694">
        <f>Producción_Agricola[[#This Row],[Superficie]]*Producción_Agricola[[#This Row],[Cantidad]]</f>
        <v>0</v>
      </c>
      <c r="P666" s="482"/>
      <c r="Q666" s="484"/>
      <c r="R666" s="485"/>
      <c r="S666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66" s="761">
        <f>IFERROR(Producción_Agricola[[#This Row],[Económico $Corrientes]]/Producción_Agricola[[#This Row],[Indexación Económico]],0)</f>
        <v>0</v>
      </c>
      <c r="U666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66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66" s="761">
        <f>IFERROR(Producción_Agricola[[#This Row],[Financiero $Corrientes]]/Producción_Agricola[[#This Row],[Indexación Financiero]],0)</f>
        <v>0</v>
      </c>
      <c r="X666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66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66" s="766">
        <f>IFERROR(Producción_Agricola[[#This Row],[Intereses $Corrientes]]/Producción_Agricola[[#This Row],[Indexación Financiero]],0)</f>
        <v>0</v>
      </c>
      <c r="AA666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66" s="768">
        <f>IFERROR(INDEX(Produccion_Agricola_Cuentas[],MATCH(Producción_Agricola[[#This Row],[Cuenta Contable]],Produccion_Agricola_Cuentas[Cuenta Contable],0),2),0)</f>
        <v>0</v>
      </c>
      <c r="AC666" s="769">
        <f>IFERROR(INDEX(Tabla9[],MATCH(Producción_Agricola[[#This Row],[Movimiento]],Tabla9[Movimientos],0),2),0)</f>
        <v>0</v>
      </c>
      <c r="AD666" s="770">
        <f>IFERROR(INDEX(Tabla9[],MATCH(Producción_Agricola[[#This Row],[Movimiento]],Tabla9[Movimientos],0),3),0)</f>
        <v>0</v>
      </c>
      <c r="AE666" s="765">
        <f>IF(Producción_Agricola[[#This Row],[Fecha Económico]]=0,0,MONTH(Producción_Agricola[[#This Row],[Fecha Económico]]))</f>
        <v>0</v>
      </c>
      <c r="AF666" s="766">
        <f>IF(Producción_Agricola[[#This Row],[Fecha Económico]]=0,0,YEAR(Producción_Agricola[[#This Row],[Fecha Económico]]))</f>
        <v>0</v>
      </c>
      <c r="AG666" s="771">
        <f>SUMPRODUCT((Producción_Agricola[[#This Row],[Mes Económico]]=Tipo_Cambio[Mes])*(Producción_Agricola[[#This Row],[Año Económico]]=Tipo_Cambio[Año])*(Tipo_Cambio[$/U$S]))</f>
        <v>0</v>
      </c>
      <c r="AH666" s="770">
        <f>SUMPRODUCT((Producción_Agricola[[#This Row],[Mes Económico]]=Tipo_Cambio[Mes])*(Producción_Agricola[[#This Row],[Año Económico]]=Tipo_Cambio[Año])*(Tipo_Cambio[Actualización]))</f>
        <v>0</v>
      </c>
      <c r="AI666" s="766">
        <f>IF(ISNUMBER(Producción_Agricola[[#This Row],[Fecha Financiero]])=TRUE,MONTH(Producción_Agricola[[#This Row],[Fecha Financiero]]),0)</f>
        <v>0</v>
      </c>
      <c r="AJ666" s="766">
        <f>IF(ISNUMBER(Producción_Agricola[[#This Row],[Fecha Financiero]])=TRUE,YEAR(Producción_Agricola[[#This Row],[Fecha Financiero]]),0)</f>
        <v>0</v>
      </c>
      <c r="AK666" s="771">
        <f>SUMPRODUCT((Producción_Agricola[[#This Row],[Mes Financiero]]=Tipo_Cambio[Mes])*(Producción_Agricola[[#This Row],[Año Financiero]]=Tipo_Cambio[Año])*(Tipo_Cambio[$/U$S]))</f>
        <v>0</v>
      </c>
      <c r="AL666" s="771">
        <f>SUMPRODUCT((Producción_Agricola[[#This Row],[Mes Financiero]]=Tipo_Cambio[Mes])*(Producción_Agricola[[#This Row],[Año Financiero]]=Tipo_Cambio[Año])*(Tipo_Cambio[Actualización]))</f>
        <v>0</v>
      </c>
      <c r="AM666" s="772">
        <f>IFERROR(Producción_Agricola[[#This Row],[Económico $Corrientes]]/Producción_Agricola[[#This Row],[Superficie]],0)</f>
        <v>0</v>
      </c>
      <c r="AN666" s="773">
        <f>IFERROR(Producción_Agricola[[#This Row],[Económico $Constantes]]/Producción_Agricola[[#This Row],[Superficie]],0)</f>
        <v>0</v>
      </c>
      <c r="AO666" s="773">
        <f>IFERROR(Producción_Agricola[[#This Row],[Económico U$S Dólares]]/Producción_Agricola[[#This Row],[Superficie]],0)</f>
        <v>0</v>
      </c>
      <c r="AP666" s="774" t="str">
        <f>IF(Económico!$F$4=0,0,Producción_Agricola[[#This Row],[Centro de Costo]])</f>
        <v>Campo 1</v>
      </c>
      <c r="AQ666" s="512"/>
      <c r="AR666" s="663"/>
    </row>
    <row r="667" spans="4:44" x14ac:dyDescent="0.25">
      <c r="D667" s="478"/>
      <c r="E667" s="478"/>
      <c r="F667" s="668" t="str">
        <f t="shared" si="74"/>
        <v>2018-2019</v>
      </c>
      <c r="G667" s="673" t="str">
        <f t="shared" si="75"/>
        <v>Campo 1</v>
      </c>
      <c r="H667" s="673" t="str">
        <f t="shared" si="76"/>
        <v>Soja de Segunda</v>
      </c>
      <c r="I667" s="687" t="str">
        <f>IFERROR(INDEX(Tabla8[],MATCH(Producción_Agricola[[#This Row],[Unidad de Negocio]],Tabla8[Unidades de Negocio],0),2),0)</f>
        <v>Soja</v>
      </c>
      <c r="J667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67" s="661"/>
      <c r="L667" s="482"/>
      <c r="M667" s="483"/>
      <c r="N667" s="484"/>
      <c r="O667" s="694">
        <f>Producción_Agricola[[#This Row],[Superficie]]*Producción_Agricola[[#This Row],[Cantidad]]</f>
        <v>0</v>
      </c>
      <c r="P667" s="482"/>
      <c r="Q667" s="484"/>
      <c r="R667" s="485"/>
      <c r="S667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67" s="761">
        <f>IFERROR(Producción_Agricola[[#This Row],[Económico $Corrientes]]/Producción_Agricola[[#This Row],[Indexación Económico]],0)</f>
        <v>0</v>
      </c>
      <c r="U667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67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67" s="761">
        <f>IFERROR(Producción_Agricola[[#This Row],[Financiero $Corrientes]]/Producción_Agricola[[#This Row],[Indexación Financiero]],0)</f>
        <v>0</v>
      </c>
      <c r="X667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67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67" s="766">
        <f>IFERROR(Producción_Agricola[[#This Row],[Intereses $Corrientes]]/Producción_Agricola[[#This Row],[Indexación Financiero]],0)</f>
        <v>0</v>
      </c>
      <c r="AA667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67" s="768">
        <f>IFERROR(INDEX(Produccion_Agricola_Cuentas[],MATCH(Producción_Agricola[[#This Row],[Cuenta Contable]],Produccion_Agricola_Cuentas[Cuenta Contable],0),2),0)</f>
        <v>0</v>
      </c>
      <c r="AC667" s="769">
        <f>IFERROR(INDEX(Tabla9[],MATCH(Producción_Agricola[[#This Row],[Movimiento]],Tabla9[Movimientos],0),2),0)</f>
        <v>0</v>
      </c>
      <c r="AD667" s="770">
        <f>IFERROR(INDEX(Tabla9[],MATCH(Producción_Agricola[[#This Row],[Movimiento]],Tabla9[Movimientos],0),3),0)</f>
        <v>0</v>
      </c>
      <c r="AE667" s="765">
        <f>IF(Producción_Agricola[[#This Row],[Fecha Económico]]=0,0,MONTH(Producción_Agricola[[#This Row],[Fecha Económico]]))</f>
        <v>0</v>
      </c>
      <c r="AF667" s="766">
        <f>IF(Producción_Agricola[[#This Row],[Fecha Económico]]=0,0,YEAR(Producción_Agricola[[#This Row],[Fecha Económico]]))</f>
        <v>0</v>
      </c>
      <c r="AG667" s="771">
        <f>SUMPRODUCT((Producción_Agricola[[#This Row],[Mes Económico]]=Tipo_Cambio[Mes])*(Producción_Agricola[[#This Row],[Año Económico]]=Tipo_Cambio[Año])*(Tipo_Cambio[$/U$S]))</f>
        <v>0</v>
      </c>
      <c r="AH667" s="770">
        <f>SUMPRODUCT((Producción_Agricola[[#This Row],[Mes Económico]]=Tipo_Cambio[Mes])*(Producción_Agricola[[#This Row],[Año Económico]]=Tipo_Cambio[Año])*(Tipo_Cambio[Actualización]))</f>
        <v>0</v>
      </c>
      <c r="AI667" s="766">
        <f>IF(ISNUMBER(Producción_Agricola[[#This Row],[Fecha Financiero]])=TRUE,MONTH(Producción_Agricola[[#This Row],[Fecha Financiero]]),0)</f>
        <v>0</v>
      </c>
      <c r="AJ667" s="766">
        <f>IF(ISNUMBER(Producción_Agricola[[#This Row],[Fecha Financiero]])=TRUE,YEAR(Producción_Agricola[[#This Row],[Fecha Financiero]]),0)</f>
        <v>0</v>
      </c>
      <c r="AK667" s="771">
        <f>SUMPRODUCT((Producción_Agricola[[#This Row],[Mes Financiero]]=Tipo_Cambio[Mes])*(Producción_Agricola[[#This Row],[Año Financiero]]=Tipo_Cambio[Año])*(Tipo_Cambio[$/U$S]))</f>
        <v>0</v>
      </c>
      <c r="AL667" s="771">
        <f>SUMPRODUCT((Producción_Agricola[[#This Row],[Mes Financiero]]=Tipo_Cambio[Mes])*(Producción_Agricola[[#This Row],[Año Financiero]]=Tipo_Cambio[Año])*(Tipo_Cambio[Actualización]))</f>
        <v>0</v>
      </c>
      <c r="AM667" s="772">
        <f>IFERROR(Producción_Agricola[[#This Row],[Económico $Corrientes]]/Producción_Agricola[[#This Row],[Superficie]],0)</f>
        <v>0</v>
      </c>
      <c r="AN667" s="773">
        <f>IFERROR(Producción_Agricola[[#This Row],[Económico $Constantes]]/Producción_Agricola[[#This Row],[Superficie]],0)</f>
        <v>0</v>
      </c>
      <c r="AO667" s="773">
        <f>IFERROR(Producción_Agricola[[#This Row],[Económico U$S Dólares]]/Producción_Agricola[[#This Row],[Superficie]],0)</f>
        <v>0</v>
      </c>
      <c r="AP667" s="774" t="str">
        <f>IF(Económico!$F$4=0,0,Producción_Agricola[[#This Row],[Centro de Costo]])</f>
        <v>Campo 1</v>
      </c>
      <c r="AQ667" s="512"/>
      <c r="AR667" s="663"/>
    </row>
    <row r="668" spans="4:44" x14ac:dyDescent="0.25">
      <c r="D668" s="478"/>
      <c r="E668" s="478"/>
      <c r="F668" s="668" t="str">
        <f t="shared" si="74"/>
        <v>2018-2019</v>
      </c>
      <c r="G668" s="673" t="str">
        <f t="shared" si="75"/>
        <v>Campo 1</v>
      </c>
      <c r="H668" s="673" t="str">
        <f t="shared" si="76"/>
        <v>Soja de Segunda</v>
      </c>
      <c r="I668" s="687" t="str">
        <f>IFERROR(INDEX(Tabla8[],MATCH(Producción_Agricola[[#This Row],[Unidad de Negocio]],Tabla8[Unidades de Negocio],0),2),0)</f>
        <v>Soja</v>
      </c>
      <c r="J668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68" s="661"/>
      <c r="L668" s="482"/>
      <c r="M668" s="483"/>
      <c r="N668" s="484"/>
      <c r="O668" s="694">
        <f>Producción_Agricola[[#This Row],[Superficie]]*Producción_Agricola[[#This Row],[Cantidad]]</f>
        <v>0</v>
      </c>
      <c r="P668" s="482"/>
      <c r="Q668" s="484"/>
      <c r="R668" s="485"/>
      <c r="S668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68" s="761">
        <f>IFERROR(Producción_Agricola[[#This Row],[Económico $Corrientes]]/Producción_Agricola[[#This Row],[Indexación Económico]],0)</f>
        <v>0</v>
      </c>
      <c r="U668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68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68" s="761">
        <f>IFERROR(Producción_Agricola[[#This Row],[Financiero $Corrientes]]/Producción_Agricola[[#This Row],[Indexación Financiero]],0)</f>
        <v>0</v>
      </c>
      <c r="X668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68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68" s="766">
        <f>IFERROR(Producción_Agricola[[#This Row],[Intereses $Corrientes]]/Producción_Agricola[[#This Row],[Indexación Financiero]],0)</f>
        <v>0</v>
      </c>
      <c r="AA668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68" s="768">
        <f>IFERROR(INDEX(Produccion_Agricola_Cuentas[],MATCH(Producción_Agricola[[#This Row],[Cuenta Contable]],Produccion_Agricola_Cuentas[Cuenta Contable],0),2),0)</f>
        <v>0</v>
      </c>
      <c r="AC668" s="769">
        <f>IFERROR(INDEX(Tabla9[],MATCH(Producción_Agricola[[#This Row],[Movimiento]],Tabla9[Movimientos],0),2),0)</f>
        <v>0</v>
      </c>
      <c r="AD668" s="770">
        <f>IFERROR(INDEX(Tabla9[],MATCH(Producción_Agricola[[#This Row],[Movimiento]],Tabla9[Movimientos],0),3),0)</f>
        <v>0</v>
      </c>
      <c r="AE668" s="765">
        <f>IF(Producción_Agricola[[#This Row],[Fecha Económico]]=0,0,MONTH(Producción_Agricola[[#This Row],[Fecha Económico]]))</f>
        <v>0</v>
      </c>
      <c r="AF668" s="766">
        <f>IF(Producción_Agricola[[#This Row],[Fecha Económico]]=0,0,YEAR(Producción_Agricola[[#This Row],[Fecha Económico]]))</f>
        <v>0</v>
      </c>
      <c r="AG668" s="771">
        <f>SUMPRODUCT((Producción_Agricola[[#This Row],[Mes Económico]]=Tipo_Cambio[Mes])*(Producción_Agricola[[#This Row],[Año Económico]]=Tipo_Cambio[Año])*(Tipo_Cambio[$/U$S]))</f>
        <v>0</v>
      </c>
      <c r="AH668" s="770">
        <f>SUMPRODUCT((Producción_Agricola[[#This Row],[Mes Económico]]=Tipo_Cambio[Mes])*(Producción_Agricola[[#This Row],[Año Económico]]=Tipo_Cambio[Año])*(Tipo_Cambio[Actualización]))</f>
        <v>0</v>
      </c>
      <c r="AI668" s="766">
        <f>IF(ISNUMBER(Producción_Agricola[[#This Row],[Fecha Financiero]])=TRUE,MONTH(Producción_Agricola[[#This Row],[Fecha Financiero]]),0)</f>
        <v>0</v>
      </c>
      <c r="AJ668" s="766">
        <f>IF(ISNUMBER(Producción_Agricola[[#This Row],[Fecha Financiero]])=TRUE,YEAR(Producción_Agricola[[#This Row],[Fecha Financiero]]),0)</f>
        <v>0</v>
      </c>
      <c r="AK668" s="771">
        <f>SUMPRODUCT((Producción_Agricola[[#This Row],[Mes Financiero]]=Tipo_Cambio[Mes])*(Producción_Agricola[[#This Row],[Año Financiero]]=Tipo_Cambio[Año])*(Tipo_Cambio[$/U$S]))</f>
        <v>0</v>
      </c>
      <c r="AL668" s="771">
        <f>SUMPRODUCT((Producción_Agricola[[#This Row],[Mes Financiero]]=Tipo_Cambio[Mes])*(Producción_Agricola[[#This Row],[Año Financiero]]=Tipo_Cambio[Año])*(Tipo_Cambio[Actualización]))</f>
        <v>0</v>
      </c>
      <c r="AM668" s="772">
        <f>IFERROR(Producción_Agricola[[#This Row],[Económico $Corrientes]]/Producción_Agricola[[#This Row],[Superficie]],0)</f>
        <v>0</v>
      </c>
      <c r="AN668" s="773">
        <f>IFERROR(Producción_Agricola[[#This Row],[Económico $Constantes]]/Producción_Agricola[[#This Row],[Superficie]],0)</f>
        <v>0</v>
      </c>
      <c r="AO668" s="773">
        <f>IFERROR(Producción_Agricola[[#This Row],[Económico U$S Dólares]]/Producción_Agricola[[#This Row],[Superficie]],0)</f>
        <v>0</v>
      </c>
      <c r="AP668" s="774" t="str">
        <f>IF(Económico!$F$4=0,0,Producción_Agricola[[#This Row],[Centro de Costo]])</f>
        <v>Campo 1</v>
      </c>
      <c r="AQ668" s="512"/>
      <c r="AR668" s="663"/>
    </row>
    <row r="669" spans="4:44" x14ac:dyDescent="0.25">
      <c r="D669" s="478"/>
      <c r="E669" s="478"/>
      <c r="F669" s="668" t="str">
        <f t="shared" si="74"/>
        <v>2018-2019</v>
      </c>
      <c r="G669" s="673" t="str">
        <f t="shared" si="75"/>
        <v>Campo 1</v>
      </c>
      <c r="H669" s="673" t="str">
        <f t="shared" si="76"/>
        <v>Soja de Segunda</v>
      </c>
      <c r="I669" s="687" t="str">
        <f>IFERROR(INDEX(Tabla8[],MATCH(Producción_Agricola[[#This Row],[Unidad de Negocio]],Tabla8[Unidades de Negocio],0),2),0)</f>
        <v>Soja</v>
      </c>
      <c r="J669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69" s="661"/>
      <c r="L669" s="482"/>
      <c r="M669" s="483"/>
      <c r="N669" s="484"/>
      <c r="O669" s="694">
        <f>Producción_Agricola[[#This Row],[Superficie]]*Producción_Agricola[[#This Row],[Cantidad]]</f>
        <v>0</v>
      </c>
      <c r="P669" s="482"/>
      <c r="Q669" s="484"/>
      <c r="R669" s="485"/>
      <c r="S669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69" s="761">
        <f>IFERROR(Producción_Agricola[[#This Row],[Económico $Corrientes]]/Producción_Agricola[[#This Row],[Indexación Económico]],0)</f>
        <v>0</v>
      </c>
      <c r="U669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69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69" s="761">
        <f>IFERROR(Producción_Agricola[[#This Row],[Financiero $Corrientes]]/Producción_Agricola[[#This Row],[Indexación Financiero]],0)</f>
        <v>0</v>
      </c>
      <c r="X669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69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69" s="766">
        <f>IFERROR(Producción_Agricola[[#This Row],[Intereses $Corrientes]]/Producción_Agricola[[#This Row],[Indexación Financiero]],0)</f>
        <v>0</v>
      </c>
      <c r="AA669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69" s="768">
        <f>IFERROR(INDEX(Produccion_Agricola_Cuentas[],MATCH(Producción_Agricola[[#This Row],[Cuenta Contable]],Produccion_Agricola_Cuentas[Cuenta Contable],0),2),0)</f>
        <v>0</v>
      </c>
      <c r="AC669" s="769">
        <f>IFERROR(INDEX(Tabla9[],MATCH(Producción_Agricola[[#This Row],[Movimiento]],Tabla9[Movimientos],0),2),0)</f>
        <v>0</v>
      </c>
      <c r="AD669" s="770">
        <f>IFERROR(INDEX(Tabla9[],MATCH(Producción_Agricola[[#This Row],[Movimiento]],Tabla9[Movimientos],0),3),0)</f>
        <v>0</v>
      </c>
      <c r="AE669" s="765">
        <f>IF(Producción_Agricola[[#This Row],[Fecha Económico]]=0,0,MONTH(Producción_Agricola[[#This Row],[Fecha Económico]]))</f>
        <v>0</v>
      </c>
      <c r="AF669" s="766">
        <f>IF(Producción_Agricola[[#This Row],[Fecha Económico]]=0,0,YEAR(Producción_Agricola[[#This Row],[Fecha Económico]]))</f>
        <v>0</v>
      </c>
      <c r="AG669" s="771">
        <f>SUMPRODUCT((Producción_Agricola[[#This Row],[Mes Económico]]=Tipo_Cambio[Mes])*(Producción_Agricola[[#This Row],[Año Económico]]=Tipo_Cambio[Año])*(Tipo_Cambio[$/U$S]))</f>
        <v>0</v>
      </c>
      <c r="AH669" s="770">
        <f>SUMPRODUCT((Producción_Agricola[[#This Row],[Mes Económico]]=Tipo_Cambio[Mes])*(Producción_Agricola[[#This Row],[Año Económico]]=Tipo_Cambio[Año])*(Tipo_Cambio[Actualización]))</f>
        <v>0</v>
      </c>
      <c r="AI669" s="766">
        <f>IF(ISNUMBER(Producción_Agricola[[#This Row],[Fecha Financiero]])=TRUE,MONTH(Producción_Agricola[[#This Row],[Fecha Financiero]]),0)</f>
        <v>0</v>
      </c>
      <c r="AJ669" s="766">
        <f>IF(ISNUMBER(Producción_Agricola[[#This Row],[Fecha Financiero]])=TRUE,YEAR(Producción_Agricola[[#This Row],[Fecha Financiero]]),0)</f>
        <v>0</v>
      </c>
      <c r="AK669" s="771">
        <f>SUMPRODUCT((Producción_Agricola[[#This Row],[Mes Financiero]]=Tipo_Cambio[Mes])*(Producción_Agricola[[#This Row],[Año Financiero]]=Tipo_Cambio[Año])*(Tipo_Cambio[$/U$S]))</f>
        <v>0</v>
      </c>
      <c r="AL669" s="771">
        <f>SUMPRODUCT((Producción_Agricola[[#This Row],[Mes Financiero]]=Tipo_Cambio[Mes])*(Producción_Agricola[[#This Row],[Año Financiero]]=Tipo_Cambio[Año])*(Tipo_Cambio[Actualización]))</f>
        <v>0</v>
      </c>
      <c r="AM669" s="772">
        <f>IFERROR(Producción_Agricola[[#This Row],[Económico $Corrientes]]/Producción_Agricola[[#This Row],[Superficie]],0)</f>
        <v>0</v>
      </c>
      <c r="AN669" s="773">
        <f>IFERROR(Producción_Agricola[[#This Row],[Económico $Constantes]]/Producción_Agricola[[#This Row],[Superficie]],0)</f>
        <v>0</v>
      </c>
      <c r="AO669" s="773">
        <f>IFERROR(Producción_Agricola[[#This Row],[Económico U$S Dólares]]/Producción_Agricola[[#This Row],[Superficie]],0)</f>
        <v>0</v>
      </c>
      <c r="AP669" s="774" t="str">
        <f>IF(Económico!$F$4=0,0,Producción_Agricola[[#This Row],[Centro de Costo]])</f>
        <v>Campo 1</v>
      </c>
      <c r="AQ669" s="512"/>
      <c r="AR669" s="663"/>
    </row>
    <row r="670" spans="4:44" x14ac:dyDescent="0.25">
      <c r="D670" s="478"/>
      <c r="E670" s="478"/>
      <c r="F670" s="668" t="str">
        <f t="shared" si="74"/>
        <v>2018-2019</v>
      </c>
      <c r="G670" s="673" t="str">
        <f t="shared" si="75"/>
        <v>Campo 1</v>
      </c>
      <c r="H670" s="673" t="str">
        <f t="shared" si="76"/>
        <v>Soja de Segunda</v>
      </c>
      <c r="I670" s="687" t="str">
        <f>IFERROR(INDEX(Tabla8[],MATCH(Producción_Agricola[[#This Row],[Unidad de Negocio]],Tabla8[Unidades de Negocio],0),2),0)</f>
        <v>Soja</v>
      </c>
      <c r="J670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70" s="661"/>
      <c r="L670" s="482"/>
      <c r="M670" s="483"/>
      <c r="N670" s="484"/>
      <c r="O670" s="694">
        <f>Producción_Agricola[[#This Row],[Superficie]]*Producción_Agricola[[#This Row],[Cantidad]]</f>
        <v>0</v>
      </c>
      <c r="P670" s="482"/>
      <c r="Q670" s="484"/>
      <c r="R670" s="485"/>
      <c r="S670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70" s="761">
        <f>IFERROR(Producción_Agricola[[#This Row],[Económico $Corrientes]]/Producción_Agricola[[#This Row],[Indexación Económico]],0)</f>
        <v>0</v>
      </c>
      <c r="U670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70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70" s="761">
        <f>IFERROR(Producción_Agricola[[#This Row],[Financiero $Corrientes]]/Producción_Agricola[[#This Row],[Indexación Financiero]],0)</f>
        <v>0</v>
      </c>
      <c r="X670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70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70" s="766">
        <f>IFERROR(Producción_Agricola[[#This Row],[Intereses $Corrientes]]/Producción_Agricola[[#This Row],[Indexación Financiero]],0)</f>
        <v>0</v>
      </c>
      <c r="AA670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70" s="768">
        <f>IFERROR(INDEX(Produccion_Agricola_Cuentas[],MATCH(Producción_Agricola[[#This Row],[Cuenta Contable]],Produccion_Agricola_Cuentas[Cuenta Contable],0),2),0)</f>
        <v>0</v>
      </c>
      <c r="AC670" s="769">
        <f>IFERROR(INDEX(Tabla9[],MATCH(Producción_Agricola[[#This Row],[Movimiento]],Tabla9[Movimientos],0),2),0)</f>
        <v>0</v>
      </c>
      <c r="AD670" s="770">
        <f>IFERROR(INDEX(Tabla9[],MATCH(Producción_Agricola[[#This Row],[Movimiento]],Tabla9[Movimientos],0),3),0)</f>
        <v>0</v>
      </c>
      <c r="AE670" s="765">
        <f>IF(Producción_Agricola[[#This Row],[Fecha Económico]]=0,0,MONTH(Producción_Agricola[[#This Row],[Fecha Económico]]))</f>
        <v>0</v>
      </c>
      <c r="AF670" s="766">
        <f>IF(Producción_Agricola[[#This Row],[Fecha Económico]]=0,0,YEAR(Producción_Agricola[[#This Row],[Fecha Económico]]))</f>
        <v>0</v>
      </c>
      <c r="AG670" s="771">
        <f>SUMPRODUCT((Producción_Agricola[[#This Row],[Mes Económico]]=Tipo_Cambio[Mes])*(Producción_Agricola[[#This Row],[Año Económico]]=Tipo_Cambio[Año])*(Tipo_Cambio[$/U$S]))</f>
        <v>0</v>
      </c>
      <c r="AH670" s="770">
        <f>SUMPRODUCT((Producción_Agricola[[#This Row],[Mes Económico]]=Tipo_Cambio[Mes])*(Producción_Agricola[[#This Row],[Año Económico]]=Tipo_Cambio[Año])*(Tipo_Cambio[Actualización]))</f>
        <v>0</v>
      </c>
      <c r="AI670" s="766">
        <f>IF(ISNUMBER(Producción_Agricola[[#This Row],[Fecha Financiero]])=TRUE,MONTH(Producción_Agricola[[#This Row],[Fecha Financiero]]),0)</f>
        <v>0</v>
      </c>
      <c r="AJ670" s="766">
        <f>IF(ISNUMBER(Producción_Agricola[[#This Row],[Fecha Financiero]])=TRUE,YEAR(Producción_Agricola[[#This Row],[Fecha Financiero]]),0)</f>
        <v>0</v>
      </c>
      <c r="AK670" s="771">
        <f>SUMPRODUCT((Producción_Agricola[[#This Row],[Mes Financiero]]=Tipo_Cambio[Mes])*(Producción_Agricola[[#This Row],[Año Financiero]]=Tipo_Cambio[Año])*(Tipo_Cambio[$/U$S]))</f>
        <v>0</v>
      </c>
      <c r="AL670" s="771">
        <f>SUMPRODUCT((Producción_Agricola[[#This Row],[Mes Financiero]]=Tipo_Cambio[Mes])*(Producción_Agricola[[#This Row],[Año Financiero]]=Tipo_Cambio[Año])*(Tipo_Cambio[Actualización]))</f>
        <v>0</v>
      </c>
      <c r="AM670" s="772">
        <f>IFERROR(Producción_Agricola[[#This Row],[Económico $Corrientes]]/Producción_Agricola[[#This Row],[Superficie]],0)</f>
        <v>0</v>
      </c>
      <c r="AN670" s="773">
        <f>IFERROR(Producción_Agricola[[#This Row],[Económico $Constantes]]/Producción_Agricola[[#This Row],[Superficie]],0)</f>
        <v>0</v>
      </c>
      <c r="AO670" s="773">
        <f>IFERROR(Producción_Agricola[[#This Row],[Económico U$S Dólares]]/Producción_Agricola[[#This Row],[Superficie]],0)</f>
        <v>0</v>
      </c>
      <c r="AP670" s="774" t="str">
        <f>IF(Económico!$F$4=0,0,Producción_Agricola[[#This Row],[Centro de Costo]])</f>
        <v>Campo 1</v>
      </c>
      <c r="AQ670" s="512"/>
      <c r="AR670" s="663"/>
    </row>
    <row r="671" spans="4:44" x14ac:dyDescent="0.25">
      <c r="D671" s="478"/>
      <c r="E671" s="478"/>
      <c r="F671" s="668" t="str">
        <f t="shared" si="74"/>
        <v>2018-2019</v>
      </c>
      <c r="G671" s="673" t="str">
        <f t="shared" si="75"/>
        <v>Campo 1</v>
      </c>
      <c r="H671" s="673" t="str">
        <f t="shared" si="76"/>
        <v>Soja de Segunda</v>
      </c>
      <c r="I671" s="687" t="str">
        <f>IFERROR(INDEX(Tabla8[],MATCH(Producción_Agricola[[#This Row],[Unidad de Negocio]],Tabla8[Unidades de Negocio],0),2),0)</f>
        <v>Soja</v>
      </c>
      <c r="J671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71" s="661"/>
      <c r="L671" s="482"/>
      <c r="M671" s="483"/>
      <c r="N671" s="484"/>
      <c r="O671" s="694">
        <f>Producción_Agricola[[#This Row],[Superficie]]*Producción_Agricola[[#This Row],[Cantidad]]</f>
        <v>0</v>
      </c>
      <c r="P671" s="482"/>
      <c r="Q671" s="484"/>
      <c r="R671" s="485"/>
      <c r="S671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71" s="761">
        <f>IFERROR(Producción_Agricola[[#This Row],[Económico $Corrientes]]/Producción_Agricola[[#This Row],[Indexación Económico]],0)</f>
        <v>0</v>
      </c>
      <c r="U671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71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71" s="761">
        <f>IFERROR(Producción_Agricola[[#This Row],[Financiero $Corrientes]]/Producción_Agricola[[#This Row],[Indexación Financiero]],0)</f>
        <v>0</v>
      </c>
      <c r="X671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71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71" s="766">
        <f>IFERROR(Producción_Agricola[[#This Row],[Intereses $Corrientes]]/Producción_Agricola[[#This Row],[Indexación Financiero]],0)</f>
        <v>0</v>
      </c>
      <c r="AA671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71" s="768">
        <f>IFERROR(INDEX(Produccion_Agricola_Cuentas[],MATCH(Producción_Agricola[[#This Row],[Cuenta Contable]],Produccion_Agricola_Cuentas[Cuenta Contable],0),2),0)</f>
        <v>0</v>
      </c>
      <c r="AC671" s="769">
        <f>IFERROR(INDEX(Tabla9[],MATCH(Producción_Agricola[[#This Row],[Movimiento]],Tabla9[Movimientos],0),2),0)</f>
        <v>0</v>
      </c>
      <c r="AD671" s="770">
        <f>IFERROR(INDEX(Tabla9[],MATCH(Producción_Agricola[[#This Row],[Movimiento]],Tabla9[Movimientos],0),3),0)</f>
        <v>0</v>
      </c>
      <c r="AE671" s="765">
        <f>IF(Producción_Agricola[[#This Row],[Fecha Económico]]=0,0,MONTH(Producción_Agricola[[#This Row],[Fecha Económico]]))</f>
        <v>0</v>
      </c>
      <c r="AF671" s="766">
        <f>IF(Producción_Agricola[[#This Row],[Fecha Económico]]=0,0,YEAR(Producción_Agricola[[#This Row],[Fecha Económico]]))</f>
        <v>0</v>
      </c>
      <c r="AG671" s="771">
        <f>SUMPRODUCT((Producción_Agricola[[#This Row],[Mes Económico]]=Tipo_Cambio[Mes])*(Producción_Agricola[[#This Row],[Año Económico]]=Tipo_Cambio[Año])*(Tipo_Cambio[$/U$S]))</f>
        <v>0</v>
      </c>
      <c r="AH671" s="770">
        <f>SUMPRODUCT((Producción_Agricola[[#This Row],[Mes Económico]]=Tipo_Cambio[Mes])*(Producción_Agricola[[#This Row],[Año Económico]]=Tipo_Cambio[Año])*(Tipo_Cambio[Actualización]))</f>
        <v>0</v>
      </c>
      <c r="AI671" s="766">
        <f>IF(ISNUMBER(Producción_Agricola[[#This Row],[Fecha Financiero]])=TRUE,MONTH(Producción_Agricola[[#This Row],[Fecha Financiero]]),0)</f>
        <v>0</v>
      </c>
      <c r="AJ671" s="766">
        <f>IF(ISNUMBER(Producción_Agricola[[#This Row],[Fecha Financiero]])=TRUE,YEAR(Producción_Agricola[[#This Row],[Fecha Financiero]]),0)</f>
        <v>0</v>
      </c>
      <c r="AK671" s="771">
        <f>SUMPRODUCT((Producción_Agricola[[#This Row],[Mes Financiero]]=Tipo_Cambio[Mes])*(Producción_Agricola[[#This Row],[Año Financiero]]=Tipo_Cambio[Año])*(Tipo_Cambio[$/U$S]))</f>
        <v>0</v>
      </c>
      <c r="AL671" s="771">
        <f>SUMPRODUCT((Producción_Agricola[[#This Row],[Mes Financiero]]=Tipo_Cambio[Mes])*(Producción_Agricola[[#This Row],[Año Financiero]]=Tipo_Cambio[Año])*(Tipo_Cambio[Actualización]))</f>
        <v>0</v>
      </c>
      <c r="AM671" s="772">
        <f>IFERROR(Producción_Agricola[[#This Row],[Económico $Corrientes]]/Producción_Agricola[[#This Row],[Superficie]],0)</f>
        <v>0</v>
      </c>
      <c r="AN671" s="773">
        <f>IFERROR(Producción_Agricola[[#This Row],[Económico $Constantes]]/Producción_Agricola[[#This Row],[Superficie]],0)</f>
        <v>0</v>
      </c>
      <c r="AO671" s="773">
        <f>IFERROR(Producción_Agricola[[#This Row],[Económico U$S Dólares]]/Producción_Agricola[[#This Row],[Superficie]],0)</f>
        <v>0</v>
      </c>
      <c r="AP671" s="774" t="str">
        <f>IF(Económico!$F$4=0,0,Producción_Agricola[[#This Row],[Centro de Costo]])</f>
        <v>Campo 1</v>
      </c>
      <c r="AQ671" s="512"/>
      <c r="AR671" s="663"/>
    </row>
    <row r="672" spans="4:44" x14ac:dyDescent="0.25">
      <c r="D672" s="478"/>
      <c r="E672" s="478"/>
      <c r="F672" s="668" t="str">
        <f t="shared" si="74"/>
        <v>2018-2019</v>
      </c>
      <c r="G672" s="673" t="str">
        <f t="shared" si="75"/>
        <v>Campo 1</v>
      </c>
      <c r="H672" s="673" t="str">
        <f t="shared" si="76"/>
        <v>Soja de Segunda</v>
      </c>
      <c r="I672" s="687" t="str">
        <f>IFERROR(INDEX(Tabla8[],MATCH(Producción_Agricola[[#This Row],[Unidad de Negocio]],Tabla8[Unidades de Negocio],0),2),0)</f>
        <v>Soja</v>
      </c>
      <c r="J672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72" s="661"/>
      <c r="L672" s="482"/>
      <c r="M672" s="483"/>
      <c r="N672" s="484"/>
      <c r="O672" s="694">
        <f>Producción_Agricola[[#This Row],[Superficie]]*Producción_Agricola[[#This Row],[Cantidad]]</f>
        <v>0</v>
      </c>
      <c r="P672" s="482"/>
      <c r="Q672" s="484"/>
      <c r="R672" s="485"/>
      <c r="S672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72" s="761">
        <f>IFERROR(Producción_Agricola[[#This Row],[Económico $Corrientes]]/Producción_Agricola[[#This Row],[Indexación Económico]],0)</f>
        <v>0</v>
      </c>
      <c r="U672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72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72" s="761">
        <f>IFERROR(Producción_Agricola[[#This Row],[Financiero $Corrientes]]/Producción_Agricola[[#This Row],[Indexación Financiero]],0)</f>
        <v>0</v>
      </c>
      <c r="X672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72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72" s="766">
        <f>IFERROR(Producción_Agricola[[#This Row],[Intereses $Corrientes]]/Producción_Agricola[[#This Row],[Indexación Financiero]],0)</f>
        <v>0</v>
      </c>
      <c r="AA672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72" s="768">
        <f>IFERROR(INDEX(Produccion_Agricola_Cuentas[],MATCH(Producción_Agricola[[#This Row],[Cuenta Contable]],Produccion_Agricola_Cuentas[Cuenta Contable],0),2),0)</f>
        <v>0</v>
      </c>
      <c r="AC672" s="769">
        <f>IFERROR(INDEX(Tabla9[],MATCH(Producción_Agricola[[#This Row],[Movimiento]],Tabla9[Movimientos],0),2),0)</f>
        <v>0</v>
      </c>
      <c r="AD672" s="770">
        <f>IFERROR(INDEX(Tabla9[],MATCH(Producción_Agricola[[#This Row],[Movimiento]],Tabla9[Movimientos],0),3),0)</f>
        <v>0</v>
      </c>
      <c r="AE672" s="765">
        <f>IF(Producción_Agricola[[#This Row],[Fecha Económico]]=0,0,MONTH(Producción_Agricola[[#This Row],[Fecha Económico]]))</f>
        <v>0</v>
      </c>
      <c r="AF672" s="766">
        <f>IF(Producción_Agricola[[#This Row],[Fecha Económico]]=0,0,YEAR(Producción_Agricola[[#This Row],[Fecha Económico]]))</f>
        <v>0</v>
      </c>
      <c r="AG672" s="771">
        <f>SUMPRODUCT((Producción_Agricola[[#This Row],[Mes Económico]]=Tipo_Cambio[Mes])*(Producción_Agricola[[#This Row],[Año Económico]]=Tipo_Cambio[Año])*(Tipo_Cambio[$/U$S]))</f>
        <v>0</v>
      </c>
      <c r="AH672" s="770">
        <f>SUMPRODUCT((Producción_Agricola[[#This Row],[Mes Económico]]=Tipo_Cambio[Mes])*(Producción_Agricola[[#This Row],[Año Económico]]=Tipo_Cambio[Año])*(Tipo_Cambio[Actualización]))</f>
        <v>0</v>
      </c>
      <c r="AI672" s="766">
        <f>IF(ISNUMBER(Producción_Agricola[[#This Row],[Fecha Financiero]])=TRUE,MONTH(Producción_Agricola[[#This Row],[Fecha Financiero]]),0)</f>
        <v>0</v>
      </c>
      <c r="AJ672" s="766">
        <f>IF(ISNUMBER(Producción_Agricola[[#This Row],[Fecha Financiero]])=TRUE,YEAR(Producción_Agricola[[#This Row],[Fecha Financiero]]),0)</f>
        <v>0</v>
      </c>
      <c r="AK672" s="771">
        <f>SUMPRODUCT((Producción_Agricola[[#This Row],[Mes Financiero]]=Tipo_Cambio[Mes])*(Producción_Agricola[[#This Row],[Año Financiero]]=Tipo_Cambio[Año])*(Tipo_Cambio[$/U$S]))</f>
        <v>0</v>
      </c>
      <c r="AL672" s="771">
        <f>SUMPRODUCT((Producción_Agricola[[#This Row],[Mes Financiero]]=Tipo_Cambio[Mes])*(Producción_Agricola[[#This Row],[Año Financiero]]=Tipo_Cambio[Año])*(Tipo_Cambio[Actualización]))</f>
        <v>0</v>
      </c>
      <c r="AM672" s="772">
        <f>IFERROR(Producción_Agricola[[#This Row],[Económico $Corrientes]]/Producción_Agricola[[#This Row],[Superficie]],0)</f>
        <v>0</v>
      </c>
      <c r="AN672" s="773">
        <f>IFERROR(Producción_Agricola[[#This Row],[Económico $Constantes]]/Producción_Agricola[[#This Row],[Superficie]],0)</f>
        <v>0</v>
      </c>
      <c r="AO672" s="773">
        <f>IFERROR(Producción_Agricola[[#This Row],[Económico U$S Dólares]]/Producción_Agricola[[#This Row],[Superficie]],0)</f>
        <v>0</v>
      </c>
      <c r="AP672" s="774" t="str">
        <f>IF(Económico!$F$4=0,0,Producción_Agricola[[#This Row],[Centro de Costo]])</f>
        <v>Campo 1</v>
      </c>
      <c r="AQ672" s="512"/>
      <c r="AR672" s="663"/>
    </row>
    <row r="673" spans="4:44" x14ac:dyDescent="0.25">
      <c r="D673" s="478"/>
      <c r="E673" s="478"/>
      <c r="F673" s="668" t="str">
        <f t="shared" si="74"/>
        <v>2018-2019</v>
      </c>
      <c r="G673" s="673" t="str">
        <f t="shared" si="75"/>
        <v>Campo 1</v>
      </c>
      <c r="H673" s="673" t="str">
        <f t="shared" si="76"/>
        <v>Soja de Segunda</v>
      </c>
      <c r="I673" s="687" t="str">
        <f>IFERROR(INDEX(Tabla8[],MATCH(Producción_Agricola[[#This Row],[Unidad de Negocio]],Tabla8[Unidades de Negocio],0),2),0)</f>
        <v>Soja</v>
      </c>
      <c r="J673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73" s="661"/>
      <c r="L673" s="482"/>
      <c r="M673" s="483"/>
      <c r="N673" s="484"/>
      <c r="O673" s="694">
        <f>Producción_Agricola[[#This Row],[Superficie]]*Producción_Agricola[[#This Row],[Cantidad]]</f>
        <v>0</v>
      </c>
      <c r="P673" s="482"/>
      <c r="Q673" s="484"/>
      <c r="R673" s="485"/>
      <c r="S673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73" s="761">
        <f>IFERROR(Producción_Agricola[[#This Row],[Económico $Corrientes]]/Producción_Agricola[[#This Row],[Indexación Económico]],0)</f>
        <v>0</v>
      </c>
      <c r="U673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73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73" s="761">
        <f>IFERROR(Producción_Agricola[[#This Row],[Financiero $Corrientes]]/Producción_Agricola[[#This Row],[Indexación Financiero]],0)</f>
        <v>0</v>
      </c>
      <c r="X673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73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73" s="766">
        <f>IFERROR(Producción_Agricola[[#This Row],[Intereses $Corrientes]]/Producción_Agricola[[#This Row],[Indexación Financiero]],0)</f>
        <v>0</v>
      </c>
      <c r="AA673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73" s="768">
        <f>IFERROR(INDEX(Produccion_Agricola_Cuentas[],MATCH(Producción_Agricola[[#This Row],[Cuenta Contable]],Produccion_Agricola_Cuentas[Cuenta Contable],0),2),0)</f>
        <v>0</v>
      </c>
      <c r="AC673" s="769">
        <f>IFERROR(INDEX(Tabla9[],MATCH(Producción_Agricola[[#This Row],[Movimiento]],Tabla9[Movimientos],0),2),0)</f>
        <v>0</v>
      </c>
      <c r="AD673" s="770">
        <f>IFERROR(INDEX(Tabla9[],MATCH(Producción_Agricola[[#This Row],[Movimiento]],Tabla9[Movimientos],0),3),0)</f>
        <v>0</v>
      </c>
      <c r="AE673" s="765">
        <f>IF(Producción_Agricola[[#This Row],[Fecha Económico]]=0,0,MONTH(Producción_Agricola[[#This Row],[Fecha Económico]]))</f>
        <v>0</v>
      </c>
      <c r="AF673" s="766">
        <f>IF(Producción_Agricola[[#This Row],[Fecha Económico]]=0,0,YEAR(Producción_Agricola[[#This Row],[Fecha Económico]]))</f>
        <v>0</v>
      </c>
      <c r="AG673" s="771">
        <f>SUMPRODUCT((Producción_Agricola[[#This Row],[Mes Económico]]=Tipo_Cambio[Mes])*(Producción_Agricola[[#This Row],[Año Económico]]=Tipo_Cambio[Año])*(Tipo_Cambio[$/U$S]))</f>
        <v>0</v>
      </c>
      <c r="AH673" s="770">
        <f>SUMPRODUCT((Producción_Agricola[[#This Row],[Mes Económico]]=Tipo_Cambio[Mes])*(Producción_Agricola[[#This Row],[Año Económico]]=Tipo_Cambio[Año])*(Tipo_Cambio[Actualización]))</f>
        <v>0</v>
      </c>
      <c r="AI673" s="766">
        <f>IF(ISNUMBER(Producción_Agricola[[#This Row],[Fecha Financiero]])=TRUE,MONTH(Producción_Agricola[[#This Row],[Fecha Financiero]]),0)</f>
        <v>0</v>
      </c>
      <c r="AJ673" s="766">
        <f>IF(ISNUMBER(Producción_Agricola[[#This Row],[Fecha Financiero]])=TRUE,YEAR(Producción_Agricola[[#This Row],[Fecha Financiero]]),0)</f>
        <v>0</v>
      </c>
      <c r="AK673" s="771">
        <f>SUMPRODUCT((Producción_Agricola[[#This Row],[Mes Financiero]]=Tipo_Cambio[Mes])*(Producción_Agricola[[#This Row],[Año Financiero]]=Tipo_Cambio[Año])*(Tipo_Cambio[$/U$S]))</f>
        <v>0</v>
      </c>
      <c r="AL673" s="771">
        <f>SUMPRODUCT((Producción_Agricola[[#This Row],[Mes Financiero]]=Tipo_Cambio[Mes])*(Producción_Agricola[[#This Row],[Año Financiero]]=Tipo_Cambio[Año])*(Tipo_Cambio[Actualización]))</f>
        <v>0</v>
      </c>
      <c r="AM673" s="772">
        <f>IFERROR(Producción_Agricola[[#This Row],[Económico $Corrientes]]/Producción_Agricola[[#This Row],[Superficie]],0)</f>
        <v>0</v>
      </c>
      <c r="AN673" s="773">
        <f>IFERROR(Producción_Agricola[[#This Row],[Económico $Constantes]]/Producción_Agricola[[#This Row],[Superficie]],0)</f>
        <v>0</v>
      </c>
      <c r="AO673" s="773">
        <f>IFERROR(Producción_Agricola[[#This Row],[Económico U$S Dólares]]/Producción_Agricola[[#This Row],[Superficie]],0)</f>
        <v>0</v>
      </c>
      <c r="AP673" s="774" t="str">
        <f>IF(Económico!$F$4=0,0,Producción_Agricola[[#This Row],[Centro de Costo]])</f>
        <v>Campo 1</v>
      </c>
      <c r="AQ673" s="512"/>
      <c r="AR673" s="663"/>
    </row>
    <row r="674" spans="4:44" x14ac:dyDescent="0.25">
      <c r="D674" s="478"/>
      <c r="E674" s="478"/>
      <c r="F674" s="668" t="str">
        <f t="shared" si="74"/>
        <v>2018-2019</v>
      </c>
      <c r="G674" s="673" t="str">
        <f t="shared" si="75"/>
        <v>Campo 1</v>
      </c>
      <c r="H674" s="673" t="str">
        <f t="shared" si="76"/>
        <v>Soja de Segunda</v>
      </c>
      <c r="I674" s="687" t="str">
        <f>IFERROR(INDEX(Tabla8[],MATCH(Producción_Agricola[[#This Row],[Unidad de Negocio]],Tabla8[Unidades de Negocio],0),2),0)</f>
        <v>Soja</v>
      </c>
      <c r="J674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74" s="661"/>
      <c r="L674" s="482"/>
      <c r="M674" s="483"/>
      <c r="N674" s="484"/>
      <c r="O674" s="694">
        <f>Producción_Agricola[[#This Row],[Superficie]]*Producción_Agricola[[#This Row],[Cantidad]]</f>
        <v>0</v>
      </c>
      <c r="P674" s="482"/>
      <c r="Q674" s="484"/>
      <c r="R674" s="485"/>
      <c r="S674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74" s="761">
        <f>IFERROR(Producción_Agricola[[#This Row],[Económico $Corrientes]]/Producción_Agricola[[#This Row],[Indexación Económico]],0)</f>
        <v>0</v>
      </c>
      <c r="U674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74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74" s="761">
        <f>IFERROR(Producción_Agricola[[#This Row],[Financiero $Corrientes]]/Producción_Agricola[[#This Row],[Indexación Financiero]],0)</f>
        <v>0</v>
      </c>
      <c r="X674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74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74" s="766">
        <f>IFERROR(Producción_Agricola[[#This Row],[Intereses $Corrientes]]/Producción_Agricola[[#This Row],[Indexación Financiero]],0)</f>
        <v>0</v>
      </c>
      <c r="AA674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74" s="768">
        <f>IFERROR(INDEX(Produccion_Agricola_Cuentas[],MATCH(Producción_Agricola[[#This Row],[Cuenta Contable]],Produccion_Agricola_Cuentas[Cuenta Contable],0),2),0)</f>
        <v>0</v>
      </c>
      <c r="AC674" s="769">
        <f>IFERROR(INDEX(Tabla9[],MATCH(Producción_Agricola[[#This Row],[Movimiento]],Tabla9[Movimientos],0),2),0)</f>
        <v>0</v>
      </c>
      <c r="AD674" s="770">
        <f>IFERROR(INDEX(Tabla9[],MATCH(Producción_Agricola[[#This Row],[Movimiento]],Tabla9[Movimientos],0),3),0)</f>
        <v>0</v>
      </c>
      <c r="AE674" s="765">
        <f>IF(Producción_Agricola[[#This Row],[Fecha Económico]]=0,0,MONTH(Producción_Agricola[[#This Row],[Fecha Económico]]))</f>
        <v>0</v>
      </c>
      <c r="AF674" s="766">
        <f>IF(Producción_Agricola[[#This Row],[Fecha Económico]]=0,0,YEAR(Producción_Agricola[[#This Row],[Fecha Económico]]))</f>
        <v>0</v>
      </c>
      <c r="AG674" s="771">
        <f>SUMPRODUCT((Producción_Agricola[[#This Row],[Mes Económico]]=Tipo_Cambio[Mes])*(Producción_Agricola[[#This Row],[Año Económico]]=Tipo_Cambio[Año])*(Tipo_Cambio[$/U$S]))</f>
        <v>0</v>
      </c>
      <c r="AH674" s="770">
        <f>SUMPRODUCT((Producción_Agricola[[#This Row],[Mes Económico]]=Tipo_Cambio[Mes])*(Producción_Agricola[[#This Row],[Año Económico]]=Tipo_Cambio[Año])*(Tipo_Cambio[Actualización]))</f>
        <v>0</v>
      </c>
      <c r="AI674" s="766">
        <f>IF(ISNUMBER(Producción_Agricola[[#This Row],[Fecha Financiero]])=TRUE,MONTH(Producción_Agricola[[#This Row],[Fecha Financiero]]),0)</f>
        <v>0</v>
      </c>
      <c r="AJ674" s="766">
        <f>IF(ISNUMBER(Producción_Agricola[[#This Row],[Fecha Financiero]])=TRUE,YEAR(Producción_Agricola[[#This Row],[Fecha Financiero]]),0)</f>
        <v>0</v>
      </c>
      <c r="AK674" s="771">
        <f>SUMPRODUCT((Producción_Agricola[[#This Row],[Mes Financiero]]=Tipo_Cambio[Mes])*(Producción_Agricola[[#This Row],[Año Financiero]]=Tipo_Cambio[Año])*(Tipo_Cambio[$/U$S]))</f>
        <v>0</v>
      </c>
      <c r="AL674" s="771">
        <f>SUMPRODUCT((Producción_Agricola[[#This Row],[Mes Financiero]]=Tipo_Cambio[Mes])*(Producción_Agricola[[#This Row],[Año Financiero]]=Tipo_Cambio[Año])*(Tipo_Cambio[Actualización]))</f>
        <v>0</v>
      </c>
      <c r="AM674" s="772">
        <f>IFERROR(Producción_Agricola[[#This Row],[Económico $Corrientes]]/Producción_Agricola[[#This Row],[Superficie]],0)</f>
        <v>0</v>
      </c>
      <c r="AN674" s="773">
        <f>IFERROR(Producción_Agricola[[#This Row],[Económico $Constantes]]/Producción_Agricola[[#This Row],[Superficie]],0)</f>
        <v>0</v>
      </c>
      <c r="AO674" s="773">
        <f>IFERROR(Producción_Agricola[[#This Row],[Económico U$S Dólares]]/Producción_Agricola[[#This Row],[Superficie]],0)</f>
        <v>0</v>
      </c>
      <c r="AP674" s="774" t="str">
        <f>IF(Económico!$F$4=0,0,Producción_Agricola[[#This Row],[Centro de Costo]])</f>
        <v>Campo 1</v>
      </c>
      <c r="AQ674" s="512"/>
      <c r="AR674" s="663"/>
    </row>
    <row r="675" spans="4:44" x14ac:dyDescent="0.25">
      <c r="D675" s="478"/>
      <c r="E675" s="478"/>
      <c r="F675" s="668" t="str">
        <f t="shared" si="74"/>
        <v>2018-2019</v>
      </c>
      <c r="G675" s="673" t="str">
        <f t="shared" si="75"/>
        <v>Campo 1</v>
      </c>
      <c r="H675" s="673" t="str">
        <f t="shared" si="76"/>
        <v>Soja de Segunda</v>
      </c>
      <c r="I675" s="687" t="str">
        <f>IFERROR(INDEX(Tabla8[],MATCH(Producción_Agricola[[#This Row],[Unidad de Negocio]],Tabla8[Unidades de Negocio],0),2),0)</f>
        <v>Soja</v>
      </c>
      <c r="J675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75" s="661"/>
      <c r="L675" s="482"/>
      <c r="M675" s="483"/>
      <c r="N675" s="484"/>
      <c r="O675" s="694">
        <f>Producción_Agricola[[#This Row],[Superficie]]*Producción_Agricola[[#This Row],[Cantidad]]</f>
        <v>0</v>
      </c>
      <c r="P675" s="482"/>
      <c r="Q675" s="484"/>
      <c r="R675" s="485"/>
      <c r="S675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75" s="761">
        <f>IFERROR(Producción_Agricola[[#This Row],[Económico $Corrientes]]/Producción_Agricola[[#This Row],[Indexación Económico]],0)</f>
        <v>0</v>
      </c>
      <c r="U675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75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75" s="761">
        <f>IFERROR(Producción_Agricola[[#This Row],[Financiero $Corrientes]]/Producción_Agricola[[#This Row],[Indexación Financiero]],0)</f>
        <v>0</v>
      </c>
      <c r="X675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75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75" s="766">
        <f>IFERROR(Producción_Agricola[[#This Row],[Intereses $Corrientes]]/Producción_Agricola[[#This Row],[Indexación Financiero]],0)</f>
        <v>0</v>
      </c>
      <c r="AA675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75" s="768">
        <f>IFERROR(INDEX(Produccion_Agricola_Cuentas[],MATCH(Producción_Agricola[[#This Row],[Cuenta Contable]],Produccion_Agricola_Cuentas[Cuenta Contable],0),2),0)</f>
        <v>0</v>
      </c>
      <c r="AC675" s="769">
        <f>IFERROR(INDEX(Tabla9[],MATCH(Producción_Agricola[[#This Row],[Movimiento]],Tabla9[Movimientos],0),2),0)</f>
        <v>0</v>
      </c>
      <c r="AD675" s="770">
        <f>IFERROR(INDEX(Tabla9[],MATCH(Producción_Agricola[[#This Row],[Movimiento]],Tabla9[Movimientos],0),3),0)</f>
        <v>0</v>
      </c>
      <c r="AE675" s="765">
        <f>IF(Producción_Agricola[[#This Row],[Fecha Económico]]=0,0,MONTH(Producción_Agricola[[#This Row],[Fecha Económico]]))</f>
        <v>0</v>
      </c>
      <c r="AF675" s="766">
        <f>IF(Producción_Agricola[[#This Row],[Fecha Económico]]=0,0,YEAR(Producción_Agricola[[#This Row],[Fecha Económico]]))</f>
        <v>0</v>
      </c>
      <c r="AG675" s="771">
        <f>SUMPRODUCT((Producción_Agricola[[#This Row],[Mes Económico]]=Tipo_Cambio[Mes])*(Producción_Agricola[[#This Row],[Año Económico]]=Tipo_Cambio[Año])*(Tipo_Cambio[$/U$S]))</f>
        <v>0</v>
      </c>
      <c r="AH675" s="770">
        <f>SUMPRODUCT((Producción_Agricola[[#This Row],[Mes Económico]]=Tipo_Cambio[Mes])*(Producción_Agricola[[#This Row],[Año Económico]]=Tipo_Cambio[Año])*(Tipo_Cambio[Actualización]))</f>
        <v>0</v>
      </c>
      <c r="AI675" s="766">
        <f>IF(ISNUMBER(Producción_Agricola[[#This Row],[Fecha Financiero]])=TRUE,MONTH(Producción_Agricola[[#This Row],[Fecha Financiero]]),0)</f>
        <v>0</v>
      </c>
      <c r="AJ675" s="766">
        <f>IF(ISNUMBER(Producción_Agricola[[#This Row],[Fecha Financiero]])=TRUE,YEAR(Producción_Agricola[[#This Row],[Fecha Financiero]]),0)</f>
        <v>0</v>
      </c>
      <c r="AK675" s="771">
        <f>SUMPRODUCT((Producción_Agricola[[#This Row],[Mes Financiero]]=Tipo_Cambio[Mes])*(Producción_Agricola[[#This Row],[Año Financiero]]=Tipo_Cambio[Año])*(Tipo_Cambio[$/U$S]))</f>
        <v>0</v>
      </c>
      <c r="AL675" s="771">
        <f>SUMPRODUCT((Producción_Agricola[[#This Row],[Mes Financiero]]=Tipo_Cambio[Mes])*(Producción_Agricola[[#This Row],[Año Financiero]]=Tipo_Cambio[Año])*(Tipo_Cambio[Actualización]))</f>
        <v>0</v>
      </c>
      <c r="AM675" s="772">
        <f>IFERROR(Producción_Agricola[[#This Row],[Económico $Corrientes]]/Producción_Agricola[[#This Row],[Superficie]],0)</f>
        <v>0</v>
      </c>
      <c r="AN675" s="773">
        <f>IFERROR(Producción_Agricola[[#This Row],[Económico $Constantes]]/Producción_Agricola[[#This Row],[Superficie]],0)</f>
        <v>0</v>
      </c>
      <c r="AO675" s="773">
        <f>IFERROR(Producción_Agricola[[#This Row],[Económico U$S Dólares]]/Producción_Agricola[[#This Row],[Superficie]],0)</f>
        <v>0</v>
      </c>
      <c r="AP675" s="774" t="str">
        <f>IF(Económico!$F$4=0,0,Producción_Agricola[[#This Row],[Centro de Costo]])</f>
        <v>Campo 1</v>
      </c>
      <c r="AQ675" s="512"/>
      <c r="AR675" s="663"/>
    </row>
    <row r="676" spans="4:44" x14ac:dyDescent="0.25">
      <c r="D676" s="478"/>
      <c r="E676" s="478"/>
      <c r="F676" s="668" t="str">
        <f t="shared" si="74"/>
        <v>2018-2019</v>
      </c>
      <c r="G676" s="673" t="str">
        <f t="shared" si="75"/>
        <v>Campo 1</v>
      </c>
      <c r="H676" s="673" t="str">
        <f t="shared" si="76"/>
        <v>Soja de Segunda</v>
      </c>
      <c r="I676" s="687" t="str">
        <f>IFERROR(INDEX(Tabla8[],MATCH(Producción_Agricola[[#This Row],[Unidad de Negocio]],Tabla8[Unidades de Negocio],0),2),0)</f>
        <v>Soja</v>
      </c>
      <c r="J676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76" s="661"/>
      <c r="L676" s="482"/>
      <c r="M676" s="483"/>
      <c r="N676" s="484"/>
      <c r="O676" s="694">
        <f>Producción_Agricola[[#This Row],[Superficie]]*Producción_Agricola[[#This Row],[Cantidad]]</f>
        <v>0</v>
      </c>
      <c r="P676" s="482"/>
      <c r="Q676" s="484"/>
      <c r="R676" s="485"/>
      <c r="S676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76" s="761">
        <f>IFERROR(Producción_Agricola[[#This Row],[Económico $Corrientes]]/Producción_Agricola[[#This Row],[Indexación Económico]],0)</f>
        <v>0</v>
      </c>
      <c r="U676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76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76" s="761">
        <f>IFERROR(Producción_Agricola[[#This Row],[Financiero $Corrientes]]/Producción_Agricola[[#This Row],[Indexación Financiero]],0)</f>
        <v>0</v>
      </c>
      <c r="X676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76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76" s="766">
        <f>IFERROR(Producción_Agricola[[#This Row],[Intereses $Corrientes]]/Producción_Agricola[[#This Row],[Indexación Financiero]],0)</f>
        <v>0</v>
      </c>
      <c r="AA676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76" s="768">
        <f>IFERROR(INDEX(Produccion_Agricola_Cuentas[],MATCH(Producción_Agricola[[#This Row],[Cuenta Contable]],Produccion_Agricola_Cuentas[Cuenta Contable],0),2),0)</f>
        <v>0</v>
      </c>
      <c r="AC676" s="769">
        <f>IFERROR(INDEX(Tabla9[],MATCH(Producción_Agricola[[#This Row],[Movimiento]],Tabla9[Movimientos],0),2),0)</f>
        <v>0</v>
      </c>
      <c r="AD676" s="770">
        <f>IFERROR(INDEX(Tabla9[],MATCH(Producción_Agricola[[#This Row],[Movimiento]],Tabla9[Movimientos],0),3),0)</f>
        <v>0</v>
      </c>
      <c r="AE676" s="765">
        <f>IF(Producción_Agricola[[#This Row],[Fecha Económico]]=0,0,MONTH(Producción_Agricola[[#This Row],[Fecha Económico]]))</f>
        <v>0</v>
      </c>
      <c r="AF676" s="766">
        <f>IF(Producción_Agricola[[#This Row],[Fecha Económico]]=0,0,YEAR(Producción_Agricola[[#This Row],[Fecha Económico]]))</f>
        <v>0</v>
      </c>
      <c r="AG676" s="771">
        <f>SUMPRODUCT((Producción_Agricola[[#This Row],[Mes Económico]]=Tipo_Cambio[Mes])*(Producción_Agricola[[#This Row],[Año Económico]]=Tipo_Cambio[Año])*(Tipo_Cambio[$/U$S]))</f>
        <v>0</v>
      </c>
      <c r="AH676" s="770">
        <f>SUMPRODUCT((Producción_Agricola[[#This Row],[Mes Económico]]=Tipo_Cambio[Mes])*(Producción_Agricola[[#This Row],[Año Económico]]=Tipo_Cambio[Año])*(Tipo_Cambio[Actualización]))</f>
        <v>0</v>
      </c>
      <c r="AI676" s="766">
        <f>IF(ISNUMBER(Producción_Agricola[[#This Row],[Fecha Financiero]])=TRUE,MONTH(Producción_Agricola[[#This Row],[Fecha Financiero]]),0)</f>
        <v>0</v>
      </c>
      <c r="AJ676" s="766">
        <f>IF(ISNUMBER(Producción_Agricola[[#This Row],[Fecha Financiero]])=TRUE,YEAR(Producción_Agricola[[#This Row],[Fecha Financiero]]),0)</f>
        <v>0</v>
      </c>
      <c r="AK676" s="771">
        <f>SUMPRODUCT((Producción_Agricola[[#This Row],[Mes Financiero]]=Tipo_Cambio[Mes])*(Producción_Agricola[[#This Row],[Año Financiero]]=Tipo_Cambio[Año])*(Tipo_Cambio[$/U$S]))</f>
        <v>0</v>
      </c>
      <c r="AL676" s="771">
        <f>SUMPRODUCT((Producción_Agricola[[#This Row],[Mes Financiero]]=Tipo_Cambio[Mes])*(Producción_Agricola[[#This Row],[Año Financiero]]=Tipo_Cambio[Año])*(Tipo_Cambio[Actualización]))</f>
        <v>0</v>
      </c>
      <c r="AM676" s="772">
        <f>IFERROR(Producción_Agricola[[#This Row],[Económico $Corrientes]]/Producción_Agricola[[#This Row],[Superficie]],0)</f>
        <v>0</v>
      </c>
      <c r="AN676" s="773">
        <f>IFERROR(Producción_Agricola[[#This Row],[Económico $Constantes]]/Producción_Agricola[[#This Row],[Superficie]],0)</f>
        <v>0</v>
      </c>
      <c r="AO676" s="773">
        <f>IFERROR(Producción_Agricola[[#This Row],[Económico U$S Dólares]]/Producción_Agricola[[#This Row],[Superficie]],0)</f>
        <v>0</v>
      </c>
      <c r="AP676" s="774" t="str">
        <f>IF(Económico!$F$4=0,0,Producción_Agricola[[#This Row],[Centro de Costo]])</f>
        <v>Campo 1</v>
      </c>
      <c r="AQ676" s="512"/>
      <c r="AR676" s="663"/>
    </row>
    <row r="677" spans="4:44" x14ac:dyDescent="0.25">
      <c r="D677" s="478"/>
      <c r="E677" s="478"/>
      <c r="F677" s="668" t="str">
        <f t="shared" si="74"/>
        <v>2018-2019</v>
      </c>
      <c r="G677" s="673" t="str">
        <f t="shared" si="75"/>
        <v>Campo 1</v>
      </c>
      <c r="H677" s="673" t="str">
        <f t="shared" si="76"/>
        <v>Soja de Segunda</v>
      </c>
      <c r="I677" s="687" t="str">
        <f>IFERROR(INDEX(Tabla8[],MATCH(Producción_Agricola[[#This Row],[Unidad de Negocio]],Tabla8[Unidades de Negocio],0),2),0)</f>
        <v>Soja</v>
      </c>
      <c r="J677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77" s="661"/>
      <c r="L677" s="482"/>
      <c r="M677" s="483"/>
      <c r="N677" s="484"/>
      <c r="O677" s="694">
        <f>Producción_Agricola[[#This Row],[Superficie]]*Producción_Agricola[[#This Row],[Cantidad]]</f>
        <v>0</v>
      </c>
      <c r="P677" s="482"/>
      <c r="Q677" s="484"/>
      <c r="R677" s="485"/>
      <c r="S677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77" s="761">
        <f>IFERROR(Producción_Agricola[[#This Row],[Económico $Corrientes]]/Producción_Agricola[[#This Row],[Indexación Económico]],0)</f>
        <v>0</v>
      </c>
      <c r="U677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77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77" s="761">
        <f>IFERROR(Producción_Agricola[[#This Row],[Financiero $Corrientes]]/Producción_Agricola[[#This Row],[Indexación Financiero]],0)</f>
        <v>0</v>
      </c>
      <c r="X677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77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77" s="766">
        <f>IFERROR(Producción_Agricola[[#This Row],[Intereses $Corrientes]]/Producción_Agricola[[#This Row],[Indexación Financiero]],0)</f>
        <v>0</v>
      </c>
      <c r="AA677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77" s="768">
        <f>IFERROR(INDEX(Produccion_Agricola_Cuentas[],MATCH(Producción_Agricola[[#This Row],[Cuenta Contable]],Produccion_Agricola_Cuentas[Cuenta Contable],0),2),0)</f>
        <v>0</v>
      </c>
      <c r="AC677" s="769">
        <f>IFERROR(INDEX(Tabla9[],MATCH(Producción_Agricola[[#This Row],[Movimiento]],Tabla9[Movimientos],0),2),0)</f>
        <v>0</v>
      </c>
      <c r="AD677" s="770">
        <f>IFERROR(INDEX(Tabla9[],MATCH(Producción_Agricola[[#This Row],[Movimiento]],Tabla9[Movimientos],0),3),0)</f>
        <v>0</v>
      </c>
      <c r="AE677" s="765">
        <f>IF(Producción_Agricola[[#This Row],[Fecha Económico]]=0,0,MONTH(Producción_Agricola[[#This Row],[Fecha Económico]]))</f>
        <v>0</v>
      </c>
      <c r="AF677" s="766">
        <f>IF(Producción_Agricola[[#This Row],[Fecha Económico]]=0,0,YEAR(Producción_Agricola[[#This Row],[Fecha Económico]]))</f>
        <v>0</v>
      </c>
      <c r="AG677" s="771">
        <f>SUMPRODUCT((Producción_Agricola[[#This Row],[Mes Económico]]=Tipo_Cambio[Mes])*(Producción_Agricola[[#This Row],[Año Económico]]=Tipo_Cambio[Año])*(Tipo_Cambio[$/U$S]))</f>
        <v>0</v>
      </c>
      <c r="AH677" s="770">
        <f>SUMPRODUCT((Producción_Agricola[[#This Row],[Mes Económico]]=Tipo_Cambio[Mes])*(Producción_Agricola[[#This Row],[Año Económico]]=Tipo_Cambio[Año])*(Tipo_Cambio[Actualización]))</f>
        <v>0</v>
      </c>
      <c r="AI677" s="766">
        <f>IF(ISNUMBER(Producción_Agricola[[#This Row],[Fecha Financiero]])=TRUE,MONTH(Producción_Agricola[[#This Row],[Fecha Financiero]]),0)</f>
        <v>0</v>
      </c>
      <c r="AJ677" s="766">
        <f>IF(ISNUMBER(Producción_Agricola[[#This Row],[Fecha Financiero]])=TRUE,YEAR(Producción_Agricola[[#This Row],[Fecha Financiero]]),0)</f>
        <v>0</v>
      </c>
      <c r="AK677" s="771">
        <f>SUMPRODUCT((Producción_Agricola[[#This Row],[Mes Financiero]]=Tipo_Cambio[Mes])*(Producción_Agricola[[#This Row],[Año Financiero]]=Tipo_Cambio[Año])*(Tipo_Cambio[$/U$S]))</f>
        <v>0</v>
      </c>
      <c r="AL677" s="771">
        <f>SUMPRODUCT((Producción_Agricola[[#This Row],[Mes Financiero]]=Tipo_Cambio[Mes])*(Producción_Agricola[[#This Row],[Año Financiero]]=Tipo_Cambio[Año])*(Tipo_Cambio[Actualización]))</f>
        <v>0</v>
      </c>
      <c r="AM677" s="772">
        <f>IFERROR(Producción_Agricola[[#This Row],[Económico $Corrientes]]/Producción_Agricola[[#This Row],[Superficie]],0)</f>
        <v>0</v>
      </c>
      <c r="AN677" s="773">
        <f>IFERROR(Producción_Agricola[[#This Row],[Económico $Constantes]]/Producción_Agricola[[#This Row],[Superficie]],0)</f>
        <v>0</v>
      </c>
      <c r="AO677" s="773">
        <f>IFERROR(Producción_Agricola[[#This Row],[Económico U$S Dólares]]/Producción_Agricola[[#This Row],[Superficie]],0)</f>
        <v>0</v>
      </c>
      <c r="AP677" s="774" t="str">
        <f>IF(Económico!$F$4=0,0,Producción_Agricola[[#This Row],[Centro de Costo]])</f>
        <v>Campo 1</v>
      </c>
      <c r="AQ677" s="512"/>
      <c r="AR677" s="663"/>
    </row>
    <row r="678" spans="4:44" x14ac:dyDescent="0.25">
      <c r="D678" s="478"/>
      <c r="E678" s="478"/>
      <c r="F678" s="668" t="str">
        <f t="shared" si="74"/>
        <v>2018-2019</v>
      </c>
      <c r="G678" s="673" t="str">
        <f t="shared" si="75"/>
        <v>Campo 1</v>
      </c>
      <c r="H678" s="673" t="str">
        <f t="shared" si="76"/>
        <v>Soja de Segunda</v>
      </c>
      <c r="I678" s="687" t="str">
        <f>IFERROR(INDEX(Tabla8[],MATCH(Producción_Agricola[[#This Row],[Unidad de Negocio]],Tabla8[Unidades de Negocio],0),2),0)</f>
        <v>Soja</v>
      </c>
      <c r="J678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78" s="661"/>
      <c r="L678" s="482"/>
      <c r="M678" s="483"/>
      <c r="N678" s="484"/>
      <c r="O678" s="694">
        <f>Producción_Agricola[[#This Row],[Superficie]]*Producción_Agricola[[#This Row],[Cantidad]]</f>
        <v>0</v>
      </c>
      <c r="P678" s="482"/>
      <c r="Q678" s="484"/>
      <c r="R678" s="485"/>
      <c r="S678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78" s="761">
        <f>IFERROR(Producción_Agricola[[#This Row],[Económico $Corrientes]]/Producción_Agricola[[#This Row],[Indexación Económico]],0)</f>
        <v>0</v>
      </c>
      <c r="U678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78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78" s="761">
        <f>IFERROR(Producción_Agricola[[#This Row],[Financiero $Corrientes]]/Producción_Agricola[[#This Row],[Indexación Financiero]],0)</f>
        <v>0</v>
      </c>
      <c r="X678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78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78" s="766">
        <f>IFERROR(Producción_Agricola[[#This Row],[Intereses $Corrientes]]/Producción_Agricola[[#This Row],[Indexación Financiero]],0)</f>
        <v>0</v>
      </c>
      <c r="AA678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78" s="768">
        <f>IFERROR(INDEX(Produccion_Agricola_Cuentas[],MATCH(Producción_Agricola[[#This Row],[Cuenta Contable]],Produccion_Agricola_Cuentas[Cuenta Contable],0),2),0)</f>
        <v>0</v>
      </c>
      <c r="AC678" s="769">
        <f>IFERROR(INDEX(Tabla9[],MATCH(Producción_Agricola[[#This Row],[Movimiento]],Tabla9[Movimientos],0),2),0)</f>
        <v>0</v>
      </c>
      <c r="AD678" s="770">
        <f>IFERROR(INDEX(Tabla9[],MATCH(Producción_Agricola[[#This Row],[Movimiento]],Tabla9[Movimientos],0),3),0)</f>
        <v>0</v>
      </c>
      <c r="AE678" s="765">
        <f>IF(Producción_Agricola[[#This Row],[Fecha Económico]]=0,0,MONTH(Producción_Agricola[[#This Row],[Fecha Económico]]))</f>
        <v>0</v>
      </c>
      <c r="AF678" s="766">
        <f>IF(Producción_Agricola[[#This Row],[Fecha Económico]]=0,0,YEAR(Producción_Agricola[[#This Row],[Fecha Económico]]))</f>
        <v>0</v>
      </c>
      <c r="AG678" s="771">
        <f>SUMPRODUCT((Producción_Agricola[[#This Row],[Mes Económico]]=Tipo_Cambio[Mes])*(Producción_Agricola[[#This Row],[Año Económico]]=Tipo_Cambio[Año])*(Tipo_Cambio[$/U$S]))</f>
        <v>0</v>
      </c>
      <c r="AH678" s="770">
        <f>SUMPRODUCT((Producción_Agricola[[#This Row],[Mes Económico]]=Tipo_Cambio[Mes])*(Producción_Agricola[[#This Row],[Año Económico]]=Tipo_Cambio[Año])*(Tipo_Cambio[Actualización]))</f>
        <v>0</v>
      </c>
      <c r="AI678" s="766">
        <f>IF(ISNUMBER(Producción_Agricola[[#This Row],[Fecha Financiero]])=TRUE,MONTH(Producción_Agricola[[#This Row],[Fecha Financiero]]),0)</f>
        <v>0</v>
      </c>
      <c r="AJ678" s="766">
        <f>IF(ISNUMBER(Producción_Agricola[[#This Row],[Fecha Financiero]])=TRUE,YEAR(Producción_Agricola[[#This Row],[Fecha Financiero]]),0)</f>
        <v>0</v>
      </c>
      <c r="AK678" s="771">
        <f>SUMPRODUCT((Producción_Agricola[[#This Row],[Mes Financiero]]=Tipo_Cambio[Mes])*(Producción_Agricola[[#This Row],[Año Financiero]]=Tipo_Cambio[Año])*(Tipo_Cambio[$/U$S]))</f>
        <v>0</v>
      </c>
      <c r="AL678" s="771">
        <f>SUMPRODUCT((Producción_Agricola[[#This Row],[Mes Financiero]]=Tipo_Cambio[Mes])*(Producción_Agricola[[#This Row],[Año Financiero]]=Tipo_Cambio[Año])*(Tipo_Cambio[Actualización]))</f>
        <v>0</v>
      </c>
      <c r="AM678" s="772">
        <f>IFERROR(Producción_Agricola[[#This Row],[Económico $Corrientes]]/Producción_Agricola[[#This Row],[Superficie]],0)</f>
        <v>0</v>
      </c>
      <c r="AN678" s="773">
        <f>IFERROR(Producción_Agricola[[#This Row],[Económico $Constantes]]/Producción_Agricola[[#This Row],[Superficie]],0)</f>
        <v>0</v>
      </c>
      <c r="AO678" s="773">
        <f>IFERROR(Producción_Agricola[[#This Row],[Económico U$S Dólares]]/Producción_Agricola[[#This Row],[Superficie]],0)</f>
        <v>0</v>
      </c>
      <c r="AP678" s="774" t="str">
        <f>IF(Económico!$F$4=0,0,Producción_Agricola[[#This Row],[Centro de Costo]])</f>
        <v>Campo 1</v>
      </c>
      <c r="AQ678" s="512"/>
      <c r="AR678" s="663"/>
    </row>
    <row r="679" spans="4:44" x14ac:dyDescent="0.25">
      <c r="D679" s="478"/>
      <c r="E679" s="478"/>
      <c r="F679" s="668" t="str">
        <f t="shared" si="74"/>
        <v>2018-2019</v>
      </c>
      <c r="G679" s="673" t="str">
        <f t="shared" si="75"/>
        <v>Campo 1</v>
      </c>
      <c r="H679" s="673" t="str">
        <f t="shared" si="76"/>
        <v>Soja de Segunda</v>
      </c>
      <c r="I679" s="687" t="str">
        <f>IFERROR(INDEX(Tabla8[],MATCH(Producción_Agricola[[#This Row],[Unidad de Negocio]],Tabla8[Unidades de Negocio],0),2),0)</f>
        <v>Soja</v>
      </c>
      <c r="J679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79" s="661"/>
      <c r="L679" s="482"/>
      <c r="M679" s="483"/>
      <c r="N679" s="484"/>
      <c r="O679" s="694">
        <f>Producción_Agricola[[#This Row],[Superficie]]*Producción_Agricola[[#This Row],[Cantidad]]</f>
        <v>0</v>
      </c>
      <c r="P679" s="482"/>
      <c r="Q679" s="484"/>
      <c r="R679" s="485"/>
      <c r="S679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79" s="761">
        <f>IFERROR(Producción_Agricola[[#This Row],[Económico $Corrientes]]/Producción_Agricola[[#This Row],[Indexación Económico]],0)</f>
        <v>0</v>
      </c>
      <c r="U679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79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79" s="761">
        <f>IFERROR(Producción_Agricola[[#This Row],[Financiero $Corrientes]]/Producción_Agricola[[#This Row],[Indexación Financiero]],0)</f>
        <v>0</v>
      </c>
      <c r="X679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79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79" s="766">
        <f>IFERROR(Producción_Agricola[[#This Row],[Intereses $Corrientes]]/Producción_Agricola[[#This Row],[Indexación Financiero]],0)</f>
        <v>0</v>
      </c>
      <c r="AA679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79" s="768">
        <f>IFERROR(INDEX(Produccion_Agricola_Cuentas[],MATCH(Producción_Agricola[[#This Row],[Cuenta Contable]],Produccion_Agricola_Cuentas[Cuenta Contable],0),2),0)</f>
        <v>0</v>
      </c>
      <c r="AC679" s="769">
        <f>IFERROR(INDEX(Tabla9[],MATCH(Producción_Agricola[[#This Row],[Movimiento]],Tabla9[Movimientos],0),2),0)</f>
        <v>0</v>
      </c>
      <c r="AD679" s="770">
        <f>IFERROR(INDEX(Tabla9[],MATCH(Producción_Agricola[[#This Row],[Movimiento]],Tabla9[Movimientos],0),3),0)</f>
        <v>0</v>
      </c>
      <c r="AE679" s="765">
        <f>IF(Producción_Agricola[[#This Row],[Fecha Económico]]=0,0,MONTH(Producción_Agricola[[#This Row],[Fecha Económico]]))</f>
        <v>0</v>
      </c>
      <c r="AF679" s="766">
        <f>IF(Producción_Agricola[[#This Row],[Fecha Económico]]=0,0,YEAR(Producción_Agricola[[#This Row],[Fecha Económico]]))</f>
        <v>0</v>
      </c>
      <c r="AG679" s="771">
        <f>SUMPRODUCT((Producción_Agricola[[#This Row],[Mes Económico]]=Tipo_Cambio[Mes])*(Producción_Agricola[[#This Row],[Año Económico]]=Tipo_Cambio[Año])*(Tipo_Cambio[$/U$S]))</f>
        <v>0</v>
      </c>
      <c r="AH679" s="770">
        <f>SUMPRODUCT((Producción_Agricola[[#This Row],[Mes Económico]]=Tipo_Cambio[Mes])*(Producción_Agricola[[#This Row],[Año Económico]]=Tipo_Cambio[Año])*(Tipo_Cambio[Actualización]))</f>
        <v>0</v>
      </c>
      <c r="AI679" s="766">
        <f>IF(ISNUMBER(Producción_Agricola[[#This Row],[Fecha Financiero]])=TRUE,MONTH(Producción_Agricola[[#This Row],[Fecha Financiero]]),0)</f>
        <v>0</v>
      </c>
      <c r="AJ679" s="766">
        <f>IF(ISNUMBER(Producción_Agricola[[#This Row],[Fecha Financiero]])=TRUE,YEAR(Producción_Agricola[[#This Row],[Fecha Financiero]]),0)</f>
        <v>0</v>
      </c>
      <c r="AK679" s="771">
        <f>SUMPRODUCT((Producción_Agricola[[#This Row],[Mes Financiero]]=Tipo_Cambio[Mes])*(Producción_Agricola[[#This Row],[Año Financiero]]=Tipo_Cambio[Año])*(Tipo_Cambio[$/U$S]))</f>
        <v>0</v>
      </c>
      <c r="AL679" s="771">
        <f>SUMPRODUCT((Producción_Agricola[[#This Row],[Mes Financiero]]=Tipo_Cambio[Mes])*(Producción_Agricola[[#This Row],[Año Financiero]]=Tipo_Cambio[Año])*(Tipo_Cambio[Actualización]))</f>
        <v>0</v>
      </c>
      <c r="AM679" s="772">
        <f>IFERROR(Producción_Agricola[[#This Row],[Económico $Corrientes]]/Producción_Agricola[[#This Row],[Superficie]],0)</f>
        <v>0</v>
      </c>
      <c r="AN679" s="773">
        <f>IFERROR(Producción_Agricola[[#This Row],[Económico $Constantes]]/Producción_Agricola[[#This Row],[Superficie]],0)</f>
        <v>0</v>
      </c>
      <c r="AO679" s="773">
        <f>IFERROR(Producción_Agricola[[#This Row],[Económico U$S Dólares]]/Producción_Agricola[[#This Row],[Superficie]],0)</f>
        <v>0</v>
      </c>
      <c r="AP679" s="774" t="str">
        <f>IF(Económico!$F$4=0,0,Producción_Agricola[[#This Row],[Centro de Costo]])</f>
        <v>Campo 1</v>
      </c>
      <c r="AQ679" s="512"/>
      <c r="AR679" s="663"/>
    </row>
    <row r="680" spans="4:44" x14ac:dyDescent="0.25">
      <c r="D680" s="478"/>
      <c r="E680" s="478"/>
      <c r="F680" s="668" t="str">
        <f t="shared" si="74"/>
        <v>2018-2019</v>
      </c>
      <c r="G680" s="673" t="str">
        <f t="shared" si="75"/>
        <v>Campo 1</v>
      </c>
      <c r="H680" s="673" t="str">
        <f t="shared" si="76"/>
        <v>Soja de Segunda</v>
      </c>
      <c r="I680" s="687" t="str">
        <f>IFERROR(INDEX(Tabla8[],MATCH(Producción_Agricola[[#This Row],[Unidad de Negocio]],Tabla8[Unidades de Negocio],0),2),0)</f>
        <v>Soja</v>
      </c>
      <c r="J680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80" s="661"/>
      <c r="L680" s="482"/>
      <c r="M680" s="483"/>
      <c r="N680" s="484"/>
      <c r="O680" s="694">
        <f>Producción_Agricola[[#This Row],[Superficie]]*Producción_Agricola[[#This Row],[Cantidad]]</f>
        <v>0</v>
      </c>
      <c r="P680" s="482"/>
      <c r="Q680" s="484"/>
      <c r="R680" s="485"/>
      <c r="S680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80" s="761">
        <f>IFERROR(Producción_Agricola[[#This Row],[Económico $Corrientes]]/Producción_Agricola[[#This Row],[Indexación Económico]],0)</f>
        <v>0</v>
      </c>
      <c r="U680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80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80" s="761">
        <f>IFERROR(Producción_Agricola[[#This Row],[Financiero $Corrientes]]/Producción_Agricola[[#This Row],[Indexación Financiero]],0)</f>
        <v>0</v>
      </c>
      <c r="X680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80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80" s="766">
        <f>IFERROR(Producción_Agricola[[#This Row],[Intereses $Corrientes]]/Producción_Agricola[[#This Row],[Indexación Financiero]],0)</f>
        <v>0</v>
      </c>
      <c r="AA680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80" s="768">
        <f>IFERROR(INDEX(Produccion_Agricola_Cuentas[],MATCH(Producción_Agricola[[#This Row],[Cuenta Contable]],Produccion_Agricola_Cuentas[Cuenta Contable],0),2),0)</f>
        <v>0</v>
      </c>
      <c r="AC680" s="769">
        <f>IFERROR(INDEX(Tabla9[],MATCH(Producción_Agricola[[#This Row],[Movimiento]],Tabla9[Movimientos],0),2),0)</f>
        <v>0</v>
      </c>
      <c r="AD680" s="770">
        <f>IFERROR(INDEX(Tabla9[],MATCH(Producción_Agricola[[#This Row],[Movimiento]],Tabla9[Movimientos],0),3),0)</f>
        <v>0</v>
      </c>
      <c r="AE680" s="765">
        <f>IF(Producción_Agricola[[#This Row],[Fecha Económico]]=0,0,MONTH(Producción_Agricola[[#This Row],[Fecha Económico]]))</f>
        <v>0</v>
      </c>
      <c r="AF680" s="766">
        <f>IF(Producción_Agricola[[#This Row],[Fecha Económico]]=0,0,YEAR(Producción_Agricola[[#This Row],[Fecha Económico]]))</f>
        <v>0</v>
      </c>
      <c r="AG680" s="771">
        <f>SUMPRODUCT((Producción_Agricola[[#This Row],[Mes Económico]]=Tipo_Cambio[Mes])*(Producción_Agricola[[#This Row],[Año Económico]]=Tipo_Cambio[Año])*(Tipo_Cambio[$/U$S]))</f>
        <v>0</v>
      </c>
      <c r="AH680" s="770">
        <f>SUMPRODUCT((Producción_Agricola[[#This Row],[Mes Económico]]=Tipo_Cambio[Mes])*(Producción_Agricola[[#This Row],[Año Económico]]=Tipo_Cambio[Año])*(Tipo_Cambio[Actualización]))</f>
        <v>0</v>
      </c>
      <c r="AI680" s="766">
        <f>IF(ISNUMBER(Producción_Agricola[[#This Row],[Fecha Financiero]])=TRUE,MONTH(Producción_Agricola[[#This Row],[Fecha Financiero]]),0)</f>
        <v>0</v>
      </c>
      <c r="AJ680" s="766">
        <f>IF(ISNUMBER(Producción_Agricola[[#This Row],[Fecha Financiero]])=TRUE,YEAR(Producción_Agricola[[#This Row],[Fecha Financiero]]),0)</f>
        <v>0</v>
      </c>
      <c r="AK680" s="771">
        <f>SUMPRODUCT((Producción_Agricola[[#This Row],[Mes Financiero]]=Tipo_Cambio[Mes])*(Producción_Agricola[[#This Row],[Año Financiero]]=Tipo_Cambio[Año])*(Tipo_Cambio[$/U$S]))</f>
        <v>0</v>
      </c>
      <c r="AL680" s="771">
        <f>SUMPRODUCT((Producción_Agricola[[#This Row],[Mes Financiero]]=Tipo_Cambio[Mes])*(Producción_Agricola[[#This Row],[Año Financiero]]=Tipo_Cambio[Año])*(Tipo_Cambio[Actualización]))</f>
        <v>0</v>
      </c>
      <c r="AM680" s="772">
        <f>IFERROR(Producción_Agricola[[#This Row],[Económico $Corrientes]]/Producción_Agricola[[#This Row],[Superficie]],0)</f>
        <v>0</v>
      </c>
      <c r="AN680" s="773">
        <f>IFERROR(Producción_Agricola[[#This Row],[Económico $Constantes]]/Producción_Agricola[[#This Row],[Superficie]],0)</f>
        <v>0</v>
      </c>
      <c r="AO680" s="773">
        <f>IFERROR(Producción_Agricola[[#This Row],[Económico U$S Dólares]]/Producción_Agricola[[#This Row],[Superficie]],0)</f>
        <v>0</v>
      </c>
      <c r="AP680" s="774" t="str">
        <f>IF(Económico!$F$4=0,0,Producción_Agricola[[#This Row],[Centro de Costo]])</f>
        <v>Campo 1</v>
      </c>
      <c r="AQ680" s="512"/>
      <c r="AR680" s="663"/>
    </row>
    <row r="681" spans="4:44" x14ac:dyDescent="0.25">
      <c r="D681" s="478"/>
      <c r="E681" s="478"/>
      <c r="F681" s="668" t="str">
        <f t="shared" si="74"/>
        <v>2018-2019</v>
      </c>
      <c r="G681" s="673" t="str">
        <f t="shared" si="75"/>
        <v>Campo 1</v>
      </c>
      <c r="H681" s="673" t="str">
        <f t="shared" si="76"/>
        <v>Soja de Segunda</v>
      </c>
      <c r="I681" s="687" t="str">
        <f>IFERROR(INDEX(Tabla8[],MATCH(Producción_Agricola[[#This Row],[Unidad de Negocio]],Tabla8[Unidades de Negocio],0),2),0)</f>
        <v>Soja</v>
      </c>
      <c r="J681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81" s="661"/>
      <c r="L681" s="482"/>
      <c r="M681" s="483"/>
      <c r="N681" s="484"/>
      <c r="O681" s="694">
        <f>Producción_Agricola[[#This Row],[Superficie]]*Producción_Agricola[[#This Row],[Cantidad]]</f>
        <v>0</v>
      </c>
      <c r="P681" s="482"/>
      <c r="Q681" s="484"/>
      <c r="R681" s="485"/>
      <c r="S681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81" s="761">
        <f>IFERROR(Producción_Agricola[[#This Row],[Económico $Corrientes]]/Producción_Agricola[[#This Row],[Indexación Económico]],0)</f>
        <v>0</v>
      </c>
      <c r="U681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81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81" s="761">
        <f>IFERROR(Producción_Agricola[[#This Row],[Financiero $Corrientes]]/Producción_Agricola[[#This Row],[Indexación Financiero]],0)</f>
        <v>0</v>
      </c>
      <c r="X681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81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81" s="766">
        <f>IFERROR(Producción_Agricola[[#This Row],[Intereses $Corrientes]]/Producción_Agricola[[#This Row],[Indexación Financiero]],0)</f>
        <v>0</v>
      </c>
      <c r="AA681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81" s="768">
        <f>IFERROR(INDEX(Produccion_Agricola_Cuentas[],MATCH(Producción_Agricola[[#This Row],[Cuenta Contable]],Produccion_Agricola_Cuentas[Cuenta Contable],0),2),0)</f>
        <v>0</v>
      </c>
      <c r="AC681" s="769">
        <f>IFERROR(INDEX(Tabla9[],MATCH(Producción_Agricola[[#This Row],[Movimiento]],Tabla9[Movimientos],0),2),0)</f>
        <v>0</v>
      </c>
      <c r="AD681" s="770">
        <f>IFERROR(INDEX(Tabla9[],MATCH(Producción_Agricola[[#This Row],[Movimiento]],Tabla9[Movimientos],0),3),0)</f>
        <v>0</v>
      </c>
      <c r="AE681" s="765">
        <f>IF(Producción_Agricola[[#This Row],[Fecha Económico]]=0,0,MONTH(Producción_Agricola[[#This Row],[Fecha Económico]]))</f>
        <v>0</v>
      </c>
      <c r="AF681" s="766">
        <f>IF(Producción_Agricola[[#This Row],[Fecha Económico]]=0,0,YEAR(Producción_Agricola[[#This Row],[Fecha Económico]]))</f>
        <v>0</v>
      </c>
      <c r="AG681" s="771">
        <f>SUMPRODUCT((Producción_Agricola[[#This Row],[Mes Económico]]=Tipo_Cambio[Mes])*(Producción_Agricola[[#This Row],[Año Económico]]=Tipo_Cambio[Año])*(Tipo_Cambio[$/U$S]))</f>
        <v>0</v>
      </c>
      <c r="AH681" s="770">
        <f>SUMPRODUCT((Producción_Agricola[[#This Row],[Mes Económico]]=Tipo_Cambio[Mes])*(Producción_Agricola[[#This Row],[Año Económico]]=Tipo_Cambio[Año])*(Tipo_Cambio[Actualización]))</f>
        <v>0</v>
      </c>
      <c r="AI681" s="766">
        <f>IF(ISNUMBER(Producción_Agricola[[#This Row],[Fecha Financiero]])=TRUE,MONTH(Producción_Agricola[[#This Row],[Fecha Financiero]]),0)</f>
        <v>0</v>
      </c>
      <c r="AJ681" s="766">
        <f>IF(ISNUMBER(Producción_Agricola[[#This Row],[Fecha Financiero]])=TRUE,YEAR(Producción_Agricola[[#This Row],[Fecha Financiero]]),0)</f>
        <v>0</v>
      </c>
      <c r="AK681" s="771">
        <f>SUMPRODUCT((Producción_Agricola[[#This Row],[Mes Financiero]]=Tipo_Cambio[Mes])*(Producción_Agricola[[#This Row],[Año Financiero]]=Tipo_Cambio[Año])*(Tipo_Cambio[$/U$S]))</f>
        <v>0</v>
      </c>
      <c r="AL681" s="771">
        <f>SUMPRODUCT((Producción_Agricola[[#This Row],[Mes Financiero]]=Tipo_Cambio[Mes])*(Producción_Agricola[[#This Row],[Año Financiero]]=Tipo_Cambio[Año])*(Tipo_Cambio[Actualización]))</f>
        <v>0</v>
      </c>
      <c r="AM681" s="772">
        <f>IFERROR(Producción_Agricola[[#This Row],[Económico $Corrientes]]/Producción_Agricola[[#This Row],[Superficie]],0)</f>
        <v>0</v>
      </c>
      <c r="AN681" s="773">
        <f>IFERROR(Producción_Agricola[[#This Row],[Económico $Constantes]]/Producción_Agricola[[#This Row],[Superficie]],0)</f>
        <v>0</v>
      </c>
      <c r="AO681" s="773">
        <f>IFERROR(Producción_Agricola[[#This Row],[Económico U$S Dólares]]/Producción_Agricola[[#This Row],[Superficie]],0)</f>
        <v>0</v>
      </c>
      <c r="AP681" s="774" t="str">
        <f>IF(Económico!$F$4=0,0,Producción_Agricola[[#This Row],[Centro de Costo]])</f>
        <v>Campo 1</v>
      </c>
      <c r="AQ681" s="512"/>
      <c r="AR681" s="663"/>
    </row>
    <row r="682" spans="4:44" x14ac:dyDescent="0.25">
      <c r="D682" s="478"/>
      <c r="E682" s="478"/>
      <c r="F682" s="668" t="str">
        <f t="shared" si="74"/>
        <v>2018-2019</v>
      </c>
      <c r="G682" s="673" t="str">
        <f t="shared" si="75"/>
        <v>Campo 1</v>
      </c>
      <c r="H682" s="673" t="str">
        <f t="shared" si="76"/>
        <v>Soja de Segunda</v>
      </c>
      <c r="I682" s="687" t="str">
        <f>IFERROR(INDEX(Tabla8[],MATCH(Producción_Agricola[[#This Row],[Unidad de Negocio]],Tabla8[Unidades de Negocio],0),2),0)</f>
        <v>Soja</v>
      </c>
      <c r="J682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82" s="661"/>
      <c r="L682" s="482"/>
      <c r="M682" s="483"/>
      <c r="N682" s="484"/>
      <c r="O682" s="694">
        <f>Producción_Agricola[[#This Row],[Superficie]]*Producción_Agricola[[#This Row],[Cantidad]]</f>
        <v>0</v>
      </c>
      <c r="P682" s="482"/>
      <c r="Q682" s="484"/>
      <c r="R682" s="485"/>
      <c r="S682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82" s="761">
        <f>IFERROR(Producción_Agricola[[#This Row],[Económico $Corrientes]]/Producción_Agricola[[#This Row],[Indexación Económico]],0)</f>
        <v>0</v>
      </c>
      <c r="U682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82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82" s="761">
        <f>IFERROR(Producción_Agricola[[#This Row],[Financiero $Corrientes]]/Producción_Agricola[[#This Row],[Indexación Financiero]],0)</f>
        <v>0</v>
      </c>
      <c r="X682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82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82" s="766">
        <f>IFERROR(Producción_Agricola[[#This Row],[Intereses $Corrientes]]/Producción_Agricola[[#This Row],[Indexación Financiero]],0)</f>
        <v>0</v>
      </c>
      <c r="AA682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82" s="768">
        <f>IFERROR(INDEX(Produccion_Agricola_Cuentas[],MATCH(Producción_Agricola[[#This Row],[Cuenta Contable]],Produccion_Agricola_Cuentas[Cuenta Contable],0),2),0)</f>
        <v>0</v>
      </c>
      <c r="AC682" s="769">
        <f>IFERROR(INDEX(Tabla9[],MATCH(Producción_Agricola[[#This Row],[Movimiento]],Tabla9[Movimientos],0),2),0)</f>
        <v>0</v>
      </c>
      <c r="AD682" s="770">
        <f>IFERROR(INDEX(Tabla9[],MATCH(Producción_Agricola[[#This Row],[Movimiento]],Tabla9[Movimientos],0),3),0)</f>
        <v>0</v>
      </c>
      <c r="AE682" s="765">
        <f>IF(Producción_Agricola[[#This Row],[Fecha Económico]]=0,0,MONTH(Producción_Agricola[[#This Row],[Fecha Económico]]))</f>
        <v>0</v>
      </c>
      <c r="AF682" s="766">
        <f>IF(Producción_Agricola[[#This Row],[Fecha Económico]]=0,0,YEAR(Producción_Agricola[[#This Row],[Fecha Económico]]))</f>
        <v>0</v>
      </c>
      <c r="AG682" s="771">
        <f>SUMPRODUCT((Producción_Agricola[[#This Row],[Mes Económico]]=Tipo_Cambio[Mes])*(Producción_Agricola[[#This Row],[Año Económico]]=Tipo_Cambio[Año])*(Tipo_Cambio[$/U$S]))</f>
        <v>0</v>
      </c>
      <c r="AH682" s="770">
        <f>SUMPRODUCT((Producción_Agricola[[#This Row],[Mes Económico]]=Tipo_Cambio[Mes])*(Producción_Agricola[[#This Row],[Año Económico]]=Tipo_Cambio[Año])*(Tipo_Cambio[Actualización]))</f>
        <v>0</v>
      </c>
      <c r="AI682" s="766">
        <f>IF(ISNUMBER(Producción_Agricola[[#This Row],[Fecha Financiero]])=TRUE,MONTH(Producción_Agricola[[#This Row],[Fecha Financiero]]),0)</f>
        <v>0</v>
      </c>
      <c r="AJ682" s="766">
        <f>IF(ISNUMBER(Producción_Agricola[[#This Row],[Fecha Financiero]])=TRUE,YEAR(Producción_Agricola[[#This Row],[Fecha Financiero]]),0)</f>
        <v>0</v>
      </c>
      <c r="AK682" s="771">
        <f>SUMPRODUCT((Producción_Agricola[[#This Row],[Mes Financiero]]=Tipo_Cambio[Mes])*(Producción_Agricola[[#This Row],[Año Financiero]]=Tipo_Cambio[Año])*(Tipo_Cambio[$/U$S]))</f>
        <v>0</v>
      </c>
      <c r="AL682" s="771">
        <f>SUMPRODUCT((Producción_Agricola[[#This Row],[Mes Financiero]]=Tipo_Cambio[Mes])*(Producción_Agricola[[#This Row],[Año Financiero]]=Tipo_Cambio[Año])*(Tipo_Cambio[Actualización]))</f>
        <v>0</v>
      </c>
      <c r="AM682" s="772">
        <f>IFERROR(Producción_Agricola[[#This Row],[Económico $Corrientes]]/Producción_Agricola[[#This Row],[Superficie]],0)</f>
        <v>0</v>
      </c>
      <c r="AN682" s="773">
        <f>IFERROR(Producción_Agricola[[#This Row],[Económico $Constantes]]/Producción_Agricola[[#This Row],[Superficie]],0)</f>
        <v>0</v>
      </c>
      <c r="AO682" s="773">
        <f>IFERROR(Producción_Agricola[[#This Row],[Económico U$S Dólares]]/Producción_Agricola[[#This Row],[Superficie]],0)</f>
        <v>0</v>
      </c>
      <c r="AP682" s="774" t="str">
        <f>IF(Económico!$F$4=0,0,Producción_Agricola[[#This Row],[Centro de Costo]])</f>
        <v>Campo 1</v>
      </c>
      <c r="AQ682" s="512"/>
      <c r="AR682" s="663"/>
    </row>
    <row r="683" spans="4:44" x14ac:dyDescent="0.25">
      <c r="D683" s="478"/>
      <c r="E683" s="478"/>
      <c r="F683" s="668" t="str">
        <f t="shared" si="74"/>
        <v>2018-2019</v>
      </c>
      <c r="G683" s="673" t="str">
        <f t="shared" si="75"/>
        <v>Campo 1</v>
      </c>
      <c r="H683" s="673" t="str">
        <f t="shared" si="76"/>
        <v>Soja de Segunda</v>
      </c>
      <c r="I683" s="687" t="str">
        <f>IFERROR(INDEX(Tabla8[],MATCH(Producción_Agricola[[#This Row],[Unidad de Negocio]],Tabla8[Unidades de Negocio],0),2),0)</f>
        <v>Soja</v>
      </c>
      <c r="J683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83" s="661"/>
      <c r="L683" s="482"/>
      <c r="M683" s="483"/>
      <c r="N683" s="484"/>
      <c r="O683" s="694">
        <f>Producción_Agricola[[#This Row],[Superficie]]*Producción_Agricola[[#This Row],[Cantidad]]</f>
        <v>0</v>
      </c>
      <c r="P683" s="482"/>
      <c r="Q683" s="484"/>
      <c r="R683" s="485"/>
      <c r="S683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83" s="761">
        <f>IFERROR(Producción_Agricola[[#This Row],[Económico $Corrientes]]/Producción_Agricola[[#This Row],[Indexación Económico]],0)</f>
        <v>0</v>
      </c>
      <c r="U683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83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83" s="761">
        <f>IFERROR(Producción_Agricola[[#This Row],[Financiero $Corrientes]]/Producción_Agricola[[#This Row],[Indexación Financiero]],0)</f>
        <v>0</v>
      </c>
      <c r="X683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83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83" s="766">
        <f>IFERROR(Producción_Agricola[[#This Row],[Intereses $Corrientes]]/Producción_Agricola[[#This Row],[Indexación Financiero]],0)</f>
        <v>0</v>
      </c>
      <c r="AA683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83" s="768">
        <f>IFERROR(INDEX(Produccion_Agricola_Cuentas[],MATCH(Producción_Agricola[[#This Row],[Cuenta Contable]],Produccion_Agricola_Cuentas[Cuenta Contable],0),2),0)</f>
        <v>0</v>
      </c>
      <c r="AC683" s="769">
        <f>IFERROR(INDEX(Tabla9[],MATCH(Producción_Agricola[[#This Row],[Movimiento]],Tabla9[Movimientos],0),2),0)</f>
        <v>0</v>
      </c>
      <c r="AD683" s="770">
        <f>IFERROR(INDEX(Tabla9[],MATCH(Producción_Agricola[[#This Row],[Movimiento]],Tabla9[Movimientos],0),3),0)</f>
        <v>0</v>
      </c>
      <c r="AE683" s="765">
        <f>IF(Producción_Agricola[[#This Row],[Fecha Económico]]=0,0,MONTH(Producción_Agricola[[#This Row],[Fecha Económico]]))</f>
        <v>0</v>
      </c>
      <c r="AF683" s="766">
        <f>IF(Producción_Agricola[[#This Row],[Fecha Económico]]=0,0,YEAR(Producción_Agricola[[#This Row],[Fecha Económico]]))</f>
        <v>0</v>
      </c>
      <c r="AG683" s="771">
        <f>SUMPRODUCT((Producción_Agricola[[#This Row],[Mes Económico]]=Tipo_Cambio[Mes])*(Producción_Agricola[[#This Row],[Año Económico]]=Tipo_Cambio[Año])*(Tipo_Cambio[$/U$S]))</f>
        <v>0</v>
      </c>
      <c r="AH683" s="770">
        <f>SUMPRODUCT((Producción_Agricola[[#This Row],[Mes Económico]]=Tipo_Cambio[Mes])*(Producción_Agricola[[#This Row],[Año Económico]]=Tipo_Cambio[Año])*(Tipo_Cambio[Actualización]))</f>
        <v>0</v>
      </c>
      <c r="AI683" s="766">
        <f>IF(ISNUMBER(Producción_Agricola[[#This Row],[Fecha Financiero]])=TRUE,MONTH(Producción_Agricola[[#This Row],[Fecha Financiero]]),0)</f>
        <v>0</v>
      </c>
      <c r="AJ683" s="766">
        <f>IF(ISNUMBER(Producción_Agricola[[#This Row],[Fecha Financiero]])=TRUE,YEAR(Producción_Agricola[[#This Row],[Fecha Financiero]]),0)</f>
        <v>0</v>
      </c>
      <c r="AK683" s="771">
        <f>SUMPRODUCT((Producción_Agricola[[#This Row],[Mes Financiero]]=Tipo_Cambio[Mes])*(Producción_Agricola[[#This Row],[Año Financiero]]=Tipo_Cambio[Año])*(Tipo_Cambio[$/U$S]))</f>
        <v>0</v>
      </c>
      <c r="AL683" s="771">
        <f>SUMPRODUCT((Producción_Agricola[[#This Row],[Mes Financiero]]=Tipo_Cambio[Mes])*(Producción_Agricola[[#This Row],[Año Financiero]]=Tipo_Cambio[Año])*(Tipo_Cambio[Actualización]))</f>
        <v>0</v>
      </c>
      <c r="AM683" s="772">
        <f>IFERROR(Producción_Agricola[[#This Row],[Económico $Corrientes]]/Producción_Agricola[[#This Row],[Superficie]],0)</f>
        <v>0</v>
      </c>
      <c r="AN683" s="773">
        <f>IFERROR(Producción_Agricola[[#This Row],[Económico $Constantes]]/Producción_Agricola[[#This Row],[Superficie]],0)</f>
        <v>0</v>
      </c>
      <c r="AO683" s="773">
        <f>IFERROR(Producción_Agricola[[#This Row],[Económico U$S Dólares]]/Producción_Agricola[[#This Row],[Superficie]],0)</f>
        <v>0</v>
      </c>
      <c r="AP683" s="774" t="str">
        <f>IF(Económico!$F$4=0,0,Producción_Agricola[[#This Row],[Centro de Costo]])</f>
        <v>Campo 1</v>
      </c>
      <c r="AQ683" s="512"/>
      <c r="AR683" s="663"/>
    </row>
    <row r="684" spans="4:44" x14ac:dyDescent="0.25">
      <c r="D684" s="478"/>
      <c r="E684" s="478"/>
      <c r="F684" s="668" t="str">
        <f t="shared" si="74"/>
        <v>2018-2019</v>
      </c>
      <c r="G684" s="673" t="str">
        <f t="shared" si="75"/>
        <v>Campo 1</v>
      </c>
      <c r="H684" s="673" t="str">
        <f t="shared" si="76"/>
        <v>Soja de Segunda</v>
      </c>
      <c r="I684" s="687" t="str">
        <f>IFERROR(INDEX(Tabla8[],MATCH(Producción_Agricola[[#This Row],[Unidad de Negocio]],Tabla8[Unidades de Negocio],0),2),0)</f>
        <v>Soja</v>
      </c>
      <c r="J684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84" s="661"/>
      <c r="L684" s="482"/>
      <c r="M684" s="483"/>
      <c r="N684" s="484"/>
      <c r="O684" s="694">
        <f>Producción_Agricola[[#This Row],[Superficie]]*Producción_Agricola[[#This Row],[Cantidad]]</f>
        <v>0</v>
      </c>
      <c r="P684" s="482"/>
      <c r="Q684" s="484"/>
      <c r="R684" s="485"/>
      <c r="S684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84" s="761">
        <f>IFERROR(Producción_Agricola[[#This Row],[Económico $Corrientes]]/Producción_Agricola[[#This Row],[Indexación Económico]],0)</f>
        <v>0</v>
      </c>
      <c r="U684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84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84" s="761">
        <f>IFERROR(Producción_Agricola[[#This Row],[Financiero $Corrientes]]/Producción_Agricola[[#This Row],[Indexación Financiero]],0)</f>
        <v>0</v>
      </c>
      <c r="X684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84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84" s="766">
        <f>IFERROR(Producción_Agricola[[#This Row],[Intereses $Corrientes]]/Producción_Agricola[[#This Row],[Indexación Financiero]],0)</f>
        <v>0</v>
      </c>
      <c r="AA684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84" s="768">
        <f>IFERROR(INDEX(Produccion_Agricola_Cuentas[],MATCH(Producción_Agricola[[#This Row],[Cuenta Contable]],Produccion_Agricola_Cuentas[Cuenta Contable],0),2),0)</f>
        <v>0</v>
      </c>
      <c r="AC684" s="769">
        <f>IFERROR(INDEX(Tabla9[],MATCH(Producción_Agricola[[#This Row],[Movimiento]],Tabla9[Movimientos],0),2),0)</f>
        <v>0</v>
      </c>
      <c r="AD684" s="770">
        <f>IFERROR(INDEX(Tabla9[],MATCH(Producción_Agricola[[#This Row],[Movimiento]],Tabla9[Movimientos],0),3),0)</f>
        <v>0</v>
      </c>
      <c r="AE684" s="765">
        <f>IF(Producción_Agricola[[#This Row],[Fecha Económico]]=0,0,MONTH(Producción_Agricola[[#This Row],[Fecha Económico]]))</f>
        <v>0</v>
      </c>
      <c r="AF684" s="766">
        <f>IF(Producción_Agricola[[#This Row],[Fecha Económico]]=0,0,YEAR(Producción_Agricola[[#This Row],[Fecha Económico]]))</f>
        <v>0</v>
      </c>
      <c r="AG684" s="771">
        <f>SUMPRODUCT((Producción_Agricola[[#This Row],[Mes Económico]]=Tipo_Cambio[Mes])*(Producción_Agricola[[#This Row],[Año Económico]]=Tipo_Cambio[Año])*(Tipo_Cambio[$/U$S]))</f>
        <v>0</v>
      </c>
      <c r="AH684" s="770">
        <f>SUMPRODUCT((Producción_Agricola[[#This Row],[Mes Económico]]=Tipo_Cambio[Mes])*(Producción_Agricola[[#This Row],[Año Económico]]=Tipo_Cambio[Año])*(Tipo_Cambio[Actualización]))</f>
        <v>0</v>
      </c>
      <c r="AI684" s="766">
        <f>IF(ISNUMBER(Producción_Agricola[[#This Row],[Fecha Financiero]])=TRUE,MONTH(Producción_Agricola[[#This Row],[Fecha Financiero]]),0)</f>
        <v>0</v>
      </c>
      <c r="AJ684" s="766">
        <f>IF(ISNUMBER(Producción_Agricola[[#This Row],[Fecha Financiero]])=TRUE,YEAR(Producción_Agricola[[#This Row],[Fecha Financiero]]),0)</f>
        <v>0</v>
      </c>
      <c r="AK684" s="771">
        <f>SUMPRODUCT((Producción_Agricola[[#This Row],[Mes Financiero]]=Tipo_Cambio[Mes])*(Producción_Agricola[[#This Row],[Año Financiero]]=Tipo_Cambio[Año])*(Tipo_Cambio[$/U$S]))</f>
        <v>0</v>
      </c>
      <c r="AL684" s="771">
        <f>SUMPRODUCT((Producción_Agricola[[#This Row],[Mes Financiero]]=Tipo_Cambio[Mes])*(Producción_Agricola[[#This Row],[Año Financiero]]=Tipo_Cambio[Año])*(Tipo_Cambio[Actualización]))</f>
        <v>0</v>
      </c>
      <c r="AM684" s="772">
        <f>IFERROR(Producción_Agricola[[#This Row],[Económico $Corrientes]]/Producción_Agricola[[#This Row],[Superficie]],0)</f>
        <v>0</v>
      </c>
      <c r="AN684" s="773">
        <f>IFERROR(Producción_Agricola[[#This Row],[Económico $Constantes]]/Producción_Agricola[[#This Row],[Superficie]],0)</f>
        <v>0</v>
      </c>
      <c r="AO684" s="773">
        <f>IFERROR(Producción_Agricola[[#This Row],[Económico U$S Dólares]]/Producción_Agricola[[#This Row],[Superficie]],0)</f>
        <v>0</v>
      </c>
      <c r="AP684" s="774" t="str">
        <f>IF(Económico!$F$4=0,0,Producción_Agricola[[#This Row],[Centro de Costo]])</f>
        <v>Campo 1</v>
      </c>
      <c r="AQ684" s="512"/>
      <c r="AR684" s="663"/>
    </row>
    <row r="685" spans="4:44" x14ac:dyDescent="0.25">
      <c r="D685" s="478"/>
      <c r="E685" s="478"/>
      <c r="F685" s="668" t="str">
        <f t="shared" si="74"/>
        <v>2018-2019</v>
      </c>
      <c r="G685" s="673" t="str">
        <f t="shared" si="75"/>
        <v>Campo 1</v>
      </c>
      <c r="H685" s="673" t="str">
        <f t="shared" si="76"/>
        <v>Soja de Segunda</v>
      </c>
      <c r="I685" s="687" t="str">
        <f>IFERROR(INDEX(Tabla8[],MATCH(Producción_Agricola[[#This Row],[Unidad de Negocio]],Tabla8[Unidades de Negocio],0),2),0)</f>
        <v>Soja</v>
      </c>
      <c r="J685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85" s="661"/>
      <c r="L685" s="482"/>
      <c r="M685" s="483"/>
      <c r="N685" s="484"/>
      <c r="O685" s="694">
        <f>Producción_Agricola[[#This Row],[Superficie]]*Producción_Agricola[[#This Row],[Cantidad]]</f>
        <v>0</v>
      </c>
      <c r="P685" s="482"/>
      <c r="Q685" s="484"/>
      <c r="R685" s="485"/>
      <c r="S685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85" s="761">
        <f>IFERROR(Producción_Agricola[[#This Row],[Económico $Corrientes]]/Producción_Agricola[[#This Row],[Indexación Económico]],0)</f>
        <v>0</v>
      </c>
      <c r="U685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85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85" s="761">
        <f>IFERROR(Producción_Agricola[[#This Row],[Financiero $Corrientes]]/Producción_Agricola[[#This Row],[Indexación Financiero]],0)</f>
        <v>0</v>
      </c>
      <c r="X685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85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85" s="766">
        <f>IFERROR(Producción_Agricola[[#This Row],[Intereses $Corrientes]]/Producción_Agricola[[#This Row],[Indexación Financiero]],0)</f>
        <v>0</v>
      </c>
      <c r="AA685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85" s="768">
        <f>IFERROR(INDEX(Produccion_Agricola_Cuentas[],MATCH(Producción_Agricola[[#This Row],[Cuenta Contable]],Produccion_Agricola_Cuentas[Cuenta Contable],0),2),0)</f>
        <v>0</v>
      </c>
      <c r="AC685" s="769">
        <f>IFERROR(INDEX(Tabla9[],MATCH(Producción_Agricola[[#This Row],[Movimiento]],Tabla9[Movimientos],0),2),0)</f>
        <v>0</v>
      </c>
      <c r="AD685" s="770">
        <f>IFERROR(INDEX(Tabla9[],MATCH(Producción_Agricola[[#This Row],[Movimiento]],Tabla9[Movimientos],0),3),0)</f>
        <v>0</v>
      </c>
      <c r="AE685" s="765">
        <f>IF(Producción_Agricola[[#This Row],[Fecha Económico]]=0,0,MONTH(Producción_Agricola[[#This Row],[Fecha Económico]]))</f>
        <v>0</v>
      </c>
      <c r="AF685" s="766">
        <f>IF(Producción_Agricola[[#This Row],[Fecha Económico]]=0,0,YEAR(Producción_Agricola[[#This Row],[Fecha Económico]]))</f>
        <v>0</v>
      </c>
      <c r="AG685" s="771">
        <f>SUMPRODUCT((Producción_Agricola[[#This Row],[Mes Económico]]=Tipo_Cambio[Mes])*(Producción_Agricola[[#This Row],[Año Económico]]=Tipo_Cambio[Año])*(Tipo_Cambio[$/U$S]))</f>
        <v>0</v>
      </c>
      <c r="AH685" s="770">
        <f>SUMPRODUCT((Producción_Agricola[[#This Row],[Mes Económico]]=Tipo_Cambio[Mes])*(Producción_Agricola[[#This Row],[Año Económico]]=Tipo_Cambio[Año])*(Tipo_Cambio[Actualización]))</f>
        <v>0</v>
      </c>
      <c r="AI685" s="766">
        <f>IF(ISNUMBER(Producción_Agricola[[#This Row],[Fecha Financiero]])=TRUE,MONTH(Producción_Agricola[[#This Row],[Fecha Financiero]]),0)</f>
        <v>0</v>
      </c>
      <c r="AJ685" s="766">
        <f>IF(ISNUMBER(Producción_Agricola[[#This Row],[Fecha Financiero]])=TRUE,YEAR(Producción_Agricola[[#This Row],[Fecha Financiero]]),0)</f>
        <v>0</v>
      </c>
      <c r="AK685" s="771">
        <f>SUMPRODUCT((Producción_Agricola[[#This Row],[Mes Financiero]]=Tipo_Cambio[Mes])*(Producción_Agricola[[#This Row],[Año Financiero]]=Tipo_Cambio[Año])*(Tipo_Cambio[$/U$S]))</f>
        <v>0</v>
      </c>
      <c r="AL685" s="771">
        <f>SUMPRODUCT((Producción_Agricola[[#This Row],[Mes Financiero]]=Tipo_Cambio[Mes])*(Producción_Agricola[[#This Row],[Año Financiero]]=Tipo_Cambio[Año])*(Tipo_Cambio[Actualización]))</f>
        <v>0</v>
      </c>
      <c r="AM685" s="772">
        <f>IFERROR(Producción_Agricola[[#This Row],[Económico $Corrientes]]/Producción_Agricola[[#This Row],[Superficie]],0)</f>
        <v>0</v>
      </c>
      <c r="AN685" s="773">
        <f>IFERROR(Producción_Agricola[[#This Row],[Económico $Constantes]]/Producción_Agricola[[#This Row],[Superficie]],0)</f>
        <v>0</v>
      </c>
      <c r="AO685" s="773">
        <f>IFERROR(Producción_Agricola[[#This Row],[Económico U$S Dólares]]/Producción_Agricola[[#This Row],[Superficie]],0)</f>
        <v>0</v>
      </c>
      <c r="AP685" s="774" t="str">
        <f>IF(Económico!$F$4=0,0,Producción_Agricola[[#This Row],[Centro de Costo]])</f>
        <v>Campo 1</v>
      </c>
      <c r="AQ685" s="512"/>
      <c r="AR685" s="663"/>
    </row>
    <row r="686" spans="4:44" x14ac:dyDescent="0.25">
      <c r="D686" s="478"/>
      <c r="E686" s="478"/>
      <c r="F686" s="668" t="str">
        <f t="shared" si="74"/>
        <v>2018-2019</v>
      </c>
      <c r="G686" s="673" t="str">
        <f t="shared" si="75"/>
        <v>Campo 1</v>
      </c>
      <c r="H686" s="673" t="str">
        <f t="shared" si="76"/>
        <v>Soja de Segunda</v>
      </c>
      <c r="I686" s="687" t="str">
        <f>IFERROR(INDEX(Tabla8[],MATCH(Producción_Agricola[[#This Row],[Unidad de Negocio]],Tabla8[Unidades de Negocio],0),2),0)</f>
        <v>Soja</v>
      </c>
      <c r="J686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86" s="661"/>
      <c r="L686" s="482"/>
      <c r="M686" s="483"/>
      <c r="N686" s="484"/>
      <c r="O686" s="694">
        <f>Producción_Agricola[[#This Row],[Superficie]]*Producción_Agricola[[#This Row],[Cantidad]]</f>
        <v>0</v>
      </c>
      <c r="P686" s="482"/>
      <c r="Q686" s="484"/>
      <c r="R686" s="485"/>
      <c r="S686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86" s="761">
        <f>IFERROR(Producción_Agricola[[#This Row],[Económico $Corrientes]]/Producción_Agricola[[#This Row],[Indexación Económico]],0)</f>
        <v>0</v>
      </c>
      <c r="U686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86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86" s="761">
        <f>IFERROR(Producción_Agricola[[#This Row],[Financiero $Corrientes]]/Producción_Agricola[[#This Row],[Indexación Financiero]],0)</f>
        <v>0</v>
      </c>
      <c r="X686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86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86" s="766">
        <f>IFERROR(Producción_Agricola[[#This Row],[Intereses $Corrientes]]/Producción_Agricola[[#This Row],[Indexación Financiero]],0)</f>
        <v>0</v>
      </c>
      <c r="AA686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86" s="768">
        <f>IFERROR(INDEX(Produccion_Agricola_Cuentas[],MATCH(Producción_Agricola[[#This Row],[Cuenta Contable]],Produccion_Agricola_Cuentas[Cuenta Contable],0),2),0)</f>
        <v>0</v>
      </c>
      <c r="AC686" s="769">
        <f>IFERROR(INDEX(Tabla9[],MATCH(Producción_Agricola[[#This Row],[Movimiento]],Tabla9[Movimientos],0),2),0)</f>
        <v>0</v>
      </c>
      <c r="AD686" s="770">
        <f>IFERROR(INDEX(Tabla9[],MATCH(Producción_Agricola[[#This Row],[Movimiento]],Tabla9[Movimientos],0),3),0)</f>
        <v>0</v>
      </c>
      <c r="AE686" s="765">
        <f>IF(Producción_Agricola[[#This Row],[Fecha Económico]]=0,0,MONTH(Producción_Agricola[[#This Row],[Fecha Económico]]))</f>
        <v>0</v>
      </c>
      <c r="AF686" s="766">
        <f>IF(Producción_Agricola[[#This Row],[Fecha Económico]]=0,0,YEAR(Producción_Agricola[[#This Row],[Fecha Económico]]))</f>
        <v>0</v>
      </c>
      <c r="AG686" s="771">
        <f>SUMPRODUCT((Producción_Agricola[[#This Row],[Mes Económico]]=Tipo_Cambio[Mes])*(Producción_Agricola[[#This Row],[Año Económico]]=Tipo_Cambio[Año])*(Tipo_Cambio[$/U$S]))</f>
        <v>0</v>
      </c>
      <c r="AH686" s="770">
        <f>SUMPRODUCT((Producción_Agricola[[#This Row],[Mes Económico]]=Tipo_Cambio[Mes])*(Producción_Agricola[[#This Row],[Año Económico]]=Tipo_Cambio[Año])*(Tipo_Cambio[Actualización]))</f>
        <v>0</v>
      </c>
      <c r="AI686" s="766">
        <f>IF(ISNUMBER(Producción_Agricola[[#This Row],[Fecha Financiero]])=TRUE,MONTH(Producción_Agricola[[#This Row],[Fecha Financiero]]),0)</f>
        <v>0</v>
      </c>
      <c r="AJ686" s="766">
        <f>IF(ISNUMBER(Producción_Agricola[[#This Row],[Fecha Financiero]])=TRUE,YEAR(Producción_Agricola[[#This Row],[Fecha Financiero]]),0)</f>
        <v>0</v>
      </c>
      <c r="AK686" s="771">
        <f>SUMPRODUCT((Producción_Agricola[[#This Row],[Mes Financiero]]=Tipo_Cambio[Mes])*(Producción_Agricola[[#This Row],[Año Financiero]]=Tipo_Cambio[Año])*(Tipo_Cambio[$/U$S]))</f>
        <v>0</v>
      </c>
      <c r="AL686" s="771">
        <f>SUMPRODUCT((Producción_Agricola[[#This Row],[Mes Financiero]]=Tipo_Cambio[Mes])*(Producción_Agricola[[#This Row],[Año Financiero]]=Tipo_Cambio[Año])*(Tipo_Cambio[Actualización]))</f>
        <v>0</v>
      </c>
      <c r="AM686" s="772">
        <f>IFERROR(Producción_Agricola[[#This Row],[Económico $Corrientes]]/Producción_Agricola[[#This Row],[Superficie]],0)</f>
        <v>0</v>
      </c>
      <c r="AN686" s="773">
        <f>IFERROR(Producción_Agricola[[#This Row],[Económico $Constantes]]/Producción_Agricola[[#This Row],[Superficie]],0)</f>
        <v>0</v>
      </c>
      <c r="AO686" s="773">
        <f>IFERROR(Producción_Agricola[[#This Row],[Económico U$S Dólares]]/Producción_Agricola[[#This Row],[Superficie]],0)</f>
        <v>0</v>
      </c>
      <c r="AP686" s="774" t="str">
        <f>IF(Económico!$F$4=0,0,Producción_Agricola[[#This Row],[Centro de Costo]])</f>
        <v>Campo 1</v>
      </c>
      <c r="AQ686" s="512"/>
      <c r="AR686" s="663"/>
    </row>
    <row r="687" spans="4:44" x14ac:dyDescent="0.25">
      <c r="D687" s="478"/>
      <c r="E687" s="478"/>
      <c r="F687" s="668" t="str">
        <f t="shared" si="74"/>
        <v>2018-2019</v>
      </c>
      <c r="G687" s="673" t="str">
        <f t="shared" si="75"/>
        <v>Campo 1</v>
      </c>
      <c r="H687" s="673" t="str">
        <f t="shared" si="76"/>
        <v>Soja de Segunda</v>
      </c>
      <c r="I687" s="687" t="str">
        <f>IFERROR(INDEX(Tabla8[],MATCH(Producción_Agricola[[#This Row],[Unidad de Negocio]],Tabla8[Unidades de Negocio],0),2),0)</f>
        <v>Soja</v>
      </c>
      <c r="J687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87" s="661"/>
      <c r="L687" s="482"/>
      <c r="M687" s="483"/>
      <c r="N687" s="484"/>
      <c r="O687" s="694">
        <f>Producción_Agricola[[#This Row],[Superficie]]*Producción_Agricola[[#This Row],[Cantidad]]</f>
        <v>0</v>
      </c>
      <c r="P687" s="482"/>
      <c r="Q687" s="484"/>
      <c r="R687" s="485"/>
      <c r="S687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87" s="761">
        <f>IFERROR(Producción_Agricola[[#This Row],[Económico $Corrientes]]/Producción_Agricola[[#This Row],[Indexación Económico]],0)</f>
        <v>0</v>
      </c>
      <c r="U687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87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87" s="761">
        <f>IFERROR(Producción_Agricola[[#This Row],[Financiero $Corrientes]]/Producción_Agricola[[#This Row],[Indexación Financiero]],0)</f>
        <v>0</v>
      </c>
      <c r="X687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87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87" s="766">
        <f>IFERROR(Producción_Agricola[[#This Row],[Intereses $Corrientes]]/Producción_Agricola[[#This Row],[Indexación Financiero]],0)</f>
        <v>0</v>
      </c>
      <c r="AA687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87" s="768">
        <f>IFERROR(INDEX(Produccion_Agricola_Cuentas[],MATCH(Producción_Agricola[[#This Row],[Cuenta Contable]],Produccion_Agricola_Cuentas[Cuenta Contable],0),2),0)</f>
        <v>0</v>
      </c>
      <c r="AC687" s="769">
        <f>IFERROR(INDEX(Tabla9[],MATCH(Producción_Agricola[[#This Row],[Movimiento]],Tabla9[Movimientos],0),2),0)</f>
        <v>0</v>
      </c>
      <c r="AD687" s="770">
        <f>IFERROR(INDEX(Tabla9[],MATCH(Producción_Agricola[[#This Row],[Movimiento]],Tabla9[Movimientos],0),3),0)</f>
        <v>0</v>
      </c>
      <c r="AE687" s="765">
        <f>IF(Producción_Agricola[[#This Row],[Fecha Económico]]=0,0,MONTH(Producción_Agricola[[#This Row],[Fecha Económico]]))</f>
        <v>0</v>
      </c>
      <c r="AF687" s="766">
        <f>IF(Producción_Agricola[[#This Row],[Fecha Económico]]=0,0,YEAR(Producción_Agricola[[#This Row],[Fecha Económico]]))</f>
        <v>0</v>
      </c>
      <c r="AG687" s="771">
        <f>SUMPRODUCT((Producción_Agricola[[#This Row],[Mes Económico]]=Tipo_Cambio[Mes])*(Producción_Agricola[[#This Row],[Año Económico]]=Tipo_Cambio[Año])*(Tipo_Cambio[$/U$S]))</f>
        <v>0</v>
      </c>
      <c r="AH687" s="770">
        <f>SUMPRODUCT((Producción_Agricola[[#This Row],[Mes Económico]]=Tipo_Cambio[Mes])*(Producción_Agricola[[#This Row],[Año Económico]]=Tipo_Cambio[Año])*(Tipo_Cambio[Actualización]))</f>
        <v>0</v>
      </c>
      <c r="AI687" s="766">
        <f>IF(ISNUMBER(Producción_Agricola[[#This Row],[Fecha Financiero]])=TRUE,MONTH(Producción_Agricola[[#This Row],[Fecha Financiero]]),0)</f>
        <v>0</v>
      </c>
      <c r="AJ687" s="766">
        <f>IF(ISNUMBER(Producción_Agricola[[#This Row],[Fecha Financiero]])=TRUE,YEAR(Producción_Agricola[[#This Row],[Fecha Financiero]]),0)</f>
        <v>0</v>
      </c>
      <c r="AK687" s="771">
        <f>SUMPRODUCT((Producción_Agricola[[#This Row],[Mes Financiero]]=Tipo_Cambio[Mes])*(Producción_Agricola[[#This Row],[Año Financiero]]=Tipo_Cambio[Año])*(Tipo_Cambio[$/U$S]))</f>
        <v>0</v>
      </c>
      <c r="AL687" s="771">
        <f>SUMPRODUCT((Producción_Agricola[[#This Row],[Mes Financiero]]=Tipo_Cambio[Mes])*(Producción_Agricola[[#This Row],[Año Financiero]]=Tipo_Cambio[Año])*(Tipo_Cambio[Actualización]))</f>
        <v>0</v>
      </c>
      <c r="AM687" s="772">
        <f>IFERROR(Producción_Agricola[[#This Row],[Económico $Corrientes]]/Producción_Agricola[[#This Row],[Superficie]],0)</f>
        <v>0</v>
      </c>
      <c r="AN687" s="773">
        <f>IFERROR(Producción_Agricola[[#This Row],[Económico $Constantes]]/Producción_Agricola[[#This Row],[Superficie]],0)</f>
        <v>0</v>
      </c>
      <c r="AO687" s="773">
        <f>IFERROR(Producción_Agricola[[#This Row],[Económico U$S Dólares]]/Producción_Agricola[[#This Row],[Superficie]],0)</f>
        <v>0</v>
      </c>
      <c r="AP687" s="774" t="str">
        <f>IF(Económico!$F$4=0,0,Producción_Agricola[[#This Row],[Centro de Costo]])</f>
        <v>Campo 1</v>
      </c>
      <c r="AQ687" s="512"/>
      <c r="AR687" s="663"/>
    </row>
    <row r="688" spans="4:44" x14ac:dyDescent="0.25">
      <c r="D688" s="478"/>
      <c r="E688" s="478"/>
      <c r="F688" s="668" t="str">
        <f t="shared" si="74"/>
        <v>2018-2019</v>
      </c>
      <c r="G688" s="673" t="str">
        <f t="shared" si="75"/>
        <v>Campo 1</v>
      </c>
      <c r="H688" s="673" t="str">
        <f t="shared" si="76"/>
        <v>Soja de Segunda</v>
      </c>
      <c r="I688" s="687" t="str">
        <f>IFERROR(INDEX(Tabla8[],MATCH(Producción_Agricola[[#This Row],[Unidad de Negocio]],Tabla8[Unidades de Negocio],0),2),0)</f>
        <v>Soja</v>
      </c>
      <c r="J688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88" s="661"/>
      <c r="L688" s="482"/>
      <c r="M688" s="483"/>
      <c r="N688" s="484"/>
      <c r="O688" s="694">
        <f>Producción_Agricola[[#This Row],[Superficie]]*Producción_Agricola[[#This Row],[Cantidad]]</f>
        <v>0</v>
      </c>
      <c r="P688" s="482"/>
      <c r="Q688" s="484"/>
      <c r="R688" s="485"/>
      <c r="S688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88" s="761">
        <f>IFERROR(Producción_Agricola[[#This Row],[Económico $Corrientes]]/Producción_Agricola[[#This Row],[Indexación Económico]],0)</f>
        <v>0</v>
      </c>
      <c r="U688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88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88" s="761">
        <f>IFERROR(Producción_Agricola[[#This Row],[Financiero $Corrientes]]/Producción_Agricola[[#This Row],[Indexación Financiero]],0)</f>
        <v>0</v>
      </c>
      <c r="X688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88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88" s="766">
        <f>IFERROR(Producción_Agricola[[#This Row],[Intereses $Corrientes]]/Producción_Agricola[[#This Row],[Indexación Financiero]],0)</f>
        <v>0</v>
      </c>
      <c r="AA688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88" s="768">
        <f>IFERROR(INDEX(Produccion_Agricola_Cuentas[],MATCH(Producción_Agricola[[#This Row],[Cuenta Contable]],Produccion_Agricola_Cuentas[Cuenta Contable],0),2),0)</f>
        <v>0</v>
      </c>
      <c r="AC688" s="769">
        <f>IFERROR(INDEX(Tabla9[],MATCH(Producción_Agricola[[#This Row],[Movimiento]],Tabla9[Movimientos],0),2),0)</f>
        <v>0</v>
      </c>
      <c r="AD688" s="770">
        <f>IFERROR(INDEX(Tabla9[],MATCH(Producción_Agricola[[#This Row],[Movimiento]],Tabla9[Movimientos],0),3),0)</f>
        <v>0</v>
      </c>
      <c r="AE688" s="765">
        <f>IF(Producción_Agricola[[#This Row],[Fecha Económico]]=0,0,MONTH(Producción_Agricola[[#This Row],[Fecha Económico]]))</f>
        <v>0</v>
      </c>
      <c r="AF688" s="766">
        <f>IF(Producción_Agricola[[#This Row],[Fecha Económico]]=0,0,YEAR(Producción_Agricola[[#This Row],[Fecha Económico]]))</f>
        <v>0</v>
      </c>
      <c r="AG688" s="771">
        <f>SUMPRODUCT((Producción_Agricola[[#This Row],[Mes Económico]]=Tipo_Cambio[Mes])*(Producción_Agricola[[#This Row],[Año Económico]]=Tipo_Cambio[Año])*(Tipo_Cambio[$/U$S]))</f>
        <v>0</v>
      </c>
      <c r="AH688" s="770">
        <f>SUMPRODUCT((Producción_Agricola[[#This Row],[Mes Económico]]=Tipo_Cambio[Mes])*(Producción_Agricola[[#This Row],[Año Económico]]=Tipo_Cambio[Año])*(Tipo_Cambio[Actualización]))</f>
        <v>0</v>
      </c>
      <c r="AI688" s="766">
        <f>IF(ISNUMBER(Producción_Agricola[[#This Row],[Fecha Financiero]])=TRUE,MONTH(Producción_Agricola[[#This Row],[Fecha Financiero]]),0)</f>
        <v>0</v>
      </c>
      <c r="AJ688" s="766">
        <f>IF(ISNUMBER(Producción_Agricola[[#This Row],[Fecha Financiero]])=TRUE,YEAR(Producción_Agricola[[#This Row],[Fecha Financiero]]),0)</f>
        <v>0</v>
      </c>
      <c r="AK688" s="771">
        <f>SUMPRODUCT((Producción_Agricola[[#This Row],[Mes Financiero]]=Tipo_Cambio[Mes])*(Producción_Agricola[[#This Row],[Año Financiero]]=Tipo_Cambio[Año])*(Tipo_Cambio[$/U$S]))</f>
        <v>0</v>
      </c>
      <c r="AL688" s="771">
        <f>SUMPRODUCT((Producción_Agricola[[#This Row],[Mes Financiero]]=Tipo_Cambio[Mes])*(Producción_Agricola[[#This Row],[Año Financiero]]=Tipo_Cambio[Año])*(Tipo_Cambio[Actualización]))</f>
        <v>0</v>
      </c>
      <c r="AM688" s="772">
        <f>IFERROR(Producción_Agricola[[#This Row],[Económico $Corrientes]]/Producción_Agricola[[#This Row],[Superficie]],0)</f>
        <v>0</v>
      </c>
      <c r="AN688" s="773">
        <f>IFERROR(Producción_Agricola[[#This Row],[Económico $Constantes]]/Producción_Agricola[[#This Row],[Superficie]],0)</f>
        <v>0</v>
      </c>
      <c r="AO688" s="773">
        <f>IFERROR(Producción_Agricola[[#This Row],[Económico U$S Dólares]]/Producción_Agricola[[#This Row],[Superficie]],0)</f>
        <v>0</v>
      </c>
      <c r="AP688" s="774" t="str">
        <f>IF(Económico!$F$4=0,0,Producción_Agricola[[#This Row],[Centro de Costo]])</f>
        <v>Campo 1</v>
      </c>
      <c r="AQ688" s="512"/>
      <c r="AR688" s="663"/>
    </row>
    <row r="689" spans="4:44" x14ac:dyDescent="0.25">
      <c r="D689" s="478"/>
      <c r="E689" s="478"/>
      <c r="F689" s="668" t="str">
        <f t="shared" si="74"/>
        <v>2018-2019</v>
      </c>
      <c r="G689" s="673" t="str">
        <f t="shared" si="75"/>
        <v>Campo 1</v>
      </c>
      <c r="H689" s="673" t="str">
        <f t="shared" si="76"/>
        <v>Soja de Segunda</v>
      </c>
      <c r="I689" s="687" t="str">
        <f>IFERROR(INDEX(Tabla8[],MATCH(Producción_Agricola[[#This Row],[Unidad de Negocio]],Tabla8[Unidades de Negocio],0),2),0)</f>
        <v>Soja</v>
      </c>
      <c r="J689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89" s="661"/>
      <c r="L689" s="482"/>
      <c r="M689" s="483"/>
      <c r="N689" s="484"/>
      <c r="O689" s="694">
        <f>Producción_Agricola[[#This Row],[Superficie]]*Producción_Agricola[[#This Row],[Cantidad]]</f>
        <v>0</v>
      </c>
      <c r="P689" s="482"/>
      <c r="Q689" s="484"/>
      <c r="R689" s="485"/>
      <c r="S689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89" s="761">
        <f>IFERROR(Producción_Agricola[[#This Row],[Económico $Corrientes]]/Producción_Agricola[[#This Row],[Indexación Económico]],0)</f>
        <v>0</v>
      </c>
      <c r="U689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89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89" s="761">
        <f>IFERROR(Producción_Agricola[[#This Row],[Financiero $Corrientes]]/Producción_Agricola[[#This Row],[Indexación Financiero]],0)</f>
        <v>0</v>
      </c>
      <c r="X689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89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89" s="766">
        <f>IFERROR(Producción_Agricola[[#This Row],[Intereses $Corrientes]]/Producción_Agricola[[#This Row],[Indexación Financiero]],0)</f>
        <v>0</v>
      </c>
      <c r="AA689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89" s="768">
        <f>IFERROR(INDEX(Produccion_Agricola_Cuentas[],MATCH(Producción_Agricola[[#This Row],[Cuenta Contable]],Produccion_Agricola_Cuentas[Cuenta Contable],0),2),0)</f>
        <v>0</v>
      </c>
      <c r="AC689" s="769">
        <f>IFERROR(INDEX(Tabla9[],MATCH(Producción_Agricola[[#This Row],[Movimiento]],Tabla9[Movimientos],0),2),0)</f>
        <v>0</v>
      </c>
      <c r="AD689" s="770">
        <f>IFERROR(INDEX(Tabla9[],MATCH(Producción_Agricola[[#This Row],[Movimiento]],Tabla9[Movimientos],0),3),0)</f>
        <v>0</v>
      </c>
      <c r="AE689" s="765">
        <f>IF(Producción_Agricola[[#This Row],[Fecha Económico]]=0,0,MONTH(Producción_Agricola[[#This Row],[Fecha Económico]]))</f>
        <v>0</v>
      </c>
      <c r="AF689" s="766">
        <f>IF(Producción_Agricola[[#This Row],[Fecha Económico]]=0,0,YEAR(Producción_Agricola[[#This Row],[Fecha Económico]]))</f>
        <v>0</v>
      </c>
      <c r="AG689" s="771">
        <f>SUMPRODUCT((Producción_Agricola[[#This Row],[Mes Económico]]=Tipo_Cambio[Mes])*(Producción_Agricola[[#This Row],[Año Económico]]=Tipo_Cambio[Año])*(Tipo_Cambio[$/U$S]))</f>
        <v>0</v>
      </c>
      <c r="AH689" s="770">
        <f>SUMPRODUCT((Producción_Agricola[[#This Row],[Mes Económico]]=Tipo_Cambio[Mes])*(Producción_Agricola[[#This Row],[Año Económico]]=Tipo_Cambio[Año])*(Tipo_Cambio[Actualización]))</f>
        <v>0</v>
      </c>
      <c r="AI689" s="766">
        <f>IF(ISNUMBER(Producción_Agricola[[#This Row],[Fecha Financiero]])=TRUE,MONTH(Producción_Agricola[[#This Row],[Fecha Financiero]]),0)</f>
        <v>0</v>
      </c>
      <c r="AJ689" s="766">
        <f>IF(ISNUMBER(Producción_Agricola[[#This Row],[Fecha Financiero]])=TRUE,YEAR(Producción_Agricola[[#This Row],[Fecha Financiero]]),0)</f>
        <v>0</v>
      </c>
      <c r="AK689" s="771">
        <f>SUMPRODUCT((Producción_Agricola[[#This Row],[Mes Financiero]]=Tipo_Cambio[Mes])*(Producción_Agricola[[#This Row],[Año Financiero]]=Tipo_Cambio[Año])*(Tipo_Cambio[$/U$S]))</f>
        <v>0</v>
      </c>
      <c r="AL689" s="771">
        <f>SUMPRODUCT((Producción_Agricola[[#This Row],[Mes Financiero]]=Tipo_Cambio[Mes])*(Producción_Agricola[[#This Row],[Año Financiero]]=Tipo_Cambio[Año])*(Tipo_Cambio[Actualización]))</f>
        <v>0</v>
      </c>
      <c r="AM689" s="772">
        <f>IFERROR(Producción_Agricola[[#This Row],[Económico $Corrientes]]/Producción_Agricola[[#This Row],[Superficie]],0)</f>
        <v>0</v>
      </c>
      <c r="AN689" s="773">
        <f>IFERROR(Producción_Agricola[[#This Row],[Económico $Constantes]]/Producción_Agricola[[#This Row],[Superficie]],0)</f>
        <v>0</v>
      </c>
      <c r="AO689" s="773">
        <f>IFERROR(Producción_Agricola[[#This Row],[Económico U$S Dólares]]/Producción_Agricola[[#This Row],[Superficie]],0)</f>
        <v>0</v>
      </c>
      <c r="AP689" s="774" t="str">
        <f>IF(Económico!$F$4=0,0,Producción_Agricola[[#This Row],[Centro de Costo]])</f>
        <v>Campo 1</v>
      </c>
      <c r="AQ689" s="512"/>
      <c r="AR689" s="663"/>
    </row>
    <row r="690" spans="4:44" x14ac:dyDescent="0.25">
      <c r="D690" s="478"/>
      <c r="E690" s="478"/>
      <c r="F690" s="668" t="str">
        <f t="shared" si="74"/>
        <v>2018-2019</v>
      </c>
      <c r="G690" s="673" t="str">
        <f t="shared" si="75"/>
        <v>Campo 1</v>
      </c>
      <c r="H690" s="673" t="str">
        <f t="shared" si="76"/>
        <v>Soja de Segunda</v>
      </c>
      <c r="I690" s="687" t="str">
        <f>IFERROR(INDEX(Tabla8[],MATCH(Producción_Agricola[[#This Row],[Unidad de Negocio]],Tabla8[Unidades de Negocio],0),2),0)</f>
        <v>Soja</v>
      </c>
      <c r="J690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90" s="661"/>
      <c r="L690" s="482"/>
      <c r="M690" s="483"/>
      <c r="N690" s="484"/>
      <c r="O690" s="694">
        <f>Producción_Agricola[[#This Row],[Superficie]]*Producción_Agricola[[#This Row],[Cantidad]]</f>
        <v>0</v>
      </c>
      <c r="P690" s="482"/>
      <c r="Q690" s="484"/>
      <c r="R690" s="485"/>
      <c r="S690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90" s="761">
        <f>IFERROR(Producción_Agricola[[#This Row],[Económico $Corrientes]]/Producción_Agricola[[#This Row],[Indexación Económico]],0)</f>
        <v>0</v>
      </c>
      <c r="U690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90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90" s="761">
        <f>IFERROR(Producción_Agricola[[#This Row],[Financiero $Corrientes]]/Producción_Agricola[[#This Row],[Indexación Financiero]],0)</f>
        <v>0</v>
      </c>
      <c r="X690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90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90" s="766">
        <f>IFERROR(Producción_Agricola[[#This Row],[Intereses $Corrientes]]/Producción_Agricola[[#This Row],[Indexación Financiero]],0)</f>
        <v>0</v>
      </c>
      <c r="AA690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90" s="768">
        <f>IFERROR(INDEX(Produccion_Agricola_Cuentas[],MATCH(Producción_Agricola[[#This Row],[Cuenta Contable]],Produccion_Agricola_Cuentas[Cuenta Contable],0),2),0)</f>
        <v>0</v>
      </c>
      <c r="AC690" s="769">
        <f>IFERROR(INDEX(Tabla9[],MATCH(Producción_Agricola[[#This Row],[Movimiento]],Tabla9[Movimientos],0),2),0)</f>
        <v>0</v>
      </c>
      <c r="AD690" s="770">
        <f>IFERROR(INDEX(Tabla9[],MATCH(Producción_Agricola[[#This Row],[Movimiento]],Tabla9[Movimientos],0),3),0)</f>
        <v>0</v>
      </c>
      <c r="AE690" s="765">
        <f>IF(Producción_Agricola[[#This Row],[Fecha Económico]]=0,0,MONTH(Producción_Agricola[[#This Row],[Fecha Económico]]))</f>
        <v>0</v>
      </c>
      <c r="AF690" s="766">
        <f>IF(Producción_Agricola[[#This Row],[Fecha Económico]]=0,0,YEAR(Producción_Agricola[[#This Row],[Fecha Económico]]))</f>
        <v>0</v>
      </c>
      <c r="AG690" s="771">
        <f>SUMPRODUCT((Producción_Agricola[[#This Row],[Mes Económico]]=Tipo_Cambio[Mes])*(Producción_Agricola[[#This Row],[Año Económico]]=Tipo_Cambio[Año])*(Tipo_Cambio[$/U$S]))</f>
        <v>0</v>
      </c>
      <c r="AH690" s="770">
        <f>SUMPRODUCT((Producción_Agricola[[#This Row],[Mes Económico]]=Tipo_Cambio[Mes])*(Producción_Agricola[[#This Row],[Año Económico]]=Tipo_Cambio[Año])*(Tipo_Cambio[Actualización]))</f>
        <v>0</v>
      </c>
      <c r="AI690" s="766">
        <f>IF(ISNUMBER(Producción_Agricola[[#This Row],[Fecha Financiero]])=TRUE,MONTH(Producción_Agricola[[#This Row],[Fecha Financiero]]),0)</f>
        <v>0</v>
      </c>
      <c r="AJ690" s="766">
        <f>IF(ISNUMBER(Producción_Agricola[[#This Row],[Fecha Financiero]])=TRUE,YEAR(Producción_Agricola[[#This Row],[Fecha Financiero]]),0)</f>
        <v>0</v>
      </c>
      <c r="AK690" s="771">
        <f>SUMPRODUCT((Producción_Agricola[[#This Row],[Mes Financiero]]=Tipo_Cambio[Mes])*(Producción_Agricola[[#This Row],[Año Financiero]]=Tipo_Cambio[Año])*(Tipo_Cambio[$/U$S]))</f>
        <v>0</v>
      </c>
      <c r="AL690" s="771">
        <f>SUMPRODUCT((Producción_Agricola[[#This Row],[Mes Financiero]]=Tipo_Cambio[Mes])*(Producción_Agricola[[#This Row],[Año Financiero]]=Tipo_Cambio[Año])*(Tipo_Cambio[Actualización]))</f>
        <v>0</v>
      </c>
      <c r="AM690" s="772">
        <f>IFERROR(Producción_Agricola[[#This Row],[Económico $Corrientes]]/Producción_Agricola[[#This Row],[Superficie]],0)</f>
        <v>0</v>
      </c>
      <c r="AN690" s="773">
        <f>IFERROR(Producción_Agricola[[#This Row],[Económico $Constantes]]/Producción_Agricola[[#This Row],[Superficie]],0)</f>
        <v>0</v>
      </c>
      <c r="AO690" s="773">
        <f>IFERROR(Producción_Agricola[[#This Row],[Económico U$S Dólares]]/Producción_Agricola[[#This Row],[Superficie]],0)</f>
        <v>0</v>
      </c>
      <c r="AP690" s="774" t="str">
        <f>IF(Económico!$F$4=0,0,Producción_Agricola[[#This Row],[Centro de Costo]])</f>
        <v>Campo 1</v>
      </c>
      <c r="AQ690" s="512"/>
      <c r="AR690" s="663"/>
    </row>
    <row r="691" spans="4:44" x14ac:dyDescent="0.25">
      <c r="D691" s="478"/>
      <c r="E691" s="478"/>
      <c r="F691" s="668" t="str">
        <f t="shared" si="74"/>
        <v>2018-2019</v>
      </c>
      <c r="G691" s="673" t="str">
        <f t="shared" si="75"/>
        <v>Campo 1</v>
      </c>
      <c r="H691" s="673" t="str">
        <f t="shared" si="76"/>
        <v>Soja de Segunda</v>
      </c>
      <c r="I691" s="687" t="str">
        <f>IFERROR(INDEX(Tabla8[],MATCH(Producción_Agricola[[#This Row],[Unidad de Negocio]],Tabla8[Unidades de Negocio],0),2),0)</f>
        <v>Soja</v>
      </c>
      <c r="J691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91" s="661"/>
      <c r="L691" s="482"/>
      <c r="M691" s="483"/>
      <c r="N691" s="484"/>
      <c r="O691" s="694">
        <f>Producción_Agricola[[#This Row],[Superficie]]*Producción_Agricola[[#This Row],[Cantidad]]</f>
        <v>0</v>
      </c>
      <c r="P691" s="482"/>
      <c r="Q691" s="484"/>
      <c r="R691" s="485"/>
      <c r="S691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91" s="761">
        <f>IFERROR(Producción_Agricola[[#This Row],[Económico $Corrientes]]/Producción_Agricola[[#This Row],[Indexación Económico]],0)</f>
        <v>0</v>
      </c>
      <c r="U691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91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91" s="761">
        <f>IFERROR(Producción_Agricola[[#This Row],[Financiero $Corrientes]]/Producción_Agricola[[#This Row],[Indexación Financiero]],0)</f>
        <v>0</v>
      </c>
      <c r="X691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91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91" s="766">
        <f>IFERROR(Producción_Agricola[[#This Row],[Intereses $Corrientes]]/Producción_Agricola[[#This Row],[Indexación Financiero]],0)</f>
        <v>0</v>
      </c>
      <c r="AA691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91" s="768">
        <f>IFERROR(INDEX(Produccion_Agricola_Cuentas[],MATCH(Producción_Agricola[[#This Row],[Cuenta Contable]],Produccion_Agricola_Cuentas[Cuenta Contable],0),2),0)</f>
        <v>0</v>
      </c>
      <c r="AC691" s="769">
        <f>IFERROR(INDEX(Tabla9[],MATCH(Producción_Agricola[[#This Row],[Movimiento]],Tabla9[Movimientos],0),2),0)</f>
        <v>0</v>
      </c>
      <c r="AD691" s="770">
        <f>IFERROR(INDEX(Tabla9[],MATCH(Producción_Agricola[[#This Row],[Movimiento]],Tabla9[Movimientos],0),3),0)</f>
        <v>0</v>
      </c>
      <c r="AE691" s="765">
        <f>IF(Producción_Agricola[[#This Row],[Fecha Económico]]=0,0,MONTH(Producción_Agricola[[#This Row],[Fecha Económico]]))</f>
        <v>0</v>
      </c>
      <c r="AF691" s="766">
        <f>IF(Producción_Agricola[[#This Row],[Fecha Económico]]=0,0,YEAR(Producción_Agricola[[#This Row],[Fecha Económico]]))</f>
        <v>0</v>
      </c>
      <c r="AG691" s="771">
        <f>SUMPRODUCT((Producción_Agricola[[#This Row],[Mes Económico]]=Tipo_Cambio[Mes])*(Producción_Agricola[[#This Row],[Año Económico]]=Tipo_Cambio[Año])*(Tipo_Cambio[$/U$S]))</f>
        <v>0</v>
      </c>
      <c r="AH691" s="770">
        <f>SUMPRODUCT((Producción_Agricola[[#This Row],[Mes Económico]]=Tipo_Cambio[Mes])*(Producción_Agricola[[#This Row],[Año Económico]]=Tipo_Cambio[Año])*(Tipo_Cambio[Actualización]))</f>
        <v>0</v>
      </c>
      <c r="AI691" s="766">
        <f>IF(ISNUMBER(Producción_Agricola[[#This Row],[Fecha Financiero]])=TRUE,MONTH(Producción_Agricola[[#This Row],[Fecha Financiero]]),0)</f>
        <v>0</v>
      </c>
      <c r="AJ691" s="766">
        <f>IF(ISNUMBER(Producción_Agricola[[#This Row],[Fecha Financiero]])=TRUE,YEAR(Producción_Agricola[[#This Row],[Fecha Financiero]]),0)</f>
        <v>0</v>
      </c>
      <c r="AK691" s="771">
        <f>SUMPRODUCT((Producción_Agricola[[#This Row],[Mes Financiero]]=Tipo_Cambio[Mes])*(Producción_Agricola[[#This Row],[Año Financiero]]=Tipo_Cambio[Año])*(Tipo_Cambio[$/U$S]))</f>
        <v>0</v>
      </c>
      <c r="AL691" s="771">
        <f>SUMPRODUCT((Producción_Agricola[[#This Row],[Mes Financiero]]=Tipo_Cambio[Mes])*(Producción_Agricola[[#This Row],[Año Financiero]]=Tipo_Cambio[Año])*(Tipo_Cambio[Actualización]))</f>
        <v>0</v>
      </c>
      <c r="AM691" s="772">
        <f>IFERROR(Producción_Agricola[[#This Row],[Económico $Corrientes]]/Producción_Agricola[[#This Row],[Superficie]],0)</f>
        <v>0</v>
      </c>
      <c r="AN691" s="773">
        <f>IFERROR(Producción_Agricola[[#This Row],[Económico $Constantes]]/Producción_Agricola[[#This Row],[Superficie]],0)</f>
        <v>0</v>
      </c>
      <c r="AO691" s="773">
        <f>IFERROR(Producción_Agricola[[#This Row],[Económico U$S Dólares]]/Producción_Agricola[[#This Row],[Superficie]],0)</f>
        <v>0</v>
      </c>
      <c r="AP691" s="774" t="str">
        <f>IF(Económico!$F$4=0,0,Producción_Agricola[[#This Row],[Centro de Costo]])</f>
        <v>Campo 1</v>
      </c>
      <c r="AQ691" s="512"/>
      <c r="AR691" s="663"/>
    </row>
    <row r="692" spans="4:44" x14ac:dyDescent="0.25">
      <c r="D692" s="478"/>
      <c r="E692" s="478"/>
      <c r="F692" s="668" t="str">
        <f t="shared" si="74"/>
        <v>2018-2019</v>
      </c>
      <c r="G692" s="673" t="str">
        <f t="shared" si="75"/>
        <v>Campo 1</v>
      </c>
      <c r="H692" s="673" t="str">
        <f t="shared" si="76"/>
        <v>Soja de Segunda</v>
      </c>
      <c r="I692" s="687" t="str">
        <f>IFERROR(INDEX(Tabla8[],MATCH(Producción_Agricola[[#This Row],[Unidad de Negocio]],Tabla8[Unidades de Negocio],0),2),0)</f>
        <v>Soja</v>
      </c>
      <c r="J692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92" s="661"/>
      <c r="L692" s="482"/>
      <c r="M692" s="483"/>
      <c r="N692" s="484"/>
      <c r="O692" s="694">
        <f>Producción_Agricola[[#This Row],[Superficie]]*Producción_Agricola[[#This Row],[Cantidad]]</f>
        <v>0</v>
      </c>
      <c r="P692" s="482"/>
      <c r="Q692" s="484"/>
      <c r="R692" s="485"/>
      <c r="S692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92" s="761">
        <f>IFERROR(Producción_Agricola[[#This Row],[Económico $Corrientes]]/Producción_Agricola[[#This Row],[Indexación Económico]],0)</f>
        <v>0</v>
      </c>
      <c r="U692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92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92" s="761">
        <f>IFERROR(Producción_Agricola[[#This Row],[Financiero $Corrientes]]/Producción_Agricola[[#This Row],[Indexación Financiero]],0)</f>
        <v>0</v>
      </c>
      <c r="X692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92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92" s="766">
        <f>IFERROR(Producción_Agricola[[#This Row],[Intereses $Corrientes]]/Producción_Agricola[[#This Row],[Indexación Financiero]],0)</f>
        <v>0</v>
      </c>
      <c r="AA692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92" s="768">
        <f>IFERROR(INDEX(Produccion_Agricola_Cuentas[],MATCH(Producción_Agricola[[#This Row],[Cuenta Contable]],Produccion_Agricola_Cuentas[Cuenta Contable],0),2),0)</f>
        <v>0</v>
      </c>
      <c r="AC692" s="769">
        <f>IFERROR(INDEX(Tabla9[],MATCH(Producción_Agricola[[#This Row],[Movimiento]],Tabla9[Movimientos],0),2),0)</f>
        <v>0</v>
      </c>
      <c r="AD692" s="770">
        <f>IFERROR(INDEX(Tabla9[],MATCH(Producción_Agricola[[#This Row],[Movimiento]],Tabla9[Movimientos],0),3),0)</f>
        <v>0</v>
      </c>
      <c r="AE692" s="765">
        <f>IF(Producción_Agricola[[#This Row],[Fecha Económico]]=0,0,MONTH(Producción_Agricola[[#This Row],[Fecha Económico]]))</f>
        <v>0</v>
      </c>
      <c r="AF692" s="766">
        <f>IF(Producción_Agricola[[#This Row],[Fecha Económico]]=0,0,YEAR(Producción_Agricola[[#This Row],[Fecha Económico]]))</f>
        <v>0</v>
      </c>
      <c r="AG692" s="771">
        <f>SUMPRODUCT((Producción_Agricola[[#This Row],[Mes Económico]]=Tipo_Cambio[Mes])*(Producción_Agricola[[#This Row],[Año Económico]]=Tipo_Cambio[Año])*(Tipo_Cambio[$/U$S]))</f>
        <v>0</v>
      </c>
      <c r="AH692" s="770">
        <f>SUMPRODUCT((Producción_Agricola[[#This Row],[Mes Económico]]=Tipo_Cambio[Mes])*(Producción_Agricola[[#This Row],[Año Económico]]=Tipo_Cambio[Año])*(Tipo_Cambio[Actualización]))</f>
        <v>0</v>
      </c>
      <c r="AI692" s="766">
        <f>IF(ISNUMBER(Producción_Agricola[[#This Row],[Fecha Financiero]])=TRUE,MONTH(Producción_Agricola[[#This Row],[Fecha Financiero]]),0)</f>
        <v>0</v>
      </c>
      <c r="AJ692" s="766">
        <f>IF(ISNUMBER(Producción_Agricola[[#This Row],[Fecha Financiero]])=TRUE,YEAR(Producción_Agricola[[#This Row],[Fecha Financiero]]),0)</f>
        <v>0</v>
      </c>
      <c r="AK692" s="771">
        <f>SUMPRODUCT((Producción_Agricola[[#This Row],[Mes Financiero]]=Tipo_Cambio[Mes])*(Producción_Agricola[[#This Row],[Año Financiero]]=Tipo_Cambio[Año])*(Tipo_Cambio[$/U$S]))</f>
        <v>0</v>
      </c>
      <c r="AL692" s="771">
        <f>SUMPRODUCT((Producción_Agricola[[#This Row],[Mes Financiero]]=Tipo_Cambio[Mes])*(Producción_Agricola[[#This Row],[Año Financiero]]=Tipo_Cambio[Año])*(Tipo_Cambio[Actualización]))</f>
        <v>0</v>
      </c>
      <c r="AM692" s="772">
        <f>IFERROR(Producción_Agricola[[#This Row],[Económico $Corrientes]]/Producción_Agricola[[#This Row],[Superficie]],0)</f>
        <v>0</v>
      </c>
      <c r="AN692" s="773">
        <f>IFERROR(Producción_Agricola[[#This Row],[Económico $Constantes]]/Producción_Agricola[[#This Row],[Superficie]],0)</f>
        <v>0</v>
      </c>
      <c r="AO692" s="773">
        <f>IFERROR(Producción_Agricola[[#This Row],[Económico U$S Dólares]]/Producción_Agricola[[#This Row],[Superficie]],0)</f>
        <v>0</v>
      </c>
      <c r="AP692" s="774" t="str">
        <f>IF(Económico!$F$4=0,0,Producción_Agricola[[#This Row],[Centro de Costo]])</f>
        <v>Campo 1</v>
      </c>
      <c r="AQ692" s="512"/>
      <c r="AR692" s="663"/>
    </row>
    <row r="693" spans="4:44" x14ac:dyDescent="0.25">
      <c r="D693" s="478"/>
      <c r="E693" s="478"/>
      <c r="F693" s="668" t="str">
        <f t="shared" si="74"/>
        <v>2018-2019</v>
      </c>
      <c r="G693" s="673" t="str">
        <f t="shared" si="75"/>
        <v>Campo 1</v>
      </c>
      <c r="H693" s="673" t="str">
        <f t="shared" si="76"/>
        <v>Soja de Segunda</v>
      </c>
      <c r="I693" s="687" t="str">
        <f>IFERROR(INDEX(Tabla8[],MATCH(Producción_Agricola[[#This Row],[Unidad de Negocio]],Tabla8[Unidades de Negocio],0),2),0)</f>
        <v>Soja</v>
      </c>
      <c r="J693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93" s="661"/>
      <c r="L693" s="482"/>
      <c r="M693" s="483"/>
      <c r="N693" s="484"/>
      <c r="O693" s="694">
        <f>Producción_Agricola[[#This Row],[Superficie]]*Producción_Agricola[[#This Row],[Cantidad]]</f>
        <v>0</v>
      </c>
      <c r="P693" s="482"/>
      <c r="Q693" s="484"/>
      <c r="R693" s="485"/>
      <c r="S693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93" s="761">
        <f>IFERROR(Producción_Agricola[[#This Row],[Económico $Corrientes]]/Producción_Agricola[[#This Row],[Indexación Económico]],0)</f>
        <v>0</v>
      </c>
      <c r="U693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93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93" s="761">
        <f>IFERROR(Producción_Agricola[[#This Row],[Financiero $Corrientes]]/Producción_Agricola[[#This Row],[Indexación Financiero]],0)</f>
        <v>0</v>
      </c>
      <c r="X693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93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93" s="766">
        <f>IFERROR(Producción_Agricola[[#This Row],[Intereses $Corrientes]]/Producción_Agricola[[#This Row],[Indexación Financiero]],0)</f>
        <v>0</v>
      </c>
      <c r="AA693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93" s="768">
        <f>IFERROR(INDEX(Produccion_Agricola_Cuentas[],MATCH(Producción_Agricola[[#This Row],[Cuenta Contable]],Produccion_Agricola_Cuentas[Cuenta Contable],0),2),0)</f>
        <v>0</v>
      </c>
      <c r="AC693" s="769">
        <f>IFERROR(INDEX(Tabla9[],MATCH(Producción_Agricola[[#This Row],[Movimiento]],Tabla9[Movimientos],0),2),0)</f>
        <v>0</v>
      </c>
      <c r="AD693" s="770">
        <f>IFERROR(INDEX(Tabla9[],MATCH(Producción_Agricola[[#This Row],[Movimiento]],Tabla9[Movimientos],0),3),0)</f>
        <v>0</v>
      </c>
      <c r="AE693" s="765">
        <f>IF(Producción_Agricola[[#This Row],[Fecha Económico]]=0,0,MONTH(Producción_Agricola[[#This Row],[Fecha Económico]]))</f>
        <v>0</v>
      </c>
      <c r="AF693" s="766">
        <f>IF(Producción_Agricola[[#This Row],[Fecha Económico]]=0,0,YEAR(Producción_Agricola[[#This Row],[Fecha Económico]]))</f>
        <v>0</v>
      </c>
      <c r="AG693" s="771">
        <f>SUMPRODUCT((Producción_Agricola[[#This Row],[Mes Económico]]=Tipo_Cambio[Mes])*(Producción_Agricola[[#This Row],[Año Económico]]=Tipo_Cambio[Año])*(Tipo_Cambio[$/U$S]))</f>
        <v>0</v>
      </c>
      <c r="AH693" s="770">
        <f>SUMPRODUCT((Producción_Agricola[[#This Row],[Mes Económico]]=Tipo_Cambio[Mes])*(Producción_Agricola[[#This Row],[Año Económico]]=Tipo_Cambio[Año])*(Tipo_Cambio[Actualización]))</f>
        <v>0</v>
      </c>
      <c r="AI693" s="766">
        <f>IF(ISNUMBER(Producción_Agricola[[#This Row],[Fecha Financiero]])=TRUE,MONTH(Producción_Agricola[[#This Row],[Fecha Financiero]]),0)</f>
        <v>0</v>
      </c>
      <c r="AJ693" s="766">
        <f>IF(ISNUMBER(Producción_Agricola[[#This Row],[Fecha Financiero]])=TRUE,YEAR(Producción_Agricola[[#This Row],[Fecha Financiero]]),0)</f>
        <v>0</v>
      </c>
      <c r="AK693" s="771">
        <f>SUMPRODUCT((Producción_Agricola[[#This Row],[Mes Financiero]]=Tipo_Cambio[Mes])*(Producción_Agricola[[#This Row],[Año Financiero]]=Tipo_Cambio[Año])*(Tipo_Cambio[$/U$S]))</f>
        <v>0</v>
      </c>
      <c r="AL693" s="771">
        <f>SUMPRODUCT((Producción_Agricola[[#This Row],[Mes Financiero]]=Tipo_Cambio[Mes])*(Producción_Agricola[[#This Row],[Año Financiero]]=Tipo_Cambio[Año])*(Tipo_Cambio[Actualización]))</f>
        <v>0</v>
      </c>
      <c r="AM693" s="772">
        <f>IFERROR(Producción_Agricola[[#This Row],[Económico $Corrientes]]/Producción_Agricola[[#This Row],[Superficie]],0)</f>
        <v>0</v>
      </c>
      <c r="AN693" s="773">
        <f>IFERROR(Producción_Agricola[[#This Row],[Económico $Constantes]]/Producción_Agricola[[#This Row],[Superficie]],0)</f>
        <v>0</v>
      </c>
      <c r="AO693" s="773">
        <f>IFERROR(Producción_Agricola[[#This Row],[Económico U$S Dólares]]/Producción_Agricola[[#This Row],[Superficie]],0)</f>
        <v>0</v>
      </c>
      <c r="AP693" s="774" t="str">
        <f>IF(Económico!$F$4=0,0,Producción_Agricola[[#This Row],[Centro de Costo]])</f>
        <v>Campo 1</v>
      </c>
      <c r="AQ693" s="512"/>
      <c r="AR693" s="663"/>
    </row>
    <row r="694" spans="4:44" x14ac:dyDescent="0.25">
      <c r="D694" s="478"/>
      <c r="E694" s="478"/>
      <c r="F694" s="668" t="str">
        <f t="shared" si="74"/>
        <v>2018-2019</v>
      </c>
      <c r="G694" s="673" t="str">
        <f t="shared" si="75"/>
        <v>Campo 1</v>
      </c>
      <c r="H694" s="673" t="str">
        <f t="shared" si="76"/>
        <v>Soja de Segunda</v>
      </c>
      <c r="I694" s="687" t="str">
        <f>IFERROR(INDEX(Tabla8[],MATCH(Producción_Agricola[[#This Row],[Unidad de Negocio]],Tabla8[Unidades de Negocio],0),2),0)</f>
        <v>Soja</v>
      </c>
      <c r="J694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94" s="661"/>
      <c r="L694" s="482"/>
      <c r="M694" s="483"/>
      <c r="N694" s="484"/>
      <c r="O694" s="694">
        <f>Producción_Agricola[[#This Row],[Superficie]]*Producción_Agricola[[#This Row],[Cantidad]]</f>
        <v>0</v>
      </c>
      <c r="P694" s="482"/>
      <c r="Q694" s="484"/>
      <c r="R694" s="485"/>
      <c r="S694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94" s="761">
        <f>IFERROR(Producción_Agricola[[#This Row],[Económico $Corrientes]]/Producción_Agricola[[#This Row],[Indexación Económico]],0)</f>
        <v>0</v>
      </c>
      <c r="U694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94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94" s="761">
        <f>IFERROR(Producción_Agricola[[#This Row],[Financiero $Corrientes]]/Producción_Agricola[[#This Row],[Indexación Financiero]],0)</f>
        <v>0</v>
      </c>
      <c r="X694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94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94" s="766">
        <f>IFERROR(Producción_Agricola[[#This Row],[Intereses $Corrientes]]/Producción_Agricola[[#This Row],[Indexación Financiero]],0)</f>
        <v>0</v>
      </c>
      <c r="AA694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94" s="768">
        <f>IFERROR(INDEX(Produccion_Agricola_Cuentas[],MATCH(Producción_Agricola[[#This Row],[Cuenta Contable]],Produccion_Agricola_Cuentas[Cuenta Contable],0),2),0)</f>
        <v>0</v>
      </c>
      <c r="AC694" s="769">
        <f>IFERROR(INDEX(Tabla9[],MATCH(Producción_Agricola[[#This Row],[Movimiento]],Tabla9[Movimientos],0),2),0)</f>
        <v>0</v>
      </c>
      <c r="AD694" s="770">
        <f>IFERROR(INDEX(Tabla9[],MATCH(Producción_Agricola[[#This Row],[Movimiento]],Tabla9[Movimientos],0),3),0)</f>
        <v>0</v>
      </c>
      <c r="AE694" s="765">
        <f>IF(Producción_Agricola[[#This Row],[Fecha Económico]]=0,0,MONTH(Producción_Agricola[[#This Row],[Fecha Económico]]))</f>
        <v>0</v>
      </c>
      <c r="AF694" s="766">
        <f>IF(Producción_Agricola[[#This Row],[Fecha Económico]]=0,0,YEAR(Producción_Agricola[[#This Row],[Fecha Económico]]))</f>
        <v>0</v>
      </c>
      <c r="AG694" s="771">
        <f>SUMPRODUCT((Producción_Agricola[[#This Row],[Mes Económico]]=Tipo_Cambio[Mes])*(Producción_Agricola[[#This Row],[Año Económico]]=Tipo_Cambio[Año])*(Tipo_Cambio[$/U$S]))</f>
        <v>0</v>
      </c>
      <c r="AH694" s="770">
        <f>SUMPRODUCT((Producción_Agricola[[#This Row],[Mes Económico]]=Tipo_Cambio[Mes])*(Producción_Agricola[[#This Row],[Año Económico]]=Tipo_Cambio[Año])*(Tipo_Cambio[Actualización]))</f>
        <v>0</v>
      </c>
      <c r="AI694" s="766">
        <f>IF(ISNUMBER(Producción_Agricola[[#This Row],[Fecha Financiero]])=TRUE,MONTH(Producción_Agricola[[#This Row],[Fecha Financiero]]),0)</f>
        <v>0</v>
      </c>
      <c r="AJ694" s="766">
        <f>IF(ISNUMBER(Producción_Agricola[[#This Row],[Fecha Financiero]])=TRUE,YEAR(Producción_Agricola[[#This Row],[Fecha Financiero]]),0)</f>
        <v>0</v>
      </c>
      <c r="AK694" s="771">
        <f>SUMPRODUCT((Producción_Agricola[[#This Row],[Mes Financiero]]=Tipo_Cambio[Mes])*(Producción_Agricola[[#This Row],[Año Financiero]]=Tipo_Cambio[Año])*(Tipo_Cambio[$/U$S]))</f>
        <v>0</v>
      </c>
      <c r="AL694" s="771">
        <f>SUMPRODUCT((Producción_Agricola[[#This Row],[Mes Financiero]]=Tipo_Cambio[Mes])*(Producción_Agricola[[#This Row],[Año Financiero]]=Tipo_Cambio[Año])*(Tipo_Cambio[Actualización]))</f>
        <v>0</v>
      </c>
      <c r="AM694" s="772">
        <f>IFERROR(Producción_Agricola[[#This Row],[Económico $Corrientes]]/Producción_Agricola[[#This Row],[Superficie]],0)</f>
        <v>0</v>
      </c>
      <c r="AN694" s="773">
        <f>IFERROR(Producción_Agricola[[#This Row],[Económico $Constantes]]/Producción_Agricola[[#This Row],[Superficie]],0)</f>
        <v>0</v>
      </c>
      <c r="AO694" s="773">
        <f>IFERROR(Producción_Agricola[[#This Row],[Económico U$S Dólares]]/Producción_Agricola[[#This Row],[Superficie]],0)</f>
        <v>0</v>
      </c>
      <c r="AP694" s="774" t="str">
        <f>IF(Económico!$F$4=0,0,Producción_Agricola[[#This Row],[Centro de Costo]])</f>
        <v>Campo 1</v>
      </c>
      <c r="AQ694" s="512"/>
      <c r="AR694" s="663"/>
    </row>
    <row r="695" spans="4:44" x14ac:dyDescent="0.25">
      <c r="D695" s="478"/>
      <c r="E695" s="478"/>
      <c r="F695" s="668" t="str">
        <f t="shared" si="74"/>
        <v>2018-2019</v>
      </c>
      <c r="G695" s="673" t="str">
        <f t="shared" si="75"/>
        <v>Campo 1</v>
      </c>
      <c r="H695" s="673" t="str">
        <f t="shared" si="76"/>
        <v>Soja de Segunda</v>
      </c>
      <c r="I695" s="687" t="str">
        <f>IFERROR(INDEX(Tabla8[],MATCH(Producción_Agricola[[#This Row],[Unidad de Negocio]],Tabla8[Unidades de Negocio],0),2),0)</f>
        <v>Soja</v>
      </c>
      <c r="J695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95" s="661"/>
      <c r="L695" s="482"/>
      <c r="M695" s="483"/>
      <c r="N695" s="484"/>
      <c r="O695" s="694">
        <f>Producción_Agricola[[#This Row],[Superficie]]*Producción_Agricola[[#This Row],[Cantidad]]</f>
        <v>0</v>
      </c>
      <c r="P695" s="482"/>
      <c r="Q695" s="484"/>
      <c r="R695" s="485"/>
      <c r="S695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95" s="761">
        <f>IFERROR(Producción_Agricola[[#This Row],[Económico $Corrientes]]/Producción_Agricola[[#This Row],[Indexación Económico]],0)</f>
        <v>0</v>
      </c>
      <c r="U695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95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95" s="761">
        <f>IFERROR(Producción_Agricola[[#This Row],[Financiero $Corrientes]]/Producción_Agricola[[#This Row],[Indexación Financiero]],0)</f>
        <v>0</v>
      </c>
      <c r="X695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95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95" s="766">
        <f>IFERROR(Producción_Agricola[[#This Row],[Intereses $Corrientes]]/Producción_Agricola[[#This Row],[Indexación Financiero]],0)</f>
        <v>0</v>
      </c>
      <c r="AA695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95" s="768">
        <f>IFERROR(INDEX(Produccion_Agricola_Cuentas[],MATCH(Producción_Agricola[[#This Row],[Cuenta Contable]],Produccion_Agricola_Cuentas[Cuenta Contable],0),2),0)</f>
        <v>0</v>
      </c>
      <c r="AC695" s="769">
        <f>IFERROR(INDEX(Tabla9[],MATCH(Producción_Agricola[[#This Row],[Movimiento]],Tabla9[Movimientos],0),2),0)</f>
        <v>0</v>
      </c>
      <c r="AD695" s="770">
        <f>IFERROR(INDEX(Tabla9[],MATCH(Producción_Agricola[[#This Row],[Movimiento]],Tabla9[Movimientos],0),3),0)</f>
        <v>0</v>
      </c>
      <c r="AE695" s="765">
        <f>IF(Producción_Agricola[[#This Row],[Fecha Económico]]=0,0,MONTH(Producción_Agricola[[#This Row],[Fecha Económico]]))</f>
        <v>0</v>
      </c>
      <c r="AF695" s="766">
        <f>IF(Producción_Agricola[[#This Row],[Fecha Económico]]=0,0,YEAR(Producción_Agricola[[#This Row],[Fecha Económico]]))</f>
        <v>0</v>
      </c>
      <c r="AG695" s="771">
        <f>SUMPRODUCT((Producción_Agricola[[#This Row],[Mes Económico]]=Tipo_Cambio[Mes])*(Producción_Agricola[[#This Row],[Año Económico]]=Tipo_Cambio[Año])*(Tipo_Cambio[$/U$S]))</f>
        <v>0</v>
      </c>
      <c r="AH695" s="770">
        <f>SUMPRODUCT((Producción_Agricola[[#This Row],[Mes Económico]]=Tipo_Cambio[Mes])*(Producción_Agricola[[#This Row],[Año Económico]]=Tipo_Cambio[Año])*(Tipo_Cambio[Actualización]))</f>
        <v>0</v>
      </c>
      <c r="AI695" s="766">
        <f>IF(ISNUMBER(Producción_Agricola[[#This Row],[Fecha Financiero]])=TRUE,MONTH(Producción_Agricola[[#This Row],[Fecha Financiero]]),0)</f>
        <v>0</v>
      </c>
      <c r="AJ695" s="766">
        <f>IF(ISNUMBER(Producción_Agricola[[#This Row],[Fecha Financiero]])=TRUE,YEAR(Producción_Agricola[[#This Row],[Fecha Financiero]]),0)</f>
        <v>0</v>
      </c>
      <c r="AK695" s="771">
        <f>SUMPRODUCT((Producción_Agricola[[#This Row],[Mes Financiero]]=Tipo_Cambio[Mes])*(Producción_Agricola[[#This Row],[Año Financiero]]=Tipo_Cambio[Año])*(Tipo_Cambio[$/U$S]))</f>
        <v>0</v>
      </c>
      <c r="AL695" s="771">
        <f>SUMPRODUCT((Producción_Agricola[[#This Row],[Mes Financiero]]=Tipo_Cambio[Mes])*(Producción_Agricola[[#This Row],[Año Financiero]]=Tipo_Cambio[Año])*(Tipo_Cambio[Actualización]))</f>
        <v>0</v>
      </c>
      <c r="AM695" s="772">
        <f>IFERROR(Producción_Agricola[[#This Row],[Económico $Corrientes]]/Producción_Agricola[[#This Row],[Superficie]],0)</f>
        <v>0</v>
      </c>
      <c r="AN695" s="773">
        <f>IFERROR(Producción_Agricola[[#This Row],[Económico $Constantes]]/Producción_Agricola[[#This Row],[Superficie]],0)</f>
        <v>0</v>
      </c>
      <c r="AO695" s="773">
        <f>IFERROR(Producción_Agricola[[#This Row],[Económico U$S Dólares]]/Producción_Agricola[[#This Row],[Superficie]],0)</f>
        <v>0</v>
      </c>
      <c r="AP695" s="774" t="str">
        <f>IF(Económico!$F$4=0,0,Producción_Agricola[[#This Row],[Centro de Costo]])</f>
        <v>Campo 1</v>
      </c>
      <c r="AQ695" s="512"/>
      <c r="AR695" s="663"/>
    </row>
    <row r="696" spans="4:44" x14ac:dyDescent="0.25">
      <c r="D696" s="478"/>
      <c r="E696" s="478"/>
      <c r="F696" s="668" t="str">
        <f t="shared" si="74"/>
        <v>2018-2019</v>
      </c>
      <c r="G696" s="673" t="str">
        <f t="shared" si="75"/>
        <v>Campo 1</v>
      </c>
      <c r="H696" s="673" t="str">
        <f t="shared" si="76"/>
        <v>Soja de Segunda</v>
      </c>
      <c r="I696" s="687" t="str">
        <f>IFERROR(INDEX(Tabla8[],MATCH(Producción_Agricola[[#This Row],[Unidad de Negocio]],Tabla8[Unidades de Negocio],0),2),0)</f>
        <v>Soja</v>
      </c>
      <c r="J696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96" s="661"/>
      <c r="L696" s="482"/>
      <c r="M696" s="483"/>
      <c r="N696" s="484"/>
      <c r="O696" s="694">
        <f>Producción_Agricola[[#This Row],[Superficie]]*Producción_Agricola[[#This Row],[Cantidad]]</f>
        <v>0</v>
      </c>
      <c r="P696" s="482"/>
      <c r="Q696" s="484"/>
      <c r="R696" s="485"/>
      <c r="S696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96" s="761">
        <f>IFERROR(Producción_Agricola[[#This Row],[Económico $Corrientes]]/Producción_Agricola[[#This Row],[Indexación Económico]],0)</f>
        <v>0</v>
      </c>
      <c r="U696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96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96" s="761">
        <f>IFERROR(Producción_Agricola[[#This Row],[Financiero $Corrientes]]/Producción_Agricola[[#This Row],[Indexación Financiero]],0)</f>
        <v>0</v>
      </c>
      <c r="X696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96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96" s="766">
        <f>IFERROR(Producción_Agricola[[#This Row],[Intereses $Corrientes]]/Producción_Agricola[[#This Row],[Indexación Financiero]],0)</f>
        <v>0</v>
      </c>
      <c r="AA696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96" s="768">
        <f>IFERROR(INDEX(Produccion_Agricola_Cuentas[],MATCH(Producción_Agricola[[#This Row],[Cuenta Contable]],Produccion_Agricola_Cuentas[Cuenta Contable],0),2),0)</f>
        <v>0</v>
      </c>
      <c r="AC696" s="769">
        <f>IFERROR(INDEX(Tabla9[],MATCH(Producción_Agricola[[#This Row],[Movimiento]],Tabla9[Movimientos],0),2),0)</f>
        <v>0</v>
      </c>
      <c r="AD696" s="770">
        <f>IFERROR(INDEX(Tabla9[],MATCH(Producción_Agricola[[#This Row],[Movimiento]],Tabla9[Movimientos],0),3),0)</f>
        <v>0</v>
      </c>
      <c r="AE696" s="765">
        <f>IF(Producción_Agricola[[#This Row],[Fecha Económico]]=0,0,MONTH(Producción_Agricola[[#This Row],[Fecha Económico]]))</f>
        <v>0</v>
      </c>
      <c r="AF696" s="766">
        <f>IF(Producción_Agricola[[#This Row],[Fecha Económico]]=0,0,YEAR(Producción_Agricola[[#This Row],[Fecha Económico]]))</f>
        <v>0</v>
      </c>
      <c r="AG696" s="771">
        <f>SUMPRODUCT((Producción_Agricola[[#This Row],[Mes Económico]]=Tipo_Cambio[Mes])*(Producción_Agricola[[#This Row],[Año Económico]]=Tipo_Cambio[Año])*(Tipo_Cambio[$/U$S]))</f>
        <v>0</v>
      </c>
      <c r="AH696" s="770">
        <f>SUMPRODUCT((Producción_Agricola[[#This Row],[Mes Económico]]=Tipo_Cambio[Mes])*(Producción_Agricola[[#This Row],[Año Económico]]=Tipo_Cambio[Año])*(Tipo_Cambio[Actualización]))</f>
        <v>0</v>
      </c>
      <c r="AI696" s="766">
        <f>IF(ISNUMBER(Producción_Agricola[[#This Row],[Fecha Financiero]])=TRUE,MONTH(Producción_Agricola[[#This Row],[Fecha Financiero]]),0)</f>
        <v>0</v>
      </c>
      <c r="AJ696" s="766">
        <f>IF(ISNUMBER(Producción_Agricola[[#This Row],[Fecha Financiero]])=TRUE,YEAR(Producción_Agricola[[#This Row],[Fecha Financiero]]),0)</f>
        <v>0</v>
      </c>
      <c r="AK696" s="771">
        <f>SUMPRODUCT((Producción_Agricola[[#This Row],[Mes Financiero]]=Tipo_Cambio[Mes])*(Producción_Agricola[[#This Row],[Año Financiero]]=Tipo_Cambio[Año])*(Tipo_Cambio[$/U$S]))</f>
        <v>0</v>
      </c>
      <c r="AL696" s="771">
        <f>SUMPRODUCT((Producción_Agricola[[#This Row],[Mes Financiero]]=Tipo_Cambio[Mes])*(Producción_Agricola[[#This Row],[Año Financiero]]=Tipo_Cambio[Año])*(Tipo_Cambio[Actualización]))</f>
        <v>0</v>
      </c>
      <c r="AM696" s="772">
        <f>IFERROR(Producción_Agricola[[#This Row],[Económico $Corrientes]]/Producción_Agricola[[#This Row],[Superficie]],0)</f>
        <v>0</v>
      </c>
      <c r="AN696" s="773">
        <f>IFERROR(Producción_Agricola[[#This Row],[Económico $Constantes]]/Producción_Agricola[[#This Row],[Superficie]],0)</f>
        <v>0</v>
      </c>
      <c r="AO696" s="773">
        <f>IFERROR(Producción_Agricola[[#This Row],[Económico U$S Dólares]]/Producción_Agricola[[#This Row],[Superficie]],0)</f>
        <v>0</v>
      </c>
      <c r="AP696" s="774" t="str">
        <f>IF(Económico!$F$4=0,0,Producción_Agricola[[#This Row],[Centro de Costo]])</f>
        <v>Campo 1</v>
      </c>
      <c r="AQ696" s="512"/>
      <c r="AR696" s="663"/>
    </row>
    <row r="697" spans="4:44" x14ac:dyDescent="0.25">
      <c r="D697" s="478"/>
      <c r="E697" s="478"/>
      <c r="F697" s="668" t="str">
        <f t="shared" si="74"/>
        <v>2018-2019</v>
      </c>
      <c r="G697" s="673" t="str">
        <f t="shared" si="75"/>
        <v>Campo 1</v>
      </c>
      <c r="H697" s="673" t="str">
        <f t="shared" si="76"/>
        <v>Soja de Segunda</v>
      </c>
      <c r="I697" s="687" t="str">
        <f>IFERROR(INDEX(Tabla8[],MATCH(Producción_Agricola[[#This Row],[Unidad de Negocio]],Tabla8[Unidades de Negocio],0),2),0)</f>
        <v>Soja</v>
      </c>
      <c r="J697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97" s="661"/>
      <c r="L697" s="482"/>
      <c r="M697" s="483"/>
      <c r="N697" s="484"/>
      <c r="O697" s="694">
        <f>Producción_Agricola[[#This Row],[Superficie]]*Producción_Agricola[[#This Row],[Cantidad]]</f>
        <v>0</v>
      </c>
      <c r="P697" s="482"/>
      <c r="Q697" s="484"/>
      <c r="R697" s="485"/>
      <c r="S697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97" s="761">
        <f>IFERROR(Producción_Agricola[[#This Row],[Económico $Corrientes]]/Producción_Agricola[[#This Row],[Indexación Económico]],0)</f>
        <v>0</v>
      </c>
      <c r="U697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97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97" s="761">
        <f>IFERROR(Producción_Agricola[[#This Row],[Financiero $Corrientes]]/Producción_Agricola[[#This Row],[Indexación Financiero]],0)</f>
        <v>0</v>
      </c>
      <c r="X697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97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97" s="766">
        <f>IFERROR(Producción_Agricola[[#This Row],[Intereses $Corrientes]]/Producción_Agricola[[#This Row],[Indexación Financiero]],0)</f>
        <v>0</v>
      </c>
      <c r="AA697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97" s="768">
        <f>IFERROR(INDEX(Produccion_Agricola_Cuentas[],MATCH(Producción_Agricola[[#This Row],[Cuenta Contable]],Produccion_Agricola_Cuentas[Cuenta Contable],0),2),0)</f>
        <v>0</v>
      </c>
      <c r="AC697" s="769">
        <f>IFERROR(INDEX(Tabla9[],MATCH(Producción_Agricola[[#This Row],[Movimiento]],Tabla9[Movimientos],0),2),0)</f>
        <v>0</v>
      </c>
      <c r="AD697" s="770">
        <f>IFERROR(INDEX(Tabla9[],MATCH(Producción_Agricola[[#This Row],[Movimiento]],Tabla9[Movimientos],0),3),0)</f>
        <v>0</v>
      </c>
      <c r="AE697" s="765">
        <f>IF(Producción_Agricola[[#This Row],[Fecha Económico]]=0,0,MONTH(Producción_Agricola[[#This Row],[Fecha Económico]]))</f>
        <v>0</v>
      </c>
      <c r="AF697" s="766">
        <f>IF(Producción_Agricola[[#This Row],[Fecha Económico]]=0,0,YEAR(Producción_Agricola[[#This Row],[Fecha Económico]]))</f>
        <v>0</v>
      </c>
      <c r="AG697" s="771">
        <f>SUMPRODUCT((Producción_Agricola[[#This Row],[Mes Económico]]=Tipo_Cambio[Mes])*(Producción_Agricola[[#This Row],[Año Económico]]=Tipo_Cambio[Año])*(Tipo_Cambio[$/U$S]))</f>
        <v>0</v>
      </c>
      <c r="AH697" s="770">
        <f>SUMPRODUCT((Producción_Agricola[[#This Row],[Mes Económico]]=Tipo_Cambio[Mes])*(Producción_Agricola[[#This Row],[Año Económico]]=Tipo_Cambio[Año])*(Tipo_Cambio[Actualización]))</f>
        <v>0</v>
      </c>
      <c r="AI697" s="766">
        <f>IF(ISNUMBER(Producción_Agricola[[#This Row],[Fecha Financiero]])=TRUE,MONTH(Producción_Agricola[[#This Row],[Fecha Financiero]]),0)</f>
        <v>0</v>
      </c>
      <c r="AJ697" s="766">
        <f>IF(ISNUMBER(Producción_Agricola[[#This Row],[Fecha Financiero]])=TRUE,YEAR(Producción_Agricola[[#This Row],[Fecha Financiero]]),0)</f>
        <v>0</v>
      </c>
      <c r="AK697" s="771">
        <f>SUMPRODUCT((Producción_Agricola[[#This Row],[Mes Financiero]]=Tipo_Cambio[Mes])*(Producción_Agricola[[#This Row],[Año Financiero]]=Tipo_Cambio[Año])*(Tipo_Cambio[$/U$S]))</f>
        <v>0</v>
      </c>
      <c r="AL697" s="771">
        <f>SUMPRODUCT((Producción_Agricola[[#This Row],[Mes Financiero]]=Tipo_Cambio[Mes])*(Producción_Agricola[[#This Row],[Año Financiero]]=Tipo_Cambio[Año])*(Tipo_Cambio[Actualización]))</f>
        <v>0</v>
      </c>
      <c r="AM697" s="772">
        <f>IFERROR(Producción_Agricola[[#This Row],[Económico $Corrientes]]/Producción_Agricola[[#This Row],[Superficie]],0)</f>
        <v>0</v>
      </c>
      <c r="AN697" s="773">
        <f>IFERROR(Producción_Agricola[[#This Row],[Económico $Constantes]]/Producción_Agricola[[#This Row],[Superficie]],0)</f>
        <v>0</v>
      </c>
      <c r="AO697" s="773">
        <f>IFERROR(Producción_Agricola[[#This Row],[Económico U$S Dólares]]/Producción_Agricola[[#This Row],[Superficie]],0)</f>
        <v>0</v>
      </c>
      <c r="AP697" s="774" t="str">
        <f>IF(Económico!$F$4=0,0,Producción_Agricola[[#This Row],[Centro de Costo]])</f>
        <v>Campo 1</v>
      </c>
      <c r="AQ697" s="512"/>
      <c r="AR697" s="663"/>
    </row>
    <row r="698" spans="4:44" x14ac:dyDescent="0.25">
      <c r="D698" s="478"/>
      <c r="E698" s="478"/>
      <c r="F698" s="668" t="str">
        <f t="shared" si="74"/>
        <v>2018-2019</v>
      </c>
      <c r="G698" s="673" t="str">
        <f t="shared" si="75"/>
        <v>Campo 1</v>
      </c>
      <c r="H698" s="673" t="str">
        <f t="shared" si="76"/>
        <v>Soja de Segunda</v>
      </c>
      <c r="I698" s="687" t="str">
        <f>IFERROR(INDEX(Tabla8[],MATCH(Producción_Agricola[[#This Row],[Unidad de Negocio]],Tabla8[Unidades de Negocio],0),2),0)</f>
        <v>Soja</v>
      </c>
      <c r="J698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98" s="661"/>
      <c r="L698" s="482"/>
      <c r="M698" s="483"/>
      <c r="N698" s="484"/>
      <c r="O698" s="694">
        <f>Producción_Agricola[[#This Row],[Superficie]]*Producción_Agricola[[#This Row],[Cantidad]]</f>
        <v>0</v>
      </c>
      <c r="P698" s="482"/>
      <c r="Q698" s="484"/>
      <c r="R698" s="485"/>
      <c r="S698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98" s="761">
        <f>IFERROR(Producción_Agricola[[#This Row],[Económico $Corrientes]]/Producción_Agricola[[#This Row],[Indexación Económico]],0)</f>
        <v>0</v>
      </c>
      <c r="U698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98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98" s="761">
        <f>IFERROR(Producción_Agricola[[#This Row],[Financiero $Corrientes]]/Producción_Agricola[[#This Row],[Indexación Financiero]],0)</f>
        <v>0</v>
      </c>
      <c r="X698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98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98" s="766">
        <f>IFERROR(Producción_Agricola[[#This Row],[Intereses $Corrientes]]/Producción_Agricola[[#This Row],[Indexación Financiero]],0)</f>
        <v>0</v>
      </c>
      <c r="AA698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98" s="768">
        <f>IFERROR(INDEX(Produccion_Agricola_Cuentas[],MATCH(Producción_Agricola[[#This Row],[Cuenta Contable]],Produccion_Agricola_Cuentas[Cuenta Contable],0),2),0)</f>
        <v>0</v>
      </c>
      <c r="AC698" s="769">
        <f>IFERROR(INDEX(Tabla9[],MATCH(Producción_Agricola[[#This Row],[Movimiento]],Tabla9[Movimientos],0),2),0)</f>
        <v>0</v>
      </c>
      <c r="AD698" s="770">
        <f>IFERROR(INDEX(Tabla9[],MATCH(Producción_Agricola[[#This Row],[Movimiento]],Tabla9[Movimientos],0),3),0)</f>
        <v>0</v>
      </c>
      <c r="AE698" s="765">
        <f>IF(Producción_Agricola[[#This Row],[Fecha Económico]]=0,0,MONTH(Producción_Agricola[[#This Row],[Fecha Económico]]))</f>
        <v>0</v>
      </c>
      <c r="AF698" s="766">
        <f>IF(Producción_Agricola[[#This Row],[Fecha Económico]]=0,0,YEAR(Producción_Agricola[[#This Row],[Fecha Económico]]))</f>
        <v>0</v>
      </c>
      <c r="AG698" s="771">
        <f>SUMPRODUCT((Producción_Agricola[[#This Row],[Mes Económico]]=Tipo_Cambio[Mes])*(Producción_Agricola[[#This Row],[Año Económico]]=Tipo_Cambio[Año])*(Tipo_Cambio[$/U$S]))</f>
        <v>0</v>
      </c>
      <c r="AH698" s="770">
        <f>SUMPRODUCT((Producción_Agricola[[#This Row],[Mes Económico]]=Tipo_Cambio[Mes])*(Producción_Agricola[[#This Row],[Año Económico]]=Tipo_Cambio[Año])*(Tipo_Cambio[Actualización]))</f>
        <v>0</v>
      </c>
      <c r="AI698" s="766">
        <f>IF(ISNUMBER(Producción_Agricola[[#This Row],[Fecha Financiero]])=TRUE,MONTH(Producción_Agricola[[#This Row],[Fecha Financiero]]),0)</f>
        <v>0</v>
      </c>
      <c r="AJ698" s="766">
        <f>IF(ISNUMBER(Producción_Agricola[[#This Row],[Fecha Financiero]])=TRUE,YEAR(Producción_Agricola[[#This Row],[Fecha Financiero]]),0)</f>
        <v>0</v>
      </c>
      <c r="AK698" s="771">
        <f>SUMPRODUCT((Producción_Agricola[[#This Row],[Mes Financiero]]=Tipo_Cambio[Mes])*(Producción_Agricola[[#This Row],[Año Financiero]]=Tipo_Cambio[Año])*(Tipo_Cambio[$/U$S]))</f>
        <v>0</v>
      </c>
      <c r="AL698" s="771">
        <f>SUMPRODUCT((Producción_Agricola[[#This Row],[Mes Financiero]]=Tipo_Cambio[Mes])*(Producción_Agricola[[#This Row],[Año Financiero]]=Tipo_Cambio[Año])*(Tipo_Cambio[Actualización]))</f>
        <v>0</v>
      </c>
      <c r="AM698" s="772">
        <f>IFERROR(Producción_Agricola[[#This Row],[Económico $Corrientes]]/Producción_Agricola[[#This Row],[Superficie]],0)</f>
        <v>0</v>
      </c>
      <c r="AN698" s="773">
        <f>IFERROR(Producción_Agricola[[#This Row],[Económico $Constantes]]/Producción_Agricola[[#This Row],[Superficie]],0)</f>
        <v>0</v>
      </c>
      <c r="AO698" s="773">
        <f>IFERROR(Producción_Agricola[[#This Row],[Económico U$S Dólares]]/Producción_Agricola[[#This Row],[Superficie]],0)</f>
        <v>0</v>
      </c>
      <c r="AP698" s="774" t="str">
        <f>IF(Económico!$F$4=0,0,Producción_Agricola[[#This Row],[Centro de Costo]])</f>
        <v>Campo 1</v>
      </c>
      <c r="AQ698" s="512"/>
      <c r="AR698" s="663"/>
    </row>
    <row r="699" spans="4:44" x14ac:dyDescent="0.25">
      <c r="D699" s="478"/>
      <c r="E699" s="478"/>
      <c r="F699" s="668" t="str">
        <f t="shared" si="74"/>
        <v>2018-2019</v>
      </c>
      <c r="G699" s="673" t="str">
        <f t="shared" si="75"/>
        <v>Campo 1</v>
      </c>
      <c r="H699" s="673" t="str">
        <f t="shared" si="76"/>
        <v>Soja de Segunda</v>
      </c>
      <c r="I699" s="687" t="str">
        <f>IFERROR(INDEX(Tabla8[],MATCH(Producción_Agricola[[#This Row],[Unidad de Negocio]],Tabla8[Unidades de Negocio],0),2),0)</f>
        <v>Soja</v>
      </c>
      <c r="J699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699" s="661"/>
      <c r="L699" s="482"/>
      <c r="M699" s="483"/>
      <c r="N699" s="484"/>
      <c r="O699" s="694">
        <f>Producción_Agricola[[#This Row],[Superficie]]*Producción_Agricola[[#This Row],[Cantidad]]</f>
        <v>0</v>
      </c>
      <c r="P699" s="482"/>
      <c r="Q699" s="484"/>
      <c r="R699" s="485"/>
      <c r="S699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699" s="761">
        <f>IFERROR(Producción_Agricola[[#This Row],[Económico $Corrientes]]/Producción_Agricola[[#This Row],[Indexación Económico]],0)</f>
        <v>0</v>
      </c>
      <c r="U699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699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699" s="761">
        <f>IFERROR(Producción_Agricola[[#This Row],[Financiero $Corrientes]]/Producción_Agricola[[#This Row],[Indexación Financiero]],0)</f>
        <v>0</v>
      </c>
      <c r="X699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699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699" s="766">
        <f>IFERROR(Producción_Agricola[[#This Row],[Intereses $Corrientes]]/Producción_Agricola[[#This Row],[Indexación Financiero]],0)</f>
        <v>0</v>
      </c>
      <c r="AA699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699" s="768">
        <f>IFERROR(INDEX(Produccion_Agricola_Cuentas[],MATCH(Producción_Agricola[[#This Row],[Cuenta Contable]],Produccion_Agricola_Cuentas[Cuenta Contable],0),2),0)</f>
        <v>0</v>
      </c>
      <c r="AC699" s="769">
        <f>IFERROR(INDEX(Tabla9[],MATCH(Producción_Agricola[[#This Row],[Movimiento]],Tabla9[Movimientos],0),2),0)</f>
        <v>0</v>
      </c>
      <c r="AD699" s="770">
        <f>IFERROR(INDEX(Tabla9[],MATCH(Producción_Agricola[[#This Row],[Movimiento]],Tabla9[Movimientos],0),3),0)</f>
        <v>0</v>
      </c>
      <c r="AE699" s="765">
        <f>IF(Producción_Agricola[[#This Row],[Fecha Económico]]=0,0,MONTH(Producción_Agricola[[#This Row],[Fecha Económico]]))</f>
        <v>0</v>
      </c>
      <c r="AF699" s="766">
        <f>IF(Producción_Agricola[[#This Row],[Fecha Económico]]=0,0,YEAR(Producción_Agricola[[#This Row],[Fecha Económico]]))</f>
        <v>0</v>
      </c>
      <c r="AG699" s="771">
        <f>SUMPRODUCT((Producción_Agricola[[#This Row],[Mes Económico]]=Tipo_Cambio[Mes])*(Producción_Agricola[[#This Row],[Año Económico]]=Tipo_Cambio[Año])*(Tipo_Cambio[$/U$S]))</f>
        <v>0</v>
      </c>
      <c r="AH699" s="770">
        <f>SUMPRODUCT((Producción_Agricola[[#This Row],[Mes Económico]]=Tipo_Cambio[Mes])*(Producción_Agricola[[#This Row],[Año Económico]]=Tipo_Cambio[Año])*(Tipo_Cambio[Actualización]))</f>
        <v>0</v>
      </c>
      <c r="AI699" s="766">
        <f>IF(ISNUMBER(Producción_Agricola[[#This Row],[Fecha Financiero]])=TRUE,MONTH(Producción_Agricola[[#This Row],[Fecha Financiero]]),0)</f>
        <v>0</v>
      </c>
      <c r="AJ699" s="766">
        <f>IF(ISNUMBER(Producción_Agricola[[#This Row],[Fecha Financiero]])=TRUE,YEAR(Producción_Agricola[[#This Row],[Fecha Financiero]]),0)</f>
        <v>0</v>
      </c>
      <c r="AK699" s="771">
        <f>SUMPRODUCT((Producción_Agricola[[#This Row],[Mes Financiero]]=Tipo_Cambio[Mes])*(Producción_Agricola[[#This Row],[Año Financiero]]=Tipo_Cambio[Año])*(Tipo_Cambio[$/U$S]))</f>
        <v>0</v>
      </c>
      <c r="AL699" s="771">
        <f>SUMPRODUCT((Producción_Agricola[[#This Row],[Mes Financiero]]=Tipo_Cambio[Mes])*(Producción_Agricola[[#This Row],[Año Financiero]]=Tipo_Cambio[Año])*(Tipo_Cambio[Actualización]))</f>
        <v>0</v>
      </c>
      <c r="AM699" s="772">
        <f>IFERROR(Producción_Agricola[[#This Row],[Económico $Corrientes]]/Producción_Agricola[[#This Row],[Superficie]],0)</f>
        <v>0</v>
      </c>
      <c r="AN699" s="773">
        <f>IFERROR(Producción_Agricola[[#This Row],[Económico $Constantes]]/Producción_Agricola[[#This Row],[Superficie]],0)</f>
        <v>0</v>
      </c>
      <c r="AO699" s="773">
        <f>IFERROR(Producción_Agricola[[#This Row],[Económico U$S Dólares]]/Producción_Agricola[[#This Row],[Superficie]],0)</f>
        <v>0</v>
      </c>
      <c r="AP699" s="774" t="str">
        <f>IF(Económico!$F$4=0,0,Producción_Agricola[[#This Row],[Centro de Costo]])</f>
        <v>Campo 1</v>
      </c>
      <c r="AQ699" s="512"/>
      <c r="AR699" s="663"/>
    </row>
    <row r="700" spans="4:44" x14ac:dyDescent="0.25">
      <c r="D700" s="478"/>
      <c r="E700" s="478"/>
      <c r="F700" s="668" t="str">
        <f t="shared" si="74"/>
        <v>2018-2019</v>
      </c>
      <c r="G700" s="673" t="str">
        <f t="shared" si="75"/>
        <v>Campo 1</v>
      </c>
      <c r="H700" s="673" t="str">
        <f t="shared" si="76"/>
        <v>Soja de Segunda</v>
      </c>
      <c r="I700" s="687" t="str">
        <f>IFERROR(INDEX(Tabla8[],MATCH(Producción_Agricola[[#This Row],[Unidad de Negocio]],Tabla8[Unidades de Negocio],0),2),0)</f>
        <v>Soja</v>
      </c>
      <c r="J700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700" s="661"/>
      <c r="L700" s="482"/>
      <c r="M700" s="483"/>
      <c r="N700" s="484"/>
      <c r="O700" s="694">
        <f>Producción_Agricola[[#This Row],[Superficie]]*Producción_Agricola[[#This Row],[Cantidad]]</f>
        <v>0</v>
      </c>
      <c r="P700" s="482"/>
      <c r="Q700" s="484"/>
      <c r="R700" s="485"/>
      <c r="S700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700" s="761">
        <f>IFERROR(Producción_Agricola[[#This Row],[Económico $Corrientes]]/Producción_Agricola[[#This Row],[Indexación Económico]],0)</f>
        <v>0</v>
      </c>
      <c r="U700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700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700" s="761">
        <f>IFERROR(Producción_Agricola[[#This Row],[Financiero $Corrientes]]/Producción_Agricola[[#This Row],[Indexación Financiero]],0)</f>
        <v>0</v>
      </c>
      <c r="X700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700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700" s="766">
        <f>IFERROR(Producción_Agricola[[#This Row],[Intereses $Corrientes]]/Producción_Agricola[[#This Row],[Indexación Financiero]],0)</f>
        <v>0</v>
      </c>
      <c r="AA700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700" s="768">
        <f>IFERROR(INDEX(Produccion_Agricola_Cuentas[],MATCH(Producción_Agricola[[#This Row],[Cuenta Contable]],Produccion_Agricola_Cuentas[Cuenta Contable],0),2),0)</f>
        <v>0</v>
      </c>
      <c r="AC700" s="769">
        <f>IFERROR(INDEX(Tabla9[],MATCH(Producción_Agricola[[#This Row],[Movimiento]],Tabla9[Movimientos],0),2),0)</f>
        <v>0</v>
      </c>
      <c r="AD700" s="770">
        <f>IFERROR(INDEX(Tabla9[],MATCH(Producción_Agricola[[#This Row],[Movimiento]],Tabla9[Movimientos],0),3),0)</f>
        <v>0</v>
      </c>
      <c r="AE700" s="765">
        <f>IF(Producción_Agricola[[#This Row],[Fecha Económico]]=0,0,MONTH(Producción_Agricola[[#This Row],[Fecha Económico]]))</f>
        <v>0</v>
      </c>
      <c r="AF700" s="766">
        <f>IF(Producción_Agricola[[#This Row],[Fecha Económico]]=0,0,YEAR(Producción_Agricola[[#This Row],[Fecha Económico]]))</f>
        <v>0</v>
      </c>
      <c r="AG700" s="771">
        <f>SUMPRODUCT((Producción_Agricola[[#This Row],[Mes Económico]]=Tipo_Cambio[Mes])*(Producción_Agricola[[#This Row],[Año Económico]]=Tipo_Cambio[Año])*(Tipo_Cambio[$/U$S]))</f>
        <v>0</v>
      </c>
      <c r="AH700" s="770">
        <f>SUMPRODUCT((Producción_Agricola[[#This Row],[Mes Económico]]=Tipo_Cambio[Mes])*(Producción_Agricola[[#This Row],[Año Económico]]=Tipo_Cambio[Año])*(Tipo_Cambio[Actualización]))</f>
        <v>0</v>
      </c>
      <c r="AI700" s="766">
        <f>IF(ISNUMBER(Producción_Agricola[[#This Row],[Fecha Financiero]])=TRUE,MONTH(Producción_Agricola[[#This Row],[Fecha Financiero]]),0)</f>
        <v>0</v>
      </c>
      <c r="AJ700" s="766">
        <f>IF(ISNUMBER(Producción_Agricola[[#This Row],[Fecha Financiero]])=TRUE,YEAR(Producción_Agricola[[#This Row],[Fecha Financiero]]),0)</f>
        <v>0</v>
      </c>
      <c r="AK700" s="771">
        <f>SUMPRODUCT((Producción_Agricola[[#This Row],[Mes Financiero]]=Tipo_Cambio[Mes])*(Producción_Agricola[[#This Row],[Año Financiero]]=Tipo_Cambio[Año])*(Tipo_Cambio[$/U$S]))</f>
        <v>0</v>
      </c>
      <c r="AL700" s="771">
        <f>SUMPRODUCT((Producción_Agricola[[#This Row],[Mes Financiero]]=Tipo_Cambio[Mes])*(Producción_Agricola[[#This Row],[Año Financiero]]=Tipo_Cambio[Año])*(Tipo_Cambio[Actualización]))</f>
        <v>0</v>
      </c>
      <c r="AM700" s="772">
        <f>IFERROR(Producción_Agricola[[#This Row],[Económico $Corrientes]]/Producción_Agricola[[#This Row],[Superficie]],0)</f>
        <v>0</v>
      </c>
      <c r="AN700" s="773">
        <f>IFERROR(Producción_Agricola[[#This Row],[Económico $Constantes]]/Producción_Agricola[[#This Row],[Superficie]],0)</f>
        <v>0</v>
      </c>
      <c r="AO700" s="773">
        <f>IFERROR(Producción_Agricola[[#This Row],[Económico U$S Dólares]]/Producción_Agricola[[#This Row],[Superficie]],0)</f>
        <v>0</v>
      </c>
      <c r="AP700" s="774" t="str">
        <f>IF(Económico!$F$4=0,0,Producción_Agricola[[#This Row],[Centro de Costo]])</f>
        <v>Campo 1</v>
      </c>
      <c r="AQ700" s="512"/>
      <c r="AR700" s="663"/>
    </row>
    <row r="701" spans="4:44" x14ac:dyDescent="0.25">
      <c r="D701" s="478"/>
      <c r="E701" s="478"/>
      <c r="F701" s="668" t="str">
        <f t="shared" si="74"/>
        <v>2018-2019</v>
      </c>
      <c r="G701" s="673" t="str">
        <f t="shared" si="75"/>
        <v>Campo 1</v>
      </c>
      <c r="H701" s="673" t="str">
        <f t="shared" si="76"/>
        <v>Soja de Segunda</v>
      </c>
      <c r="I701" s="687" t="str">
        <f>IFERROR(INDEX(Tabla8[],MATCH(Producción_Agricola[[#This Row],[Unidad de Negocio]],Tabla8[Unidades de Negocio],0),2),0)</f>
        <v>Soja</v>
      </c>
      <c r="J701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701" s="661"/>
      <c r="L701" s="482"/>
      <c r="M701" s="483"/>
      <c r="N701" s="484"/>
      <c r="O701" s="694">
        <f>Producción_Agricola[[#This Row],[Superficie]]*Producción_Agricola[[#This Row],[Cantidad]]</f>
        <v>0</v>
      </c>
      <c r="P701" s="482"/>
      <c r="Q701" s="484"/>
      <c r="R701" s="485"/>
      <c r="S701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701" s="761">
        <f>IFERROR(Producción_Agricola[[#This Row],[Económico $Corrientes]]/Producción_Agricola[[#This Row],[Indexación Económico]],0)</f>
        <v>0</v>
      </c>
      <c r="U701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701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701" s="761">
        <f>IFERROR(Producción_Agricola[[#This Row],[Financiero $Corrientes]]/Producción_Agricola[[#This Row],[Indexación Financiero]],0)</f>
        <v>0</v>
      </c>
      <c r="X701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701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701" s="766">
        <f>IFERROR(Producción_Agricola[[#This Row],[Intereses $Corrientes]]/Producción_Agricola[[#This Row],[Indexación Financiero]],0)</f>
        <v>0</v>
      </c>
      <c r="AA701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701" s="768">
        <f>IFERROR(INDEX(Produccion_Agricola_Cuentas[],MATCH(Producción_Agricola[[#This Row],[Cuenta Contable]],Produccion_Agricola_Cuentas[Cuenta Contable],0),2),0)</f>
        <v>0</v>
      </c>
      <c r="AC701" s="769">
        <f>IFERROR(INDEX(Tabla9[],MATCH(Producción_Agricola[[#This Row],[Movimiento]],Tabla9[Movimientos],0),2),0)</f>
        <v>0</v>
      </c>
      <c r="AD701" s="770">
        <f>IFERROR(INDEX(Tabla9[],MATCH(Producción_Agricola[[#This Row],[Movimiento]],Tabla9[Movimientos],0),3),0)</f>
        <v>0</v>
      </c>
      <c r="AE701" s="765">
        <f>IF(Producción_Agricola[[#This Row],[Fecha Económico]]=0,0,MONTH(Producción_Agricola[[#This Row],[Fecha Económico]]))</f>
        <v>0</v>
      </c>
      <c r="AF701" s="766">
        <f>IF(Producción_Agricola[[#This Row],[Fecha Económico]]=0,0,YEAR(Producción_Agricola[[#This Row],[Fecha Económico]]))</f>
        <v>0</v>
      </c>
      <c r="AG701" s="771">
        <f>SUMPRODUCT((Producción_Agricola[[#This Row],[Mes Económico]]=Tipo_Cambio[Mes])*(Producción_Agricola[[#This Row],[Año Económico]]=Tipo_Cambio[Año])*(Tipo_Cambio[$/U$S]))</f>
        <v>0</v>
      </c>
      <c r="AH701" s="770">
        <f>SUMPRODUCT((Producción_Agricola[[#This Row],[Mes Económico]]=Tipo_Cambio[Mes])*(Producción_Agricola[[#This Row],[Año Económico]]=Tipo_Cambio[Año])*(Tipo_Cambio[Actualización]))</f>
        <v>0</v>
      </c>
      <c r="AI701" s="766">
        <f>IF(ISNUMBER(Producción_Agricola[[#This Row],[Fecha Financiero]])=TRUE,MONTH(Producción_Agricola[[#This Row],[Fecha Financiero]]),0)</f>
        <v>0</v>
      </c>
      <c r="AJ701" s="766">
        <f>IF(ISNUMBER(Producción_Agricola[[#This Row],[Fecha Financiero]])=TRUE,YEAR(Producción_Agricola[[#This Row],[Fecha Financiero]]),0)</f>
        <v>0</v>
      </c>
      <c r="AK701" s="771">
        <f>SUMPRODUCT((Producción_Agricola[[#This Row],[Mes Financiero]]=Tipo_Cambio[Mes])*(Producción_Agricola[[#This Row],[Año Financiero]]=Tipo_Cambio[Año])*(Tipo_Cambio[$/U$S]))</f>
        <v>0</v>
      </c>
      <c r="AL701" s="771">
        <f>SUMPRODUCT((Producción_Agricola[[#This Row],[Mes Financiero]]=Tipo_Cambio[Mes])*(Producción_Agricola[[#This Row],[Año Financiero]]=Tipo_Cambio[Año])*(Tipo_Cambio[Actualización]))</f>
        <v>0</v>
      </c>
      <c r="AM701" s="772">
        <f>IFERROR(Producción_Agricola[[#This Row],[Económico $Corrientes]]/Producción_Agricola[[#This Row],[Superficie]],0)</f>
        <v>0</v>
      </c>
      <c r="AN701" s="773">
        <f>IFERROR(Producción_Agricola[[#This Row],[Económico $Constantes]]/Producción_Agricola[[#This Row],[Superficie]],0)</f>
        <v>0</v>
      </c>
      <c r="AO701" s="773">
        <f>IFERROR(Producción_Agricola[[#This Row],[Económico U$S Dólares]]/Producción_Agricola[[#This Row],[Superficie]],0)</f>
        <v>0</v>
      </c>
      <c r="AP701" s="774" t="str">
        <f>IF(Económico!$F$4=0,0,Producción_Agricola[[#This Row],[Centro de Costo]])</f>
        <v>Campo 1</v>
      </c>
      <c r="AQ701" s="512"/>
      <c r="AR701" s="663"/>
    </row>
    <row r="702" spans="4:44" x14ac:dyDescent="0.25">
      <c r="D702" s="478"/>
      <c r="E702" s="478"/>
      <c r="F702" s="668" t="str">
        <f t="shared" si="74"/>
        <v>2018-2019</v>
      </c>
      <c r="G702" s="673" t="str">
        <f t="shared" si="75"/>
        <v>Campo 1</v>
      </c>
      <c r="H702" s="673" t="str">
        <f t="shared" si="76"/>
        <v>Soja de Segunda</v>
      </c>
      <c r="I702" s="687" t="str">
        <f>IFERROR(INDEX(Tabla8[],MATCH(Producción_Agricola[[#This Row],[Unidad de Negocio]],Tabla8[Unidades de Negocio],0),2),0)</f>
        <v>Soja</v>
      </c>
      <c r="J702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702" s="661"/>
      <c r="L702" s="482"/>
      <c r="M702" s="483"/>
      <c r="N702" s="484"/>
      <c r="O702" s="694">
        <f>Producción_Agricola[[#This Row],[Superficie]]*Producción_Agricola[[#This Row],[Cantidad]]</f>
        <v>0</v>
      </c>
      <c r="P702" s="482"/>
      <c r="Q702" s="484"/>
      <c r="R702" s="485"/>
      <c r="S702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702" s="761">
        <f>IFERROR(Producción_Agricola[[#This Row],[Económico $Corrientes]]/Producción_Agricola[[#This Row],[Indexación Económico]],0)</f>
        <v>0</v>
      </c>
      <c r="U702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702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702" s="761">
        <f>IFERROR(Producción_Agricola[[#This Row],[Financiero $Corrientes]]/Producción_Agricola[[#This Row],[Indexación Financiero]],0)</f>
        <v>0</v>
      </c>
      <c r="X702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702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702" s="766">
        <f>IFERROR(Producción_Agricola[[#This Row],[Intereses $Corrientes]]/Producción_Agricola[[#This Row],[Indexación Financiero]],0)</f>
        <v>0</v>
      </c>
      <c r="AA702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702" s="768">
        <f>IFERROR(INDEX(Produccion_Agricola_Cuentas[],MATCH(Producción_Agricola[[#This Row],[Cuenta Contable]],Produccion_Agricola_Cuentas[Cuenta Contable],0),2),0)</f>
        <v>0</v>
      </c>
      <c r="AC702" s="769">
        <f>IFERROR(INDEX(Tabla9[],MATCH(Producción_Agricola[[#This Row],[Movimiento]],Tabla9[Movimientos],0),2),0)</f>
        <v>0</v>
      </c>
      <c r="AD702" s="770">
        <f>IFERROR(INDEX(Tabla9[],MATCH(Producción_Agricola[[#This Row],[Movimiento]],Tabla9[Movimientos],0),3),0)</f>
        <v>0</v>
      </c>
      <c r="AE702" s="765">
        <f>IF(Producción_Agricola[[#This Row],[Fecha Económico]]=0,0,MONTH(Producción_Agricola[[#This Row],[Fecha Económico]]))</f>
        <v>0</v>
      </c>
      <c r="AF702" s="766">
        <f>IF(Producción_Agricola[[#This Row],[Fecha Económico]]=0,0,YEAR(Producción_Agricola[[#This Row],[Fecha Económico]]))</f>
        <v>0</v>
      </c>
      <c r="AG702" s="771">
        <f>SUMPRODUCT((Producción_Agricola[[#This Row],[Mes Económico]]=Tipo_Cambio[Mes])*(Producción_Agricola[[#This Row],[Año Económico]]=Tipo_Cambio[Año])*(Tipo_Cambio[$/U$S]))</f>
        <v>0</v>
      </c>
      <c r="AH702" s="770">
        <f>SUMPRODUCT((Producción_Agricola[[#This Row],[Mes Económico]]=Tipo_Cambio[Mes])*(Producción_Agricola[[#This Row],[Año Económico]]=Tipo_Cambio[Año])*(Tipo_Cambio[Actualización]))</f>
        <v>0</v>
      </c>
      <c r="AI702" s="766">
        <f>IF(ISNUMBER(Producción_Agricola[[#This Row],[Fecha Financiero]])=TRUE,MONTH(Producción_Agricola[[#This Row],[Fecha Financiero]]),0)</f>
        <v>0</v>
      </c>
      <c r="AJ702" s="766">
        <f>IF(ISNUMBER(Producción_Agricola[[#This Row],[Fecha Financiero]])=TRUE,YEAR(Producción_Agricola[[#This Row],[Fecha Financiero]]),0)</f>
        <v>0</v>
      </c>
      <c r="AK702" s="771">
        <f>SUMPRODUCT((Producción_Agricola[[#This Row],[Mes Financiero]]=Tipo_Cambio[Mes])*(Producción_Agricola[[#This Row],[Año Financiero]]=Tipo_Cambio[Año])*(Tipo_Cambio[$/U$S]))</f>
        <v>0</v>
      </c>
      <c r="AL702" s="771">
        <f>SUMPRODUCT((Producción_Agricola[[#This Row],[Mes Financiero]]=Tipo_Cambio[Mes])*(Producción_Agricola[[#This Row],[Año Financiero]]=Tipo_Cambio[Año])*(Tipo_Cambio[Actualización]))</f>
        <v>0</v>
      </c>
      <c r="AM702" s="772">
        <f>IFERROR(Producción_Agricola[[#This Row],[Económico $Corrientes]]/Producción_Agricola[[#This Row],[Superficie]],0)</f>
        <v>0</v>
      </c>
      <c r="AN702" s="773">
        <f>IFERROR(Producción_Agricola[[#This Row],[Económico $Constantes]]/Producción_Agricola[[#This Row],[Superficie]],0)</f>
        <v>0</v>
      </c>
      <c r="AO702" s="773">
        <f>IFERROR(Producción_Agricola[[#This Row],[Económico U$S Dólares]]/Producción_Agricola[[#This Row],[Superficie]],0)</f>
        <v>0</v>
      </c>
      <c r="AP702" s="774" t="str">
        <f>IF(Económico!$F$4=0,0,Producción_Agricola[[#This Row],[Centro de Costo]])</f>
        <v>Campo 1</v>
      </c>
      <c r="AQ702" s="512"/>
      <c r="AR702" s="663"/>
    </row>
    <row r="703" spans="4:44" x14ac:dyDescent="0.25">
      <c r="D703" s="478"/>
      <c r="E703" s="478"/>
      <c r="F703" s="668" t="str">
        <f t="shared" si="74"/>
        <v>2018-2019</v>
      </c>
      <c r="G703" s="673" t="str">
        <f t="shared" si="75"/>
        <v>Campo 1</v>
      </c>
      <c r="H703" s="673" t="str">
        <f t="shared" si="76"/>
        <v>Soja de Segunda</v>
      </c>
      <c r="I703" s="687" t="str">
        <f>IFERROR(INDEX(Tabla8[],MATCH(Producción_Agricola[[#This Row],[Unidad de Negocio]],Tabla8[Unidades de Negocio],0),2),0)</f>
        <v>Soja</v>
      </c>
      <c r="J703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703" s="661"/>
      <c r="L703" s="482"/>
      <c r="M703" s="483"/>
      <c r="N703" s="484"/>
      <c r="O703" s="694">
        <f>Producción_Agricola[[#This Row],[Superficie]]*Producción_Agricola[[#This Row],[Cantidad]]</f>
        <v>0</v>
      </c>
      <c r="P703" s="482"/>
      <c r="Q703" s="484"/>
      <c r="R703" s="485"/>
      <c r="S703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703" s="761">
        <f>IFERROR(Producción_Agricola[[#This Row],[Económico $Corrientes]]/Producción_Agricola[[#This Row],[Indexación Económico]],0)</f>
        <v>0</v>
      </c>
      <c r="U703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703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703" s="761">
        <f>IFERROR(Producción_Agricola[[#This Row],[Financiero $Corrientes]]/Producción_Agricola[[#This Row],[Indexación Financiero]],0)</f>
        <v>0</v>
      </c>
      <c r="X703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703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703" s="766">
        <f>IFERROR(Producción_Agricola[[#This Row],[Intereses $Corrientes]]/Producción_Agricola[[#This Row],[Indexación Financiero]],0)</f>
        <v>0</v>
      </c>
      <c r="AA703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703" s="768">
        <f>IFERROR(INDEX(Produccion_Agricola_Cuentas[],MATCH(Producción_Agricola[[#This Row],[Cuenta Contable]],Produccion_Agricola_Cuentas[Cuenta Contable],0),2),0)</f>
        <v>0</v>
      </c>
      <c r="AC703" s="769">
        <f>IFERROR(INDEX(Tabla9[],MATCH(Producción_Agricola[[#This Row],[Movimiento]],Tabla9[Movimientos],0),2),0)</f>
        <v>0</v>
      </c>
      <c r="AD703" s="770">
        <f>IFERROR(INDEX(Tabla9[],MATCH(Producción_Agricola[[#This Row],[Movimiento]],Tabla9[Movimientos],0),3),0)</f>
        <v>0</v>
      </c>
      <c r="AE703" s="765">
        <f>IF(Producción_Agricola[[#This Row],[Fecha Económico]]=0,0,MONTH(Producción_Agricola[[#This Row],[Fecha Económico]]))</f>
        <v>0</v>
      </c>
      <c r="AF703" s="766">
        <f>IF(Producción_Agricola[[#This Row],[Fecha Económico]]=0,0,YEAR(Producción_Agricola[[#This Row],[Fecha Económico]]))</f>
        <v>0</v>
      </c>
      <c r="AG703" s="771">
        <f>SUMPRODUCT((Producción_Agricola[[#This Row],[Mes Económico]]=Tipo_Cambio[Mes])*(Producción_Agricola[[#This Row],[Año Económico]]=Tipo_Cambio[Año])*(Tipo_Cambio[$/U$S]))</f>
        <v>0</v>
      </c>
      <c r="AH703" s="770">
        <f>SUMPRODUCT((Producción_Agricola[[#This Row],[Mes Económico]]=Tipo_Cambio[Mes])*(Producción_Agricola[[#This Row],[Año Económico]]=Tipo_Cambio[Año])*(Tipo_Cambio[Actualización]))</f>
        <v>0</v>
      </c>
      <c r="AI703" s="766">
        <f>IF(ISNUMBER(Producción_Agricola[[#This Row],[Fecha Financiero]])=TRUE,MONTH(Producción_Agricola[[#This Row],[Fecha Financiero]]),0)</f>
        <v>0</v>
      </c>
      <c r="AJ703" s="766">
        <f>IF(ISNUMBER(Producción_Agricola[[#This Row],[Fecha Financiero]])=TRUE,YEAR(Producción_Agricola[[#This Row],[Fecha Financiero]]),0)</f>
        <v>0</v>
      </c>
      <c r="AK703" s="771">
        <f>SUMPRODUCT((Producción_Agricola[[#This Row],[Mes Financiero]]=Tipo_Cambio[Mes])*(Producción_Agricola[[#This Row],[Año Financiero]]=Tipo_Cambio[Año])*(Tipo_Cambio[$/U$S]))</f>
        <v>0</v>
      </c>
      <c r="AL703" s="771">
        <f>SUMPRODUCT((Producción_Agricola[[#This Row],[Mes Financiero]]=Tipo_Cambio[Mes])*(Producción_Agricola[[#This Row],[Año Financiero]]=Tipo_Cambio[Año])*(Tipo_Cambio[Actualización]))</f>
        <v>0</v>
      </c>
      <c r="AM703" s="772">
        <f>IFERROR(Producción_Agricola[[#This Row],[Económico $Corrientes]]/Producción_Agricola[[#This Row],[Superficie]],0)</f>
        <v>0</v>
      </c>
      <c r="AN703" s="773">
        <f>IFERROR(Producción_Agricola[[#This Row],[Económico $Constantes]]/Producción_Agricola[[#This Row],[Superficie]],0)</f>
        <v>0</v>
      </c>
      <c r="AO703" s="773">
        <f>IFERROR(Producción_Agricola[[#This Row],[Económico U$S Dólares]]/Producción_Agricola[[#This Row],[Superficie]],0)</f>
        <v>0</v>
      </c>
      <c r="AP703" s="774" t="str">
        <f>IF(Económico!$F$4=0,0,Producción_Agricola[[#This Row],[Centro de Costo]])</f>
        <v>Campo 1</v>
      </c>
      <c r="AQ703" s="512"/>
      <c r="AR703" s="663"/>
    </row>
    <row r="704" spans="4:44" x14ac:dyDescent="0.25">
      <c r="D704" s="478"/>
      <c r="E704" s="478"/>
      <c r="F704" s="668" t="str">
        <f t="shared" si="74"/>
        <v>2018-2019</v>
      </c>
      <c r="G704" s="673" t="str">
        <f t="shared" si="75"/>
        <v>Campo 1</v>
      </c>
      <c r="H704" s="673" t="str">
        <f t="shared" si="76"/>
        <v>Soja de Segunda</v>
      </c>
      <c r="I704" s="687" t="str">
        <f>IFERROR(INDEX(Tabla8[],MATCH(Producción_Agricola[[#This Row],[Unidad de Negocio]],Tabla8[Unidades de Negocio],0),2),0)</f>
        <v>Soja</v>
      </c>
      <c r="J704" s="688">
        <f>SUMPRODUCT((Producción_Agricola[[#This Row],[Centro de Costo]]=Tabla18[Centro de Costo])*(Producción_Agricola[[#This Row],[Unidad de Negocio]]=Tabla18[Actividad])*(Tabla18[Superficie])*(Producción_Agricola[[#This Row],[Campaña]]=Tabla18[Campaña]))</f>
        <v>0</v>
      </c>
      <c r="K704" s="661"/>
      <c r="L704" s="482"/>
      <c r="M704" s="483"/>
      <c r="N704" s="484"/>
      <c r="O704" s="694">
        <f>Producción_Agricola[[#This Row],[Superficie]]*Producción_Agricola[[#This Row],[Cantidad]]</f>
        <v>0</v>
      </c>
      <c r="P704" s="482"/>
      <c r="Q704" s="484"/>
      <c r="R704" s="485"/>
      <c r="S704" s="760">
        <f>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Económico]]),0)</f>
        <v>0</v>
      </c>
      <c r="T704" s="761">
        <f>IFERROR(Producción_Agricola[[#This Row],[Económico $Corrientes]]/Producción_Agricola[[#This Row],[Indexación Económico]],0)</f>
        <v>0</v>
      </c>
      <c r="U704" s="762">
        <f>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Económico]]),0)</f>
        <v>0</v>
      </c>
      <c r="V704" s="763">
        <f>IF(Producción_Agricola[[#This Row],[Fin.]]="No",0,1)*IF(Producción_Agricola[[#This Row],[Signo]]="(+)",1,-1)*IFERROR(IF(Producción_Agricola[[#This Row],[Moneda]]="$",Producción_Agricola[[#This Row],[Cantidad Total]]*Producción_Agricola[[#This Row],[Precio Unitario]],Producción_Agricola[[#This Row],[Cantidad Total]]*Producción_Agricola[[#This Row],[Precio Unitario]]*Producción_Agricola[[#This Row],[T. Cambio Financiero]]),0)</f>
        <v>0</v>
      </c>
      <c r="W704" s="761">
        <f>IFERROR(Producción_Agricola[[#This Row],[Financiero $Corrientes]]/Producción_Agricola[[#This Row],[Indexación Financiero]],0)</f>
        <v>0</v>
      </c>
      <c r="X704" s="764">
        <f>IF(Producción_Agricola[[#This Row],[Fin.]]="No",0,1)*IF(Producción_Agricola[[#This Row],[Signo]]="(+)",1,-1)*IFERROR(IF(Producción_Agricola[[#This Row],[Moneda]]="U$S",Producción_Agricola[[#This Row],[Cantidad Total]]*Producción_Agricola[[#This Row],[Precio Unitario]],Producción_Agricola[[#This Row],[Cantidad Total]]*Producción_Agricola[[#This Row],[Precio Unitario]]/Producción_Agricola[[#This Row],[T. Cambio Financiero]]),0)</f>
        <v>0</v>
      </c>
      <c r="Y704" s="765">
        <f>IFERROR((Producción_Agricola[[#This Row],[Tasa Anual de Interés]]/12)*((Producción_Agricola[[#This Row],[Fecha Financiero]]-Producción_Agricola[[#This Row],[Fecha Económico]])/30)*IF(Producción_Agricola[[#This Row],[Moneda]]="$",Producción_Agricola[[#This Row],[Económico $Corrientes]],Producción_Agricola[[#This Row],[Económico U$S Dólares]]*Producción_Agricola[[#This Row],[T. Cambio Financiero]]),0)</f>
        <v>0</v>
      </c>
      <c r="Z704" s="766">
        <f>IFERROR(Producción_Agricola[[#This Row],[Intereses $Corrientes]]/Producción_Agricola[[#This Row],[Indexación Financiero]],0)</f>
        <v>0</v>
      </c>
      <c r="AA704" s="767">
        <f>IFERROR((Producción_Agricola[[#This Row],[Tasa Anual de Interés]]/12)*((Producción_Agricola[[#This Row],[Fecha Financiero]]-Producción_Agricola[[#This Row],[Fecha Económico]])/30)*IF(Producción_Agricola[[#This Row],[Moneda]]="U$$",Producción_Agricola[[#This Row],[Económico U$S Dólares]],Producción_Agricola[[#This Row],[Económico $Corrientes]]/Producción_Agricola[[#This Row],[T. Cambio Financiero]]),0)</f>
        <v>0</v>
      </c>
      <c r="AB704" s="768">
        <f>IFERROR(INDEX(Produccion_Agricola_Cuentas[],MATCH(Producción_Agricola[[#This Row],[Cuenta Contable]],Produccion_Agricola_Cuentas[Cuenta Contable],0),2),0)</f>
        <v>0</v>
      </c>
      <c r="AC704" s="769">
        <f>IFERROR(INDEX(Tabla9[],MATCH(Producción_Agricola[[#This Row],[Movimiento]],Tabla9[Movimientos],0),2),0)</f>
        <v>0</v>
      </c>
      <c r="AD704" s="770">
        <f>IFERROR(INDEX(Tabla9[],MATCH(Producción_Agricola[[#This Row],[Movimiento]],Tabla9[Movimientos],0),3),0)</f>
        <v>0</v>
      </c>
      <c r="AE704" s="765">
        <f>IF(Producción_Agricola[[#This Row],[Fecha Económico]]=0,0,MONTH(Producción_Agricola[[#This Row],[Fecha Económico]]))</f>
        <v>0</v>
      </c>
      <c r="AF704" s="766">
        <f>IF(Producción_Agricola[[#This Row],[Fecha Económico]]=0,0,YEAR(Producción_Agricola[[#This Row],[Fecha Económico]]))</f>
        <v>0</v>
      </c>
      <c r="AG704" s="771">
        <f>SUMPRODUCT((Producción_Agricola[[#This Row],[Mes Económico]]=Tipo_Cambio[Mes])*(Producción_Agricola[[#This Row],[Año Económico]]=Tipo_Cambio[Año])*(Tipo_Cambio[$/U$S]))</f>
        <v>0</v>
      </c>
      <c r="AH704" s="770">
        <f>SUMPRODUCT((Producción_Agricola[[#This Row],[Mes Económico]]=Tipo_Cambio[Mes])*(Producción_Agricola[[#This Row],[Año Económico]]=Tipo_Cambio[Año])*(Tipo_Cambio[Actualización]))</f>
        <v>0</v>
      </c>
      <c r="AI704" s="766">
        <f>IF(ISNUMBER(Producción_Agricola[[#This Row],[Fecha Financiero]])=TRUE,MONTH(Producción_Agricola[[#This Row],[Fecha Financiero]]),0)</f>
        <v>0</v>
      </c>
      <c r="AJ704" s="766">
        <f>IF(ISNUMBER(Producción_Agricola[[#This Row],[Fecha Financiero]])=TRUE,YEAR(Producción_Agricola[[#This Row],[Fecha Financiero]]),0)</f>
        <v>0</v>
      </c>
      <c r="AK704" s="771">
        <f>SUMPRODUCT((Producción_Agricola[[#This Row],[Mes Financiero]]=Tipo_Cambio[Mes])*(Producción_Agricola[[#This Row],[Año Financiero]]=Tipo_Cambio[Año])*(Tipo_Cambio[$/U$S]))</f>
        <v>0</v>
      </c>
      <c r="AL704" s="771">
        <f>SUMPRODUCT((Producción_Agricola[[#This Row],[Mes Financiero]]=Tipo_Cambio[Mes])*(Producción_Agricola[[#This Row],[Año Financiero]]=Tipo_Cambio[Año])*(Tipo_Cambio[Actualización]))</f>
        <v>0</v>
      </c>
      <c r="AM704" s="772">
        <f>IFERROR(Producción_Agricola[[#This Row],[Económico $Corrientes]]/Producción_Agricola[[#This Row],[Superficie]],0)</f>
        <v>0</v>
      </c>
      <c r="AN704" s="773">
        <f>IFERROR(Producción_Agricola[[#This Row],[Económico $Constantes]]/Producción_Agricola[[#This Row],[Superficie]],0)</f>
        <v>0</v>
      </c>
      <c r="AO704" s="773">
        <f>IFERROR(Producción_Agricola[[#This Row],[Económico U$S Dólares]]/Producción_Agricola[[#This Row],[Superficie]],0)</f>
        <v>0</v>
      </c>
      <c r="AP704" s="774" t="str">
        <f>IF(Económico!$F$4=0,0,Producción_Agricola[[#This Row],[Centro de Costo]])</f>
        <v>Campo 1</v>
      </c>
      <c r="AQ704" s="512"/>
      <c r="AR704" s="663"/>
    </row>
  </sheetData>
  <conditionalFormatting sqref="E199:E650 E5:E44 E165:E196">
    <cfRule type="expression" dxfId="522" priority="163">
      <formula>AC5="No"</formula>
    </cfRule>
  </conditionalFormatting>
  <conditionalFormatting sqref="E26:E27">
    <cfRule type="expression" dxfId="521" priority="133">
      <formula>AC26="No"</formula>
    </cfRule>
  </conditionalFormatting>
  <conditionalFormatting sqref="E16">
    <cfRule type="expression" dxfId="520" priority="139">
      <formula>AC16="No"</formula>
    </cfRule>
  </conditionalFormatting>
  <conditionalFormatting sqref="E7">
    <cfRule type="expression" dxfId="519" priority="154">
      <formula>AC7="No"</formula>
    </cfRule>
  </conditionalFormatting>
  <conditionalFormatting sqref="E8:E10">
    <cfRule type="expression" dxfId="518" priority="151">
      <formula>AC8="No"</formula>
    </cfRule>
  </conditionalFormatting>
  <conditionalFormatting sqref="E11">
    <cfRule type="expression" dxfId="517" priority="148">
      <formula>AC11="No"</formula>
    </cfRule>
  </conditionalFormatting>
  <conditionalFormatting sqref="E12:E15">
    <cfRule type="expression" dxfId="516" priority="145">
      <formula>AC12="No"</formula>
    </cfRule>
  </conditionalFormatting>
  <conditionalFormatting sqref="E21">
    <cfRule type="expression" dxfId="515" priority="142">
      <formula>AC21="No"</formula>
    </cfRule>
  </conditionalFormatting>
  <conditionalFormatting sqref="E17:E19">
    <cfRule type="expression" dxfId="514" priority="136">
      <formula>AC17="No"</formula>
    </cfRule>
  </conditionalFormatting>
  <conditionalFormatting sqref="E22">
    <cfRule type="expression" dxfId="513" priority="130">
      <formula>AC22="No"</formula>
    </cfRule>
  </conditionalFormatting>
  <conditionalFormatting sqref="E23:E27">
    <cfRule type="expression" dxfId="512" priority="127">
      <formula>AC23="No"</formula>
    </cfRule>
  </conditionalFormatting>
  <conditionalFormatting sqref="E31">
    <cfRule type="expression" dxfId="511" priority="124">
      <formula>AC31="No"</formula>
    </cfRule>
  </conditionalFormatting>
  <conditionalFormatting sqref="E28">
    <cfRule type="expression" dxfId="510" priority="121">
      <formula>AC28="No"</formula>
    </cfRule>
  </conditionalFormatting>
  <conditionalFormatting sqref="E33:E39">
    <cfRule type="expression" dxfId="509" priority="115">
      <formula>AC33="No"</formula>
    </cfRule>
  </conditionalFormatting>
  <conditionalFormatting sqref="E35:E39">
    <cfRule type="expression" dxfId="508" priority="112">
      <formula>AC35="No"</formula>
    </cfRule>
  </conditionalFormatting>
  <conditionalFormatting sqref="E32">
    <cfRule type="expression" dxfId="507" priority="109">
      <formula>AC32="No"</formula>
    </cfRule>
  </conditionalFormatting>
  <conditionalFormatting sqref="E20">
    <cfRule type="expression" dxfId="506" priority="106">
      <formula>AC20="No"</formula>
    </cfRule>
  </conditionalFormatting>
  <conditionalFormatting sqref="E40">
    <cfRule type="expression" dxfId="505" priority="103">
      <formula>AC40="No"</formula>
    </cfRule>
  </conditionalFormatting>
  <conditionalFormatting sqref="E40">
    <cfRule type="expression" dxfId="504" priority="100">
      <formula>AC40="No"</formula>
    </cfRule>
  </conditionalFormatting>
  <conditionalFormatting sqref="R199:R650 R5:R44 R165:R196">
    <cfRule type="expression" dxfId="503" priority="174">
      <formula>AC5="No"</formula>
    </cfRule>
    <cfRule type="expression" dxfId="502" priority="175">
      <formula>D5=E5</formula>
    </cfRule>
  </conditionalFormatting>
  <conditionalFormatting sqref="E165:E166 E175 E186:E188 E181">
    <cfRule type="expression" dxfId="501" priority="95">
      <formula>AC165="No"</formula>
    </cfRule>
  </conditionalFormatting>
  <conditionalFormatting sqref="E176">
    <cfRule type="expression" dxfId="500" priority="89">
      <formula>AC176="No"</formula>
    </cfRule>
  </conditionalFormatting>
  <conditionalFormatting sqref="E167">
    <cfRule type="expression" dxfId="499" priority="94">
      <formula>AC167="No"</formula>
    </cfRule>
  </conditionalFormatting>
  <conditionalFormatting sqref="E168:E170">
    <cfRule type="expression" dxfId="498" priority="93">
      <formula>AC168="No"</formula>
    </cfRule>
  </conditionalFormatting>
  <conditionalFormatting sqref="E171">
    <cfRule type="expression" dxfId="497" priority="92">
      <formula>AC171="No"</formula>
    </cfRule>
  </conditionalFormatting>
  <conditionalFormatting sqref="E172:E175">
    <cfRule type="expression" dxfId="496" priority="91">
      <formula>AC172="No"</formula>
    </cfRule>
  </conditionalFormatting>
  <conditionalFormatting sqref="E181">
    <cfRule type="expression" dxfId="495" priority="90">
      <formula>AC181="No"</formula>
    </cfRule>
  </conditionalFormatting>
  <conditionalFormatting sqref="E177:E179">
    <cfRule type="expression" dxfId="494" priority="88">
      <formula>AC177="No"</formula>
    </cfRule>
  </conditionalFormatting>
  <conditionalFormatting sqref="E182">
    <cfRule type="expression" dxfId="493" priority="86">
      <formula>AC182="No"</formula>
    </cfRule>
  </conditionalFormatting>
  <conditionalFormatting sqref="E188">
    <cfRule type="expression" dxfId="492" priority="84">
      <formula>AC188="No"</formula>
    </cfRule>
  </conditionalFormatting>
  <conditionalFormatting sqref="E185">
    <cfRule type="expression" dxfId="491" priority="83">
      <formula>AC185="No"</formula>
    </cfRule>
  </conditionalFormatting>
  <conditionalFormatting sqref="E190:E196 E199:E650">
    <cfRule type="expression" dxfId="490" priority="82">
      <formula>AC190="No"</formula>
    </cfRule>
  </conditionalFormatting>
  <conditionalFormatting sqref="E192:E196 E199:E650">
    <cfRule type="expression" dxfId="489" priority="81">
      <formula>AC192="No"</formula>
    </cfRule>
  </conditionalFormatting>
  <conditionalFormatting sqref="E189">
    <cfRule type="expression" dxfId="488" priority="80">
      <formula>AC189="No"</formula>
    </cfRule>
  </conditionalFormatting>
  <conditionalFormatting sqref="E180">
    <cfRule type="expression" dxfId="487" priority="79">
      <formula>AC180="No"</formula>
    </cfRule>
  </conditionalFormatting>
  <conditionalFormatting sqref="E197">
    <cfRule type="expression" dxfId="486" priority="74">
      <formula>AC197="No"</formula>
    </cfRule>
  </conditionalFormatting>
  <conditionalFormatting sqref="R197">
    <cfRule type="expression" dxfId="485" priority="75">
      <formula>AC197="No"</formula>
    </cfRule>
    <cfRule type="expression" dxfId="484" priority="76">
      <formula>D197=E197</formula>
    </cfRule>
  </conditionalFormatting>
  <conditionalFormatting sqref="E197">
    <cfRule type="expression" dxfId="483" priority="73">
      <formula>AC197="No"</formula>
    </cfRule>
  </conditionalFormatting>
  <conditionalFormatting sqref="E197">
    <cfRule type="expression" dxfId="482" priority="72">
      <formula>AC197="No"</formula>
    </cfRule>
  </conditionalFormatting>
  <conditionalFormatting sqref="E198">
    <cfRule type="expression" dxfId="481" priority="69">
      <formula>AC198="No"</formula>
    </cfRule>
  </conditionalFormatting>
  <conditionalFormatting sqref="R198">
    <cfRule type="expression" dxfId="480" priority="70">
      <formula>AC198="No"</formula>
    </cfRule>
    <cfRule type="expression" dxfId="479" priority="71">
      <formula>D198=E198</formula>
    </cfRule>
  </conditionalFormatting>
  <conditionalFormatting sqref="E45:E84">
    <cfRule type="expression" dxfId="478" priority="66">
      <formula>AC45="No"</formula>
    </cfRule>
  </conditionalFormatting>
  <conditionalFormatting sqref="E66:E67">
    <cfRule type="expression" dxfId="477" priority="58">
      <formula>AC66="No"</formula>
    </cfRule>
  </conditionalFormatting>
  <conditionalFormatting sqref="E56">
    <cfRule type="expression" dxfId="476" priority="60">
      <formula>AC56="No"</formula>
    </cfRule>
  </conditionalFormatting>
  <conditionalFormatting sqref="E47">
    <cfRule type="expression" dxfId="475" priority="65">
      <formula>AC47="No"</formula>
    </cfRule>
  </conditionalFormatting>
  <conditionalFormatting sqref="E48:E50">
    <cfRule type="expression" dxfId="474" priority="64">
      <formula>AC48="No"</formula>
    </cfRule>
  </conditionalFormatting>
  <conditionalFormatting sqref="E51">
    <cfRule type="expression" dxfId="473" priority="63">
      <formula>AC51="No"</formula>
    </cfRule>
  </conditionalFormatting>
  <conditionalFormatting sqref="E52:E55">
    <cfRule type="expression" dxfId="472" priority="62">
      <formula>AC52="No"</formula>
    </cfRule>
  </conditionalFormatting>
  <conditionalFormatting sqref="E61">
    <cfRule type="expression" dxfId="471" priority="61">
      <formula>AC61="No"</formula>
    </cfRule>
  </conditionalFormatting>
  <conditionalFormatting sqref="E57:E59">
    <cfRule type="expression" dxfId="470" priority="59">
      <formula>AC57="No"</formula>
    </cfRule>
  </conditionalFormatting>
  <conditionalFormatting sqref="E62">
    <cfRule type="expression" dxfId="469" priority="57">
      <formula>AC62="No"</formula>
    </cfRule>
  </conditionalFormatting>
  <conditionalFormatting sqref="E63:E67">
    <cfRule type="expression" dxfId="468" priority="56">
      <formula>AC63="No"</formula>
    </cfRule>
  </conditionalFormatting>
  <conditionalFormatting sqref="E71">
    <cfRule type="expression" dxfId="467" priority="55">
      <formula>AC71="No"</formula>
    </cfRule>
  </conditionalFormatting>
  <conditionalFormatting sqref="E68">
    <cfRule type="expression" dxfId="466" priority="54">
      <formula>AC68="No"</formula>
    </cfRule>
  </conditionalFormatting>
  <conditionalFormatting sqref="E73:E79">
    <cfRule type="expression" dxfId="465" priority="53">
      <formula>AC73="No"</formula>
    </cfRule>
  </conditionalFormatting>
  <conditionalFormatting sqref="E75:E79">
    <cfRule type="expression" dxfId="464" priority="52">
      <formula>AC75="No"</formula>
    </cfRule>
  </conditionalFormatting>
  <conditionalFormatting sqref="E72">
    <cfRule type="expression" dxfId="463" priority="51">
      <formula>AC72="No"</formula>
    </cfRule>
  </conditionalFormatting>
  <conditionalFormatting sqref="E60">
    <cfRule type="expression" dxfId="462" priority="50">
      <formula>AC60="No"</formula>
    </cfRule>
  </conditionalFormatting>
  <conditionalFormatting sqref="E80">
    <cfRule type="expression" dxfId="461" priority="49">
      <formula>AC80="No"</formula>
    </cfRule>
  </conditionalFormatting>
  <conditionalFormatting sqref="E80">
    <cfRule type="expression" dxfId="460" priority="48">
      <formula>AC80="No"</formula>
    </cfRule>
  </conditionalFormatting>
  <conditionalFormatting sqref="R45:R84">
    <cfRule type="expression" dxfId="459" priority="67">
      <formula>AC45="No"</formula>
    </cfRule>
    <cfRule type="expression" dxfId="458" priority="68">
      <formula>D45=E45</formula>
    </cfRule>
  </conditionalFormatting>
  <conditionalFormatting sqref="E85:E124">
    <cfRule type="expression" dxfId="457" priority="45">
      <formula>AC85="No"</formula>
    </cfRule>
  </conditionalFormatting>
  <conditionalFormatting sqref="E106:E107">
    <cfRule type="expression" dxfId="456" priority="37">
      <formula>AC106="No"</formula>
    </cfRule>
  </conditionalFormatting>
  <conditionalFormatting sqref="E96">
    <cfRule type="expression" dxfId="455" priority="39">
      <formula>AC96="No"</formula>
    </cfRule>
  </conditionalFormatting>
  <conditionalFormatting sqref="E87">
    <cfRule type="expression" dxfId="454" priority="44">
      <formula>AC87="No"</formula>
    </cfRule>
  </conditionalFormatting>
  <conditionalFormatting sqref="E88:E90">
    <cfRule type="expression" dxfId="453" priority="43">
      <formula>AC88="No"</formula>
    </cfRule>
  </conditionalFormatting>
  <conditionalFormatting sqref="E91">
    <cfRule type="expression" dxfId="452" priority="42">
      <formula>AC91="No"</formula>
    </cfRule>
  </conditionalFormatting>
  <conditionalFormatting sqref="E92:E95">
    <cfRule type="expression" dxfId="451" priority="41">
      <formula>AC92="No"</formula>
    </cfRule>
  </conditionalFormatting>
  <conditionalFormatting sqref="E101">
    <cfRule type="expression" dxfId="450" priority="40">
      <formula>AC101="No"</formula>
    </cfRule>
  </conditionalFormatting>
  <conditionalFormatting sqref="E97:E99">
    <cfRule type="expression" dxfId="449" priority="38">
      <formula>AC97="No"</formula>
    </cfRule>
  </conditionalFormatting>
  <conditionalFormatting sqref="E102">
    <cfRule type="expression" dxfId="448" priority="36">
      <formula>AC102="No"</formula>
    </cfRule>
  </conditionalFormatting>
  <conditionalFormatting sqref="E103:E107">
    <cfRule type="expression" dxfId="447" priority="35">
      <formula>AC103="No"</formula>
    </cfRule>
  </conditionalFormatting>
  <conditionalFormatting sqref="E111">
    <cfRule type="expression" dxfId="446" priority="34">
      <formula>AC111="No"</formula>
    </cfRule>
  </conditionalFormatting>
  <conditionalFormatting sqref="E108">
    <cfRule type="expression" dxfId="445" priority="33">
      <formula>AC108="No"</formula>
    </cfRule>
  </conditionalFormatting>
  <conditionalFormatting sqref="E113:E119">
    <cfRule type="expression" dxfId="444" priority="32">
      <formula>AC113="No"</formula>
    </cfRule>
  </conditionalFormatting>
  <conditionalFormatting sqref="E115:E119">
    <cfRule type="expression" dxfId="443" priority="31">
      <formula>AC115="No"</formula>
    </cfRule>
  </conditionalFormatting>
  <conditionalFormatting sqref="E112">
    <cfRule type="expression" dxfId="442" priority="30">
      <formula>AC112="No"</formula>
    </cfRule>
  </conditionalFormatting>
  <conditionalFormatting sqref="E100">
    <cfRule type="expression" dxfId="441" priority="29">
      <formula>AC100="No"</formula>
    </cfRule>
  </conditionalFormatting>
  <conditionalFormatting sqref="E120">
    <cfRule type="expression" dxfId="440" priority="28">
      <formula>AC120="No"</formula>
    </cfRule>
  </conditionalFormatting>
  <conditionalFormatting sqref="E120">
    <cfRule type="expression" dxfId="439" priority="27">
      <formula>AC120="No"</formula>
    </cfRule>
  </conditionalFormatting>
  <conditionalFormatting sqref="R85:R124">
    <cfRule type="expression" dxfId="438" priority="46">
      <formula>AC85="No"</formula>
    </cfRule>
    <cfRule type="expression" dxfId="437" priority="47">
      <formula>D85=E85</formula>
    </cfRule>
  </conditionalFormatting>
  <conditionalFormatting sqref="E125:E164">
    <cfRule type="expression" dxfId="436" priority="24">
      <formula>AC125="No"</formula>
    </cfRule>
  </conditionalFormatting>
  <conditionalFormatting sqref="E146:E147">
    <cfRule type="expression" dxfId="435" priority="16">
      <formula>AC146="No"</formula>
    </cfRule>
  </conditionalFormatting>
  <conditionalFormatting sqref="E136">
    <cfRule type="expression" dxfId="434" priority="18">
      <formula>AC136="No"</formula>
    </cfRule>
  </conditionalFormatting>
  <conditionalFormatting sqref="E127">
    <cfRule type="expression" dxfId="433" priority="23">
      <formula>AC127="No"</formula>
    </cfRule>
  </conditionalFormatting>
  <conditionalFormatting sqref="E128:E130">
    <cfRule type="expression" dxfId="432" priority="22">
      <formula>AC128="No"</formula>
    </cfRule>
  </conditionalFormatting>
  <conditionalFormatting sqref="E131">
    <cfRule type="expression" dxfId="431" priority="21">
      <formula>AC131="No"</formula>
    </cfRule>
  </conditionalFormatting>
  <conditionalFormatting sqref="E132:E135">
    <cfRule type="expression" dxfId="430" priority="20">
      <formula>AC132="No"</formula>
    </cfRule>
  </conditionalFormatting>
  <conditionalFormatting sqref="E141">
    <cfRule type="expression" dxfId="429" priority="19">
      <formula>AC141="No"</formula>
    </cfRule>
  </conditionalFormatting>
  <conditionalFormatting sqref="E137:E139">
    <cfRule type="expression" dxfId="428" priority="17">
      <formula>AC137="No"</formula>
    </cfRule>
  </conditionalFormatting>
  <conditionalFormatting sqref="E142">
    <cfRule type="expression" dxfId="427" priority="15">
      <formula>AC142="No"</formula>
    </cfRule>
  </conditionalFormatting>
  <conditionalFormatting sqref="E143:E147">
    <cfRule type="expression" dxfId="426" priority="14">
      <formula>AC143="No"</formula>
    </cfRule>
  </conditionalFormatting>
  <conditionalFormatting sqref="E151">
    <cfRule type="expression" dxfId="425" priority="13">
      <formula>AC151="No"</formula>
    </cfRule>
  </conditionalFormatting>
  <conditionalFormatting sqref="E148">
    <cfRule type="expression" dxfId="424" priority="12">
      <formula>AC148="No"</formula>
    </cfRule>
  </conditionalFormatting>
  <conditionalFormatting sqref="E153:E159">
    <cfRule type="expression" dxfId="423" priority="11">
      <formula>AC153="No"</formula>
    </cfRule>
  </conditionalFormatting>
  <conditionalFormatting sqref="E155:E159">
    <cfRule type="expression" dxfId="422" priority="10">
      <formula>AC155="No"</formula>
    </cfRule>
  </conditionalFormatting>
  <conditionalFormatting sqref="E152">
    <cfRule type="expression" dxfId="421" priority="9">
      <formula>AC152="No"</formula>
    </cfRule>
  </conditionalFormatting>
  <conditionalFormatting sqref="E140">
    <cfRule type="expression" dxfId="420" priority="8">
      <formula>AC140="No"</formula>
    </cfRule>
  </conditionalFormatting>
  <conditionalFormatting sqref="E160">
    <cfRule type="expression" dxfId="419" priority="7">
      <formula>AC160="No"</formula>
    </cfRule>
  </conditionalFormatting>
  <conditionalFormatting sqref="E160">
    <cfRule type="expression" dxfId="418" priority="6">
      <formula>AC160="No"</formula>
    </cfRule>
  </conditionalFormatting>
  <conditionalFormatting sqref="R125:R164">
    <cfRule type="expression" dxfId="417" priority="25">
      <formula>AC125="No"</formula>
    </cfRule>
    <cfRule type="expression" dxfId="416" priority="26">
      <formula>D125=E125</formula>
    </cfRule>
  </conditionalFormatting>
  <conditionalFormatting sqref="E651:E704">
    <cfRule type="expression" dxfId="415" priority="1">
      <formula>AC651="No"</formula>
    </cfRule>
  </conditionalFormatting>
  <conditionalFormatting sqref="E651:E704">
    <cfRule type="expression" dxfId="414" priority="3">
      <formula>AC651="No"</formula>
    </cfRule>
  </conditionalFormatting>
  <conditionalFormatting sqref="R651:R704">
    <cfRule type="expression" dxfId="413" priority="4">
      <formula>AC651="No"</formula>
    </cfRule>
    <cfRule type="expression" dxfId="412" priority="5">
      <formula>D651=E651</formula>
    </cfRule>
  </conditionalFormatting>
  <conditionalFormatting sqref="E651:E704">
    <cfRule type="expression" dxfId="411" priority="2">
      <formula>AC651="No"</formula>
    </cfRule>
  </conditionalFormatting>
  <dataValidations count="5">
    <dataValidation type="list" allowBlank="1" showInputMessage="1" showErrorMessage="1" sqref="B6 B220 B46 B86 B126 B166 B203 B652 B598 B328 B274 B436 B382 B490 B544 F5:F704">
      <formula1>INDIRECT("Campaña")</formula1>
    </dataValidation>
    <dataValidation type="list" allowBlank="1" showInputMessage="1" showErrorMessage="1" sqref="B7 B221 B47 B87 B127 B167 B204 B653 B599 B329 B275 B437 B383 B491 B545 G5:G704">
      <formula1>INDIRECT("Centros_Costo")</formula1>
    </dataValidation>
    <dataValidation type="list" allowBlank="1" showInputMessage="1" showErrorMessage="1" sqref="B222 B8 B48 B88 B128 B168 B205 B654 B600 B330 B276 B438 B384 B492 B546 H5:H704">
      <formula1>Actividades_Agricolas</formula1>
    </dataValidation>
    <dataValidation type="list" allowBlank="1" showInputMessage="1" showErrorMessage="1" sqref="Q5:Q704">
      <formula1>"$,U$S"</formula1>
    </dataValidation>
    <dataValidation type="list" allowBlank="1" showInputMessage="1" showErrorMessage="1" sqref="K5:K704">
      <formula1>Cuentas_Agricolas</formula1>
    </dataValidation>
  </dataValidations>
  <hyperlinks>
    <hyperlink ref="D2" location="'Asistente de Carga'!A1" display="Volver al Asistente de Carga"/>
    <hyperlink ref="E2" location="'Financiero U$S'!A1" display="Presupuesto Financiero"/>
  </hyperlinks>
  <pageMargins left="0.7" right="0.7" top="0.75" bottom="0.75" header="0.3" footer="0.3"/>
  <pageSetup scale="25" orientation="portrait" r:id="rId1"/>
  <ignoredErrors>
    <ignoredError sqref="F651:J704 O5:O704" unlockedFormula="1"/>
  </ignoredErrors>
  <legacy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AH104"/>
  <sheetViews>
    <sheetView showGridLines="0" zoomScale="80" zoomScaleNormal="80" workbookViewId="0">
      <pane ySplit="4" topLeftCell="A5" activePane="bottomLeft" state="frozen"/>
      <selection pane="bottomLeft" activeCell="E2" sqref="E2"/>
    </sheetView>
  </sheetViews>
  <sheetFormatPr baseColWidth="10" defaultColWidth="0" defaultRowHeight="15" outlineLevelRow="1" outlineLevelCol="1" x14ac:dyDescent="0.25"/>
  <cols>
    <col min="1" max="1" width="2.7109375" style="69" customWidth="1"/>
    <col min="2" max="2" width="15.85546875" style="69" customWidth="1"/>
    <col min="3" max="3" width="2.7109375" style="69" customWidth="1"/>
    <col min="4" max="5" width="11.5703125" style="465" bestFit="1" customWidth="1"/>
    <col min="6" max="6" width="11.7109375" style="465" customWidth="1"/>
    <col min="7" max="7" width="30" style="464" bestFit="1" customWidth="1"/>
    <col min="8" max="8" width="35.7109375" style="464" customWidth="1"/>
    <col min="9" max="9" width="11.140625" style="510" customWidth="1"/>
    <col min="10" max="10" width="19.5703125" style="464" customWidth="1"/>
    <col min="11" max="11" width="10.5703125" style="465" customWidth="1"/>
    <col min="12" max="12" width="11.85546875" style="464" bestFit="1" customWidth="1"/>
    <col min="13" max="13" width="9.140625" customWidth="1"/>
    <col min="14" max="16" width="13.28515625" hidden="1" customWidth="1" outlineLevel="1"/>
    <col min="17" max="19" width="12.85546875" hidden="1" customWidth="1" outlineLevel="1"/>
    <col min="20" max="20" width="16.7109375" hidden="1" customWidth="1" outlineLevel="1"/>
    <col min="21" max="21" width="8.5703125" style="22" hidden="1" customWidth="1" outlineLevel="1"/>
    <col min="22" max="22" width="11" style="22" hidden="1" customWidth="1" outlineLevel="1"/>
    <col min="23" max="23" width="11.140625" style="183" customWidth="1" collapsed="1"/>
    <col min="24" max="24" width="9.28515625" hidden="1" customWidth="1" outlineLevel="1"/>
    <col min="25" max="25" width="6" hidden="1" customWidth="1" outlineLevel="1"/>
    <col min="26" max="26" width="11.28515625" hidden="1" customWidth="1" outlineLevel="1"/>
    <col min="27" max="28" width="11.28515625" style="22" hidden="1" customWidth="1" outlineLevel="1"/>
    <col min="29" max="29" width="12.85546875" style="22" hidden="1" customWidth="1" outlineLevel="1"/>
    <col min="30" max="31" width="11.28515625" style="22" hidden="1" customWidth="1" outlineLevel="1"/>
    <col min="32" max="32" width="10.5703125" style="22" hidden="1" customWidth="1" outlineLevel="1"/>
    <col min="33" max="33" width="12.42578125" hidden="1" customWidth="1" outlineLevel="1"/>
    <col min="34" max="34" width="12.42578125" customWidth="1" collapsed="1"/>
    <col min="35" max="16384" width="12.42578125" hidden="1"/>
  </cols>
  <sheetData>
    <row r="1" spans="1:33" x14ac:dyDescent="0.25">
      <c r="U1" s="344"/>
      <c r="V1" s="344"/>
      <c r="W1" s="344"/>
      <c r="AA1" s="344"/>
      <c r="AB1" s="344"/>
      <c r="AC1" s="344"/>
      <c r="AD1" s="344"/>
      <c r="AE1" s="344"/>
      <c r="AF1" s="344"/>
    </row>
    <row r="2" spans="1:33" ht="45" x14ac:dyDescent="0.25">
      <c r="B2" s="361" t="s">
        <v>459</v>
      </c>
      <c r="C2"/>
      <c r="D2" s="467" t="s">
        <v>477</v>
      </c>
      <c r="E2" s="468" t="s">
        <v>478</v>
      </c>
      <c r="N2" s="4"/>
      <c r="P2" s="4"/>
      <c r="S2" s="4"/>
      <c r="V2" s="59"/>
      <c r="W2" s="191"/>
      <c r="X2" s="4"/>
      <c r="Y2" s="4"/>
      <c r="Z2" s="22"/>
      <c r="AF2"/>
    </row>
    <row r="3" spans="1:33" x14ac:dyDescent="0.25">
      <c r="H3" s="1134"/>
      <c r="I3" s="1134"/>
      <c r="J3" s="1134"/>
      <c r="L3" s="469"/>
      <c r="M3" s="17"/>
      <c r="N3" s="17"/>
      <c r="O3" s="17"/>
      <c r="Z3" s="22"/>
      <c r="AF3"/>
    </row>
    <row r="4" spans="1:33" s="5" customFormat="1" ht="31.5" customHeight="1" x14ac:dyDescent="0.25">
      <c r="A4" s="2"/>
      <c r="B4" s="2"/>
      <c r="C4" s="2"/>
      <c r="D4" s="471" t="s">
        <v>352</v>
      </c>
      <c r="E4" s="634" t="s">
        <v>15</v>
      </c>
      <c r="F4" s="635" t="s">
        <v>4</v>
      </c>
      <c r="G4" s="470" t="s">
        <v>78</v>
      </c>
      <c r="H4" s="470" t="s">
        <v>86</v>
      </c>
      <c r="I4" s="473" t="s">
        <v>80</v>
      </c>
      <c r="J4" s="470" t="s">
        <v>16</v>
      </c>
      <c r="K4" s="472" t="s">
        <v>95</v>
      </c>
      <c r="L4" s="471" t="s">
        <v>87</v>
      </c>
      <c r="M4" s="20" t="s">
        <v>1</v>
      </c>
      <c r="N4" s="27" t="s">
        <v>354</v>
      </c>
      <c r="O4" s="6" t="s">
        <v>355</v>
      </c>
      <c r="P4" s="28" t="s">
        <v>356</v>
      </c>
      <c r="Q4" s="6" t="s">
        <v>236</v>
      </c>
      <c r="R4" s="6" t="s">
        <v>235</v>
      </c>
      <c r="S4" s="6" t="s">
        <v>357</v>
      </c>
      <c r="T4" s="33" t="s">
        <v>39</v>
      </c>
      <c r="U4" s="38" t="s">
        <v>97</v>
      </c>
      <c r="V4" s="50" t="s">
        <v>98</v>
      </c>
      <c r="W4" s="38" t="s">
        <v>209</v>
      </c>
      <c r="X4" s="38" t="s">
        <v>91</v>
      </c>
      <c r="Y4" s="39" t="s">
        <v>64</v>
      </c>
      <c r="Z4" s="2" t="s">
        <v>346</v>
      </c>
      <c r="AA4" s="2" t="s">
        <v>347</v>
      </c>
      <c r="AB4" s="2" t="s">
        <v>348</v>
      </c>
      <c r="AC4" s="2" t="s">
        <v>349</v>
      </c>
      <c r="AD4" s="2" t="s">
        <v>33</v>
      </c>
      <c r="AE4" s="2" t="s">
        <v>34</v>
      </c>
      <c r="AF4" s="2" t="s">
        <v>90</v>
      </c>
      <c r="AG4" s="2" t="s">
        <v>350</v>
      </c>
    </row>
    <row r="5" spans="1:33" x14ac:dyDescent="0.25">
      <c r="B5" s="1133" t="s">
        <v>46</v>
      </c>
      <c r="D5" s="548">
        <f>DATE(LEFT(Comercial_Agricola[[#This Row],[Campaña]],4),7,1)</f>
        <v>43282</v>
      </c>
      <c r="E5" s="522"/>
      <c r="F5" s="775" t="str">
        <f t="shared" ref="F5:F36" si="0">Campaña_Actual</f>
        <v>2018-2019</v>
      </c>
      <c r="G5" s="673" t="str">
        <f t="shared" ref="G5:G14" si="1">COM_AGR_Stock_Inicio</f>
        <v>Stock Granos Inicio</v>
      </c>
      <c r="H5" s="490"/>
      <c r="I5" s="788">
        <f>IFERROR(INDEX(Tabla811[],MATCH(Comercial_Agricola[[#This Row],[Unidad de Negocio]],Tabla811[Unidades de Negocio],0),2),0)</f>
        <v>0</v>
      </c>
      <c r="J5" s="491"/>
      <c r="K5" s="550"/>
      <c r="L5" s="491"/>
      <c r="M5" s="341" t="s">
        <v>3</v>
      </c>
      <c r="N5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5" s="829">
        <f>IFERROR(Comercial_Agricola[[#This Row],[Económico $Corrientes]]/Comercial_Agricola[[#This Row],[Indexación Económico]],0)</f>
        <v>0</v>
      </c>
      <c r="P5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5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5" s="829">
        <f>IFERROR(Comercial_Agricola[[#This Row],[Financiero $Corrientes]]/Comercial_Agricola[[#This Row],[Indexación Financiero]],0)</f>
        <v>0</v>
      </c>
      <c r="S5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5" s="831" t="str">
        <f>IFERROR(INDEX(Comercializacion_Granos_Cuentas[],MATCH(Comercial_Agricola[[#This Row],[Cuenta Contable]],Comercializacion_Granos_Cuentas[Cuenta Contable],0),2),0)</f>
        <v>Stock Inicio</v>
      </c>
      <c r="U5" s="806" t="str">
        <f>IFERROR(INDEX(Comercializacion_Granos_Cuentas[],MATCH(Comercial_Agricola[[#This Row],[Cuenta Contable]],Comercializacion_Granos_Cuentas[Cuenta Contable],0),3),0)</f>
        <v>Si</v>
      </c>
      <c r="V5" s="832">
        <f>IF(Comercial_Agricola[[#This Row],[Signo]]="(-)",1,-1)*IF(Comercial_Agricola[[#This Row],[Stock]]="SI",Comercial_Agricola[[#This Row],[Toneladas]],0)</f>
        <v>0</v>
      </c>
      <c r="W5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5" s="806" t="str">
        <f>IFERROR(INDEX(Tabla9[],MATCH(Comercial_Agricola[[#This Row],[Movimiento]],Tabla9[Movimientos],0),2),0)</f>
        <v>No</v>
      </c>
      <c r="Y5" s="807" t="str">
        <f>IFERROR(INDEX(Tabla9[],MATCH(Comercial_Agricola[[#This Row],[Movimiento]],Tabla9[Movimientos],0),3),0)</f>
        <v>(-)</v>
      </c>
      <c r="Z5" s="808">
        <f>IF(Comercial_Agricola[[#This Row],[Fecha Económico]]=0,0,MONTH(Comercial_Agricola[[#This Row],[Fecha Económico]]))</f>
        <v>7</v>
      </c>
      <c r="AA5" s="808">
        <f>IF(Comercial_Agricola[[#This Row],[Fecha Económico]]=0,0,YEAR(Comercial_Agricola[[#This Row],[Fecha Económico]]))</f>
        <v>2018</v>
      </c>
      <c r="AB5" s="809">
        <f>SUMPRODUCT((Comercial_Agricola[[#This Row],[Mes Económico]]=Tipo_Cambio[Mes])*(Comercial_Agricola[[#This Row],[Año Económico]]=Tipo_Cambio[Año])*(Tipo_Cambio[$/U$S]))</f>
        <v>22</v>
      </c>
      <c r="AC5" s="809">
        <f>SUMPRODUCT((Comercial_Agricola[[#This Row],[Mes Económico]]=Tipo_Cambio[Mes])*(Comercial_Agricola[[#This Row],[Año Económico]]=Tipo_Cambio[Año])*(Tipo_Cambio[Actualización]))</f>
        <v>1</v>
      </c>
      <c r="AD5" s="808">
        <f>IF(ISNUMBER(Comercial_Agricola[[#This Row],[Fecha Financiero]])=TRUE,MONTH(Comercial_Agricola[[#This Row],[Fecha Financiero]]),0)</f>
        <v>0</v>
      </c>
      <c r="AE5" s="808">
        <f>IF(ISNUMBER(Comercial_Agricola[[#This Row],[Fecha Financiero]])=TRUE,YEAR(Comercial_Agricola[[#This Row],[Fecha Financiero]]),0)</f>
        <v>0</v>
      </c>
      <c r="AF5" s="809">
        <f>SUMPRODUCT((Comercial_Agricola[[#This Row],[Mes Financiero]]=Tipo_Cambio[Mes])*(Comercial_Agricola[[#This Row],[Año Financiero]]=Tipo_Cambio[Año])*(Tipo_Cambio[$/U$S]))</f>
        <v>0</v>
      </c>
      <c r="AG5" s="809">
        <f>SUMPRODUCT((Comercial_Agricola[[#This Row],[Mes Financiero]]=Tipo_Cambio[Mes])*(Comercial_Agricola[[#This Row],[Año Financiero]]=Tipo_Cambio[Año])*(Tipo_Cambio[Actualización]))</f>
        <v>0</v>
      </c>
    </row>
    <row r="6" spans="1:33" x14ac:dyDescent="0.25">
      <c r="B6" s="1133"/>
      <c r="D6" s="548">
        <f>DATE(LEFT(Comercial_Agricola[[#This Row],[Campaña]],4),7,1)</f>
        <v>43282</v>
      </c>
      <c r="E6" s="522"/>
      <c r="F6" s="775" t="str">
        <f t="shared" si="0"/>
        <v>2018-2019</v>
      </c>
      <c r="G6" s="673" t="str">
        <f t="shared" si="1"/>
        <v>Stock Granos Inicio</v>
      </c>
      <c r="H6" s="490"/>
      <c r="I6" s="789">
        <f>IFERROR(INDEX(Tabla811[],MATCH(Comercial_Agricola[[#This Row],[Unidad de Negocio]],Tabla811[Unidades de Negocio],0),2),0)</f>
        <v>0</v>
      </c>
      <c r="J6" s="491"/>
      <c r="K6" s="550"/>
      <c r="L6" s="491"/>
      <c r="M6" s="341" t="s">
        <v>3</v>
      </c>
      <c r="N6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6" s="829">
        <f>IFERROR(Comercial_Agricola[[#This Row],[Económico $Corrientes]]/Comercial_Agricola[[#This Row],[Indexación Económico]],0)</f>
        <v>0</v>
      </c>
      <c r="P6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6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6" s="829">
        <f>IFERROR(Comercial_Agricola[[#This Row],[Financiero $Corrientes]]/Comercial_Agricola[[#This Row],[Indexación Financiero]],0)</f>
        <v>0</v>
      </c>
      <c r="S6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6" s="834" t="str">
        <f>IFERROR(INDEX(Comercializacion_Granos_Cuentas[],MATCH(Comercial_Agricola[[#This Row],[Cuenta Contable]],Comercializacion_Granos_Cuentas[Cuenta Contable],0),2),0)</f>
        <v>Stock Inicio</v>
      </c>
      <c r="U6" s="835" t="str">
        <f>IFERROR(INDEX(Comercializacion_Granos_Cuentas[],MATCH(Comercial_Agricola[[#This Row],[Cuenta Contable]],Comercializacion_Granos_Cuentas[Cuenta Contable],0),3),0)</f>
        <v>Si</v>
      </c>
      <c r="V6" s="836">
        <f>IF(Comercial_Agricola[[#This Row],[Signo]]="(-)",1,-1)*IF(Comercial_Agricola[[#This Row],[Stock]]="SI",Comercial_Agricola[[#This Row],[Toneladas]],0)</f>
        <v>0</v>
      </c>
      <c r="W6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6" s="806" t="str">
        <f>IFERROR(INDEX(Tabla9[],MATCH(Comercial_Agricola[[#This Row],[Movimiento]],Tabla9[Movimientos],0),2),0)</f>
        <v>No</v>
      </c>
      <c r="Y6" s="807" t="str">
        <f>IFERROR(INDEX(Tabla9[],MATCH(Comercial_Agricola[[#This Row],[Movimiento]],Tabla9[Movimientos],0),3),0)</f>
        <v>(-)</v>
      </c>
      <c r="Z6" s="808">
        <f>IF(Comercial_Agricola[[#This Row],[Fecha Económico]]=0,0,MONTH(Comercial_Agricola[[#This Row],[Fecha Económico]]))</f>
        <v>7</v>
      </c>
      <c r="AA6" s="808">
        <f>IF(Comercial_Agricola[[#This Row],[Fecha Económico]]=0,0,YEAR(Comercial_Agricola[[#This Row],[Fecha Económico]]))</f>
        <v>2018</v>
      </c>
      <c r="AB6" s="809">
        <f>SUMPRODUCT((Comercial_Agricola[[#This Row],[Mes Económico]]=Tipo_Cambio[Mes])*(Comercial_Agricola[[#This Row],[Año Económico]]=Tipo_Cambio[Año])*(Tipo_Cambio[$/U$S]))</f>
        <v>22</v>
      </c>
      <c r="AC6" s="809">
        <f>SUMPRODUCT((Comercial_Agricola[[#This Row],[Mes Económico]]=Tipo_Cambio[Mes])*(Comercial_Agricola[[#This Row],[Año Económico]]=Tipo_Cambio[Año])*(Tipo_Cambio[Actualización]))</f>
        <v>1</v>
      </c>
      <c r="AD6" s="808">
        <f>IF(ISNUMBER(Comercial_Agricola[[#This Row],[Fecha Financiero]])=TRUE,MONTH(Comercial_Agricola[[#This Row],[Fecha Financiero]]),0)</f>
        <v>0</v>
      </c>
      <c r="AE6" s="808">
        <f>IF(ISNUMBER(Comercial_Agricola[[#This Row],[Fecha Financiero]])=TRUE,YEAR(Comercial_Agricola[[#This Row],[Fecha Financiero]]),0)</f>
        <v>0</v>
      </c>
      <c r="AF6" s="809">
        <f>SUMPRODUCT((Comercial_Agricola[[#This Row],[Mes Financiero]]=Tipo_Cambio[Mes])*(Comercial_Agricola[[#This Row],[Año Financiero]]=Tipo_Cambio[Año])*(Tipo_Cambio[$/U$S]))</f>
        <v>0</v>
      </c>
      <c r="AG6" s="809">
        <f>SUMPRODUCT((Comercial_Agricola[[#This Row],[Mes Financiero]]=Tipo_Cambio[Mes])*(Comercial_Agricola[[#This Row],[Año Financiero]]=Tipo_Cambio[Año])*(Tipo_Cambio[Actualización]))</f>
        <v>0</v>
      </c>
    </row>
    <row r="7" spans="1:33" x14ac:dyDescent="0.25">
      <c r="B7" s="1133"/>
      <c r="D7" s="548">
        <f>DATE(LEFT(Comercial_Agricola[[#This Row],[Campaña]],4),7,1)</f>
        <v>43282</v>
      </c>
      <c r="E7" s="522"/>
      <c r="F7" s="775" t="str">
        <f t="shared" si="0"/>
        <v>2018-2019</v>
      </c>
      <c r="G7" s="673" t="str">
        <f t="shared" si="1"/>
        <v>Stock Granos Inicio</v>
      </c>
      <c r="H7" s="490"/>
      <c r="I7" s="789">
        <f>IFERROR(INDEX(Tabla811[],MATCH(Comercial_Agricola[[#This Row],[Unidad de Negocio]],Tabla811[Unidades de Negocio],0),2),0)</f>
        <v>0</v>
      </c>
      <c r="J7" s="491"/>
      <c r="K7" s="550"/>
      <c r="L7" s="491"/>
      <c r="M7" s="341" t="s">
        <v>3</v>
      </c>
      <c r="N7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7" s="829">
        <f>IFERROR(Comercial_Agricola[[#This Row],[Económico $Corrientes]]/Comercial_Agricola[[#This Row],[Indexación Económico]],0)</f>
        <v>0</v>
      </c>
      <c r="P7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7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7" s="829">
        <f>IFERROR(Comercial_Agricola[[#This Row],[Financiero $Corrientes]]/Comercial_Agricola[[#This Row],[Indexación Financiero]],0)</f>
        <v>0</v>
      </c>
      <c r="S7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7" s="834" t="str">
        <f>IFERROR(INDEX(Comercializacion_Granos_Cuentas[],MATCH(Comercial_Agricola[[#This Row],[Cuenta Contable]],Comercializacion_Granos_Cuentas[Cuenta Contable],0),2),0)</f>
        <v>Stock Inicio</v>
      </c>
      <c r="U7" s="835" t="str">
        <f>IFERROR(INDEX(Comercializacion_Granos_Cuentas[],MATCH(Comercial_Agricola[[#This Row],[Cuenta Contable]],Comercializacion_Granos_Cuentas[Cuenta Contable],0),3),0)</f>
        <v>Si</v>
      </c>
      <c r="V7" s="836">
        <f>IF(Comercial_Agricola[[#This Row],[Signo]]="(-)",1,-1)*IF(Comercial_Agricola[[#This Row],[Stock]]="SI",Comercial_Agricola[[#This Row],[Toneladas]],0)</f>
        <v>0</v>
      </c>
      <c r="W7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7" s="806" t="str">
        <f>IFERROR(INDEX(Tabla9[],MATCH(Comercial_Agricola[[#This Row],[Movimiento]],Tabla9[Movimientos],0),2),0)</f>
        <v>No</v>
      </c>
      <c r="Y7" s="807" t="str">
        <f>IFERROR(INDEX(Tabla9[],MATCH(Comercial_Agricola[[#This Row],[Movimiento]],Tabla9[Movimientos],0),3),0)</f>
        <v>(-)</v>
      </c>
      <c r="Z7" s="808">
        <f>IF(Comercial_Agricola[[#This Row],[Fecha Económico]]=0,0,MONTH(Comercial_Agricola[[#This Row],[Fecha Económico]]))</f>
        <v>7</v>
      </c>
      <c r="AA7" s="808">
        <f>IF(Comercial_Agricola[[#This Row],[Fecha Económico]]=0,0,YEAR(Comercial_Agricola[[#This Row],[Fecha Económico]]))</f>
        <v>2018</v>
      </c>
      <c r="AB7" s="809">
        <f>SUMPRODUCT((Comercial_Agricola[[#This Row],[Mes Económico]]=Tipo_Cambio[Mes])*(Comercial_Agricola[[#This Row],[Año Económico]]=Tipo_Cambio[Año])*(Tipo_Cambio[$/U$S]))</f>
        <v>22</v>
      </c>
      <c r="AC7" s="809">
        <f>SUMPRODUCT((Comercial_Agricola[[#This Row],[Mes Económico]]=Tipo_Cambio[Mes])*(Comercial_Agricola[[#This Row],[Año Económico]]=Tipo_Cambio[Año])*(Tipo_Cambio[Actualización]))</f>
        <v>1</v>
      </c>
      <c r="AD7" s="808">
        <f>IF(ISNUMBER(Comercial_Agricola[[#This Row],[Fecha Financiero]])=TRUE,MONTH(Comercial_Agricola[[#This Row],[Fecha Financiero]]),0)</f>
        <v>0</v>
      </c>
      <c r="AE7" s="808">
        <f>IF(ISNUMBER(Comercial_Agricola[[#This Row],[Fecha Financiero]])=TRUE,YEAR(Comercial_Agricola[[#This Row],[Fecha Financiero]]),0)</f>
        <v>0</v>
      </c>
      <c r="AF7" s="809">
        <f>SUMPRODUCT((Comercial_Agricola[[#This Row],[Mes Financiero]]=Tipo_Cambio[Mes])*(Comercial_Agricola[[#This Row],[Año Financiero]]=Tipo_Cambio[Año])*(Tipo_Cambio[$/U$S]))</f>
        <v>0</v>
      </c>
      <c r="AG7" s="809">
        <f>SUMPRODUCT((Comercial_Agricola[[#This Row],[Mes Financiero]]=Tipo_Cambio[Mes])*(Comercial_Agricola[[#This Row],[Año Financiero]]=Tipo_Cambio[Año])*(Tipo_Cambio[Actualización]))</f>
        <v>0</v>
      </c>
    </row>
    <row r="8" spans="1:33" x14ac:dyDescent="0.25">
      <c r="D8" s="548">
        <f>DATE(LEFT(Comercial_Agricola[[#This Row],[Campaña]],4),7,1)</f>
        <v>43282</v>
      </c>
      <c r="E8" s="522"/>
      <c r="F8" s="775" t="str">
        <f t="shared" si="0"/>
        <v>2018-2019</v>
      </c>
      <c r="G8" s="673" t="str">
        <f t="shared" si="1"/>
        <v>Stock Granos Inicio</v>
      </c>
      <c r="H8" s="490"/>
      <c r="I8" s="789">
        <f>IFERROR(INDEX(Tabla811[],MATCH(Comercial_Agricola[[#This Row],[Unidad de Negocio]],Tabla811[Unidades de Negocio],0),2),0)</f>
        <v>0</v>
      </c>
      <c r="J8" s="491"/>
      <c r="K8" s="550"/>
      <c r="L8" s="491"/>
      <c r="M8" s="341" t="s">
        <v>3</v>
      </c>
      <c r="N8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8" s="829">
        <f>IFERROR(Comercial_Agricola[[#This Row],[Económico $Corrientes]]/Comercial_Agricola[[#This Row],[Indexación Económico]],0)</f>
        <v>0</v>
      </c>
      <c r="P8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8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8" s="829">
        <f>IFERROR(Comercial_Agricola[[#This Row],[Financiero $Corrientes]]/Comercial_Agricola[[#This Row],[Indexación Financiero]],0)</f>
        <v>0</v>
      </c>
      <c r="S8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8" s="834" t="str">
        <f>IFERROR(INDEX(Comercializacion_Granos_Cuentas[],MATCH(Comercial_Agricola[[#This Row],[Cuenta Contable]],Comercializacion_Granos_Cuentas[Cuenta Contable],0),2),0)</f>
        <v>Stock Inicio</v>
      </c>
      <c r="U8" s="835" t="str">
        <f>IFERROR(INDEX(Comercializacion_Granos_Cuentas[],MATCH(Comercial_Agricola[[#This Row],[Cuenta Contable]],Comercializacion_Granos_Cuentas[Cuenta Contable],0),3),0)</f>
        <v>Si</v>
      </c>
      <c r="V8" s="836">
        <f>IF(Comercial_Agricola[[#This Row],[Signo]]="(-)",1,-1)*IF(Comercial_Agricola[[#This Row],[Stock]]="SI",Comercial_Agricola[[#This Row],[Toneladas]],0)</f>
        <v>0</v>
      </c>
      <c r="W8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8" s="806" t="str">
        <f>IFERROR(INDEX(Tabla9[],MATCH(Comercial_Agricola[[#This Row],[Movimiento]],Tabla9[Movimientos],0),2),0)</f>
        <v>No</v>
      </c>
      <c r="Y8" s="807" t="str">
        <f>IFERROR(INDEX(Tabla9[],MATCH(Comercial_Agricola[[#This Row],[Movimiento]],Tabla9[Movimientos],0),3),0)</f>
        <v>(-)</v>
      </c>
      <c r="Z8" s="808">
        <f>IF(Comercial_Agricola[[#This Row],[Fecha Económico]]=0,0,MONTH(Comercial_Agricola[[#This Row],[Fecha Económico]]))</f>
        <v>7</v>
      </c>
      <c r="AA8" s="808">
        <f>IF(Comercial_Agricola[[#This Row],[Fecha Económico]]=0,0,YEAR(Comercial_Agricola[[#This Row],[Fecha Económico]]))</f>
        <v>2018</v>
      </c>
      <c r="AB8" s="809">
        <f>SUMPRODUCT((Comercial_Agricola[[#This Row],[Mes Económico]]=Tipo_Cambio[Mes])*(Comercial_Agricola[[#This Row],[Año Económico]]=Tipo_Cambio[Año])*(Tipo_Cambio[$/U$S]))</f>
        <v>22</v>
      </c>
      <c r="AC8" s="809">
        <f>SUMPRODUCT((Comercial_Agricola[[#This Row],[Mes Económico]]=Tipo_Cambio[Mes])*(Comercial_Agricola[[#This Row],[Año Económico]]=Tipo_Cambio[Año])*(Tipo_Cambio[Actualización]))</f>
        <v>1</v>
      </c>
      <c r="AD8" s="808">
        <f>IF(ISNUMBER(Comercial_Agricola[[#This Row],[Fecha Financiero]])=TRUE,MONTH(Comercial_Agricola[[#This Row],[Fecha Financiero]]),0)</f>
        <v>0</v>
      </c>
      <c r="AE8" s="808">
        <f>IF(ISNUMBER(Comercial_Agricola[[#This Row],[Fecha Financiero]])=TRUE,YEAR(Comercial_Agricola[[#This Row],[Fecha Financiero]]),0)</f>
        <v>0</v>
      </c>
      <c r="AF8" s="809">
        <f>SUMPRODUCT((Comercial_Agricola[[#This Row],[Mes Financiero]]=Tipo_Cambio[Mes])*(Comercial_Agricola[[#This Row],[Año Financiero]]=Tipo_Cambio[Año])*(Tipo_Cambio[$/U$S]))</f>
        <v>0</v>
      </c>
      <c r="AG8" s="809">
        <f>SUMPRODUCT((Comercial_Agricola[[#This Row],[Mes Financiero]]=Tipo_Cambio[Mes])*(Comercial_Agricola[[#This Row],[Año Financiero]]=Tipo_Cambio[Año])*(Tipo_Cambio[Actualización]))</f>
        <v>0</v>
      </c>
    </row>
    <row r="9" spans="1:33" x14ac:dyDescent="0.25">
      <c r="D9" s="548">
        <f>DATE(LEFT(Comercial_Agricola[[#This Row],[Campaña]],4),7,1)</f>
        <v>43282</v>
      </c>
      <c r="E9" s="522"/>
      <c r="F9" s="775" t="str">
        <f t="shared" si="0"/>
        <v>2018-2019</v>
      </c>
      <c r="G9" s="673" t="str">
        <f t="shared" si="1"/>
        <v>Stock Granos Inicio</v>
      </c>
      <c r="H9" s="490"/>
      <c r="I9" s="789">
        <f>IFERROR(INDEX(Tabla811[],MATCH(Comercial_Agricola[[#This Row],[Unidad de Negocio]],Tabla811[Unidades de Negocio],0),2),0)</f>
        <v>0</v>
      </c>
      <c r="J9" s="491"/>
      <c r="K9" s="550"/>
      <c r="L9" s="491"/>
      <c r="M9" s="341" t="s">
        <v>3</v>
      </c>
      <c r="N9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9" s="829">
        <f>IFERROR(Comercial_Agricola[[#This Row],[Económico $Corrientes]]/Comercial_Agricola[[#This Row],[Indexación Económico]],0)</f>
        <v>0</v>
      </c>
      <c r="P9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9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9" s="829">
        <f>IFERROR(Comercial_Agricola[[#This Row],[Financiero $Corrientes]]/Comercial_Agricola[[#This Row],[Indexación Financiero]],0)</f>
        <v>0</v>
      </c>
      <c r="S9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9" s="834" t="str">
        <f>IFERROR(INDEX(Comercializacion_Granos_Cuentas[],MATCH(Comercial_Agricola[[#This Row],[Cuenta Contable]],Comercializacion_Granos_Cuentas[Cuenta Contable],0),2),0)</f>
        <v>Stock Inicio</v>
      </c>
      <c r="U9" s="835" t="str">
        <f>IFERROR(INDEX(Comercializacion_Granos_Cuentas[],MATCH(Comercial_Agricola[[#This Row],[Cuenta Contable]],Comercializacion_Granos_Cuentas[Cuenta Contable],0),3),0)</f>
        <v>Si</v>
      </c>
      <c r="V9" s="836">
        <f>IF(Comercial_Agricola[[#This Row],[Signo]]="(-)",1,-1)*IF(Comercial_Agricola[[#This Row],[Stock]]="SI",Comercial_Agricola[[#This Row],[Toneladas]],0)</f>
        <v>0</v>
      </c>
      <c r="W9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9" s="806" t="str">
        <f>IFERROR(INDEX(Tabla9[],MATCH(Comercial_Agricola[[#This Row],[Movimiento]],Tabla9[Movimientos],0),2),0)</f>
        <v>No</v>
      </c>
      <c r="Y9" s="807" t="str">
        <f>IFERROR(INDEX(Tabla9[],MATCH(Comercial_Agricola[[#This Row],[Movimiento]],Tabla9[Movimientos],0),3),0)</f>
        <v>(-)</v>
      </c>
      <c r="Z9" s="808">
        <f>IF(Comercial_Agricola[[#This Row],[Fecha Económico]]=0,0,MONTH(Comercial_Agricola[[#This Row],[Fecha Económico]]))</f>
        <v>7</v>
      </c>
      <c r="AA9" s="808">
        <f>IF(Comercial_Agricola[[#This Row],[Fecha Económico]]=0,0,YEAR(Comercial_Agricola[[#This Row],[Fecha Económico]]))</f>
        <v>2018</v>
      </c>
      <c r="AB9" s="809">
        <f>SUMPRODUCT((Comercial_Agricola[[#This Row],[Mes Económico]]=Tipo_Cambio[Mes])*(Comercial_Agricola[[#This Row],[Año Económico]]=Tipo_Cambio[Año])*(Tipo_Cambio[$/U$S]))</f>
        <v>22</v>
      </c>
      <c r="AC9" s="809">
        <f>SUMPRODUCT((Comercial_Agricola[[#This Row],[Mes Económico]]=Tipo_Cambio[Mes])*(Comercial_Agricola[[#This Row],[Año Económico]]=Tipo_Cambio[Año])*(Tipo_Cambio[Actualización]))</f>
        <v>1</v>
      </c>
      <c r="AD9" s="808">
        <f>IF(ISNUMBER(Comercial_Agricola[[#This Row],[Fecha Financiero]])=TRUE,MONTH(Comercial_Agricola[[#This Row],[Fecha Financiero]]),0)</f>
        <v>0</v>
      </c>
      <c r="AE9" s="808">
        <f>IF(ISNUMBER(Comercial_Agricola[[#This Row],[Fecha Financiero]])=TRUE,YEAR(Comercial_Agricola[[#This Row],[Fecha Financiero]]),0)</f>
        <v>0</v>
      </c>
      <c r="AF9" s="809">
        <f>SUMPRODUCT((Comercial_Agricola[[#This Row],[Mes Financiero]]=Tipo_Cambio[Mes])*(Comercial_Agricola[[#This Row],[Año Financiero]]=Tipo_Cambio[Año])*(Tipo_Cambio[$/U$S]))</f>
        <v>0</v>
      </c>
      <c r="AG9" s="809">
        <f>SUMPRODUCT((Comercial_Agricola[[#This Row],[Mes Financiero]]=Tipo_Cambio[Mes])*(Comercial_Agricola[[#This Row],[Año Financiero]]=Tipo_Cambio[Año])*(Tipo_Cambio[Actualización]))</f>
        <v>0</v>
      </c>
    </row>
    <row r="10" spans="1:33" x14ac:dyDescent="0.25">
      <c r="D10" s="548">
        <f>DATE(LEFT(Comercial_Agricola[[#This Row],[Campaña]],4),7,1)</f>
        <v>43282</v>
      </c>
      <c r="E10" s="522"/>
      <c r="F10" s="775" t="str">
        <f t="shared" si="0"/>
        <v>2018-2019</v>
      </c>
      <c r="G10" s="673" t="str">
        <f t="shared" si="1"/>
        <v>Stock Granos Inicio</v>
      </c>
      <c r="H10" s="490"/>
      <c r="I10" s="789">
        <f>IFERROR(INDEX(Tabla811[],MATCH(Comercial_Agricola[[#This Row],[Unidad de Negocio]],Tabla811[Unidades de Negocio],0),2),0)</f>
        <v>0</v>
      </c>
      <c r="J10" s="491"/>
      <c r="K10" s="550"/>
      <c r="L10" s="491"/>
      <c r="M10" s="341" t="s">
        <v>3</v>
      </c>
      <c r="N10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10" s="829">
        <f>IFERROR(Comercial_Agricola[[#This Row],[Económico $Corrientes]]/Comercial_Agricola[[#This Row],[Indexación Económico]],0)</f>
        <v>0</v>
      </c>
      <c r="P10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10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10" s="829">
        <f>IFERROR(Comercial_Agricola[[#This Row],[Financiero $Corrientes]]/Comercial_Agricola[[#This Row],[Indexación Financiero]],0)</f>
        <v>0</v>
      </c>
      <c r="S10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10" s="834" t="str">
        <f>IFERROR(INDEX(Comercializacion_Granos_Cuentas[],MATCH(Comercial_Agricola[[#This Row],[Cuenta Contable]],Comercializacion_Granos_Cuentas[Cuenta Contable],0),2),0)</f>
        <v>Stock Inicio</v>
      </c>
      <c r="U10" s="835" t="str">
        <f>IFERROR(INDEX(Comercializacion_Granos_Cuentas[],MATCH(Comercial_Agricola[[#This Row],[Cuenta Contable]],Comercializacion_Granos_Cuentas[Cuenta Contable],0),3),0)</f>
        <v>Si</v>
      </c>
      <c r="V10" s="836">
        <f>IF(Comercial_Agricola[[#This Row],[Signo]]="(-)",1,-1)*IF(Comercial_Agricola[[#This Row],[Stock]]="SI",Comercial_Agricola[[#This Row],[Toneladas]],0)</f>
        <v>0</v>
      </c>
      <c r="W10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10" s="806" t="str">
        <f>IFERROR(INDEX(Tabla9[],MATCH(Comercial_Agricola[[#This Row],[Movimiento]],Tabla9[Movimientos],0),2),0)</f>
        <v>No</v>
      </c>
      <c r="Y10" s="807" t="str">
        <f>IFERROR(INDEX(Tabla9[],MATCH(Comercial_Agricola[[#This Row],[Movimiento]],Tabla9[Movimientos],0),3),0)</f>
        <v>(-)</v>
      </c>
      <c r="Z10" s="808">
        <f>IF(Comercial_Agricola[[#This Row],[Fecha Económico]]=0,0,MONTH(Comercial_Agricola[[#This Row],[Fecha Económico]]))</f>
        <v>7</v>
      </c>
      <c r="AA10" s="808">
        <f>IF(Comercial_Agricola[[#This Row],[Fecha Económico]]=0,0,YEAR(Comercial_Agricola[[#This Row],[Fecha Económico]]))</f>
        <v>2018</v>
      </c>
      <c r="AB10" s="809">
        <f>SUMPRODUCT((Comercial_Agricola[[#This Row],[Mes Económico]]=Tipo_Cambio[Mes])*(Comercial_Agricola[[#This Row],[Año Económico]]=Tipo_Cambio[Año])*(Tipo_Cambio[$/U$S]))</f>
        <v>22</v>
      </c>
      <c r="AC10" s="809">
        <f>SUMPRODUCT((Comercial_Agricola[[#This Row],[Mes Económico]]=Tipo_Cambio[Mes])*(Comercial_Agricola[[#This Row],[Año Económico]]=Tipo_Cambio[Año])*(Tipo_Cambio[Actualización]))</f>
        <v>1</v>
      </c>
      <c r="AD10" s="808">
        <f>IF(ISNUMBER(Comercial_Agricola[[#This Row],[Fecha Financiero]])=TRUE,MONTH(Comercial_Agricola[[#This Row],[Fecha Financiero]]),0)</f>
        <v>0</v>
      </c>
      <c r="AE10" s="808">
        <f>IF(ISNUMBER(Comercial_Agricola[[#This Row],[Fecha Financiero]])=TRUE,YEAR(Comercial_Agricola[[#This Row],[Fecha Financiero]]),0)</f>
        <v>0</v>
      </c>
      <c r="AF10" s="809">
        <f>SUMPRODUCT((Comercial_Agricola[[#This Row],[Mes Financiero]]=Tipo_Cambio[Mes])*(Comercial_Agricola[[#This Row],[Año Financiero]]=Tipo_Cambio[Año])*(Tipo_Cambio[$/U$S]))</f>
        <v>0</v>
      </c>
      <c r="AG10" s="809">
        <f>SUMPRODUCT((Comercial_Agricola[[#This Row],[Mes Financiero]]=Tipo_Cambio[Mes])*(Comercial_Agricola[[#This Row],[Año Financiero]]=Tipo_Cambio[Año])*(Tipo_Cambio[Actualización]))</f>
        <v>0</v>
      </c>
    </row>
    <row r="11" spans="1:33" x14ac:dyDescent="0.25">
      <c r="D11" s="548">
        <f>DATE(LEFT(Comercial_Agricola[[#This Row],[Campaña]],4),7,1)</f>
        <v>43282</v>
      </c>
      <c r="E11" s="522"/>
      <c r="F11" s="775" t="str">
        <f t="shared" si="0"/>
        <v>2018-2019</v>
      </c>
      <c r="G11" s="673" t="str">
        <f t="shared" si="1"/>
        <v>Stock Granos Inicio</v>
      </c>
      <c r="H11" s="490"/>
      <c r="I11" s="789">
        <f>IFERROR(INDEX(Tabla811[],MATCH(Comercial_Agricola[[#This Row],[Unidad de Negocio]],Tabla811[Unidades de Negocio],0),2),0)</f>
        <v>0</v>
      </c>
      <c r="J11" s="491"/>
      <c r="K11" s="550"/>
      <c r="L11" s="491"/>
      <c r="M11" s="341" t="s">
        <v>3</v>
      </c>
      <c r="N11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11" s="829">
        <f>IFERROR(Comercial_Agricola[[#This Row],[Económico $Corrientes]]/Comercial_Agricola[[#This Row],[Indexación Económico]],0)</f>
        <v>0</v>
      </c>
      <c r="P11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11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11" s="829">
        <f>IFERROR(Comercial_Agricola[[#This Row],[Financiero $Corrientes]]/Comercial_Agricola[[#This Row],[Indexación Financiero]],0)</f>
        <v>0</v>
      </c>
      <c r="S11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11" s="834" t="str">
        <f>IFERROR(INDEX(Comercializacion_Granos_Cuentas[],MATCH(Comercial_Agricola[[#This Row],[Cuenta Contable]],Comercializacion_Granos_Cuentas[Cuenta Contable],0),2),0)</f>
        <v>Stock Inicio</v>
      </c>
      <c r="U11" s="835" t="str">
        <f>IFERROR(INDEX(Comercializacion_Granos_Cuentas[],MATCH(Comercial_Agricola[[#This Row],[Cuenta Contable]],Comercializacion_Granos_Cuentas[Cuenta Contable],0),3),0)</f>
        <v>Si</v>
      </c>
      <c r="V11" s="836">
        <f>IF(Comercial_Agricola[[#This Row],[Signo]]="(-)",1,-1)*IF(Comercial_Agricola[[#This Row],[Stock]]="SI",Comercial_Agricola[[#This Row],[Toneladas]],0)</f>
        <v>0</v>
      </c>
      <c r="W11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11" s="806" t="str">
        <f>IFERROR(INDEX(Tabla9[],MATCH(Comercial_Agricola[[#This Row],[Movimiento]],Tabla9[Movimientos],0),2),0)</f>
        <v>No</v>
      </c>
      <c r="Y11" s="807" t="str">
        <f>IFERROR(INDEX(Tabla9[],MATCH(Comercial_Agricola[[#This Row],[Movimiento]],Tabla9[Movimientos],0),3),0)</f>
        <v>(-)</v>
      </c>
      <c r="Z11" s="808">
        <f>IF(Comercial_Agricola[[#This Row],[Fecha Económico]]=0,0,MONTH(Comercial_Agricola[[#This Row],[Fecha Económico]]))</f>
        <v>7</v>
      </c>
      <c r="AA11" s="808">
        <f>IF(Comercial_Agricola[[#This Row],[Fecha Económico]]=0,0,YEAR(Comercial_Agricola[[#This Row],[Fecha Económico]]))</f>
        <v>2018</v>
      </c>
      <c r="AB11" s="809">
        <f>SUMPRODUCT((Comercial_Agricola[[#This Row],[Mes Económico]]=Tipo_Cambio[Mes])*(Comercial_Agricola[[#This Row],[Año Económico]]=Tipo_Cambio[Año])*(Tipo_Cambio[$/U$S]))</f>
        <v>22</v>
      </c>
      <c r="AC11" s="809">
        <f>SUMPRODUCT((Comercial_Agricola[[#This Row],[Mes Económico]]=Tipo_Cambio[Mes])*(Comercial_Agricola[[#This Row],[Año Económico]]=Tipo_Cambio[Año])*(Tipo_Cambio[Actualización]))</f>
        <v>1</v>
      </c>
      <c r="AD11" s="808">
        <f>IF(ISNUMBER(Comercial_Agricola[[#This Row],[Fecha Financiero]])=TRUE,MONTH(Comercial_Agricola[[#This Row],[Fecha Financiero]]),0)</f>
        <v>0</v>
      </c>
      <c r="AE11" s="808">
        <f>IF(ISNUMBER(Comercial_Agricola[[#This Row],[Fecha Financiero]])=TRUE,YEAR(Comercial_Agricola[[#This Row],[Fecha Financiero]]),0)</f>
        <v>0</v>
      </c>
      <c r="AF11" s="809">
        <f>SUMPRODUCT((Comercial_Agricola[[#This Row],[Mes Financiero]]=Tipo_Cambio[Mes])*(Comercial_Agricola[[#This Row],[Año Financiero]]=Tipo_Cambio[Año])*(Tipo_Cambio[$/U$S]))</f>
        <v>0</v>
      </c>
      <c r="AG11" s="809">
        <f>SUMPRODUCT((Comercial_Agricola[[#This Row],[Mes Financiero]]=Tipo_Cambio[Mes])*(Comercial_Agricola[[#This Row],[Año Financiero]]=Tipo_Cambio[Año])*(Tipo_Cambio[Actualización]))</f>
        <v>0</v>
      </c>
    </row>
    <row r="12" spans="1:33" x14ac:dyDescent="0.25">
      <c r="D12" s="548">
        <f>DATE(LEFT(Comercial_Agricola[[#This Row],[Campaña]],4),7,1)</f>
        <v>43282</v>
      </c>
      <c r="E12" s="522"/>
      <c r="F12" s="775" t="str">
        <f t="shared" si="0"/>
        <v>2018-2019</v>
      </c>
      <c r="G12" s="673" t="str">
        <f t="shared" si="1"/>
        <v>Stock Granos Inicio</v>
      </c>
      <c r="H12" s="490"/>
      <c r="I12" s="789">
        <f>IFERROR(INDEX(Tabla811[],MATCH(Comercial_Agricola[[#This Row],[Unidad de Negocio]],Tabla811[Unidades de Negocio],0),2),0)</f>
        <v>0</v>
      </c>
      <c r="J12" s="491"/>
      <c r="K12" s="550"/>
      <c r="L12" s="491"/>
      <c r="M12" s="341" t="s">
        <v>3</v>
      </c>
      <c r="N12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12" s="829">
        <f>IFERROR(Comercial_Agricola[[#This Row],[Económico $Corrientes]]/Comercial_Agricola[[#This Row],[Indexación Económico]],0)</f>
        <v>0</v>
      </c>
      <c r="P12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12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12" s="829">
        <f>IFERROR(Comercial_Agricola[[#This Row],[Financiero $Corrientes]]/Comercial_Agricola[[#This Row],[Indexación Financiero]],0)</f>
        <v>0</v>
      </c>
      <c r="S12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12" s="834" t="str">
        <f>IFERROR(INDEX(Comercializacion_Granos_Cuentas[],MATCH(Comercial_Agricola[[#This Row],[Cuenta Contable]],Comercializacion_Granos_Cuentas[Cuenta Contable],0),2),0)</f>
        <v>Stock Inicio</v>
      </c>
      <c r="U12" s="835" t="str">
        <f>IFERROR(INDEX(Comercializacion_Granos_Cuentas[],MATCH(Comercial_Agricola[[#This Row],[Cuenta Contable]],Comercializacion_Granos_Cuentas[Cuenta Contable],0),3),0)</f>
        <v>Si</v>
      </c>
      <c r="V12" s="836">
        <f>IF(Comercial_Agricola[[#This Row],[Signo]]="(-)",1,-1)*IF(Comercial_Agricola[[#This Row],[Stock]]="SI",Comercial_Agricola[[#This Row],[Toneladas]],0)</f>
        <v>0</v>
      </c>
      <c r="W12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12" s="806" t="str">
        <f>IFERROR(INDEX(Tabla9[],MATCH(Comercial_Agricola[[#This Row],[Movimiento]],Tabla9[Movimientos],0),2),0)</f>
        <v>No</v>
      </c>
      <c r="Y12" s="807" t="str">
        <f>IFERROR(INDEX(Tabla9[],MATCH(Comercial_Agricola[[#This Row],[Movimiento]],Tabla9[Movimientos],0),3),0)</f>
        <v>(-)</v>
      </c>
      <c r="Z12" s="808">
        <f>IF(Comercial_Agricola[[#This Row],[Fecha Económico]]=0,0,MONTH(Comercial_Agricola[[#This Row],[Fecha Económico]]))</f>
        <v>7</v>
      </c>
      <c r="AA12" s="808">
        <f>IF(Comercial_Agricola[[#This Row],[Fecha Económico]]=0,0,YEAR(Comercial_Agricola[[#This Row],[Fecha Económico]]))</f>
        <v>2018</v>
      </c>
      <c r="AB12" s="809">
        <f>SUMPRODUCT((Comercial_Agricola[[#This Row],[Mes Económico]]=Tipo_Cambio[Mes])*(Comercial_Agricola[[#This Row],[Año Económico]]=Tipo_Cambio[Año])*(Tipo_Cambio[$/U$S]))</f>
        <v>22</v>
      </c>
      <c r="AC12" s="809">
        <f>SUMPRODUCT((Comercial_Agricola[[#This Row],[Mes Económico]]=Tipo_Cambio[Mes])*(Comercial_Agricola[[#This Row],[Año Económico]]=Tipo_Cambio[Año])*(Tipo_Cambio[Actualización]))</f>
        <v>1</v>
      </c>
      <c r="AD12" s="808">
        <f>IF(ISNUMBER(Comercial_Agricola[[#This Row],[Fecha Financiero]])=TRUE,MONTH(Comercial_Agricola[[#This Row],[Fecha Financiero]]),0)</f>
        <v>0</v>
      </c>
      <c r="AE12" s="808">
        <f>IF(ISNUMBER(Comercial_Agricola[[#This Row],[Fecha Financiero]])=TRUE,YEAR(Comercial_Agricola[[#This Row],[Fecha Financiero]]),0)</f>
        <v>0</v>
      </c>
      <c r="AF12" s="809">
        <f>SUMPRODUCT((Comercial_Agricola[[#This Row],[Mes Financiero]]=Tipo_Cambio[Mes])*(Comercial_Agricola[[#This Row],[Año Financiero]]=Tipo_Cambio[Año])*(Tipo_Cambio[$/U$S]))</f>
        <v>0</v>
      </c>
      <c r="AG12" s="809">
        <f>SUMPRODUCT((Comercial_Agricola[[#This Row],[Mes Financiero]]=Tipo_Cambio[Mes])*(Comercial_Agricola[[#This Row],[Año Financiero]]=Tipo_Cambio[Año])*(Tipo_Cambio[Actualización]))</f>
        <v>0</v>
      </c>
    </row>
    <row r="13" spans="1:33" x14ac:dyDescent="0.25">
      <c r="D13" s="548">
        <f>DATE(LEFT(Comercial_Agricola[[#This Row],[Campaña]],4),7,1)</f>
        <v>43282</v>
      </c>
      <c r="E13" s="522"/>
      <c r="F13" s="775" t="str">
        <f t="shared" si="0"/>
        <v>2018-2019</v>
      </c>
      <c r="G13" s="673" t="str">
        <f t="shared" si="1"/>
        <v>Stock Granos Inicio</v>
      </c>
      <c r="H13" s="490"/>
      <c r="I13" s="789">
        <f>IFERROR(INDEX(Tabla811[],MATCH(Comercial_Agricola[[#This Row],[Unidad de Negocio]],Tabla811[Unidades de Negocio],0),2),0)</f>
        <v>0</v>
      </c>
      <c r="J13" s="491"/>
      <c r="K13" s="550"/>
      <c r="L13" s="491"/>
      <c r="M13" s="341" t="s">
        <v>3</v>
      </c>
      <c r="N13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13" s="829">
        <f>IFERROR(Comercial_Agricola[[#This Row],[Económico $Corrientes]]/Comercial_Agricola[[#This Row],[Indexación Económico]],0)</f>
        <v>0</v>
      </c>
      <c r="P13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13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13" s="829">
        <f>IFERROR(Comercial_Agricola[[#This Row],[Financiero $Corrientes]]/Comercial_Agricola[[#This Row],[Indexación Financiero]],0)</f>
        <v>0</v>
      </c>
      <c r="S13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13" s="834" t="str">
        <f>IFERROR(INDEX(Comercializacion_Granos_Cuentas[],MATCH(Comercial_Agricola[[#This Row],[Cuenta Contable]],Comercializacion_Granos_Cuentas[Cuenta Contable],0),2),0)</f>
        <v>Stock Inicio</v>
      </c>
      <c r="U13" s="835" t="str">
        <f>IFERROR(INDEX(Comercializacion_Granos_Cuentas[],MATCH(Comercial_Agricola[[#This Row],[Cuenta Contable]],Comercializacion_Granos_Cuentas[Cuenta Contable],0),3),0)</f>
        <v>Si</v>
      </c>
      <c r="V13" s="836">
        <f>IF(Comercial_Agricola[[#This Row],[Signo]]="(-)",1,-1)*IF(Comercial_Agricola[[#This Row],[Stock]]="SI",Comercial_Agricola[[#This Row],[Toneladas]],0)</f>
        <v>0</v>
      </c>
      <c r="W13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13" s="806" t="str">
        <f>IFERROR(INDEX(Tabla9[],MATCH(Comercial_Agricola[[#This Row],[Movimiento]],Tabla9[Movimientos],0),2),0)</f>
        <v>No</v>
      </c>
      <c r="Y13" s="807" t="str">
        <f>IFERROR(INDEX(Tabla9[],MATCH(Comercial_Agricola[[#This Row],[Movimiento]],Tabla9[Movimientos],0),3),0)</f>
        <v>(-)</v>
      </c>
      <c r="Z13" s="808">
        <f>IF(Comercial_Agricola[[#This Row],[Fecha Económico]]=0,0,MONTH(Comercial_Agricola[[#This Row],[Fecha Económico]]))</f>
        <v>7</v>
      </c>
      <c r="AA13" s="808">
        <f>IF(Comercial_Agricola[[#This Row],[Fecha Económico]]=0,0,YEAR(Comercial_Agricola[[#This Row],[Fecha Económico]]))</f>
        <v>2018</v>
      </c>
      <c r="AB13" s="809">
        <f>SUMPRODUCT((Comercial_Agricola[[#This Row],[Mes Económico]]=Tipo_Cambio[Mes])*(Comercial_Agricola[[#This Row],[Año Económico]]=Tipo_Cambio[Año])*(Tipo_Cambio[$/U$S]))</f>
        <v>22</v>
      </c>
      <c r="AC13" s="809">
        <f>SUMPRODUCT((Comercial_Agricola[[#This Row],[Mes Económico]]=Tipo_Cambio[Mes])*(Comercial_Agricola[[#This Row],[Año Económico]]=Tipo_Cambio[Año])*(Tipo_Cambio[Actualización]))</f>
        <v>1</v>
      </c>
      <c r="AD13" s="808">
        <f>IF(ISNUMBER(Comercial_Agricola[[#This Row],[Fecha Financiero]])=TRUE,MONTH(Comercial_Agricola[[#This Row],[Fecha Financiero]]),0)</f>
        <v>0</v>
      </c>
      <c r="AE13" s="808">
        <f>IF(ISNUMBER(Comercial_Agricola[[#This Row],[Fecha Financiero]])=TRUE,YEAR(Comercial_Agricola[[#This Row],[Fecha Financiero]]),0)</f>
        <v>0</v>
      </c>
      <c r="AF13" s="809">
        <f>SUMPRODUCT((Comercial_Agricola[[#This Row],[Mes Financiero]]=Tipo_Cambio[Mes])*(Comercial_Agricola[[#This Row],[Año Financiero]]=Tipo_Cambio[Año])*(Tipo_Cambio[$/U$S]))</f>
        <v>0</v>
      </c>
      <c r="AG13" s="809">
        <f>SUMPRODUCT((Comercial_Agricola[[#This Row],[Mes Financiero]]=Tipo_Cambio[Mes])*(Comercial_Agricola[[#This Row],[Año Financiero]]=Tipo_Cambio[Año])*(Tipo_Cambio[Actualización]))</f>
        <v>0</v>
      </c>
    </row>
    <row r="14" spans="1:33" ht="15.75" thickBot="1" x14ac:dyDescent="0.3">
      <c r="B14" s="354" t="s">
        <v>101</v>
      </c>
      <c r="C14" s="70"/>
      <c r="D14" s="636">
        <f>DATE(LEFT(Comercial_Agricola[[#This Row],[Campaña]],4),7,1)</f>
        <v>43282</v>
      </c>
      <c r="E14" s="637"/>
      <c r="F14" s="776" t="str">
        <f t="shared" si="0"/>
        <v>2018-2019</v>
      </c>
      <c r="G14" s="777" t="str">
        <f t="shared" si="1"/>
        <v>Stock Granos Inicio</v>
      </c>
      <c r="H14" s="638"/>
      <c r="I14" s="790">
        <f>IFERROR(INDEX(Tabla811[],MATCH(Comercial_Agricola[[#This Row],[Unidad de Negocio]],Tabla811[Unidades de Negocio],0),2),0)</f>
        <v>0</v>
      </c>
      <c r="J14" s="639"/>
      <c r="K14" s="640"/>
      <c r="L14" s="639"/>
      <c r="M14" s="356" t="s">
        <v>3</v>
      </c>
      <c r="N14" s="837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14" s="838">
        <f>IFERROR(Comercial_Agricola[[#This Row],[Económico $Corrientes]]/Comercial_Agricola[[#This Row],[Indexación Económico]],0)</f>
        <v>0</v>
      </c>
      <c r="P14" s="839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14" s="840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14" s="838">
        <f>IFERROR(Comercial_Agricola[[#This Row],[Financiero $Corrientes]]/Comercial_Agricola[[#This Row],[Indexación Financiero]],0)</f>
        <v>0</v>
      </c>
      <c r="S14" s="83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14" s="841" t="str">
        <f>IFERROR(INDEX(Comercializacion_Granos_Cuentas[],MATCH(Comercial_Agricola[[#This Row],[Cuenta Contable]],Comercializacion_Granos_Cuentas[Cuenta Contable],0),2),0)</f>
        <v>Stock Inicio</v>
      </c>
      <c r="U14" s="842" t="str">
        <f>IFERROR(INDEX(Comercializacion_Granos_Cuentas[],MATCH(Comercial_Agricola[[#This Row],[Cuenta Contable]],Comercializacion_Granos_Cuentas[Cuenta Contable],0),3),0)</f>
        <v>Si</v>
      </c>
      <c r="V14" s="843">
        <f>IF(Comercial_Agricola[[#This Row],[Signo]]="(-)",1,-1)*IF(Comercial_Agricola[[#This Row],[Stock]]="SI",Comercial_Agricola[[#This Row],[Toneladas]],0)</f>
        <v>0</v>
      </c>
      <c r="W14" s="79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14" s="810" t="str">
        <f>IFERROR(INDEX(Tabla9[],MATCH(Comercial_Agricola[[#This Row],[Movimiento]],Tabla9[Movimientos],0),2),0)</f>
        <v>No</v>
      </c>
      <c r="Y14" s="811" t="str">
        <f>IFERROR(INDEX(Tabla9[],MATCH(Comercial_Agricola[[#This Row],[Movimiento]],Tabla9[Movimientos],0),3),0)</f>
        <v>(-)</v>
      </c>
      <c r="Z14" s="812">
        <f>IF(Comercial_Agricola[[#This Row],[Fecha Económico]]=0,0,MONTH(Comercial_Agricola[[#This Row],[Fecha Económico]]))</f>
        <v>7</v>
      </c>
      <c r="AA14" s="812">
        <f>IF(Comercial_Agricola[[#This Row],[Fecha Económico]]=0,0,YEAR(Comercial_Agricola[[#This Row],[Fecha Económico]]))</f>
        <v>2018</v>
      </c>
      <c r="AB14" s="813">
        <f>SUMPRODUCT((Comercial_Agricola[[#This Row],[Mes Económico]]=Tipo_Cambio[Mes])*(Comercial_Agricola[[#This Row],[Año Económico]]=Tipo_Cambio[Año])*(Tipo_Cambio[$/U$S]))</f>
        <v>22</v>
      </c>
      <c r="AC14" s="813">
        <f>SUMPRODUCT((Comercial_Agricola[[#This Row],[Mes Económico]]=Tipo_Cambio[Mes])*(Comercial_Agricola[[#This Row],[Año Económico]]=Tipo_Cambio[Año])*(Tipo_Cambio[Actualización]))</f>
        <v>1</v>
      </c>
      <c r="AD14" s="812">
        <f>IF(ISNUMBER(Comercial_Agricola[[#This Row],[Fecha Financiero]])=TRUE,MONTH(Comercial_Agricola[[#This Row],[Fecha Financiero]]),0)</f>
        <v>0</v>
      </c>
      <c r="AE14" s="812">
        <f>IF(ISNUMBER(Comercial_Agricola[[#This Row],[Fecha Financiero]])=TRUE,YEAR(Comercial_Agricola[[#This Row],[Fecha Financiero]]),0)</f>
        <v>0</v>
      </c>
      <c r="AF14" s="813">
        <f>SUMPRODUCT((Comercial_Agricola[[#This Row],[Mes Financiero]]=Tipo_Cambio[Mes])*(Comercial_Agricola[[#This Row],[Año Financiero]]=Tipo_Cambio[Año])*(Tipo_Cambio[$/U$S]))</f>
        <v>0</v>
      </c>
      <c r="AG14" s="813">
        <f>SUMPRODUCT((Comercial_Agricola[[#This Row],[Mes Financiero]]=Tipo_Cambio[Mes])*(Comercial_Agricola[[#This Row],[Año Financiero]]=Tipo_Cambio[Año])*(Tipo_Cambio[Actualización]))</f>
        <v>0</v>
      </c>
    </row>
    <row r="15" spans="1:33" ht="15.75" outlineLevel="1" thickTop="1" x14ac:dyDescent="0.25">
      <c r="B15" s="1133" t="str">
        <f>Configuración!$P$5</f>
        <v>Producción Agrícola</v>
      </c>
      <c r="D15" s="641">
        <f>IFERROR(SUMPRODUCT((Comercial_Agricola[[#This Row],[Producto]]=Producción_Agricola[Producto])*(Producción_Agricola[Movimiento]=Configuración!$L$7)*(Producción_Agricola[Cantidad Total])*(Comercial_Agricola[[#This Row],[Moneda]]=Producción_Agricola[Moneda])*(Producción_Agricola[Fecha Económico]))/Comercial_Agricola[[#This Row],[Toneladas]],0)</f>
        <v>0</v>
      </c>
      <c r="E15" s="642"/>
      <c r="F15" s="778" t="str">
        <f t="shared" si="0"/>
        <v>2018-2019</v>
      </c>
      <c r="G15" s="779" t="str">
        <f t="shared" ref="G15:G24" si="2">COM_AGR_Ingreso_Cesion</f>
        <v>Producción Agrícola</v>
      </c>
      <c r="H15" s="643"/>
      <c r="I15" s="791">
        <f>IFERROR(INDEX(Tabla811[],MATCH(Comercial_Agricola[[#This Row],[Unidad de Negocio]],Tabla811[Unidades de Negocio],0),2),0)</f>
        <v>0</v>
      </c>
      <c r="J15" s="644"/>
      <c r="K15" s="797">
        <f>SUMPRODUCT((Comercial_Agricola[[#This Row],[Producto]]=Producción_Agricola[Producto])*(Producción_Agricola[Movimiento]=Configuración!$L$7)*(Producción_Agricola[Cantidad Total])*(Comercial_Agricola[[#This Row],[Moneda]]=Producción_Agricola[Moneda])*(Comercial_Agricola[[#This Row],[Campaña]]=Producción_Agricola[Campaña]))</f>
        <v>0</v>
      </c>
      <c r="L15" s="779">
        <f>IFERROR(Comercial_Agricola[[#This Row],[Económico U$S Dólares]]/Comercial_Agricola[[#This Row],[Toneladas]],0)</f>
        <v>0</v>
      </c>
      <c r="M15" s="357" t="s">
        <v>3</v>
      </c>
      <c r="N15" s="844">
        <f>-IFERROR(SUMPRODUCT((Comercial_Agricola[[#This Row],[Producto]]=Producción_Agricola[Producto])*(Producción_Agricola[Movimiento]=Configuración!$L$7)*(Producción_Agricola[Económico $Corrientes])*(Comercial_Agricola[[#This Row],[Campaña]]=Producción_Agricola[Campaña])),0)</f>
        <v>0</v>
      </c>
      <c r="O15" s="845">
        <f>IFERROR(Comercial_Agricola[[#This Row],[Económico $Corrientes]]/Comercial_Agricola[[#This Row],[Indexación Económico]],0)</f>
        <v>0</v>
      </c>
      <c r="P15" s="846">
        <f>-IFERROR(SUMPRODUCT((Comercial_Agricola[[#This Row],[Producto]]=Producción_Agricola[Producto])*(Producción_Agricola[Movimiento]=Configuración!$L$7)*(Producción_Agricola[Económico U$S Dólares])*(Comercial_Agricola[[#This Row],[Campaña]]=Producción_Agricola[Campaña])),0)</f>
        <v>0</v>
      </c>
      <c r="Q15" s="845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15" s="845">
        <f>IFERROR(Comercial_Agricola[[#This Row],[Financiero $Corrientes]]/Comercial_Agricola[[#This Row],[Indexación Financiero]],0)</f>
        <v>0</v>
      </c>
      <c r="S15" s="845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15" s="847" t="str">
        <f>IFERROR(INDEX(Comercializacion_Granos_Cuentas[],MATCH(Comercial_Agricola[[#This Row],[Cuenta Contable]],Comercializacion_Granos_Cuentas[Cuenta Contable],0),2),0)</f>
        <v>Egreso Cesión</v>
      </c>
      <c r="U15" s="814" t="str">
        <f>IFERROR(INDEX(Comercializacion_Granos_Cuentas[],MATCH(Comercial_Agricola[[#This Row],[Cuenta Contable]],Comercializacion_Granos_Cuentas[Cuenta Contable],0),3),0)</f>
        <v>Si</v>
      </c>
      <c r="V15" s="848">
        <f>IF(Comercial_Agricola[[#This Row],[Signo]]="(-)",1,-1)*IF(Comercial_Agricola[[#This Row],[Stock]]="SI",Comercial_Agricola[[#This Row],[Toneladas]],0)</f>
        <v>0</v>
      </c>
      <c r="W15" s="800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15" s="814" t="str">
        <f>IFERROR(INDEX(Tabla9[],MATCH(Comercial_Agricola[[#This Row],[Movimiento]],Tabla9[Movimientos],0),2),0)</f>
        <v>No</v>
      </c>
      <c r="Y15" s="815" t="str">
        <f>IFERROR(INDEX(Tabla9[],MATCH(Comercial_Agricola[[#This Row],[Movimiento]],Tabla9[Movimientos],0),3),0)</f>
        <v>(-)</v>
      </c>
      <c r="Z15" s="816">
        <f>IF(Comercial_Agricola[[#This Row],[Fecha Económico]]=0,0,MONTH(Comercial_Agricola[[#This Row],[Fecha Económico]]))</f>
        <v>0</v>
      </c>
      <c r="AA15" s="816">
        <f>IF(Comercial_Agricola[[#This Row],[Fecha Económico]]=0,0,YEAR(Comercial_Agricola[[#This Row],[Fecha Económico]]))</f>
        <v>0</v>
      </c>
      <c r="AB15" s="817">
        <f>SUMPRODUCT((Comercial_Agricola[[#This Row],[Mes Económico]]=Tipo_Cambio[Mes])*(Comercial_Agricola[[#This Row],[Año Económico]]=Tipo_Cambio[Año])*(Tipo_Cambio[$/U$S]))</f>
        <v>0</v>
      </c>
      <c r="AC15" s="817">
        <f>SUMPRODUCT((Comercial_Agricola[[#This Row],[Mes Económico]]=Tipo_Cambio[Mes])*(Comercial_Agricola[[#This Row],[Año Económico]]=Tipo_Cambio[Año])*(Tipo_Cambio[Actualización]))</f>
        <v>0</v>
      </c>
      <c r="AD15" s="816">
        <f>IF(ISNUMBER(Comercial_Agricola[[#This Row],[Fecha Financiero]])=TRUE,MONTH(Comercial_Agricola[[#This Row],[Fecha Financiero]]),0)</f>
        <v>0</v>
      </c>
      <c r="AE15" s="816">
        <f>IF(ISNUMBER(Comercial_Agricola[[#This Row],[Fecha Financiero]])=TRUE,YEAR(Comercial_Agricola[[#This Row],[Fecha Financiero]]),0)</f>
        <v>0</v>
      </c>
      <c r="AF15" s="817">
        <f>SUMPRODUCT((Comercial_Agricola[[#This Row],[Mes Financiero]]=Tipo_Cambio[Mes])*(Comercial_Agricola[[#This Row],[Año Financiero]]=Tipo_Cambio[Año])*(Tipo_Cambio[$/U$S]))</f>
        <v>0</v>
      </c>
      <c r="AG15" s="817">
        <f>SUMPRODUCT((Comercial_Agricola[[#This Row],[Mes Financiero]]=Tipo_Cambio[Mes])*(Comercial_Agricola[[#This Row],[Año Financiero]]=Tipo_Cambio[Año])*(Tipo_Cambio[Actualización]))</f>
        <v>0</v>
      </c>
    </row>
    <row r="16" spans="1:33" outlineLevel="1" x14ac:dyDescent="0.25">
      <c r="B16" s="1133"/>
      <c r="D16" s="548">
        <f>IFERROR(SUMPRODUCT((Comercial_Agricola[[#This Row],[Producto]]=Producción_Agricola[Producto])*(Producción_Agricola[Movimiento]=Configuración!$L$7)*(Producción_Agricola[Cantidad Total])*(Comercial_Agricola[[#This Row],[Moneda]]=Producción_Agricola[Moneda])*(Producción_Agricola[Fecha Económico]))/Comercial_Agricola[[#This Row],[Toneladas]],0)</f>
        <v>0</v>
      </c>
      <c r="E16" s="522"/>
      <c r="F16" s="775" t="str">
        <f t="shared" si="0"/>
        <v>2018-2019</v>
      </c>
      <c r="G16" s="673" t="str">
        <f t="shared" si="2"/>
        <v>Producción Agrícola</v>
      </c>
      <c r="H16" s="490"/>
      <c r="I16" s="788">
        <f>IFERROR(INDEX(Tabla811[],MATCH(Comercial_Agricola[[#This Row],[Unidad de Negocio]],Tabla811[Unidades de Negocio],0),2),0)</f>
        <v>0</v>
      </c>
      <c r="J16" s="491"/>
      <c r="K16" s="690">
        <f>SUMPRODUCT((Comercial_Agricola[[#This Row],[Producto]]=Producción_Agricola[Producto])*(Producción_Agricola[Movimiento]=Configuración!$L$7)*(Producción_Agricola[Cantidad Total])*(Comercial_Agricola[[#This Row],[Moneda]]=Producción_Agricola[Moneda])*(Comercial_Agricola[[#This Row],[Campaña]]=Producción_Agricola[Campaña]))</f>
        <v>0</v>
      </c>
      <c r="L16" s="673">
        <f>IFERROR(Comercial_Agricola[[#This Row],[Económico U$S Dólares]]/Comercial_Agricola[[#This Row],[Toneladas]],0)</f>
        <v>0</v>
      </c>
      <c r="M16" s="341" t="s">
        <v>3</v>
      </c>
      <c r="N16" s="828">
        <f>-IFERROR(SUMPRODUCT((Comercial_Agricola[[#This Row],[Producto]]=Producción_Agricola[Producto])*(Producción_Agricola[Movimiento]=Configuración!$L$7)*(Producción_Agricola[Económico $Corrientes])*(Comercial_Agricola[[#This Row],[Campaña]]=Producción_Agricola[Campaña])),0)</f>
        <v>0</v>
      </c>
      <c r="O16" s="829">
        <f>IFERROR(Comercial_Agricola[[#This Row],[Económico $Corrientes]]/Comercial_Agricola[[#This Row],[Indexación Económico]],0)</f>
        <v>0</v>
      </c>
      <c r="P16" s="830">
        <f>-IFERROR(SUMPRODUCT((Comercial_Agricola[[#This Row],[Producto]]=Producción_Agricola[Producto])*(Producción_Agricola[Movimiento]=Configuración!$L$7)*(Producción_Agricola[Económico U$S Dólares])*(Comercial_Agricola[[#This Row],[Campaña]]=Producción_Agricola[Campaña])),0)</f>
        <v>0</v>
      </c>
      <c r="Q16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16" s="829">
        <f>IFERROR(Comercial_Agricola[[#This Row],[Financiero $Corrientes]]/Comercial_Agricola[[#This Row],[Indexación Financiero]],0)</f>
        <v>0</v>
      </c>
      <c r="S16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16" s="831" t="str">
        <f>IFERROR(INDEX(Comercializacion_Granos_Cuentas[],MATCH(Comercial_Agricola[[#This Row],[Cuenta Contable]],Comercializacion_Granos_Cuentas[Cuenta Contable],0),2),0)</f>
        <v>Egreso Cesión</v>
      </c>
      <c r="U16" s="806" t="str">
        <f>IFERROR(INDEX(Comercializacion_Granos_Cuentas[],MATCH(Comercial_Agricola[[#This Row],[Cuenta Contable]],Comercializacion_Granos_Cuentas[Cuenta Contable],0),3),0)</f>
        <v>Si</v>
      </c>
      <c r="V16" s="832">
        <f>IF(Comercial_Agricola[[#This Row],[Signo]]="(-)",1,-1)*IF(Comercial_Agricola[[#This Row],[Stock]]="SI",Comercial_Agricola[[#This Row],[Toneladas]],0)</f>
        <v>0</v>
      </c>
      <c r="W16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16" s="806" t="str">
        <f>IFERROR(INDEX(Tabla9[],MATCH(Comercial_Agricola[[#This Row],[Movimiento]],Tabla9[Movimientos],0),2),0)</f>
        <v>No</v>
      </c>
      <c r="Y16" s="807" t="str">
        <f>IFERROR(INDEX(Tabla9[],MATCH(Comercial_Agricola[[#This Row],[Movimiento]],Tabla9[Movimientos],0),3),0)</f>
        <v>(-)</v>
      </c>
      <c r="Z16" s="808">
        <f>IF(Comercial_Agricola[[#This Row],[Fecha Económico]]=0,0,MONTH(Comercial_Agricola[[#This Row],[Fecha Económico]]))</f>
        <v>0</v>
      </c>
      <c r="AA16" s="808">
        <f>IF(Comercial_Agricola[[#This Row],[Fecha Económico]]=0,0,YEAR(Comercial_Agricola[[#This Row],[Fecha Económico]]))</f>
        <v>0</v>
      </c>
      <c r="AB16" s="809">
        <f>SUMPRODUCT((Comercial_Agricola[[#This Row],[Mes Económico]]=Tipo_Cambio[Mes])*(Comercial_Agricola[[#This Row],[Año Económico]]=Tipo_Cambio[Año])*(Tipo_Cambio[$/U$S]))</f>
        <v>0</v>
      </c>
      <c r="AC16" s="809">
        <f>SUMPRODUCT((Comercial_Agricola[[#This Row],[Mes Económico]]=Tipo_Cambio[Mes])*(Comercial_Agricola[[#This Row],[Año Económico]]=Tipo_Cambio[Año])*(Tipo_Cambio[Actualización]))</f>
        <v>0</v>
      </c>
      <c r="AD16" s="808">
        <f>IF(ISNUMBER(Comercial_Agricola[[#This Row],[Fecha Financiero]])=TRUE,MONTH(Comercial_Agricola[[#This Row],[Fecha Financiero]]),0)</f>
        <v>0</v>
      </c>
      <c r="AE16" s="808">
        <f>IF(ISNUMBER(Comercial_Agricola[[#This Row],[Fecha Financiero]])=TRUE,YEAR(Comercial_Agricola[[#This Row],[Fecha Financiero]]),0)</f>
        <v>0</v>
      </c>
      <c r="AF16" s="809">
        <f>SUMPRODUCT((Comercial_Agricola[[#This Row],[Mes Financiero]]=Tipo_Cambio[Mes])*(Comercial_Agricola[[#This Row],[Año Financiero]]=Tipo_Cambio[Año])*(Tipo_Cambio[$/U$S]))</f>
        <v>0</v>
      </c>
      <c r="AG16" s="809">
        <f>SUMPRODUCT((Comercial_Agricola[[#This Row],[Mes Financiero]]=Tipo_Cambio[Mes])*(Comercial_Agricola[[#This Row],[Año Financiero]]=Tipo_Cambio[Año])*(Tipo_Cambio[Actualización]))</f>
        <v>0</v>
      </c>
    </row>
    <row r="17" spans="1:33" outlineLevel="1" x14ac:dyDescent="0.25">
      <c r="B17" s="1133"/>
      <c r="D17" s="548">
        <f>IFERROR(SUMPRODUCT((Comercial_Agricola[[#This Row],[Producto]]=Producción_Agricola[Producto])*(Producción_Agricola[Movimiento]=Configuración!$L$7)*(Producción_Agricola[Cantidad Total])*(Comercial_Agricola[[#This Row],[Moneda]]=Producción_Agricola[Moneda])*(Producción_Agricola[Fecha Económico]))/Comercial_Agricola[[#This Row],[Toneladas]],0)</f>
        <v>0</v>
      </c>
      <c r="E17" s="522"/>
      <c r="F17" s="775" t="str">
        <f t="shared" si="0"/>
        <v>2018-2019</v>
      </c>
      <c r="G17" s="673" t="str">
        <f t="shared" si="2"/>
        <v>Producción Agrícola</v>
      </c>
      <c r="H17" s="490"/>
      <c r="I17" s="788">
        <f>IFERROR(INDEX(Tabla811[],MATCH(Comercial_Agricola[[#This Row],[Unidad de Negocio]],Tabla811[Unidades de Negocio],0),2),0)</f>
        <v>0</v>
      </c>
      <c r="J17" s="491"/>
      <c r="K17" s="690">
        <f>SUMPRODUCT((Comercial_Agricola[[#This Row],[Producto]]=Producción_Agricola[Producto])*(Producción_Agricola[Movimiento]=Configuración!$L$7)*(Producción_Agricola[Cantidad Total])*(Comercial_Agricola[[#This Row],[Moneda]]=Producción_Agricola[Moneda])*(Comercial_Agricola[[#This Row],[Campaña]]=Producción_Agricola[Campaña]))</f>
        <v>0</v>
      </c>
      <c r="L17" s="673">
        <f>IFERROR(Comercial_Agricola[[#This Row],[Económico U$S Dólares]]/Comercial_Agricola[[#This Row],[Toneladas]],0)</f>
        <v>0</v>
      </c>
      <c r="M17" s="341" t="s">
        <v>3</v>
      </c>
      <c r="N17" s="828">
        <f>-IFERROR(SUMPRODUCT((Comercial_Agricola[[#This Row],[Producto]]=Producción_Agricola[Producto])*(Producción_Agricola[Movimiento]=Configuración!$L$7)*(Producción_Agricola[Económico $Corrientes])*(Comercial_Agricola[[#This Row],[Campaña]]=Producción_Agricola[Campaña])),0)</f>
        <v>0</v>
      </c>
      <c r="O17" s="829">
        <f>IFERROR(Comercial_Agricola[[#This Row],[Económico $Corrientes]]/Comercial_Agricola[[#This Row],[Indexación Económico]],0)</f>
        <v>0</v>
      </c>
      <c r="P17" s="830">
        <f>-IFERROR(SUMPRODUCT((Comercial_Agricola[[#This Row],[Producto]]=Producción_Agricola[Producto])*(Producción_Agricola[Movimiento]=Configuración!$L$7)*(Producción_Agricola[Económico U$S Dólares])*(Comercial_Agricola[[#This Row],[Campaña]]=Producción_Agricola[Campaña])),0)</f>
        <v>0</v>
      </c>
      <c r="Q17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17" s="829">
        <f>IFERROR(Comercial_Agricola[[#This Row],[Financiero $Corrientes]]/Comercial_Agricola[[#This Row],[Indexación Financiero]],0)</f>
        <v>0</v>
      </c>
      <c r="S17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17" s="831" t="str">
        <f>IFERROR(INDEX(Comercializacion_Granos_Cuentas[],MATCH(Comercial_Agricola[[#This Row],[Cuenta Contable]],Comercializacion_Granos_Cuentas[Cuenta Contable],0),2),0)</f>
        <v>Egreso Cesión</v>
      </c>
      <c r="U17" s="806" t="str">
        <f>IFERROR(INDEX(Comercializacion_Granos_Cuentas[],MATCH(Comercial_Agricola[[#This Row],[Cuenta Contable]],Comercializacion_Granos_Cuentas[Cuenta Contable],0),3),0)</f>
        <v>Si</v>
      </c>
      <c r="V17" s="832">
        <f>IF(Comercial_Agricola[[#This Row],[Signo]]="(-)",1,-1)*IF(Comercial_Agricola[[#This Row],[Stock]]="SI",Comercial_Agricola[[#This Row],[Toneladas]],0)</f>
        <v>0</v>
      </c>
      <c r="W17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17" s="806" t="str">
        <f>IFERROR(INDEX(Tabla9[],MATCH(Comercial_Agricola[[#This Row],[Movimiento]],Tabla9[Movimientos],0),2),0)</f>
        <v>No</v>
      </c>
      <c r="Y17" s="807" t="str">
        <f>IFERROR(INDEX(Tabla9[],MATCH(Comercial_Agricola[[#This Row],[Movimiento]],Tabla9[Movimientos],0),3),0)</f>
        <v>(-)</v>
      </c>
      <c r="Z17" s="808">
        <f>IF(Comercial_Agricola[[#This Row],[Fecha Económico]]=0,0,MONTH(Comercial_Agricola[[#This Row],[Fecha Económico]]))</f>
        <v>0</v>
      </c>
      <c r="AA17" s="808">
        <f>IF(Comercial_Agricola[[#This Row],[Fecha Económico]]=0,0,YEAR(Comercial_Agricola[[#This Row],[Fecha Económico]]))</f>
        <v>0</v>
      </c>
      <c r="AB17" s="809">
        <f>SUMPRODUCT((Comercial_Agricola[[#This Row],[Mes Económico]]=Tipo_Cambio[Mes])*(Comercial_Agricola[[#This Row],[Año Económico]]=Tipo_Cambio[Año])*(Tipo_Cambio[$/U$S]))</f>
        <v>0</v>
      </c>
      <c r="AC17" s="809">
        <f>SUMPRODUCT((Comercial_Agricola[[#This Row],[Mes Económico]]=Tipo_Cambio[Mes])*(Comercial_Agricola[[#This Row],[Año Económico]]=Tipo_Cambio[Año])*(Tipo_Cambio[Actualización]))</f>
        <v>0</v>
      </c>
      <c r="AD17" s="808">
        <f>IF(ISNUMBER(Comercial_Agricola[[#This Row],[Fecha Financiero]])=TRUE,MONTH(Comercial_Agricola[[#This Row],[Fecha Financiero]]),0)</f>
        <v>0</v>
      </c>
      <c r="AE17" s="808">
        <f>IF(ISNUMBER(Comercial_Agricola[[#This Row],[Fecha Financiero]])=TRUE,YEAR(Comercial_Agricola[[#This Row],[Fecha Financiero]]),0)</f>
        <v>0</v>
      </c>
      <c r="AF17" s="809">
        <f>SUMPRODUCT((Comercial_Agricola[[#This Row],[Mes Financiero]]=Tipo_Cambio[Mes])*(Comercial_Agricola[[#This Row],[Año Financiero]]=Tipo_Cambio[Año])*(Tipo_Cambio[$/U$S]))</f>
        <v>0</v>
      </c>
      <c r="AG17" s="809">
        <f>SUMPRODUCT((Comercial_Agricola[[#This Row],[Mes Financiero]]=Tipo_Cambio[Mes])*(Comercial_Agricola[[#This Row],[Año Financiero]]=Tipo_Cambio[Año])*(Tipo_Cambio[Actualización]))</f>
        <v>0</v>
      </c>
    </row>
    <row r="18" spans="1:33" outlineLevel="1" x14ac:dyDescent="0.25">
      <c r="B18" s="362" t="s">
        <v>460</v>
      </c>
      <c r="D18" s="548">
        <f>IFERROR(SUMPRODUCT((Comercial_Agricola[[#This Row],[Producto]]=Producción_Agricola[Producto])*(Producción_Agricola[Movimiento]=Configuración!$L$7)*(Producción_Agricola[Cantidad Total])*(Comercial_Agricola[[#This Row],[Moneda]]=Producción_Agricola[Moneda])*(Producción_Agricola[Fecha Económico]))/Comercial_Agricola[[#This Row],[Toneladas]],0)</f>
        <v>0</v>
      </c>
      <c r="E18" s="522"/>
      <c r="F18" s="775" t="str">
        <f t="shared" si="0"/>
        <v>2018-2019</v>
      </c>
      <c r="G18" s="673" t="str">
        <f t="shared" si="2"/>
        <v>Producción Agrícola</v>
      </c>
      <c r="H18" s="490"/>
      <c r="I18" s="788">
        <f>IFERROR(INDEX(Tabla811[],MATCH(Comercial_Agricola[[#This Row],[Unidad de Negocio]],Tabla811[Unidades de Negocio],0),2),0)</f>
        <v>0</v>
      </c>
      <c r="J18" s="491"/>
      <c r="K18" s="690">
        <f>SUMPRODUCT((Comercial_Agricola[[#This Row],[Producto]]=Producción_Agricola[Producto])*(Producción_Agricola[Movimiento]=Configuración!$L$7)*(Producción_Agricola[Cantidad Total])*(Comercial_Agricola[[#This Row],[Moneda]]=Producción_Agricola[Moneda])*(Comercial_Agricola[[#This Row],[Campaña]]=Producción_Agricola[Campaña]))</f>
        <v>0</v>
      </c>
      <c r="L18" s="673">
        <f>IFERROR(Comercial_Agricola[[#This Row],[Económico U$S Dólares]]/Comercial_Agricola[[#This Row],[Toneladas]],0)</f>
        <v>0</v>
      </c>
      <c r="M18" s="341" t="s">
        <v>3</v>
      </c>
      <c r="N18" s="828">
        <f>-IFERROR(SUMPRODUCT((Comercial_Agricola[[#This Row],[Producto]]=Producción_Agricola[Producto])*(Producción_Agricola[Movimiento]=Configuración!$L$7)*(Producción_Agricola[Económico $Corrientes])*(Comercial_Agricola[[#This Row],[Campaña]]=Producción_Agricola[Campaña])),0)</f>
        <v>0</v>
      </c>
      <c r="O18" s="829">
        <f>IFERROR(Comercial_Agricola[[#This Row],[Económico $Corrientes]]/Comercial_Agricola[[#This Row],[Indexación Económico]],0)</f>
        <v>0</v>
      </c>
      <c r="P18" s="830">
        <f>-IFERROR(SUMPRODUCT((Comercial_Agricola[[#This Row],[Producto]]=Producción_Agricola[Producto])*(Producción_Agricola[Movimiento]=Configuración!$L$7)*(Producción_Agricola[Económico U$S Dólares])*(Comercial_Agricola[[#This Row],[Campaña]]=Producción_Agricola[Campaña])),0)</f>
        <v>0</v>
      </c>
      <c r="Q18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18" s="829">
        <f>IFERROR(Comercial_Agricola[[#This Row],[Financiero $Corrientes]]/Comercial_Agricola[[#This Row],[Indexación Financiero]],0)</f>
        <v>0</v>
      </c>
      <c r="S18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18" s="831" t="str">
        <f>IFERROR(INDEX(Comercializacion_Granos_Cuentas[],MATCH(Comercial_Agricola[[#This Row],[Cuenta Contable]],Comercializacion_Granos_Cuentas[Cuenta Contable],0),2),0)</f>
        <v>Egreso Cesión</v>
      </c>
      <c r="U18" s="806" t="str">
        <f>IFERROR(INDEX(Comercializacion_Granos_Cuentas[],MATCH(Comercial_Agricola[[#This Row],[Cuenta Contable]],Comercializacion_Granos_Cuentas[Cuenta Contable],0),3),0)</f>
        <v>Si</v>
      </c>
      <c r="V18" s="832">
        <f>IF(Comercial_Agricola[[#This Row],[Signo]]="(-)",1,-1)*IF(Comercial_Agricola[[#This Row],[Stock]]="SI",Comercial_Agricola[[#This Row],[Toneladas]],0)</f>
        <v>0</v>
      </c>
      <c r="W18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18" s="806" t="str">
        <f>IFERROR(INDEX(Tabla9[],MATCH(Comercial_Agricola[[#This Row],[Movimiento]],Tabla9[Movimientos],0),2),0)</f>
        <v>No</v>
      </c>
      <c r="Y18" s="807" t="str">
        <f>IFERROR(INDEX(Tabla9[],MATCH(Comercial_Agricola[[#This Row],[Movimiento]],Tabla9[Movimientos],0),3),0)</f>
        <v>(-)</v>
      </c>
      <c r="Z18" s="808">
        <f>IF(Comercial_Agricola[[#This Row],[Fecha Económico]]=0,0,MONTH(Comercial_Agricola[[#This Row],[Fecha Económico]]))</f>
        <v>0</v>
      </c>
      <c r="AA18" s="808">
        <f>IF(Comercial_Agricola[[#This Row],[Fecha Económico]]=0,0,YEAR(Comercial_Agricola[[#This Row],[Fecha Económico]]))</f>
        <v>0</v>
      </c>
      <c r="AB18" s="809">
        <f>SUMPRODUCT((Comercial_Agricola[[#This Row],[Mes Económico]]=Tipo_Cambio[Mes])*(Comercial_Agricola[[#This Row],[Año Económico]]=Tipo_Cambio[Año])*(Tipo_Cambio[$/U$S]))</f>
        <v>0</v>
      </c>
      <c r="AC18" s="809">
        <f>SUMPRODUCT((Comercial_Agricola[[#This Row],[Mes Económico]]=Tipo_Cambio[Mes])*(Comercial_Agricola[[#This Row],[Año Económico]]=Tipo_Cambio[Año])*(Tipo_Cambio[Actualización]))</f>
        <v>0</v>
      </c>
      <c r="AD18" s="808">
        <f>IF(ISNUMBER(Comercial_Agricola[[#This Row],[Fecha Financiero]])=TRUE,MONTH(Comercial_Agricola[[#This Row],[Fecha Financiero]]),0)</f>
        <v>0</v>
      </c>
      <c r="AE18" s="808">
        <f>IF(ISNUMBER(Comercial_Agricola[[#This Row],[Fecha Financiero]])=TRUE,YEAR(Comercial_Agricola[[#This Row],[Fecha Financiero]]),0)</f>
        <v>0</v>
      </c>
      <c r="AF18" s="809">
        <f>SUMPRODUCT((Comercial_Agricola[[#This Row],[Mes Financiero]]=Tipo_Cambio[Mes])*(Comercial_Agricola[[#This Row],[Año Financiero]]=Tipo_Cambio[Año])*(Tipo_Cambio[$/U$S]))</f>
        <v>0</v>
      </c>
      <c r="AG18" s="809">
        <f>SUMPRODUCT((Comercial_Agricola[[#This Row],[Mes Financiero]]=Tipo_Cambio[Mes])*(Comercial_Agricola[[#This Row],[Año Financiero]]=Tipo_Cambio[Año])*(Tipo_Cambio[Actualización]))</f>
        <v>0</v>
      </c>
    </row>
    <row r="19" spans="1:33" outlineLevel="1" x14ac:dyDescent="0.25">
      <c r="D19" s="548">
        <f>IFERROR(SUMPRODUCT((Comercial_Agricola[[#This Row],[Producto]]=Producción_Agricola[Producto])*(Producción_Agricola[Movimiento]=Configuración!$L$7)*(Producción_Agricola[Cantidad Total])*(Comercial_Agricola[[#This Row],[Moneda]]=Producción_Agricola[Moneda])*(Producción_Agricola[Fecha Económico]))/Comercial_Agricola[[#This Row],[Toneladas]],0)</f>
        <v>0</v>
      </c>
      <c r="E19" s="522"/>
      <c r="F19" s="775" t="str">
        <f t="shared" si="0"/>
        <v>2018-2019</v>
      </c>
      <c r="G19" s="673" t="str">
        <f t="shared" si="2"/>
        <v>Producción Agrícola</v>
      </c>
      <c r="H19" s="490"/>
      <c r="I19" s="788">
        <f>IFERROR(INDEX(Tabla811[],MATCH(Comercial_Agricola[[#This Row],[Unidad de Negocio]],Tabla811[Unidades de Negocio],0),2),0)</f>
        <v>0</v>
      </c>
      <c r="J19" s="491"/>
      <c r="K19" s="690">
        <f>SUMPRODUCT((Comercial_Agricola[[#This Row],[Producto]]=Producción_Agricola[Producto])*(Producción_Agricola[Movimiento]=Configuración!$L$7)*(Producción_Agricola[Cantidad Total])*(Comercial_Agricola[[#This Row],[Moneda]]=Producción_Agricola[Moneda])*(Comercial_Agricola[[#This Row],[Campaña]]=Producción_Agricola[Campaña]))</f>
        <v>0</v>
      </c>
      <c r="L19" s="673">
        <f>IFERROR(Comercial_Agricola[[#This Row],[Económico U$S Dólares]]/Comercial_Agricola[[#This Row],[Toneladas]],0)</f>
        <v>0</v>
      </c>
      <c r="M19" s="341" t="s">
        <v>3</v>
      </c>
      <c r="N19" s="828">
        <f>-IFERROR(SUMPRODUCT((Comercial_Agricola[[#This Row],[Producto]]=Producción_Agricola[Producto])*(Producción_Agricola[Movimiento]=Configuración!$L$7)*(Producción_Agricola[Económico $Corrientes])*(Comercial_Agricola[[#This Row],[Campaña]]=Producción_Agricola[Campaña])),0)</f>
        <v>0</v>
      </c>
      <c r="O19" s="829">
        <f>IFERROR(Comercial_Agricola[[#This Row],[Económico $Corrientes]]/Comercial_Agricola[[#This Row],[Indexación Económico]],0)</f>
        <v>0</v>
      </c>
      <c r="P19" s="830">
        <f>-IFERROR(SUMPRODUCT((Comercial_Agricola[[#This Row],[Producto]]=Producción_Agricola[Producto])*(Producción_Agricola[Movimiento]=Configuración!$L$7)*(Producción_Agricola[Económico U$S Dólares])*(Comercial_Agricola[[#This Row],[Campaña]]=Producción_Agricola[Campaña])),0)</f>
        <v>0</v>
      </c>
      <c r="Q19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19" s="829">
        <f>IFERROR(Comercial_Agricola[[#This Row],[Financiero $Corrientes]]/Comercial_Agricola[[#This Row],[Indexación Financiero]],0)</f>
        <v>0</v>
      </c>
      <c r="S19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19" s="831" t="str">
        <f>IFERROR(INDEX(Comercializacion_Granos_Cuentas[],MATCH(Comercial_Agricola[[#This Row],[Cuenta Contable]],Comercializacion_Granos_Cuentas[Cuenta Contable],0),2),0)</f>
        <v>Egreso Cesión</v>
      </c>
      <c r="U19" s="806" t="str">
        <f>IFERROR(INDEX(Comercializacion_Granos_Cuentas[],MATCH(Comercial_Agricola[[#This Row],[Cuenta Contable]],Comercializacion_Granos_Cuentas[Cuenta Contable],0),3),0)</f>
        <v>Si</v>
      </c>
      <c r="V19" s="832">
        <f>IF(Comercial_Agricola[[#This Row],[Signo]]="(-)",1,-1)*IF(Comercial_Agricola[[#This Row],[Stock]]="SI",Comercial_Agricola[[#This Row],[Toneladas]],0)</f>
        <v>0</v>
      </c>
      <c r="W19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19" s="806" t="str">
        <f>IFERROR(INDEX(Tabla9[],MATCH(Comercial_Agricola[[#This Row],[Movimiento]],Tabla9[Movimientos],0),2),0)</f>
        <v>No</v>
      </c>
      <c r="Y19" s="807" t="str">
        <f>IFERROR(INDEX(Tabla9[],MATCH(Comercial_Agricola[[#This Row],[Movimiento]],Tabla9[Movimientos],0),3),0)</f>
        <v>(-)</v>
      </c>
      <c r="Z19" s="808">
        <f>IF(Comercial_Agricola[[#This Row],[Fecha Económico]]=0,0,MONTH(Comercial_Agricola[[#This Row],[Fecha Económico]]))</f>
        <v>0</v>
      </c>
      <c r="AA19" s="808">
        <f>IF(Comercial_Agricola[[#This Row],[Fecha Económico]]=0,0,YEAR(Comercial_Agricola[[#This Row],[Fecha Económico]]))</f>
        <v>0</v>
      </c>
      <c r="AB19" s="809">
        <f>SUMPRODUCT((Comercial_Agricola[[#This Row],[Mes Económico]]=Tipo_Cambio[Mes])*(Comercial_Agricola[[#This Row],[Año Económico]]=Tipo_Cambio[Año])*(Tipo_Cambio[$/U$S]))</f>
        <v>0</v>
      </c>
      <c r="AC19" s="809">
        <f>SUMPRODUCT((Comercial_Agricola[[#This Row],[Mes Económico]]=Tipo_Cambio[Mes])*(Comercial_Agricola[[#This Row],[Año Económico]]=Tipo_Cambio[Año])*(Tipo_Cambio[Actualización]))</f>
        <v>0</v>
      </c>
      <c r="AD19" s="808">
        <f>IF(ISNUMBER(Comercial_Agricola[[#This Row],[Fecha Financiero]])=TRUE,MONTH(Comercial_Agricola[[#This Row],[Fecha Financiero]]),0)</f>
        <v>0</v>
      </c>
      <c r="AE19" s="808">
        <f>IF(ISNUMBER(Comercial_Agricola[[#This Row],[Fecha Financiero]])=TRUE,YEAR(Comercial_Agricola[[#This Row],[Fecha Financiero]]),0)</f>
        <v>0</v>
      </c>
      <c r="AF19" s="809">
        <f>SUMPRODUCT((Comercial_Agricola[[#This Row],[Mes Financiero]]=Tipo_Cambio[Mes])*(Comercial_Agricola[[#This Row],[Año Financiero]]=Tipo_Cambio[Año])*(Tipo_Cambio[$/U$S]))</f>
        <v>0</v>
      </c>
      <c r="AG19" s="809">
        <f>SUMPRODUCT((Comercial_Agricola[[#This Row],[Mes Financiero]]=Tipo_Cambio[Mes])*(Comercial_Agricola[[#This Row],[Año Financiero]]=Tipo_Cambio[Año])*(Tipo_Cambio[Actualización]))</f>
        <v>0</v>
      </c>
    </row>
    <row r="20" spans="1:33" outlineLevel="1" x14ac:dyDescent="0.25">
      <c r="D20" s="548">
        <f>IFERROR(SUMPRODUCT((Comercial_Agricola[[#This Row],[Producto]]=Producción_Agricola[Producto])*(Producción_Agricola[Movimiento]=Configuración!$L$7)*(Producción_Agricola[Cantidad Total])*(Comercial_Agricola[[#This Row],[Moneda]]=Producción_Agricola[Moneda])*(Producción_Agricola[Fecha Económico]))/Comercial_Agricola[[#This Row],[Toneladas]],0)</f>
        <v>0</v>
      </c>
      <c r="E20" s="522"/>
      <c r="F20" s="775" t="str">
        <f t="shared" si="0"/>
        <v>2018-2019</v>
      </c>
      <c r="G20" s="673" t="str">
        <f t="shared" si="2"/>
        <v>Producción Agrícola</v>
      </c>
      <c r="H20" s="490"/>
      <c r="I20" s="788">
        <f>IFERROR(INDEX(Tabla811[],MATCH(Comercial_Agricola[[#This Row],[Unidad de Negocio]],Tabla811[Unidades de Negocio],0),2),0)</f>
        <v>0</v>
      </c>
      <c r="J20" s="491"/>
      <c r="K20" s="690">
        <f>SUMPRODUCT((Comercial_Agricola[[#This Row],[Producto]]=Producción_Agricola[Producto])*(Producción_Agricola[Movimiento]=Configuración!$L$7)*(Producción_Agricola[Cantidad Total])*(Comercial_Agricola[[#This Row],[Moneda]]=Producción_Agricola[Moneda])*(Comercial_Agricola[[#This Row],[Campaña]]=Producción_Agricola[Campaña]))</f>
        <v>0</v>
      </c>
      <c r="L20" s="673">
        <f>IFERROR(Comercial_Agricola[[#This Row],[Económico U$S Dólares]]/Comercial_Agricola[[#This Row],[Toneladas]],0)</f>
        <v>0</v>
      </c>
      <c r="M20" s="341" t="s">
        <v>3</v>
      </c>
      <c r="N20" s="828">
        <f>-IFERROR(SUMPRODUCT((Comercial_Agricola[[#This Row],[Producto]]=Producción_Agricola[Producto])*(Producción_Agricola[Movimiento]=Configuración!$L$7)*(Producción_Agricola[Económico $Corrientes])*(Comercial_Agricola[[#This Row],[Campaña]]=Producción_Agricola[Campaña])),0)</f>
        <v>0</v>
      </c>
      <c r="O20" s="829">
        <f>IFERROR(Comercial_Agricola[[#This Row],[Económico $Corrientes]]/Comercial_Agricola[[#This Row],[Indexación Económico]],0)</f>
        <v>0</v>
      </c>
      <c r="P20" s="830">
        <f>-IFERROR(SUMPRODUCT((Comercial_Agricola[[#This Row],[Producto]]=Producción_Agricola[Producto])*(Producción_Agricola[Movimiento]=Configuración!$L$7)*(Producción_Agricola[Económico U$S Dólares])*(Comercial_Agricola[[#This Row],[Campaña]]=Producción_Agricola[Campaña])),0)</f>
        <v>0</v>
      </c>
      <c r="Q20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20" s="829">
        <f>IFERROR(Comercial_Agricola[[#This Row],[Financiero $Corrientes]]/Comercial_Agricola[[#This Row],[Indexación Financiero]],0)</f>
        <v>0</v>
      </c>
      <c r="S20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20" s="831" t="str">
        <f>IFERROR(INDEX(Comercializacion_Granos_Cuentas[],MATCH(Comercial_Agricola[[#This Row],[Cuenta Contable]],Comercializacion_Granos_Cuentas[Cuenta Contable],0),2),0)</f>
        <v>Egreso Cesión</v>
      </c>
      <c r="U20" s="806" t="str">
        <f>IFERROR(INDEX(Comercializacion_Granos_Cuentas[],MATCH(Comercial_Agricola[[#This Row],[Cuenta Contable]],Comercializacion_Granos_Cuentas[Cuenta Contable],0),3),0)</f>
        <v>Si</v>
      </c>
      <c r="V20" s="832">
        <f>IF(Comercial_Agricola[[#This Row],[Signo]]="(-)",1,-1)*IF(Comercial_Agricola[[#This Row],[Stock]]="SI",Comercial_Agricola[[#This Row],[Toneladas]],0)</f>
        <v>0</v>
      </c>
      <c r="W20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20" s="806" t="str">
        <f>IFERROR(INDEX(Tabla9[],MATCH(Comercial_Agricola[[#This Row],[Movimiento]],Tabla9[Movimientos],0),2),0)</f>
        <v>No</v>
      </c>
      <c r="Y20" s="807" t="str">
        <f>IFERROR(INDEX(Tabla9[],MATCH(Comercial_Agricola[[#This Row],[Movimiento]],Tabla9[Movimientos],0),3),0)</f>
        <v>(-)</v>
      </c>
      <c r="Z20" s="808">
        <f>IF(Comercial_Agricola[[#This Row],[Fecha Económico]]=0,0,MONTH(Comercial_Agricola[[#This Row],[Fecha Económico]]))</f>
        <v>0</v>
      </c>
      <c r="AA20" s="808">
        <f>IF(Comercial_Agricola[[#This Row],[Fecha Económico]]=0,0,YEAR(Comercial_Agricola[[#This Row],[Fecha Económico]]))</f>
        <v>0</v>
      </c>
      <c r="AB20" s="809">
        <f>SUMPRODUCT((Comercial_Agricola[[#This Row],[Mes Económico]]=Tipo_Cambio[Mes])*(Comercial_Agricola[[#This Row],[Año Económico]]=Tipo_Cambio[Año])*(Tipo_Cambio[$/U$S]))</f>
        <v>0</v>
      </c>
      <c r="AC20" s="809">
        <f>SUMPRODUCT((Comercial_Agricola[[#This Row],[Mes Económico]]=Tipo_Cambio[Mes])*(Comercial_Agricola[[#This Row],[Año Económico]]=Tipo_Cambio[Año])*(Tipo_Cambio[Actualización]))</f>
        <v>0</v>
      </c>
      <c r="AD20" s="808">
        <f>IF(ISNUMBER(Comercial_Agricola[[#This Row],[Fecha Financiero]])=TRUE,MONTH(Comercial_Agricola[[#This Row],[Fecha Financiero]]),0)</f>
        <v>0</v>
      </c>
      <c r="AE20" s="808">
        <f>IF(ISNUMBER(Comercial_Agricola[[#This Row],[Fecha Financiero]])=TRUE,YEAR(Comercial_Agricola[[#This Row],[Fecha Financiero]]),0)</f>
        <v>0</v>
      </c>
      <c r="AF20" s="809">
        <f>SUMPRODUCT((Comercial_Agricola[[#This Row],[Mes Financiero]]=Tipo_Cambio[Mes])*(Comercial_Agricola[[#This Row],[Año Financiero]]=Tipo_Cambio[Año])*(Tipo_Cambio[$/U$S]))</f>
        <v>0</v>
      </c>
      <c r="AG20" s="809">
        <f>SUMPRODUCT((Comercial_Agricola[[#This Row],[Mes Financiero]]=Tipo_Cambio[Mes])*(Comercial_Agricola[[#This Row],[Año Financiero]]=Tipo_Cambio[Año])*(Tipo_Cambio[Actualización]))</f>
        <v>0</v>
      </c>
    </row>
    <row r="21" spans="1:33" outlineLevel="1" x14ac:dyDescent="0.25">
      <c r="D21" s="548">
        <f>IFERROR(SUMPRODUCT((Comercial_Agricola[[#This Row],[Producto]]=Producción_Agricola[Producto])*(Producción_Agricola[Movimiento]=Configuración!$L$7)*(Producción_Agricola[Cantidad Total])*(Comercial_Agricola[[#This Row],[Moneda]]=Producción_Agricola[Moneda])*(Producción_Agricola[Fecha Económico]))/Comercial_Agricola[[#This Row],[Toneladas]],0)</f>
        <v>0</v>
      </c>
      <c r="E21" s="522"/>
      <c r="F21" s="775" t="str">
        <f t="shared" si="0"/>
        <v>2018-2019</v>
      </c>
      <c r="G21" s="673" t="str">
        <f t="shared" si="2"/>
        <v>Producción Agrícola</v>
      </c>
      <c r="H21" s="490"/>
      <c r="I21" s="788">
        <f>IFERROR(INDEX(Tabla811[],MATCH(Comercial_Agricola[[#This Row],[Unidad de Negocio]],Tabla811[Unidades de Negocio],0),2),0)</f>
        <v>0</v>
      </c>
      <c r="J21" s="491"/>
      <c r="K21" s="690">
        <f>SUMPRODUCT((Comercial_Agricola[[#This Row],[Producto]]=Producción_Agricola[Producto])*(Producción_Agricola[Movimiento]=Configuración!$L$7)*(Producción_Agricola[Cantidad Total])*(Comercial_Agricola[[#This Row],[Moneda]]=Producción_Agricola[Moneda])*(Comercial_Agricola[[#This Row],[Campaña]]=Producción_Agricola[Campaña]))</f>
        <v>0</v>
      </c>
      <c r="L21" s="673">
        <f>IFERROR(Comercial_Agricola[[#This Row],[Económico U$S Dólares]]/Comercial_Agricola[[#This Row],[Toneladas]],0)</f>
        <v>0</v>
      </c>
      <c r="M21" s="341" t="s">
        <v>3</v>
      </c>
      <c r="N21" s="828">
        <f>-IFERROR(SUMPRODUCT((Comercial_Agricola[[#This Row],[Producto]]=Producción_Agricola[Producto])*(Producción_Agricola[Movimiento]=Configuración!$L$7)*(Producción_Agricola[Económico $Corrientes])*(Comercial_Agricola[[#This Row],[Campaña]]=Producción_Agricola[Campaña])),0)</f>
        <v>0</v>
      </c>
      <c r="O21" s="829">
        <f>IFERROR(Comercial_Agricola[[#This Row],[Económico $Corrientes]]/Comercial_Agricola[[#This Row],[Indexación Económico]],0)</f>
        <v>0</v>
      </c>
      <c r="P21" s="830">
        <f>-IFERROR(SUMPRODUCT((Comercial_Agricola[[#This Row],[Producto]]=Producción_Agricola[Producto])*(Producción_Agricola[Movimiento]=Configuración!$L$7)*(Producción_Agricola[Económico U$S Dólares])*(Comercial_Agricola[[#This Row],[Campaña]]=Producción_Agricola[Campaña])),0)</f>
        <v>0</v>
      </c>
      <c r="Q21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21" s="829">
        <f>IFERROR(Comercial_Agricola[[#This Row],[Financiero $Corrientes]]/Comercial_Agricola[[#This Row],[Indexación Financiero]],0)</f>
        <v>0</v>
      </c>
      <c r="S21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21" s="831" t="str">
        <f>IFERROR(INDEX(Comercializacion_Granos_Cuentas[],MATCH(Comercial_Agricola[[#This Row],[Cuenta Contable]],Comercializacion_Granos_Cuentas[Cuenta Contable],0),2),0)</f>
        <v>Egreso Cesión</v>
      </c>
      <c r="U21" s="806" t="str">
        <f>IFERROR(INDEX(Comercializacion_Granos_Cuentas[],MATCH(Comercial_Agricola[[#This Row],[Cuenta Contable]],Comercializacion_Granos_Cuentas[Cuenta Contable],0),3),0)</f>
        <v>Si</v>
      </c>
      <c r="V21" s="832">
        <f>IF(Comercial_Agricola[[#This Row],[Signo]]="(-)",1,-1)*IF(Comercial_Agricola[[#This Row],[Stock]]="SI",Comercial_Agricola[[#This Row],[Toneladas]],0)</f>
        <v>0</v>
      </c>
      <c r="W21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21" s="806" t="str">
        <f>IFERROR(INDEX(Tabla9[],MATCH(Comercial_Agricola[[#This Row],[Movimiento]],Tabla9[Movimientos],0),2),0)</f>
        <v>No</v>
      </c>
      <c r="Y21" s="807" t="str">
        <f>IFERROR(INDEX(Tabla9[],MATCH(Comercial_Agricola[[#This Row],[Movimiento]],Tabla9[Movimientos],0),3),0)</f>
        <v>(-)</v>
      </c>
      <c r="Z21" s="808">
        <f>IF(Comercial_Agricola[[#This Row],[Fecha Económico]]=0,0,MONTH(Comercial_Agricola[[#This Row],[Fecha Económico]]))</f>
        <v>0</v>
      </c>
      <c r="AA21" s="808">
        <f>IF(Comercial_Agricola[[#This Row],[Fecha Económico]]=0,0,YEAR(Comercial_Agricola[[#This Row],[Fecha Económico]]))</f>
        <v>0</v>
      </c>
      <c r="AB21" s="809">
        <f>SUMPRODUCT((Comercial_Agricola[[#This Row],[Mes Económico]]=Tipo_Cambio[Mes])*(Comercial_Agricola[[#This Row],[Año Económico]]=Tipo_Cambio[Año])*(Tipo_Cambio[$/U$S]))</f>
        <v>0</v>
      </c>
      <c r="AC21" s="809">
        <f>SUMPRODUCT((Comercial_Agricola[[#This Row],[Mes Económico]]=Tipo_Cambio[Mes])*(Comercial_Agricola[[#This Row],[Año Económico]]=Tipo_Cambio[Año])*(Tipo_Cambio[Actualización]))</f>
        <v>0</v>
      </c>
      <c r="AD21" s="808">
        <f>IF(ISNUMBER(Comercial_Agricola[[#This Row],[Fecha Financiero]])=TRUE,MONTH(Comercial_Agricola[[#This Row],[Fecha Financiero]]),0)</f>
        <v>0</v>
      </c>
      <c r="AE21" s="808">
        <f>IF(ISNUMBER(Comercial_Agricola[[#This Row],[Fecha Financiero]])=TRUE,YEAR(Comercial_Agricola[[#This Row],[Fecha Financiero]]),0)</f>
        <v>0</v>
      </c>
      <c r="AF21" s="809">
        <f>SUMPRODUCT((Comercial_Agricola[[#This Row],[Mes Financiero]]=Tipo_Cambio[Mes])*(Comercial_Agricola[[#This Row],[Año Financiero]]=Tipo_Cambio[Año])*(Tipo_Cambio[$/U$S]))</f>
        <v>0</v>
      </c>
      <c r="AG21" s="809">
        <f>SUMPRODUCT((Comercial_Agricola[[#This Row],[Mes Financiero]]=Tipo_Cambio[Mes])*(Comercial_Agricola[[#This Row],[Año Financiero]]=Tipo_Cambio[Año])*(Tipo_Cambio[Actualización]))</f>
        <v>0</v>
      </c>
    </row>
    <row r="22" spans="1:33" outlineLevel="1" x14ac:dyDescent="0.25">
      <c r="D22" s="548">
        <f>IFERROR(SUMPRODUCT((Comercial_Agricola[[#This Row],[Producto]]=Producción_Agricola[Producto])*(Producción_Agricola[Movimiento]=Configuración!$L$7)*(Producción_Agricola[Cantidad Total])*(Comercial_Agricola[[#This Row],[Moneda]]=Producción_Agricola[Moneda])*(Producción_Agricola[Fecha Económico]))/Comercial_Agricola[[#This Row],[Toneladas]],0)</f>
        <v>0</v>
      </c>
      <c r="E22" s="522"/>
      <c r="F22" s="775" t="str">
        <f t="shared" si="0"/>
        <v>2018-2019</v>
      </c>
      <c r="G22" s="673" t="str">
        <f t="shared" si="2"/>
        <v>Producción Agrícola</v>
      </c>
      <c r="H22" s="490"/>
      <c r="I22" s="788">
        <f>IFERROR(INDEX(Tabla811[],MATCH(Comercial_Agricola[[#This Row],[Unidad de Negocio]],Tabla811[Unidades de Negocio],0),2),0)</f>
        <v>0</v>
      </c>
      <c r="J22" s="491"/>
      <c r="K22" s="690">
        <f>SUMPRODUCT((Comercial_Agricola[[#This Row],[Producto]]=Producción_Agricola[Producto])*(Producción_Agricola[Movimiento]=Configuración!$L$7)*(Producción_Agricola[Cantidad Total])*(Comercial_Agricola[[#This Row],[Moneda]]=Producción_Agricola[Moneda])*(Comercial_Agricola[[#This Row],[Campaña]]=Producción_Agricola[Campaña]))</f>
        <v>0</v>
      </c>
      <c r="L22" s="673">
        <f>IFERROR(Comercial_Agricola[[#This Row],[Económico U$S Dólares]]/Comercial_Agricola[[#This Row],[Toneladas]],0)</f>
        <v>0</v>
      </c>
      <c r="M22" s="341" t="s">
        <v>3</v>
      </c>
      <c r="N22" s="828">
        <f>-IFERROR(SUMPRODUCT((Comercial_Agricola[[#This Row],[Producto]]=Producción_Agricola[Producto])*(Producción_Agricola[Movimiento]=Configuración!$L$7)*(Producción_Agricola[Económico $Corrientes])*(Comercial_Agricola[[#This Row],[Campaña]]=Producción_Agricola[Campaña])),0)</f>
        <v>0</v>
      </c>
      <c r="O22" s="829">
        <f>IFERROR(Comercial_Agricola[[#This Row],[Económico $Corrientes]]/Comercial_Agricola[[#This Row],[Indexación Económico]],0)</f>
        <v>0</v>
      </c>
      <c r="P22" s="830">
        <f>-IFERROR(SUMPRODUCT((Comercial_Agricola[[#This Row],[Producto]]=Producción_Agricola[Producto])*(Producción_Agricola[Movimiento]=Configuración!$L$7)*(Producción_Agricola[Económico U$S Dólares])*(Comercial_Agricola[[#This Row],[Campaña]]=Producción_Agricola[Campaña])),0)</f>
        <v>0</v>
      </c>
      <c r="Q22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22" s="829">
        <f>IFERROR(Comercial_Agricola[[#This Row],[Financiero $Corrientes]]/Comercial_Agricola[[#This Row],[Indexación Financiero]],0)</f>
        <v>0</v>
      </c>
      <c r="S22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22" s="831" t="str">
        <f>IFERROR(INDEX(Comercializacion_Granos_Cuentas[],MATCH(Comercial_Agricola[[#This Row],[Cuenta Contable]],Comercializacion_Granos_Cuentas[Cuenta Contable],0),2),0)</f>
        <v>Egreso Cesión</v>
      </c>
      <c r="U22" s="806" t="str">
        <f>IFERROR(INDEX(Comercializacion_Granos_Cuentas[],MATCH(Comercial_Agricola[[#This Row],[Cuenta Contable]],Comercializacion_Granos_Cuentas[Cuenta Contable],0),3),0)</f>
        <v>Si</v>
      </c>
      <c r="V22" s="832">
        <f>IF(Comercial_Agricola[[#This Row],[Signo]]="(-)",1,-1)*IF(Comercial_Agricola[[#This Row],[Stock]]="SI",Comercial_Agricola[[#This Row],[Toneladas]],0)</f>
        <v>0</v>
      </c>
      <c r="W22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22" s="806" t="str">
        <f>IFERROR(INDEX(Tabla9[],MATCH(Comercial_Agricola[[#This Row],[Movimiento]],Tabla9[Movimientos],0),2),0)</f>
        <v>No</v>
      </c>
      <c r="Y22" s="807" t="str">
        <f>IFERROR(INDEX(Tabla9[],MATCH(Comercial_Agricola[[#This Row],[Movimiento]],Tabla9[Movimientos],0),3),0)</f>
        <v>(-)</v>
      </c>
      <c r="Z22" s="808">
        <f>IF(Comercial_Agricola[[#This Row],[Fecha Económico]]=0,0,MONTH(Comercial_Agricola[[#This Row],[Fecha Económico]]))</f>
        <v>0</v>
      </c>
      <c r="AA22" s="808">
        <f>IF(Comercial_Agricola[[#This Row],[Fecha Económico]]=0,0,YEAR(Comercial_Agricola[[#This Row],[Fecha Económico]]))</f>
        <v>0</v>
      </c>
      <c r="AB22" s="809">
        <f>SUMPRODUCT((Comercial_Agricola[[#This Row],[Mes Económico]]=Tipo_Cambio[Mes])*(Comercial_Agricola[[#This Row],[Año Económico]]=Tipo_Cambio[Año])*(Tipo_Cambio[$/U$S]))</f>
        <v>0</v>
      </c>
      <c r="AC22" s="809">
        <f>SUMPRODUCT((Comercial_Agricola[[#This Row],[Mes Económico]]=Tipo_Cambio[Mes])*(Comercial_Agricola[[#This Row],[Año Económico]]=Tipo_Cambio[Año])*(Tipo_Cambio[Actualización]))</f>
        <v>0</v>
      </c>
      <c r="AD22" s="808">
        <f>IF(ISNUMBER(Comercial_Agricola[[#This Row],[Fecha Financiero]])=TRUE,MONTH(Comercial_Agricola[[#This Row],[Fecha Financiero]]),0)</f>
        <v>0</v>
      </c>
      <c r="AE22" s="808">
        <f>IF(ISNUMBER(Comercial_Agricola[[#This Row],[Fecha Financiero]])=TRUE,YEAR(Comercial_Agricola[[#This Row],[Fecha Financiero]]),0)</f>
        <v>0</v>
      </c>
      <c r="AF22" s="809">
        <f>SUMPRODUCT((Comercial_Agricola[[#This Row],[Mes Financiero]]=Tipo_Cambio[Mes])*(Comercial_Agricola[[#This Row],[Año Financiero]]=Tipo_Cambio[Año])*(Tipo_Cambio[$/U$S]))</f>
        <v>0</v>
      </c>
      <c r="AG22" s="809">
        <f>SUMPRODUCT((Comercial_Agricola[[#This Row],[Mes Financiero]]=Tipo_Cambio[Mes])*(Comercial_Agricola[[#This Row],[Año Financiero]]=Tipo_Cambio[Año])*(Tipo_Cambio[Actualización]))</f>
        <v>0</v>
      </c>
    </row>
    <row r="23" spans="1:33" outlineLevel="1" x14ac:dyDescent="0.25">
      <c r="D23" s="548">
        <f>IFERROR(SUMPRODUCT((Comercial_Agricola[[#This Row],[Producto]]=Producción_Agricola[Producto])*(Producción_Agricola[Movimiento]=Configuración!$L$7)*(Producción_Agricola[Cantidad Total])*(Comercial_Agricola[[#This Row],[Moneda]]=Producción_Agricola[Moneda])*(Producción_Agricola[Fecha Económico]))/Comercial_Agricola[[#This Row],[Toneladas]],0)</f>
        <v>0</v>
      </c>
      <c r="E23" s="522"/>
      <c r="F23" s="775" t="str">
        <f t="shared" si="0"/>
        <v>2018-2019</v>
      </c>
      <c r="G23" s="673" t="str">
        <f t="shared" si="2"/>
        <v>Producción Agrícola</v>
      </c>
      <c r="H23" s="490"/>
      <c r="I23" s="788">
        <f>IFERROR(INDEX(Tabla811[],MATCH(Comercial_Agricola[[#This Row],[Unidad de Negocio]],Tabla811[Unidades de Negocio],0),2),0)</f>
        <v>0</v>
      </c>
      <c r="J23" s="491"/>
      <c r="K23" s="690">
        <f>SUMPRODUCT((Comercial_Agricola[[#This Row],[Producto]]=Producción_Agricola[Producto])*(Producción_Agricola[Movimiento]=Configuración!$L$7)*(Producción_Agricola[Cantidad Total])*(Comercial_Agricola[[#This Row],[Moneda]]=Producción_Agricola[Moneda])*(Comercial_Agricola[[#This Row],[Campaña]]=Producción_Agricola[Campaña]))</f>
        <v>0</v>
      </c>
      <c r="L23" s="673">
        <f>IFERROR(Comercial_Agricola[[#This Row],[Económico U$S Dólares]]/Comercial_Agricola[[#This Row],[Toneladas]],0)</f>
        <v>0</v>
      </c>
      <c r="M23" s="341" t="s">
        <v>3</v>
      </c>
      <c r="N23" s="828">
        <f>-IFERROR(SUMPRODUCT((Comercial_Agricola[[#This Row],[Producto]]=Producción_Agricola[Producto])*(Producción_Agricola[Movimiento]=Configuración!$L$7)*(Producción_Agricola[Económico $Corrientes])*(Comercial_Agricola[[#This Row],[Campaña]]=Producción_Agricola[Campaña])),0)</f>
        <v>0</v>
      </c>
      <c r="O23" s="829">
        <f>IFERROR(Comercial_Agricola[[#This Row],[Económico $Corrientes]]/Comercial_Agricola[[#This Row],[Indexación Económico]],0)</f>
        <v>0</v>
      </c>
      <c r="P23" s="830">
        <f>-IFERROR(SUMPRODUCT((Comercial_Agricola[[#This Row],[Producto]]=Producción_Agricola[Producto])*(Producción_Agricola[Movimiento]=Configuración!$L$7)*(Producción_Agricola[Económico U$S Dólares])*(Comercial_Agricola[[#This Row],[Campaña]]=Producción_Agricola[Campaña])),0)</f>
        <v>0</v>
      </c>
      <c r="Q23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23" s="829">
        <f>IFERROR(Comercial_Agricola[[#This Row],[Financiero $Corrientes]]/Comercial_Agricola[[#This Row],[Indexación Financiero]],0)</f>
        <v>0</v>
      </c>
      <c r="S23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23" s="831" t="str">
        <f>IFERROR(INDEX(Comercializacion_Granos_Cuentas[],MATCH(Comercial_Agricola[[#This Row],[Cuenta Contable]],Comercializacion_Granos_Cuentas[Cuenta Contable],0),2),0)</f>
        <v>Egreso Cesión</v>
      </c>
      <c r="U23" s="806" t="str">
        <f>IFERROR(INDEX(Comercializacion_Granos_Cuentas[],MATCH(Comercial_Agricola[[#This Row],[Cuenta Contable]],Comercializacion_Granos_Cuentas[Cuenta Contable],0),3),0)</f>
        <v>Si</v>
      </c>
      <c r="V23" s="832">
        <f>IF(Comercial_Agricola[[#This Row],[Signo]]="(-)",1,-1)*IF(Comercial_Agricola[[#This Row],[Stock]]="SI",Comercial_Agricola[[#This Row],[Toneladas]],0)</f>
        <v>0</v>
      </c>
      <c r="W23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23" s="806" t="str">
        <f>IFERROR(INDEX(Tabla9[],MATCH(Comercial_Agricola[[#This Row],[Movimiento]],Tabla9[Movimientos],0),2),0)</f>
        <v>No</v>
      </c>
      <c r="Y23" s="807" t="str">
        <f>IFERROR(INDEX(Tabla9[],MATCH(Comercial_Agricola[[#This Row],[Movimiento]],Tabla9[Movimientos],0),3),0)</f>
        <v>(-)</v>
      </c>
      <c r="Z23" s="808">
        <f>IF(Comercial_Agricola[[#This Row],[Fecha Económico]]=0,0,MONTH(Comercial_Agricola[[#This Row],[Fecha Económico]]))</f>
        <v>0</v>
      </c>
      <c r="AA23" s="808">
        <f>IF(Comercial_Agricola[[#This Row],[Fecha Económico]]=0,0,YEAR(Comercial_Agricola[[#This Row],[Fecha Económico]]))</f>
        <v>0</v>
      </c>
      <c r="AB23" s="809">
        <f>SUMPRODUCT((Comercial_Agricola[[#This Row],[Mes Económico]]=Tipo_Cambio[Mes])*(Comercial_Agricola[[#This Row],[Año Económico]]=Tipo_Cambio[Año])*(Tipo_Cambio[$/U$S]))</f>
        <v>0</v>
      </c>
      <c r="AC23" s="809">
        <f>SUMPRODUCT((Comercial_Agricola[[#This Row],[Mes Económico]]=Tipo_Cambio[Mes])*(Comercial_Agricola[[#This Row],[Año Económico]]=Tipo_Cambio[Año])*(Tipo_Cambio[Actualización]))</f>
        <v>0</v>
      </c>
      <c r="AD23" s="808">
        <f>IF(ISNUMBER(Comercial_Agricola[[#This Row],[Fecha Financiero]])=TRUE,MONTH(Comercial_Agricola[[#This Row],[Fecha Financiero]]),0)</f>
        <v>0</v>
      </c>
      <c r="AE23" s="808">
        <f>IF(ISNUMBER(Comercial_Agricola[[#This Row],[Fecha Financiero]])=TRUE,YEAR(Comercial_Agricola[[#This Row],[Fecha Financiero]]),0)</f>
        <v>0</v>
      </c>
      <c r="AF23" s="809">
        <f>SUMPRODUCT((Comercial_Agricola[[#This Row],[Mes Financiero]]=Tipo_Cambio[Mes])*(Comercial_Agricola[[#This Row],[Año Financiero]]=Tipo_Cambio[Año])*(Tipo_Cambio[$/U$S]))</f>
        <v>0</v>
      </c>
      <c r="AG23" s="809">
        <f>SUMPRODUCT((Comercial_Agricola[[#This Row],[Mes Financiero]]=Tipo_Cambio[Mes])*(Comercial_Agricola[[#This Row],[Año Financiero]]=Tipo_Cambio[Año])*(Tipo_Cambio[Actualización]))</f>
        <v>0</v>
      </c>
    </row>
    <row r="24" spans="1:33" ht="15.75" outlineLevel="1" thickBot="1" x14ac:dyDescent="0.3">
      <c r="B24" s="354" t="s">
        <v>101</v>
      </c>
      <c r="C24" s="70"/>
      <c r="D24" s="645">
        <f>IFERROR(SUMPRODUCT((Comercial_Agricola[[#This Row],[Producto]]=Producción_Agricola[Producto])*(Producción_Agricola[Movimiento]=Configuración!$L$7)*(Producción_Agricola[Cantidad Total])*(Comercial_Agricola[[#This Row],[Moneda]]=Producción_Agricola[Moneda])*(Producción_Agricola[Fecha Económico]))/Comercial_Agricola[[#This Row],[Toneladas]],0)</f>
        <v>0</v>
      </c>
      <c r="E24" s="646"/>
      <c r="F24" s="780" t="str">
        <f t="shared" si="0"/>
        <v>2018-2019</v>
      </c>
      <c r="G24" s="781" t="str">
        <f t="shared" si="2"/>
        <v>Producción Agrícola</v>
      </c>
      <c r="H24" s="647"/>
      <c r="I24" s="792">
        <f>IFERROR(INDEX(Tabla811[],MATCH(Comercial_Agricola[[#This Row],[Unidad de Negocio]],Tabla811[Unidades de Negocio],0),2),0)</f>
        <v>0</v>
      </c>
      <c r="J24" s="648"/>
      <c r="K24" s="798">
        <f>SUMPRODUCT((Comercial_Agricola[[#This Row],[Producto]]=Producción_Agricola[Producto])*(Producción_Agricola[Movimiento]=Configuración!$L$7)*(Producción_Agricola[Cantidad Total])*(Comercial_Agricola[[#This Row],[Moneda]]=Producción_Agricola[Moneda])*(Comercial_Agricola[[#This Row],[Campaña]]=Producción_Agricola[Campaña]))</f>
        <v>0</v>
      </c>
      <c r="L24" s="781">
        <f>IFERROR(Comercial_Agricola[[#This Row],[Económico U$S Dólares]]/Comercial_Agricola[[#This Row],[Toneladas]],0)</f>
        <v>0</v>
      </c>
      <c r="M24" s="358" t="s">
        <v>3</v>
      </c>
      <c r="N24" s="849">
        <f>-IFERROR(SUMPRODUCT((Comercial_Agricola[[#This Row],[Producto]]=Producción_Agricola[Producto])*(Producción_Agricola[Movimiento]=Configuración!$L$7)*(Producción_Agricola[Económico $Corrientes])*(Comercial_Agricola[[#This Row],[Campaña]]=Producción_Agricola[Campaña])),0)</f>
        <v>0</v>
      </c>
      <c r="O24" s="850">
        <f>IFERROR(Comercial_Agricola[[#This Row],[Económico $Corrientes]]/Comercial_Agricola[[#This Row],[Indexación Económico]],0)</f>
        <v>0</v>
      </c>
      <c r="P24" s="851">
        <f>-IFERROR(SUMPRODUCT((Comercial_Agricola[[#This Row],[Producto]]=Producción_Agricola[Producto])*(Producción_Agricola[Movimiento]=Configuración!$L$7)*(Producción_Agricola[Económico U$S Dólares])*(Comercial_Agricola[[#This Row],[Campaña]]=Producción_Agricola[Campaña])),0)</f>
        <v>0</v>
      </c>
      <c r="Q24" s="850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24" s="850">
        <f>IFERROR(Comercial_Agricola[[#This Row],[Financiero $Corrientes]]/Comercial_Agricola[[#This Row],[Indexación Financiero]],0)</f>
        <v>0</v>
      </c>
      <c r="S24" s="85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24" s="852" t="str">
        <f>IFERROR(INDEX(Comercializacion_Granos_Cuentas[],MATCH(Comercial_Agricola[[#This Row],[Cuenta Contable]],Comercializacion_Granos_Cuentas[Cuenta Contable],0),2),0)</f>
        <v>Egreso Cesión</v>
      </c>
      <c r="U24" s="818" t="str">
        <f>IFERROR(INDEX(Comercializacion_Granos_Cuentas[],MATCH(Comercial_Agricola[[#This Row],[Cuenta Contable]],Comercializacion_Granos_Cuentas[Cuenta Contable],0),3),0)</f>
        <v>Si</v>
      </c>
      <c r="V24" s="853">
        <f>IF(Comercial_Agricola[[#This Row],[Signo]]="(-)",1,-1)*IF(Comercial_Agricola[[#This Row],[Stock]]="SI",Comercial_Agricola[[#This Row],[Toneladas]],0)</f>
        <v>0</v>
      </c>
      <c r="W24" s="801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24" s="818" t="str">
        <f>IFERROR(INDEX(Tabla9[],MATCH(Comercial_Agricola[[#This Row],[Movimiento]],Tabla9[Movimientos],0),2),0)</f>
        <v>No</v>
      </c>
      <c r="Y24" s="819" t="str">
        <f>IFERROR(INDEX(Tabla9[],MATCH(Comercial_Agricola[[#This Row],[Movimiento]],Tabla9[Movimientos],0),3),0)</f>
        <v>(-)</v>
      </c>
      <c r="Z24" s="820">
        <f>IF(Comercial_Agricola[[#This Row],[Fecha Económico]]=0,0,MONTH(Comercial_Agricola[[#This Row],[Fecha Económico]]))</f>
        <v>0</v>
      </c>
      <c r="AA24" s="820">
        <f>IF(Comercial_Agricola[[#This Row],[Fecha Económico]]=0,0,YEAR(Comercial_Agricola[[#This Row],[Fecha Económico]]))</f>
        <v>0</v>
      </c>
      <c r="AB24" s="821">
        <f>SUMPRODUCT((Comercial_Agricola[[#This Row],[Mes Económico]]=Tipo_Cambio[Mes])*(Comercial_Agricola[[#This Row],[Año Económico]]=Tipo_Cambio[Año])*(Tipo_Cambio[$/U$S]))</f>
        <v>0</v>
      </c>
      <c r="AC24" s="821">
        <f>SUMPRODUCT((Comercial_Agricola[[#This Row],[Mes Económico]]=Tipo_Cambio[Mes])*(Comercial_Agricola[[#This Row],[Año Económico]]=Tipo_Cambio[Año])*(Tipo_Cambio[Actualización]))</f>
        <v>0</v>
      </c>
      <c r="AD24" s="820">
        <f>IF(ISNUMBER(Comercial_Agricola[[#This Row],[Fecha Financiero]])=TRUE,MONTH(Comercial_Agricola[[#This Row],[Fecha Financiero]]),0)</f>
        <v>0</v>
      </c>
      <c r="AE24" s="820">
        <f>IF(ISNUMBER(Comercial_Agricola[[#This Row],[Fecha Financiero]])=TRUE,YEAR(Comercial_Agricola[[#This Row],[Fecha Financiero]]),0)</f>
        <v>0</v>
      </c>
      <c r="AF24" s="821">
        <f>SUMPRODUCT((Comercial_Agricola[[#This Row],[Mes Financiero]]=Tipo_Cambio[Mes])*(Comercial_Agricola[[#This Row],[Año Financiero]]=Tipo_Cambio[Año])*(Tipo_Cambio[$/U$S]))</f>
        <v>0</v>
      </c>
      <c r="AG24" s="821">
        <f>SUMPRODUCT((Comercial_Agricola[[#This Row],[Mes Financiero]]=Tipo_Cambio[Mes])*(Comercial_Agricola[[#This Row],[Año Financiero]]=Tipo_Cambio[Año])*(Tipo_Cambio[Actualización]))</f>
        <v>0</v>
      </c>
    </row>
    <row r="25" spans="1:33" ht="15.75" outlineLevel="1" thickTop="1" x14ac:dyDescent="0.25">
      <c r="A25" s="70"/>
      <c r="B25" s="1133" t="str">
        <f>Configuración!AC9</f>
        <v>Cesión de Granos</v>
      </c>
      <c r="C25" s="70"/>
      <c r="D25" s="548">
        <f>IFERROR(IF(Comercial_Agricola[[#This Row],[Producto]]=0,0,(SUMPRODUCT((Comercial_Agricola[[#This Row],[Producto]]=Producción_Ganadera[Producto Cesión])*(Producción_Ganadera[Cantidad])*(Producción_Ganadera[Fecha Económico]))+SUMPRODUCT((Comercial_Agricola[[#This Row],[Producto]]=Producción_Lecheria[Producto Cesión])*(Producción_Lecheria[Cantidad])*(Producción_Lecheria[Fecha Económico])))/Comercial_Agricola[[#This Row],[Toneladas]]),0)</f>
        <v>0</v>
      </c>
      <c r="E25" s="522"/>
      <c r="F25" s="775" t="str">
        <f t="shared" si="0"/>
        <v>2018-2019</v>
      </c>
      <c r="G25" s="673" t="str">
        <f t="shared" ref="G25:G34" si="3">COM_AGR_Cesion_Granos</f>
        <v>Cesión de Granos</v>
      </c>
      <c r="H25" s="490"/>
      <c r="I25" s="789">
        <f>IFERROR(INDEX(Tabla811[],MATCH(Comercial_Agricola[[#This Row],[Unidad de Negocio]],Tabla811[Unidades de Negocio],0),2),0)</f>
        <v>0</v>
      </c>
      <c r="J25" s="491"/>
      <c r="K25" s="690">
        <f>IF(Comercial_Agricola[[#This Row],[Producto]]=0,0,SUMPRODUCT((Comercial_Agricola[[#This Row],[Producto]]=Producción_Ganadera[Producto Cesión])*(Producción_Ganadera[Cantidad]))+SUMPRODUCT((Comercial_Agricola[[#This Row],[Producto]]=Producción_Lecheria[Producto Cesión])*(Producción_Lecheria[Cantidad])))</f>
        <v>0</v>
      </c>
      <c r="L25" s="673">
        <f>IFERROR(Comercial_Agricola[[#This Row],[Económico U$S Dólares]]/Comercial_Agricola[[#This Row],[Toneladas]],0)</f>
        <v>0</v>
      </c>
      <c r="M25" s="355" t="s">
        <v>3</v>
      </c>
      <c r="N25" s="828">
        <f>-IF(Comercial_Agricola[[#This Row],[Producto]]=0,0,SUMPRODUCT((Comercial_Agricola[[#This Row],[Producto]]=Producción_Ganadera[Producto Cesión])*(Producción_Ganadera[Económico $Corrientes]))+SUMPRODUCT((Comercial_Agricola[[#This Row],[Producto]]=Producción_Lecheria[Producto Cesión])*(Producción_Lecheria[Económico $Corrientes])))</f>
        <v>0</v>
      </c>
      <c r="O25" s="829">
        <f>IFERROR(Comercial_Agricola[[#This Row],[Económico $Corrientes]]/Comercial_Agricola[[#This Row],[Indexación Económico]],0)</f>
        <v>0</v>
      </c>
      <c r="P25" s="830">
        <f>-IF(Comercial_Agricola[[#This Row],[Producto]]=0,0,SUMPRODUCT((Comercial_Agricola[[#This Row],[Producto]]=Producción_Ganadera[Producto Cesión])*(Producción_Ganadera[Económico U$S Dólares]))+SUMPRODUCT((Comercial_Agricola[[#This Row],[Producto]]=Producción_Lecheria[Producto Cesión])*(Producción_Lecheria[Económico U$S Dólares])))</f>
        <v>0</v>
      </c>
      <c r="Q25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25" s="829">
        <f>IFERROR(Comercial_Agricola[[#This Row],[Financiero $Corrientes]]/Comercial_Agricola[[#This Row],[Indexación Financiero]],0)</f>
        <v>0</v>
      </c>
      <c r="S25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25" s="834" t="str">
        <f>IFERROR(INDEX(Comercializacion_Granos_Cuentas[],MATCH(Comercial_Agricola[[#This Row],[Cuenta Contable]],Comercializacion_Granos_Cuentas[Cuenta Contable],0),2),0)</f>
        <v>Ingreso Cesión</v>
      </c>
      <c r="U25" s="835" t="str">
        <f>IFERROR(INDEX(Comercializacion_Granos_Cuentas[],MATCH(Comercial_Agricola[[#This Row],[Cuenta Contable]],Comercializacion_Granos_Cuentas[Cuenta Contable],0),3),0)</f>
        <v>Si</v>
      </c>
      <c r="V25" s="836">
        <f>IF(Comercial_Agricola[[#This Row],[Signo]]="(-)",1,-1)*IF(Comercial_Agricola[[#This Row],[Stock]]="SI",Comercial_Agricola[[#This Row],[Toneladas]],0)</f>
        <v>0</v>
      </c>
      <c r="W25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25" s="806" t="str">
        <f>IFERROR(INDEX(Tabla9[],MATCH(Comercial_Agricola[[#This Row],[Movimiento]],Tabla9[Movimientos],0),2),0)</f>
        <v>No</v>
      </c>
      <c r="Y25" s="807" t="str">
        <f>IFERROR(INDEX(Tabla9[],MATCH(Comercial_Agricola[[#This Row],[Movimiento]],Tabla9[Movimientos],0),3),0)</f>
        <v>(+)</v>
      </c>
      <c r="Z25" s="808">
        <f>IF(Comercial_Agricola[[#This Row],[Fecha Económico]]=0,0,MONTH(Comercial_Agricola[[#This Row],[Fecha Económico]]))</f>
        <v>0</v>
      </c>
      <c r="AA25" s="808">
        <f>IF(Comercial_Agricola[[#This Row],[Fecha Económico]]=0,0,YEAR(Comercial_Agricola[[#This Row],[Fecha Económico]]))</f>
        <v>0</v>
      </c>
      <c r="AB25" s="809">
        <f>SUMPRODUCT((Comercial_Agricola[[#This Row],[Mes Económico]]=Tipo_Cambio[Mes])*(Comercial_Agricola[[#This Row],[Año Económico]]=Tipo_Cambio[Año])*(Tipo_Cambio[$/U$S]))</f>
        <v>0</v>
      </c>
      <c r="AC25" s="809">
        <f>SUMPRODUCT((Comercial_Agricola[[#This Row],[Mes Económico]]=Tipo_Cambio[Mes])*(Comercial_Agricola[[#This Row],[Año Económico]]=Tipo_Cambio[Año])*(Tipo_Cambio[Actualización]))</f>
        <v>0</v>
      </c>
      <c r="AD25" s="808">
        <f>IF(ISNUMBER(Comercial_Agricola[[#This Row],[Fecha Financiero]])=TRUE,MONTH(Comercial_Agricola[[#This Row],[Fecha Financiero]]),0)</f>
        <v>0</v>
      </c>
      <c r="AE25" s="808">
        <f>IF(ISNUMBER(Comercial_Agricola[[#This Row],[Fecha Financiero]])=TRUE,YEAR(Comercial_Agricola[[#This Row],[Fecha Financiero]]),0)</f>
        <v>0</v>
      </c>
      <c r="AF25" s="809">
        <f>SUMPRODUCT((Comercial_Agricola[[#This Row],[Mes Financiero]]=Tipo_Cambio[Mes])*(Comercial_Agricola[[#This Row],[Año Financiero]]=Tipo_Cambio[Año])*(Tipo_Cambio[$/U$S]))</f>
        <v>0</v>
      </c>
      <c r="AG25" s="809">
        <f>SUMPRODUCT((Comercial_Agricola[[#This Row],[Mes Financiero]]=Tipo_Cambio[Mes])*(Comercial_Agricola[[#This Row],[Año Financiero]]=Tipo_Cambio[Año])*(Tipo_Cambio[Actualización]))</f>
        <v>0</v>
      </c>
    </row>
    <row r="26" spans="1:33" outlineLevel="1" x14ac:dyDescent="0.25">
      <c r="A26" s="70"/>
      <c r="B26" s="1133"/>
      <c r="C26" s="70"/>
      <c r="D26" s="548">
        <f>IFERROR(IF(Comercial_Agricola[[#This Row],[Producto]]=0,0,(SUMPRODUCT((Comercial_Agricola[[#This Row],[Producto]]=Producción_Ganadera[Producto Cesión])*(Producción_Ganadera[Cantidad])*(Producción_Ganadera[Fecha Económico]))+SUMPRODUCT((Comercial_Agricola[[#This Row],[Producto]]=Producción_Lecheria[Producto Cesión])*(Producción_Lecheria[Cantidad])*(Producción_Lecheria[Fecha Económico])))/Comercial_Agricola[[#This Row],[Toneladas]]),0)</f>
        <v>0</v>
      </c>
      <c r="E26" s="522"/>
      <c r="F26" s="775" t="str">
        <f t="shared" si="0"/>
        <v>2018-2019</v>
      </c>
      <c r="G26" s="673" t="str">
        <f t="shared" si="3"/>
        <v>Cesión de Granos</v>
      </c>
      <c r="H26" s="490"/>
      <c r="I26" s="789">
        <f>IFERROR(INDEX(Tabla811[],MATCH(Comercial_Agricola[[#This Row],[Unidad de Negocio]],Tabla811[Unidades de Negocio],0),2),0)</f>
        <v>0</v>
      </c>
      <c r="J26" s="491"/>
      <c r="K26" s="690">
        <f>IF(Comercial_Agricola[[#This Row],[Producto]]=0,0,SUMPRODUCT((Comercial_Agricola[[#This Row],[Producto]]=Producción_Ganadera[Producto Cesión])*(Producción_Ganadera[Cantidad]))+SUMPRODUCT((Comercial_Agricola[[#This Row],[Producto]]=Producción_Lecheria[Producto Cesión])*(Producción_Lecheria[Cantidad])))</f>
        <v>0</v>
      </c>
      <c r="L26" s="673">
        <f>IFERROR(Comercial_Agricola[[#This Row],[Económico U$S Dólares]]/Comercial_Agricola[[#This Row],[Toneladas]],0)</f>
        <v>0</v>
      </c>
      <c r="M26" s="355" t="s">
        <v>3</v>
      </c>
      <c r="N26" s="828">
        <f>-IF(Comercial_Agricola[[#This Row],[Producto]]=0,0,SUMPRODUCT((Comercial_Agricola[[#This Row],[Producto]]=Producción_Ganadera[Producto Cesión])*(Producción_Ganadera[Económico $Corrientes]))+SUMPRODUCT((Comercial_Agricola[[#This Row],[Producto]]=Producción_Lecheria[Producto Cesión])*(Producción_Lecheria[Económico $Corrientes])))</f>
        <v>0</v>
      </c>
      <c r="O26" s="829">
        <f>IFERROR(Comercial_Agricola[[#This Row],[Económico $Corrientes]]/Comercial_Agricola[[#This Row],[Indexación Económico]],0)</f>
        <v>0</v>
      </c>
      <c r="P26" s="830">
        <f>-IF(Comercial_Agricola[[#This Row],[Producto]]=0,0,SUMPRODUCT((Comercial_Agricola[[#This Row],[Producto]]=Producción_Ganadera[Producto Cesión])*(Producción_Ganadera[Económico U$S Dólares]))+SUMPRODUCT((Comercial_Agricola[[#This Row],[Producto]]=Producción_Lecheria[Producto Cesión])*(Producción_Lecheria[Económico U$S Dólares])))</f>
        <v>0</v>
      </c>
      <c r="Q26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26" s="829">
        <f>IFERROR(Comercial_Agricola[[#This Row],[Financiero $Corrientes]]/Comercial_Agricola[[#This Row],[Indexación Financiero]],0)</f>
        <v>0</v>
      </c>
      <c r="S26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26" s="834" t="str">
        <f>IFERROR(INDEX(Comercializacion_Granos_Cuentas[],MATCH(Comercial_Agricola[[#This Row],[Cuenta Contable]],Comercializacion_Granos_Cuentas[Cuenta Contable],0),2),0)</f>
        <v>Ingreso Cesión</v>
      </c>
      <c r="U26" s="835" t="str">
        <f>IFERROR(INDEX(Comercializacion_Granos_Cuentas[],MATCH(Comercial_Agricola[[#This Row],[Cuenta Contable]],Comercializacion_Granos_Cuentas[Cuenta Contable],0),3),0)</f>
        <v>Si</v>
      </c>
      <c r="V26" s="836">
        <f>IF(Comercial_Agricola[[#This Row],[Signo]]="(-)",1,-1)*IF(Comercial_Agricola[[#This Row],[Stock]]="SI",Comercial_Agricola[[#This Row],[Toneladas]],0)</f>
        <v>0</v>
      </c>
      <c r="W26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26" s="806" t="str">
        <f>IFERROR(INDEX(Tabla9[],MATCH(Comercial_Agricola[[#This Row],[Movimiento]],Tabla9[Movimientos],0),2),0)</f>
        <v>No</v>
      </c>
      <c r="Y26" s="807" t="str">
        <f>IFERROR(INDEX(Tabla9[],MATCH(Comercial_Agricola[[#This Row],[Movimiento]],Tabla9[Movimientos],0),3),0)</f>
        <v>(+)</v>
      </c>
      <c r="Z26" s="808">
        <f>IF(Comercial_Agricola[[#This Row],[Fecha Económico]]=0,0,MONTH(Comercial_Agricola[[#This Row],[Fecha Económico]]))</f>
        <v>0</v>
      </c>
      <c r="AA26" s="808">
        <f>IF(Comercial_Agricola[[#This Row],[Fecha Económico]]=0,0,YEAR(Comercial_Agricola[[#This Row],[Fecha Económico]]))</f>
        <v>0</v>
      </c>
      <c r="AB26" s="809">
        <f>SUMPRODUCT((Comercial_Agricola[[#This Row],[Mes Económico]]=Tipo_Cambio[Mes])*(Comercial_Agricola[[#This Row],[Año Económico]]=Tipo_Cambio[Año])*(Tipo_Cambio[$/U$S]))</f>
        <v>0</v>
      </c>
      <c r="AC26" s="809">
        <f>SUMPRODUCT((Comercial_Agricola[[#This Row],[Mes Económico]]=Tipo_Cambio[Mes])*(Comercial_Agricola[[#This Row],[Año Económico]]=Tipo_Cambio[Año])*(Tipo_Cambio[Actualización]))</f>
        <v>0</v>
      </c>
      <c r="AD26" s="808">
        <f>IF(ISNUMBER(Comercial_Agricola[[#This Row],[Fecha Financiero]])=TRUE,MONTH(Comercial_Agricola[[#This Row],[Fecha Financiero]]),0)</f>
        <v>0</v>
      </c>
      <c r="AE26" s="808">
        <f>IF(ISNUMBER(Comercial_Agricola[[#This Row],[Fecha Financiero]])=TRUE,YEAR(Comercial_Agricola[[#This Row],[Fecha Financiero]]),0)</f>
        <v>0</v>
      </c>
      <c r="AF26" s="809">
        <f>SUMPRODUCT((Comercial_Agricola[[#This Row],[Mes Financiero]]=Tipo_Cambio[Mes])*(Comercial_Agricola[[#This Row],[Año Financiero]]=Tipo_Cambio[Año])*(Tipo_Cambio[$/U$S]))</f>
        <v>0</v>
      </c>
      <c r="AG26" s="809">
        <f>SUMPRODUCT((Comercial_Agricola[[#This Row],[Mes Financiero]]=Tipo_Cambio[Mes])*(Comercial_Agricola[[#This Row],[Año Financiero]]=Tipo_Cambio[Año])*(Tipo_Cambio[Actualización]))</f>
        <v>0</v>
      </c>
    </row>
    <row r="27" spans="1:33" outlineLevel="1" x14ac:dyDescent="0.25">
      <c r="A27" s="70"/>
      <c r="B27" s="1133"/>
      <c r="C27" s="70"/>
      <c r="D27" s="548">
        <f>IFERROR(IF(Comercial_Agricola[[#This Row],[Producto]]=0,0,(SUMPRODUCT((Comercial_Agricola[[#This Row],[Producto]]=Producción_Ganadera[Producto Cesión])*(Producción_Ganadera[Cantidad])*(Producción_Ganadera[Fecha Económico]))+SUMPRODUCT((Comercial_Agricola[[#This Row],[Producto]]=Producción_Lecheria[Producto Cesión])*(Producción_Lecheria[Cantidad])*(Producción_Lecheria[Fecha Económico])))/Comercial_Agricola[[#This Row],[Toneladas]]),0)</f>
        <v>0</v>
      </c>
      <c r="E27" s="522"/>
      <c r="F27" s="775" t="str">
        <f t="shared" si="0"/>
        <v>2018-2019</v>
      </c>
      <c r="G27" s="673" t="str">
        <f t="shared" si="3"/>
        <v>Cesión de Granos</v>
      </c>
      <c r="H27" s="490"/>
      <c r="I27" s="789">
        <f>IFERROR(INDEX(Tabla811[],MATCH(Comercial_Agricola[[#This Row],[Unidad de Negocio]],Tabla811[Unidades de Negocio],0),2),0)</f>
        <v>0</v>
      </c>
      <c r="J27" s="491"/>
      <c r="K27" s="690">
        <f>IF(Comercial_Agricola[[#This Row],[Producto]]=0,0,SUMPRODUCT((Comercial_Agricola[[#This Row],[Producto]]=Producción_Ganadera[Producto Cesión])*(Producción_Ganadera[Cantidad]))+SUMPRODUCT((Comercial_Agricola[[#This Row],[Producto]]=Producción_Lecheria[Producto Cesión])*(Producción_Lecheria[Cantidad])))</f>
        <v>0</v>
      </c>
      <c r="L27" s="673">
        <f>IFERROR(Comercial_Agricola[[#This Row],[Económico U$S Dólares]]/Comercial_Agricola[[#This Row],[Toneladas]],0)</f>
        <v>0</v>
      </c>
      <c r="M27" s="355" t="s">
        <v>3</v>
      </c>
      <c r="N27" s="828">
        <f>-IF(Comercial_Agricola[[#This Row],[Producto]]=0,0,SUMPRODUCT((Comercial_Agricola[[#This Row],[Producto]]=Producción_Ganadera[Producto Cesión])*(Producción_Ganadera[Económico $Corrientes]))+SUMPRODUCT((Comercial_Agricola[[#This Row],[Producto]]=Producción_Lecheria[Producto Cesión])*(Producción_Lecheria[Económico $Corrientes])))</f>
        <v>0</v>
      </c>
      <c r="O27" s="829">
        <f>IFERROR(Comercial_Agricola[[#This Row],[Económico $Corrientes]]/Comercial_Agricola[[#This Row],[Indexación Económico]],0)</f>
        <v>0</v>
      </c>
      <c r="P27" s="830">
        <f>-IF(Comercial_Agricola[[#This Row],[Producto]]=0,0,SUMPRODUCT((Comercial_Agricola[[#This Row],[Producto]]=Producción_Ganadera[Producto Cesión])*(Producción_Ganadera[Económico U$S Dólares]))+SUMPRODUCT((Comercial_Agricola[[#This Row],[Producto]]=Producción_Lecheria[Producto Cesión])*(Producción_Lecheria[Económico U$S Dólares])))</f>
        <v>0</v>
      </c>
      <c r="Q27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27" s="829">
        <f>IFERROR(Comercial_Agricola[[#This Row],[Financiero $Corrientes]]/Comercial_Agricola[[#This Row],[Indexación Financiero]],0)</f>
        <v>0</v>
      </c>
      <c r="S27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27" s="834" t="str">
        <f>IFERROR(INDEX(Comercializacion_Granos_Cuentas[],MATCH(Comercial_Agricola[[#This Row],[Cuenta Contable]],Comercializacion_Granos_Cuentas[Cuenta Contable],0),2),0)</f>
        <v>Ingreso Cesión</v>
      </c>
      <c r="U27" s="835" t="str">
        <f>IFERROR(INDEX(Comercializacion_Granos_Cuentas[],MATCH(Comercial_Agricola[[#This Row],[Cuenta Contable]],Comercializacion_Granos_Cuentas[Cuenta Contable],0),3),0)</f>
        <v>Si</v>
      </c>
      <c r="V27" s="836">
        <f>IF(Comercial_Agricola[[#This Row],[Signo]]="(-)",1,-1)*IF(Comercial_Agricola[[#This Row],[Stock]]="SI",Comercial_Agricola[[#This Row],[Toneladas]],0)</f>
        <v>0</v>
      </c>
      <c r="W27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27" s="806" t="str">
        <f>IFERROR(INDEX(Tabla9[],MATCH(Comercial_Agricola[[#This Row],[Movimiento]],Tabla9[Movimientos],0),2),0)</f>
        <v>No</v>
      </c>
      <c r="Y27" s="807" t="str">
        <f>IFERROR(INDEX(Tabla9[],MATCH(Comercial_Agricola[[#This Row],[Movimiento]],Tabla9[Movimientos],0),3),0)</f>
        <v>(+)</v>
      </c>
      <c r="Z27" s="808">
        <f>IF(Comercial_Agricola[[#This Row],[Fecha Económico]]=0,0,MONTH(Comercial_Agricola[[#This Row],[Fecha Económico]]))</f>
        <v>0</v>
      </c>
      <c r="AA27" s="808">
        <f>IF(Comercial_Agricola[[#This Row],[Fecha Económico]]=0,0,YEAR(Comercial_Agricola[[#This Row],[Fecha Económico]]))</f>
        <v>0</v>
      </c>
      <c r="AB27" s="809">
        <f>SUMPRODUCT((Comercial_Agricola[[#This Row],[Mes Económico]]=Tipo_Cambio[Mes])*(Comercial_Agricola[[#This Row],[Año Económico]]=Tipo_Cambio[Año])*(Tipo_Cambio[$/U$S]))</f>
        <v>0</v>
      </c>
      <c r="AC27" s="809">
        <f>SUMPRODUCT((Comercial_Agricola[[#This Row],[Mes Económico]]=Tipo_Cambio[Mes])*(Comercial_Agricola[[#This Row],[Año Económico]]=Tipo_Cambio[Año])*(Tipo_Cambio[Actualización]))</f>
        <v>0</v>
      </c>
      <c r="AD27" s="808">
        <f>IF(ISNUMBER(Comercial_Agricola[[#This Row],[Fecha Financiero]])=TRUE,MONTH(Comercial_Agricola[[#This Row],[Fecha Financiero]]),0)</f>
        <v>0</v>
      </c>
      <c r="AE27" s="808">
        <f>IF(ISNUMBER(Comercial_Agricola[[#This Row],[Fecha Financiero]])=TRUE,YEAR(Comercial_Agricola[[#This Row],[Fecha Financiero]]),0)</f>
        <v>0</v>
      </c>
      <c r="AF27" s="809">
        <f>SUMPRODUCT((Comercial_Agricola[[#This Row],[Mes Financiero]]=Tipo_Cambio[Mes])*(Comercial_Agricola[[#This Row],[Año Financiero]]=Tipo_Cambio[Año])*(Tipo_Cambio[$/U$S]))</f>
        <v>0</v>
      </c>
      <c r="AG27" s="809">
        <f>SUMPRODUCT((Comercial_Agricola[[#This Row],[Mes Financiero]]=Tipo_Cambio[Mes])*(Comercial_Agricola[[#This Row],[Año Financiero]]=Tipo_Cambio[Año])*(Tipo_Cambio[Actualización]))</f>
        <v>0</v>
      </c>
    </row>
    <row r="28" spans="1:33" outlineLevel="1" x14ac:dyDescent="0.25">
      <c r="A28" s="70"/>
      <c r="B28" s="362" t="s">
        <v>461</v>
      </c>
      <c r="C28" s="70"/>
      <c r="D28" s="548">
        <f>IFERROR(IF(Comercial_Agricola[[#This Row],[Producto]]=0,0,(SUMPRODUCT((Comercial_Agricola[[#This Row],[Producto]]=Producción_Ganadera[Producto Cesión])*(Producción_Ganadera[Cantidad])*(Producción_Ganadera[Fecha Económico]))+SUMPRODUCT((Comercial_Agricola[[#This Row],[Producto]]=Producción_Lecheria[Producto Cesión])*(Producción_Lecheria[Cantidad])*(Producción_Lecheria[Fecha Económico])))/Comercial_Agricola[[#This Row],[Toneladas]]),0)</f>
        <v>0</v>
      </c>
      <c r="E28" s="522"/>
      <c r="F28" s="775" t="str">
        <f t="shared" si="0"/>
        <v>2018-2019</v>
      </c>
      <c r="G28" s="673" t="str">
        <f t="shared" si="3"/>
        <v>Cesión de Granos</v>
      </c>
      <c r="H28" s="490"/>
      <c r="I28" s="789">
        <f>IFERROR(INDEX(Tabla811[],MATCH(Comercial_Agricola[[#This Row],[Unidad de Negocio]],Tabla811[Unidades de Negocio],0),2),0)</f>
        <v>0</v>
      </c>
      <c r="J28" s="491"/>
      <c r="K28" s="690">
        <f>IF(Comercial_Agricola[[#This Row],[Producto]]=0,0,SUMPRODUCT((Comercial_Agricola[[#This Row],[Producto]]=Producción_Ganadera[Producto Cesión])*(Producción_Ganadera[Cantidad]))+SUMPRODUCT((Comercial_Agricola[[#This Row],[Producto]]=Producción_Lecheria[Producto Cesión])*(Producción_Lecheria[Cantidad])))</f>
        <v>0</v>
      </c>
      <c r="L28" s="673">
        <f>IFERROR(Comercial_Agricola[[#This Row],[Económico U$S Dólares]]/Comercial_Agricola[[#This Row],[Toneladas]],0)</f>
        <v>0</v>
      </c>
      <c r="M28" s="355" t="s">
        <v>3</v>
      </c>
      <c r="N28" s="828">
        <f>-IF(Comercial_Agricola[[#This Row],[Producto]]=0,0,SUMPRODUCT((Comercial_Agricola[[#This Row],[Producto]]=Producción_Ganadera[Producto Cesión])*(Producción_Ganadera[Económico $Corrientes]))+SUMPRODUCT((Comercial_Agricola[[#This Row],[Producto]]=Producción_Lecheria[Producto Cesión])*(Producción_Lecheria[Económico $Corrientes])))</f>
        <v>0</v>
      </c>
      <c r="O28" s="829">
        <f>IFERROR(Comercial_Agricola[[#This Row],[Económico $Corrientes]]/Comercial_Agricola[[#This Row],[Indexación Económico]],0)</f>
        <v>0</v>
      </c>
      <c r="P28" s="830">
        <f>-IF(Comercial_Agricola[[#This Row],[Producto]]=0,0,SUMPRODUCT((Comercial_Agricola[[#This Row],[Producto]]=Producción_Ganadera[Producto Cesión])*(Producción_Ganadera[Económico U$S Dólares]))+SUMPRODUCT((Comercial_Agricola[[#This Row],[Producto]]=Producción_Lecheria[Producto Cesión])*(Producción_Lecheria[Económico U$S Dólares])))</f>
        <v>0</v>
      </c>
      <c r="Q28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28" s="829">
        <f>IFERROR(Comercial_Agricola[[#This Row],[Financiero $Corrientes]]/Comercial_Agricola[[#This Row],[Indexación Financiero]],0)</f>
        <v>0</v>
      </c>
      <c r="S28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28" s="834" t="str">
        <f>IFERROR(INDEX(Comercializacion_Granos_Cuentas[],MATCH(Comercial_Agricola[[#This Row],[Cuenta Contable]],Comercializacion_Granos_Cuentas[Cuenta Contable],0),2),0)</f>
        <v>Ingreso Cesión</v>
      </c>
      <c r="U28" s="835" t="str">
        <f>IFERROR(INDEX(Comercializacion_Granos_Cuentas[],MATCH(Comercial_Agricola[[#This Row],[Cuenta Contable]],Comercializacion_Granos_Cuentas[Cuenta Contable],0),3),0)</f>
        <v>Si</v>
      </c>
      <c r="V28" s="836">
        <f>IF(Comercial_Agricola[[#This Row],[Signo]]="(-)",1,-1)*IF(Comercial_Agricola[[#This Row],[Stock]]="SI",Comercial_Agricola[[#This Row],[Toneladas]],0)</f>
        <v>0</v>
      </c>
      <c r="W28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28" s="806" t="str">
        <f>IFERROR(INDEX(Tabla9[],MATCH(Comercial_Agricola[[#This Row],[Movimiento]],Tabla9[Movimientos],0),2),0)</f>
        <v>No</v>
      </c>
      <c r="Y28" s="807" t="str">
        <f>IFERROR(INDEX(Tabla9[],MATCH(Comercial_Agricola[[#This Row],[Movimiento]],Tabla9[Movimientos],0),3),0)</f>
        <v>(+)</v>
      </c>
      <c r="Z28" s="808">
        <f>IF(Comercial_Agricola[[#This Row],[Fecha Económico]]=0,0,MONTH(Comercial_Agricola[[#This Row],[Fecha Económico]]))</f>
        <v>0</v>
      </c>
      <c r="AA28" s="808">
        <f>IF(Comercial_Agricola[[#This Row],[Fecha Económico]]=0,0,YEAR(Comercial_Agricola[[#This Row],[Fecha Económico]]))</f>
        <v>0</v>
      </c>
      <c r="AB28" s="809">
        <f>SUMPRODUCT((Comercial_Agricola[[#This Row],[Mes Económico]]=Tipo_Cambio[Mes])*(Comercial_Agricola[[#This Row],[Año Económico]]=Tipo_Cambio[Año])*(Tipo_Cambio[$/U$S]))</f>
        <v>0</v>
      </c>
      <c r="AC28" s="809">
        <f>SUMPRODUCT((Comercial_Agricola[[#This Row],[Mes Económico]]=Tipo_Cambio[Mes])*(Comercial_Agricola[[#This Row],[Año Económico]]=Tipo_Cambio[Año])*(Tipo_Cambio[Actualización]))</f>
        <v>0</v>
      </c>
      <c r="AD28" s="808">
        <f>IF(ISNUMBER(Comercial_Agricola[[#This Row],[Fecha Financiero]])=TRUE,MONTH(Comercial_Agricola[[#This Row],[Fecha Financiero]]),0)</f>
        <v>0</v>
      </c>
      <c r="AE28" s="808">
        <f>IF(ISNUMBER(Comercial_Agricola[[#This Row],[Fecha Financiero]])=TRUE,YEAR(Comercial_Agricola[[#This Row],[Fecha Financiero]]),0)</f>
        <v>0</v>
      </c>
      <c r="AF28" s="809">
        <f>SUMPRODUCT((Comercial_Agricola[[#This Row],[Mes Financiero]]=Tipo_Cambio[Mes])*(Comercial_Agricola[[#This Row],[Año Financiero]]=Tipo_Cambio[Año])*(Tipo_Cambio[$/U$S]))</f>
        <v>0</v>
      </c>
      <c r="AG28" s="809">
        <f>SUMPRODUCT((Comercial_Agricola[[#This Row],[Mes Financiero]]=Tipo_Cambio[Mes])*(Comercial_Agricola[[#This Row],[Año Financiero]]=Tipo_Cambio[Año])*(Tipo_Cambio[Actualización]))</f>
        <v>0</v>
      </c>
    </row>
    <row r="29" spans="1:33" outlineLevel="1" x14ac:dyDescent="0.25">
      <c r="A29" s="70"/>
      <c r="B29" s="70"/>
      <c r="C29" s="70"/>
      <c r="D29" s="548">
        <f>IFERROR(IF(Comercial_Agricola[[#This Row],[Producto]]=0,0,(SUMPRODUCT((Comercial_Agricola[[#This Row],[Producto]]=Producción_Ganadera[Producto Cesión])*(Producción_Ganadera[Cantidad])*(Producción_Ganadera[Fecha Económico]))+SUMPRODUCT((Comercial_Agricola[[#This Row],[Producto]]=Producción_Lecheria[Producto Cesión])*(Producción_Lecheria[Cantidad])*(Producción_Lecheria[Fecha Económico])))/Comercial_Agricola[[#This Row],[Toneladas]]),0)</f>
        <v>0</v>
      </c>
      <c r="E29" s="522"/>
      <c r="F29" s="775" t="str">
        <f t="shared" si="0"/>
        <v>2018-2019</v>
      </c>
      <c r="G29" s="673" t="str">
        <f t="shared" si="3"/>
        <v>Cesión de Granos</v>
      </c>
      <c r="H29" s="490"/>
      <c r="I29" s="789">
        <f>IFERROR(INDEX(Tabla811[],MATCH(Comercial_Agricola[[#This Row],[Unidad de Negocio]],Tabla811[Unidades de Negocio],0),2),0)</f>
        <v>0</v>
      </c>
      <c r="J29" s="491"/>
      <c r="K29" s="690">
        <f>IF(Comercial_Agricola[[#This Row],[Producto]]=0,0,SUMPRODUCT((Comercial_Agricola[[#This Row],[Producto]]=Producción_Ganadera[Producto Cesión])*(Producción_Ganadera[Cantidad]))+SUMPRODUCT((Comercial_Agricola[[#This Row],[Producto]]=Producción_Lecheria[Producto Cesión])*(Producción_Lecheria[Cantidad])))</f>
        <v>0</v>
      </c>
      <c r="L29" s="673">
        <f>IFERROR(Comercial_Agricola[[#This Row],[Económico U$S Dólares]]/Comercial_Agricola[[#This Row],[Toneladas]],0)</f>
        <v>0</v>
      </c>
      <c r="M29" s="355" t="s">
        <v>3</v>
      </c>
      <c r="N29" s="828">
        <f>-IF(Comercial_Agricola[[#This Row],[Producto]]=0,0,SUMPRODUCT((Comercial_Agricola[[#This Row],[Producto]]=Producción_Ganadera[Producto Cesión])*(Producción_Ganadera[Económico $Corrientes]))+SUMPRODUCT((Comercial_Agricola[[#This Row],[Producto]]=Producción_Lecheria[Producto Cesión])*(Producción_Lecheria[Económico $Corrientes])))</f>
        <v>0</v>
      </c>
      <c r="O29" s="829">
        <f>IFERROR(Comercial_Agricola[[#This Row],[Económico $Corrientes]]/Comercial_Agricola[[#This Row],[Indexación Económico]],0)</f>
        <v>0</v>
      </c>
      <c r="P29" s="830">
        <f>-IF(Comercial_Agricola[[#This Row],[Producto]]=0,0,SUMPRODUCT((Comercial_Agricola[[#This Row],[Producto]]=Producción_Ganadera[Producto Cesión])*(Producción_Ganadera[Económico U$S Dólares]))+SUMPRODUCT((Comercial_Agricola[[#This Row],[Producto]]=Producción_Lecheria[Producto Cesión])*(Producción_Lecheria[Económico U$S Dólares])))</f>
        <v>0</v>
      </c>
      <c r="Q29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29" s="829">
        <f>IFERROR(Comercial_Agricola[[#This Row],[Financiero $Corrientes]]/Comercial_Agricola[[#This Row],[Indexación Financiero]],0)</f>
        <v>0</v>
      </c>
      <c r="S29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29" s="834" t="str">
        <f>IFERROR(INDEX(Comercializacion_Granos_Cuentas[],MATCH(Comercial_Agricola[[#This Row],[Cuenta Contable]],Comercializacion_Granos_Cuentas[Cuenta Contable],0),2),0)</f>
        <v>Ingreso Cesión</v>
      </c>
      <c r="U29" s="835" t="str">
        <f>IFERROR(INDEX(Comercializacion_Granos_Cuentas[],MATCH(Comercial_Agricola[[#This Row],[Cuenta Contable]],Comercializacion_Granos_Cuentas[Cuenta Contable],0),3),0)</f>
        <v>Si</v>
      </c>
      <c r="V29" s="836">
        <f>IF(Comercial_Agricola[[#This Row],[Signo]]="(-)",1,-1)*IF(Comercial_Agricola[[#This Row],[Stock]]="SI",Comercial_Agricola[[#This Row],[Toneladas]],0)</f>
        <v>0</v>
      </c>
      <c r="W29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29" s="806" t="str">
        <f>IFERROR(INDEX(Tabla9[],MATCH(Comercial_Agricola[[#This Row],[Movimiento]],Tabla9[Movimientos],0),2),0)</f>
        <v>No</v>
      </c>
      <c r="Y29" s="807" t="str">
        <f>IFERROR(INDEX(Tabla9[],MATCH(Comercial_Agricola[[#This Row],[Movimiento]],Tabla9[Movimientos],0),3),0)</f>
        <v>(+)</v>
      </c>
      <c r="Z29" s="808">
        <f>IF(Comercial_Agricola[[#This Row],[Fecha Económico]]=0,0,MONTH(Comercial_Agricola[[#This Row],[Fecha Económico]]))</f>
        <v>0</v>
      </c>
      <c r="AA29" s="808">
        <f>IF(Comercial_Agricola[[#This Row],[Fecha Económico]]=0,0,YEAR(Comercial_Agricola[[#This Row],[Fecha Económico]]))</f>
        <v>0</v>
      </c>
      <c r="AB29" s="809">
        <f>SUMPRODUCT((Comercial_Agricola[[#This Row],[Mes Económico]]=Tipo_Cambio[Mes])*(Comercial_Agricola[[#This Row],[Año Económico]]=Tipo_Cambio[Año])*(Tipo_Cambio[$/U$S]))</f>
        <v>0</v>
      </c>
      <c r="AC29" s="809">
        <f>SUMPRODUCT((Comercial_Agricola[[#This Row],[Mes Económico]]=Tipo_Cambio[Mes])*(Comercial_Agricola[[#This Row],[Año Económico]]=Tipo_Cambio[Año])*(Tipo_Cambio[Actualización]))</f>
        <v>0</v>
      </c>
      <c r="AD29" s="808">
        <f>IF(ISNUMBER(Comercial_Agricola[[#This Row],[Fecha Financiero]])=TRUE,MONTH(Comercial_Agricola[[#This Row],[Fecha Financiero]]),0)</f>
        <v>0</v>
      </c>
      <c r="AE29" s="808">
        <f>IF(ISNUMBER(Comercial_Agricola[[#This Row],[Fecha Financiero]])=TRUE,YEAR(Comercial_Agricola[[#This Row],[Fecha Financiero]]),0)</f>
        <v>0</v>
      </c>
      <c r="AF29" s="809">
        <f>SUMPRODUCT((Comercial_Agricola[[#This Row],[Mes Financiero]]=Tipo_Cambio[Mes])*(Comercial_Agricola[[#This Row],[Año Financiero]]=Tipo_Cambio[Año])*(Tipo_Cambio[$/U$S]))</f>
        <v>0</v>
      </c>
      <c r="AG29" s="809">
        <f>SUMPRODUCT((Comercial_Agricola[[#This Row],[Mes Financiero]]=Tipo_Cambio[Mes])*(Comercial_Agricola[[#This Row],[Año Financiero]]=Tipo_Cambio[Año])*(Tipo_Cambio[Actualización]))</f>
        <v>0</v>
      </c>
    </row>
    <row r="30" spans="1:33" outlineLevel="1" x14ac:dyDescent="0.25">
      <c r="A30" s="70"/>
      <c r="B30" s="70"/>
      <c r="C30" s="70"/>
      <c r="D30" s="548">
        <f>IFERROR(IF(Comercial_Agricola[[#This Row],[Producto]]=0,0,(SUMPRODUCT((Comercial_Agricola[[#This Row],[Producto]]=Producción_Ganadera[Producto Cesión])*(Producción_Ganadera[Cantidad])*(Producción_Ganadera[Fecha Económico]))+SUMPRODUCT((Comercial_Agricola[[#This Row],[Producto]]=Producción_Lecheria[Producto Cesión])*(Producción_Lecheria[Cantidad])*(Producción_Lecheria[Fecha Económico])))/Comercial_Agricola[[#This Row],[Toneladas]]),0)</f>
        <v>0</v>
      </c>
      <c r="E30" s="522"/>
      <c r="F30" s="775" t="str">
        <f t="shared" si="0"/>
        <v>2018-2019</v>
      </c>
      <c r="G30" s="673" t="str">
        <f t="shared" si="3"/>
        <v>Cesión de Granos</v>
      </c>
      <c r="H30" s="490"/>
      <c r="I30" s="789">
        <f>IFERROR(INDEX(Tabla811[],MATCH(Comercial_Agricola[[#This Row],[Unidad de Negocio]],Tabla811[Unidades de Negocio],0),2),0)</f>
        <v>0</v>
      </c>
      <c r="J30" s="491"/>
      <c r="K30" s="690">
        <f>IF(Comercial_Agricola[[#This Row],[Producto]]=0,0,SUMPRODUCT((Comercial_Agricola[[#This Row],[Producto]]=Producción_Ganadera[Producto Cesión])*(Producción_Ganadera[Cantidad]))+SUMPRODUCT((Comercial_Agricola[[#This Row],[Producto]]=Producción_Lecheria[Producto Cesión])*(Producción_Lecheria[Cantidad])))</f>
        <v>0</v>
      </c>
      <c r="L30" s="673">
        <f>IFERROR(Comercial_Agricola[[#This Row],[Económico U$S Dólares]]/Comercial_Agricola[[#This Row],[Toneladas]],0)</f>
        <v>0</v>
      </c>
      <c r="M30" s="355" t="s">
        <v>3</v>
      </c>
      <c r="N30" s="828">
        <f>-IF(Comercial_Agricola[[#This Row],[Producto]]=0,0,SUMPRODUCT((Comercial_Agricola[[#This Row],[Producto]]=Producción_Ganadera[Producto Cesión])*(Producción_Ganadera[Económico $Corrientes]))+SUMPRODUCT((Comercial_Agricola[[#This Row],[Producto]]=Producción_Lecheria[Producto Cesión])*(Producción_Lecheria[Económico $Corrientes])))</f>
        <v>0</v>
      </c>
      <c r="O30" s="829">
        <f>IFERROR(Comercial_Agricola[[#This Row],[Económico $Corrientes]]/Comercial_Agricola[[#This Row],[Indexación Económico]],0)</f>
        <v>0</v>
      </c>
      <c r="P30" s="830">
        <f>-IF(Comercial_Agricola[[#This Row],[Producto]]=0,0,SUMPRODUCT((Comercial_Agricola[[#This Row],[Producto]]=Producción_Ganadera[Producto Cesión])*(Producción_Ganadera[Económico U$S Dólares]))+SUMPRODUCT((Comercial_Agricola[[#This Row],[Producto]]=Producción_Lecheria[Producto Cesión])*(Producción_Lecheria[Económico U$S Dólares])))</f>
        <v>0</v>
      </c>
      <c r="Q30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30" s="829">
        <f>IFERROR(Comercial_Agricola[[#This Row],[Financiero $Corrientes]]/Comercial_Agricola[[#This Row],[Indexación Financiero]],0)</f>
        <v>0</v>
      </c>
      <c r="S30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30" s="834" t="str">
        <f>IFERROR(INDEX(Comercializacion_Granos_Cuentas[],MATCH(Comercial_Agricola[[#This Row],[Cuenta Contable]],Comercializacion_Granos_Cuentas[Cuenta Contable],0),2),0)</f>
        <v>Ingreso Cesión</v>
      </c>
      <c r="U30" s="835" t="str">
        <f>IFERROR(INDEX(Comercializacion_Granos_Cuentas[],MATCH(Comercial_Agricola[[#This Row],[Cuenta Contable]],Comercializacion_Granos_Cuentas[Cuenta Contable],0),3),0)</f>
        <v>Si</v>
      </c>
      <c r="V30" s="836">
        <f>IF(Comercial_Agricola[[#This Row],[Signo]]="(-)",1,-1)*IF(Comercial_Agricola[[#This Row],[Stock]]="SI",Comercial_Agricola[[#This Row],[Toneladas]],0)</f>
        <v>0</v>
      </c>
      <c r="W30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30" s="806" t="str">
        <f>IFERROR(INDEX(Tabla9[],MATCH(Comercial_Agricola[[#This Row],[Movimiento]],Tabla9[Movimientos],0),2),0)</f>
        <v>No</v>
      </c>
      <c r="Y30" s="807" t="str">
        <f>IFERROR(INDEX(Tabla9[],MATCH(Comercial_Agricola[[#This Row],[Movimiento]],Tabla9[Movimientos],0),3),0)</f>
        <v>(+)</v>
      </c>
      <c r="Z30" s="808">
        <f>IF(Comercial_Agricola[[#This Row],[Fecha Económico]]=0,0,MONTH(Comercial_Agricola[[#This Row],[Fecha Económico]]))</f>
        <v>0</v>
      </c>
      <c r="AA30" s="808">
        <f>IF(Comercial_Agricola[[#This Row],[Fecha Económico]]=0,0,YEAR(Comercial_Agricola[[#This Row],[Fecha Económico]]))</f>
        <v>0</v>
      </c>
      <c r="AB30" s="809">
        <f>SUMPRODUCT((Comercial_Agricola[[#This Row],[Mes Económico]]=Tipo_Cambio[Mes])*(Comercial_Agricola[[#This Row],[Año Económico]]=Tipo_Cambio[Año])*(Tipo_Cambio[$/U$S]))</f>
        <v>0</v>
      </c>
      <c r="AC30" s="809">
        <f>SUMPRODUCT((Comercial_Agricola[[#This Row],[Mes Económico]]=Tipo_Cambio[Mes])*(Comercial_Agricola[[#This Row],[Año Económico]]=Tipo_Cambio[Año])*(Tipo_Cambio[Actualización]))</f>
        <v>0</v>
      </c>
      <c r="AD30" s="808">
        <f>IF(ISNUMBER(Comercial_Agricola[[#This Row],[Fecha Financiero]])=TRUE,MONTH(Comercial_Agricola[[#This Row],[Fecha Financiero]]),0)</f>
        <v>0</v>
      </c>
      <c r="AE30" s="808">
        <f>IF(ISNUMBER(Comercial_Agricola[[#This Row],[Fecha Financiero]])=TRUE,YEAR(Comercial_Agricola[[#This Row],[Fecha Financiero]]),0)</f>
        <v>0</v>
      </c>
      <c r="AF30" s="809">
        <f>SUMPRODUCT((Comercial_Agricola[[#This Row],[Mes Financiero]]=Tipo_Cambio[Mes])*(Comercial_Agricola[[#This Row],[Año Financiero]]=Tipo_Cambio[Año])*(Tipo_Cambio[$/U$S]))</f>
        <v>0</v>
      </c>
      <c r="AG30" s="809">
        <f>SUMPRODUCT((Comercial_Agricola[[#This Row],[Mes Financiero]]=Tipo_Cambio[Mes])*(Comercial_Agricola[[#This Row],[Año Financiero]]=Tipo_Cambio[Año])*(Tipo_Cambio[Actualización]))</f>
        <v>0</v>
      </c>
    </row>
    <row r="31" spans="1:33" outlineLevel="1" x14ac:dyDescent="0.25">
      <c r="A31" s="70"/>
      <c r="B31" s="70"/>
      <c r="C31" s="70"/>
      <c r="D31" s="548">
        <f>IFERROR(IF(Comercial_Agricola[[#This Row],[Producto]]=0,0,(SUMPRODUCT((Comercial_Agricola[[#This Row],[Producto]]=Producción_Ganadera[Producto Cesión])*(Producción_Ganadera[Cantidad])*(Producción_Ganadera[Fecha Económico]))+SUMPRODUCT((Comercial_Agricola[[#This Row],[Producto]]=Producción_Lecheria[Producto Cesión])*(Producción_Lecheria[Cantidad])*(Producción_Lecheria[Fecha Económico])))/Comercial_Agricola[[#This Row],[Toneladas]]),0)</f>
        <v>0</v>
      </c>
      <c r="E31" s="522"/>
      <c r="F31" s="775" t="str">
        <f t="shared" si="0"/>
        <v>2018-2019</v>
      </c>
      <c r="G31" s="673" t="str">
        <f t="shared" si="3"/>
        <v>Cesión de Granos</v>
      </c>
      <c r="H31" s="490"/>
      <c r="I31" s="789">
        <f>IFERROR(INDEX(Tabla811[],MATCH(Comercial_Agricola[[#This Row],[Unidad de Negocio]],Tabla811[Unidades de Negocio],0),2),0)</f>
        <v>0</v>
      </c>
      <c r="J31" s="491"/>
      <c r="K31" s="690">
        <f>IF(Comercial_Agricola[[#This Row],[Producto]]=0,0,SUMPRODUCT((Comercial_Agricola[[#This Row],[Producto]]=Producción_Ganadera[Producto Cesión])*(Producción_Ganadera[Cantidad]))+SUMPRODUCT((Comercial_Agricola[[#This Row],[Producto]]=Producción_Lecheria[Producto Cesión])*(Producción_Lecheria[Cantidad])))</f>
        <v>0</v>
      </c>
      <c r="L31" s="673">
        <f>IFERROR(Comercial_Agricola[[#This Row],[Económico U$S Dólares]]/Comercial_Agricola[[#This Row],[Toneladas]],0)</f>
        <v>0</v>
      </c>
      <c r="M31" s="355" t="s">
        <v>3</v>
      </c>
      <c r="N31" s="828">
        <f>-IF(Comercial_Agricola[[#This Row],[Producto]]=0,0,SUMPRODUCT((Comercial_Agricola[[#This Row],[Producto]]=Producción_Ganadera[Producto Cesión])*(Producción_Ganadera[Económico $Corrientes]))+SUMPRODUCT((Comercial_Agricola[[#This Row],[Producto]]=Producción_Lecheria[Producto Cesión])*(Producción_Lecheria[Económico $Corrientes])))</f>
        <v>0</v>
      </c>
      <c r="O31" s="829">
        <f>IFERROR(Comercial_Agricola[[#This Row],[Económico $Corrientes]]/Comercial_Agricola[[#This Row],[Indexación Económico]],0)</f>
        <v>0</v>
      </c>
      <c r="P31" s="830">
        <f>-IF(Comercial_Agricola[[#This Row],[Producto]]=0,0,SUMPRODUCT((Comercial_Agricola[[#This Row],[Producto]]=Producción_Ganadera[Producto Cesión])*(Producción_Ganadera[Económico U$S Dólares]))+SUMPRODUCT((Comercial_Agricola[[#This Row],[Producto]]=Producción_Lecheria[Producto Cesión])*(Producción_Lecheria[Económico U$S Dólares])))</f>
        <v>0</v>
      </c>
      <c r="Q31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31" s="829">
        <f>IFERROR(Comercial_Agricola[[#This Row],[Financiero $Corrientes]]/Comercial_Agricola[[#This Row],[Indexación Financiero]],0)</f>
        <v>0</v>
      </c>
      <c r="S31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31" s="834" t="str">
        <f>IFERROR(INDEX(Comercializacion_Granos_Cuentas[],MATCH(Comercial_Agricola[[#This Row],[Cuenta Contable]],Comercializacion_Granos_Cuentas[Cuenta Contable],0),2),0)</f>
        <v>Ingreso Cesión</v>
      </c>
      <c r="U31" s="835" t="str">
        <f>IFERROR(INDEX(Comercializacion_Granos_Cuentas[],MATCH(Comercial_Agricola[[#This Row],[Cuenta Contable]],Comercializacion_Granos_Cuentas[Cuenta Contable],0),3),0)</f>
        <v>Si</v>
      </c>
      <c r="V31" s="836">
        <f>IF(Comercial_Agricola[[#This Row],[Signo]]="(-)",1,-1)*IF(Comercial_Agricola[[#This Row],[Stock]]="SI",Comercial_Agricola[[#This Row],[Toneladas]],0)</f>
        <v>0</v>
      </c>
      <c r="W31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31" s="806" t="str">
        <f>IFERROR(INDEX(Tabla9[],MATCH(Comercial_Agricola[[#This Row],[Movimiento]],Tabla9[Movimientos],0),2),0)</f>
        <v>No</v>
      </c>
      <c r="Y31" s="807" t="str">
        <f>IFERROR(INDEX(Tabla9[],MATCH(Comercial_Agricola[[#This Row],[Movimiento]],Tabla9[Movimientos],0),3),0)</f>
        <v>(+)</v>
      </c>
      <c r="Z31" s="808">
        <f>IF(Comercial_Agricola[[#This Row],[Fecha Económico]]=0,0,MONTH(Comercial_Agricola[[#This Row],[Fecha Económico]]))</f>
        <v>0</v>
      </c>
      <c r="AA31" s="808">
        <f>IF(Comercial_Agricola[[#This Row],[Fecha Económico]]=0,0,YEAR(Comercial_Agricola[[#This Row],[Fecha Económico]]))</f>
        <v>0</v>
      </c>
      <c r="AB31" s="809">
        <f>SUMPRODUCT((Comercial_Agricola[[#This Row],[Mes Económico]]=Tipo_Cambio[Mes])*(Comercial_Agricola[[#This Row],[Año Económico]]=Tipo_Cambio[Año])*(Tipo_Cambio[$/U$S]))</f>
        <v>0</v>
      </c>
      <c r="AC31" s="809">
        <f>SUMPRODUCT((Comercial_Agricola[[#This Row],[Mes Económico]]=Tipo_Cambio[Mes])*(Comercial_Agricola[[#This Row],[Año Económico]]=Tipo_Cambio[Año])*(Tipo_Cambio[Actualización]))</f>
        <v>0</v>
      </c>
      <c r="AD31" s="808">
        <f>IF(ISNUMBER(Comercial_Agricola[[#This Row],[Fecha Financiero]])=TRUE,MONTH(Comercial_Agricola[[#This Row],[Fecha Financiero]]),0)</f>
        <v>0</v>
      </c>
      <c r="AE31" s="808">
        <f>IF(ISNUMBER(Comercial_Agricola[[#This Row],[Fecha Financiero]])=TRUE,YEAR(Comercial_Agricola[[#This Row],[Fecha Financiero]]),0)</f>
        <v>0</v>
      </c>
      <c r="AF31" s="809">
        <f>SUMPRODUCT((Comercial_Agricola[[#This Row],[Mes Financiero]]=Tipo_Cambio[Mes])*(Comercial_Agricola[[#This Row],[Año Financiero]]=Tipo_Cambio[Año])*(Tipo_Cambio[$/U$S]))</f>
        <v>0</v>
      </c>
      <c r="AG31" s="809">
        <f>SUMPRODUCT((Comercial_Agricola[[#This Row],[Mes Financiero]]=Tipo_Cambio[Mes])*(Comercial_Agricola[[#This Row],[Año Financiero]]=Tipo_Cambio[Año])*(Tipo_Cambio[Actualización]))</f>
        <v>0</v>
      </c>
    </row>
    <row r="32" spans="1:33" outlineLevel="1" x14ac:dyDescent="0.25">
      <c r="A32" s="70"/>
      <c r="B32" s="70"/>
      <c r="C32" s="70"/>
      <c r="D32" s="548">
        <f>IFERROR(IF(Comercial_Agricola[[#This Row],[Producto]]=0,0,(SUMPRODUCT((Comercial_Agricola[[#This Row],[Producto]]=Producción_Ganadera[Producto Cesión])*(Producción_Ganadera[Cantidad])*(Producción_Ganadera[Fecha Económico]))+SUMPRODUCT((Comercial_Agricola[[#This Row],[Producto]]=Producción_Lecheria[Producto Cesión])*(Producción_Lecheria[Cantidad])*(Producción_Lecheria[Fecha Económico])))/Comercial_Agricola[[#This Row],[Toneladas]]),0)</f>
        <v>0</v>
      </c>
      <c r="E32" s="522"/>
      <c r="F32" s="775" t="str">
        <f t="shared" si="0"/>
        <v>2018-2019</v>
      </c>
      <c r="G32" s="673" t="str">
        <f t="shared" si="3"/>
        <v>Cesión de Granos</v>
      </c>
      <c r="H32" s="490"/>
      <c r="I32" s="789">
        <f>IFERROR(INDEX(Tabla811[],MATCH(Comercial_Agricola[[#This Row],[Unidad de Negocio]],Tabla811[Unidades de Negocio],0),2),0)</f>
        <v>0</v>
      </c>
      <c r="J32" s="491"/>
      <c r="K32" s="690">
        <f>IF(Comercial_Agricola[[#This Row],[Producto]]=0,0,SUMPRODUCT((Comercial_Agricola[[#This Row],[Producto]]=Producción_Ganadera[Producto Cesión])*(Producción_Ganadera[Cantidad]))+SUMPRODUCT((Comercial_Agricola[[#This Row],[Producto]]=Producción_Lecheria[Producto Cesión])*(Producción_Lecheria[Cantidad])))</f>
        <v>0</v>
      </c>
      <c r="L32" s="673">
        <f>IFERROR(Comercial_Agricola[[#This Row],[Económico U$S Dólares]]/Comercial_Agricola[[#This Row],[Toneladas]],0)</f>
        <v>0</v>
      </c>
      <c r="M32" s="355" t="s">
        <v>3</v>
      </c>
      <c r="N32" s="828">
        <f>-IF(Comercial_Agricola[[#This Row],[Producto]]=0,0,SUMPRODUCT((Comercial_Agricola[[#This Row],[Producto]]=Producción_Ganadera[Producto Cesión])*(Producción_Ganadera[Económico $Corrientes]))+SUMPRODUCT((Comercial_Agricola[[#This Row],[Producto]]=Producción_Lecheria[Producto Cesión])*(Producción_Lecheria[Económico $Corrientes])))</f>
        <v>0</v>
      </c>
      <c r="O32" s="829">
        <f>IFERROR(Comercial_Agricola[[#This Row],[Económico $Corrientes]]/Comercial_Agricola[[#This Row],[Indexación Económico]],0)</f>
        <v>0</v>
      </c>
      <c r="P32" s="830">
        <f>-IF(Comercial_Agricola[[#This Row],[Producto]]=0,0,SUMPRODUCT((Comercial_Agricola[[#This Row],[Producto]]=Producción_Ganadera[Producto Cesión])*(Producción_Ganadera[Económico U$S Dólares]))+SUMPRODUCT((Comercial_Agricola[[#This Row],[Producto]]=Producción_Lecheria[Producto Cesión])*(Producción_Lecheria[Económico U$S Dólares])))</f>
        <v>0</v>
      </c>
      <c r="Q32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32" s="829">
        <f>IFERROR(Comercial_Agricola[[#This Row],[Financiero $Corrientes]]/Comercial_Agricola[[#This Row],[Indexación Financiero]],0)</f>
        <v>0</v>
      </c>
      <c r="S32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32" s="834" t="str">
        <f>IFERROR(INDEX(Comercializacion_Granos_Cuentas[],MATCH(Comercial_Agricola[[#This Row],[Cuenta Contable]],Comercializacion_Granos_Cuentas[Cuenta Contable],0),2),0)</f>
        <v>Ingreso Cesión</v>
      </c>
      <c r="U32" s="835" t="str">
        <f>IFERROR(INDEX(Comercializacion_Granos_Cuentas[],MATCH(Comercial_Agricola[[#This Row],[Cuenta Contable]],Comercializacion_Granos_Cuentas[Cuenta Contable],0),3),0)</f>
        <v>Si</v>
      </c>
      <c r="V32" s="836">
        <f>IF(Comercial_Agricola[[#This Row],[Signo]]="(-)",1,-1)*IF(Comercial_Agricola[[#This Row],[Stock]]="SI",Comercial_Agricola[[#This Row],[Toneladas]],0)</f>
        <v>0</v>
      </c>
      <c r="W32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32" s="806" t="str">
        <f>IFERROR(INDEX(Tabla9[],MATCH(Comercial_Agricola[[#This Row],[Movimiento]],Tabla9[Movimientos],0),2),0)</f>
        <v>No</v>
      </c>
      <c r="Y32" s="807" t="str">
        <f>IFERROR(INDEX(Tabla9[],MATCH(Comercial_Agricola[[#This Row],[Movimiento]],Tabla9[Movimientos],0),3),0)</f>
        <v>(+)</v>
      </c>
      <c r="Z32" s="808">
        <f>IF(Comercial_Agricola[[#This Row],[Fecha Económico]]=0,0,MONTH(Comercial_Agricola[[#This Row],[Fecha Económico]]))</f>
        <v>0</v>
      </c>
      <c r="AA32" s="808">
        <f>IF(Comercial_Agricola[[#This Row],[Fecha Económico]]=0,0,YEAR(Comercial_Agricola[[#This Row],[Fecha Económico]]))</f>
        <v>0</v>
      </c>
      <c r="AB32" s="809">
        <f>SUMPRODUCT((Comercial_Agricola[[#This Row],[Mes Económico]]=Tipo_Cambio[Mes])*(Comercial_Agricola[[#This Row],[Año Económico]]=Tipo_Cambio[Año])*(Tipo_Cambio[$/U$S]))</f>
        <v>0</v>
      </c>
      <c r="AC32" s="809">
        <f>SUMPRODUCT((Comercial_Agricola[[#This Row],[Mes Económico]]=Tipo_Cambio[Mes])*(Comercial_Agricola[[#This Row],[Año Económico]]=Tipo_Cambio[Año])*(Tipo_Cambio[Actualización]))</f>
        <v>0</v>
      </c>
      <c r="AD32" s="808">
        <f>IF(ISNUMBER(Comercial_Agricola[[#This Row],[Fecha Financiero]])=TRUE,MONTH(Comercial_Agricola[[#This Row],[Fecha Financiero]]),0)</f>
        <v>0</v>
      </c>
      <c r="AE32" s="808">
        <f>IF(ISNUMBER(Comercial_Agricola[[#This Row],[Fecha Financiero]])=TRUE,YEAR(Comercial_Agricola[[#This Row],[Fecha Financiero]]),0)</f>
        <v>0</v>
      </c>
      <c r="AF32" s="809">
        <f>SUMPRODUCT((Comercial_Agricola[[#This Row],[Mes Financiero]]=Tipo_Cambio[Mes])*(Comercial_Agricola[[#This Row],[Año Financiero]]=Tipo_Cambio[Año])*(Tipo_Cambio[$/U$S]))</f>
        <v>0</v>
      </c>
      <c r="AG32" s="809">
        <f>SUMPRODUCT((Comercial_Agricola[[#This Row],[Mes Financiero]]=Tipo_Cambio[Mes])*(Comercial_Agricola[[#This Row],[Año Financiero]]=Tipo_Cambio[Año])*(Tipo_Cambio[Actualización]))</f>
        <v>0</v>
      </c>
    </row>
    <row r="33" spans="1:33" outlineLevel="1" x14ac:dyDescent="0.25">
      <c r="A33" s="70"/>
      <c r="B33" s="70"/>
      <c r="C33" s="70"/>
      <c r="D33" s="548">
        <f>IFERROR(IF(Comercial_Agricola[[#This Row],[Producto]]=0,0,(SUMPRODUCT((Comercial_Agricola[[#This Row],[Producto]]=Producción_Ganadera[Producto Cesión])*(Producción_Ganadera[Cantidad])*(Producción_Ganadera[Fecha Económico]))+SUMPRODUCT((Comercial_Agricola[[#This Row],[Producto]]=Producción_Lecheria[Producto Cesión])*(Producción_Lecheria[Cantidad])*(Producción_Lecheria[Fecha Económico])))/Comercial_Agricola[[#This Row],[Toneladas]]),0)</f>
        <v>0</v>
      </c>
      <c r="E33" s="522"/>
      <c r="F33" s="775" t="str">
        <f t="shared" si="0"/>
        <v>2018-2019</v>
      </c>
      <c r="G33" s="673" t="str">
        <f t="shared" si="3"/>
        <v>Cesión de Granos</v>
      </c>
      <c r="H33" s="490"/>
      <c r="I33" s="789">
        <f>IFERROR(INDEX(Tabla811[],MATCH(Comercial_Agricola[[#This Row],[Unidad de Negocio]],Tabla811[Unidades de Negocio],0),2),0)</f>
        <v>0</v>
      </c>
      <c r="J33" s="491"/>
      <c r="K33" s="690">
        <f>IF(Comercial_Agricola[[#This Row],[Producto]]=0,0,SUMPRODUCT((Comercial_Agricola[[#This Row],[Producto]]=Producción_Ganadera[Producto Cesión])*(Producción_Ganadera[Cantidad]))+SUMPRODUCT((Comercial_Agricola[[#This Row],[Producto]]=Producción_Lecheria[Producto Cesión])*(Producción_Lecheria[Cantidad])))</f>
        <v>0</v>
      </c>
      <c r="L33" s="673">
        <f>IFERROR(Comercial_Agricola[[#This Row],[Económico U$S Dólares]]/Comercial_Agricola[[#This Row],[Toneladas]],0)</f>
        <v>0</v>
      </c>
      <c r="M33" s="355" t="s">
        <v>3</v>
      </c>
      <c r="N33" s="828">
        <f>-IF(Comercial_Agricola[[#This Row],[Producto]]=0,0,SUMPRODUCT((Comercial_Agricola[[#This Row],[Producto]]=Producción_Ganadera[Producto Cesión])*(Producción_Ganadera[Económico $Corrientes]))+SUMPRODUCT((Comercial_Agricola[[#This Row],[Producto]]=Producción_Lecheria[Producto Cesión])*(Producción_Lecheria[Económico $Corrientes])))</f>
        <v>0</v>
      </c>
      <c r="O33" s="829">
        <f>IFERROR(Comercial_Agricola[[#This Row],[Económico $Corrientes]]/Comercial_Agricola[[#This Row],[Indexación Económico]],0)</f>
        <v>0</v>
      </c>
      <c r="P33" s="830">
        <f>-IF(Comercial_Agricola[[#This Row],[Producto]]=0,0,SUMPRODUCT((Comercial_Agricola[[#This Row],[Producto]]=Producción_Ganadera[Producto Cesión])*(Producción_Ganadera[Económico U$S Dólares]))+SUMPRODUCT((Comercial_Agricola[[#This Row],[Producto]]=Producción_Lecheria[Producto Cesión])*(Producción_Lecheria[Económico U$S Dólares])))</f>
        <v>0</v>
      </c>
      <c r="Q33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33" s="829">
        <f>IFERROR(Comercial_Agricola[[#This Row],[Financiero $Corrientes]]/Comercial_Agricola[[#This Row],[Indexación Financiero]],0)</f>
        <v>0</v>
      </c>
      <c r="S33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33" s="834" t="str">
        <f>IFERROR(INDEX(Comercializacion_Granos_Cuentas[],MATCH(Comercial_Agricola[[#This Row],[Cuenta Contable]],Comercializacion_Granos_Cuentas[Cuenta Contable],0),2),0)</f>
        <v>Ingreso Cesión</v>
      </c>
      <c r="U33" s="835" t="str">
        <f>IFERROR(INDEX(Comercializacion_Granos_Cuentas[],MATCH(Comercial_Agricola[[#This Row],[Cuenta Contable]],Comercializacion_Granos_Cuentas[Cuenta Contable],0),3),0)</f>
        <v>Si</v>
      </c>
      <c r="V33" s="836">
        <f>IF(Comercial_Agricola[[#This Row],[Signo]]="(-)",1,-1)*IF(Comercial_Agricola[[#This Row],[Stock]]="SI",Comercial_Agricola[[#This Row],[Toneladas]],0)</f>
        <v>0</v>
      </c>
      <c r="W33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33" s="806" t="str">
        <f>IFERROR(INDEX(Tabla9[],MATCH(Comercial_Agricola[[#This Row],[Movimiento]],Tabla9[Movimientos],0),2),0)</f>
        <v>No</v>
      </c>
      <c r="Y33" s="807" t="str">
        <f>IFERROR(INDEX(Tabla9[],MATCH(Comercial_Agricola[[#This Row],[Movimiento]],Tabla9[Movimientos],0),3),0)</f>
        <v>(+)</v>
      </c>
      <c r="Z33" s="808">
        <f>IF(Comercial_Agricola[[#This Row],[Fecha Económico]]=0,0,MONTH(Comercial_Agricola[[#This Row],[Fecha Económico]]))</f>
        <v>0</v>
      </c>
      <c r="AA33" s="808">
        <f>IF(Comercial_Agricola[[#This Row],[Fecha Económico]]=0,0,YEAR(Comercial_Agricola[[#This Row],[Fecha Económico]]))</f>
        <v>0</v>
      </c>
      <c r="AB33" s="809">
        <f>SUMPRODUCT((Comercial_Agricola[[#This Row],[Mes Económico]]=Tipo_Cambio[Mes])*(Comercial_Agricola[[#This Row],[Año Económico]]=Tipo_Cambio[Año])*(Tipo_Cambio[$/U$S]))</f>
        <v>0</v>
      </c>
      <c r="AC33" s="809">
        <f>SUMPRODUCT((Comercial_Agricola[[#This Row],[Mes Económico]]=Tipo_Cambio[Mes])*(Comercial_Agricola[[#This Row],[Año Económico]]=Tipo_Cambio[Año])*(Tipo_Cambio[Actualización]))</f>
        <v>0</v>
      </c>
      <c r="AD33" s="808">
        <f>IF(ISNUMBER(Comercial_Agricola[[#This Row],[Fecha Financiero]])=TRUE,MONTH(Comercial_Agricola[[#This Row],[Fecha Financiero]]),0)</f>
        <v>0</v>
      </c>
      <c r="AE33" s="808">
        <f>IF(ISNUMBER(Comercial_Agricola[[#This Row],[Fecha Financiero]])=TRUE,YEAR(Comercial_Agricola[[#This Row],[Fecha Financiero]]),0)</f>
        <v>0</v>
      </c>
      <c r="AF33" s="809">
        <f>SUMPRODUCT((Comercial_Agricola[[#This Row],[Mes Financiero]]=Tipo_Cambio[Mes])*(Comercial_Agricola[[#This Row],[Año Financiero]]=Tipo_Cambio[Año])*(Tipo_Cambio[$/U$S]))</f>
        <v>0</v>
      </c>
      <c r="AG33" s="809">
        <f>SUMPRODUCT((Comercial_Agricola[[#This Row],[Mes Financiero]]=Tipo_Cambio[Mes])*(Comercial_Agricola[[#This Row],[Año Financiero]]=Tipo_Cambio[Año])*(Tipo_Cambio[Actualización]))</f>
        <v>0</v>
      </c>
    </row>
    <row r="34" spans="1:33" ht="15.75" outlineLevel="1" thickBot="1" x14ac:dyDescent="0.3">
      <c r="B34" s="354" t="s">
        <v>101</v>
      </c>
      <c r="C34" s="70"/>
      <c r="D34" s="645">
        <f>IFERROR(IF(Comercial_Agricola[[#This Row],[Producto]]=0,0,(SUMPRODUCT((Comercial_Agricola[[#This Row],[Producto]]=Producción_Ganadera[Producto Cesión])*(Producción_Ganadera[Cantidad])*(Producción_Ganadera[Fecha Económico]))+SUMPRODUCT((Comercial_Agricola[[#This Row],[Producto]]=Producción_Lecheria[Producto Cesión])*(Producción_Lecheria[Cantidad])*(Producción_Lecheria[Fecha Económico])))/Comercial_Agricola[[#This Row],[Toneladas]]),0)</f>
        <v>0</v>
      </c>
      <c r="E34" s="646"/>
      <c r="F34" s="780" t="str">
        <f t="shared" si="0"/>
        <v>2018-2019</v>
      </c>
      <c r="G34" s="781" t="str">
        <f t="shared" si="3"/>
        <v>Cesión de Granos</v>
      </c>
      <c r="H34" s="647"/>
      <c r="I34" s="792">
        <f>IFERROR(INDEX(Tabla811[],MATCH(Comercial_Agricola[[#This Row],[Unidad de Negocio]],Tabla811[Unidades de Negocio],0),2),0)</f>
        <v>0</v>
      </c>
      <c r="J34" s="648"/>
      <c r="K34" s="798">
        <f>IF(Comercial_Agricola[[#This Row],[Producto]]=0,0,SUMPRODUCT((Comercial_Agricola[[#This Row],[Producto]]=Producción_Ganadera[Producto Cesión])*(Producción_Ganadera[Cantidad]))+SUMPRODUCT((Comercial_Agricola[[#This Row],[Producto]]=Producción_Lecheria[Producto Cesión])*(Producción_Lecheria[Cantidad])))</f>
        <v>0</v>
      </c>
      <c r="L34" s="781">
        <f>IFERROR(Comercial_Agricola[[#This Row],[Económico U$S Dólares]]/Comercial_Agricola[[#This Row],[Toneladas]],0)</f>
        <v>0</v>
      </c>
      <c r="M34" s="358" t="s">
        <v>3</v>
      </c>
      <c r="N34" s="849">
        <f>-IF(Comercial_Agricola[[#This Row],[Producto]]=0,0,SUMPRODUCT((Comercial_Agricola[[#This Row],[Producto]]=Producción_Ganadera[Producto Cesión])*(Producción_Ganadera[Económico $Corrientes]))+SUMPRODUCT((Comercial_Agricola[[#This Row],[Producto]]=Producción_Lecheria[Producto Cesión])*(Producción_Lecheria[Económico $Corrientes])))</f>
        <v>0</v>
      </c>
      <c r="O34" s="850">
        <f>IFERROR(Comercial_Agricola[[#This Row],[Económico $Corrientes]]/Comercial_Agricola[[#This Row],[Indexación Económico]],0)</f>
        <v>0</v>
      </c>
      <c r="P34" s="851">
        <f>-IF(Comercial_Agricola[[#This Row],[Producto]]=0,0,SUMPRODUCT((Comercial_Agricola[[#This Row],[Producto]]=Producción_Ganadera[Producto Cesión])*(Producción_Ganadera[Económico U$S Dólares]))+SUMPRODUCT((Comercial_Agricola[[#This Row],[Producto]]=Producción_Lecheria[Producto Cesión])*(Producción_Lecheria[Económico U$S Dólares])))</f>
        <v>0</v>
      </c>
      <c r="Q34" s="850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34" s="850">
        <f>IFERROR(Comercial_Agricola[[#This Row],[Financiero $Corrientes]]/Comercial_Agricola[[#This Row],[Indexación Financiero]],0)</f>
        <v>0</v>
      </c>
      <c r="S34" s="85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34" s="852" t="str">
        <f>IFERROR(INDEX(Comercializacion_Granos_Cuentas[],MATCH(Comercial_Agricola[[#This Row],[Cuenta Contable]],Comercializacion_Granos_Cuentas[Cuenta Contable],0),2),0)</f>
        <v>Ingreso Cesión</v>
      </c>
      <c r="U34" s="818" t="str">
        <f>IFERROR(INDEX(Comercializacion_Granos_Cuentas[],MATCH(Comercial_Agricola[[#This Row],[Cuenta Contable]],Comercializacion_Granos_Cuentas[Cuenta Contable],0),3),0)</f>
        <v>Si</v>
      </c>
      <c r="V34" s="853">
        <f>IF(Comercial_Agricola[[#This Row],[Signo]]="(-)",1,-1)*IF(Comercial_Agricola[[#This Row],[Stock]]="SI",Comercial_Agricola[[#This Row],[Toneladas]],0)</f>
        <v>0</v>
      </c>
      <c r="W34" s="801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34" s="818" t="str">
        <f>IFERROR(INDEX(Tabla9[],MATCH(Comercial_Agricola[[#This Row],[Movimiento]],Tabla9[Movimientos],0),2),0)</f>
        <v>No</v>
      </c>
      <c r="Y34" s="819" t="str">
        <f>IFERROR(INDEX(Tabla9[],MATCH(Comercial_Agricola[[#This Row],[Movimiento]],Tabla9[Movimientos],0),3),0)</f>
        <v>(+)</v>
      </c>
      <c r="Z34" s="820">
        <f>IF(Comercial_Agricola[[#This Row],[Fecha Económico]]=0,0,MONTH(Comercial_Agricola[[#This Row],[Fecha Económico]]))</f>
        <v>0</v>
      </c>
      <c r="AA34" s="820">
        <f>IF(Comercial_Agricola[[#This Row],[Fecha Económico]]=0,0,YEAR(Comercial_Agricola[[#This Row],[Fecha Económico]]))</f>
        <v>0</v>
      </c>
      <c r="AB34" s="821">
        <f>SUMPRODUCT((Comercial_Agricola[[#This Row],[Mes Económico]]=Tipo_Cambio[Mes])*(Comercial_Agricola[[#This Row],[Año Económico]]=Tipo_Cambio[Año])*(Tipo_Cambio[$/U$S]))</f>
        <v>0</v>
      </c>
      <c r="AC34" s="821">
        <f>SUMPRODUCT((Comercial_Agricola[[#This Row],[Mes Económico]]=Tipo_Cambio[Mes])*(Comercial_Agricola[[#This Row],[Año Económico]]=Tipo_Cambio[Año])*(Tipo_Cambio[Actualización]))</f>
        <v>0</v>
      </c>
      <c r="AD34" s="820">
        <f>IF(ISNUMBER(Comercial_Agricola[[#This Row],[Fecha Financiero]])=TRUE,MONTH(Comercial_Agricola[[#This Row],[Fecha Financiero]]),0)</f>
        <v>0</v>
      </c>
      <c r="AE34" s="820">
        <f>IF(ISNUMBER(Comercial_Agricola[[#This Row],[Fecha Financiero]])=TRUE,YEAR(Comercial_Agricola[[#This Row],[Fecha Financiero]]),0)</f>
        <v>0</v>
      </c>
      <c r="AF34" s="821">
        <f>SUMPRODUCT((Comercial_Agricola[[#This Row],[Mes Financiero]]=Tipo_Cambio[Mes])*(Comercial_Agricola[[#This Row],[Año Financiero]]=Tipo_Cambio[Año])*(Tipo_Cambio[$/U$S]))</f>
        <v>0</v>
      </c>
      <c r="AG34" s="821">
        <f>SUMPRODUCT((Comercial_Agricola[[#This Row],[Mes Financiero]]=Tipo_Cambio[Mes])*(Comercial_Agricola[[#This Row],[Año Financiero]]=Tipo_Cambio[Año])*(Tipo_Cambio[Actualización]))</f>
        <v>0</v>
      </c>
    </row>
    <row r="35" spans="1:33" ht="15.75" thickTop="1" x14ac:dyDescent="0.25">
      <c r="B35" s="1135" t="s">
        <v>436</v>
      </c>
      <c r="D35" s="478">
        <v>43617</v>
      </c>
      <c r="E35" s="522">
        <v>43626</v>
      </c>
      <c r="F35" s="775" t="str">
        <f t="shared" si="0"/>
        <v>2018-2019</v>
      </c>
      <c r="G35" s="481" t="s">
        <v>171</v>
      </c>
      <c r="H35" s="481"/>
      <c r="I35" s="793">
        <f>IFERROR(INDEX(Tabla811[],MATCH(Comercial_Agricola[[#This Row],[Unidad de Negocio]],Tabla811[Unidades de Negocio],0),2),0)</f>
        <v>0</v>
      </c>
      <c r="J35" s="481"/>
      <c r="K35" s="550"/>
      <c r="L35" s="491"/>
      <c r="M35" s="41" t="s">
        <v>3</v>
      </c>
      <c r="N35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35" s="829">
        <f>IFERROR(Comercial_Agricola[[#This Row],[Económico $Corrientes]]/Comercial_Agricola[[#This Row],[Indexación Económico]],0)</f>
        <v>0</v>
      </c>
      <c r="P35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35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35" s="829">
        <f>IFERROR(Comercial_Agricola[[#This Row],[Financiero $Corrientes]]/Comercial_Agricola[[#This Row],[Indexación Financiero]],0)</f>
        <v>0</v>
      </c>
      <c r="S35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35" s="831" t="str">
        <f>IFERROR(INDEX(Comercializacion_Granos_Cuentas[],MATCH(Comercial_Agricola[[#This Row],[Cuenta Contable]],Comercializacion_Granos_Cuentas[Cuenta Contable],0),2),0)</f>
        <v>Ingreso</v>
      </c>
      <c r="U35" s="806" t="str">
        <f>IFERROR(INDEX(Comercializacion_Granos_Cuentas[],MATCH(Comercial_Agricola[[#This Row],[Cuenta Contable]],Comercializacion_Granos_Cuentas[Cuenta Contable],0),3),0)</f>
        <v>Si</v>
      </c>
      <c r="V35" s="832">
        <f>IF(Comercial_Agricola[[#This Row],[Signo]]="(-)",1,-1)*IF(Comercial_Agricola[[#This Row],[Stock]]="SI",Comercial_Agricola[[#This Row],[Toneladas]],0)</f>
        <v>0</v>
      </c>
      <c r="W35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35" s="806" t="str">
        <f>IFERROR(INDEX(Tabla9[],MATCH(Comercial_Agricola[[#This Row],[Movimiento]],Tabla9[Movimientos],0),2),0)</f>
        <v>Si</v>
      </c>
      <c r="Y35" s="807" t="str">
        <f>IFERROR(INDEX(Tabla9[],MATCH(Comercial_Agricola[[#This Row],[Movimiento]],Tabla9[Movimientos],0),3),0)</f>
        <v>(+)</v>
      </c>
      <c r="Z35" s="822">
        <f>IF(Comercial_Agricola[[#This Row],[Fecha Económico]]=0,0,MONTH(Comercial_Agricola[[#This Row],[Fecha Económico]]))</f>
        <v>6</v>
      </c>
      <c r="AA35" s="822">
        <f>IF(Comercial_Agricola[[#This Row],[Fecha Económico]]=0,0,YEAR(Comercial_Agricola[[#This Row],[Fecha Económico]]))</f>
        <v>2019</v>
      </c>
      <c r="AB35" s="823">
        <f>SUMPRODUCT((Comercial_Agricola[[#This Row],[Mes Económico]]=Tipo_Cambio[Mes])*(Comercial_Agricola[[#This Row],[Año Económico]]=Tipo_Cambio[Año])*(Tipo_Cambio[$/U$S]))</f>
        <v>24.544703626636963</v>
      </c>
      <c r="AC35" s="823">
        <f>SUMPRODUCT((Comercial_Agricola[[#This Row],[Mes Económico]]=Tipo_Cambio[Mes])*(Comercial_Agricola[[#This Row],[Año Económico]]=Tipo_Cambio[Año])*(Tipo_Cambio[Actualización]))</f>
        <v>1.2433743083946525</v>
      </c>
      <c r="AD35" s="822">
        <f>IF(ISNUMBER(Comercial_Agricola[[#This Row],[Fecha Financiero]])=TRUE,MONTH(Comercial_Agricola[[#This Row],[Fecha Financiero]]),0)</f>
        <v>6</v>
      </c>
      <c r="AE35" s="822">
        <f>IF(ISNUMBER(Comercial_Agricola[[#This Row],[Fecha Financiero]])=TRUE,YEAR(Comercial_Agricola[[#This Row],[Fecha Financiero]]),0)</f>
        <v>2019</v>
      </c>
      <c r="AF35" s="823">
        <f>SUMPRODUCT((Comercial_Agricola[[#This Row],[Mes Financiero]]=Tipo_Cambio[Mes])*(Comercial_Agricola[[#This Row],[Año Financiero]]=Tipo_Cambio[Año])*(Tipo_Cambio[$/U$S]))</f>
        <v>24.544703626636963</v>
      </c>
      <c r="AG35" s="823">
        <f>SUMPRODUCT((Comercial_Agricola[[#This Row],[Mes Financiero]]=Tipo_Cambio[Mes])*(Comercial_Agricola[[#This Row],[Año Financiero]]=Tipo_Cambio[Año])*(Tipo_Cambio[Actualización]))</f>
        <v>1.2433743083946525</v>
      </c>
    </row>
    <row r="36" spans="1:33" x14ac:dyDescent="0.25">
      <c r="B36" s="1135"/>
      <c r="D36" s="548">
        <f>D35</f>
        <v>43617</v>
      </c>
      <c r="E36" s="649">
        <f>E35</f>
        <v>43626</v>
      </c>
      <c r="F36" s="775" t="str">
        <f t="shared" si="0"/>
        <v>2018-2019</v>
      </c>
      <c r="G36" s="481" t="s">
        <v>72</v>
      </c>
      <c r="H36" s="481"/>
      <c r="I36" s="793">
        <f>IFERROR(INDEX(Tabla811[],MATCH(Comercial_Agricola[[#This Row],[Unidad de Negocio]],Tabla811[Unidades de Negocio],0),2),0)</f>
        <v>0</v>
      </c>
      <c r="J36" s="481"/>
      <c r="K36" s="550"/>
      <c r="L36" s="491"/>
      <c r="M36" s="41" t="s">
        <v>48</v>
      </c>
      <c r="N36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36" s="829">
        <f>IFERROR(Comercial_Agricola[[#This Row],[Económico $Corrientes]]/Comercial_Agricola[[#This Row],[Indexación Económico]],0)</f>
        <v>0</v>
      </c>
      <c r="P36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36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36" s="829">
        <f>IFERROR(Comercial_Agricola[[#This Row],[Financiero $Corrientes]]/Comercial_Agricola[[#This Row],[Indexación Financiero]],0)</f>
        <v>0</v>
      </c>
      <c r="S36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36" s="831" t="str">
        <f>IFERROR(INDEX(Comercializacion_Granos_Cuentas[],MATCH(Comercial_Agricola[[#This Row],[Cuenta Contable]],Comercializacion_Granos_Cuentas[Cuenta Contable],0),2),0)</f>
        <v>Egreso</v>
      </c>
      <c r="U36" s="806" t="str">
        <f>IFERROR(INDEX(Comercializacion_Granos_Cuentas[],MATCH(Comercial_Agricola[[#This Row],[Cuenta Contable]],Comercializacion_Granos_Cuentas[Cuenta Contable],0),3),0)</f>
        <v>No</v>
      </c>
      <c r="V36" s="832">
        <f>IF(Comercial_Agricola[[#This Row],[Signo]]="(-)",1,-1)*IF(Comercial_Agricola[[#This Row],[Stock]]="SI",Comercial_Agricola[[#This Row],[Toneladas]],0)</f>
        <v>0</v>
      </c>
      <c r="W36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36" s="806" t="str">
        <f>IFERROR(INDEX(Tabla9[],MATCH(Comercial_Agricola[[#This Row],[Movimiento]],Tabla9[Movimientos],0),2),0)</f>
        <v>Si</v>
      </c>
      <c r="Y36" s="807" t="str">
        <f>IFERROR(INDEX(Tabla9[],MATCH(Comercial_Agricola[[#This Row],[Movimiento]],Tabla9[Movimientos],0),3),0)</f>
        <v>(-)</v>
      </c>
      <c r="Z36" s="822">
        <f>IF(Comercial_Agricola[[#This Row],[Fecha Económico]]=0,0,MONTH(Comercial_Agricola[[#This Row],[Fecha Económico]]))</f>
        <v>6</v>
      </c>
      <c r="AA36" s="822">
        <f>IF(Comercial_Agricola[[#This Row],[Fecha Económico]]=0,0,YEAR(Comercial_Agricola[[#This Row],[Fecha Económico]]))</f>
        <v>2019</v>
      </c>
      <c r="AB36" s="823">
        <f>SUMPRODUCT((Comercial_Agricola[[#This Row],[Mes Económico]]=Tipo_Cambio[Mes])*(Comercial_Agricola[[#This Row],[Año Económico]]=Tipo_Cambio[Año])*(Tipo_Cambio[$/U$S]))</f>
        <v>24.544703626636963</v>
      </c>
      <c r="AC36" s="823">
        <f>SUMPRODUCT((Comercial_Agricola[[#This Row],[Mes Económico]]=Tipo_Cambio[Mes])*(Comercial_Agricola[[#This Row],[Año Económico]]=Tipo_Cambio[Año])*(Tipo_Cambio[Actualización]))</f>
        <v>1.2433743083946525</v>
      </c>
      <c r="AD36" s="822">
        <f>IF(ISNUMBER(Comercial_Agricola[[#This Row],[Fecha Financiero]])=TRUE,MONTH(Comercial_Agricola[[#This Row],[Fecha Financiero]]),0)</f>
        <v>6</v>
      </c>
      <c r="AE36" s="822">
        <f>IF(ISNUMBER(Comercial_Agricola[[#This Row],[Fecha Financiero]])=TRUE,YEAR(Comercial_Agricola[[#This Row],[Fecha Financiero]]),0)</f>
        <v>2019</v>
      </c>
      <c r="AF36" s="823">
        <f>SUMPRODUCT((Comercial_Agricola[[#This Row],[Mes Financiero]]=Tipo_Cambio[Mes])*(Comercial_Agricola[[#This Row],[Año Financiero]]=Tipo_Cambio[Año])*(Tipo_Cambio[$/U$S]))</f>
        <v>24.544703626636963</v>
      </c>
      <c r="AG36" s="823">
        <f>SUMPRODUCT((Comercial_Agricola[[#This Row],[Mes Financiero]]=Tipo_Cambio[Mes])*(Comercial_Agricola[[#This Row],[Año Financiero]]=Tipo_Cambio[Año])*(Tipo_Cambio[Actualización]))</f>
        <v>1.2433743083946525</v>
      </c>
    </row>
    <row r="37" spans="1:33" x14ac:dyDescent="0.25">
      <c r="B37" s="1135"/>
      <c r="D37" s="548">
        <f t="shared" ref="D37:D42" si="4">D36</f>
        <v>43617</v>
      </c>
      <c r="E37" s="649">
        <f t="shared" ref="E37:E41" si="5">E36</f>
        <v>43626</v>
      </c>
      <c r="F37" s="775" t="str">
        <f t="shared" ref="F37:F68" si="6">Campaña_Actual</f>
        <v>2018-2019</v>
      </c>
      <c r="G37" s="481" t="s">
        <v>73</v>
      </c>
      <c r="H37" s="481"/>
      <c r="I37" s="793">
        <f>IFERROR(INDEX(Tabla811[],MATCH(Comercial_Agricola[[#This Row],[Unidad de Negocio]],Tabla811[Unidades de Negocio],0),2),0)</f>
        <v>0</v>
      </c>
      <c r="J37" s="481"/>
      <c r="K37" s="550"/>
      <c r="L37" s="491"/>
      <c r="M37" s="41" t="s">
        <v>48</v>
      </c>
      <c r="N37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37" s="829">
        <f>IFERROR(Comercial_Agricola[[#This Row],[Económico $Corrientes]]/Comercial_Agricola[[#This Row],[Indexación Económico]],0)</f>
        <v>0</v>
      </c>
      <c r="P37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37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37" s="829">
        <f>IFERROR(Comercial_Agricola[[#This Row],[Financiero $Corrientes]]/Comercial_Agricola[[#This Row],[Indexación Financiero]],0)</f>
        <v>0</v>
      </c>
      <c r="S37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37" s="831" t="str">
        <f>IFERROR(INDEX(Comercializacion_Granos_Cuentas[],MATCH(Comercial_Agricola[[#This Row],[Cuenta Contable]],Comercializacion_Granos_Cuentas[Cuenta Contable],0),2),0)</f>
        <v>Egreso</v>
      </c>
      <c r="U37" s="806" t="str">
        <f>IFERROR(INDEX(Comercializacion_Granos_Cuentas[],MATCH(Comercial_Agricola[[#This Row],[Cuenta Contable]],Comercializacion_Granos_Cuentas[Cuenta Contable],0),3),0)</f>
        <v>No</v>
      </c>
      <c r="V37" s="832">
        <f>IF(Comercial_Agricola[[#This Row],[Signo]]="(-)",1,-1)*IF(Comercial_Agricola[[#This Row],[Stock]]="SI",Comercial_Agricola[[#This Row],[Toneladas]],0)</f>
        <v>0</v>
      </c>
      <c r="W37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37" s="806" t="str">
        <f>IFERROR(INDEX(Tabla9[],MATCH(Comercial_Agricola[[#This Row],[Movimiento]],Tabla9[Movimientos],0),2),0)</f>
        <v>Si</v>
      </c>
      <c r="Y37" s="807" t="str">
        <f>IFERROR(INDEX(Tabla9[],MATCH(Comercial_Agricola[[#This Row],[Movimiento]],Tabla9[Movimientos],0),3),0)</f>
        <v>(-)</v>
      </c>
      <c r="Z37" s="822">
        <f>IF(Comercial_Agricola[[#This Row],[Fecha Económico]]=0,0,MONTH(Comercial_Agricola[[#This Row],[Fecha Económico]]))</f>
        <v>6</v>
      </c>
      <c r="AA37" s="822">
        <f>IF(Comercial_Agricola[[#This Row],[Fecha Económico]]=0,0,YEAR(Comercial_Agricola[[#This Row],[Fecha Económico]]))</f>
        <v>2019</v>
      </c>
      <c r="AB37" s="823">
        <f>SUMPRODUCT((Comercial_Agricola[[#This Row],[Mes Económico]]=Tipo_Cambio[Mes])*(Comercial_Agricola[[#This Row],[Año Económico]]=Tipo_Cambio[Año])*(Tipo_Cambio[$/U$S]))</f>
        <v>24.544703626636963</v>
      </c>
      <c r="AC37" s="823">
        <f>SUMPRODUCT((Comercial_Agricola[[#This Row],[Mes Económico]]=Tipo_Cambio[Mes])*(Comercial_Agricola[[#This Row],[Año Económico]]=Tipo_Cambio[Año])*(Tipo_Cambio[Actualización]))</f>
        <v>1.2433743083946525</v>
      </c>
      <c r="AD37" s="822">
        <f>IF(ISNUMBER(Comercial_Agricola[[#This Row],[Fecha Financiero]])=TRUE,MONTH(Comercial_Agricola[[#This Row],[Fecha Financiero]]),0)</f>
        <v>6</v>
      </c>
      <c r="AE37" s="822">
        <f>IF(ISNUMBER(Comercial_Agricola[[#This Row],[Fecha Financiero]])=TRUE,YEAR(Comercial_Agricola[[#This Row],[Fecha Financiero]]),0)</f>
        <v>2019</v>
      </c>
      <c r="AF37" s="823">
        <f>SUMPRODUCT((Comercial_Agricola[[#This Row],[Mes Financiero]]=Tipo_Cambio[Mes])*(Comercial_Agricola[[#This Row],[Año Financiero]]=Tipo_Cambio[Año])*(Tipo_Cambio[$/U$S]))</f>
        <v>24.544703626636963</v>
      </c>
      <c r="AG37" s="823">
        <f>SUMPRODUCT((Comercial_Agricola[[#This Row],[Mes Financiero]]=Tipo_Cambio[Mes])*(Comercial_Agricola[[#This Row],[Año Financiero]]=Tipo_Cambio[Año])*(Tipo_Cambio[Actualización]))</f>
        <v>1.2433743083946525</v>
      </c>
    </row>
    <row r="38" spans="1:33" x14ac:dyDescent="0.25">
      <c r="B38" s="362" t="s">
        <v>461</v>
      </c>
      <c r="D38" s="548">
        <f t="shared" si="4"/>
        <v>43617</v>
      </c>
      <c r="E38" s="649">
        <f t="shared" si="5"/>
        <v>43626</v>
      </c>
      <c r="F38" s="775" t="str">
        <f t="shared" si="6"/>
        <v>2018-2019</v>
      </c>
      <c r="G38" s="481" t="s">
        <v>74</v>
      </c>
      <c r="H38" s="481"/>
      <c r="I38" s="793">
        <f>IFERROR(INDEX(Tabla811[],MATCH(Comercial_Agricola[[#This Row],[Unidad de Negocio]],Tabla811[Unidades de Negocio],0),2),0)</f>
        <v>0</v>
      </c>
      <c r="J38" s="481"/>
      <c r="K38" s="550"/>
      <c r="L38" s="491"/>
      <c r="M38" s="41" t="s">
        <v>3</v>
      </c>
      <c r="N38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38" s="829">
        <f>IFERROR(Comercial_Agricola[[#This Row],[Económico $Corrientes]]/Comercial_Agricola[[#This Row],[Indexación Económico]],0)</f>
        <v>0</v>
      </c>
      <c r="P38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38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38" s="829">
        <f>IFERROR(Comercial_Agricola[[#This Row],[Financiero $Corrientes]]/Comercial_Agricola[[#This Row],[Indexación Financiero]],0)</f>
        <v>0</v>
      </c>
      <c r="S38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38" s="831" t="str">
        <f>IFERROR(INDEX(Comercializacion_Granos_Cuentas[],MATCH(Comercial_Agricola[[#This Row],[Cuenta Contable]],Comercializacion_Granos_Cuentas[Cuenta Contable],0),2),0)</f>
        <v>Egreso</v>
      </c>
      <c r="U38" s="806" t="str">
        <f>IFERROR(INDEX(Comercializacion_Granos_Cuentas[],MATCH(Comercial_Agricola[[#This Row],[Cuenta Contable]],Comercializacion_Granos_Cuentas[Cuenta Contable],0),3),0)</f>
        <v>No</v>
      </c>
      <c r="V38" s="832">
        <f>IF(Comercial_Agricola[[#This Row],[Signo]]="(-)",1,-1)*IF(Comercial_Agricola[[#This Row],[Stock]]="SI",Comercial_Agricola[[#This Row],[Toneladas]],0)</f>
        <v>0</v>
      </c>
      <c r="W38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38" s="806" t="str">
        <f>IFERROR(INDEX(Tabla9[],MATCH(Comercial_Agricola[[#This Row],[Movimiento]],Tabla9[Movimientos],0),2),0)</f>
        <v>Si</v>
      </c>
      <c r="Y38" s="807" t="str">
        <f>IFERROR(INDEX(Tabla9[],MATCH(Comercial_Agricola[[#This Row],[Movimiento]],Tabla9[Movimientos],0),3),0)</f>
        <v>(-)</v>
      </c>
      <c r="Z38" s="822">
        <f>IF(Comercial_Agricola[[#This Row],[Fecha Económico]]=0,0,MONTH(Comercial_Agricola[[#This Row],[Fecha Económico]]))</f>
        <v>6</v>
      </c>
      <c r="AA38" s="822">
        <f>IF(Comercial_Agricola[[#This Row],[Fecha Económico]]=0,0,YEAR(Comercial_Agricola[[#This Row],[Fecha Económico]]))</f>
        <v>2019</v>
      </c>
      <c r="AB38" s="823">
        <f>SUMPRODUCT((Comercial_Agricola[[#This Row],[Mes Económico]]=Tipo_Cambio[Mes])*(Comercial_Agricola[[#This Row],[Año Económico]]=Tipo_Cambio[Año])*(Tipo_Cambio[$/U$S]))</f>
        <v>24.544703626636963</v>
      </c>
      <c r="AC38" s="823">
        <f>SUMPRODUCT((Comercial_Agricola[[#This Row],[Mes Económico]]=Tipo_Cambio[Mes])*(Comercial_Agricola[[#This Row],[Año Económico]]=Tipo_Cambio[Año])*(Tipo_Cambio[Actualización]))</f>
        <v>1.2433743083946525</v>
      </c>
      <c r="AD38" s="822">
        <f>IF(ISNUMBER(Comercial_Agricola[[#This Row],[Fecha Financiero]])=TRUE,MONTH(Comercial_Agricola[[#This Row],[Fecha Financiero]]),0)</f>
        <v>6</v>
      </c>
      <c r="AE38" s="822">
        <f>IF(ISNUMBER(Comercial_Agricola[[#This Row],[Fecha Financiero]])=TRUE,YEAR(Comercial_Agricola[[#This Row],[Fecha Financiero]]),0)</f>
        <v>2019</v>
      </c>
      <c r="AF38" s="823">
        <f>SUMPRODUCT((Comercial_Agricola[[#This Row],[Mes Financiero]]=Tipo_Cambio[Mes])*(Comercial_Agricola[[#This Row],[Año Financiero]]=Tipo_Cambio[Año])*(Tipo_Cambio[$/U$S]))</f>
        <v>24.544703626636963</v>
      </c>
      <c r="AG38" s="823">
        <f>SUMPRODUCT((Comercial_Agricola[[#This Row],[Mes Financiero]]=Tipo_Cambio[Mes])*(Comercial_Agricola[[#This Row],[Año Financiero]]=Tipo_Cambio[Año])*(Tipo_Cambio[Actualización]))</f>
        <v>1.2433743083946525</v>
      </c>
    </row>
    <row r="39" spans="1:33" x14ac:dyDescent="0.25">
      <c r="D39" s="548">
        <f t="shared" si="4"/>
        <v>43617</v>
      </c>
      <c r="E39" s="649">
        <f t="shared" si="5"/>
        <v>43626</v>
      </c>
      <c r="F39" s="775" t="str">
        <f t="shared" si="6"/>
        <v>2018-2019</v>
      </c>
      <c r="G39" s="481" t="s">
        <v>75</v>
      </c>
      <c r="H39" s="481"/>
      <c r="I39" s="793">
        <f>IFERROR(INDEX(Tabla811[],MATCH(Comercial_Agricola[[#This Row],[Unidad de Negocio]],Tabla811[Unidades de Negocio],0),2),0)</f>
        <v>0</v>
      </c>
      <c r="J39" s="481"/>
      <c r="K39" s="550"/>
      <c r="L39" s="491"/>
      <c r="M39" s="41" t="s">
        <v>3</v>
      </c>
      <c r="N39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39" s="829">
        <f>IFERROR(Comercial_Agricola[[#This Row],[Económico $Corrientes]]/Comercial_Agricola[[#This Row],[Indexación Económico]],0)</f>
        <v>0</v>
      </c>
      <c r="P39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39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39" s="829">
        <f>IFERROR(Comercial_Agricola[[#This Row],[Financiero $Corrientes]]/Comercial_Agricola[[#This Row],[Indexación Financiero]],0)</f>
        <v>0</v>
      </c>
      <c r="S39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39" s="831" t="str">
        <f>IFERROR(INDEX(Comercializacion_Granos_Cuentas[],MATCH(Comercial_Agricola[[#This Row],[Cuenta Contable]],Comercializacion_Granos_Cuentas[Cuenta Contable],0),2),0)</f>
        <v>Egreso</v>
      </c>
      <c r="U39" s="806" t="str">
        <f>IFERROR(INDEX(Comercializacion_Granos_Cuentas[],MATCH(Comercial_Agricola[[#This Row],[Cuenta Contable]],Comercializacion_Granos_Cuentas[Cuenta Contable],0),3),0)</f>
        <v>No</v>
      </c>
      <c r="V39" s="832">
        <f>IF(Comercial_Agricola[[#This Row],[Signo]]="(-)",1,-1)*IF(Comercial_Agricola[[#This Row],[Stock]]="SI",Comercial_Agricola[[#This Row],[Toneladas]],0)</f>
        <v>0</v>
      </c>
      <c r="W39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39" s="806" t="str">
        <f>IFERROR(INDEX(Tabla9[],MATCH(Comercial_Agricola[[#This Row],[Movimiento]],Tabla9[Movimientos],0),2),0)</f>
        <v>Si</v>
      </c>
      <c r="Y39" s="807" t="str">
        <f>IFERROR(INDEX(Tabla9[],MATCH(Comercial_Agricola[[#This Row],[Movimiento]],Tabla9[Movimientos],0),3),0)</f>
        <v>(-)</v>
      </c>
      <c r="Z39" s="822">
        <f>IF(Comercial_Agricola[[#This Row],[Fecha Económico]]=0,0,MONTH(Comercial_Agricola[[#This Row],[Fecha Económico]]))</f>
        <v>6</v>
      </c>
      <c r="AA39" s="822">
        <f>IF(Comercial_Agricola[[#This Row],[Fecha Económico]]=0,0,YEAR(Comercial_Agricola[[#This Row],[Fecha Económico]]))</f>
        <v>2019</v>
      </c>
      <c r="AB39" s="823">
        <f>SUMPRODUCT((Comercial_Agricola[[#This Row],[Mes Económico]]=Tipo_Cambio[Mes])*(Comercial_Agricola[[#This Row],[Año Económico]]=Tipo_Cambio[Año])*(Tipo_Cambio[$/U$S]))</f>
        <v>24.544703626636963</v>
      </c>
      <c r="AC39" s="823">
        <f>SUMPRODUCT((Comercial_Agricola[[#This Row],[Mes Económico]]=Tipo_Cambio[Mes])*(Comercial_Agricola[[#This Row],[Año Económico]]=Tipo_Cambio[Año])*(Tipo_Cambio[Actualización]))</f>
        <v>1.2433743083946525</v>
      </c>
      <c r="AD39" s="822">
        <f>IF(ISNUMBER(Comercial_Agricola[[#This Row],[Fecha Financiero]])=TRUE,MONTH(Comercial_Agricola[[#This Row],[Fecha Financiero]]),0)</f>
        <v>6</v>
      </c>
      <c r="AE39" s="822">
        <f>IF(ISNUMBER(Comercial_Agricola[[#This Row],[Fecha Financiero]])=TRUE,YEAR(Comercial_Agricola[[#This Row],[Fecha Financiero]]),0)</f>
        <v>2019</v>
      </c>
      <c r="AF39" s="823">
        <f>SUMPRODUCT((Comercial_Agricola[[#This Row],[Mes Financiero]]=Tipo_Cambio[Mes])*(Comercial_Agricola[[#This Row],[Año Financiero]]=Tipo_Cambio[Año])*(Tipo_Cambio[$/U$S]))</f>
        <v>24.544703626636963</v>
      </c>
      <c r="AG39" s="823">
        <f>SUMPRODUCT((Comercial_Agricola[[#This Row],[Mes Financiero]]=Tipo_Cambio[Mes])*(Comercial_Agricola[[#This Row],[Año Financiero]]=Tipo_Cambio[Año])*(Tipo_Cambio[Actualización]))</f>
        <v>1.2433743083946525</v>
      </c>
    </row>
    <row r="40" spans="1:33" x14ac:dyDescent="0.25">
      <c r="D40" s="548">
        <f t="shared" si="4"/>
        <v>43617</v>
      </c>
      <c r="E40" s="649">
        <f t="shared" si="5"/>
        <v>43626</v>
      </c>
      <c r="F40" s="775" t="str">
        <f t="shared" si="6"/>
        <v>2018-2019</v>
      </c>
      <c r="G40" s="481" t="s">
        <v>76</v>
      </c>
      <c r="H40" s="481"/>
      <c r="I40" s="793">
        <f>IFERROR(INDEX(Tabla811[],MATCH(Comercial_Agricola[[#This Row],[Unidad de Negocio]],Tabla811[Unidades de Negocio],0),2),0)</f>
        <v>0</v>
      </c>
      <c r="J40" s="481"/>
      <c r="K40" s="550"/>
      <c r="L40" s="491"/>
      <c r="M40" s="41" t="s">
        <v>3</v>
      </c>
      <c r="N40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40" s="829">
        <f>IFERROR(Comercial_Agricola[[#This Row],[Económico $Corrientes]]/Comercial_Agricola[[#This Row],[Indexación Económico]],0)</f>
        <v>0</v>
      </c>
      <c r="P40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40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40" s="829">
        <f>IFERROR(Comercial_Agricola[[#This Row],[Financiero $Corrientes]]/Comercial_Agricola[[#This Row],[Indexación Financiero]],0)</f>
        <v>0</v>
      </c>
      <c r="S40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40" s="831" t="str">
        <f>IFERROR(INDEX(Comercializacion_Granos_Cuentas[],MATCH(Comercial_Agricola[[#This Row],[Cuenta Contable]],Comercializacion_Granos_Cuentas[Cuenta Contable],0),2),0)</f>
        <v>Egreso</v>
      </c>
      <c r="U40" s="806" t="str">
        <f>IFERROR(INDEX(Comercializacion_Granos_Cuentas[],MATCH(Comercial_Agricola[[#This Row],[Cuenta Contable]],Comercializacion_Granos_Cuentas[Cuenta Contable],0),3),0)</f>
        <v>No</v>
      </c>
      <c r="V40" s="832">
        <f>IF(Comercial_Agricola[[#This Row],[Signo]]="(-)",1,-1)*IF(Comercial_Agricola[[#This Row],[Stock]]="SI",Comercial_Agricola[[#This Row],[Toneladas]],0)</f>
        <v>0</v>
      </c>
      <c r="W40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40" s="806" t="str">
        <f>IFERROR(INDEX(Tabla9[],MATCH(Comercial_Agricola[[#This Row],[Movimiento]],Tabla9[Movimientos],0),2),0)</f>
        <v>Si</v>
      </c>
      <c r="Y40" s="807" t="str">
        <f>IFERROR(INDEX(Tabla9[],MATCH(Comercial_Agricola[[#This Row],[Movimiento]],Tabla9[Movimientos],0),3),0)</f>
        <v>(-)</v>
      </c>
      <c r="Z40" s="822">
        <f>IF(Comercial_Agricola[[#This Row],[Fecha Económico]]=0,0,MONTH(Comercial_Agricola[[#This Row],[Fecha Económico]]))</f>
        <v>6</v>
      </c>
      <c r="AA40" s="822">
        <f>IF(Comercial_Agricola[[#This Row],[Fecha Económico]]=0,0,YEAR(Comercial_Agricola[[#This Row],[Fecha Económico]]))</f>
        <v>2019</v>
      </c>
      <c r="AB40" s="823">
        <f>SUMPRODUCT((Comercial_Agricola[[#This Row],[Mes Económico]]=Tipo_Cambio[Mes])*(Comercial_Agricola[[#This Row],[Año Económico]]=Tipo_Cambio[Año])*(Tipo_Cambio[$/U$S]))</f>
        <v>24.544703626636963</v>
      </c>
      <c r="AC40" s="823">
        <f>SUMPRODUCT((Comercial_Agricola[[#This Row],[Mes Económico]]=Tipo_Cambio[Mes])*(Comercial_Agricola[[#This Row],[Año Económico]]=Tipo_Cambio[Año])*(Tipo_Cambio[Actualización]))</f>
        <v>1.2433743083946525</v>
      </c>
      <c r="AD40" s="822">
        <f>IF(ISNUMBER(Comercial_Agricola[[#This Row],[Fecha Financiero]])=TRUE,MONTH(Comercial_Agricola[[#This Row],[Fecha Financiero]]),0)</f>
        <v>6</v>
      </c>
      <c r="AE40" s="822">
        <f>IF(ISNUMBER(Comercial_Agricola[[#This Row],[Fecha Financiero]])=TRUE,YEAR(Comercial_Agricola[[#This Row],[Fecha Financiero]]),0)</f>
        <v>2019</v>
      </c>
      <c r="AF40" s="823">
        <f>SUMPRODUCT((Comercial_Agricola[[#This Row],[Mes Financiero]]=Tipo_Cambio[Mes])*(Comercial_Agricola[[#This Row],[Año Financiero]]=Tipo_Cambio[Año])*(Tipo_Cambio[$/U$S]))</f>
        <v>24.544703626636963</v>
      </c>
      <c r="AG40" s="823">
        <f>SUMPRODUCT((Comercial_Agricola[[#This Row],[Mes Financiero]]=Tipo_Cambio[Mes])*(Comercial_Agricola[[#This Row],[Año Financiero]]=Tipo_Cambio[Año])*(Tipo_Cambio[Actualización]))</f>
        <v>1.2433743083946525</v>
      </c>
    </row>
    <row r="41" spans="1:33" x14ac:dyDescent="0.25">
      <c r="D41" s="548">
        <f t="shared" si="4"/>
        <v>43617</v>
      </c>
      <c r="E41" s="649">
        <f t="shared" si="5"/>
        <v>43626</v>
      </c>
      <c r="F41" s="783" t="str">
        <f t="shared" si="6"/>
        <v>2018-2019</v>
      </c>
      <c r="G41" s="481" t="s">
        <v>96</v>
      </c>
      <c r="H41" s="481"/>
      <c r="I41" s="794">
        <f>IFERROR(INDEX(Tabla811[],MATCH(Comercial_Agricola[[#This Row],[Unidad de Negocio]],Tabla811[Unidades de Negocio],0),2),0)</f>
        <v>0</v>
      </c>
      <c r="J41" s="481"/>
      <c r="K41" s="550"/>
      <c r="L41" s="491"/>
      <c r="M41" s="40"/>
      <c r="N41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41" s="829">
        <f>IFERROR(Comercial_Agricola[[#This Row],[Económico $Corrientes]]/Comercial_Agricola[[#This Row],[Indexación Económico]],0)</f>
        <v>0</v>
      </c>
      <c r="P41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41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41" s="829">
        <f>IFERROR(Comercial_Agricola[[#This Row],[Financiero $Corrientes]]/Comercial_Agricola[[#This Row],[Indexación Financiero]],0)</f>
        <v>0</v>
      </c>
      <c r="S41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41" s="834" t="str">
        <f>IFERROR(INDEX(Comercializacion_Granos_Cuentas[],MATCH(Comercial_Agricola[[#This Row],[Cuenta Contable]],Comercializacion_Granos_Cuentas[Cuenta Contable],0),2),0)</f>
        <v>Egreso</v>
      </c>
      <c r="U41" s="835" t="str">
        <f>IFERROR(INDEX(Comercializacion_Granos_Cuentas[],MATCH(Comercial_Agricola[[#This Row],[Cuenta Contable]],Comercializacion_Granos_Cuentas[Cuenta Contable],0),3),0)</f>
        <v>No</v>
      </c>
      <c r="V41" s="836">
        <f>IF(Comercial_Agricola[[#This Row],[Signo]]="(-)",1,-1)*IF(Comercial_Agricola[[#This Row],[Stock]]="SI",Comercial_Agricola[[#This Row],[Toneladas]],0)</f>
        <v>0</v>
      </c>
      <c r="W41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41" s="806" t="str">
        <f>IFERROR(INDEX(Tabla9[],MATCH(Comercial_Agricola[[#This Row],[Movimiento]],Tabla9[Movimientos],0),2),0)</f>
        <v>Si</v>
      </c>
      <c r="Y41" s="807" t="str">
        <f>IFERROR(INDEX(Tabla9[],MATCH(Comercial_Agricola[[#This Row],[Movimiento]],Tabla9[Movimientos],0),3),0)</f>
        <v>(-)</v>
      </c>
      <c r="Z41" s="822">
        <f>IF(Comercial_Agricola[[#This Row],[Fecha Económico]]=0,0,MONTH(Comercial_Agricola[[#This Row],[Fecha Económico]]))</f>
        <v>6</v>
      </c>
      <c r="AA41" s="822">
        <f>IF(Comercial_Agricola[[#This Row],[Fecha Económico]]=0,0,YEAR(Comercial_Agricola[[#This Row],[Fecha Económico]]))</f>
        <v>2019</v>
      </c>
      <c r="AB41" s="823">
        <f>SUMPRODUCT((Comercial_Agricola[[#This Row],[Mes Económico]]=Tipo_Cambio[Mes])*(Comercial_Agricola[[#This Row],[Año Económico]]=Tipo_Cambio[Año])*(Tipo_Cambio[$/U$S]))</f>
        <v>24.544703626636963</v>
      </c>
      <c r="AC41" s="823">
        <f>SUMPRODUCT((Comercial_Agricola[[#This Row],[Mes Económico]]=Tipo_Cambio[Mes])*(Comercial_Agricola[[#This Row],[Año Económico]]=Tipo_Cambio[Año])*(Tipo_Cambio[Actualización]))</f>
        <v>1.2433743083946525</v>
      </c>
      <c r="AD41" s="822">
        <f>IF(ISNUMBER(Comercial_Agricola[[#This Row],[Fecha Financiero]])=TRUE,MONTH(Comercial_Agricola[[#This Row],[Fecha Financiero]]),0)</f>
        <v>6</v>
      </c>
      <c r="AE41" s="822">
        <f>IF(ISNUMBER(Comercial_Agricola[[#This Row],[Fecha Financiero]])=TRUE,YEAR(Comercial_Agricola[[#This Row],[Fecha Financiero]]),0)</f>
        <v>2019</v>
      </c>
      <c r="AF41" s="823">
        <f>SUMPRODUCT((Comercial_Agricola[[#This Row],[Mes Financiero]]=Tipo_Cambio[Mes])*(Comercial_Agricola[[#This Row],[Año Financiero]]=Tipo_Cambio[Año])*(Tipo_Cambio[$/U$S]))</f>
        <v>24.544703626636963</v>
      </c>
      <c r="AG41" s="823">
        <f>SUMPRODUCT((Comercial_Agricola[[#This Row],[Mes Financiero]]=Tipo_Cambio[Mes])*(Comercial_Agricola[[#This Row],[Año Financiero]]=Tipo_Cambio[Año])*(Tipo_Cambio[Actualización]))</f>
        <v>1.2433743083946525</v>
      </c>
    </row>
    <row r="42" spans="1:33" x14ac:dyDescent="0.25">
      <c r="D42" s="582">
        <f t="shared" si="4"/>
        <v>43617</v>
      </c>
      <c r="E42" s="610"/>
      <c r="F42" s="784" t="str">
        <f t="shared" si="6"/>
        <v>2018-2019</v>
      </c>
      <c r="G42" s="538" t="s">
        <v>203</v>
      </c>
      <c r="H42" s="538"/>
      <c r="I42" s="795">
        <f>IFERROR(INDEX(Tabla811[],MATCH(Comercial_Agricola[[#This Row],[Unidad de Negocio]],Tabla811[Unidades de Negocio],0),2),0)</f>
        <v>0</v>
      </c>
      <c r="J42" s="538"/>
      <c r="K42" s="587"/>
      <c r="L42" s="538"/>
      <c r="M42" s="359"/>
      <c r="N42" s="854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42" s="855">
        <f>IFERROR(Comercial_Agricola[[#This Row],[Económico $Corrientes]]/Comercial_Agricola[[#This Row],[Indexación Económico]],0)</f>
        <v>0</v>
      </c>
      <c r="P42" s="856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42" s="857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42" s="855">
        <f>IFERROR(Comercial_Agricola[[#This Row],[Financiero $Corrientes]]/Comercial_Agricola[[#This Row],[Indexación Financiero]],0)</f>
        <v>0</v>
      </c>
      <c r="S42" s="856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42" s="858" t="str">
        <f>IFERROR(INDEX(Comercializacion_Granos_Cuentas[],MATCH(Comercial_Agricola[[#This Row],[Cuenta Contable]],Comercializacion_Granos_Cuentas[Cuenta Contable],0),2),0)</f>
        <v>Egreso Cesión</v>
      </c>
      <c r="U42" s="859" t="str">
        <f>IFERROR(INDEX(Comercializacion_Granos_Cuentas[],MATCH(Comercial_Agricola[[#This Row],[Cuenta Contable]],Comercializacion_Granos_Cuentas[Cuenta Contable],0),3),0)</f>
        <v>No</v>
      </c>
      <c r="V42" s="860">
        <f>IF(Comercial_Agricola[[#This Row],[Signo]]="(-)",1,-1)*IF(Comercial_Agricola[[#This Row],[Stock]]="SI",Comercial_Agricola[[#This Row],[Toneladas]],0)</f>
        <v>0</v>
      </c>
      <c r="W42" s="8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42" s="806" t="str">
        <f>IFERROR(INDEX(Tabla9[],MATCH(Comercial_Agricola[[#This Row],[Movimiento]],Tabla9[Movimientos],0),2),0)</f>
        <v>No</v>
      </c>
      <c r="Y42" s="807" t="str">
        <f>IFERROR(INDEX(Tabla9[],MATCH(Comercial_Agricola[[#This Row],[Movimiento]],Tabla9[Movimientos],0),3),0)</f>
        <v>(-)</v>
      </c>
      <c r="Z42" s="822">
        <f>IF(Comercial_Agricola[[#This Row],[Fecha Económico]]=0,0,MONTH(Comercial_Agricola[[#This Row],[Fecha Económico]]))</f>
        <v>6</v>
      </c>
      <c r="AA42" s="822">
        <f>IF(Comercial_Agricola[[#This Row],[Fecha Económico]]=0,0,YEAR(Comercial_Agricola[[#This Row],[Fecha Económico]]))</f>
        <v>2019</v>
      </c>
      <c r="AB42" s="823">
        <f>SUMPRODUCT((Comercial_Agricola[[#This Row],[Mes Económico]]=Tipo_Cambio[Mes])*(Comercial_Agricola[[#This Row],[Año Económico]]=Tipo_Cambio[Año])*(Tipo_Cambio[$/U$S]))</f>
        <v>24.544703626636963</v>
      </c>
      <c r="AC42" s="823">
        <f>SUMPRODUCT((Comercial_Agricola[[#This Row],[Mes Económico]]=Tipo_Cambio[Mes])*(Comercial_Agricola[[#This Row],[Año Económico]]=Tipo_Cambio[Año])*(Tipo_Cambio[Actualización]))</f>
        <v>1.2433743083946525</v>
      </c>
      <c r="AD42" s="822">
        <f>IF(ISNUMBER(Comercial_Agricola[[#This Row],[Fecha Financiero]])=TRUE,MONTH(Comercial_Agricola[[#This Row],[Fecha Financiero]]),0)</f>
        <v>0</v>
      </c>
      <c r="AE42" s="822">
        <f>IF(ISNUMBER(Comercial_Agricola[[#This Row],[Fecha Financiero]])=TRUE,YEAR(Comercial_Agricola[[#This Row],[Fecha Financiero]]),0)</f>
        <v>0</v>
      </c>
      <c r="AF42" s="823">
        <f>SUMPRODUCT((Comercial_Agricola[[#This Row],[Mes Financiero]]=Tipo_Cambio[Mes])*(Comercial_Agricola[[#This Row],[Año Financiero]]=Tipo_Cambio[Año])*(Tipo_Cambio[$/U$S]))</f>
        <v>0</v>
      </c>
      <c r="AG42" s="823">
        <f>SUMPRODUCT((Comercial_Agricola[[#This Row],[Mes Financiero]]=Tipo_Cambio[Mes])*(Comercial_Agricola[[#This Row],[Año Financiero]]=Tipo_Cambio[Año])*(Tipo_Cambio[Actualización]))</f>
        <v>0</v>
      </c>
    </row>
    <row r="43" spans="1:33" x14ac:dyDescent="0.25">
      <c r="D43" s="478">
        <v>43466</v>
      </c>
      <c r="E43" s="522">
        <v>43475</v>
      </c>
      <c r="F43" s="775" t="str">
        <f t="shared" si="6"/>
        <v>2018-2019</v>
      </c>
      <c r="G43" s="481" t="s">
        <v>171</v>
      </c>
      <c r="H43" s="481"/>
      <c r="I43" s="793">
        <f>IFERROR(INDEX(Tabla811[],MATCH(Comercial_Agricola[[#This Row],[Unidad de Negocio]],Tabla811[Unidades de Negocio],0),2),0)</f>
        <v>0</v>
      </c>
      <c r="J43" s="481"/>
      <c r="K43" s="550"/>
      <c r="L43" s="491"/>
      <c r="M43" s="41" t="s">
        <v>48</v>
      </c>
      <c r="N43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43" s="829">
        <f>IFERROR(Comercial_Agricola[[#This Row],[Económico $Corrientes]]/Comercial_Agricola[[#This Row],[Indexación Económico]],0)</f>
        <v>0</v>
      </c>
      <c r="P43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43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43" s="829">
        <f>IFERROR(Comercial_Agricola[[#This Row],[Financiero $Corrientes]]/Comercial_Agricola[[#This Row],[Indexación Financiero]],0)</f>
        <v>0</v>
      </c>
      <c r="S43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43" s="831" t="str">
        <f>IFERROR(INDEX(Comercializacion_Granos_Cuentas[],MATCH(Comercial_Agricola[[#This Row],[Cuenta Contable]],Comercializacion_Granos_Cuentas[Cuenta Contable],0),2),0)</f>
        <v>Ingreso</v>
      </c>
      <c r="U43" s="806" t="str">
        <f>IFERROR(INDEX(Comercializacion_Granos_Cuentas[],MATCH(Comercial_Agricola[[#This Row],[Cuenta Contable]],Comercializacion_Granos_Cuentas[Cuenta Contable],0),3),0)</f>
        <v>Si</v>
      </c>
      <c r="V43" s="832">
        <f>IF(Comercial_Agricola[[#This Row],[Signo]]="(-)",1,-1)*IF(Comercial_Agricola[[#This Row],[Stock]]="SI",Comercial_Agricola[[#This Row],[Toneladas]],0)</f>
        <v>0</v>
      </c>
      <c r="W43" s="803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43" s="824" t="str">
        <f>IFERROR(INDEX(Tabla9[],MATCH(Comercial_Agricola[[#This Row],[Movimiento]],Tabla9[Movimientos],0),2),0)</f>
        <v>Si</v>
      </c>
      <c r="Y43" s="825" t="str">
        <f>IFERROR(INDEX(Tabla9[],MATCH(Comercial_Agricola[[#This Row],[Movimiento]],Tabla9[Movimientos],0),3),0)</f>
        <v>(+)</v>
      </c>
      <c r="Z43" s="826">
        <f>IF(Comercial_Agricola[[#This Row],[Fecha Económico]]=0,0,MONTH(Comercial_Agricola[[#This Row],[Fecha Económico]]))</f>
        <v>1</v>
      </c>
      <c r="AA43" s="826">
        <f>IF(Comercial_Agricola[[#This Row],[Fecha Económico]]=0,0,YEAR(Comercial_Agricola[[#This Row],[Fecha Económico]]))</f>
        <v>2019</v>
      </c>
      <c r="AB43" s="827">
        <f>SUMPRODUCT((Comercial_Agricola[[#This Row],[Mes Económico]]=Tipo_Cambio[Mes])*(Comercial_Agricola[[#This Row],[Año Económico]]=Tipo_Cambio[Año])*(Tipo_Cambio[$/U$S]))</f>
        <v>23.353443313221998</v>
      </c>
      <c r="AC43" s="827">
        <f>SUMPRODUCT((Comercial_Agricola[[#This Row],[Mes Económico]]=Tipo_Cambio[Mes])*(Comercial_Agricola[[#This Row],[Año Económico]]=Tipo_Cambio[Año])*(Tipo_Cambio[Actualización]))</f>
        <v>1.1261624192640001</v>
      </c>
      <c r="AD43" s="826">
        <f>IF(ISNUMBER(Comercial_Agricola[[#This Row],[Fecha Financiero]])=TRUE,MONTH(Comercial_Agricola[[#This Row],[Fecha Financiero]]),0)</f>
        <v>1</v>
      </c>
      <c r="AE43" s="826">
        <f>IF(ISNUMBER(Comercial_Agricola[[#This Row],[Fecha Financiero]])=TRUE,YEAR(Comercial_Agricola[[#This Row],[Fecha Financiero]]),0)</f>
        <v>2019</v>
      </c>
      <c r="AF43" s="827">
        <f>SUMPRODUCT((Comercial_Agricola[[#This Row],[Mes Financiero]]=Tipo_Cambio[Mes])*(Comercial_Agricola[[#This Row],[Año Financiero]]=Tipo_Cambio[Año])*(Tipo_Cambio[$/U$S]))</f>
        <v>23.353443313221998</v>
      </c>
      <c r="AG43" s="827">
        <f>SUMPRODUCT((Comercial_Agricola[[#This Row],[Mes Financiero]]=Tipo_Cambio[Mes])*(Comercial_Agricola[[#This Row],[Año Financiero]]=Tipo_Cambio[Año])*(Tipo_Cambio[Actualización]))</f>
        <v>1.1261624192640001</v>
      </c>
    </row>
    <row r="44" spans="1:33" x14ac:dyDescent="0.25">
      <c r="D44" s="548">
        <f>D43</f>
        <v>43466</v>
      </c>
      <c r="E44" s="649">
        <f>E43</f>
        <v>43475</v>
      </c>
      <c r="F44" s="775" t="str">
        <f t="shared" si="6"/>
        <v>2018-2019</v>
      </c>
      <c r="G44" s="481" t="s">
        <v>72</v>
      </c>
      <c r="H44" s="481"/>
      <c r="I44" s="793">
        <f>IFERROR(INDEX(Tabla811[],MATCH(Comercial_Agricola[[#This Row],[Unidad de Negocio]],Tabla811[Unidades de Negocio],0),2),0)</f>
        <v>0</v>
      </c>
      <c r="J44" s="481"/>
      <c r="K44" s="550"/>
      <c r="L44" s="491"/>
      <c r="M44" s="41" t="s">
        <v>48</v>
      </c>
      <c r="N44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44" s="829">
        <f>IFERROR(Comercial_Agricola[[#This Row],[Económico $Corrientes]]/Comercial_Agricola[[#This Row],[Indexación Económico]],0)</f>
        <v>0</v>
      </c>
      <c r="P44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44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44" s="829">
        <f>IFERROR(Comercial_Agricola[[#This Row],[Financiero $Corrientes]]/Comercial_Agricola[[#This Row],[Indexación Financiero]],0)</f>
        <v>0</v>
      </c>
      <c r="S44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44" s="831" t="str">
        <f>IFERROR(INDEX(Comercializacion_Granos_Cuentas[],MATCH(Comercial_Agricola[[#This Row],[Cuenta Contable]],Comercializacion_Granos_Cuentas[Cuenta Contable],0),2),0)</f>
        <v>Egreso</v>
      </c>
      <c r="U44" s="806" t="str">
        <f>IFERROR(INDEX(Comercializacion_Granos_Cuentas[],MATCH(Comercial_Agricola[[#This Row],[Cuenta Contable]],Comercializacion_Granos_Cuentas[Cuenta Contable],0),3),0)</f>
        <v>No</v>
      </c>
      <c r="V44" s="832">
        <f>IF(Comercial_Agricola[[#This Row],[Signo]]="(-)",1,-1)*IF(Comercial_Agricola[[#This Row],[Stock]]="SI",Comercial_Agricola[[#This Row],[Toneladas]],0)</f>
        <v>0</v>
      </c>
      <c r="W44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44" s="806" t="str">
        <f>IFERROR(INDEX(Tabla9[],MATCH(Comercial_Agricola[[#This Row],[Movimiento]],Tabla9[Movimientos],0),2),0)</f>
        <v>Si</v>
      </c>
      <c r="Y44" s="807" t="str">
        <f>IFERROR(INDEX(Tabla9[],MATCH(Comercial_Agricola[[#This Row],[Movimiento]],Tabla9[Movimientos],0),3),0)</f>
        <v>(-)</v>
      </c>
      <c r="Z44" s="822">
        <f>IF(Comercial_Agricola[[#This Row],[Fecha Económico]]=0,0,MONTH(Comercial_Agricola[[#This Row],[Fecha Económico]]))</f>
        <v>1</v>
      </c>
      <c r="AA44" s="822">
        <f>IF(Comercial_Agricola[[#This Row],[Fecha Económico]]=0,0,YEAR(Comercial_Agricola[[#This Row],[Fecha Económico]]))</f>
        <v>2019</v>
      </c>
      <c r="AB44" s="823">
        <f>SUMPRODUCT((Comercial_Agricola[[#This Row],[Mes Económico]]=Tipo_Cambio[Mes])*(Comercial_Agricola[[#This Row],[Año Económico]]=Tipo_Cambio[Año])*(Tipo_Cambio[$/U$S]))</f>
        <v>23.353443313221998</v>
      </c>
      <c r="AC44" s="823">
        <f>SUMPRODUCT((Comercial_Agricola[[#This Row],[Mes Económico]]=Tipo_Cambio[Mes])*(Comercial_Agricola[[#This Row],[Año Económico]]=Tipo_Cambio[Año])*(Tipo_Cambio[Actualización]))</f>
        <v>1.1261624192640001</v>
      </c>
      <c r="AD44" s="822">
        <f>IF(ISNUMBER(Comercial_Agricola[[#This Row],[Fecha Financiero]])=TRUE,MONTH(Comercial_Agricola[[#This Row],[Fecha Financiero]]),0)</f>
        <v>1</v>
      </c>
      <c r="AE44" s="822">
        <f>IF(ISNUMBER(Comercial_Agricola[[#This Row],[Fecha Financiero]])=TRUE,YEAR(Comercial_Agricola[[#This Row],[Fecha Financiero]]),0)</f>
        <v>2019</v>
      </c>
      <c r="AF44" s="823">
        <f>SUMPRODUCT((Comercial_Agricola[[#This Row],[Mes Financiero]]=Tipo_Cambio[Mes])*(Comercial_Agricola[[#This Row],[Año Financiero]]=Tipo_Cambio[Año])*(Tipo_Cambio[$/U$S]))</f>
        <v>23.353443313221998</v>
      </c>
      <c r="AG44" s="823">
        <f>SUMPRODUCT((Comercial_Agricola[[#This Row],[Mes Financiero]]=Tipo_Cambio[Mes])*(Comercial_Agricola[[#This Row],[Año Financiero]]=Tipo_Cambio[Año])*(Tipo_Cambio[Actualización]))</f>
        <v>1.1261624192640001</v>
      </c>
    </row>
    <row r="45" spans="1:33" x14ac:dyDescent="0.25">
      <c r="D45" s="548">
        <f t="shared" ref="D45:D50" si="7">D44</f>
        <v>43466</v>
      </c>
      <c r="E45" s="649">
        <f t="shared" ref="E45:E49" si="8">E44</f>
        <v>43475</v>
      </c>
      <c r="F45" s="775" t="str">
        <f t="shared" si="6"/>
        <v>2018-2019</v>
      </c>
      <c r="G45" s="481" t="s">
        <v>73</v>
      </c>
      <c r="H45" s="481"/>
      <c r="I45" s="793">
        <f>IFERROR(INDEX(Tabla811[],MATCH(Comercial_Agricola[[#This Row],[Unidad de Negocio]],Tabla811[Unidades de Negocio],0),2),0)</f>
        <v>0</v>
      </c>
      <c r="J45" s="481"/>
      <c r="K45" s="550"/>
      <c r="L45" s="491"/>
      <c r="M45" s="41" t="s">
        <v>48</v>
      </c>
      <c r="N45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45" s="829">
        <f>IFERROR(Comercial_Agricola[[#This Row],[Económico $Corrientes]]/Comercial_Agricola[[#This Row],[Indexación Económico]],0)</f>
        <v>0</v>
      </c>
      <c r="P45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45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45" s="829">
        <f>IFERROR(Comercial_Agricola[[#This Row],[Financiero $Corrientes]]/Comercial_Agricola[[#This Row],[Indexación Financiero]],0)</f>
        <v>0</v>
      </c>
      <c r="S45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45" s="831" t="str">
        <f>IFERROR(INDEX(Comercializacion_Granos_Cuentas[],MATCH(Comercial_Agricola[[#This Row],[Cuenta Contable]],Comercializacion_Granos_Cuentas[Cuenta Contable],0),2),0)</f>
        <v>Egreso</v>
      </c>
      <c r="U45" s="806" t="str">
        <f>IFERROR(INDEX(Comercializacion_Granos_Cuentas[],MATCH(Comercial_Agricola[[#This Row],[Cuenta Contable]],Comercializacion_Granos_Cuentas[Cuenta Contable],0),3),0)</f>
        <v>No</v>
      </c>
      <c r="V45" s="832">
        <f>IF(Comercial_Agricola[[#This Row],[Signo]]="(-)",1,-1)*IF(Comercial_Agricola[[#This Row],[Stock]]="SI",Comercial_Agricola[[#This Row],[Toneladas]],0)</f>
        <v>0</v>
      </c>
      <c r="W45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45" s="806" t="str">
        <f>IFERROR(INDEX(Tabla9[],MATCH(Comercial_Agricola[[#This Row],[Movimiento]],Tabla9[Movimientos],0),2),0)</f>
        <v>Si</v>
      </c>
      <c r="Y45" s="807" t="str">
        <f>IFERROR(INDEX(Tabla9[],MATCH(Comercial_Agricola[[#This Row],[Movimiento]],Tabla9[Movimientos],0),3),0)</f>
        <v>(-)</v>
      </c>
      <c r="Z45" s="822">
        <f>IF(Comercial_Agricola[[#This Row],[Fecha Económico]]=0,0,MONTH(Comercial_Agricola[[#This Row],[Fecha Económico]]))</f>
        <v>1</v>
      </c>
      <c r="AA45" s="822">
        <f>IF(Comercial_Agricola[[#This Row],[Fecha Económico]]=0,0,YEAR(Comercial_Agricola[[#This Row],[Fecha Económico]]))</f>
        <v>2019</v>
      </c>
      <c r="AB45" s="823">
        <f>SUMPRODUCT((Comercial_Agricola[[#This Row],[Mes Económico]]=Tipo_Cambio[Mes])*(Comercial_Agricola[[#This Row],[Año Económico]]=Tipo_Cambio[Año])*(Tipo_Cambio[$/U$S]))</f>
        <v>23.353443313221998</v>
      </c>
      <c r="AC45" s="823">
        <f>SUMPRODUCT((Comercial_Agricola[[#This Row],[Mes Económico]]=Tipo_Cambio[Mes])*(Comercial_Agricola[[#This Row],[Año Económico]]=Tipo_Cambio[Año])*(Tipo_Cambio[Actualización]))</f>
        <v>1.1261624192640001</v>
      </c>
      <c r="AD45" s="822">
        <f>IF(ISNUMBER(Comercial_Agricola[[#This Row],[Fecha Financiero]])=TRUE,MONTH(Comercial_Agricola[[#This Row],[Fecha Financiero]]),0)</f>
        <v>1</v>
      </c>
      <c r="AE45" s="822">
        <f>IF(ISNUMBER(Comercial_Agricola[[#This Row],[Fecha Financiero]])=TRUE,YEAR(Comercial_Agricola[[#This Row],[Fecha Financiero]]),0)</f>
        <v>2019</v>
      </c>
      <c r="AF45" s="823">
        <f>SUMPRODUCT((Comercial_Agricola[[#This Row],[Mes Financiero]]=Tipo_Cambio[Mes])*(Comercial_Agricola[[#This Row],[Año Financiero]]=Tipo_Cambio[Año])*(Tipo_Cambio[$/U$S]))</f>
        <v>23.353443313221998</v>
      </c>
      <c r="AG45" s="823">
        <f>SUMPRODUCT((Comercial_Agricola[[#This Row],[Mes Financiero]]=Tipo_Cambio[Mes])*(Comercial_Agricola[[#This Row],[Año Financiero]]=Tipo_Cambio[Año])*(Tipo_Cambio[Actualización]))</f>
        <v>1.1261624192640001</v>
      </c>
    </row>
    <row r="46" spans="1:33" x14ac:dyDescent="0.25">
      <c r="D46" s="548">
        <f t="shared" si="7"/>
        <v>43466</v>
      </c>
      <c r="E46" s="649">
        <f t="shared" si="8"/>
        <v>43475</v>
      </c>
      <c r="F46" s="775" t="str">
        <f t="shared" si="6"/>
        <v>2018-2019</v>
      </c>
      <c r="G46" s="481" t="s">
        <v>74</v>
      </c>
      <c r="H46" s="481"/>
      <c r="I46" s="793">
        <f>IFERROR(INDEX(Tabla811[],MATCH(Comercial_Agricola[[#This Row],[Unidad de Negocio]],Tabla811[Unidades de Negocio],0),2),0)</f>
        <v>0</v>
      </c>
      <c r="J46" s="481"/>
      <c r="K46" s="550"/>
      <c r="L46" s="491"/>
      <c r="M46" s="41" t="s">
        <v>3</v>
      </c>
      <c r="N46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46" s="829">
        <f>IFERROR(Comercial_Agricola[[#This Row],[Económico $Corrientes]]/Comercial_Agricola[[#This Row],[Indexación Económico]],0)</f>
        <v>0</v>
      </c>
      <c r="P46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46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46" s="829">
        <f>IFERROR(Comercial_Agricola[[#This Row],[Financiero $Corrientes]]/Comercial_Agricola[[#This Row],[Indexación Financiero]],0)</f>
        <v>0</v>
      </c>
      <c r="S46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46" s="831" t="str">
        <f>IFERROR(INDEX(Comercializacion_Granos_Cuentas[],MATCH(Comercial_Agricola[[#This Row],[Cuenta Contable]],Comercializacion_Granos_Cuentas[Cuenta Contable],0),2),0)</f>
        <v>Egreso</v>
      </c>
      <c r="U46" s="806" t="str">
        <f>IFERROR(INDEX(Comercializacion_Granos_Cuentas[],MATCH(Comercial_Agricola[[#This Row],[Cuenta Contable]],Comercializacion_Granos_Cuentas[Cuenta Contable],0),3),0)</f>
        <v>No</v>
      </c>
      <c r="V46" s="832">
        <f>IF(Comercial_Agricola[[#This Row],[Signo]]="(-)",1,-1)*IF(Comercial_Agricola[[#This Row],[Stock]]="SI",Comercial_Agricola[[#This Row],[Toneladas]],0)</f>
        <v>0</v>
      </c>
      <c r="W46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46" s="806" t="str">
        <f>IFERROR(INDEX(Tabla9[],MATCH(Comercial_Agricola[[#This Row],[Movimiento]],Tabla9[Movimientos],0),2),0)</f>
        <v>Si</v>
      </c>
      <c r="Y46" s="807" t="str">
        <f>IFERROR(INDEX(Tabla9[],MATCH(Comercial_Agricola[[#This Row],[Movimiento]],Tabla9[Movimientos],0),3),0)</f>
        <v>(-)</v>
      </c>
      <c r="Z46" s="822">
        <f>IF(Comercial_Agricola[[#This Row],[Fecha Económico]]=0,0,MONTH(Comercial_Agricola[[#This Row],[Fecha Económico]]))</f>
        <v>1</v>
      </c>
      <c r="AA46" s="822">
        <f>IF(Comercial_Agricola[[#This Row],[Fecha Económico]]=0,0,YEAR(Comercial_Agricola[[#This Row],[Fecha Económico]]))</f>
        <v>2019</v>
      </c>
      <c r="AB46" s="823">
        <f>SUMPRODUCT((Comercial_Agricola[[#This Row],[Mes Económico]]=Tipo_Cambio[Mes])*(Comercial_Agricola[[#This Row],[Año Económico]]=Tipo_Cambio[Año])*(Tipo_Cambio[$/U$S]))</f>
        <v>23.353443313221998</v>
      </c>
      <c r="AC46" s="823">
        <f>SUMPRODUCT((Comercial_Agricola[[#This Row],[Mes Económico]]=Tipo_Cambio[Mes])*(Comercial_Agricola[[#This Row],[Año Económico]]=Tipo_Cambio[Año])*(Tipo_Cambio[Actualización]))</f>
        <v>1.1261624192640001</v>
      </c>
      <c r="AD46" s="822">
        <f>IF(ISNUMBER(Comercial_Agricola[[#This Row],[Fecha Financiero]])=TRUE,MONTH(Comercial_Agricola[[#This Row],[Fecha Financiero]]),0)</f>
        <v>1</v>
      </c>
      <c r="AE46" s="822">
        <f>IF(ISNUMBER(Comercial_Agricola[[#This Row],[Fecha Financiero]])=TRUE,YEAR(Comercial_Agricola[[#This Row],[Fecha Financiero]]),0)</f>
        <v>2019</v>
      </c>
      <c r="AF46" s="823">
        <f>SUMPRODUCT((Comercial_Agricola[[#This Row],[Mes Financiero]]=Tipo_Cambio[Mes])*(Comercial_Agricola[[#This Row],[Año Financiero]]=Tipo_Cambio[Año])*(Tipo_Cambio[$/U$S]))</f>
        <v>23.353443313221998</v>
      </c>
      <c r="AG46" s="823">
        <f>SUMPRODUCT((Comercial_Agricola[[#This Row],[Mes Financiero]]=Tipo_Cambio[Mes])*(Comercial_Agricola[[#This Row],[Año Financiero]]=Tipo_Cambio[Año])*(Tipo_Cambio[Actualización]))</f>
        <v>1.1261624192640001</v>
      </c>
    </row>
    <row r="47" spans="1:33" x14ac:dyDescent="0.25">
      <c r="D47" s="548">
        <f t="shared" si="7"/>
        <v>43466</v>
      </c>
      <c r="E47" s="649">
        <f t="shared" si="8"/>
        <v>43475</v>
      </c>
      <c r="F47" s="775" t="str">
        <f t="shared" si="6"/>
        <v>2018-2019</v>
      </c>
      <c r="G47" s="481" t="s">
        <v>75</v>
      </c>
      <c r="H47" s="481"/>
      <c r="I47" s="793">
        <f>IFERROR(INDEX(Tabla811[],MATCH(Comercial_Agricola[[#This Row],[Unidad de Negocio]],Tabla811[Unidades de Negocio],0),2),0)</f>
        <v>0</v>
      </c>
      <c r="J47" s="481"/>
      <c r="K47" s="550"/>
      <c r="L47" s="491"/>
      <c r="M47" s="41" t="s">
        <v>3</v>
      </c>
      <c r="N47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47" s="829">
        <f>IFERROR(Comercial_Agricola[[#This Row],[Económico $Corrientes]]/Comercial_Agricola[[#This Row],[Indexación Económico]],0)</f>
        <v>0</v>
      </c>
      <c r="P47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47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47" s="829">
        <f>IFERROR(Comercial_Agricola[[#This Row],[Financiero $Corrientes]]/Comercial_Agricola[[#This Row],[Indexación Financiero]],0)</f>
        <v>0</v>
      </c>
      <c r="S47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47" s="831" t="str">
        <f>IFERROR(INDEX(Comercializacion_Granos_Cuentas[],MATCH(Comercial_Agricola[[#This Row],[Cuenta Contable]],Comercializacion_Granos_Cuentas[Cuenta Contable],0),2),0)</f>
        <v>Egreso</v>
      </c>
      <c r="U47" s="806" t="str">
        <f>IFERROR(INDEX(Comercializacion_Granos_Cuentas[],MATCH(Comercial_Agricola[[#This Row],[Cuenta Contable]],Comercializacion_Granos_Cuentas[Cuenta Contable],0),3),0)</f>
        <v>No</v>
      </c>
      <c r="V47" s="832">
        <f>IF(Comercial_Agricola[[#This Row],[Signo]]="(-)",1,-1)*IF(Comercial_Agricola[[#This Row],[Stock]]="SI",Comercial_Agricola[[#This Row],[Toneladas]],0)</f>
        <v>0</v>
      </c>
      <c r="W47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47" s="806" t="str">
        <f>IFERROR(INDEX(Tabla9[],MATCH(Comercial_Agricola[[#This Row],[Movimiento]],Tabla9[Movimientos],0),2),0)</f>
        <v>Si</v>
      </c>
      <c r="Y47" s="807" t="str">
        <f>IFERROR(INDEX(Tabla9[],MATCH(Comercial_Agricola[[#This Row],[Movimiento]],Tabla9[Movimientos],0),3),0)</f>
        <v>(-)</v>
      </c>
      <c r="Z47" s="822">
        <f>IF(Comercial_Agricola[[#This Row],[Fecha Económico]]=0,0,MONTH(Comercial_Agricola[[#This Row],[Fecha Económico]]))</f>
        <v>1</v>
      </c>
      <c r="AA47" s="822">
        <f>IF(Comercial_Agricola[[#This Row],[Fecha Económico]]=0,0,YEAR(Comercial_Agricola[[#This Row],[Fecha Económico]]))</f>
        <v>2019</v>
      </c>
      <c r="AB47" s="823">
        <f>SUMPRODUCT((Comercial_Agricola[[#This Row],[Mes Económico]]=Tipo_Cambio[Mes])*(Comercial_Agricola[[#This Row],[Año Económico]]=Tipo_Cambio[Año])*(Tipo_Cambio[$/U$S]))</f>
        <v>23.353443313221998</v>
      </c>
      <c r="AC47" s="823">
        <f>SUMPRODUCT((Comercial_Agricola[[#This Row],[Mes Económico]]=Tipo_Cambio[Mes])*(Comercial_Agricola[[#This Row],[Año Económico]]=Tipo_Cambio[Año])*(Tipo_Cambio[Actualización]))</f>
        <v>1.1261624192640001</v>
      </c>
      <c r="AD47" s="822">
        <f>IF(ISNUMBER(Comercial_Agricola[[#This Row],[Fecha Financiero]])=TRUE,MONTH(Comercial_Agricola[[#This Row],[Fecha Financiero]]),0)</f>
        <v>1</v>
      </c>
      <c r="AE47" s="822">
        <f>IF(ISNUMBER(Comercial_Agricola[[#This Row],[Fecha Financiero]])=TRUE,YEAR(Comercial_Agricola[[#This Row],[Fecha Financiero]]),0)</f>
        <v>2019</v>
      </c>
      <c r="AF47" s="823">
        <f>SUMPRODUCT((Comercial_Agricola[[#This Row],[Mes Financiero]]=Tipo_Cambio[Mes])*(Comercial_Agricola[[#This Row],[Año Financiero]]=Tipo_Cambio[Año])*(Tipo_Cambio[$/U$S]))</f>
        <v>23.353443313221998</v>
      </c>
      <c r="AG47" s="823">
        <f>SUMPRODUCT((Comercial_Agricola[[#This Row],[Mes Financiero]]=Tipo_Cambio[Mes])*(Comercial_Agricola[[#This Row],[Año Financiero]]=Tipo_Cambio[Año])*(Tipo_Cambio[Actualización]))</f>
        <v>1.1261624192640001</v>
      </c>
    </row>
    <row r="48" spans="1:33" x14ac:dyDescent="0.25">
      <c r="D48" s="548">
        <f t="shared" si="7"/>
        <v>43466</v>
      </c>
      <c r="E48" s="649">
        <f t="shared" si="8"/>
        <v>43475</v>
      </c>
      <c r="F48" s="775" t="str">
        <f t="shared" si="6"/>
        <v>2018-2019</v>
      </c>
      <c r="G48" s="481" t="s">
        <v>76</v>
      </c>
      <c r="H48" s="481"/>
      <c r="I48" s="793">
        <f>IFERROR(INDEX(Tabla811[],MATCH(Comercial_Agricola[[#This Row],[Unidad de Negocio]],Tabla811[Unidades de Negocio],0),2),0)</f>
        <v>0</v>
      </c>
      <c r="J48" s="481"/>
      <c r="K48" s="550"/>
      <c r="L48" s="491"/>
      <c r="M48" s="41" t="s">
        <v>3</v>
      </c>
      <c r="N48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48" s="829">
        <f>IFERROR(Comercial_Agricola[[#This Row],[Económico $Corrientes]]/Comercial_Agricola[[#This Row],[Indexación Económico]],0)</f>
        <v>0</v>
      </c>
      <c r="P48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48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48" s="829">
        <f>IFERROR(Comercial_Agricola[[#This Row],[Financiero $Corrientes]]/Comercial_Agricola[[#This Row],[Indexación Financiero]],0)</f>
        <v>0</v>
      </c>
      <c r="S48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48" s="831" t="str">
        <f>IFERROR(INDEX(Comercializacion_Granos_Cuentas[],MATCH(Comercial_Agricola[[#This Row],[Cuenta Contable]],Comercializacion_Granos_Cuentas[Cuenta Contable],0),2),0)</f>
        <v>Egreso</v>
      </c>
      <c r="U48" s="806" t="str">
        <f>IFERROR(INDEX(Comercializacion_Granos_Cuentas[],MATCH(Comercial_Agricola[[#This Row],[Cuenta Contable]],Comercializacion_Granos_Cuentas[Cuenta Contable],0),3),0)</f>
        <v>No</v>
      </c>
      <c r="V48" s="832">
        <f>IF(Comercial_Agricola[[#This Row],[Signo]]="(-)",1,-1)*IF(Comercial_Agricola[[#This Row],[Stock]]="SI",Comercial_Agricola[[#This Row],[Toneladas]],0)</f>
        <v>0</v>
      </c>
      <c r="W48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48" s="806" t="str">
        <f>IFERROR(INDEX(Tabla9[],MATCH(Comercial_Agricola[[#This Row],[Movimiento]],Tabla9[Movimientos],0),2),0)</f>
        <v>Si</v>
      </c>
      <c r="Y48" s="807" t="str">
        <f>IFERROR(INDEX(Tabla9[],MATCH(Comercial_Agricola[[#This Row],[Movimiento]],Tabla9[Movimientos],0),3),0)</f>
        <v>(-)</v>
      </c>
      <c r="Z48" s="822">
        <f>IF(Comercial_Agricola[[#This Row],[Fecha Económico]]=0,0,MONTH(Comercial_Agricola[[#This Row],[Fecha Económico]]))</f>
        <v>1</v>
      </c>
      <c r="AA48" s="822">
        <f>IF(Comercial_Agricola[[#This Row],[Fecha Económico]]=0,0,YEAR(Comercial_Agricola[[#This Row],[Fecha Económico]]))</f>
        <v>2019</v>
      </c>
      <c r="AB48" s="823">
        <f>SUMPRODUCT((Comercial_Agricola[[#This Row],[Mes Económico]]=Tipo_Cambio[Mes])*(Comercial_Agricola[[#This Row],[Año Económico]]=Tipo_Cambio[Año])*(Tipo_Cambio[$/U$S]))</f>
        <v>23.353443313221998</v>
      </c>
      <c r="AC48" s="823">
        <f>SUMPRODUCT((Comercial_Agricola[[#This Row],[Mes Económico]]=Tipo_Cambio[Mes])*(Comercial_Agricola[[#This Row],[Año Económico]]=Tipo_Cambio[Año])*(Tipo_Cambio[Actualización]))</f>
        <v>1.1261624192640001</v>
      </c>
      <c r="AD48" s="822">
        <f>IF(ISNUMBER(Comercial_Agricola[[#This Row],[Fecha Financiero]])=TRUE,MONTH(Comercial_Agricola[[#This Row],[Fecha Financiero]]),0)</f>
        <v>1</v>
      </c>
      <c r="AE48" s="822">
        <f>IF(ISNUMBER(Comercial_Agricola[[#This Row],[Fecha Financiero]])=TRUE,YEAR(Comercial_Agricola[[#This Row],[Fecha Financiero]]),0)</f>
        <v>2019</v>
      </c>
      <c r="AF48" s="823">
        <f>SUMPRODUCT((Comercial_Agricola[[#This Row],[Mes Financiero]]=Tipo_Cambio[Mes])*(Comercial_Agricola[[#This Row],[Año Financiero]]=Tipo_Cambio[Año])*(Tipo_Cambio[$/U$S]))</f>
        <v>23.353443313221998</v>
      </c>
      <c r="AG48" s="823">
        <f>SUMPRODUCT((Comercial_Agricola[[#This Row],[Mes Financiero]]=Tipo_Cambio[Mes])*(Comercial_Agricola[[#This Row],[Año Financiero]]=Tipo_Cambio[Año])*(Tipo_Cambio[Actualización]))</f>
        <v>1.1261624192640001</v>
      </c>
    </row>
    <row r="49" spans="4:33" x14ac:dyDescent="0.25">
      <c r="D49" s="548">
        <f t="shared" si="7"/>
        <v>43466</v>
      </c>
      <c r="E49" s="649">
        <f t="shared" si="8"/>
        <v>43475</v>
      </c>
      <c r="F49" s="775" t="str">
        <f t="shared" si="6"/>
        <v>2018-2019</v>
      </c>
      <c r="G49" s="481" t="s">
        <v>96</v>
      </c>
      <c r="H49" s="481"/>
      <c r="I49" s="793">
        <f>IFERROR(INDEX(Tabla811[],MATCH(Comercial_Agricola[[#This Row],[Unidad de Negocio]],Tabla811[Unidades de Negocio],0),2),0)</f>
        <v>0</v>
      </c>
      <c r="J49" s="481"/>
      <c r="K49" s="550"/>
      <c r="L49" s="491"/>
      <c r="M49" s="41"/>
      <c r="N49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49" s="829">
        <f>IFERROR(Comercial_Agricola[[#This Row],[Económico $Corrientes]]/Comercial_Agricola[[#This Row],[Indexación Económico]],0)</f>
        <v>0</v>
      </c>
      <c r="P49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49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49" s="829">
        <f>IFERROR(Comercial_Agricola[[#This Row],[Financiero $Corrientes]]/Comercial_Agricola[[#This Row],[Indexación Financiero]],0)</f>
        <v>0</v>
      </c>
      <c r="S49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49" s="831" t="str">
        <f>IFERROR(INDEX(Comercializacion_Granos_Cuentas[],MATCH(Comercial_Agricola[[#This Row],[Cuenta Contable]],Comercializacion_Granos_Cuentas[Cuenta Contable],0),2),0)</f>
        <v>Egreso</v>
      </c>
      <c r="U49" s="806" t="str">
        <f>IFERROR(INDEX(Comercializacion_Granos_Cuentas[],MATCH(Comercial_Agricola[[#This Row],[Cuenta Contable]],Comercializacion_Granos_Cuentas[Cuenta Contable],0),3),0)</f>
        <v>No</v>
      </c>
      <c r="V49" s="832">
        <f>IF(Comercial_Agricola[[#This Row],[Signo]]="(-)",1,-1)*IF(Comercial_Agricola[[#This Row],[Stock]]="SI",Comercial_Agricola[[#This Row],[Toneladas]],0)</f>
        <v>0</v>
      </c>
      <c r="W49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49" s="806" t="str">
        <f>IFERROR(INDEX(Tabla9[],MATCH(Comercial_Agricola[[#This Row],[Movimiento]],Tabla9[Movimientos],0),2),0)</f>
        <v>Si</v>
      </c>
      <c r="Y49" s="807" t="str">
        <f>IFERROR(INDEX(Tabla9[],MATCH(Comercial_Agricola[[#This Row],[Movimiento]],Tabla9[Movimientos],0),3),0)</f>
        <v>(-)</v>
      </c>
      <c r="Z49" s="822">
        <f>IF(Comercial_Agricola[[#This Row],[Fecha Económico]]=0,0,MONTH(Comercial_Agricola[[#This Row],[Fecha Económico]]))</f>
        <v>1</v>
      </c>
      <c r="AA49" s="822">
        <f>IF(Comercial_Agricola[[#This Row],[Fecha Económico]]=0,0,YEAR(Comercial_Agricola[[#This Row],[Fecha Económico]]))</f>
        <v>2019</v>
      </c>
      <c r="AB49" s="823">
        <f>SUMPRODUCT((Comercial_Agricola[[#This Row],[Mes Económico]]=Tipo_Cambio[Mes])*(Comercial_Agricola[[#This Row],[Año Económico]]=Tipo_Cambio[Año])*(Tipo_Cambio[$/U$S]))</f>
        <v>23.353443313221998</v>
      </c>
      <c r="AC49" s="823">
        <f>SUMPRODUCT((Comercial_Agricola[[#This Row],[Mes Económico]]=Tipo_Cambio[Mes])*(Comercial_Agricola[[#This Row],[Año Económico]]=Tipo_Cambio[Año])*(Tipo_Cambio[Actualización]))</f>
        <v>1.1261624192640001</v>
      </c>
      <c r="AD49" s="822">
        <f>IF(ISNUMBER(Comercial_Agricola[[#This Row],[Fecha Financiero]])=TRUE,MONTH(Comercial_Agricola[[#This Row],[Fecha Financiero]]),0)</f>
        <v>1</v>
      </c>
      <c r="AE49" s="822">
        <f>IF(ISNUMBER(Comercial_Agricola[[#This Row],[Fecha Financiero]])=TRUE,YEAR(Comercial_Agricola[[#This Row],[Fecha Financiero]]),0)</f>
        <v>2019</v>
      </c>
      <c r="AF49" s="823">
        <f>SUMPRODUCT((Comercial_Agricola[[#This Row],[Mes Financiero]]=Tipo_Cambio[Mes])*(Comercial_Agricola[[#This Row],[Año Financiero]]=Tipo_Cambio[Año])*(Tipo_Cambio[$/U$S]))</f>
        <v>23.353443313221998</v>
      </c>
      <c r="AG49" s="823">
        <f>SUMPRODUCT((Comercial_Agricola[[#This Row],[Mes Financiero]]=Tipo_Cambio[Mes])*(Comercial_Agricola[[#This Row],[Año Financiero]]=Tipo_Cambio[Año])*(Tipo_Cambio[Actualización]))</f>
        <v>1.1261624192640001</v>
      </c>
    </row>
    <row r="50" spans="4:33" x14ac:dyDescent="0.25">
      <c r="D50" s="582">
        <f t="shared" si="7"/>
        <v>43466</v>
      </c>
      <c r="E50" s="650"/>
      <c r="F50" s="785" t="str">
        <f t="shared" si="6"/>
        <v>2018-2019</v>
      </c>
      <c r="G50" s="538" t="s">
        <v>203</v>
      </c>
      <c r="H50" s="538"/>
      <c r="I50" s="796">
        <f>IFERROR(INDEX(Tabla811[],MATCH(Comercial_Agricola[[#This Row],[Unidad de Negocio]],Tabla811[Unidades de Negocio],0),2),0)</f>
        <v>0</v>
      </c>
      <c r="J50" s="538"/>
      <c r="K50" s="587"/>
      <c r="L50" s="538"/>
      <c r="M50" s="219"/>
      <c r="N50" s="854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50" s="855">
        <f>IFERROR(Comercial_Agricola[[#This Row],[Económico $Corrientes]]/Comercial_Agricola[[#This Row],[Indexación Económico]],0)</f>
        <v>0</v>
      </c>
      <c r="P50" s="856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50" s="855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50" s="855">
        <f>IFERROR(Comercial_Agricola[[#This Row],[Financiero $Corrientes]]/Comercial_Agricola[[#This Row],[Indexación Financiero]],0)</f>
        <v>0</v>
      </c>
      <c r="S50" s="855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50" s="861" t="str">
        <f>IFERROR(INDEX(Comercializacion_Granos_Cuentas[],MATCH(Comercial_Agricola[[#This Row],[Cuenta Contable]],Comercializacion_Granos_Cuentas[Cuenta Contable],0),2),0)</f>
        <v>Egreso Cesión</v>
      </c>
      <c r="U50" s="862" t="str">
        <f>IFERROR(INDEX(Comercializacion_Granos_Cuentas[],MATCH(Comercial_Agricola[[#This Row],[Cuenta Contable]],Comercializacion_Granos_Cuentas[Cuenta Contable],0),3),0)</f>
        <v>No</v>
      </c>
      <c r="V50" s="863">
        <f>IF(Comercial_Agricola[[#This Row],[Signo]]="(-)",1,-1)*IF(Comercial_Agricola[[#This Row],[Stock]]="SI",Comercial_Agricola[[#This Row],[Toneladas]],0)</f>
        <v>0</v>
      </c>
      <c r="W50" s="804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50" s="806" t="str">
        <f>IFERROR(INDEX(Tabla9[],MATCH(Comercial_Agricola[[#This Row],[Movimiento]],Tabla9[Movimientos],0),2),0)</f>
        <v>No</v>
      </c>
      <c r="Y50" s="807" t="str">
        <f>IFERROR(INDEX(Tabla9[],MATCH(Comercial_Agricola[[#This Row],[Movimiento]],Tabla9[Movimientos],0),3),0)</f>
        <v>(-)</v>
      </c>
      <c r="Z50" s="822">
        <f>IF(Comercial_Agricola[[#This Row],[Fecha Económico]]=0,0,MONTH(Comercial_Agricola[[#This Row],[Fecha Económico]]))</f>
        <v>1</v>
      </c>
      <c r="AA50" s="822">
        <f>IF(Comercial_Agricola[[#This Row],[Fecha Económico]]=0,0,YEAR(Comercial_Agricola[[#This Row],[Fecha Económico]]))</f>
        <v>2019</v>
      </c>
      <c r="AB50" s="823">
        <f>SUMPRODUCT((Comercial_Agricola[[#This Row],[Mes Económico]]=Tipo_Cambio[Mes])*(Comercial_Agricola[[#This Row],[Año Económico]]=Tipo_Cambio[Año])*(Tipo_Cambio[$/U$S]))</f>
        <v>23.353443313221998</v>
      </c>
      <c r="AC50" s="823">
        <f>SUMPRODUCT((Comercial_Agricola[[#This Row],[Mes Económico]]=Tipo_Cambio[Mes])*(Comercial_Agricola[[#This Row],[Año Económico]]=Tipo_Cambio[Año])*(Tipo_Cambio[Actualización]))</f>
        <v>1.1261624192640001</v>
      </c>
      <c r="AD50" s="822">
        <f>IF(ISNUMBER(Comercial_Agricola[[#This Row],[Fecha Financiero]])=TRUE,MONTH(Comercial_Agricola[[#This Row],[Fecha Financiero]]),0)</f>
        <v>0</v>
      </c>
      <c r="AE50" s="822">
        <f>IF(ISNUMBER(Comercial_Agricola[[#This Row],[Fecha Financiero]])=TRUE,YEAR(Comercial_Agricola[[#This Row],[Fecha Financiero]]),0)</f>
        <v>0</v>
      </c>
      <c r="AF50" s="823">
        <f>SUMPRODUCT((Comercial_Agricola[[#This Row],[Mes Financiero]]=Tipo_Cambio[Mes])*(Comercial_Agricola[[#This Row],[Año Financiero]]=Tipo_Cambio[Año])*(Tipo_Cambio[$/U$S]))</f>
        <v>0</v>
      </c>
      <c r="AG50" s="823">
        <f>SUMPRODUCT((Comercial_Agricola[[#This Row],[Mes Financiero]]=Tipo_Cambio[Mes])*(Comercial_Agricola[[#This Row],[Año Financiero]]=Tipo_Cambio[Año])*(Tipo_Cambio[Actualización]))</f>
        <v>0</v>
      </c>
    </row>
    <row r="51" spans="4:33" x14ac:dyDescent="0.25">
      <c r="D51" s="478">
        <v>43497</v>
      </c>
      <c r="E51" s="522">
        <v>43739</v>
      </c>
      <c r="F51" s="775" t="str">
        <f t="shared" si="6"/>
        <v>2018-2019</v>
      </c>
      <c r="G51" s="481" t="s">
        <v>171</v>
      </c>
      <c r="H51" s="481"/>
      <c r="I51" s="793">
        <f>IFERROR(INDEX(Tabla811[],MATCH(Comercial_Agricola[[#This Row],[Unidad de Negocio]],Tabla811[Unidades de Negocio],0),2),0)</f>
        <v>0</v>
      </c>
      <c r="J51" s="481"/>
      <c r="K51" s="550"/>
      <c r="L51" s="491"/>
      <c r="M51" s="41" t="s">
        <v>48</v>
      </c>
      <c r="N51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51" s="829">
        <f>IFERROR(Comercial_Agricola[[#This Row],[Económico $Corrientes]]/Comercial_Agricola[[#This Row],[Indexación Económico]],0)</f>
        <v>0</v>
      </c>
      <c r="P51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51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51" s="829">
        <f>IFERROR(Comercial_Agricola[[#This Row],[Financiero $Corrientes]]/Comercial_Agricola[[#This Row],[Indexación Financiero]],0)</f>
        <v>0</v>
      </c>
      <c r="S51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51" s="831" t="str">
        <f>IFERROR(INDEX(Comercializacion_Granos_Cuentas[],MATCH(Comercial_Agricola[[#This Row],[Cuenta Contable]],Comercializacion_Granos_Cuentas[Cuenta Contable],0),2),0)</f>
        <v>Ingreso</v>
      </c>
      <c r="U51" s="806" t="str">
        <f>IFERROR(INDEX(Comercializacion_Granos_Cuentas[],MATCH(Comercial_Agricola[[#This Row],[Cuenta Contable]],Comercializacion_Granos_Cuentas[Cuenta Contable],0),3),0)</f>
        <v>Si</v>
      </c>
      <c r="V51" s="832">
        <f>IF(Comercial_Agricola[[#This Row],[Signo]]="(-)",1,-1)*IF(Comercial_Agricola[[#This Row],[Stock]]="SI",Comercial_Agricola[[#This Row],[Toneladas]],0)</f>
        <v>0</v>
      </c>
      <c r="W51" s="803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51" s="824" t="str">
        <f>IFERROR(INDEX(Tabla9[],MATCH(Comercial_Agricola[[#This Row],[Movimiento]],Tabla9[Movimientos],0),2),0)</f>
        <v>Si</v>
      </c>
      <c r="Y51" s="825" t="str">
        <f>IFERROR(INDEX(Tabla9[],MATCH(Comercial_Agricola[[#This Row],[Movimiento]],Tabla9[Movimientos],0),3),0)</f>
        <v>(+)</v>
      </c>
      <c r="Z51" s="826">
        <f>IF(Comercial_Agricola[[#This Row],[Fecha Económico]]=0,0,MONTH(Comercial_Agricola[[#This Row],[Fecha Económico]]))</f>
        <v>2</v>
      </c>
      <c r="AA51" s="826">
        <f>IF(Comercial_Agricola[[#This Row],[Fecha Económico]]=0,0,YEAR(Comercial_Agricola[[#This Row],[Fecha Económico]]))</f>
        <v>2019</v>
      </c>
      <c r="AB51" s="827">
        <f>SUMPRODUCT((Comercial_Agricola[[#This Row],[Mes Económico]]=Tipo_Cambio[Mes])*(Comercial_Agricola[[#This Row],[Año Económico]]=Tipo_Cambio[Año])*(Tipo_Cambio[$/U$S]))</f>
        <v>23.586977746354219</v>
      </c>
      <c r="AC51" s="827">
        <f>SUMPRODUCT((Comercial_Agricola[[#This Row],[Mes Económico]]=Tipo_Cambio[Mes])*(Comercial_Agricola[[#This Row],[Año Económico]]=Tipo_Cambio[Año])*(Tipo_Cambio[Actualización]))</f>
        <v>1.14868566764928</v>
      </c>
      <c r="AD51" s="826">
        <f>IF(ISNUMBER(Comercial_Agricola[[#This Row],[Fecha Financiero]])=TRUE,MONTH(Comercial_Agricola[[#This Row],[Fecha Financiero]]),0)</f>
        <v>10</v>
      </c>
      <c r="AE51" s="826">
        <f>IF(ISNUMBER(Comercial_Agricola[[#This Row],[Fecha Financiero]])=TRUE,YEAR(Comercial_Agricola[[#This Row],[Fecha Financiero]]),0)</f>
        <v>2019</v>
      </c>
      <c r="AF51" s="827">
        <f>SUMPRODUCT((Comercial_Agricola[[#This Row],[Mes Financiero]]=Tipo_Cambio[Mes])*(Comercial_Agricola[[#This Row],[Año Financiero]]=Tipo_Cambio[Año])*(Tipo_Cambio[$/U$S]))</f>
        <v>25.541317018139967</v>
      </c>
      <c r="AG51" s="827">
        <f>SUMPRODUCT((Comercial_Agricola[[#This Row],[Mes Financiero]]=Tipo_Cambio[Mes])*(Comercial_Agricola[[#This Row],[Año Financiero]]=Tipo_Cambio[Año])*(Tipo_Cambio[Actualización]))</f>
        <v>1.3458683383241299</v>
      </c>
    </row>
    <row r="52" spans="4:33" x14ac:dyDescent="0.25">
      <c r="D52" s="548">
        <f>D51</f>
        <v>43497</v>
      </c>
      <c r="E52" s="649">
        <f>E51</f>
        <v>43739</v>
      </c>
      <c r="F52" s="775" t="str">
        <f t="shared" si="6"/>
        <v>2018-2019</v>
      </c>
      <c r="G52" s="481" t="s">
        <v>72</v>
      </c>
      <c r="H52" s="481"/>
      <c r="I52" s="793">
        <f>IFERROR(INDEX(Tabla811[],MATCH(Comercial_Agricola[[#This Row],[Unidad de Negocio]],Tabla811[Unidades de Negocio],0),2),0)</f>
        <v>0</v>
      </c>
      <c r="J52" s="481"/>
      <c r="K52" s="550"/>
      <c r="L52" s="491"/>
      <c r="M52" s="41" t="s">
        <v>48</v>
      </c>
      <c r="N52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52" s="829">
        <f>IFERROR(Comercial_Agricola[[#This Row],[Económico $Corrientes]]/Comercial_Agricola[[#This Row],[Indexación Económico]],0)</f>
        <v>0</v>
      </c>
      <c r="P52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52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52" s="829">
        <f>IFERROR(Comercial_Agricola[[#This Row],[Financiero $Corrientes]]/Comercial_Agricola[[#This Row],[Indexación Financiero]],0)</f>
        <v>0</v>
      </c>
      <c r="S52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52" s="831" t="str">
        <f>IFERROR(INDEX(Comercializacion_Granos_Cuentas[],MATCH(Comercial_Agricola[[#This Row],[Cuenta Contable]],Comercializacion_Granos_Cuentas[Cuenta Contable],0),2),0)</f>
        <v>Egreso</v>
      </c>
      <c r="U52" s="806" t="str">
        <f>IFERROR(INDEX(Comercializacion_Granos_Cuentas[],MATCH(Comercial_Agricola[[#This Row],[Cuenta Contable]],Comercializacion_Granos_Cuentas[Cuenta Contable],0),3),0)</f>
        <v>No</v>
      </c>
      <c r="V52" s="832">
        <f>IF(Comercial_Agricola[[#This Row],[Signo]]="(-)",1,-1)*IF(Comercial_Agricola[[#This Row],[Stock]]="SI",Comercial_Agricola[[#This Row],[Toneladas]],0)</f>
        <v>0</v>
      </c>
      <c r="W52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52" s="806" t="str">
        <f>IFERROR(INDEX(Tabla9[],MATCH(Comercial_Agricola[[#This Row],[Movimiento]],Tabla9[Movimientos],0),2),0)</f>
        <v>Si</v>
      </c>
      <c r="Y52" s="807" t="str">
        <f>IFERROR(INDEX(Tabla9[],MATCH(Comercial_Agricola[[#This Row],[Movimiento]],Tabla9[Movimientos],0),3),0)</f>
        <v>(-)</v>
      </c>
      <c r="Z52" s="822">
        <f>IF(Comercial_Agricola[[#This Row],[Fecha Económico]]=0,0,MONTH(Comercial_Agricola[[#This Row],[Fecha Económico]]))</f>
        <v>2</v>
      </c>
      <c r="AA52" s="822">
        <f>IF(Comercial_Agricola[[#This Row],[Fecha Económico]]=0,0,YEAR(Comercial_Agricola[[#This Row],[Fecha Económico]]))</f>
        <v>2019</v>
      </c>
      <c r="AB52" s="823">
        <f>SUMPRODUCT((Comercial_Agricola[[#This Row],[Mes Económico]]=Tipo_Cambio[Mes])*(Comercial_Agricola[[#This Row],[Año Económico]]=Tipo_Cambio[Año])*(Tipo_Cambio[$/U$S]))</f>
        <v>23.586977746354219</v>
      </c>
      <c r="AC52" s="823">
        <f>SUMPRODUCT((Comercial_Agricola[[#This Row],[Mes Económico]]=Tipo_Cambio[Mes])*(Comercial_Agricola[[#This Row],[Año Económico]]=Tipo_Cambio[Año])*(Tipo_Cambio[Actualización]))</f>
        <v>1.14868566764928</v>
      </c>
      <c r="AD52" s="822">
        <f>IF(ISNUMBER(Comercial_Agricola[[#This Row],[Fecha Financiero]])=TRUE,MONTH(Comercial_Agricola[[#This Row],[Fecha Financiero]]),0)</f>
        <v>10</v>
      </c>
      <c r="AE52" s="822">
        <f>IF(ISNUMBER(Comercial_Agricola[[#This Row],[Fecha Financiero]])=TRUE,YEAR(Comercial_Agricola[[#This Row],[Fecha Financiero]]),0)</f>
        <v>2019</v>
      </c>
      <c r="AF52" s="823">
        <f>SUMPRODUCT((Comercial_Agricola[[#This Row],[Mes Financiero]]=Tipo_Cambio[Mes])*(Comercial_Agricola[[#This Row],[Año Financiero]]=Tipo_Cambio[Año])*(Tipo_Cambio[$/U$S]))</f>
        <v>25.541317018139967</v>
      </c>
      <c r="AG52" s="823">
        <f>SUMPRODUCT((Comercial_Agricola[[#This Row],[Mes Financiero]]=Tipo_Cambio[Mes])*(Comercial_Agricola[[#This Row],[Año Financiero]]=Tipo_Cambio[Año])*(Tipo_Cambio[Actualización]))</f>
        <v>1.3458683383241299</v>
      </c>
    </row>
    <row r="53" spans="4:33" x14ac:dyDescent="0.25">
      <c r="D53" s="548">
        <f t="shared" ref="D53:D58" si="9">D52</f>
        <v>43497</v>
      </c>
      <c r="E53" s="649">
        <f t="shared" ref="E53:E57" si="10">E52</f>
        <v>43739</v>
      </c>
      <c r="F53" s="775" t="str">
        <f t="shared" si="6"/>
        <v>2018-2019</v>
      </c>
      <c r="G53" s="481" t="s">
        <v>73</v>
      </c>
      <c r="H53" s="481"/>
      <c r="I53" s="793">
        <f>IFERROR(INDEX(Tabla811[],MATCH(Comercial_Agricola[[#This Row],[Unidad de Negocio]],Tabla811[Unidades de Negocio],0),2),0)</f>
        <v>0</v>
      </c>
      <c r="J53" s="481"/>
      <c r="K53" s="550"/>
      <c r="L53" s="491"/>
      <c r="M53" s="41" t="s">
        <v>48</v>
      </c>
      <c r="N53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53" s="829">
        <f>IFERROR(Comercial_Agricola[[#This Row],[Económico $Corrientes]]/Comercial_Agricola[[#This Row],[Indexación Económico]],0)</f>
        <v>0</v>
      </c>
      <c r="P53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53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53" s="829">
        <f>IFERROR(Comercial_Agricola[[#This Row],[Financiero $Corrientes]]/Comercial_Agricola[[#This Row],[Indexación Financiero]],0)</f>
        <v>0</v>
      </c>
      <c r="S53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53" s="831" t="str">
        <f>IFERROR(INDEX(Comercializacion_Granos_Cuentas[],MATCH(Comercial_Agricola[[#This Row],[Cuenta Contable]],Comercializacion_Granos_Cuentas[Cuenta Contable],0),2),0)</f>
        <v>Egreso</v>
      </c>
      <c r="U53" s="806" t="str">
        <f>IFERROR(INDEX(Comercializacion_Granos_Cuentas[],MATCH(Comercial_Agricola[[#This Row],[Cuenta Contable]],Comercializacion_Granos_Cuentas[Cuenta Contable],0),3),0)</f>
        <v>No</v>
      </c>
      <c r="V53" s="832">
        <f>IF(Comercial_Agricola[[#This Row],[Signo]]="(-)",1,-1)*IF(Comercial_Agricola[[#This Row],[Stock]]="SI",Comercial_Agricola[[#This Row],[Toneladas]],0)</f>
        <v>0</v>
      </c>
      <c r="W53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53" s="806" t="str">
        <f>IFERROR(INDEX(Tabla9[],MATCH(Comercial_Agricola[[#This Row],[Movimiento]],Tabla9[Movimientos],0),2),0)</f>
        <v>Si</v>
      </c>
      <c r="Y53" s="807" t="str">
        <f>IFERROR(INDEX(Tabla9[],MATCH(Comercial_Agricola[[#This Row],[Movimiento]],Tabla9[Movimientos],0),3),0)</f>
        <v>(-)</v>
      </c>
      <c r="Z53" s="822">
        <f>IF(Comercial_Agricola[[#This Row],[Fecha Económico]]=0,0,MONTH(Comercial_Agricola[[#This Row],[Fecha Económico]]))</f>
        <v>2</v>
      </c>
      <c r="AA53" s="822">
        <f>IF(Comercial_Agricola[[#This Row],[Fecha Económico]]=0,0,YEAR(Comercial_Agricola[[#This Row],[Fecha Económico]]))</f>
        <v>2019</v>
      </c>
      <c r="AB53" s="823">
        <f>SUMPRODUCT((Comercial_Agricola[[#This Row],[Mes Económico]]=Tipo_Cambio[Mes])*(Comercial_Agricola[[#This Row],[Año Económico]]=Tipo_Cambio[Año])*(Tipo_Cambio[$/U$S]))</f>
        <v>23.586977746354219</v>
      </c>
      <c r="AC53" s="823">
        <f>SUMPRODUCT((Comercial_Agricola[[#This Row],[Mes Económico]]=Tipo_Cambio[Mes])*(Comercial_Agricola[[#This Row],[Año Económico]]=Tipo_Cambio[Año])*(Tipo_Cambio[Actualización]))</f>
        <v>1.14868566764928</v>
      </c>
      <c r="AD53" s="822">
        <f>IF(ISNUMBER(Comercial_Agricola[[#This Row],[Fecha Financiero]])=TRUE,MONTH(Comercial_Agricola[[#This Row],[Fecha Financiero]]),0)</f>
        <v>10</v>
      </c>
      <c r="AE53" s="822">
        <f>IF(ISNUMBER(Comercial_Agricola[[#This Row],[Fecha Financiero]])=TRUE,YEAR(Comercial_Agricola[[#This Row],[Fecha Financiero]]),0)</f>
        <v>2019</v>
      </c>
      <c r="AF53" s="823">
        <f>SUMPRODUCT((Comercial_Agricola[[#This Row],[Mes Financiero]]=Tipo_Cambio[Mes])*(Comercial_Agricola[[#This Row],[Año Financiero]]=Tipo_Cambio[Año])*(Tipo_Cambio[$/U$S]))</f>
        <v>25.541317018139967</v>
      </c>
      <c r="AG53" s="823">
        <f>SUMPRODUCT((Comercial_Agricola[[#This Row],[Mes Financiero]]=Tipo_Cambio[Mes])*(Comercial_Agricola[[#This Row],[Año Financiero]]=Tipo_Cambio[Año])*(Tipo_Cambio[Actualización]))</f>
        <v>1.3458683383241299</v>
      </c>
    </row>
    <row r="54" spans="4:33" x14ac:dyDescent="0.25">
      <c r="D54" s="548">
        <f t="shared" si="9"/>
        <v>43497</v>
      </c>
      <c r="E54" s="649">
        <f t="shared" si="10"/>
        <v>43739</v>
      </c>
      <c r="F54" s="775" t="str">
        <f t="shared" si="6"/>
        <v>2018-2019</v>
      </c>
      <c r="G54" s="481" t="s">
        <v>74</v>
      </c>
      <c r="H54" s="481"/>
      <c r="I54" s="793">
        <f>IFERROR(INDEX(Tabla811[],MATCH(Comercial_Agricola[[#This Row],[Unidad de Negocio]],Tabla811[Unidades de Negocio],0),2),0)</f>
        <v>0</v>
      </c>
      <c r="J54" s="481"/>
      <c r="K54" s="550"/>
      <c r="L54" s="491"/>
      <c r="M54" s="41" t="s">
        <v>3</v>
      </c>
      <c r="N54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54" s="829">
        <f>IFERROR(Comercial_Agricola[[#This Row],[Económico $Corrientes]]/Comercial_Agricola[[#This Row],[Indexación Económico]],0)</f>
        <v>0</v>
      </c>
      <c r="P54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54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54" s="829">
        <f>IFERROR(Comercial_Agricola[[#This Row],[Financiero $Corrientes]]/Comercial_Agricola[[#This Row],[Indexación Financiero]],0)</f>
        <v>0</v>
      </c>
      <c r="S54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54" s="831" t="str">
        <f>IFERROR(INDEX(Comercializacion_Granos_Cuentas[],MATCH(Comercial_Agricola[[#This Row],[Cuenta Contable]],Comercializacion_Granos_Cuentas[Cuenta Contable],0),2),0)</f>
        <v>Egreso</v>
      </c>
      <c r="U54" s="806" t="str">
        <f>IFERROR(INDEX(Comercializacion_Granos_Cuentas[],MATCH(Comercial_Agricola[[#This Row],[Cuenta Contable]],Comercializacion_Granos_Cuentas[Cuenta Contable],0),3),0)</f>
        <v>No</v>
      </c>
      <c r="V54" s="832">
        <f>IF(Comercial_Agricola[[#This Row],[Signo]]="(-)",1,-1)*IF(Comercial_Agricola[[#This Row],[Stock]]="SI",Comercial_Agricola[[#This Row],[Toneladas]],0)</f>
        <v>0</v>
      </c>
      <c r="W54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54" s="806" t="str">
        <f>IFERROR(INDEX(Tabla9[],MATCH(Comercial_Agricola[[#This Row],[Movimiento]],Tabla9[Movimientos],0),2),0)</f>
        <v>Si</v>
      </c>
      <c r="Y54" s="807" t="str">
        <f>IFERROR(INDEX(Tabla9[],MATCH(Comercial_Agricola[[#This Row],[Movimiento]],Tabla9[Movimientos],0),3),0)</f>
        <v>(-)</v>
      </c>
      <c r="Z54" s="822">
        <f>IF(Comercial_Agricola[[#This Row],[Fecha Económico]]=0,0,MONTH(Comercial_Agricola[[#This Row],[Fecha Económico]]))</f>
        <v>2</v>
      </c>
      <c r="AA54" s="822">
        <f>IF(Comercial_Agricola[[#This Row],[Fecha Económico]]=0,0,YEAR(Comercial_Agricola[[#This Row],[Fecha Económico]]))</f>
        <v>2019</v>
      </c>
      <c r="AB54" s="823">
        <f>SUMPRODUCT((Comercial_Agricola[[#This Row],[Mes Económico]]=Tipo_Cambio[Mes])*(Comercial_Agricola[[#This Row],[Año Económico]]=Tipo_Cambio[Año])*(Tipo_Cambio[$/U$S]))</f>
        <v>23.586977746354219</v>
      </c>
      <c r="AC54" s="823">
        <f>SUMPRODUCT((Comercial_Agricola[[#This Row],[Mes Económico]]=Tipo_Cambio[Mes])*(Comercial_Agricola[[#This Row],[Año Económico]]=Tipo_Cambio[Año])*(Tipo_Cambio[Actualización]))</f>
        <v>1.14868566764928</v>
      </c>
      <c r="AD54" s="822">
        <f>IF(ISNUMBER(Comercial_Agricola[[#This Row],[Fecha Financiero]])=TRUE,MONTH(Comercial_Agricola[[#This Row],[Fecha Financiero]]),0)</f>
        <v>10</v>
      </c>
      <c r="AE54" s="822">
        <f>IF(ISNUMBER(Comercial_Agricola[[#This Row],[Fecha Financiero]])=TRUE,YEAR(Comercial_Agricola[[#This Row],[Fecha Financiero]]),0)</f>
        <v>2019</v>
      </c>
      <c r="AF54" s="823">
        <f>SUMPRODUCT((Comercial_Agricola[[#This Row],[Mes Financiero]]=Tipo_Cambio[Mes])*(Comercial_Agricola[[#This Row],[Año Financiero]]=Tipo_Cambio[Año])*(Tipo_Cambio[$/U$S]))</f>
        <v>25.541317018139967</v>
      </c>
      <c r="AG54" s="823">
        <f>SUMPRODUCT((Comercial_Agricola[[#This Row],[Mes Financiero]]=Tipo_Cambio[Mes])*(Comercial_Agricola[[#This Row],[Año Financiero]]=Tipo_Cambio[Año])*(Tipo_Cambio[Actualización]))</f>
        <v>1.3458683383241299</v>
      </c>
    </row>
    <row r="55" spans="4:33" x14ac:dyDescent="0.25">
      <c r="D55" s="548">
        <f t="shared" si="9"/>
        <v>43497</v>
      </c>
      <c r="E55" s="649">
        <f t="shared" si="10"/>
        <v>43739</v>
      </c>
      <c r="F55" s="775" t="str">
        <f t="shared" si="6"/>
        <v>2018-2019</v>
      </c>
      <c r="G55" s="481" t="s">
        <v>75</v>
      </c>
      <c r="H55" s="481"/>
      <c r="I55" s="793">
        <f>IFERROR(INDEX(Tabla811[],MATCH(Comercial_Agricola[[#This Row],[Unidad de Negocio]],Tabla811[Unidades de Negocio],0),2),0)</f>
        <v>0</v>
      </c>
      <c r="J55" s="481"/>
      <c r="K55" s="550"/>
      <c r="L55" s="491"/>
      <c r="M55" s="41" t="s">
        <v>3</v>
      </c>
      <c r="N55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55" s="829">
        <f>IFERROR(Comercial_Agricola[[#This Row],[Económico $Corrientes]]/Comercial_Agricola[[#This Row],[Indexación Económico]],0)</f>
        <v>0</v>
      </c>
      <c r="P55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55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55" s="829">
        <f>IFERROR(Comercial_Agricola[[#This Row],[Financiero $Corrientes]]/Comercial_Agricola[[#This Row],[Indexación Financiero]],0)</f>
        <v>0</v>
      </c>
      <c r="S55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55" s="831" t="str">
        <f>IFERROR(INDEX(Comercializacion_Granos_Cuentas[],MATCH(Comercial_Agricola[[#This Row],[Cuenta Contable]],Comercializacion_Granos_Cuentas[Cuenta Contable],0),2),0)</f>
        <v>Egreso</v>
      </c>
      <c r="U55" s="806" t="str">
        <f>IFERROR(INDEX(Comercializacion_Granos_Cuentas[],MATCH(Comercial_Agricola[[#This Row],[Cuenta Contable]],Comercializacion_Granos_Cuentas[Cuenta Contable],0),3),0)</f>
        <v>No</v>
      </c>
      <c r="V55" s="832">
        <f>IF(Comercial_Agricola[[#This Row],[Signo]]="(-)",1,-1)*IF(Comercial_Agricola[[#This Row],[Stock]]="SI",Comercial_Agricola[[#This Row],[Toneladas]],0)</f>
        <v>0</v>
      </c>
      <c r="W55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55" s="806" t="str">
        <f>IFERROR(INDEX(Tabla9[],MATCH(Comercial_Agricola[[#This Row],[Movimiento]],Tabla9[Movimientos],0),2),0)</f>
        <v>Si</v>
      </c>
      <c r="Y55" s="807" t="str">
        <f>IFERROR(INDEX(Tabla9[],MATCH(Comercial_Agricola[[#This Row],[Movimiento]],Tabla9[Movimientos],0),3),0)</f>
        <v>(-)</v>
      </c>
      <c r="Z55" s="822">
        <f>IF(Comercial_Agricola[[#This Row],[Fecha Económico]]=0,0,MONTH(Comercial_Agricola[[#This Row],[Fecha Económico]]))</f>
        <v>2</v>
      </c>
      <c r="AA55" s="822">
        <f>IF(Comercial_Agricola[[#This Row],[Fecha Económico]]=0,0,YEAR(Comercial_Agricola[[#This Row],[Fecha Económico]]))</f>
        <v>2019</v>
      </c>
      <c r="AB55" s="823">
        <f>SUMPRODUCT((Comercial_Agricola[[#This Row],[Mes Económico]]=Tipo_Cambio[Mes])*(Comercial_Agricola[[#This Row],[Año Económico]]=Tipo_Cambio[Año])*(Tipo_Cambio[$/U$S]))</f>
        <v>23.586977746354219</v>
      </c>
      <c r="AC55" s="823">
        <f>SUMPRODUCT((Comercial_Agricola[[#This Row],[Mes Económico]]=Tipo_Cambio[Mes])*(Comercial_Agricola[[#This Row],[Año Económico]]=Tipo_Cambio[Año])*(Tipo_Cambio[Actualización]))</f>
        <v>1.14868566764928</v>
      </c>
      <c r="AD55" s="822">
        <f>IF(ISNUMBER(Comercial_Agricola[[#This Row],[Fecha Financiero]])=TRUE,MONTH(Comercial_Agricola[[#This Row],[Fecha Financiero]]),0)</f>
        <v>10</v>
      </c>
      <c r="AE55" s="822">
        <f>IF(ISNUMBER(Comercial_Agricola[[#This Row],[Fecha Financiero]])=TRUE,YEAR(Comercial_Agricola[[#This Row],[Fecha Financiero]]),0)</f>
        <v>2019</v>
      </c>
      <c r="AF55" s="823">
        <f>SUMPRODUCT((Comercial_Agricola[[#This Row],[Mes Financiero]]=Tipo_Cambio[Mes])*(Comercial_Agricola[[#This Row],[Año Financiero]]=Tipo_Cambio[Año])*(Tipo_Cambio[$/U$S]))</f>
        <v>25.541317018139967</v>
      </c>
      <c r="AG55" s="823">
        <f>SUMPRODUCT((Comercial_Agricola[[#This Row],[Mes Financiero]]=Tipo_Cambio[Mes])*(Comercial_Agricola[[#This Row],[Año Financiero]]=Tipo_Cambio[Año])*(Tipo_Cambio[Actualización]))</f>
        <v>1.3458683383241299</v>
      </c>
    </row>
    <row r="56" spans="4:33" x14ac:dyDescent="0.25">
      <c r="D56" s="548">
        <f t="shared" si="9"/>
        <v>43497</v>
      </c>
      <c r="E56" s="649">
        <f t="shared" si="10"/>
        <v>43739</v>
      </c>
      <c r="F56" s="775" t="str">
        <f t="shared" si="6"/>
        <v>2018-2019</v>
      </c>
      <c r="G56" s="481" t="s">
        <v>76</v>
      </c>
      <c r="H56" s="481"/>
      <c r="I56" s="793">
        <f>IFERROR(INDEX(Tabla811[],MATCH(Comercial_Agricola[[#This Row],[Unidad de Negocio]],Tabla811[Unidades de Negocio],0),2),0)</f>
        <v>0</v>
      </c>
      <c r="J56" s="481"/>
      <c r="K56" s="550"/>
      <c r="L56" s="491"/>
      <c r="M56" s="41" t="s">
        <v>3</v>
      </c>
      <c r="N56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56" s="829">
        <f>IFERROR(Comercial_Agricola[[#This Row],[Económico $Corrientes]]/Comercial_Agricola[[#This Row],[Indexación Económico]],0)</f>
        <v>0</v>
      </c>
      <c r="P56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56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56" s="829">
        <f>IFERROR(Comercial_Agricola[[#This Row],[Financiero $Corrientes]]/Comercial_Agricola[[#This Row],[Indexación Financiero]],0)</f>
        <v>0</v>
      </c>
      <c r="S56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56" s="831" t="str">
        <f>IFERROR(INDEX(Comercializacion_Granos_Cuentas[],MATCH(Comercial_Agricola[[#This Row],[Cuenta Contable]],Comercializacion_Granos_Cuentas[Cuenta Contable],0),2),0)</f>
        <v>Egreso</v>
      </c>
      <c r="U56" s="806" t="str">
        <f>IFERROR(INDEX(Comercializacion_Granos_Cuentas[],MATCH(Comercial_Agricola[[#This Row],[Cuenta Contable]],Comercializacion_Granos_Cuentas[Cuenta Contable],0),3),0)</f>
        <v>No</v>
      </c>
      <c r="V56" s="832">
        <f>IF(Comercial_Agricola[[#This Row],[Signo]]="(-)",1,-1)*IF(Comercial_Agricola[[#This Row],[Stock]]="SI",Comercial_Agricola[[#This Row],[Toneladas]],0)</f>
        <v>0</v>
      </c>
      <c r="W56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56" s="806" t="str">
        <f>IFERROR(INDEX(Tabla9[],MATCH(Comercial_Agricola[[#This Row],[Movimiento]],Tabla9[Movimientos],0),2),0)</f>
        <v>Si</v>
      </c>
      <c r="Y56" s="807" t="str">
        <f>IFERROR(INDEX(Tabla9[],MATCH(Comercial_Agricola[[#This Row],[Movimiento]],Tabla9[Movimientos],0),3),0)</f>
        <v>(-)</v>
      </c>
      <c r="Z56" s="822">
        <f>IF(Comercial_Agricola[[#This Row],[Fecha Económico]]=0,0,MONTH(Comercial_Agricola[[#This Row],[Fecha Económico]]))</f>
        <v>2</v>
      </c>
      <c r="AA56" s="822">
        <f>IF(Comercial_Agricola[[#This Row],[Fecha Económico]]=0,0,YEAR(Comercial_Agricola[[#This Row],[Fecha Económico]]))</f>
        <v>2019</v>
      </c>
      <c r="AB56" s="823">
        <f>SUMPRODUCT((Comercial_Agricola[[#This Row],[Mes Económico]]=Tipo_Cambio[Mes])*(Comercial_Agricola[[#This Row],[Año Económico]]=Tipo_Cambio[Año])*(Tipo_Cambio[$/U$S]))</f>
        <v>23.586977746354219</v>
      </c>
      <c r="AC56" s="823">
        <f>SUMPRODUCT((Comercial_Agricola[[#This Row],[Mes Económico]]=Tipo_Cambio[Mes])*(Comercial_Agricola[[#This Row],[Año Económico]]=Tipo_Cambio[Año])*(Tipo_Cambio[Actualización]))</f>
        <v>1.14868566764928</v>
      </c>
      <c r="AD56" s="822">
        <f>IF(ISNUMBER(Comercial_Agricola[[#This Row],[Fecha Financiero]])=TRUE,MONTH(Comercial_Agricola[[#This Row],[Fecha Financiero]]),0)</f>
        <v>10</v>
      </c>
      <c r="AE56" s="822">
        <f>IF(ISNUMBER(Comercial_Agricola[[#This Row],[Fecha Financiero]])=TRUE,YEAR(Comercial_Agricola[[#This Row],[Fecha Financiero]]),0)</f>
        <v>2019</v>
      </c>
      <c r="AF56" s="823">
        <f>SUMPRODUCT((Comercial_Agricola[[#This Row],[Mes Financiero]]=Tipo_Cambio[Mes])*(Comercial_Agricola[[#This Row],[Año Financiero]]=Tipo_Cambio[Año])*(Tipo_Cambio[$/U$S]))</f>
        <v>25.541317018139967</v>
      </c>
      <c r="AG56" s="823">
        <f>SUMPRODUCT((Comercial_Agricola[[#This Row],[Mes Financiero]]=Tipo_Cambio[Mes])*(Comercial_Agricola[[#This Row],[Año Financiero]]=Tipo_Cambio[Año])*(Tipo_Cambio[Actualización]))</f>
        <v>1.3458683383241299</v>
      </c>
    </row>
    <row r="57" spans="4:33" x14ac:dyDescent="0.25">
      <c r="D57" s="548">
        <f t="shared" si="9"/>
        <v>43497</v>
      </c>
      <c r="E57" s="649">
        <f t="shared" si="10"/>
        <v>43739</v>
      </c>
      <c r="F57" s="775" t="str">
        <f t="shared" si="6"/>
        <v>2018-2019</v>
      </c>
      <c r="G57" s="481" t="s">
        <v>96</v>
      </c>
      <c r="H57" s="481"/>
      <c r="I57" s="793">
        <f>IFERROR(INDEX(Tabla811[],MATCH(Comercial_Agricola[[#This Row],[Unidad de Negocio]],Tabla811[Unidades de Negocio],0),2),0)</f>
        <v>0</v>
      </c>
      <c r="J57" s="481"/>
      <c r="K57" s="550"/>
      <c r="L57" s="491"/>
      <c r="M57" s="41"/>
      <c r="N57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57" s="829">
        <f>IFERROR(Comercial_Agricola[[#This Row],[Económico $Corrientes]]/Comercial_Agricola[[#This Row],[Indexación Económico]],0)</f>
        <v>0</v>
      </c>
      <c r="P57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57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57" s="829">
        <f>IFERROR(Comercial_Agricola[[#This Row],[Financiero $Corrientes]]/Comercial_Agricola[[#This Row],[Indexación Financiero]],0)</f>
        <v>0</v>
      </c>
      <c r="S57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57" s="831" t="str">
        <f>IFERROR(INDEX(Comercializacion_Granos_Cuentas[],MATCH(Comercial_Agricola[[#This Row],[Cuenta Contable]],Comercializacion_Granos_Cuentas[Cuenta Contable],0),2),0)</f>
        <v>Egreso</v>
      </c>
      <c r="U57" s="806" t="str">
        <f>IFERROR(INDEX(Comercializacion_Granos_Cuentas[],MATCH(Comercial_Agricola[[#This Row],[Cuenta Contable]],Comercializacion_Granos_Cuentas[Cuenta Contable],0),3),0)</f>
        <v>No</v>
      </c>
      <c r="V57" s="832">
        <f>IF(Comercial_Agricola[[#This Row],[Signo]]="(-)",1,-1)*IF(Comercial_Agricola[[#This Row],[Stock]]="SI",Comercial_Agricola[[#This Row],[Toneladas]],0)</f>
        <v>0</v>
      </c>
      <c r="W57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57" s="806" t="str">
        <f>IFERROR(INDEX(Tabla9[],MATCH(Comercial_Agricola[[#This Row],[Movimiento]],Tabla9[Movimientos],0),2),0)</f>
        <v>Si</v>
      </c>
      <c r="Y57" s="807" t="str">
        <f>IFERROR(INDEX(Tabla9[],MATCH(Comercial_Agricola[[#This Row],[Movimiento]],Tabla9[Movimientos],0),3),0)</f>
        <v>(-)</v>
      </c>
      <c r="Z57" s="822">
        <f>IF(Comercial_Agricola[[#This Row],[Fecha Económico]]=0,0,MONTH(Comercial_Agricola[[#This Row],[Fecha Económico]]))</f>
        <v>2</v>
      </c>
      <c r="AA57" s="822">
        <f>IF(Comercial_Agricola[[#This Row],[Fecha Económico]]=0,0,YEAR(Comercial_Agricola[[#This Row],[Fecha Económico]]))</f>
        <v>2019</v>
      </c>
      <c r="AB57" s="823">
        <f>SUMPRODUCT((Comercial_Agricola[[#This Row],[Mes Económico]]=Tipo_Cambio[Mes])*(Comercial_Agricola[[#This Row],[Año Económico]]=Tipo_Cambio[Año])*(Tipo_Cambio[$/U$S]))</f>
        <v>23.586977746354219</v>
      </c>
      <c r="AC57" s="823">
        <f>SUMPRODUCT((Comercial_Agricola[[#This Row],[Mes Económico]]=Tipo_Cambio[Mes])*(Comercial_Agricola[[#This Row],[Año Económico]]=Tipo_Cambio[Año])*(Tipo_Cambio[Actualización]))</f>
        <v>1.14868566764928</v>
      </c>
      <c r="AD57" s="822">
        <f>IF(ISNUMBER(Comercial_Agricola[[#This Row],[Fecha Financiero]])=TRUE,MONTH(Comercial_Agricola[[#This Row],[Fecha Financiero]]),0)</f>
        <v>10</v>
      </c>
      <c r="AE57" s="822">
        <f>IF(ISNUMBER(Comercial_Agricola[[#This Row],[Fecha Financiero]])=TRUE,YEAR(Comercial_Agricola[[#This Row],[Fecha Financiero]]),0)</f>
        <v>2019</v>
      </c>
      <c r="AF57" s="823">
        <f>SUMPRODUCT((Comercial_Agricola[[#This Row],[Mes Financiero]]=Tipo_Cambio[Mes])*(Comercial_Agricola[[#This Row],[Año Financiero]]=Tipo_Cambio[Año])*(Tipo_Cambio[$/U$S]))</f>
        <v>25.541317018139967</v>
      </c>
      <c r="AG57" s="823">
        <f>SUMPRODUCT((Comercial_Agricola[[#This Row],[Mes Financiero]]=Tipo_Cambio[Mes])*(Comercial_Agricola[[#This Row],[Año Financiero]]=Tipo_Cambio[Año])*(Tipo_Cambio[Actualización]))</f>
        <v>1.3458683383241299</v>
      </c>
    </row>
    <row r="58" spans="4:33" x14ac:dyDescent="0.25">
      <c r="D58" s="582">
        <f t="shared" si="9"/>
        <v>43497</v>
      </c>
      <c r="E58" s="650"/>
      <c r="F58" s="785" t="str">
        <f t="shared" si="6"/>
        <v>2018-2019</v>
      </c>
      <c r="G58" s="538" t="s">
        <v>203</v>
      </c>
      <c r="H58" s="538"/>
      <c r="I58" s="796">
        <f>IFERROR(INDEX(Tabla811[],MATCH(Comercial_Agricola[[#This Row],[Unidad de Negocio]],Tabla811[Unidades de Negocio],0),2),0)</f>
        <v>0</v>
      </c>
      <c r="J58" s="538"/>
      <c r="K58" s="587"/>
      <c r="L58" s="538"/>
      <c r="M58" s="219"/>
      <c r="N58" s="854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58" s="855">
        <f>IFERROR(Comercial_Agricola[[#This Row],[Económico $Corrientes]]/Comercial_Agricola[[#This Row],[Indexación Económico]],0)</f>
        <v>0</v>
      </c>
      <c r="P58" s="856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58" s="855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58" s="855">
        <f>IFERROR(Comercial_Agricola[[#This Row],[Financiero $Corrientes]]/Comercial_Agricola[[#This Row],[Indexación Financiero]],0)</f>
        <v>0</v>
      </c>
      <c r="S58" s="855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58" s="861" t="str">
        <f>IFERROR(INDEX(Comercializacion_Granos_Cuentas[],MATCH(Comercial_Agricola[[#This Row],[Cuenta Contable]],Comercializacion_Granos_Cuentas[Cuenta Contable],0),2),0)</f>
        <v>Egreso Cesión</v>
      </c>
      <c r="U58" s="862" t="str">
        <f>IFERROR(INDEX(Comercializacion_Granos_Cuentas[],MATCH(Comercial_Agricola[[#This Row],[Cuenta Contable]],Comercializacion_Granos_Cuentas[Cuenta Contable],0),3),0)</f>
        <v>No</v>
      </c>
      <c r="V58" s="863">
        <f>IF(Comercial_Agricola[[#This Row],[Signo]]="(-)",1,-1)*IF(Comercial_Agricola[[#This Row],[Stock]]="SI",Comercial_Agricola[[#This Row],[Toneladas]],0)</f>
        <v>0</v>
      </c>
      <c r="W58" s="804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58" s="806" t="str">
        <f>IFERROR(INDEX(Tabla9[],MATCH(Comercial_Agricola[[#This Row],[Movimiento]],Tabla9[Movimientos],0),2),0)</f>
        <v>No</v>
      </c>
      <c r="Y58" s="807" t="str">
        <f>IFERROR(INDEX(Tabla9[],MATCH(Comercial_Agricola[[#This Row],[Movimiento]],Tabla9[Movimientos],0),3),0)</f>
        <v>(-)</v>
      </c>
      <c r="Z58" s="822">
        <f>IF(Comercial_Agricola[[#This Row],[Fecha Económico]]=0,0,MONTH(Comercial_Agricola[[#This Row],[Fecha Económico]]))</f>
        <v>2</v>
      </c>
      <c r="AA58" s="822">
        <f>IF(Comercial_Agricola[[#This Row],[Fecha Económico]]=0,0,YEAR(Comercial_Agricola[[#This Row],[Fecha Económico]]))</f>
        <v>2019</v>
      </c>
      <c r="AB58" s="823">
        <f>SUMPRODUCT((Comercial_Agricola[[#This Row],[Mes Económico]]=Tipo_Cambio[Mes])*(Comercial_Agricola[[#This Row],[Año Económico]]=Tipo_Cambio[Año])*(Tipo_Cambio[$/U$S]))</f>
        <v>23.586977746354219</v>
      </c>
      <c r="AC58" s="823">
        <f>SUMPRODUCT((Comercial_Agricola[[#This Row],[Mes Económico]]=Tipo_Cambio[Mes])*(Comercial_Agricola[[#This Row],[Año Económico]]=Tipo_Cambio[Año])*(Tipo_Cambio[Actualización]))</f>
        <v>1.14868566764928</v>
      </c>
      <c r="AD58" s="822">
        <f>IF(ISNUMBER(Comercial_Agricola[[#This Row],[Fecha Financiero]])=TRUE,MONTH(Comercial_Agricola[[#This Row],[Fecha Financiero]]),0)</f>
        <v>0</v>
      </c>
      <c r="AE58" s="822">
        <f>IF(ISNUMBER(Comercial_Agricola[[#This Row],[Fecha Financiero]])=TRUE,YEAR(Comercial_Agricola[[#This Row],[Fecha Financiero]]),0)</f>
        <v>0</v>
      </c>
      <c r="AF58" s="823">
        <f>SUMPRODUCT((Comercial_Agricola[[#This Row],[Mes Financiero]]=Tipo_Cambio[Mes])*(Comercial_Agricola[[#This Row],[Año Financiero]]=Tipo_Cambio[Año])*(Tipo_Cambio[$/U$S]))</f>
        <v>0</v>
      </c>
      <c r="AG58" s="823">
        <f>SUMPRODUCT((Comercial_Agricola[[#This Row],[Mes Financiero]]=Tipo_Cambio[Mes])*(Comercial_Agricola[[#This Row],[Año Financiero]]=Tipo_Cambio[Año])*(Tipo_Cambio[Actualización]))</f>
        <v>0</v>
      </c>
    </row>
    <row r="59" spans="4:33" x14ac:dyDescent="0.25">
      <c r="D59" s="478">
        <v>43586</v>
      </c>
      <c r="E59" s="522">
        <v>43739</v>
      </c>
      <c r="F59" s="775" t="str">
        <f t="shared" si="6"/>
        <v>2018-2019</v>
      </c>
      <c r="G59" s="481" t="s">
        <v>171</v>
      </c>
      <c r="H59" s="481"/>
      <c r="I59" s="793">
        <f>IFERROR(INDEX(Tabla811[],MATCH(Comercial_Agricola[[#This Row],[Unidad de Negocio]],Tabla811[Unidades de Negocio],0),2),0)</f>
        <v>0</v>
      </c>
      <c r="J59" s="481"/>
      <c r="K59" s="550"/>
      <c r="L59" s="491"/>
      <c r="M59" s="41" t="s">
        <v>48</v>
      </c>
      <c r="N59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59" s="829">
        <f>IFERROR(Comercial_Agricola[[#This Row],[Económico $Corrientes]]/Comercial_Agricola[[#This Row],[Indexación Económico]],0)</f>
        <v>0</v>
      </c>
      <c r="P59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59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59" s="829">
        <f>IFERROR(Comercial_Agricola[[#This Row],[Financiero $Corrientes]]/Comercial_Agricola[[#This Row],[Indexación Financiero]],0)</f>
        <v>0</v>
      </c>
      <c r="S59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59" s="831" t="str">
        <f>IFERROR(INDEX(Comercializacion_Granos_Cuentas[],MATCH(Comercial_Agricola[[#This Row],[Cuenta Contable]],Comercializacion_Granos_Cuentas[Cuenta Contable],0),2),0)</f>
        <v>Ingreso</v>
      </c>
      <c r="U59" s="806" t="str">
        <f>IFERROR(INDEX(Comercializacion_Granos_Cuentas[],MATCH(Comercial_Agricola[[#This Row],[Cuenta Contable]],Comercializacion_Granos_Cuentas[Cuenta Contable],0),3),0)</f>
        <v>Si</v>
      </c>
      <c r="V59" s="832">
        <f>IF(Comercial_Agricola[[#This Row],[Signo]]="(-)",1,-1)*IF(Comercial_Agricola[[#This Row],[Stock]]="SI",Comercial_Agricola[[#This Row],[Toneladas]],0)</f>
        <v>0</v>
      </c>
      <c r="W59" s="803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59" s="824" t="str">
        <f>IFERROR(INDEX(Tabla9[],MATCH(Comercial_Agricola[[#This Row],[Movimiento]],Tabla9[Movimientos],0),2),0)</f>
        <v>Si</v>
      </c>
      <c r="Y59" s="825" t="str">
        <f>IFERROR(INDEX(Tabla9[],MATCH(Comercial_Agricola[[#This Row],[Movimiento]],Tabla9[Movimientos],0),3),0)</f>
        <v>(+)</v>
      </c>
      <c r="Z59" s="826">
        <f>IF(Comercial_Agricola[[#This Row],[Fecha Económico]]=0,0,MONTH(Comercial_Agricola[[#This Row],[Fecha Económico]]))</f>
        <v>5</v>
      </c>
      <c r="AA59" s="826">
        <f>IF(Comercial_Agricola[[#This Row],[Fecha Económico]]=0,0,YEAR(Comercial_Agricola[[#This Row],[Fecha Económico]]))</f>
        <v>2019</v>
      </c>
      <c r="AB59" s="827">
        <f>SUMPRODUCT((Comercial_Agricola[[#This Row],[Mes Económico]]=Tipo_Cambio[Mes])*(Comercial_Agricola[[#This Row],[Año Económico]]=Tipo_Cambio[Año])*(Tipo_Cambio[$/U$S]))</f>
        <v>24.301686759046497</v>
      </c>
      <c r="AC59" s="827">
        <f>SUMPRODUCT((Comercial_Agricola[[#This Row],[Mes Económico]]=Tipo_Cambio[Mes])*(Comercial_Agricola[[#This Row],[Año Económico]]=Tipo_Cambio[Año])*(Tipo_Cambio[Actualización]))</f>
        <v>1.2189944199947573</v>
      </c>
      <c r="AD59" s="826">
        <f>IF(ISNUMBER(Comercial_Agricola[[#This Row],[Fecha Financiero]])=TRUE,MONTH(Comercial_Agricola[[#This Row],[Fecha Financiero]]),0)</f>
        <v>10</v>
      </c>
      <c r="AE59" s="826">
        <f>IF(ISNUMBER(Comercial_Agricola[[#This Row],[Fecha Financiero]])=TRUE,YEAR(Comercial_Agricola[[#This Row],[Fecha Financiero]]),0)</f>
        <v>2019</v>
      </c>
      <c r="AF59" s="827">
        <f>SUMPRODUCT((Comercial_Agricola[[#This Row],[Mes Financiero]]=Tipo_Cambio[Mes])*(Comercial_Agricola[[#This Row],[Año Financiero]]=Tipo_Cambio[Año])*(Tipo_Cambio[$/U$S]))</f>
        <v>25.541317018139967</v>
      </c>
      <c r="AG59" s="827">
        <f>SUMPRODUCT((Comercial_Agricola[[#This Row],[Mes Financiero]]=Tipo_Cambio[Mes])*(Comercial_Agricola[[#This Row],[Año Financiero]]=Tipo_Cambio[Año])*(Tipo_Cambio[Actualización]))</f>
        <v>1.3458683383241299</v>
      </c>
    </row>
    <row r="60" spans="4:33" x14ac:dyDescent="0.25">
      <c r="D60" s="548">
        <f>D59</f>
        <v>43586</v>
      </c>
      <c r="E60" s="649">
        <f>E59</f>
        <v>43739</v>
      </c>
      <c r="F60" s="775" t="str">
        <f t="shared" si="6"/>
        <v>2018-2019</v>
      </c>
      <c r="G60" s="481" t="s">
        <v>72</v>
      </c>
      <c r="H60" s="481"/>
      <c r="I60" s="793">
        <f>IFERROR(INDEX(Tabla811[],MATCH(Comercial_Agricola[[#This Row],[Unidad de Negocio]],Tabla811[Unidades de Negocio],0),2),0)</f>
        <v>0</v>
      </c>
      <c r="J60" s="481"/>
      <c r="K60" s="550"/>
      <c r="L60" s="491"/>
      <c r="M60" s="41" t="s">
        <v>48</v>
      </c>
      <c r="N60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60" s="829">
        <f>IFERROR(Comercial_Agricola[[#This Row],[Económico $Corrientes]]/Comercial_Agricola[[#This Row],[Indexación Económico]],0)</f>
        <v>0</v>
      </c>
      <c r="P60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60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60" s="829">
        <f>IFERROR(Comercial_Agricola[[#This Row],[Financiero $Corrientes]]/Comercial_Agricola[[#This Row],[Indexación Financiero]],0)</f>
        <v>0</v>
      </c>
      <c r="S60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60" s="831" t="str">
        <f>IFERROR(INDEX(Comercializacion_Granos_Cuentas[],MATCH(Comercial_Agricola[[#This Row],[Cuenta Contable]],Comercializacion_Granos_Cuentas[Cuenta Contable],0),2),0)</f>
        <v>Egreso</v>
      </c>
      <c r="U60" s="806" t="str">
        <f>IFERROR(INDEX(Comercializacion_Granos_Cuentas[],MATCH(Comercial_Agricola[[#This Row],[Cuenta Contable]],Comercializacion_Granos_Cuentas[Cuenta Contable],0),3),0)</f>
        <v>No</v>
      </c>
      <c r="V60" s="832">
        <f>IF(Comercial_Agricola[[#This Row],[Signo]]="(-)",1,-1)*IF(Comercial_Agricola[[#This Row],[Stock]]="SI",Comercial_Agricola[[#This Row],[Toneladas]],0)</f>
        <v>0</v>
      </c>
      <c r="W60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60" s="806" t="str">
        <f>IFERROR(INDEX(Tabla9[],MATCH(Comercial_Agricola[[#This Row],[Movimiento]],Tabla9[Movimientos],0),2),0)</f>
        <v>Si</v>
      </c>
      <c r="Y60" s="807" t="str">
        <f>IFERROR(INDEX(Tabla9[],MATCH(Comercial_Agricola[[#This Row],[Movimiento]],Tabla9[Movimientos],0),3),0)</f>
        <v>(-)</v>
      </c>
      <c r="Z60" s="822">
        <f>IF(Comercial_Agricola[[#This Row],[Fecha Económico]]=0,0,MONTH(Comercial_Agricola[[#This Row],[Fecha Económico]]))</f>
        <v>5</v>
      </c>
      <c r="AA60" s="822">
        <f>IF(Comercial_Agricola[[#This Row],[Fecha Económico]]=0,0,YEAR(Comercial_Agricola[[#This Row],[Fecha Económico]]))</f>
        <v>2019</v>
      </c>
      <c r="AB60" s="823">
        <f>SUMPRODUCT((Comercial_Agricola[[#This Row],[Mes Económico]]=Tipo_Cambio[Mes])*(Comercial_Agricola[[#This Row],[Año Económico]]=Tipo_Cambio[Año])*(Tipo_Cambio[$/U$S]))</f>
        <v>24.301686759046497</v>
      </c>
      <c r="AC60" s="823">
        <f>SUMPRODUCT((Comercial_Agricola[[#This Row],[Mes Económico]]=Tipo_Cambio[Mes])*(Comercial_Agricola[[#This Row],[Año Económico]]=Tipo_Cambio[Año])*(Tipo_Cambio[Actualización]))</f>
        <v>1.2189944199947573</v>
      </c>
      <c r="AD60" s="822">
        <f>IF(ISNUMBER(Comercial_Agricola[[#This Row],[Fecha Financiero]])=TRUE,MONTH(Comercial_Agricola[[#This Row],[Fecha Financiero]]),0)</f>
        <v>10</v>
      </c>
      <c r="AE60" s="822">
        <f>IF(ISNUMBER(Comercial_Agricola[[#This Row],[Fecha Financiero]])=TRUE,YEAR(Comercial_Agricola[[#This Row],[Fecha Financiero]]),0)</f>
        <v>2019</v>
      </c>
      <c r="AF60" s="823">
        <f>SUMPRODUCT((Comercial_Agricola[[#This Row],[Mes Financiero]]=Tipo_Cambio[Mes])*(Comercial_Agricola[[#This Row],[Año Financiero]]=Tipo_Cambio[Año])*(Tipo_Cambio[$/U$S]))</f>
        <v>25.541317018139967</v>
      </c>
      <c r="AG60" s="823">
        <f>SUMPRODUCT((Comercial_Agricola[[#This Row],[Mes Financiero]]=Tipo_Cambio[Mes])*(Comercial_Agricola[[#This Row],[Año Financiero]]=Tipo_Cambio[Año])*(Tipo_Cambio[Actualización]))</f>
        <v>1.3458683383241299</v>
      </c>
    </row>
    <row r="61" spans="4:33" x14ac:dyDescent="0.25">
      <c r="D61" s="548">
        <f t="shared" ref="D61:E66" si="11">D60</f>
        <v>43586</v>
      </c>
      <c r="E61" s="649">
        <f t="shared" si="11"/>
        <v>43739</v>
      </c>
      <c r="F61" s="775" t="str">
        <f t="shared" si="6"/>
        <v>2018-2019</v>
      </c>
      <c r="G61" s="481" t="s">
        <v>73</v>
      </c>
      <c r="H61" s="481"/>
      <c r="I61" s="793">
        <f>IFERROR(INDEX(Tabla811[],MATCH(Comercial_Agricola[[#This Row],[Unidad de Negocio]],Tabla811[Unidades de Negocio],0),2),0)</f>
        <v>0</v>
      </c>
      <c r="J61" s="481"/>
      <c r="K61" s="550"/>
      <c r="L61" s="491"/>
      <c r="M61" s="41" t="s">
        <v>48</v>
      </c>
      <c r="N61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61" s="829">
        <f>IFERROR(Comercial_Agricola[[#This Row],[Económico $Corrientes]]/Comercial_Agricola[[#This Row],[Indexación Económico]],0)</f>
        <v>0</v>
      </c>
      <c r="P61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61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61" s="829">
        <f>IFERROR(Comercial_Agricola[[#This Row],[Financiero $Corrientes]]/Comercial_Agricola[[#This Row],[Indexación Financiero]],0)</f>
        <v>0</v>
      </c>
      <c r="S61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61" s="831" t="str">
        <f>IFERROR(INDEX(Comercializacion_Granos_Cuentas[],MATCH(Comercial_Agricola[[#This Row],[Cuenta Contable]],Comercializacion_Granos_Cuentas[Cuenta Contable],0),2),0)</f>
        <v>Egreso</v>
      </c>
      <c r="U61" s="806" t="str">
        <f>IFERROR(INDEX(Comercializacion_Granos_Cuentas[],MATCH(Comercial_Agricola[[#This Row],[Cuenta Contable]],Comercializacion_Granos_Cuentas[Cuenta Contable],0),3),0)</f>
        <v>No</v>
      </c>
      <c r="V61" s="832">
        <f>IF(Comercial_Agricola[[#This Row],[Signo]]="(-)",1,-1)*IF(Comercial_Agricola[[#This Row],[Stock]]="SI",Comercial_Agricola[[#This Row],[Toneladas]],0)</f>
        <v>0</v>
      </c>
      <c r="W61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61" s="806" t="str">
        <f>IFERROR(INDEX(Tabla9[],MATCH(Comercial_Agricola[[#This Row],[Movimiento]],Tabla9[Movimientos],0),2),0)</f>
        <v>Si</v>
      </c>
      <c r="Y61" s="807" t="str">
        <f>IFERROR(INDEX(Tabla9[],MATCH(Comercial_Agricola[[#This Row],[Movimiento]],Tabla9[Movimientos],0),3),0)</f>
        <v>(-)</v>
      </c>
      <c r="Z61" s="822">
        <f>IF(Comercial_Agricola[[#This Row],[Fecha Económico]]=0,0,MONTH(Comercial_Agricola[[#This Row],[Fecha Económico]]))</f>
        <v>5</v>
      </c>
      <c r="AA61" s="822">
        <f>IF(Comercial_Agricola[[#This Row],[Fecha Económico]]=0,0,YEAR(Comercial_Agricola[[#This Row],[Fecha Económico]]))</f>
        <v>2019</v>
      </c>
      <c r="AB61" s="823">
        <f>SUMPRODUCT((Comercial_Agricola[[#This Row],[Mes Económico]]=Tipo_Cambio[Mes])*(Comercial_Agricola[[#This Row],[Año Económico]]=Tipo_Cambio[Año])*(Tipo_Cambio[$/U$S]))</f>
        <v>24.301686759046497</v>
      </c>
      <c r="AC61" s="823">
        <f>SUMPRODUCT((Comercial_Agricola[[#This Row],[Mes Económico]]=Tipo_Cambio[Mes])*(Comercial_Agricola[[#This Row],[Año Económico]]=Tipo_Cambio[Año])*(Tipo_Cambio[Actualización]))</f>
        <v>1.2189944199947573</v>
      </c>
      <c r="AD61" s="822">
        <f>IF(ISNUMBER(Comercial_Agricola[[#This Row],[Fecha Financiero]])=TRUE,MONTH(Comercial_Agricola[[#This Row],[Fecha Financiero]]),0)</f>
        <v>10</v>
      </c>
      <c r="AE61" s="822">
        <f>IF(ISNUMBER(Comercial_Agricola[[#This Row],[Fecha Financiero]])=TRUE,YEAR(Comercial_Agricola[[#This Row],[Fecha Financiero]]),0)</f>
        <v>2019</v>
      </c>
      <c r="AF61" s="823">
        <f>SUMPRODUCT((Comercial_Agricola[[#This Row],[Mes Financiero]]=Tipo_Cambio[Mes])*(Comercial_Agricola[[#This Row],[Año Financiero]]=Tipo_Cambio[Año])*(Tipo_Cambio[$/U$S]))</f>
        <v>25.541317018139967</v>
      </c>
      <c r="AG61" s="823">
        <f>SUMPRODUCT((Comercial_Agricola[[#This Row],[Mes Financiero]]=Tipo_Cambio[Mes])*(Comercial_Agricola[[#This Row],[Año Financiero]]=Tipo_Cambio[Año])*(Tipo_Cambio[Actualización]))</f>
        <v>1.3458683383241299</v>
      </c>
    </row>
    <row r="62" spans="4:33" x14ac:dyDescent="0.25">
      <c r="D62" s="548">
        <f t="shared" si="11"/>
        <v>43586</v>
      </c>
      <c r="E62" s="649">
        <f t="shared" si="11"/>
        <v>43739</v>
      </c>
      <c r="F62" s="775" t="str">
        <f t="shared" si="6"/>
        <v>2018-2019</v>
      </c>
      <c r="G62" s="481" t="s">
        <v>74</v>
      </c>
      <c r="H62" s="481"/>
      <c r="I62" s="793">
        <f>IFERROR(INDEX(Tabla811[],MATCH(Comercial_Agricola[[#This Row],[Unidad de Negocio]],Tabla811[Unidades de Negocio],0),2),0)</f>
        <v>0</v>
      </c>
      <c r="J62" s="481"/>
      <c r="K62" s="550"/>
      <c r="L62" s="491"/>
      <c r="M62" s="41" t="s">
        <v>3</v>
      </c>
      <c r="N62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62" s="829">
        <f>IFERROR(Comercial_Agricola[[#This Row],[Económico $Corrientes]]/Comercial_Agricola[[#This Row],[Indexación Económico]],0)</f>
        <v>0</v>
      </c>
      <c r="P62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62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62" s="829">
        <f>IFERROR(Comercial_Agricola[[#This Row],[Financiero $Corrientes]]/Comercial_Agricola[[#This Row],[Indexación Financiero]],0)</f>
        <v>0</v>
      </c>
      <c r="S62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62" s="831" t="str">
        <f>IFERROR(INDEX(Comercializacion_Granos_Cuentas[],MATCH(Comercial_Agricola[[#This Row],[Cuenta Contable]],Comercializacion_Granos_Cuentas[Cuenta Contable],0),2),0)</f>
        <v>Egreso</v>
      </c>
      <c r="U62" s="806" t="str">
        <f>IFERROR(INDEX(Comercializacion_Granos_Cuentas[],MATCH(Comercial_Agricola[[#This Row],[Cuenta Contable]],Comercializacion_Granos_Cuentas[Cuenta Contable],0),3),0)</f>
        <v>No</v>
      </c>
      <c r="V62" s="832">
        <f>IF(Comercial_Agricola[[#This Row],[Signo]]="(-)",1,-1)*IF(Comercial_Agricola[[#This Row],[Stock]]="SI",Comercial_Agricola[[#This Row],[Toneladas]],0)</f>
        <v>0</v>
      </c>
      <c r="W62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62" s="806" t="str">
        <f>IFERROR(INDEX(Tabla9[],MATCH(Comercial_Agricola[[#This Row],[Movimiento]],Tabla9[Movimientos],0),2),0)</f>
        <v>Si</v>
      </c>
      <c r="Y62" s="807" t="str">
        <f>IFERROR(INDEX(Tabla9[],MATCH(Comercial_Agricola[[#This Row],[Movimiento]],Tabla9[Movimientos],0),3),0)</f>
        <v>(-)</v>
      </c>
      <c r="Z62" s="822">
        <f>IF(Comercial_Agricola[[#This Row],[Fecha Económico]]=0,0,MONTH(Comercial_Agricola[[#This Row],[Fecha Económico]]))</f>
        <v>5</v>
      </c>
      <c r="AA62" s="822">
        <f>IF(Comercial_Agricola[[#This Row],[Fecha Económico]]=0,0,YEAR(Comercial_Agricola[[#This Row],[Fecha Económico]]))</f>
        <v>2019</v>
      </c>
      <c r="AB62" s="823">
        <f>SUMPRODUCT((Comercial_Agricola[[#This Row],[Mes Económico]]=Tipo_Cambio[Mes])*(Comercial_Agricola[[#This Row],[Año Económico]]=Tipo_Cambio[Año])*(Tipo_Cambio[$/U$S]))</f>
        <v>24.301686759046497</v>
      </c>
      <c r="AC62" s="823">
        <f>SUMPRODUCT((Comercial_Agricola[[#This Row],[Mes Económico]]=Tipo_Cambio[Mes])*(Comercial_Agricola[[#This Row],[Año Económico]]=Tipo_Cambio[Año])*(Tipo_Cambio[Actualización]))</f>
        <v>1.2189944199947573</v>
      </c>
      <c r="AD62" s="822">
        <f>IF(ISNUMBER(Comercial_Agricola[[#This Row],[Fecha Financiero]])=TRUE,MONTH(Comercial_Agricola[[#This Row],[Fecha Financiero]]),0)</f>
        <v>10</v>
      </c>
      <c r="AE62" s="822">
        <f>IF(ISNUMBER(Comercial_Agricola[[#This Row],[Fecha Financiero]])=TRUE,YEAR(Comercial_Agricola[[#This Row],[Fecha Financiero]]),0)</f>
        <v>2019</v>
      </c>
      <c r="AF62" s="823">
        <f>SUMPRODUCT((Comercial_Agricola[[#This Row],[Mes Financiero]]=Tipo_Cambio[Mes])*(Comercial_Agricola[[#This Row],[Año Financiero]]=Tipo_Cambio[Año])*(Tipo_Cambio[$/U$S]))</f>
        <v>25.541317018139967</v>
      </c>
      <c r="AG62" s="823">
        <f>SUMPRODUCT((Comercial_Agricola[[#This Row],[Mes Financiero]]=Tipo_Cambio[Mes])*(Comercial_Agricola[[#This Row],[Año Financiero]]=Tipo_Cambio[Año])*(Tipo_Cambio[Actualización]))</f>
        <v>1.3458683383241299</v>
      </c>
    </row>
    <row r="63" spans="4:33" x14ac:dyDescent="0.25">
      <c r="D63" s="548">
        <f t="shared" si="11"/>
        <v>43586</v>
      </c>
      <c r="E63" s="649">
        <f t="shared" si="11"/>
        <v>43739</v>
      </c>
      <c r="F63" s="775" t="str">
        <f t="shared" si="6"/>
        <v>2018-2019</v>
      </c>
      <c r="G63" s="481" t="s">
        <v>75</v>
      </c>
      <c r="H63" s="481"/>
      <c r="I63" s="793">
        <f>IFERROR(INDEX(Tabla811[],MATCH(Comercial_Agricola[[#This Row],[Unidad de Negocio]],Tabla811[Unidades de Negocio],0),2),0)</f>
        <v>0</v>
      </c>
      <c r="J63" s="481"/>
      <c r="K63" s="550"/>
      <c r="L63" s="491"/>
      <c r="M63" s="41" t="s">
        <v>3</v>
      </c>
      <c r="N63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63" s="829">
        <f>IFERROR(Comercial_Agricola[[#This Row],[Económico $Corrientes]]/Comercial_Agricola[[#This Row],[Indexación Económico]],0)</f>
        <v>0</v>
      </c>
      <c r="P63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63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63" s="829">
        <f>IFERROR(Comercial_Agricola[[#This Row],[Financiero $Corrientes]]/Comercial_Agricola[[#This Row],[Indexación Financiero]],0)</f>
        <v>0</v>
      </c>
      <c r="S63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63" s="831" t="str">
        <f>IFERROR(INDEX(Comercializacion_Granos_Cuentas[],MATCH(Comercial_Agricola[[#This Row],[Cuenta Contable]],Comercializacion_Granos_Cuentas[Cuenta Contable],0),2),0)</f>
        <v>Egreso</v>
      </c>
      <c r="U63" s="806" t="str">
        <f>IFERROR(INDEX(Comercializacion_Granos_Cuentas[],MATCH(Comercial_Agricola[[#This Row],[Cuenta Contable]],Comercializacion_Granos_Cuentas[Cuenta Contable],0),3),0)</f>
        <v>No</v>
      </c>
      <c r="V63" s="832">
        <f>IF(Comercial_Agricola[[#This Row],[Signo]]="(-)",1,-1)*IF(Comercial_Agricola[[#This Row],[Stock]]="SI",Comercial_Agricola[[#This Row],[Toneladas]],0)</f>
        <v>0</v>
      </c>
      <c r="W63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63" s="806" t="str">
        <f>IFERROR(INDEX(Tabla9[],MATCH(Comercial_Agricola[[#This Row],[Movimiento]],Tabla9[Movimientos],0),2),0)</f>
        <v>Si</v>
      </c>
      <c r="Y63" s="807" t="str">
        <f>IFERROR(INDEX(Tabla9[],MATCH(Comercial_Agricola[[#This Row],[Movimiento]],Tabla9[Movimientos],0),3),0)</f>
        <v>(-)</v>
      </c>
      <c r="Z63" s="822">
        <f>IF(Comercial_Agricola[[#This Row],[Fecha Económico]]=0,0,MONTH(Comercial_Agricola[[#This Row],[Fecha Económico]]))</f>
        <v>5</v>
      </c>
      <c r="AA63" s="822">
        <f>IF(Comercial_Agricola[[#This Row],[Fecha Económico]]=0,0,YEAR(Comercial_Agricola[[#This Row],[Fecha Económico]]))</f>
        <v>2019</v>
      </c>
      <c r="AB63" s="823">
        <f>SUMPRODUCT((Comercial_Agricola[[#This Row],[Mes Económico]]=Tipo_Cambio[Mes])*(Comercial_Agricola[[#This Row],[Año Económico]]=Tipo_Cambio[Año])*(Tipo_Cambio[$/U$S]))</f>
        <v>24.301686759046497</v>
      </c>
      <c r="AC63" s="823">
        <f>SUMPRODUCT((Comercial_Agricola[[#This Row],[Mes Económico]]=Tipo_Cambio[Mes])*(Comercial_Agricola[[#This Row],[Año Económico]]=Tipo_Cambio[Año])*(Tipo_Cambio[Actualización]))</f>
        <v>1.2189944199947573</v>
      </c>
      <c r="AD63" s="822">
        <f>IF(ISNUMBER(Comercial_Agricola[[#This Row],[Fecha Financiero]])=TRUE,MONTH(Comercial_Agricola[[#This Row],[Fecha Financiero]]),0)</f>
        <v>10</v>
      </c>
      <c r="AE63" s="822">
        <f>IF(ISNUMBER(Comercial_Agricola[[#This Row],[Fecha Financiero]])=TRUE,YEAR(Comercial_Agricola[[#This Row],[Fecha Financiero]]),0)</f>
        <v>2019</v>
      </c>
      <c r="AF63" s="823">
        <f>SUMPRODUCT((Comercial_Agricola[[#This Row],[Mes Financiero]]=Tipo_Cambio[Mes])*(Comercial_Agricola[[#This Row],[Año Financiero]]=Tipo_Cambio[Año])*(Tipo_Cambio[$/U$S]))</f>
        <v>25.541317018139967</v>
      </c>
      <c r="AG63" s="823">
        <f>SUMPRODUCT((Comercial_Agricola[[#This Row],[Mes Financiero]]=Tipo_Cambio[Mes])*(Comercial_Agricola[[#This Row],[Año Financiero]]=Tipo_Cambio[Año])*(Tipo_Cambio[Actualización]))</f>
        <v>1.3458683383241299</v>
      </c>
    </row>
    <row r="64" spans="4:33" x14ac:dyDescent="0.25">
      <c r="D64" s="548">
        <f t="shared" si="11"/>
        <v>43586</v>
      </c>
      <c r="E64" s="649">
        <f t="shared" si="11"/>
        <v>43739</v>
      </c>
      <c r="F64" s="775" t="str">
        <f t="shared" si="6"/>
        <v>2018-2019</v>
      </c>
      <c r="G64" s="481" t="s">
        <v>76</v>
      </c>
      <c r="H64" s="481"/>
      <c r="I64" s="793">
        <f>IFERROR(INDEX(Tabla811[],MATCH(Comercial_Agricola[[#This Row],[Unidad de Negocio]],Tabla811[Unidades de Negocio],0),2),0)</f>
        <v>0</v>
      </c>
      <c r="J64" s="481"/>
      <c r="K64" s="550"/>
      <c r="L64" s="491"/>
      <c r="M64" s="41" t="s">
        <v>3</v>
      </c>
      <c r="N64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64" s="829">
        <f>IFERROR(Comercial_Agricola[[#This Row],[Económico $Corrientes]]/Comercial_Agricola[[#This Row],[Indexación Económico]],0)</f>
        <v>0</v>
      </c>
      <c r="P64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64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64" s="829">
        <f>IFERROR(Comercial_Agricola[[#This Row],[Financiero $Corrientes]]/Comercial_Agricola[[#This Row],[Indexación Financiero]],0)</f>
        <v>0</v>
      </c>
      <c r="S64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64" s="831" t="str">
        <f>IFERROR(INDEX(Comercializacion_Granos_Cuentas[],MATCH(Comercial_Agricola[[#This Row],[Cuenta Contable]],Comercializacion_Granos_Cuentas[Cuenta Contable],0),2),0)</f>
        <v>Egreso</v>
      </c>
      <c r="U64" s="806" t="str">
        <f>IFERROR(INDEX(Comercializacion_Granos_Cuentas[],MATCH(Comercial_Agricola[[#This Row],[Cuenta Contable]],Comercializacion_Granos_Cuentas[Cuenta Contable],0),3),0)</f>
        <v>No</v>
      </c>
      <c r="V64" s="832">
        <f>IF(Comercial_Agricola[[#This Row],[Signo]]="(-)",1,-1)*IF(Comercial_Agricola[[#This Row],[Stock]]="SI",Comercial_Agricola[[#This Row],[Toneladas]],0)</f>
        <v>0</v>
      </c>
      <c r="W64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64" s="806" t="str">
        <f>IFERROR(INDEX(Tabla9[],MATCH(Comercial_Agricola[[#This Row],[Movimiento]],Tabla9[Movimientos],0),2),0)</f>
        <v>Si</v>
      </c>
      <c r="Y64" s="807" t="str">
        <f>IFERROR(INDEX(Tabla9[],MATCH(Comercial_Agricola[[#This Row],[Movimiento]],Tabla9[Movimientos],0),3),0)</f>
        <v>(-)</v>
      </c>
      <c r="Z64" s="822">
        <f>IF(Comercial_Agricola[[#This Row],[Fecha Económico]]=0,0,MONTH(Comercial_Agricola[[#This Row],[Fecha Económico]]))</f>
        <v>5</v>
      </c>
      <c r="AA64" s="822">
        <f>IF(Comercial_Agricola[[#This Row],[Fecha Económico]]=0,0,YEAR(Comercial_Agricola[[#This Row],[Fecha Económico]]))</f>
        <v>2019</v>
      </c>
      <c r="AB64" s="823">
        <f>SUMPRODUCT((Comercial_Agricola[[#This Row],[Mes Económico]]=Tipo_Cambio[Mes])*(Comercial_Agricola[[#This Row],[Año Económico]]=Tipo_Cambio[Año])*(Tipo_Cambio[$/U$S]))</f>
        <v>24.301686759046497</v>
      </c>
      <c r="AC64" s="823">
        <f>SUMPRODUCT((Comercial_Agricola[[#This Row],[Mes Económico]]=Tipo_Cambio[Mes])*(Comercial_Agricola[[#This Row],[Año Económico]]=Tipo_Cambio[Año])*(Tipo_Cambio[Actualización]))</f>
        <v>1.2189944199947573</v>
      </c>
      <c r="AD64" s="822">
        <f>IF(ISNUMBER(Comercial_Agricola[[#This Row],[Fecha Financiero]])=TRUE,MONTH(Comercial_Agricola[[#This Row],[Fecha Financiero]]),0)</f>
        <v>10</v>
      </c>
      <c r="AE64" s="822">
        <f>IF(ISNUMBER(Comercial_Agricola[[#This Row],[Fecha Financiero]])=TRUE,YEAR(Comercial_Agricola[[#This Row],[Fecha Financiero]]),0)</f>
        <v>2019</v>
      </c>
      <c r="AF64" s="823">
        <f>SUMPRODUCT((Comercial_Agricola[[#This Row],[Mes Financiero]]=Tipo_Cambio[Mes])*(Comercial_Agricola[[#This Row],[Año Financiero]]=Tipo_Cambio[Año])*(Tipo_Cambio[$/U$S]))</f>
        <v>25.541317018139967</v>
      </c>
      <c r="AG64" s="823">
        <f>SUMPRODUCT((Comercial_Agricola[[#This Row],[Mes Financiero]]=Tipo_Cambio[Mes])*(Comercial_Agricola[[#This Row],[Año Financiero]]=Tipo_Cambio[Año])*(Tipo_Cambio[Actualización]))</f>
        <v>1.3458683383241299</v>
      </c>
    </row>
    <row r="65" spans="4:33" x14ac:dyDescent="0.25">
      <c r="D65" s="548">
        <f t="shared" si="11"/>
        <v>43586</v>
      </c>
      <c r="E65" s="649">
        <f t="shared" si="11"/>
        <v>43739</v>
      </c>
      <c r="F65" s="775" t="str">
        <f t="shared" si="6"/>
        <v>2018-2019</v>
      </c>
      <c r="G65" s="481" t="s">
        <v>96</v>
      </c>
      <c r="H65" s="481"/>
      <c r="I65" s="793">
        <f>IFERROR(INDEX(Tabla811[],MATCH(Comercial_Agricola[[#This Row],[Unidad de Negocio]],Tabla811[Unidades de Negocio],0),2),0)</f>
        <v>0</v>
      </c>
      <c r="J65" s="481"/>
      <c r="K65" s="550"/>
      <c r="L65" s="491"/>
      <c r="M65" s="41"/>
      <c r="N65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65" s="829">
        <f>IFERROR(Comercial_Agricola[[#This Row],[Económico $Corrientes]]/Comercial_Agricola[[#This Row],[Indexación Económico]],0)</f>
        <v>0</v>
      </c>
      <c r="P65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65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65" s="829">
        <f>IFERROR(Comercial_Agricola[[#This Row],[Financiero $Corrientes]]/Comercial_Agricola[[#This Row],[Indexación Financiero]],0)</f>
        <v>0</v>
      </c>
      <c r="S65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65" s="831" t="str">
        <f>IFERROR(INDEX(Comercializacion_Granos_Cuentas[],MATCH(Comercial_Agricola[[#This Row],[Cuenta Contable]],Comercializacion_Granos_Cuentas[Cuenta Contable],0),2),0)</f>
        <v>Egreso</v>
      </c>
      <c r="U65" s="806" t="str">
        <f>IFERROR(INDEX(Comercializacion_Granos_Cuentas[],MATCH(Comercial_Agricola[[#This Row],[Cuenta Contable]],Comercializacion_Granos_Cuentas[Cuenta Contable],0),3),0)</f>
        <v>No</v>
      </c>
      <c r="V65" s="832">
        <f>IF(Comercial_Agricola[[#This Row],[Signo]]="(-)",1,-1)*IF(Comercial_Agricola[[#This Row],[Stock]]="SI",Comercial_Agricola[[#This Row],[Toneladas]],0)</f>
        <v>0</v>
      </c>
      <c r="W65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65" s="806" t="str">
        <f>IFERROR(INDEX(Tabla9[],MATCH(Comercial_Agricola[[#This Row],[Movimiento]],Tabla9[Movimientos],0),2),0)</f>
        <v>Si</v>
      </c>
      <c r="Y65" s="807" t="str">
        <f>IFERROR(INDEX(Tabla9[],MATCH(Comercial_Agricola[[#This Row],[Movimiento]],Tabla9[Movimientos],0),3),0)</f>
        <v>(-)</v>
      </c>
      <c r="Z65" s="822">
        <f>IF(Comercial_Agricola[[#This Row],[Fecha Económico]]=0,0,MONTH(Comercial_Agricola[[#This Row],[Fecha Económico]]))</f>
        <v>5</v>
      </c>
      <c r="AA65" s="822">
        <f>IF(Comercial_Agricola[[#This Row],[Fecha Económico]]=0,0,YEAR(Comercial_Agricola[[#This Row],[Fecha Económico]]))</f>
        <v>2019</v>
      </c>
      <c r="AB65" s="823">
        <f>SUMPRODUCT((Comercial_Agricola[[#This Row],[Mes Económico]]=Tipo_Cambio[Mes])*(Comercial_Agricola[[#This Row],[Año Económico]]=Tipo_Cambio[Año])*(Tipo_Cambio[$/U$S]))</f>
        <v>24.301686759046497</v>
      </c>
      <c r="AC65" s="823">
        <f>SUMPRODUCT((Comercial_Agricola[[#This Row],[Mes Económico]]=Tipo_Cambio[Mes])*(Comercial_Agricola[[#This Row],[Año Económico]]=Tipo_Cambio[Año])*(Tipo_Cambio[Actualización]))</f>
        <v>1.2189944199947573</v>
      </c>
      <c r="AD65" s="822">
        <f>IF(ISNUMBER(Comercial_Agricola[[#This Row],[Fecha Financiero]])=TRUE,MONTH(Comercial_Agricola[[#This Row],[Fecha Financiero]]),0)</f>
        <v>10</v>
      </c>
      <c r="AE65" s="822">
        <f>IF(ISNUMBER(Comercial_Agricola[[#This Row],[Fecha Financiero]])=TRUE,YEAR(Comercial_Agricola[[#This Row],[Fecha Financiero]]),0)</f>
        <v>2019</v>
      </c>
      <c r="AF65" s="823">
        <f>SUMPRODUCT((Comercial_Agricola[[#This Row],[Mes Financiero]]=Tipo_Cambio[Mes])*(Comercial_Agricola[[#This Row],[Año Financiero]]=Tipo_Cambio[Año])*(Tipo_Cambio[$/U$S]))</f>
        <v>25.541317018139967</v>
      </c>
      <c r="AG65" s="823">
        <f>SUMPRODUCT((Comercial_Agricola[[#This Row],[Mes Financiero]]=Tipo_Cambio[Mes])*(Comercial_Agricola[[#This Row],[Año Financiero]]=Tipo_Cambio[Año])*(Tipo_Cambio[Actualización]))</f>
        <v>1.3458683383241299</v>
      </c>
    </row>
    <row r="66" spans="4:33" x14ac:dyDescent="0.25">
      <c r="D66" s="582">
        <f t="shared" si="11"/>
        <v>43586</v>
      </c>
      <c r="E66" s="650"/>
      <c r="F66" s="785" t="str">
        <f t="shared" si="6"/>
        <v>2018-2019</v>
      </c>
      <c r="G66" s="538" t="s">
        <v>203</v>
      </c>
      <c r="H66" s="538"/>
      <c r="I66" s="796">
        <f>IFERROR(INDEX(Tabla811[],MATCH(Comercial_Agricola[[#This Row],[Unidad de Negocio]],Tabla811[Unidades de Negocio],0),2),0)</f>
        <v>0</v>
      </c>
      <c r="J66" s="538"/>
      <c r="K66" s="587"/>
      <c r="L66" s="538"/>
      <c r="M66" s="219"/>
      <c r="N66" s="854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66" s="855">
        <f>IFERROR(Comercial_Agricola[[#This Row],[Económico $Corrientes]]/Comercial_Agricola[[#This Row],[Indexación Económico]],0)</f>
        <v>0</v>
      </c>
      <c r="P66" s="856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66" s="855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66" s="855">
        <f>IFERROR(Comercial_Agricola[[#This Row],[Financiero $Corrientes]]/Comercial_Agricola[[#This Row],[Indexación Financiero]],0)</f>
        <v>0</v>
      </c>
      <c r="S66" s="855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66" s="861" t="str">
        <f>IFERROR(INDEX(Comercializacion_Granos_Cuentas[],MATCH(Comercial_Agricola[[#This Row],[Cuenta Contable]],Comercializacion_Granos_Cuentas[Cuenta Contable],0),2),0)</f>
        <v>Egreso Cesión</v>
      </c>
      <c r="U66" s="862" t="str">
        <f>IFERROR(INDEX(Comercializacion_Granos_Cuentas[],MATCH(Comercial_Agricola[[#This Row],[Cuenta Contable]],Comercializacion_Granos_Cuentas[Cuenta Contable],0),3),0)</f>
        <v>No</v>
      </c>
      <c r="V66" s="863">
        <f>IF(Comercial_Agricola[[#This Row],[Signo]]="(-)",1,-1)*IF(Comercial_Agricola[[#This Row],[Stock]]="SI",Comercial_Agricola[[#This Row],[Toneladas]],0)</f>
        <v>0</v>
      </c>
      <c r="W66" s="804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66" s="806" t="str">
        <f>IFERROR(INDEX(Tabla9[],MATCH(Comercial_Agricola[[#This Row],[Movimiento]],Tabla9[Movimientos],0),2),0)</f>
        <v>No</v>
      </c>
      <c r="Y66" s="807" t="str">
        <f>IFERROR(INDEX(Tabla9[],MATCH(Comercial_Agricola[[#This Row],[Movimiento]],Tabla9[Movimientos],0),3),0)</f>
        <v>(-)</v>
      </c>
      <c r="Z66" s="822">
        <f>IF(Comercial_Agricola[[#This Row],[Fecha Económico]]=0,0,MONTH(Comercial_Agricola[[#This Row],[Fecha Económico]]))</f>
        <v>5</v>
      </c>
      <c r="AA66" s="822">
        <f>IF(Comercial_Agricola[[#This Row],[Fecha Económico]]=0,0,YEAR(Comercial_Agricola[[#This Row],[Fecha Económico]]))</f>
        <v>2019</v>
      </c>
      <c r="AB66" s="823">
        <f>SUMPRODUCT((Comercial_Agricola[[#This Row],[Mes Económico]]=Tipo_Cambio[Mes])*(Comercial_Agricola[[#This Row],[Año Económico]]=Tipo_Cambio[Año])*(Tipo_Cambio[$/U$S]))</f>
        <v>24.301686759046497</v>
      </c>
      <c r="AC66" s="823">
        <f>SUMPRODUCT((Comercial_Agricola[[#This Row],[Mes Económico]]=Tipo_Cambio[Mes])*(Comercial_Agricola[[#This Row],[Año Económico]]=Tipo_Cambio[Año])*(Tipo_Cambio[Actualización]))</f>
        <v>1.2189944199947573</v>
      </c>
      <c r="AD66" s="822">
        <f>IF(ISNUMBER(Comercial_Agricola[[#This Row],[Fecha Financiero]])=TRUE,MONTH(Comercial_Agricola[[#This Row],[Fecha Financiero]]),0)</f>
        <v>0</v>
      </c>
      <c r="AE66" s="822">
        <f>IF(ISNUMBER(Comercial_Agricola[[#This Row],[Fecha Financiero]])=TRUE,YEAR(Comercial_Agricola[[#This Row],[Fecha Financiero]]),0)</f>
        <v>0</v>
      </c>
      <c r="AF66" s="823">
        <f>SUMPRODUCT((Comercial_Agricola[[#This Row],[Mes Financiero]]=Tipo_Cambio[Mes])*(Comercial_Agricola[[#This Row],[Año Financiero]]=Tipo_Cambio[Año])*(Tipo_Cambio[$/U$S]))</f>
        <v>0</v>
      </c>
      <c r="AG66" s="823">
        <f>SUMPRODUCT((Comercial_Agricola[[#This Row],[Mes Financiero]]=Tipo_Cambio[Mes])*(Comercial_Agricola[[#This Row],[Año Financiero]]=Tipo_Cambio[Año])*(Tipo_Cambio[Actualización]))</f>
        <v>0</v>
      </c>
    </row>
    <row r="67" spans="4:33" x14ac:dyDescent="0.25">
      <c r="D67" s="478"/>
      <c r="E67" s="522"/>
      <c r="F67" s="783" t="str">
        <f t="shared" si="6"/>
        <v>2018-2019</v>
      </c>
      <c r="G67" s="481"/>
      <c r="H67" s="491"/>
      <c r="I67" s="789">
        <f>IFERROR(INDEX(Tabla811[],MATCH(Comercial_Agricola[[#This Row],[Unidad de Negocio]],Tabla811[Unidades de Negocio],0),2),0)</f>
        <v>0</v>
      </c>
      <c r="J67" s="491"/>
      <c r="K67" s="550"/>
      <c r="L67" s="491"/>
      <c r="M67" s="40"/>
      <c r="N67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67" s="829">
        <f>IFERROR(Comercial_Agricola[[#This Row],[Económico $Corrientes]]/Comercial_Agricola[[#This Row],[Indexación Económico]],0)</f>
        <v>0</v>
      </c>
      <c r="P67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67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67" s="829">
        <f>IFERROR(Comercial_Agricola[[#This Row],[Financiero $Corrientes]]/Comercial_Agricola[[#This Row],[Indexación Financiero]],0)</f>
        <v>0</v>
      </c>
      <c r="S67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67" s="834">
        <f>IFERROR(INDEX(Comercializacion_Granos_Cuentas[],MATCH(Comercial_Agricola[[#This Row],[Cuenta Contable]],Comercializacion_Granos_Cuentas[Cuenta Contable],0),2),0)</f>
        <v>0</v>
      </c>
      <c r="U67" s="835">
        <f>IFERROR(INDEX(Comercializacion_Granos_Cuentas[],MATCH(Comercial_Agricola[[#This Row],[Cuenta Contable]],Comercializacion_Granos_Cuentas[Cuenta Contable],0),3),0)</f>
        <v>0</v>
      </c>
      <c r="V67" s="836">
        <f>IF(Comercial_Agricola[[#This Row],[Signo]]="(-)",1,-1)*IF(Comercial_Agricola[[#This Row],[Stock]]="SI",Comercial_Agricola[[#This Row],[Toneladas]],0)</f>
        <v>0</v>
      </c>
      <c r="W67" s="805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67" s="824">
        <f>IFERROR(INDEX(Tabla9[],MATCH(Comercial_Agricola[[#This Row],[Movimiento]],Tabla9[Movimientos],0),2),0)</f>
        <v>0</v>
      </c>
      <c r="Y67" s="825">
        <f>IFERROR(INDEX(Tabla9[],MATCH(Comercial_Agricola[[#This Row],[Movimiento]],Tabla9[Movimientos],0),3),0)</f>
        <v>0</v>
      </c>
      <c r="Z67" s="826">
        <f>IF(Comercial_Agricola[[#This Row],[Fecha Económico]]=0,0,MONTH(Comercial_Agricola[[#This Row],[Fecha Económico]]))</f>
        <v>0</v>
      </c>
      <c r="AA67" s="826">
        <f>IF(Comercial_Agricola[[#This Row],[Fecha Económico]]=0,0,YEAR(Comercial_Agricola[[#This Row],[Fecha Económico]]))</f>
        <v>0</v>
      </c>
      <c r="AB67" s="827">
        <f>SUMPRODUCT((Comercial_Agricola[[#This Row],[Mes Económico]]=Tipo_Cambio[Mes])*(Comercial_Agricola[[#This Row],[Año Económico]]=Tipo_Cambio[Año])*(Tipo_Cambio[$/U$S]))</f>
        <v>0</v>
      </c>
      <c r="AC67" s="827">
        <f>SUMPRODUCT((Comercial_Agricola[[#This Row],[Mes Económico]]=Tipo_Cambio[Mes])*(Comercial_Agricola[[#This Row],[Año Económico]]=Tipo_Cambio[Año])*(Tipo_Cambio[Actualización]))</f>
        <v>0</v>
      </c>
      <c r="AD67" s="826">
        <f>IF(ISNUMBER(Comercial_Agricola[[#This Row],[Fecha Financiero]])=TRUE,MONTH(Comercial_Agricola[[#This Row],[Fecha Financiero]]),0)</f>
        <v>0</v>
      </c>
      <c r="AE67" s="826">
        <f>IF(ISNUMBER(Comercial_Agricola[[#This Row],[Fecha Financiero]])=TRUE,YEAR(Comercial_Agricola[[#This Row],[Fecha Financiero]]),0)</f>
        <v>0</v>
      </c>
      <c r="AF67" s="827">
        <f>SUMPRODUCT((Comercial_Agricola[[#This Row],[Mes Financiero]]=Tipo_Cambio[Mes])*(Comercial_Agricola[[#This Row],[Año Financiero]]=Tipo_Cambio[Año])*(Tipo_Cambio[$/U$S]))</f>
        <v>0</v>
      </c>
      <c r="AG67" s="827">
        <f>SUMPRODUCT((Comercial_Agricola[[#This Row],[Mes Financiero]]=Tipo_Cambio[Mes])*(Comercial_Agricola[[#This Row],[Año Financiero]]=Tipo_Cambio[Año])*(Tipo_Cambio[Actualización]))</f>
        <v>0</v>
      </c>
    </row>
    <row r="68" spans="4:33" x14ac:dyDescent="0.25">
      <c r="D68" s="478"/>
      <c r="E68" s="522"/>
      <c r="F68" s="783" t="str">
        <f t="shared" si="6"/>
        <v>2018-2019</v>
      </c>
      <c r="G68" s="481"/>
      <c r="H68" s="491"/>
      <c r="I68" s="789">
        <f>IFERROR(INDEX(Tabla811[],MATCH(Comercial_Agricola[[#This Row],[Unidad de Negocio]],Tabla811[Unidades de Negocio],0),2),0)</f>
        <v>0</v>
      </c>
      <c r="J68" s="491"/>
      <c r="K68" s="550"/>
      <c r="L68" s="491"/>
      <c r="M68" s="40"/>
      <c r="N68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68" s="829">
        <f>IFERROR(Comercial_Agricola[[#This Row],[Económico $Corrientes]]/Comercial_Agricola[[#This Row],[Indexación Económico]],0)</f>
        <v>0</v>
      </c>
      <c r="P68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68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68" s="829">
        <f>IFERROR(Comercial_Agricola[[#This Row],[Financiero $Corrientes]]/Comercial_Agricola[[#This Row],[Indexación Financiero]],0)</f>
        <v>0</v>
      </c>
      <c r="S68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68" s="834">
        <f>IFERROR(INDEX(Comercializacion_Granos_Cuentas[],MATCH(Comercial_Agricola[[#This Row],[Cuenta Contable]],Comercializacion_Granos_Cuentas[Cuenta Contable],0),2),0)</f>
        <v>0</v>
      </c>
      <c r="U68" s="835">
        <f>IFERROR(INDEX(Comercializacion_Granos_Cuentas[],MATCH(Comercial_Agricola[[#This Row],[Cuenta Contable]],Comercializacion_Granos_Cuentas[Cuenta Contable],0),3),0)</f>
        <v>0</v>
      </c>
      <c r="V68" s="836">
        <f>IF(Comercial_Agricola[[#This Row],[Signo]]="(-)",1,-1)*IF(Comercial_Agricola[[#This Row],[Stock]]="SI",Comercial_Agricola[[#This Row],[Toneladas]],0)</f>
        <v>0</v>
      </c>
      <c r="W68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68" s="806">
        <f>IFERROR(INDEX(Tabla9[],MATCH(Comercial_Agricola[[#This Row],[Movimiento]],Tabla9[Movimientos],0),2),0)</f>
        <v>0</v>
      </c>
      <c r="Y68" s="807">
        <f>IFERROR(INDEX(Tabla9[],MATCH(Comercial_Agricola[[#This Row],[Movimiento]],Tabla9[Movimientos],0),3),0)</f>
        <v>0</v>
      </c>
      <c r="Z68" s="822">
        <f>IF(Comercial_Agricola[[#This Row],[Fecha Económico]]=0,0,MONTH(Comercial_Agricola[[#This Row],[Fecha Económico]]))</f>
        <v>0</v>
      </c>
      <c r="AA68" s="822">
        <f>IF(Comercial_Agricola[[#This Row],[Fecha Económico]]=0,0,YEAR(Comercial_Agricola[[#This Row],[Fecha Económico]]))</f>
        <v>0</v>
      </c>
      <c r="AB68" s="823">
        <f>SUMPRODUCT((Comercial_Agricola[[#This Row],[Mes Económico]]=Tipo_Cambio[Mes])*(Comercial_Agricola[[#This Row],[Año Económico]]=Tipo_Cambio[Año])*(Tipo_Cambio[$/U$S]))</f>
        <v>0</v>
      </c>
      <c r="AC68" s="823">
        <f>SUMPRODUCT((Comercial_Agricola[[#This Row],[Mes Económico]]=Tipo_Cambio[Mes])*(Comercial_Agricola[[#This Row],[Año Económico]]=Tipo_Cambio[Año])*(Tipo_Cambio[Actualización]))</f>
        <v>0</v>
      </c>
      <c r="AD68" s="822">
        <f>IF(ISNUMBER(Comercial_Agricola[[#This Row],[Fecha Financiero]])=TRUE,MONTH(Comercial_Agricola[[#This Row],[Fecha Financiero]]),0)</f>
        <v>0</v>
      </c>
      <c r="AE68" s="822">
        <f>IF(ISNUMBER(Comercial_Agricola[[#This Row],[Fecha Financiero]])=TRUE,YEAR(Comercial_Agricola[[#This Row],[Fecha Financiero]]),0)</f>
        <v>0</v>
      </c>
      <c r="AF68" s="823">
        <f>SUMPRODUCT((Comercial_Agricola[[#This Row],[Mes Financiero]]=Tipo_Cambio[Mes])*(Comercial_Agricola[[#This Row],[Año Financiero]]=Tipo_Cambio[Año])*(Tipo_Cambio[$/U$S]))</f>
        <v>0</v>
      </c>
      <c r="AG68" s="823">
        <f>SUMPRODUCT((Comercial_Agricola[[#This Row],[Mes Financiero]]=Tipo_Cambio[Mes])*(Comercial_Agricola[[#This Row],[Año Financiero]]=Tipo_Cambio[Año])*(Tipo_Cambio[Actualización]))</f>
        <v>0</v>
      </c>
    </row>
    <row r="69" spans="4:33" x14ac:dyDescent="0.25">
      <c r="D69" s="478"/>
      <c r="E69" s="522"/>
      <c r="F69" s="783" t="str">
        <f t="shared" ref="F69:F103" si="12">Campaña_Actual</f>
        <v>2018-2019</v>
      </c>
      <c r="G69" s="481"/>
      <c r="H69" s="491"/>
      <c r="I69" s="789">
        <f>IFERROR(INDEX(Tabla811[],MATCH(Comercial_Agricola[[#This Row],[Unidad de Negocio]],Tabla811[Unidades de Negocio],0),2),0)</f>
        <v>0</v>
      </c>
      <c r="J69" s="491"/>
      <c r="K69" s="550"/>
      <c r="L69" s="491"/>
      <c r="M69" s="40"/>
      <c r="N69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69" s="829">
        <f>IFERROR(Comercial_Agricola[[#This Row],[Económico $Corrientes]]/Comercial_Agricola[[#This Row],[Indexación Económico]],0)</f>
        <v>0</v>
      </c>
      <c r="P69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69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69" s="829">
        <f>IFERROR(Comercial_Agricola[[#This Row],[Financiero $Corrientes]]/Comercial_Agricola[[#This Row],[Indexación Financiero]],0)</f>
        <v>0</v>
      </c>
      <c r="S69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69" s="834">
        <f>IFERROR(INDEX(Comercializacion_Granos_Cuentas[],MATCH(Comercial_Agricola[[#This Row],[Cuenta Contable]],Comercializacion_Granos_Cuentas[Cuenta Contable],0),2),0)</f>
        <v>0</v>
      </c>
      <c r="U69" s="835">
        <f>IFERROR(INDEX(Comercializacion_Granos_Cuentas[],MATCH(Comercial_Agricola[[#This Row],[Cuenta Contable]],Comercializacion_Granos_Cuentas[Cuenta Contable],0),3),0)</f>
        <v>0</v>
      </c>
      <c r="V69" s="836">
        <f>IF(Comercial_Agricola[[#This Row],[Signo]]="(-)",1,-1)*IF(Comercial_Agricola[[#This Row],[Stock]]="SI",Comercial_Agricola[[#This Row],[Toneladas]],0)</f>
        <v>0</v>
      </c>
      <c r="W69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69" s="806">
        <f>IFERROR(INDEX(Tabla9[],MATCH(Comercial_Agricola[[#This Row],[Movimiento]],Tabla9[Movimientos],0),2),0)</f>
        <v>0</v>
      </c>
      <c r="Y69" s="807">
        <f>IFERROR(INDEX(Tabla9[],MATCH(Comercial_Agricola[[#This Row],[Movimiento]],Tabla9[Movimientos],0),3),0)</f>
        <v>0</v>
      </c>
      <c r="Z69" s="822">
        <f>IF(Comercial_Agricola[[#This Row],[Fecha Económico]]=0,0,MONTH(Comercial_Agricola[[#This Row],[Fecha Económico]]))</f>
        <v>0</v>
      </c>
      <c r="AA69" s="822">
        <f>IF(Comercial_Agricola[[#This Row],[Fecha Económico]]=0,0,YEAR(Comercial_Agricola[[#This Row],[Fecha Económico]]))</f>
        <v>0</v>
      </c>
      <c r="AB69" s="823">
        <f>SUMPRODUCT((Comercial_Agricola[[#This Row],[Mes Económico]]=Tipo_Cambio[Mes])*(Comercial_Agricola[[#This Row],[Año Económico]]=Tipo_Cambio[Año])*(Tipo_Cambio[$/U$S]))</f>
        <v>0</v>
      </c>
      <c r="AC69" s="823">
        <f>SUMPRODUCT((Comercial_Agricola[[#This Row],[Mes Económico]]=Tipo_Cambio[Mes])*(Comercial_Agricola[[#This Row],[Año Económico]]=Tipo_Cambio[Año])*(Tipo_Cambio[Actualización]))</f>
        <v>0</v>
      </c>
      <c r="AD69" s="822">
        <f>IF(ISNUMBER(Comercial_Agricola[[#This Row],[Fecha Financiero]])=TRUE,MONTH(Comercial_Agricola[[#This Row],[Fecha Financiero]]),0)</f>
        <v>0</v>
      </c>
      <c r="AE69" s="822">
        <f>IF(ISNUMBER(Comercial_Agricola[[#This Row],[Fecha Financiero]])=TRUE,YEAR(Comercial_Agricola[[#This Row],[Fecha Financiero]]),0)</f>
        <v>0</v>
      </c>
      <c r="AF69" s="823">
        <f>SUMPRODUCT((Comercial_Agricola[[#This Row],[Mes Financiero]]=Tipo_Cambio[Mes])*(Comercial_Agricola[[#This Row],[Año Financiero]]=Tipo_Cambio[Año])*(Tipo_Cambio[$/U$S]))</f>
        <v>0</v>
      </c>
      <c r="AG69" s="823">
        <f>SUMPRODUCT((Comercial_Agricola[[#This Row],[Mes Financiero]]=Tipo_Cambio[Mes])*(Comercial_Agricola[[#This Row],[Año Financiero]]=Tipo_Cambio[Año])*(Tipo_Cambio[Actualización]))</f>
        <v>0</v>
      </c>
    </row>
    <row r="70" spans="4:33" x14ac:dyDescent="0.25">
      <c r="D70" s="478"/>
      <c r="E70" s="522"/>
      <c r="F70" s="783" t="str">
        <f t="shared" si="12"/>
        <v>2018-2019</v>
      </c>
      <c r="G70" s="481"/>
      <c r="H70" s="491"/>
      <c r="I70" s="789">
        <f>IFERROR(INDEX(Tabla811[],MATCH(Comercial_Agricola[[#This Row],[Unidad de Negocio]],Tabla811[Unidades de Negocio],0),2),0)</f>
        <v>0</v>
      </c>
      <c r="J70" s="491"/>
      <c r="K70" s="550"/>
      <c r="L70" s="491"/>
      <c r="M70" s="40"/>
      <c r="N70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70" s="829">
        <f>IFERROR(Comercial_Agricola[[#This Row],[Económico $Corrientes]]/Comercial_Agricola[[#This Row],[Indexación Económico]],0)</f>
        <v>0</v>
      </c>
      <c r="P70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70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70" s="829">
        <f>IFERROR(Comercial_Agricola[[#This Row],[Financiero $Corrientes]]/Comercial_Agricola[[#This Row],[Indexación Financiero]],0)</f>
        <v>0</v>
      </c>
      <c r="S70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70" s="834">
        <f>IFERROR(INDEX(Comercializacion_Granos_Cuentas[],MATCH(Comercial_Agricola[[#This Row],[Cuenta Contable]],Comercializacion_Granos_Cuentas[Cuenta Contable],0),2),0)</f>
        <v>0</v>
      </c>
      <c r="U70" s="835">
        <f>IFERROR(INDEX(Comercializacion_Granos_Cuentas[],MATCH(Comercial_Agricola[[#This Row],[Cuenta Contable]],Comercializacion_Granos_Cuentas[Cuenta Contable],0),3),0)</f>
        <v>0</v>
      </c>
      <c r="V70" s="836">
        <f>IF(Comercial_Agricola[[#This Row],[Signo]]="(-)",1,-1)*IF(Comercial_Agricola[[#This Row],[Stock]]="SI",Comercial_Agricola[[#This Row],[Toneladas]],0)</f>
        <v>0</v>
      </c>
      <c r="W70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70" s="806">
        <f>IFERROR(INDEX(Tabla9[],MATCH(Comercial_Agricola[[#This Row],[Movimiento]],Tabla9[Movimientos],0),2),0)</f>
        <v>0</v>
      </c>
      <c r="Y70" s="807">
        <f>IFERROR(INDEX(Tabla9[],MATCH(Comercial_Agricola[[#This Row],[Movimiento]],Tabla9[Movimientos],0),3),0)</f>
        <v>0</v>
      </c>
      <c r="Z70" s="822">
        <f>IF(Comercial_Agricola[[#This Row],[Fecha Económico]]=0,0,MONTH(Comercial_Agricola[[#This Row],[Fecha Económico]]))</f>
        <v>0</v>
      </c>
      <c r="AA70" s="822">
        <f>IF(Comercial_Agricola[[#This Row],[Fecha Económico]]=0,0,YEAR(Comercial_Agricola[[#This Row],[Fecha Económico]]))</f>
        <v>0</v>
      </c>
      <c r="AB70" s="823">
        <f>SUMPRODUCT((Comercial_Agricola[[#This Row],[Mes Económico]]=Tipo_Cambio[Mes])*(Comercial_Agricola[[#This Row],[Año Económico]]=Tipo_Cambio[Año])*(Tipo_Cambio[$/U$S]))</f>
        <v>0</v>
      </c>
      <c r="AC70" s="823">
        <f>SUMPRODUCT((Comercial_Agricola[[#This Row],[Mes Económico]]=Tipo_Cambio[Mes])*(Comercial_Agricola[[#This Row],[Año Económico]]=Tipo_Cambio[Año])*(Tipo_Cambio[Actualización]))</f>
        <v>0</v>
      </c>
      <c r="AD70" s="822">
        <f>IF(ISNUMBER(Comercial_Agricola[[#This Row],[Fecha Financiero]])=TRUE,MONTH(Comercial_Agricola[[#This Row],[Fecha Financiero]]),0)</f>
        <v>0</v>
      </c>
      <c r="AE70" s="822">
        <f>IF(ISNUMBER(Comercial_Agricola[[#This Row],[Fecha Financiero]])=TRUE,YEAR(Comercial_Agricola[[#This Row],[Fecha Financiero]]),0)</f>
        <v>0</v>
      </c>
      <c r="AF70" s="823">
        <f>SUMPRODUCT((Comercial_Agricola[[#This Row],[Mes Financiero]]=Tipo_Cambio[Mes])*(Comercial_Agricola[[#This Row],[Año Financiero]]=Tipo_Cambio[Año])*(Tipo_Cambio[$/U$S]))</f>
        <v>0</v>
      </c>
      <c r="AG70" s="823">
        <f>SUMPRODUCT((Comercial_Agricola[[#This Row],[Mes Financiero]]=Tipo_Cambio[Mes])*(Comercial_Agricola[[#This Row],[Año Financiero]]=Tipo_Cambio[Año])*(Tipo_Cambio[Actualización]))</f>
        <v>0</v>
      </c>
    </row>
    <row r="71" spans="4:33" x14ac:dyDescent="0.25">
      <c r="D71" s="478"/>
      <c r="E71" s="522"/>
      <c r="F71" s="783" t="str">
        <f t="shared" si="12"/>
        <v>2018-2019</v>
      </c>
      <c r="G71" s="481"/>
      <c r="H71" s="491"/>
      <c r="I71" s="789">
        <f>IFERROR(INDEX(Tabla811[],MATCH(Comercial_Agricola[[#This Row],[Unidad de Negocio]],Tabla811[Unidades de Negocio],0),2),0)</f>
        <v>0</v>
      </c>
      <c r="J71" s="491"/>
      <c r="K71" s="550"/>
      <c r="L71" s="491"/>
      <c r="M71" s="40"/>
      <c r="N71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71" s="829">
        <f>IFERROR(Comercial_Agricola[[#This Row],[Económico $Corrientes]]/Comercial_Agricola[[#This Row],[Indexación Económico]],0)</f>
        <v>0</v>
      </c>
      <c r="P71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71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71" s="829">
        <f>IFERROR(Comercial_Agricola[[#This Row],[Financiero $Corrientes]]/Comercial_Agricola[[#This Row],[Indexación Financiero]],0)</f>
        <v>0</v>
      </c>
      <c r="S71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71" s="834">
        <f>IFERROR(INDEX(Comercializacion_Granos_Cuentas[],MATCH(Comercial_Agricola[[#This Row],[Cuenta Contable]],Comercializacion_Granos_Cuentas[Cuenta Contable],0),2),0)</f>
        <v>0</v>
      </c>
      <c r="U71" s="835">
        <f>IFERROR(INDEX(Comercializacion_Granos_Cuentas[],MATCH(Comercial_Agricola[[#This Row],[Cuenta Contable]],Comercializacion_Granos_Cuentas[Cuenta Contable],0),3),0)</f>
        <v>0</v>
      </c>
      <c r="V71" s="836">
        <f>IF(Comercial_Agricola[[#This Row],[Signo]]="(-)",1,-1)*IF(Comercial_Agricola[[#This Row],[Stock]]="SI",Comercial_Agricola[[#This Row],[Toneladas]],0)</f>
        <v>0</v>
      </c>
      <c r="W71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71" s="806">
        <f>IFERROR(INDEX(Tabla9[],MATCH(Comercial_Agricola[[#This Row],[Movimiento]],Tabla9[Movimientos],0),2),0)</f>
        <v>0</v>
      </c>
      <c r="Y71" s="807">
        <f>IFERROR(INDEX(Tabla9[],MATCH(Comercial_Agricola[[#This Row],[Movimiento]],Tabla9[Movimientos],0),3),0)</f>
        <v>0</v>
      </c>
      <c r="Z71" s="822">
        <f>IF(Comercial_Agricola[[#This Row],[Fecha Económico]]=0,0,MONTH(Comercial_Agricola[[#This Row],[Fecha Económico]]))</f>
        <v>0</v>
      </c>
      <c r="AA71" s="822">
        <f>IF(Comercial_Agricola[[#This Row],[Fecha Económico]]=0,0,YEAR(Comercial_Agricola[[#This Row],[Fecha Económico]]))</f>
        <v>0</v>
      </c>
      <c r="AB71" s="823">
        <f>SUMPRODUCT((Comercial_Agricola[[#This Row],[Mes Económico]]=Tipo_Cambio[Mes])*(Comercial_Agricola[[#This Row],[Año Económico]]=Tipo_Cambio[Año])*(Tipo_Cambio[$/U$S]))</f>
        <v>0</v>
      </c>
      <c r="AC71" s="823">
        <f>SUMPRODUCT((Comercial_Agricola[[#This Row],[Mes Económico]]=Tipo_Cambio[Mes])*(Comercial_Agricola[[#This Row],[Año Económico]]=Tipo_Cambio[Año])*(Tipo_Cambio[Actualización]))</f>
        <v>0</v>
      </c>
      <c r="AD71" s="822">
        <f>IF(ISNUMBER(Comercial_Agricola[[#This Row],[Fecha Financiero]])=TRUE,MONTH(Comercial_Agricola[[#This Row],[Fecha Financiero]]),0)</f>
        <v>0</v>
      </c>
      <c r="AE71" s="822">
        <f>IF(ISNUMBER(Comercial_Agricola[[#This Row],[Fecha Financiero]])=TRUE,YEAR(Comercial_Agricola[[#This Row],[Fecha Financiero]]),0)</f>
        <v>0</v>
      </c>
      <c r="AF71" s="823">
        <f>SUMPRODUCT((Comercial_Agricola[[#This Row],[Mes Financiero]]=Tipo_Cambio[Mes])*(Comercial_Agricola[[#This Row],[Año Financiero]]=Tipo_Cambio[Año])*(Tipo_Cambio[$/U$S]))</f>
        <v>0</v>
      </c>
      <c r="AG71" s="823">
        <f>SUMPRODUCT((Comercial_Agricola[[#This Row],[Mes Financiero]]=Tipo_Cambio[Mes])*(Comercial_Agricola[[#This Row],[Año Financiero]]=Tipo_Cambio[Año])*(Tipo_Cambio[Actualización]))</f>
        <v>0</v>
      </c>
    </row>
    <row r="72" spans="4:33" x14ac:dyDescent="0.25">
      <c r="D72" s="478"/>
      <c r="E72" s="522"/>
      <c r="F72" s="783" t="str">
        <f t="shared" si="12"/>
        <v>2018-2019</v>
      </c>
      <c r="G72" s="481"/>
      <c r="H72" s="491"/>
      <c r="I72" s="789">
        <f>IFERROR(INDEX(Tabla811[],MATCH(Comercial_Agricola[[#This Row],[Unidad de Negocio]],Tabla811[Unidades de Negocio],0),2),0)</f>
        <v>0</v>
      </c>
      <c r="J72" s="491"/>
      <c r="K72" s="550"/>
      <c r="L72" s="491"/>
      <c r="M72" s="40"/>
      <c r="N72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72" s="829">
        <f>IFERROR(Comercial_Agricola[[#This Row],[Económico $Corrientes]]/Comercial_Agricola[[#This Row],[Indexación Económico]],0)</f>
        <v>0</v>
      </c>
      <c r="P72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72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72" s="829">
        <f>IFERROR(Comercial_Agricola[[#This Row],[Financiero $Corrientes]]/Comercial_Agricola[[#This Row],[Indexación Financiero]],0)</f>
        <v>0</v>
      </c>
      <c r="S72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72" s="834">
        <f>IFERROR(INDEX(Comercializacion_Granos_Cuentas[],MATCH(Comercial_Agricola[[#This Row],[Cuenta Contable]],Comercializacion_Granos_Cuentas[Cuenta Contable],0),2),0)</f>
        <v>0</v>
      </c>
      <c r="U72" s="835">
        <f>IFERROR(INDEX(Comercializacion_Granos_Cuentas[],MATCH(Comercial_Agricola[[#This Row],[Cuenta Contable]],Comercializacion_Granos_Cuentas[Cuenta Contable],0),3),0)</f>
        <v>0</v>
      </c>
      <c r="V72" s="836">
        <f>IF(Comercial_Agricola[[#This Row],[Signo]]="(-)",1,-1)*IF(Comercial_Agricola[[#This Row],[Stock]]="SI",Comercial_Agricola[[#This Row],[Toneladas]],0)</f>
        <v>0</v>
      </c>
      <c r="W72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72" s="806">
        <f>IFERROR(INDEX(Tabla9[],MATCH(Comercial_Agricola[[#This Row],[Movimiento]],Tabla9[Movimientos],0),2),0)</f>
        <v>0</v>
      </c>
      <c r="Y72" s="807">
        <f>IFERROR(INDEX(Tabla9[],MATCH(Comercial_Agricola[[#This Row],[Movimiento]],Tabla9[Movimientos],0),3),0)</f>
        <v>0</v>
      </c>
      <c r="Z72" s="822">
        <f>IF(Comercial_Agricola[[#This Row],[Fecha Económico]]=0,0,MONTH(Comercial_Agricola[[#This Row],[Fecha Económico]]))</f>
        <v>0</v>
      </c>
      <c r="AA72" s="822">
        <f>IF(Comercial_Agricola[[#This Row],[Fecha Económico]]=0,0,YEAR(Comercial_Agricola[[#This Row],[Fecha Económico]]))</f>
        <v>0</v>
      </c>
      <c r="AB72" s="823">
        <f>SUMPRODUCT((Comercial_Agricola[[#This Row],[Mes Económico]]=Tipo_Cambio[Mes])*(Comercial_Agricola[[#This Row],[Año Económico]]=Tipo_Cambio[Año])*(Tipo_Cambio[$/U$S]))</f>
        <v>0</v>
      </c>
      <c r="AC72" s="823">
        <f>SUMPRODUCT((Comercial_Agricola[[#This Row],[Mes Económico]]=Tipo_Cambio[Mes])*(Comercial_Agricola[[#This Row],[Año Económico]]=Tipo_Cambio[Año])*(Tipo_Cambio[Actualización]))</f>
        <v>0</v>
      </c>
      <c r="AD72" s="822">
        <f>IF(ISNUMBER(Comercial_Agricola[[#This Row],[Fecha Financiero]])=TRUE,MONTH(Comercial_Agricola[[#This Row],[Fecha Financiero]]),0)</f>
        <v>0</v>
      </c>
      <c r="AE72" s="822">
        <f>IF(ISNUMBER(Comercial_Agricola[[#This Row],[Fecha Financiero]])=TRUE,YEAR(Comercial_Agricola[[#This Row],[Fecha Financiero]]),0)</f>
        <v>0</v>
      </c>
      <c r="AF72" s="823">
        <f>SUMPRODUCT((Comercial_Agricola[[#This Row],[Mes Financiero]]=Tipo_Cambio[Mes])*(Comercial_Agricola[[#This Row],[Año Financiero]]=Tipo_Cambio[Año])*(Tipo_Cambio[$/U$S]))</f>
        <v>0</v>
      </c>
      <c r="AG72" s="823">
        <f>SUMPRODUCT((Comercial_Agricola[[#This Row],[Mes Financiero]]=Tipo_Cambio[Mes])*(Comercial_Agricola[[#This Row],[Año Financiero]]=Tipo_Cambio[Año])*(Tipo_Cambio[Actualización]))</f>
        <v>0</v>
      </c>
    </row>
    <row r="73" spans="4:33" x14ac:dyDescent="0.25">
      <c r="D73" s="478"/>
      <c r="E73" s="522"/>
      <c r="F73" s="783" t="str">
        <f t="shared" si="12"/>
        <v>2018-2019</v>
      </c>
      <c r="G73" s="481"/>
      <c r="H73" s="491"/>
      <c r="I73" s="789">
        <f>IFERROR(INDEX(Tabla811[],MATCH(Comercial_Agricola[[#This Row],[Unidad de Negocio]],Tabla811[Unidades de Negocio],0),2),0)</f>
        <v>0</v>
      </c>
      <c r="J73" s="491"/>
      <c r="K73" s="550"/>
      <c r="L73" s="491"/>
      <c r="M73" s="40"/>
      <c r="N73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73" s="829">
        <f>IFERROR(Comercial_Agricola[[#This Row],[Económico $Corrientes]]/Comercial_Agricola[[#This Row],[Indexación Económico]],0)</f>
        <v>0</v>
      </c>
      <c r="P73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73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73" s="829">
        <f>IFERROR(Comercial_Agricola[[#This Row],[Financiero $Corrientes]]/Comercial_Agricola[[#This Row],[Indexación Financiero]],0)</f>
        <v>0</v>
      </c>
      <c r="S73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73" s="834">
        <f>IFERROR(INDEX(Comercializacion_Granos_Cuentas[],MATCH(Comercial_Agricola[[#This Row],[Cuenta Contable]],Comercializacion_Granos_Cuentas[Cuenta Contable],0),2),0)</f>
        <v>0</v>
      </c>
      <c r="U73" s="835">
        <f>IFERROR(INDEX(Comercializacion_Granos_Cuentas[],MATCH(Comercial_Agricola[[#This Row],[Cuenta Contable]],Comercializacion_Granos_Cuentas[Cuenta Contable],0),3),0)</f>
        <v>0</v>
      </c>
      <c r="V73" s="836">
        <f>IF(Comercial_Agricola[[#This Row],[Signo]]="(-)",1,-1)*IF(Comercial_Agricola[[#This Row],[Stock]]="SI",Comercial_Agricola[[#This Row],[Toneladas]],0)</f>
        <v>0</v>
      </c>
      <c r="W73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73" s="806">
        <f>IFERROR(INDEX(Tabla9[],MATCH(Comercial_Agricola[[#This Row],[Movimiento]],Tabla9[Movimientos],0),2),0)</f>
        <v>0</v>
      </c>
      <c r="Y73" s="807">
        <f>IFERROR(INDEX(Tabla9[],MATCH(Comercial_Agricola[[#This Row],[Movimiento]],Tabla9[Movimientos],0),3),0)</f>
        <v>0</v>
      </c>
      <c r="Z73" s="822">
        <f>IF(Comercial_Agricola[[#This Row],[Fecha Económico]]=0,0,MONTH(Comercial_Agricola[[#This Row],[Fecha Económico]]))</f>
        <v>0</v>
      </c>
      <c r="AA73" s="822">
        <f>IF(Comercial_Agricola[[#This Row],[Fecha Económico]]=0,0,YEAR(Comercial_Agricola[[#This Row],[Fecha Económico]]))</f>
        <v>0</v>
      </c>
      <c r="AB73" s="823">
        <f>SUMPRODUCT((Comercial_Agricola[[#This Row],[Mes Económico]]=Tipo_Cambio[Mes])*(Comercial_Agricola[[#This Row],[Año Económico]]=Tipo_Cambio[Año])*(Tipo_Cambio[$/U$S]))</f>
        <v>0</v>
      </c>
      <c r="AC73" s="823">
        <f>SUMPRODUCT((Comercial_Agricola[[#This Row],[Mes Económico]]=Tipo_Cambio[Mes])*(Comercial_Agricola[[#This Row],[Año Económico]]=Tipo_Cambio[Año])*(Tipo_Cambio[Actualización]))</f>
        <v>0</v>
      </c>
      <c r="AD73" s="822">
        <f>IF(ISNUMBER(Comercial_Agricola[[#This Row],[Fecha Financiero]])=TRUE,MONTH(Comercial_Agricola[[#This Row],[Fecha Financiero]]),0)</f>
        <v>0</v>
      </c>
      <c r="AE73" s="822">
        <f>IF(ISNUMBER(Comercial_Agricola[[#This Row],[Fecha Financiero]])=TRUE,YEAR(Comercial_Agricola[[#This Row],[Fecha Financiero]]),0)</f>
        <v>0</v>
      </c>
      <c r="AF73" s="823">
        <f>SUMPRODUCT((Comercial_Agricola[[#This Row],[Mes Financiero]]=Tipo_Cambio[Mes])*(Comercial_Agricola[[#This Row],[Año Financiero]]=Tipo_Cambio[Año])*(Tipo_Cambio[$/U$S]))</f>
        <v>0</v>
      </c>
      <c r="AG73" s="823">
        <f>SUMPRODUCT((Comercial_Agricola[[#This Row],[Mes Financiero]]=Tipo_Cambio[Mes])*(Comercial_Agricola[[#This Row],[Año Financiero]]=Tipo_Cambio[Año])*(Tipo_Cambio[Actualización]))</f>
        <v>0</v>
      </c>
    </row>
    <row r="74" spans="4:33" x14ac:dyDescent="0.25">
      <c r="D74" s="478"/>
      <c r="E74" s="522"/>
      <c r="F74" s="786" t="str">
        <f t="shared" si="12"/>
        <v>2018-2019</v>
      </c>
      <c r="G74" s="491"/>
      <c r="H74" s="491"/>
      <c r="I74" s="789">
        <f>IFERROR(INDEX(Tabla811[],MATCH(Comercial_Agricola[[#This Row],[Unidad de Negocio]],Tabla811[Unidades de Negocio],0),2),0)</f>
        <v>0</v>
      </c>
      <c r="J74" s="491"/>
      <c r="K74" s="550"/>
      <c r="L74" s="491"/>
      <c r="M74" s="40"/>
      <c r="N74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74" s="829">
        <f>IFERROR(Comercial_Agricola[[#This Row],[Económico $Corrientes]]/Comercial_Agricola[[#This Row],[Indexación Económico]],0)</f>
        <v>0</v>
      </c>
      <c r="P74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74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74" s="829">
        <f>IFERROR(Comercial_Agricola[[#This Row],[Financiero $Corrientes]]/Comercial_Agricola[[#This Row],[Indexación Financiero]],0)</f>
        <v>0</v>
      </c>
      <c r="S74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74" s="834">
        <f>IFERROR(INDEX(Comercializacion_Granos_Cuentas[],MATCH(Comercial_Agricola[[#This Row],[Cuenta Contable]],Comercializacion_Granos_Cuentas[Cuenta Contable],0),2),0)</f>
        <v>0</v>
      </c>
      <c r="U74" s="835">
        <f>IFERROR(INDEX(Comercializacion_Granos_Cuentas[],MATCH(Comercial_Agricola[[#This Row],[Cuenta Contable]],Comercializacion_Granos_Cuentas[Cuenta Contable],0),3),0)</f>
        <v>0</v>
      </c>
      <c r="V74" s="836">
        <f>IF(Comercial_Agricola[[#This Row],[Signo]]="(-)",1,-1)*IF(Comercial_Agricola[[#This Row],[Stock]]="SI",Comercial_Agricola[[#This Row],[Toneladas]],0)</f>
        <v>0</v>
      </c>
      <c r="W74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74" s="806">
        <f>IFERROR(INDEX(Tabla9[],MATCH(Comercial_Agricola[[#This Row],[Movimiento]],Tabla9[Movimientos],0),2),0)</f>
        <v>0</v>
      </c>
      <c r="Y74" s="807">
        <f>IFERROR(INDEX(Tabla9[],MATCH(Comercial_Agricola[[#This Row],[Movimiento]],Tabla9[Movimientos],0),3),0)</f>
        <v>0</v>
      </c>
      <c r="Z74" s="822">
        <f>IF(Comercial_Agricola[[#This Row],[Fecha Económico]]=0,0,MONTH(Comercial_Agricola[[#This Row],[Fecha Económico]]))</f>
        <v>0</v>
      </c>
      <c r="AA74" s="822">
        <f>IF(Comercial_Agricola[[#This Row],[Fecha Económico]]=0,0,YEAR(Comercial_Agricola[[#This Row],[Fecha Económico]]))</f>
        <v>0</v>
      </c>
      <c r="AB74" s="823">
        <f>SUMPRODUCT((Comercial_Agricola[[#This Row],[Mes Económico]]=Tipo_Cambio[Mes])*(Comercial_Agricola[[#This Row],[Año Económico]]=Tipo_Cambio[Año])*(Tipo_Cambio[$/U$S]))</f>
        <v>0</v>
      </c>
      <c r="AC74" s="823">
        <f>SUMPRODUCT((Comercial_Agricola[[#This Row],[Mes Económico]]=Tipo_Cambio[Mes])*(Comercial_Agricola[[#This Row],[Año Económico]]=Tipo_Cambio[Año])*(Tipo_Cambio[Actualización]))</f>
        <v>0</v>
      </c>
      <c r="AD74" s="822">
        <f>IF(ISNUMBER(Comercial_Agricola[[#This Row],[Fecha Financiero]])=TRUE,MONTH(Comercial_Agricola[[#This Row],[Fecha Financiero]]),0)</f>
        <v>0</v>
      </c>
      <c r="AE74" s="822">
        <f>IF(ISNUMBER(Comercial_Agricola[[#This Row],[Fecha Financiero]])=TRUE,YEAR(Comercial_Agricola[[#This Row],[Fecha Financiero]]),0)</f>
        <v>0</v>
      </c>
      <c r="AF74" s="823">
        <f>SUMPRODUCT((Comercial_Agricola[[#This Row],[Mes Financiero]]=Tipo_Cambio[Mes])*(Comercial_Agricola[[#This Row],[Año Financiero]]=Tipo_Cambio[Año])*(Tipo_Cambio[$/U$S]))</f>
        <v>0</v>
      </c>
      <c r="AG74" s="823">
        <f>SUMPRODUCT((Comercial_Agricola[[#This Row],[Mes Financiero]]=Tipo_Cambio[Mes])*(Comercial_Agricola[[#This Row],[Año Financiero]]=Tipo_Cambio[Año])*(Tipo_Cambio[Actualización]))</f>
        <v>0</v>
      </c>
    </row>
    <row r="75" spans="4:33" x14ac:dyDescent="0.25">
      <c r="D75" s="478"/>
      <c r="E75" s="522"/>
      <c r="F75" s="783" t="str">
        <f t="shared" si="12"/>
        <v>2018-2019</v>
      </c>
      <c r="G75" s="481"/>
      <c r="H75" s="491"/>
      <c r="I75" s="789">
        <f>IFERROR(INDEX(Tabla811[],MATCH(Comercial_Agricola[[#This Row],[Unidad de Negocio]],Tabla811[Unidades de Negocio],0),2),0)</f>
        <v>0</v>
      </c>
      <c r="J75" s="491"/>
      <c r="K75" s="550"/>
      <c r="L75" s="491"/>
      <c r="M75" s="40"/>
      <c r="N75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75" s="829">
        <f>IFERROR(Comercial_Agricola[[#This Row],[Económico $Corrientes]]/Comercial_Agricola[[#This Row],[Indexación Económico]],0)</f>
        <v>0</v>
      </c>
      <c r="P75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75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75" s="829">
        <f>IFERROR(Comercial_Agricola[[#This Row],[Financiero $Corrientes]]/Comercial_Agricola[[#This Row],[Indexación Financiero]],0)</f>
        <v>0</v>
      </c>
      <c r="S75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75" s="834">
        <f>IFERROR(INDEX(Comercializacion_Granos_Cuentas[],MATCH(Comercial_Agricola[[#This Row],[Cuenta Contable]],Comercializacion_Granos_Cuentas[Cuenta Contable],0),2),0)</f>
        <v>0</v>
      </c>
      <c r="U75" s="835">
        <f>IFERROR(INDEX(Comercializacion_Granos_Cuentas[],MATCH(Comercial_Agricola[[#This Row],[Cuenta Contable]],Comercializacion_Granos_Cuentas[Cuenta Contable],0),3),0)</f>
        <v>0</v>
      </c>
      <c r="V75" s="836">
        <f>IF(Comercial_Agricola[[#This Row],[Signo]]="(-)",1,-1)*IF(Comercial_Agricola[[#This Row],[Stock]]="SI",Comercial_Agricola[[#This Row],[Toneladas]],0)</f>
        <v>0</v>
      </c>
      <c r="W75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75" s="806">
        <f>IFERROR(INDEX(Tabla9[],MATCH(Comercial_Agricola[[#This Row],[Movimiento]],Tabla9[Movimientos],0),2),0)</f>
        <v>0</v>
      </c>
      <c r="Y75" s="807">
        <f>IFERROR(INDEX(Tabla9[],MATCH(Comercial_Agricola[[#This Row],[Movimiento]],Tabla9[Movimientos],0),3),0)</f>
        <v>0</v>
      </c>
      <c r="Z75" s="822">
        <f>IF(Comercial_Agricola[[#This Row],[Fecha Económico]]=0,0,MONTH(Comercial_Agricola[[#This Row],[Fecha Económico]]))</f>
        <v>0</v>
      </c>
      <c r="AA75" s="822">
        <f>IF(Comercial_Agricola[[#This Row],[Fecha Económico]]=0,0,YEAR(Comercial_Agricola[[#This Row],[Fecha Económico]]))</f>
        <v>0</v>
      </c>
      <c r="AB75" s="823">
        <f>SUMPRODUCT((Comercial_Agricola[[#This Row],[Mes Económico]]=Tipo_Cambio[Mes])*(Comercial_Agricola[[#This Row],[Año Económico]]=Tipo_Cambio[Año])*(Tipo_Cambio[$/U$S]))</f>
        <v>0</v>
      </c>
      <c r="AC75" s="823">
        <f>SUMPRODUCT((Comercial_Agricola[[#This Row],[Mes Económico]]=Tipo_Cambio[Mes])*(Comercial_Agricola[[#This Row],[Año Económico]]=Tipo_Cambio[Año])*(Tipo_Cambio[Actualización]))</f>
        <v>0</v>
      </c>
      <c r="AD75" s="822">
        <f>IF(ISNUMBER(Comercial_Agricola[[#This Row],[Fecha Financiero]])=TRUE,MONTH(Comercial_Agricola[[#This Row],[Fecha Financiero]]),0)</f>
        <v>0</v>
      </c>
      <c r="AE75" s="822">
        <f>IF(ISNUMBER(Comercial_Agricola[[#This Row],[Fecha Financiero]])=TRUE,YEAR(Comercial_Agricola[[#This Row],[Fecha Financiero]]),0)</f>
        <v>0</v>
      </c>
      <c r="AF75" s="823">
        <f>SUMPRODUCT((Comercial_Agricola[[#This Row],[Mes Financiero]]=Tipo_Cambio[Mes])*(Comercial_Agricola[[#This Row],[Año Financiero]]=Tipo_Cambio[Año])*(Tipo_Cambio[$/U$S]))</f>
        <v>0</v>
      </c>
      <c r="AG75" s="823">
        <f>SUMPRODUCT((Comercial_Agricola[[#This Row],[Mes Financiero]]=Tipo_Cambio[Mes])*(Comercial_Agricola[[#This Row],[Año Financiero]]=Tipo_Cambio[Año])*(Tipo_Cambio[Actualización]))</f>
        <v>0</v>
      </c>
    </row>
    <row r="76" spans="4:33" x14ac:dyDescent="0.25">
      <c r="D76" s="478"/>
      <c r="E76" s="522"/>
      <c r="F76" s="783" t="str">
        <f t="shared" si="12"/>
        <v>2018-2019</v>
      </c>
      <c r="G76" s="481"/>
      <c r="H76" s="491"/>
      <c r="I76" s="789">
        <f>IFERROR(INDEX(Tabla811[],MATCH(Comercial_Agricola[[#This Row],[Unidad de Negocio]],Tabla811[Unidades de Negocio],0),2),0)</f>
        <v>0</v>
      </c>
      <c r="J76" s="491"/>
      <c r="K76" s="550"/>
      <c r="L76" s="491"/>
      <c r="M76" s="40"/>
      <c r="N76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76" s="829">
        <f>IFERROR(Comercial_Agricola[[#This Row],[Económico $Corrientes]]/Comercial_Agricola[[#This Row],[Indexación Económico]],0)</f>
        <v>0</v>
      </c>
      <c r="P76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76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76" s="829">
        <f>IFERROR(Comercial_Agricola[[#This Row],[Financiero $Corrientes]]/Comercial_Agricola[[#This Row],[Indexación Financiero]],0)</f>
        <v>0</v>
      </c>
      <c r="S76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76" s="834">
        <f>IFERROR(INDEX(Comercializacion_Granos_Cuentas[],MATCH(Comercial_Agricola[[#This Row],[Cuenta Contable]],Comercializacion_Granos_Cuentas[Cuenta Contable],0),2),0)</f>
        <v>0</v>
      </c>
      <c r="U76" s="835">
        <f>IFERROR(INDEX(Comercializacion_Granos_Cuentas[],MATCH(Comercial_Agricola[[#This Row],[Cuenta Contable]],Comercializacion_Granos_Cuentas[Cuenta Contable],0),3),0)</f>
        <v>0</v>
      </c>
      <c r="V76" s="836">
        <f>IF(Comercial_Agricola[[#This Row],[Signo]]="(-)",1,-1)*IF(Comercial_Agricola[[#This Row],[Stock]]="SI",Comercial_Agricola[[#This Row],[Toneladas]],0)</f>
        <v>0</v>
      </c>
      <c r="W76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76" s="806">
        <f>IFERROR(INDEX(Tabla9[],MATCH(Comercial_Agricola[[#This Row],[Movimiento]],Tabla9[Movimientos],0),2),0)</f>
        <v>0</v>
      </c>
      <c r="Y76" s="807">
        <f>IFERROR(INDEX(Tabla9[],MATCH(Comercial_Agricola[[#This Row],[Movimiento]],Tabla9[Movimientos],0),3),0)</f>
        <v>0</v>
      </c>
      <c r="Z76" s="822">
        <f>IF(Comercial_Agricola[[#This Row],[Fecha Económico]]=0,0,MONTH(Comercial_Agricola[[#This Row],[Fecha Económico]]))</f>
        <v>0</v>
      </c>
      <c r="AA76" s="822">
        <f>IF(Comercial_Agricola[[#This Row],[Fecha Económico]]=0,0,YEAR(Comercial_Agricola[[#This Row],[Fecha Económico]]))</f>
        <v>0</v>
      </c>
      <c r="AB76" s="823">
        <f>SUMPRODUCT((Comercial_Agricola[[#This Row],[Mes Económico]]=Tipo_Cambio[Mes])*(Comercial_Agricola[[#This Row],[Año Económico]]=Tipo_Cambio[Año])*(Tipo_Cambio[$/U$S]))</f>
        <v>0</v>
      </c>
      <c r="AC76" s="823">
        <f>SUMPRODUCT((Comercial_Agricola[[#This Row],[Mes Económico]]=Tipo_Cambio[Mes])*(Comercial_Agricola[[#This Row],[Año Económico]]=Tipo_Cambio[Año])*(Tipo_Cambio[Actualización]))</f>
        <v>0</v>
      </c>
      <c r="AD76" s="822">
        <f>IF(ISNUMBER(Comercial_Agricola[[#This Row],[Fecha Financiero]])=TRUE,MONTH(Comercial_Agricola[[#This Row],[Fecha Financiero]]),0)</f>
        <v>0</v>
      </c>
      <c r="AE76" s="822">
        <f>IF(ISNUMBER(Comercial_Agricola[[#This Row],[Fecha Financiero]])=TRUE,YEAR(Comercial_Agricola[[#This Row],[Fecha Financiero]]),0)</f>
        <v>0</v>
      </c>
      <c r="AF76" s="823">
        <f>SUMPRODUCT((Comercial_Agricola[[#This Row],[Mes Financiero]]=Tipo_Cambio[Mes])*(Comercial_Agricola[[#This Row],[Año Financiero]]=Tipo_Cambio[Año])*(Tipo_Cambio[$/U$S]))</f>
        <v>0</v>
      </c>
      <c r="AG76" s="823">
        <f>SUMPRODUCT((Comercial_Agricola[[#This Row],[Mes Financiero]]=Tipo_Cambio[Mes])*(Comercial_Agricola[[#This Row],[Año Financiero]]=Tipo_Cambio[Año])*(Tipo_Cambio[Actualización]))</f>
        <v>0</v>
      </c>
    </row>
    <row r="77" spans="4:33" x14ac:dyDescent="0.25">
      <c r="D77" s="478"/>
      <c r="E77" s="522"/>
      <c r="F77" s="783" t="str">
        <f t="shared" si="12"/>
        <v>2018-2019</v>
      </c>
      <c r="G77" s="481"/>
      <c r="H77" s="491"/>
      <c r="I77" s="789">
        <f>IFERROR(INDEX(Tabla811[],MATCH(Comercial_Agricola[[#This Row],[Unidad de Negocio]],Tabla811[Unidades de Negocio],0),2),0)</f>
        <v>0</v>
      </c>
      <c r="J77" s="491"/>
      <c r="K77" s="550"/>
      <c r="L77" s="491"/>
      <c r="M77" s="40"/>
      <c r="N77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77" s="829">
        <f>IFERROR(Comercial_Agricola[[#This Row],[Económico $Corrientes]]/Comercial_Agricola[[#This Row],[Indexación Económico]],0)</f>
        <v>0</v>
      </c>
      <c r="P77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77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77" s="829">
        <f>IFERROR(Comercial_Agricola[[#This Row],[Financiero $Corrientes]]/Comercial_Agricola[[#This Row],[Indexación Financiero]],0)</f>
        <v>0</v>
      </c>
      <c r="S77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77" s="834">
        <f>IFERROR(INDEX(Comercializacion_Granos_Cuentas[],MATCH(Comercial_Agricola[[#This Row],[Cuenta Contable]],Comercializacion_Granos_Cuentas[Cuenta Contable],0),2),0)</f>
        <v>0</v>
      </c>
      <c r="U77" s="835">
        <f>IFERROR(INDEX(Comercializacion_Granos_Cuentas[],MATCH(Comercial_Agricola[[#This Row],[Cuenta Contable]],Comercializacion_Granos_Cuentas[Cuenta Contable],0),3),0)</f>
        <v>0</v>
      </c>
      <c r="V77" s="836">
        <f>IF(Comercial_Agricola[[#This Row],[Signo]]="(-)",1,-1)*IF(Comercial_Agricola[[#This Row],[Stock]]="SI",Comercial_Agricola[[#This Row],[Toneladas]],0)</f>
        <v>0</v>
      </c>
      <c r="W77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77" s="806">
        <f>IFERROR(INDEX(Tabla9[],MATCH(Comercial_Agricola[[#This Row],[Movimiento]],Tabla9[Movimientos],0),2),0)</f>
        <v>0</v>
      </c>
      <c r="Y77" s="807">
        <f>IFERROR(INDEX(Tabla9[],MATCH(Comercial_Agricola[[#This Row],[Movimiento]],Tabla9[Movimientos],0),3),0)</f>
        <v>0</v>
      </c>
      <c r="Z77" s="822">
        <f>IF(Comercial_Agricola[[#This Row],[Fecha Económico]]=0,0,MONTH(Comercial_Agricola[[#This Row],[Fecha Económico]]))</f>
        <v>0</v>
      </c>
      <c r="AA77" s="822">
        <f>IF(Comercial_Agricola[[#This Row],[Fecha Económico]]=0,0,YEAR(Comercial_Agricola[[#This Row],[Fecha Económico]]))</f>
        <v>0</v>
      </c>
      <c r="AB77" s="823">
        <f>SUMPRODUCT((Comercial_Agricola[[#This Row],[Mes Económico]]=Tipo_Cambio[Mes])*(Comercial_Agricola[[#This Row],[Año Económico]]=Tipo_Cambio[Año])*(Tipo_Cambio[$/U$S]))</f>
        <v>0</v>
      </c>
      <c r="AC77" s="823">
        <f>SUMPRODUCT((Comercial_Agricola[[#This Row],[Mes Económico]]=Tipo_Cambio[Mes])*(Comercial_Agricola[[#This Row],[Año Económico]]=Tipo_Cambio[Año])*(Tipo_Cambio[Actualización]))</f>
        <v>0</v>
      </c>
      <c r="AD77" s="822">
        <f>IF(ISNUMBER(Comercial_Agricola[[#This Row],[Fecha Financiero]])=TRUE,MONTH(Comercial_Agricola[[#This Row],[Fecha Financiero]]),0)</f>
        <v>0</v>
      </c>
      <c r="AE77" s="822">
        <f>IF(ISNUMBER(Comercial_Agricola[[#This Row],[Fecha Financiero]])=TRUE,YEAR(Comercial_Agricola[[#This Row],[Fecha Financiero]]),0)</f>
        <v>0</v>
      </c>
      <c r="AF77" s="823">
        <f>SUMPRODUCT((Comercial_Agricola[[#This Row],[Mes Financiero]]=Tipo_Cambio[Mes])*(Comercial_Agricola[[#This Row],[Año Financiero]]=Tipo_Cambio[Año])*(Tipo_Cambio[$/U$S]))</f>
        <v>0</v>
      </c>
      <c r="AG77" s="823">
        <f>SUMPRODUCT((Comercial_Agricola[[#This Row],[Mes Financiero]]=Tipo_Cambio[Mes])*(Comercial_Agricola[[#This Row],[Año Financiero]]=Tipo_Cambio[Año])*(Tipo_Cambio[Actualización]))</f>
        <v>0</v>
      </c>
    </row>
    <row r="78" spans="4:33" x14ac:dyDescent="0.25">
      <c r="D78" s="478"/>
      <c r="E78" s="522"/>
      <c r="F78" s="783" t="str">
        <f t="shared" si="12"/>
        <v>2018-2019</v>
      </c>
      <c r="G78" s="481"/>
      <c r="H78" s="491"/>
      <c r="I78" s="789">
        <f>IFERROR(INDEX(Tabla811[],MATCH(Comercial_Agricola[[#This Row],[Unidad de Negocio]],Tabla811[Unidades de Negocio],0),2),0)</f>
        <v>0</v>
      </c>
      <c r="J78" s="491"/>
      <c r="K78" s="550"/>
      <c r="L78" s="491"/>
      <c r="M78" s="40"/>
      <c r="N78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78" s="829">
        <f>IFERROR(Comercial_Agricola[[#This Row],[Económico $Corrientes]]/Comercial_Agricola[[#This Row],[Indexación Económico]],0)</f>
        <v>0</v>
      </c>
      <c r="P78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78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78" s="829">
        <f>IFERROR(Comercial_Agricola[[#This Row],[Financiero $Corrientes]]/Comercial_Agricola[[#This Row],[Indexación Financiero]],0)</f>
        <v>0</v>
      </c>
      <c r="S78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78" s="834">
        <f>IFERROR(INDEX(Comercializacion_Granos_Cuentas[],MATCH(Comercial_Agricola[[#This Row],[Cuenta Contable]],Comercializacion_Granos_Cuentas[Cuenta Contable],0),2),0)</f>
        <v>0</v>
      </c>
      <c r="U78" s="835">
        <f>IFERROR(INDEX(Comercializacion_Granos_Cuentas[],MATCH(Comercial_Agricola[[#This Row],[Cuenta Contable]],Comercializacion_Granos_Cuentas[Cuenta Contable],0),3),0)</f>
        <v>0</v>
      </c>
      <c r="V78" s="836">
        <f>IF(Comercial_Agricola[[#This Row],[Signo]]="(-)",1,-1)*IF(Comercial_Agricola[[#This Row],[Stock]]="SI",Comercial_Agricola[[#This Row],[Toneladas]],0)</f>
        <v>0</v>
      </c>
      <c r="W78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78" s="806">
        <f>IFERROR(INDEX(Tabla9[],MATCH(Comercial_Agricola[[#This Row],[Movimiento]],Tabla9[Movimientos],0),2),0)</f>
        <v>0</v>
      </c>
      <c r="Y78" s="807">
        <f>IFERROR(INDEX(Tabla9[],MATCH(Comercial_Agricola[[#This Row],[Movimiento]],Tabla9[Movimientos],0),3),0)</f>
        <v>0</v>
      </c>
      <c r="Z78" s="822">
        <f>IF(Comercial_Agricola[[#This Row],[Fecha Económico]]=0,0,MONTH(Comercial_Agricola[[#This Row],[Fecha Económico]]))</f>
        <v>0</v>
      </c>
      <c r="AA78" s="822">
        <f>IF(Comercial_Agricola[[#This Row],[Fecha Económico]]=0,0,YEAR(Comercial_Agricola[[#This Row],[Fecha Económico]]))</f>
        <v>0</v>
      </c>
      <c r="AB78" s="823">
        <f>SUMPRODUCT((Comercial_Agricola[[#This Row],[Mes Económico]]=Tipo_Cambio[Mes])*(Comercial_Agricola[[#This Row],[Año Económico]]=Tipo_Cambio[Año])*(Tipo_Cambio[$/U$S]))</f>
        <v>0</v>
      </c>
      <c r="AC78" s="823">
        <f>SUMPRODUCT((Comercial_Agricola[[#This Row],[Mes Económico]]=Tipo_Cambio[Mes])*(Comercial_Agricola[[#This Row],[Año Económico]]=Tipo_Cambio[Año])*(Tipo_Cambio[Actualización]))</f>
        <v>0</v>
      </c>
      <c r="AD78" s="822">
        <f>IF(ISNUMBER(Comercial_Agricola[[#This Row],[Fecha Financiero]])=TRUE,MONTH(Comercial_Agricola[[#This Row],[Fecha Financiero]]),0)</f>
        <v>0</v>
      </c>
      <c r="AE78" s="822">
        <f>IF(ISNUMBER(Comercial_Agricola[[#This Row],[Fecha Financiero]])=TRUE,YEAR(Comercial_Agricola[[#This Row],[Fecha Financiero]]),0)</f>
        <v>0</v>
      </c>
      <c r="AF78" s="823">
        <f>SUMPRODUCT((Comercial_Agricola[[#This Row],[Mes Financiero]]=Tipo_Cambio[Mes])*(Comercial_Agricola[[#This Row],[Año Financiero]]=Tipo_Cambio[Año])*(Tipo_Cambio[$/U$S]))</f>
        <v>0</v>
      </c>
      <c r="AG78" s="823">
        <f>SUMPRODUCT((Comercial_Agricola[[#This Row],[Mes Financiero]]=Tipo_Cambio[Mes])*(Comercial_Agricola[[#This Row],[Año Financiero]]=Tipo_Cambio[Año])*(Tipo_Cambio[Actualización]))</f>
        <v>0</v>
      </c>
    </row>
    <row r="79" spans="4:33" x14ac:dyDescent="0.25">
      <c r="D79" s="478"/>
      <c r="E79" s="522"/>
      <c r="F79" s="783" t="str">
        <f t="shared" si="12"/>
        <v>2018-2019</v>
      </c>
      <c r="G79" s="481"/>
      <c r="H79" s="491"/>
      <c r="I79" s="789">
        <f>IFERROR(INDEX(Tabla811[],MATCH(Comercial_Agricola[[#This Row],[Unidad de Negocio]],Tabla811[Unidades de Negocio],0),2),0)</f>
        <v>0</v>
      </c>
      <c r="J79" s="491"/>
      <c r="K79" s="550"/>
      <c r="L79" s="491"/>
      <c r="M79" s="40"/>
      <c r="N79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79" s="829">
        <f>IFERROR(Comercial_Agricola[[#This Row],[Económico $Corrientes]]/Comercial_Agricola[[#This Row],[Indexación Económico]],0)</f>
        <v>0</v>
      </c>
      <c r="P79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79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79" s="829">
        <f>IFERROR(Comercial_Agricola[[#This Row],[Financiero $Corrientes]]/Comercial_Agricola[[#This Row],[Indexación Financiero]],0)</f>
        <v>0</v>
      </c>
      <c r="S79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79" s="834">
        <f>IFERROR(INDEX(Comercializacion_Granos_Cuentas[],MATCH(Comercial_Agricola[[#This Row],[Cuenta Contable]],Comercializacion_Granos_Cuentas[Cuenta Contable],0),2),0)</f>
        <v>0</v>
      </c>
      <c r="U79" s="835">
        <f>IFERROR(INDEX(Comercializacion_Granos_Cuentas[],MATCH(Comercial_Agricola[[#This Row],[Cuenta Contable]],Comercializacion_Granos_Cuentas[Cuenta Contable],0),3),0)</f>
        <v>0</v>
      </c>
      <c r="V79" s="836">
        <f>IF(Comercial_Agricola[[#This Row],[Signo]]="(-)",1,-1)*IF(Comercial_Agricola[[#This Row],[Stock]]="SI",Comercial_Agricola[[#This Row],[Toneladas]],0)</f>
        <v>0</v>
      </c>
      <c r="W79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79" s="806">
        <f>IFERROR(INDEX(Tabla9[],MATCH(Comercial_Agricola[[#This Row],[Movimiento]],Tabla9[Movimientos],0),2),0)</f>
        <v>0</v>
      </c>
      <c r="Y79" s="807">
        <f>IFERROR(INDEX(Tabla9[],MATCH(Comercial_Agricola[[#This Row],[Movimiento]],Tabla9[Movimientos],0),3),0)</f>
        <v>0</v>
      </c>
      <c r="Z79" s="822">
        <f>IF(Comercial_Agricola[[#This Row],[Fecha Económico]]=0,0,MONTH(Comercial_Agricola[[#This Row],[Fecha Económico]]))</f>
        <v>0</v>
      </c>
      <c r="AA79" s="822">
        <f>IF(Comercial_Agricola[[#This Row],[Fecha Económico]]=0,0,YEAR(Comercial_Agricola[[#This Row],[Fecha Económico]]))</f>
        <v>0</v>
      </c>
      <c r="AB79" s="823">
        <f>SUMPRODUCT((Comercial_Agricola[[#This Row],[Mes Económico]]=Tipo_Cambio[Mes])*(Comercial_Agricola[[#This Row],[Año Económico]]=Tipo_Cambio[Año])*(Tipo_Cambio[$/U$S]))</f>
        <v>0</v>
      </c>
      <c r="AC79" s="823">
        <f>SUMPRODUCT((Comercial_Agricola[[#This Row],[Mes Económico]]=Tipo_Cambio[Mes])*(Comercial_Agricola[[#This Row],[Año Económico]]=Tipo_Cambio[Año])*(Tipo_Cambio[Actualización]))</f>
        <v>0</v>
      </c>
      <c r="AD79" s="822">
        <f>IF(ISNUMBER(Comercial_Agricola[[#This Row],[Fecha Financiero]])=TRUE,MONTH(Comercial_Agricola[[#This Row],[Fecha Financiero]]),0)</f>
        <v>0</v>
      </c>
      <c r="AE79" s="822">
        <f>IF(ISNUMBER(Comercial_Agricola[[#This Row],[Fecha Financiero]])=TRUE,YEAR(Comercial_Agricola[[#This Row],[Fecha Financiero]]),0)</f>
        <v>0</v>
      </c>
      <c r="AF79" s="823">
        <f>SUMPRODUCT((Comercial_Agricola[[#This Row],[Mes Financiero]]=Tipo_Cambio[Mes])*(Comercial_Agricola[[#This Row],[Año Financiero]]=Tipo_Cambio[Año])*(Tipo_Cambio[$/U$S]))</f>
        <v>0</v>
      </c>
      <c r="AG79" s="823">
        <f>SUMPRODUCT((Comercial_Agricola[[#This Row],[Mes Financiero]]=Tipo_Cambio[Mes])*(Comercial_Agricola[[#This Row],[Año Financiero]]=Tipo_Cambio[Año])*(Tipo_Cambio[Actualización]))</f>
        <v>0</v>
      </c>
    </row>
    <row r="80" spans="4:33" x14ac:dyDescent="0.25">
      <c r="D80" s="478"/>
      <c r="E80" s="522"/>
      <c r="F80" s="783" t="str">
        <f t="shared" si="12"/>
        <v>2018-2019</v>
      </c>
      <c r="G80" s="481"/>
      <c r="H80" s="491"/>
      <c r="I80" s="789">
        <f>IFERROR(INDEX(Tabla811[],MATCH(Comercial_Agricola[[#This Row],[Unidad de Negocio]],Tabla811[Unidades de Negocio],0),2),0)</f>
        <v>0</v>
      </c>
      <c r="J80" s="491"/>
      <c r="K80" s="550"/>
      <c r="L80" s="491"/>
      <c r="M80" s="40"/>
      <c r="N80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80" s="829">
        <f>IFERROR(Comercial_Agricola[[#This Row],[Económico $Corrientes]]/Comercial_Agricola[[#This Row],[Indexación Económico]],0)</f>
        <v>0</v>
      </c>
      <c r="P80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80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80" s="829">
        <f>IFERROR(Comercial_Agricola[[#This Row],[Financiero $Corrientes]]/Comercial_Agricola[[#This Row],[Indexación Financiero]],0)</f>
        <v>0</v>
      </c>
      <c r="S80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80" s="834">
        <f>IFERROR(INDEX(Comercializacion_Granos_Cuentas[],MATCH(Comercial_Agricola[[#This Row],[Cuenta Contable]],Comercializacion_Granos_Cuentas[Cuenta Contable],0),2),0)</f>
        <v>0</v>
      </c>
      <c r="U80" s="835">
        <f>IFERROR(INDEX(Comercializacion_Granos_Cuentas[],MATCH(Comercial_Agricola[[#This Row],[Cuenta Contable]],Comercializacion_Granos_Cuentas[Cuenta Contable],0),3),0)</f>
        <v>0</v>
      </c>
      <c r="V80" s="836">
        <f>IF(Comercial_Agricola[[#This Row],[Signo]]="(-)",1,-1)*IF(Comercial_Agricola[[#This Row],[Stock]]="SI",Comercial_Agricola[[#This Row],[Toneladas]],0)</f>
        <v>0</v>
      </c>
      <c r="W80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80" s="806">
        <f>IFERROR(INDEX(Tabla9[],MATCH(Comercial_Agricola[[#This Row],[Movimiento]],Tabla9[Movimientos],0),2),0)</f>
        <v>0</v>
      </c>
      <c r="Y80" s="807">
        <f>IFERROR(INDEX(Tabla9[],MATCH(Comercial_Agricola[[#This Row],[Movimiento]],Tabla9[Movimientos],0),3),0)</f>
        <v>0</v>
      </c>
      <c r="Z80" s="822">
        <f>IF(Comercial_Agricola[[#This Row],[Fecha Económico]]=0,0,MONTH(Comercial_Agricola[[#This Row],[Fecha Económico]]))</f>
        <v>0</v>
      </c>
      <c r="AA80" s="822">
        <f>IF(Comercial_Agricola[[#This Row],[Fecha Económico]]=0,0,YEAR(Comercial_Agricola[[#This Row],[Fecha Económico]]))</f>
        <v>0</v>
      </c>
      <c r="AB80" s="823">
        <f>SUMPRODUCT((Comercial_Agricola[[#This Row],[Mes Económico]]=Tipo_Cambio[Mes])*(Comercial_Agricola[[#This Row],[Año Económico]]=Tipo_Cambio[Año])*(Tipo_Cambio[$/U$S]))</f>
        <v>0</v>
      </c>
      <c r="AC80" s="823">
        <f>SUMPRODUCT((Comercial_Agricola[[#This Row],[Mes Económico]]=Tipo_Cambio[Mes])*(Comercial_Agricola[[#This Row],[Año Económico]]=Tipo_Cambio[Año])*(Tipo_Cambio[Actualización]))</f>
        <v>0</v>
      </c>
      <c r="AD80" s="822">
        <f>IF(ISNUMBER(Comercial_Agricola[[#This Row],[Fecha Financiero]])=TRUE,MONTH(Comercial_Agricola[[#This Row],[Fecha Financiero]]),0)</f>
        <v>0</v>
      </c>
      <c r="AE80" s="822">
        <f>IF(ISNUMBER(Comercial_Agricola[[#This Row],[Fecha Financiero]])=TRUE,YEAR(Comercial_Agricola[[#This Row],[Fecha Financiero]]),0)</f>
        <v>0</v>
      </c>
      <c r="AF80" s="823">
        <f>SUMPRODUCT((Comercial_Agricola[[#This Row],[Mes Financiero]]=Tipo_Cambio[Mes])*(Comercial_Agricola[[#This Row],[Año Financiero]]=Tipo_Cambio[Año])*(Tipo_Cambio[$/U$S]))</f>
        <v>0</v>
      </c>
      <c r="AG80" s="823">
        <f>SUMPRODUCT((Comercial_Agricola[[#This Row],[Mes Financiero]]=Tipo_Cambio[Mes])*(Comercial_Agricola[[#This Row],[Año Financiero]]=Tipo_Cambio[Año])*(Tipo_Cambio[Actualización]))</f>
        <v>0</v>
      </c>
    </row>
    <row r="81" spans="2:33" x14ac:dyDescent="0.25">
      <c r="D81" s="478"/>
      <c r="E81" s="522"/>
      <c r="F81" s="783" t="str">
        <f t="shared" si="12"/>
        <v>2018-2019</v>
      </c>
      <c r="G81" s="481"/>
      <c r="H81" s="491"/>
      <c r="I81" s="789">
        <f>IFERROR(INDEX(Tabla811[],MATCH(Comercial_Agricola[[#This Row],[Unidad de Negocio]],Tabla811[Unidades de Negocio],0),2),0)</f>
        <v>0</v>
      </c>
      <c r="J81" s="491"/>
      <c r="K81" s="550"/>
      <c r="L81" s="491"/>
      <c r="M81" s="40"/>
      <c r="N81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81" s="829">
        <f>IFERROR(Comercial_Agricola[[#This Row],[Económico $Corrientes]]/Comercial_Agricola[[#This Row],[Indexación Económico]],0)</f>
        <v>0</v>
      </c>
      <c r="P81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81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81" s="829">
        <f>IFERROR(Comercial_Agricola[[#This Row],[Financiero $Corrientes]]/Comercial_Agricola[[#This Row],[Indexación Financiero]],0)</f>
        <v>0</v>
      </c>
      <c r="S81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81" s="834">
        <f>IFERROR(INDEX(Comercializacion_Granos_Cuentas[],MATCH(Comercial_Agricola[[#This Row],[Cuenta Contable]],Comercializacion_Granos_Cuentas[Cuenta Contable],0),2),0)</f>
        <v>0</v>
      </c>
      <c r="U81" s="835">
        <f>IFERROR(INDEX(Comercializacion_Granos_Cuentas[],MATCH(Comercial_Agricola[[#This Row],[Cuenta Contable]],Comercializacion_Granos_Cuentas[Cuenta Contable],0),3),0)</f>
        <v>0</v>
      </c>
      <c r="V81" s="836">
        <f>IF(Comercial_Agricola[[#This Row],[Signo]]="(-)",1,-1)*IF(Comercial_Agricola[[#This Row],[Stock]]="SI",Comercial_Agricola[[#This Row],[Toneladas]],0)</f>
        <v>0</v>
      </c>
      <c r="W81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81" s="806">
        <f>IFERROR(INDEX(Tabla9[],MATCH(Comercial_Agricola[[#This Row],[Movimiento]],Tabla9[Movimientos],0),2),0)</f>
        <v>0</v>
      </c>
      <c r="Y81" s="807">
        <f>IFERROR(INDEX(Tabla9[],MATCH(Comercial_Agricola[[#This Row],[Movimiento]],Tabla9[Movimientos],0),3),0)</f>
        <v>0</v>
      </c>
      <c r="Z81" s="822">
        <f>IF(Comercial_Agricola[[#This Row],[Fecha Económico]]=0,0,MONTH(Comercial_Agricola[[#This Row],[Fecha Económico]]))</f>
        <v>0</v>
      </c>
      <c r="AA81" s="822">
        <f>IF(Comercial_Agricola[[#This Row],[Fecha Económico]]=0,0,YEAR(Comercial_Agricola[[#This Row],[Fecha Económico]]))</f>
        <v>0</v>
      </c>
      <c r="AB81" s="823">
        <f>SUMPRODUCT((Comercial_Agricola[[#This Row],[Mes Económico]]=Tipo_Cambio[Mes])*(Comercial_Agricola[[#This Row],[Año Económico]]=Tipo_Cambio[Año])*(Tipo_Cambio[$/U$S]))</f>
        <v>0</v>
      </c>
      <c r="AC81" s="823">
        <f>SUMPRODUCT((Comercial_Agricola[[#This Row],[Mes Económico]]=Tipo_Cambio[Mes])*(Comercial_Agricola[[#This Row],[Año Económico]]=Tipo_Cambio[Año])*(Tipo_Cambio[Actualización]))</f>
        <v>0</v>
      </c>
      <c r="AD81" s="822">
        <f>IF(ISNUMBER(Comercial_Agricola[[#This Row],[Fecha Financiero]])=TRUE,MONTH(Comercial_Agricola[[#This Row],[Fecha Financiero]]),0)</f>
        <v>0</v>
      </c>
      <c r="AE81" s="822">
        <f>IF(ISNUMBER(Comercial_Agricola[[#This Row],[Fecha Financiero]])=TRUE,YEAR(Comercial_Agricola[[#This Row],[Fecha Financiero]]),0)</f>
        <v>0</v>
      </c>
      <c r="AF81" s="823">
        <f>SUMPRODUCT((Comercial_Agricola[[#This Row],[Mes Financiero]]=Tipo_Cambio[Mes])*(Comercial_Agricola[[#This Row],[Año Financiero]]=Tipo_Cambio[Año])*(Tipo_Cambio[$/U$S]))</f>
        <v>0</v>
      </c>
      <c r="AG81" s="823">
        <f>SUMPRODUCT((Comercial_Agricola[[#This Row],[Mes Financiero]]=Tipo_Cambio[Mes])*(Comercial_Agricola[[#This Row],[Año Financiero]]=Tipo_Cambio[Año])*(Tipo_Cambio[Actualización]))</f>
        <v>0</v>
      </c>
    </row>
    <row r="82" spans="2:33" x14ac:dyDescent="0.25">
      <c r="D82" s="478"/>
      <c r="E82" s="522"/>
      <c r="F82" s="786" t="str">
        <f t="shared" si="12"/>
        <v>2018-2019</v>
      </c>
      <c r="G82" s="491"/>
      <c r="H82" s="491"/>
      <c r="I82" s="789">
        <f>IFERROR(INDEX(Tabla811[],MATCH(Comercial_Agricola[[#This Row],[Unidad de Negocio]],Tabla811[Unidades de Negocio],0),2),0)</f>
        <v>0</v>
      </c>
      <c r="J82" s="491"/>
      <c r="K82" s="550"/>
      <c r="L82" s="491"/>
      <c r="M82" s="40"/>
      <c r="N82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82" s="829">
        <f>IFERROR(Comercial_Agricola[[#This Row],[Económico $Corrientes]]/Comercial_Agricola[[#This Row],[Indexación Económico]],0)</f>
        <v>0</v>
      </c>
      <c r="P82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82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82" s="829">
        <f>IFERROR(Comercial_Agricola[[#This Row],[Financiero $Corrientes]]/Comercial_Agricola[[#This Row],[Indexación Financiero]],0)</f>
        <v>0</v>
      </c>
      <c r="S82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82" s="834">
        <f>IFERROR(INDEX(Comercializacion_Granos_Cuentas[],MATCH(Comercial_Agricola[[#This Row],[Cuenta Contable]],Comercializacion_Granos_Cuentas[Cuenta Contable],0),2),0)</f>
        <v>0</v>
      </c>
      <c r="U82" s="835">
        <f>IFERROR(INDEX(Comercializacion_Granos_Cuentas[],MATCH(Comercial_Agricola[[#This Row],[Cuenta Contable]],Comercializacion_Granos_Cuentas[Cuenta Contable],0),3),0)</f>
        <v>0</v>
      </c>
      <c r="V82" s="836">
        <f>IF(Comercial_Agricola[[#This Row],[Signo]]="(-)",1,-1)*IF(Comercial_Agricola[[#This Row],[Stock]]="SI",Comercial_Agricola[[#This Row],[Toneladas]],0)</f>
        <v>0</v>
      </c>
      <c r="W82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82" s="806">
        <f>IFERROR(INDEX(Tabla9[],MATCH(Comercial_Agricola[[#This Row],[Movimiento]],Tabla9[Movimientos],0),2),0)</f>
        <v>0</v>
      </c>
      <c r="Y82" s="807">
        <f>IFERROR(INDEX(Tabla9[],MATCH(Comercial_Agricola[[#This Row],[Movimiento]],Tabla9[Movimientos],0),3),0)</f>
        <v>0</v>
      </c>
      <c r="Z82" s="822">
        <f>IF(Comercial_Agricola[[#This Row],[Fecha Económico]]=0,0,MONTH(Comercial_Agricola[[#This Row],[Fecha Económico]]))</f>
        <v>0</v>
      </c>
      <c r="AA82" s="822">
        <f>IF(Comercial_Agricola[[#This Row],[Fecha Económico]]=0,0,YEAR(Comercial_Agricola[[#This Row],[Fecha Económico]]))</f>
        <v>0</v>
      </c>
      <c r="AB82" s="823">
        <f>SUMPRODUCT((Comercial_Agricola[[#This Row],[Mes Económico]]=Tipo_Cambio[Mes])*(Comercial_Agricola[[#This Row],[Año Económico]]=Tipo_Cambio[Año])*(Tipo_Cambio[$/U$S]))</f>
        <v>0</v>
      </c>
      <c r="AC82" s="823">
        <f>SUMPRODUCT((Comercial_Agricola[[#This Row],[Mes Económico]]=Tipo_Cambio[Mes])*(Comercial_Agricola[[#This Row],[Año Económico]]=Tipo_Cambio[Año])*(Tipo_Cambio[Actualización]))</f>
        <v>0</v>
      </c>
      <c r="AD82" s="822">
        <f>IF(ISNUMBER(Comercial_Agricola[[#This Row],[Fecha Financiero]])=TRUE,MONTH(Comercial_Agricola[[#This Row],[Fecha Financiero]]),0)</f>
        <v>0</v>
      </c>
      <c r="AE82" s="822">
        <f>IF(ISNUMBER(Comercial_Agricola[[#This Row],[Fecha Financiero]])=TRUE,YEAR(Comercial_Agricola[[#This Row],[Fecha Financiero]]),0)</f>
        <v>0</v>
      </c>
      <c r="AF82" s="823">
        <f>SUMPRODUCT((Comercial_Agricola[[#This Row],[Mes Financiero]]=Tipo_Cambio[Mes])*(Comercial_Agricola[[#This Row],[Año Financiero]]=Tipo_Cambio[Año])*(Tipo_Cambio[$/U$S]))</f>
        <v>0</v>
      </c>
      <c r="AG82" s="823">
        <f>SUMPRODUCT((Comercial_Agricola[[#This Row],[Mes Financiero]]=Tipo_Cambio[Mes])*(Comercial_Agricola[[#This Row],[Año Financiero]]=Tipo_Cambio[Año])*(Tipo_Cambio[Actualización]))</f>
        <v>0</v>
      </c>
    </row>
    <row r="83" spans="2:33" x14ac:dyDescent="0.25">
      <c r="D83" s="478"/>
      <c r="E83" s="522"/>
      <c r="F83" s="783" t="str">
        <f t="shared" si="12"/>
        <v>2018-2019</v>
      </c>
      <c r="G83" s="481"/>
      <c r="H83" s="491"/>
      <c r="I83" s="789">
        <f>IFERROR(INDEX(Tabla811[],MATCH(Comercial_Agricola[[#This Row],[Unidad de Negocio]],Tabla811[Unidades de Negocio],0),2),0)</f>
        <v>0</v>
      </c>
      <c r="J83" s="491"/>
      <c r="K83" s="550"/>
      <c r="L83" s="491"/>
      <c r="M83" s="40"/>
      <c r="N83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83" s="829">
        <f>IFERROR(Comercial_Agricola[[#This Row],[Económico $Corrientes]]/Comercial_Agricola[[#This Row],[Indexación Económico]],0)</f>
        <v>0</v>
      </c>
      <c r="P83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83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83" s="829">
        <f>IFERROR(Comercial_Agricola[[#This Row],[Financiero $Corrientes]]/Comercial_Agricola[[#This Row],[Indexación Financiero]],0)</f>
        <v>0</v>
      </c>
      <c r="S83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83" s="834">
        <f>IFERROR(INDEX(Comercializacion_Granos_Cuentas[],MATCH(Comercial_Agricola[[#This Row],[Cuenta Contable]],Comercializacion_Granos_Cuentas[Cuenta Contable],0),2),0)</f>
        <v>0</v>
      </c>
      <c r="U83" s="835">
        <f>IFERROR(INDEX(Comercializacion_Granos_Cuentas[],MATCH(Comercial_Agricola[[#This Row],[Cuenta Contable]],Comercializacion_Granos_Cuentas[Cuenta Contable],0),3),0)</f>
        <v>0</v>
      </c>
      <c r="V83" s="836">
        <f>IF(Comercial_Agricola[[#This Row],[Signo]]="(-)",1,-1)*IF(Comercial_Agricola[[#This Row],[Stock]]="SI",Comercial_Agricola[[#This Row],[Toneladas]],0)</f>
        <v>0</v>
      </c>
      <c r="W83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83" s="806">
        <f>IFERROR(INDEX(Tabla9[],MATCH(Comercial_Agricola[[#This Row],[Movimiento]],Tabla9[Movimientos],0),2),0)</f>
        <v>0</v>
      </c>
      <c r="Y83" s="807">
        <f>IFERROR(INDEX(Tabla9[],MATCH(Comercial_Agricola[[#This Row],[Movimiento]],Tabla9[Movimientos],0),3),0)</f>
        <v>0</v>
      </c>
      <c r="Z83" s="822">
        <f>IF(Comercial_Agricola[[#This Row],[Fecha Económico]]=0,0,MONTH(Comercial_Agricola[[#This Row],[Fecha Económico]]))</f>
        <v>0</v>
      </c>
      <c r="AA83" s="822">
        <f>IF(Comercial_Agricola[[#This Row],[Fecha Económico]]=0,0,YEAR(Comercial_Agricola[[#This Row],[Fecha Económico]]))</f>
        <v>0</v>
      </c>
      <c r="AB83" s="823">
        <f>SUMPRODUCT((Comercial_Agricola[[#This Row],[Mes Económico]]=Tipo_Cambio[Mes])*(Comercial_Agricola[[#This Row],[Año Económico]]=Tipo_Cambio[Año])*(Tipo_Cambio[$/U$S]))</f>
        <v>0</v>
      </c>
      <c r="AC83" s="823">
        <f>SUMPRODUCT((Comercial_Agricola[[#This Row],[Mes Económico]]=Tipo_Cambio[Mes])*(Comercial_Agricola[[#This Row],[Año Económico]]=Tipo_Cambio[Año])*(Tipo_Cambio[Actualización]))</f>
        <v>0</v>
      </c>
      <c r="AD83" s="822">
        <f>IF(ISNUMBER(Comercial_Agricola[[#This Row],[Fecha Financiero]])=TRUE,MONTH(Comercial_Agricola[[#This Row],[Fecha Financiero]]),0)</f>
        <v>0</v>
      </c>
      <c r="AE83" s="822">
        <f>IF(ISNUMBER(Comercial_Agricola[[#This Row],[Fecha Financiero]])=TRUE,YEAR(Comercial_Agricola[[#This Row],[Fecha Financiero]]),0)</f>
        <v>0</v>
      </c>
      <c r="AF83" s="823">
        <f>SUMPRODUCT((Comercial_Agricola[[#This Row],[Mes Financiero]]=Tipo_Cambio[Mes])*(Comercial_Agricola[[#This Row],[Año Financiero]]=Tipo_Cambio[Año])*(Tipo_Cambio[$/U$S]))</f>
        <v>0</v>
      </c>
      <c r="AG83" s="823">
        <f>SUMPRODUCT((Comercial_Agricola[[#This Row],[Mes Financiero]]=Tipo_Cambio[Mes])*(Comercial_Agricola[[#This Row],[Año Financiero]]=Tipo_Cambio[Año])*(Tipo_Cambio[Actualización]))</f>
        <v>0</v>
      </c>
    </row>
    <row r="84" spans="2:33" x14ac:dyDescent="0.25">
      <c r="D84" s="478"/>
      <c r="E84" s="522"/>
      <c r="F84" s="783" t="str">
        <f t="shared" si="12"/>
        <v>2018-2019</v>
      </c>
      <c r="G84" s="481"/>
      <c r="H84" s="491"/>
      <c r="I84" s="789">
        <f>IFERROR(INDEX(Tabla811[],MATCH(Comercial_Agricola[[#This Row],[Unidad de Negocio]],Tabla811[Unidades de Negocio],0),2),0)</f>
        <v>0</v>
      </c>
      <c r="J84" s="491"/>
      <c r="K84" s="550"/>
      <c r="L84" s="491"/>
      <c r="M84" s="40"/>
      <c r="N84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84" s="829">
        <f>IFERROR(Comercial_Agricola[[#This Row],[Económico $Corrientes]]/Comercial_Agricola[[#This Row],[Indexación Económico]],0)</f>
        <v>0</v>
      </c>
      <c r="P84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84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84" s="829">
        <f>IFERROR(Comercial_Agricola[[#This Row],[Financiero $Corrientes]]/Comercial_Agricola[[#This Row],[Indexación Financiero]],0)</f>
        <v>0</v>
      </c>
      <c r="S84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84" s="834">
        <f>IFERROR(INDEX(Comercializacion_Granos_Cuentas[],MATCH(Comercial_Agricola[[#This Row],[Cuenta Contable]],Comercializacion_Granos_Cuentas[Cuenta Contable],0),2),0)</f>
        <v>0</v>
      </c>
      <c r="U84" s="835">
        <f>IFERROR(INDEX(Comercializacion_Granos_Cuentas[],MATCH(Comercial_Agricola[[#This Row],[Cuenta Contable]],Comercializacion_Granos_Cuentas[Cuenta Contable],0),3),0)</f>
        <v>0</v>
      </c>
      <c r="V84" s="836">
        <f>IF(Comercial_Agricola[[#This Row],[Signo]]="(-)",1,-1)*IF(Comercial_Agricola[[#This Row],[Stock]]="SI",Comercial_Agricola[[#This Row],[Toneladas]],0)</f>
        <v>0</v>
      </c>
      <c r="W84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84" s="806">
        <f>IFERROR(INDEX(Tabla9[],MATCH(Comercial_Agricola[[#This Row],[Movimiento]],Tabla9[Movimientos],0),2),0)</f>
        <v>0</v>
      </c>
      <c r="Y84" s="807">
        <f>IFERROR(INDEX(Tabla9[],MATCH(Comercial_Agricola[[#This Row],[Movimiento]],Tabla9[Movimientos],0),3),0)</f>
        <v>0</v>
      </c>
      <c r="Z84" s="822">
        <f>IF(Comercial_Agricola[[#This Row],[Fecha Económico]]=0,0,MONTH(Comercial_Agricola[[#This Row],[Fecha Económico]]))</f>
        <v>0</v>
      </c>
      <c r="AA84" s="822">
        <f>IF(Comercial_Agricola[[#This Row],[Fecha Económico]]=0,0,YEAR(Comercial_Agricola[[#This Row],[Fecha Económico]]))</f>
        <v>0</v>
      </c>
      <c r="AB84" s="823">
        <f>SUMPRODUCT((Comercial_Agricola[[#This Row],[Mes Económico]]=Tipo_Cambio[Mes])*(Comercial_Agricola[[#This Row],[Año Económico]]=Tipo_Cambio[Año])*(Tipo_Cambio[$/U$S]))</f>
        <v>0</v>
      </c>
      <c r="AC84" s="823">
        <f>SUMPRODUCT((Comercial_Agricola[[#This Row],[Mes Económico]]=Tipo_Cambio[Mes])*(Comercial_Agricola[[#This Row],[Año Económico]]=Tipo_Cambio[Año])*(Tipo_Cambio[Actualización]))</f>
        <v>0</v>
      </c>
      <c r="AD84" s="822">
        <f>IF(ISNUMBER(Comercial_Agricola[[#This Row],[Fecha Financiero]])=TRUE,MONTH(Comercial_Agricola[[#This Row],[Fecha Financiero]]),0)</f>
        <v>0</v>
      </c>
      <c r="AE84" s="822">
        <f>IF(ISNUMBER(Comercial_Agricola[[#This Row],[Fecha Financiero]])=TRUE,YEAR(Comercial_Agricola[[#This Row],[Fecha Financiero]]),0)</f>
        <v>0</v>
      </c>
      <c r="AF84" s="823">
        <f>SUMPRODUCT((Comercial_Agricola[[#This Row],[Mes Financiero]]=Tipo_Cambio[Mes])*(Comercial_Agricola[[#This Row],[Año Financiero]]=Tipo_Cambio[Año])*(Tipo_Cambio[$/U$S]))</f>
        <v>0</v>
      </c>
      <c r="AG84" s="823">
        <f>SUMPRODUCT((Comercial_Agricola[[#This Row],[Mes Financiero]]=Tipo_Cambio[Mes])*(Comercial_Agricola[[#This Row],[Año Financiero]]=Tipo_Cambio[Año])*(Tipo_Cambio[Actualización]))</f>
        <v>0</v>
      </c>
    </row>
    <row r="85" spans="2:33" x14ac:dyDescent="0.25">
      <c r="D85" s="478"/>
      <c r="E85" s="522"/>
      <c r="F85" s="783" t="str">
        <f t="shared" si="12"/>
        <v>2018-2019</v>
      </c>
      <c r="G85" s="481"/>
      <c r="H85" s="491"/>
      <c r="I85" s="789">
        <f>IFERROR(INDEX(Tabla811[],MATCH(Comercial_Agricola[[#This Row],[Unidad de Negocio]],Tabla811[Unidades de Negocio],0),2),0)</f>
        <v>0</v>
      </c>
      <c r="J85" s="491"/>
      <c r="K85" s="550"/>
      <c r="L85" s="491"/>
      <c r="M85" s="40"/>
      <c r="N85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85" s="829">
        <f>IFERROR(Comercial_Agricola[[#This Row],[Económico $Corrientes]]/Comercial_Agricola[[#This Row],[Indexación Económico]],0)</f>
        <v>0</v>
      </c>
      <c r="P85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85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85" s="829">
        <f>IFERROR(Comercial_Agricola[[#This Row],[Financiero $Corrientes]]/Comercial_Agricola[[#This Row],[Indexación Financiero]],0)</f>
        <v>0</v>
      </c>
      <c r="S85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85" s="834">
        <f>IFERROR(INDEX(Comercializacion_Granos_Cuentas[],MATCH(Comercial_Agricola[[#This Row],[Cuenta Contable]],Comercializacion_Granos_Cuentas[Cuenta Contable],0),2),0)</f>
        <v>0</v>
      </c>
      <c r="U85" s="835">
        <f>IFERROR(INDEX(Comercializacion_Granos_Cuentas[],MATCH(Comercial_Agricola[[#This Row],[Cuenta Contable]],Comercializacion_Granos_Cuentas[Cuenta Contable],0),3),0)</f>
        <v>0</v>
      </c>
      <c r="V85" s="836">
        <f>IF(Comercial_Agricola[[#This Row],[Signo]]="(-)",1,-1)*IF(Comercial_Agricola[[#This Row],[Stock]]="SI",Comercial_Agricola[[#This Row],[Toneladas]],0)</f>
        <v>0</v>
      </c>
      <c r="W85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85" s="806">
        <f>IFERROR(INDEX(Tabla9[],MATCH(Comercial_Agricola[[#This Row],[Movimiento]],Tabla9[Movimientos],0),2),0)</f>
        <v>0</v>
      </c>
      <c r="Y85" s="807">
        <f>IFERROR(INDEX(Tabla9[],MATCH(Comercial_Agricola[[#This Row],[Movimiento]],Tabla9[Movimientos],0),3),0)</f>
        <v>0</v>
      </c>
      <c r="Z85" s="822">
        <f>IF(Comercial_Agricola[[#This Row],[Fecha Económico]]=0,0,MONTH(Comercial_Agricola[[#This Row],[Fecha Económico]]))</f>
        <v>0</v>
      </c>
      <c r="AA85" s="822">
        <f>IF(Comercial_Agricola[[#This Row],[Fecha Económico]]=0,0,YEAR(Comercial_Agricola[[#This Row],[Fecha Económico]]))</f>
        <v>0</v>
      </c>
      <c r="AB85" s="823">
        <f>SUMPRODUCT((Comercial_Agricola[[#This Row],[Mes Económico]]=Tipo_Cambio[Mes])*(Comercial_Agricola[[#This Row],[Año Económico]]=Tipo_Cambio[Año])*(Tipo_Cambio[$/U$S]))</f>
        <v>0</v>
      </c>
      <c r="AC85" s="823">
        <f>SUMPRODUCT((Comercial_Agricola[[#This Row],[Mes Económico]]=Tipo_Cambio[Mes])*(Comercial_Agricola[[#This Row],[Año Económico]]=Tipo_Cambio[Año])*(Tipo_Cambio[Actualización]))</f>
        <v>0</v>
      </c>
      <c r="AD85" s="822">
        <f>IF(ISNUMBER(Comercial_Agricola[[#This Row],[Fecha Financiero]])=TRUE,MONTH(Comercial_Agricola[[#This Row],[Fecha Financiero]]),0)</f>
        <v>0</v>
      </c>
      <c r="AE85" s="822">
        <f>IF(ISNUMBER(Comercial_Agricola[[#This Row],[Fecha Financiero]])=TRUE,YEAR(Comercial_Agricola[[#This Row],[Fecha Financiero]]),0)</f>
        <v>0</v>
      </c>
      <c r="AF85" s="823">
        <f>SUMPRODUCT((Comercial_Agricola[[#This Row],[Mes Financiero]]=Tipo_Cambio[Mes])*(Comercial_Agricola[[#This Row],[Año Financiero]]=Tipo_Cambio[Año])*(Tipo_Cambio[$/U$S]))</f>
        <v>0</v>
      </c>
      <c r="AG85" s="823">
        <f>SUMPRODUCT((Comercial_Agricola[[#This Row],[Mes Financiero]]=Tipo_Cambio[Mes])*(Comercial_Agricola[[#This Row],[Año Financiero]]=Tipo_Cambio[Año])*(Tipo_Cambio[Actualización]))</f>
        <v>0</v>
      </c>
    </row>
    <row r="86" spans="2:33" x14ac:dyDescent="0.25">
      <c r="D86" s="478"/>
      <c r="E86" s="522"/>
      <c r="F86" s="783" t="str">
        <f t="shared" si="12"/>
        <v>2018-2019</v>
      </c>
      <c r="G86" s="481"/>
      <c r="H86" s="491"/>
      <c r="I86" s="789">
        <f>IFERROR(INDEX(Tabla811[],MATCH(Comercial_Agricola[[#This Row],[Unidad de Negocio]],Tabla811[Unidades de Negocio],0),2),0)</f>
        <v>0</v>
      </c>
      <c r="J86" s="491"/>
      <c r="K86" s="550"/>
      <c r="L86" s="491"/>
      <c r="M86" s="40"/>
      <c r="N86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86" s="829">
        <f>IFERROR(Comercial_Agricola[[#This Row],[Económico $Corrientes]]/Comercial_Agricola[[#This Row],[Indexación Económico]],0)</f>
        <v>0</v>
      </c>
      <c r="P86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86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86" s="829">
        <f>IFERROR(Comercial_Agricola[[#This Row],[Financiero $Corrientes]]/Comercial_Agricola[[#This Row],[Indexación Financiero]],0)</f>
        <v>0</v>
      </c>
      <c r="S86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86" s="834">
        <f>IFERROR(INDEX(Comercializacion_Granos_Cuentas[],MATCH(Comercial_Agricola[[#This Row],[Cuenta Contable]],Comercializacion_Granos_Cuentas[Cuenta Contable],0),2),0)</f>
        <v>0</v>
      </c>
      <c r="U86" s="835">
        <f>IFERROR(INDEX(Comercializacion_Granos_Cuentas[],MATCH(Comercial_Agricola[[#This Row],[Cuenta Contable]],Comercializacion_Granos_Cuentas[Cuenta Contable],0),3),0)</f>
        <v>0</v>
      </c>
      <c r="V86" s="836">
        <f>IF(Comercial_Agricola[[#This Row],[Signo]]="(-)",1,-1)*IF(Comercial_Agricola[[#This Row],[Stock]]="SI",Comercial_Agricola[[#This Row],[Toneladas]],0)</f>
        <v>0</v>
      </c>
      <c r="W86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86" s="806">
        <f>IFERROR(INDEX(Tabla9[],MATCH(Comercial_Agricola[[#This Row],[Movimiento]],Tabla9[Movimientos],0),2),0)</f>
        <v>0</v>
      </c>
      <c r="Y86" s="807">
        <f>IFERROR(INDEX(Tabla9[],MATCH(Comercial_Agricola[[#This Row],[Movimiento]],Tabla9[Movimientos],0),3),0)</f>
        <v>0</v>
      </c>
      <c r="Z86" s="822">
        <f>IF(Comercial_Agricola[[#This Row],[Fecha Económico]]=0,0,MONTH(Comercial_Agricola[[#This Row],[Fecha Económico]]))</f>
        <v>0</v>
      </c>
      <c r="AA86" s="822">
        <f>IF(Comercial_Agricola[[#This Row],[Fecha Económico]]=0,0,YEAR(Comercial_Agricola[[#This Row],[Fecha Económico]]))</f>
        <v>0</v>
      </c>
      <c r="AB86" s="823">
        <f>SUMPRODUCT((Comercial_Agricola[[#This Row],[Mes Económico]]=Tipo_Cambio[Mes])*(Comercial_Agricola[[#This Row],[Año Económico]]=Tipo_Cambio[Año])*(Tipo_Cambio[$/U$S]))</f>
        <v>0</v>
      </c>
      <c r="AC86" s="823">
        <f>SUMPRODUCT((Comercial_Agricola[[#This Row],[Mes Económico]]=Tipo_Cambio[Mes])*(Comercial_Agricola[[#This Row],[Año Económico]]=Tipo_Cambio[Año])*(Tipo_Cambio[Actualización]))</f>
        <v>0</v>
      </c>
      <c r="AD86" s="822">
        <f>IF(ISNUMBER(Comercial_Agricola[[#This Row],[Fecha Financiero]])=TRUE,MONTH(Comercial_Agricola[[#This Row],[Fecha Financiero]]),0)</f>
        <v>0</v>
      </c>
      <c r="AE86" s="822">
        <f>IF(ISNUMBER(Comercial_Agricola[[#This Row],[Fecha Financiero]])=TRUE,YEAR(Comercial_Agricola[[#This Row],[Fecha Financiero]]),0)</f>
        <v>0</v>
      </c>
      <c r="AF86" s="823">
        <f>SUMPRODUCT((Comercial_Agricola[[#This Row],[Mes Financiero]]=Tipo_Cambio[Mes])*(Comercial_Agricola[[#This Row],[Año Financiero]]=Tipo_Cambio[Año])*(Tipo_Cambio[$/U$S]))</f>
        <v>0</v>
      </c>
      <c r="AG86" s="823">
        <f>SUMPRODUCT((Comercial_Agricola[[#This Row],[Mes Financiero]]=Tipo_Cambio[Mes])*(Comercial_Agricola[[#This Row],[Año Financiero]]=Tipo_Cambio[Año])*(Tipo_Cambio[Actualización]))</f>
        <v>0</v>
      </c>
    </row>
    <row r="87" spans="2:33" x14ac:dyDescent="0.25">
      <c r="D87" s="478"/>
      <c r="E87" s="522"/>
      <c r="F87" s="775" t="str">
        <f t="shared" si="12"/>
        <v>2018-2019</v>
      </c>
      <c r="G87" s="481"/>
      <c r="H87" s="481"/>
      <c r="I87" s="794">
        <f>IFERROR(INDEX(Tabla811[],MATCH(Comercial_Agricola[[#This Row],[Unidad de Negocio]],Tabla811[Unidades de Negocio],0),2),0)</f>
        <v>0</v>
      </c>
      <c r="J87" s="481"/>
      <c r="K87" s="550"/>
      <c r="L87" s="491"/>
      <c r="M87" s="40"/>
      <c r="N87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87" s="829">
        <f>IFERROR(Comercial_Agricola[[#This Row],[Económico $Corrientes]]/Comercial_Agricola[[#This Row],[Indexación Económico]],0)</f>
        <v>0</v>
      </c>
      <c r="P87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87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87" s="829">
        <f>IFERROR(Comercial_Agricola[[#This Row],[Financiero $Corrientes]]/Comercial_Agricola[[#This Row],[Indexación Financiero]],0)</f>
        <v>0</v>
      </c>
      <c r="S87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87" s="834">
        <f>IFERROR(INDEX(Comercializacion_Granos_Cuentas[],MATCH(Comercial_Agricola[[#This Row],[Cuenta Contable]],Comercializacion_Granos_Cuentas[Cuenta Contable],0),2),0)</f>
        <v>0</v>
      </c>
      <c r="U87" s="864">
        <f>IFERROR(INDEX(Comercializacion_Granos_Cuentas[],MATCH(Comercial_Agricola[[#This Row],[Cuenta Contable]],Comercializacion_Granos_Cuentas[Cuenta Contable],0),3),0)</f>
        <v>0</v>
      </c>
      <c r="V87" s="832">
        <f>IF(Comercial_Agricola[[#This Row],[Signo]]="(-)",1,-1)*IF(Comercial_Agricola[[#This Row],[Stock]]="SI",Comercial_Agricola[[#This Row],[Toneladas]],0)</f>
        <v>0</v>
      </c>
      <c r="W87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87" s="806">
        <f>IFERROR(INDEX(Tabla9[],MATCH(Comercial_Agricola[[#This Row],[Movimiento]],Tabla9[Movimientos],0),2),0)</f>
        <v>0</v>
      </c>
      <c r="Y87" s="807">
        <f>IFERROR(INDEX(Tabla9[],MATCH(Comercial_Agricola[[#This Row],[Movimiento]],Tabla9[Movimientos],0),3),0)</f>
        <v>0</v>
      </c>
      <c r="Z87" s="822">
        <f>IF(Comercial_Agricola[[#This Row],[Fecha Económico]]=0,0,MONTH(Comercial_Agricola[[#This Row],[Fecha Económico]]))</f>
        <v>0</v>
      </c>
      <c r="AA87" s="822">
        <f>IF(Comercial_Agricola[[#This Row],[Fecha Económico]]=0,0,YEAR(Comercial_Agricola[[#This Row],[Fecha Económico]]))</f>
        <v>0</v>
      </c>
      <c r="AB87" s="823">
        <f>SUMPRODUCT((Comercial_Agricola[[#This Row],[Mes Económico]]=Tipo_Cambio[Mes])*(Comercial_Agricola[[#This Row],[Año Económico]]=Tipo_Cambio[Año])*(Tipo_Cambio[$/U$S]))</f>
        <v>0</v>
      </c>
      <c r="AC87" s="823">
        <f>SUMPRODUCT((Comercial_Agricola[[#This Row],[Mes Económico]]=Tipo_Cambio[Mes])*(Comercial_Agricola[[#This Row],[Año Económico]]=Tipo_Cambio[Año])*(Tipo_Cambio[Actualización]))</f>
        <v>0</v>
      </c>
      <c r="AD87" s="822">
        <f>IF(ISNUMBER(Comercial_Agricola[[#This Row],[Fecha Financiero]])=TRUE,MONTH(Comercial_Agricola[[#This Row],[Fecha Financiero]]),0)</f>
        <v>0</v>
      </c>
      <c r="AE87" s="822">
        <f>IF(ISNUMBER(Comercial_Agricola[[#This Row],[Fecha Financiero]])=TRUE,YEAR(Comercial_Agricola[[#This Row],[Fecha Financiero]]),0)</f>
        <v>0</v>
      </c>
      <c r="AF87" s="823">
        <f>SUMPRODUCT((Comercial_Agricola[[#This Row],[Mes Financiero]]=Tipo_Cambio[Mes])*(Comercial_Agricola[[#This Row],[Año Financiero]]=Tipo_Cambio[Año])*(Tipo_Cambio[$/U$S]))</f>
        <v>0</v>
      </c>
      <c r="AG87" s="823">
        <f>SUMPRODUCT((Comercial_Agricola[[#This Row],[Mes Financiero]]=Tipo_Cambio[Mes])*(Comercial_Agricola[[#This Row],[Año Financiero]]=Tipo_Cambio[Año])*(Tipo_Cambio[Actualización]))</f>
        <v>0</v>
      </c>
    </row>
    <row r="88" spans="2:33" x14ac:dyDescent="0.25">
      <c r="D88" s="478"/>
      <c r="E88" s="522"/>
      <c r="F88" s="775" t="str">
        <f t="shared" si="12"/>
        <v>2018-2019</v>
      </c>
      <c r="G88" s="481"/>
      <c r="H88" s="481"/>
      <c r="I88" s="793">
        <f>IFERROR(INDEX(Tabla811[],MATCH(Comercial_Agricola[[#This Row],[Unidad de Negocio]],Tabla811[Unidades de Negocio],0),2),0)</f>
        <v>0</v>
      </c>
      <c r="J88" s="481"/>
      <c r="K88" s="550"/>
      <c r="L88" s="491"/>
      <c r="M88" s="41"/>
      <c r="N88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88" s="829">
        <f>IFERROR(Comercial_Agricola[[#This Row],[Económico $Corrientes]]/Comercial_Agricola[[#This Row],[Indexación Económico]],0)</f>
        <v>0</v>
      </c>
      <c r="P88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88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88" s="829">
        <f>IFERROR(Comercial_Agricola[[#This Row],[Financiero $Corrientes]]/Comercial_Agricola[[#This Row],[Indexación Financiero]],0)</f>
        <v>0</v>
      </c>
      <c r="S88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88" s="831">
        <f>IFERROR(INDEX(Comercializacion_Granos_Cuentas[],MATCH(Comercial_Agricola[[#This Row],[Cuenta Contable]],Comercializacion_Granos_Cuentas[Cuenta Contable],0),2),0)</f>
        <v>0</v>
      </c>
      <c r="U88" s="806">
        <f>IFERROR(INDEX(Comercializacion_Granos_Cuentas[],MATCH(Comercial_Agricola[[#This Row],[Cuenta Contable]],Comercializacion_Granos_Cuentas[Cuenta Contable],0),3),0)</f>
        <v>0</v>
      </c>
      <c r="V88" s="832">
        <f>IF(Comercial_Agricola[[#This Row],[Signo]]="(-)",1,-1)*IF(Comercial_Agricola[[#This Row],[Stock]]="SI",Comercial_Agricola[[#This Row],[Toneladas]],0)</f>
        <v>0</v>
      </c>
      <c r="W88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88" s="806">
        <f>IFERROR(INDEX(Tabla9[],MATCH(Comercial_Agricola[[#This Row],[Movimiento]],Tabla9[Movimientos],0),2),0)</f>
        <v>0</v>
      </c>
      <c r="Y88" s="807">
        <f>IFERROR(INDEX(Tabla9[],MATCH(Comercial_Agricola[[#This Row],[Movimiento]],Tabla9[Movimientos],0),3),0)</f>
        <v>0</v>
      </c>
      <c r="Z88" s="822">
        <f>IF(Comercial_Agricola[[#This Row],[Fecha Económico]]=0,0,MONTH(Comercial_Agricola[[#This Row],[Fecha Económico]]))</f>
        <v>0</v>
      </c>
      <c r="AA88" s="822">
        <f>IF(Comercial_Agricola[[#This Row],[Fecha Económico]]=0,0,YEAR(Comercial_Agricola[[#This Row],[Fecha Económico]]))</f>
        <v>0</v>
      </c>
      <c r="AB88" s="823">
        <f>SUMPRODUCT((Comercial_Agricola[[#This Row],[Mes Económico]]=Tipo_Cambio[Mes])*(Comercial_Agricola[[#This Row],[Año Económico]]=Tipo_Cambio[Año])*(Tipo_Cambio[$/U$S]))</f>
        <v>0</v>
      </c>
      <c r="AC88" s="823">
        <f>SUMPRODUCT((Comercial_Agricola[[#This Row],[Mes Económico]]=Tipo_Cambio[Mes])*(Comercial_Agricola[[#This Row],[Año Económico]]=Tipo_Cambio[Año])*(Tipo_Cambio[Actualización]))</f>
        <v>0</v>
      </c>
      <c r="AD88" s="822">
        <f>IF(ISNUMBER(Comercial_Agricola[[#This Row],[Fecha Financiero]])=TRUE,MONTH(Comercial_Agricola[[#This Row],[Fecha Financiero]]),0)</f>
        <v>0</v>
      </c>
      <c r="AE88" s="822">
        <f>IF(ISNUMBER(Comercial_Agricola[[#This Row],[Fecha Financiero]])=TRUE,YEAR(Comercial_Agricola[[#This Row],[Fecha Financiero]]),0)</f>
        <v>0</v>
      </c>
      <c r="AF88" s="823">
        <f>SUMPRODUCT((Comercial_Agricola[[#This Row],[Mes Financiero]]=Tipo_Cambio[Mes])*(Comercial_Agricola[[#This Row],[Año Financiero]]=Tipo_Cambio[Año])*(Tipo_Cambio[$/U$S]))</f>
        <v>0</v>
      </c>
      <c r="AG88" s="823">
        <f>SUMPRODUCT((Comercial_Agricola[[#This Row],[Mes Financiero]]=Tipo_Cambio[Mes])*(Comercial_Agricola[[#This Row],[Año Financiero]]=Tipo_Cambio[Año])*(Tipo_Cambio[Actualización]))</f>
        <v>0</v>
      </c>
    </row>
    <row r="89" spans="2:33" x14ac:dyDescent="0.25">
      <c r="D89" s="478"/>
      <c r="E89" s="522"/>
      <c r="F89" s="775" t="str">
        <f t="shared" si="12"/>
        <v>2018-2019</v>
      </c>
      <c r="G89" s="481"/>
      <c r="H89" s="481"/>
      <c r="I89" s="793">
        <f>IFERROR(INDEX(Tabla811[],MATCH(Comercial_Agricola[[#This Row],[Unidad de Negocio]],Tabla811[Unidades de Negocio],0),2),0)</f>
        <v>0</v>
      </c>
      <c r="J89" s="481"/>
      <c r="K89" s="550"/>
      <c r="L89" s="491"/>
      <c r="M89" s="41"/>
      <c r="N89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89" s="829">
        <f>IFERROR(Comercial_Agricola[[#This Row],[Económico $Corrientes]]/Comercial_Agricola[[#This Row],[Indexación Económico]],0)</f>
        <v>0</v>
      </c>
      <c r="P89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89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89" s="829">
        <f>IFERROR(Comercial_Agricola[[#This Row],[Financiero $Corrientes]]/Comercial_Agricola[[#This Row],[Indexación Financiero]],0)</f>
        <v>0</v>
      </c>
      <c r="S89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89" s="831">
        <f>IFERROR(INDEX(Comercializacion_Granos_Cuentas[],MATCH(Comercial_Agricola[[#This Row],[Cuenta Contable]],Comercializacion_Granos_Cuentas[Cuenta Contable],0),2),0)</f>
        <v>0</v>
      </c>
      <c r="U89" s="806">
        <f>IFERROR(INDEX(Comercializacion_Granos_Cuentas[],MATCH(Comercial_Agricola[[#This Row],[Cuenta Contable]],Comercializacion_Granos_Cuentas[Cuenta Contable],0),3),0)</f>
        <v>0</v>
      </c>
      <c r="V89" s="832">
        <f>IF(Comercial_Agricola[[#This Row],[Signo]]="(-)",1,-1)*IF(Comercial_Agricola[[#This Row],[Stock]]="SI",Comercial_Agricola[[#This Row],[Toneladas]],0)</f>
        <v>0</v>
      </c>
      <c r="W89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89" s="806">
        <f>IFERROR(INDEX(Tabla9[],MATCH(Comercial_Agricola[[#This Row],[Movimiento]],Tabla9[Movimientos],0),2),0)</f>
        <v>0</v>
      </c>
      <c r="Y89" s="807">
        <f>IFERROR(INDEX(Tabla9[],MATCH(Comercial_Agricola[[#This Row],[Movimiento]],Tabla9[Movimientos],0),3),0)</f>
        <v>0</v>
      </c>
      <c r="Z89" s="822">
        <f>IF(Comercial_Agricola[[#This Row],[Fecha Económico]]=0,0,MONTH(Comercial_Agricola[[#This Row],[Fecha Económico]]))</f>
        <v>0</v>
      </c>
      <c r="AA89" s="822">
        <f>IF(Comercial_Agricola[[#This Row],[Fecha Económico]]=0,0,YEAR(Comercial_Agricola[[#This Row],[Fecha Económico]]))</f>
        <v>0</v>
      </c>
      <c r="AB89" s="823">
        <f>SUMPRODUCT((Comercial_Agricola[[#This Row],[Mes Económico]]=Tipo_Cambio[Mes])*(Comercial_Agricola[[#This Row],[Año Económico]]=Tipo_Cambio[Año])*(Tipo_Cambio[$/U$S]))</f>
        <v>0</v>
      </c>
      <c r="AC89" s="823">
        <f>SUMPRODUCT((Comercial_Agricola[[#This Row],[Mes Económico]]=Tipo_Cambio[Mes])*(Comercial_Agricola[[#This Row],[Año Económico]]=Tipo_Cambio[Año])*(Tipo_Cambio[Actualización]))</f>
        <v>0</v>
      </c>
      <c r="AD89" s="822">
        <f>IF(ISNUMBER(Comercial_Agricola[[#This Row],[Fecha Financiero]])=TRUE,MONTH(Comercial_Agricola[[#This Row],[Fecha Financiero]]),0)</f>
        <v>0</v>
      </c>
      <c r="AE89" s="822">
        <f>IF(ISNUMBER(Comercial_Agricola[[#This Row],[Fecha Financiero]])=TRUE,YEAR(Comercial_Agricola[[#This Row],[Fecha Financiero]]),0)</f>
        <v>0</v>
      </c>
      <c r="AF89" s="823">
        <f>SUMPRODUCT((Comercial_Agricola[[#This Row],[Mes Financiero]]=Tipo_Cambio[Mes])*(Comercial_Agricola[[#This Row],[Año Financiero]]=Tipo_Cambio[Año])*(Tipo_Cambio[$/U$S]))</f>
        <v>0</v>
      </c>
      <c r="AG89" s="823">
        <f>SUMPRODUCT((Comercial_Agricola[[#This Row],[Mes Financiero]]=Tipo_Cambio[Mes])*(Comercial_Agricola[[#This Row],[Año Financiero]]=Tipo_Cambio[Año])*(Tipo_Cambio[Actualización]))</f>
        <v>0</v>
      </c>
    </row>
    <row r="90" spans="2:33" x14ac:dyDescent="0.25">
      <c r="D90" s="478"/>
      <c r="E90" s="522"/>
      <c r="F90" s="787" t="str">
        <f t="shared" si="12"/>
        <v>2018-2019</v>
      </c>
      <c r="G90" s="491"/>
      <c r="H90" s="481"/>
      <c r="I90" s="793">
        <f>IFERROR(INDEX(Tabla811[],MATCH(Comercial_Agricola[[#This Row],[Unidad de Negocio]],Tabla811[Unidades de Negocio],0),2),0)</f>
        <v>0</v>
      </c>
      <c r="J90" s="481"/>
      <c r="K90" s="550"/>
      <c r="L90" s="491"/>
      <c r="M90" s="41"/>
      <c r="N90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90" s="829">
        <f>IFERROR(Comercial_Agricola[[#This Row],[Económico $Corrientes]]/Comercial_Agricola[[#This Row],[Indexación Económico]],0)</f>
        <v>0</v>
      </c>
      <c r="P90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90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90" s="829">
        <f>IFERROR(Comercial_Agricola[[#This Row],[Financiero $Corrientes]]/Comercial_Agricola[[#This Row],[Indexación Financiero]],0)</f>
        <v>0</v>
      </c>
      <c r="S90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90" s="831">
        <f>IFERROR(INDEX(Comercializacion_Granos_Cuentas[],MATCH(Comercial_Agricola[[#This Row],[Cuenta Contable]],Comercializacion_Granos_Cuentas[Cuenta Contable],0),2),0)</f>
        <v>0</v>
      </c>
      <c r="U90" s="806">
        <f>IFERROR(INDEX(Comercializacion_Granos_Cuentas[],MATCH(Comercial_Agricola[[#This Row],[Cuenta Contable]],Comercializacion_Granos_Cuentas[Cuenta Contable],0),3),0)</f>
        <v>0</v>
      </c>
      <c r="V90" s="832">
        <f>IF(Comercial_Agricola[[#This Row],[Signo]]="(-)",1,-1)*IF(Comercial_Agricola[[#This Row],[Stock]]="SI",Comercial_Agricola[[#This Row],[Toneladas]],0)</f>
        <v>0</v>
      </c>
      <c r="W90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90" s="806">
        <f>IFERROR(INDEX(Tabla9[],MATCH(Comercial_Agricola[[#This Row],[Movimiento]],Tabla9[Movimientos],0),2),0)</f>
        <v>0</v>
      </c>
      <c r="Y90" s="807">
        <f>IFERROR(INDEX(Tabla9[],MATCH(Comercial_Agricola[[#This Row],[Movimiento]],Tabla9[Movimientos],0),3),0)</f>
        <v>0</v>
      </c>
      <c r="Z90" s="822">
        <f>IF(Comercial_Agricola[[#This Row],[Fecha Económico]]=0,0,MONTH(Comercial_Agricola[[#This Row],[Fecha Económico]]))</f>
        <v>0</v>
      </c>
      <c r="AA90" s="822">
        <f>IF(Comercial_Agricola[[#This Row],[Fecha Económico]]=0,0,YEAR(Comercial_Agricola[[#This Row],[Fecha Económico]]))</f>
        <v>0</v>
      </c>
      <c r="AB90" s="823">
        <f>SUMPRODUCT((Comercial_Agricola[[#This Row],[Mes Económico]]=Tipo_Cambio[Mes])*(Comercial_Agricola[[#This Row],[Año Económico]]=Tipo_Cambio[Año])*(Tipo_Cambio[$/U$S]))</f>
        <v>0</v>
      </c>
      <c r="AC90" s="823">
        <f>SUMPRODUCT((Comercial_Agricola[[#This Row],[Mes Económico]]=Tipo_Cambio[Mes])*(Comercial_Agricola[[#This Row],[Año Económico]]=Tipo_Cambio[Año])*(Tipo_Cambio[Actualización]))</f>
        <v>0</v>
      </c>
      <c r="AD90" s="822">
        <f>IF(ISNUMBER(Comercial_Agricola[[#This Row],[Fecha Financiero]])=TRUE,MONTH(Comercial_Agricola[[#This Row],[Fecha Financiero]]),0)</f>
        <v>0</v>
      </c>
      <c r="AE90" s="822">
        <f>IF(ISNUMBER(Comercial_Agricola[[#This Row],[Fecha Financiero]])=TRUE,YEAR(Comercial_Agricola[[#This Row],[Fecha Financiero]]),0)</f>
        <v>0</v>
      </c>
      <c r="AF90" s="823">
        <f>SUMPRODUCT((Comercial_Agricola[[#This Row],[Mes Financiero]]=Tipo_Cambio[Mes])*(Comercial_Agricola[[#This Row],[Año Financiero]]=Tipo_Cambio[Año])*(Tipo_Cambio[$/U$S]))</f>
        <v>0</v>
      </c>
      <c r="AG90" s="823">
        <f>SUMPRODUCT((Comercial_Agricola[[#This Row],[Mes Financiero]]=Tipo_Cambio[Mes])*(Comercial_Agricola[[#This Row],[Año Financiero]]=Tipo_Cambio[Año])*(Tipo_Cambio[Actualización]))</f>
        <v>0</v>
      </c>
    </row>
    <row r="91" spans="2:33" x14ac:dyDescent="0.25">
      <c r="D91" s="478"/>
      <c r="E91" s="522"/>
      <c r="F91" s="775" t="str">
        <f t="shared" si="12"/>
        <v>2018-2019</v>
      </c>
      <c r="G91" s="481"/>
      <c r="H91" s="481"/>
      <c r="I91" s="793">
        <f>IFERROR(INDEX(Tabla811[],MATCH(Comercial_Agricola[[#This Row],[Unidad de Negocio]],Tabla811[Unidades de Negocio],0),2),0)</f>
        <v>0</v>
      </c>
      <c r="J91" s="481"/>
      <c r="K91" s="550"/>
      <c r="L91" s="491"/>
      <c r="M91" s="41"/>
      <c r="N91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91" s="829">
        <f>IFERROR(Comercial_Agricola[[#This Row],[Económico $Corrientes]]/Comercial_Agricola[[#This Row],[Indexación Económico]],0)</f>
        <v>0</v>
      </c>
      <c r="P91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91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91" s="829">
        <f>IFERROR(Comercial_Agricola[[#This Row],[Financiero $Corrientes]]/Comercial_Agricola[[#This Row],[Indexación Financiero]],0)</f>
        <v>0</v>
      </c>
      <c r="S91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91" s="831">
        <f>IFERROR(INDEX(Comercializacion_Granos_Cuentas[],MATCH(Comercial_Agricola[[#This Row],[Cuenta Contable]],Comercializacion_Granos_Cuentas[Cuenta Contable],0),2),0)</f>
        <v>0</v>
      </c>
      <c r="U91" s="806">
        <f>IFERROR(INDEX(Comercializacion_Granos_Cuentas[],MATCH(Comercial_Agricola[[#This Row],[Cuenta Contable]],Comercializacion_Granos_Cuentas[Cuenta Contable],0),3),0)</f>
        <v>0</v>
      </c>
      <c r="V91" s="832">
        <f>IF(Comercial_Agricola[[#This Row],[Signo]]="(-)",1,-1)*IF(Comercial_Agricola[[#This Row],[Stock]]="SI",Comercial_Agricola[[#This Row],[Toneladas]],0)</f>
        <v>0</v>
      </c>
      <c r="W91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91" s="806">
        <f>IFERROR(INDEX(Tabla9[],MATCH(Comercial_Agricola[[#This Row],[Movimiento]],Tabla9[Movimientos],0),2),0)</f>
        <v>0</v>
      </c>
      <c r="Y91" s="807">
        <f>IFERROR(INDEX(Tabla9[],MATCH(Comercial_Agricola[[#This Row],[Movimiento]],Tabla9[Movimientos],0),3),0)</f>
        <v>0</v>
      </c>
      <c r="Z91" s="822">
        <f>IF(Comercial_Agricola[[#This Row],[Fecha Económico]]=0,0,MONTH(Comercial_Agricola[[#This Row],[Fecha Económico]]))</f>
        <v>0</v>
      </c>
      <c r="AA91" s="822">
        <f>IF(Comercial_Agricola[[#This Row],[Fecha Económico]]=0,0,YEAR(Comercial_Agricola[[#This Row],[Fecha Económico]]))</f>
        <v>0</v>
      </c>
      <c r="AB91" s="823">
        <f>SUMPRODUCT((Comercial_Agricola[[#This Row],[Mes Económico]]=Tipo_Cambio[Mes])*(Comercial_Agricola[[#This Row],[Año Económico]]=Tipo_Cambio[Año])*(Tipo_Cambio[$/U$S]))</f>
        <v>0</v>
      </c>
      <c r="AC91" s="823">
        <f>SUMPRODUCT((Comercial_Agricola[[#This Row],[Mes Económico]]=Tipo_Cambio[Mes])*(Comercial_Agricola[[#This Row],[Año Económico]]=Tipo_Cambio[Año])*(Tipo_Cambio[Actualización]))</f>
        <v>0</v>
      </c>
      <c r="AD91" s="822">
        <f>IF(ISNUMBER(Comercial_Agricola[[#This Row],[Fecha Financiero]])=TRUE,MONTH(Comercial_Agricola[[#This Row],[Fecha Financiero]]),0)</f>
        <v>0</v>
      </c>
      <c r="AE91" s="822">
        <f>IF(ISNUMBER(Comercial_Agricola[[#This Row],[Fecha Financiero]])=TRUE,YEAR(Comercial_Agricola[[#This Row],[Fecha Financiero]]),0)</f>
        <v>0</v>
      </c>
      <c r="AF91" s="823">
        <f>SUMPRODUCT((Comercial_Agricola[[#This Row],[Mes Financiero]]=Tipo_Cambio[Mes])*(Comercial_Agricola[[#This Row],[Año Financiero]]=Tipo_Cambio[Año])*(Tipo_Cambio[$/U$S]))</f>
        <v>0</v>
      </c>
      <c r="AG91" s="823">
        <f>SUMPRODUCT((Comercial_Agricola[[#This Row],[Mes Financiero]]=Tipo_Cambio[Mes])*(Comercial_Agricola[[#This Row],[Año Financiero]]=Tipo_Cambio[Año])*(Tipo_Cambio[Actualización]))</f>
        <v>0</v>
      </c>
    </row>
    <row r="92" spans="2:33" x14ac:dyDescent="0.25">
      <c r="D92" s="528"/>
      <c r="E92" s="522"/>
      <c r="F92" s="775" t="str">
        <f t="shared" si="12"/>
        <v>2018-2019</v>
      </c>
      <c r="G92" s="481"/>
      <c r="H92" s="481"/>
      <c r="I92" s="793">
        <f>IFERROR(INDEX(Tabla811[],MATCH(Comercial_Agricola[[#This Row],[Unidad de Negocio]],Tabla811[Unidades de Negocio],0),2),0)</f>
        <v>0</v>
      </c>
      <c r="J92" s="481"/>
      <c r="K92" s="550"/>
      <c r="L92" s="491"/>
      <c r="M92" s="41"/>
      <c r="N92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92" s="829">
        <f>IFERROR(Comercial_Agricola[[#This Row],[Económico $Corrientes]]/Comercial_Agricola[[#This Row],[Indexación Económico]],0)</f>
        <v>0</v>
      </c>
      <c r="P92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92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92" s="865">
        <f>IFERROR(Comercial_Agricola[[#This Row],[Financiero $Corrientes]]/Comercial_Agricola[[#This Row],[Indexación Financiero]],0)</f>
        <v>0</v>
      </c>
      <c r="S92" s="829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92" s="831">
        <f>IFERROR(INDEX(Comercializacion_Granos_Cuentas[],MATCH(Comercial_Agricola[[#This Row],[Cuenta Contable]],Comercializacion_Granos_Cuentas[Cuenta Contable],0),2),0)</f>
        <v>0</v>
      </c>
      <c r="U92" s="806">
        <f>IFERROR(INDEX(Comercializacion_Granos_Cuentas[],MATCH(Comercial_Agricola[[#This Row],[Cuenta Contable]],Comercializacion_Granos_Cuentas[Cuenta Contable],0),3),0)</f>
        <v>0</v>
      </c>
      <c r="V92" s="832">
        <f>IF(Comercial_Agricola[[#This Row],[Signo]]="(-)",1,-1)*IF(Comercial_Agricola[[#This Row],[Stock]]="SI",Comercial_Agricola[[#This Row],[Toneladas]],0)</f>
        <v>0</v>
      </c>
      <c r="W92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92" s="806">
        <f>IFERROR(INDEX(Tabla9[],MATCH(Comercial_Agricola[[#This Row],[Movimiento]],Tabla9[Movimientos],0),2),0)</f>
        <v>0</v>
      </c>
      <c r="Y92" s="807">
        <f>IFERROR(INDEX(Tabla9[],MATCH(Comercial_Agricola[[#This Row],[Movimiento]],Tabla9[Movimientos],0),3),0)</f>
        <v>0</v>
      </c>
      <c r="Z92" s="822">
        <f>IF(Comercial_Agricola[[#This Row],[Fecha Económico]]=0,0,MONTH(Comercial_Agricola[[#This Row],[Fecha Económico]]))</f>
        <v>0</v>
      </c>
      <c r="AA92" s="822">
        <f>IF(Comercial_Agricola[[#This Row],[Fecha Económico]]=0,0,YEAR(Comercial_Agricola[[#This Row],[Fecha Económico]]))</f>
        <v>0</v>
      </c>
      <c r="AB92" s="823">
        <f>SUMPRODUCT((Comercial_Agricola[[#This Row],[Mes Económico]]=Tipo_Cambio[Mes])*(Comercial_Agricola[[#This Row],[Año Económico]]=Tipo_Cambio[Año])*(Tipo_Cambio[$/U$S]))</f>
        <v>0</v>
      </c>
      <c r="AC92" s="823">
        <f>SUMPRODUCT((Comercial_Agricola[[#This Row],[Mes Económico]]=Tipo_Cambio[Mes])*(Comercial_Agricola[[#This Row],[Año Económico]]=Tipo_Cambio[Año])*(Tipo_Cambio[Actualización]))</f>
        <v>0</v>
      </c>
      <c r="AD92" s="822">
        <f>IF(ISNUMBER(Comercial_Agricola[[#This Row],[Fecha Financiero]])=TRUE,MONTH(Comercial_Agricola[[#This Row],[Fecha Financiero]]),0)</f>
        <v>0</v>
      </c>
      <c r="AE92" s="822">
        <f>IF(ISNUMBER(Comercial_Agricola[[#This Row],[Fecha Financiero]])=TRUE,YEAR(Comercial_Agricola[[#This Row],[Fecha Financiero]]),0)</f>
        <v>0</v>
      </c>
      <c r="AF92" s="823">
        <f>SUMPRODUCT((Comercial_Agricola[[#This Row],[Mes Financiero]]=Tipo_Cambio[Mes])*(Comercial_Agricola[[#This Row],[Año Financiero]]=Tipo_Cambio[Año])*(Tipo_Cambio[$/U$S]))</f>
        <v>0</v>
      </c>
      <c r="AG92" s="823">
        <f>SUMPRODUCT((Comercial_Agricola[[#This Row],[Mes Financiero]]=Tipo_Cambio[Mes])*(Comercial_Agricola[[#This Row],[Año Financiero]]=Tipo_Cambio[Año])*(Tipo_Cambio[Actualización]))</f>
        <v>0</v>
      </c>
    </row>
    <row r="93" spans="2:33" ht="15.75" thickBot="1" x14ac:dyDescent="0.3">
      <c r="B93" s="354" t="s">
        <v>101</v>
      </c>
      <c r="C93" s="70"/>
      <c r="D93" s="651"/>
      <c r="E93" s="646"/>
      <c r="F93" s="780" t="str">
        <f t="shared" si="12"/>
        <v>2018-2019</v>
      </c>
      <c r="G93" s="481"/>
      <c r="H93" s="648"/>
      <c r="I93" s="792">
        <f>IFERROR(INDEX(Tabla811[],MATCH(Comercial_Agricola[[#This Row],[Unidad de Negocio]],Tabla811[Unidades de Negocio],0),2),0)</f>
        <v>0</v>
      </c>
      <c r="J93" s="648"/>
      <c r="K93" s="652"/>
      <c r="L93" s="648"/>
      <c r="M93" s="53"/>
      <c r="N93" s="849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93" s="850">
        <f>IFERROR(Comercial_Agricola[[#This Row],[Económico $Corrientes]]/Comercial_Agricola[[#This Row],[Indexación Económico]],0)</f>
        <v>0</v>
      </c>
      <c r="P93" s="851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93" s="850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93" s="850">
        <f>IFERROR(Comercial_Agricola[[#This Row],[Financiero $Corrientes]]/Comercial_Agricola[[#This Row],[Indexación Financiero]],0)</f>
        <v>0</v>
      </c>
      <c r="S93" s="85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93" s="852">
        <f>IFERROR(INDEX(Comercializacion_Granos_Cuentas[],MATCH(Comercial_Agricola[[#This Row],[Cuenta Contable]],Comercializacion_Granos_Cuentas[Cuenta Contable],0),2),0)</f>
        <v>0</v>
      </c>
      <c r="U93" s="818">
        <f>IFERROR(INDEX(Comercializacion_Granos_Cuentas[],MATCH(Comercial_Agricola[[#This Row],[Cuenta Contable]],Comercializacion_Granos_Cuentas[Cuenta Contable],0),3),0)</f>
        <v>0</v>
      </c>
      <c r="V93" s="853">
        <f>IF(Comercial_Agricola[[#This Row],[Signo]]="(-)",1,-1)*IF(Comercial_Agricola[[#This Row],[Stock]]="SI",Comercial_Agricola[[#This Row],[Toneladas]],0)</f>
        <v>0</v>
      </c>
      <c r="W93" s="801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93" s="818">
        <f>IFERROR(INDEX(Tabla9[],MATCH(Comercial_Agricola[[#This Row],[Movimiento]],Tabla9[Movimientos],0),2),0)</f>
        <v>0</v>
      </c>
      <c r="Y93" s="819">
        <f>IFERROR(INDEX(Tabla9[],MATCH(Comercial_Agricola[[#This Row],[Movimiento]],Tabla9[Movimientos],0),3),0)</f>
        <v>0</v>
      </c>
      <c r="Z93" s="820">
        <f>IF(Comercial_Agricola[[#This Row],[Fecha Económico]]=0,0,MONTH(Comercial_Agricola[[#This Row],[Fecha Económico]]))</f>
        <v>0</v>
      </c>
      <c r="AA93" s="820">
        <f>IF(Comercial_Agricola[[#This Row],[Fecha Económico]]=0,0,YEAR(Comercial_Agricola[[#This Row],[Fecha Económico]]))</f>
        <v>0</v>
      </c>
      <c r="AB93" s="821">
        <f>SUMPRODUCT((Comercial_Agricola[[#This Row],[Mes Económico]]=Tipo_Cambio[Mes])*(Comercial_Agricola[[#This Row],[Año Económico]]=Tipo_Cambio[Año])*(Tipo_Cambio[$/U$S]))</f>
        <v>0</v>
      </c>
      <c r="AC93" s="821">
        <f>SUMPRODUCT((Comercial_Agricola[[#This Row],[Mes Económico]]=Tipo_Cambio[Mes])*(Comercial_Agricola[[#This Row],[Año Económico]]=Tipo_Cambio[Año])*(Tipo_Cambio[Actualización]))</f>
        <v>0</v>
      </c>
      <c r="AD93" s="820">
        <f>IF(ISNUMBER(Comercial_Agricola[[#This Row],[Fecha Financiero]])=TRUE,MONTH(Comercial_Agricola[[#This Row],[Fecha Financiero]]),0)</f>
        <v>0</v>
      </c>
      <c r="AE93" s="820">
        <f>IF(ISNUMBER(Comercial_Agricola[[#This Row],[Fecha Financiero]])=TRUE,YEAR(Comercial_Agricola[[#This Row],[Fecha Financiero]]),0)</f>
        <v>0</v>
      </c>
      <c r="AF93" s="821">
        <f>SUMPRODUCT((Comercial_Agricola[[#This Row],[Mes Financiero]]=Tipo_Cambio[Mes])*(Comercial_Agricola[[#This Row],[Año Financiero]]=Tipo_Cambio[Año])*(Tipo_Cambio[$/U$S]))</f>
        <v>0</v>
      </c>
      <c r="AG93" s="821">
        <f>SUMPRODUCT((Comercial_Agricola[[#This Row],[Mes Financiero]]=Tipo_Cambio[Mes])*(Comercial_Agricola[[#This Row],[Año Financiero]]=Tipo_Cambio[Año])*(Tipo_Cambio[Actualización]))</f>
        <v>0</v>
      </c>
    </row>
    <row r="94" spans="2:33" ht="15.75" thickTop="1" x14ac:dyDescent="0.25">
      <c r="B94" s="1133" t="s">
        <v>47</v>
      </c>
      <c r="D94" s="528">
        <f>DATE(RIGHT(Comercial_Agricola[[#This Row],[Campaña]],4),6,30)</f>
        <v>43646</v>
      </c>
      <c r="E94" s="522"/>
      <c r="F94" s="775" t="str">
        <f t="shared" si="12"/>
        <v>2018-2019</v>
      </c>
      <c r="G94" s="782" t="str">
        <f t="shared" ref="G94:G103" si="13">COM_AGR_Stock_Cierre</f>
        <v>Stock Granos Cierre</v>
      </c>
      <c r="H94" s="480"/>
      <c r="I94" s="793">
        <f>IFERROR(INDEX(Tabla811[],MATCH(Comercial_Agricola[[#This Row],[Unidad de Negocio]],Tabla811[Unidades de Negocio],0),2),0)</f>
        <v>0</v>
      </c>
      <c r="J94" s="481"/>
      <c r="K94" s="690">
        <f>SUMPRODUCT((Comercial_Agricola[[#This Row],[Producto]]=$I$5:$I$93)*($V$5:$V$93)*(Comercial_Agricola[[#This Row],[Fecha Económico]]&gt;=$D$5:$D$93))</f>
        <v>0</v>
      </c>
      <c r="L94" s="491"/>
      <c r="M94" s="41"/>
      <c r="N94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94" s="829">
        <f>IFERROR(Comercial_Agricola[[#This Row],[Económico $Corrientes]]/Comercial_Agricola[[#This Row],[Indexación Económico]],0)</f>
        <v>0</v>
      </c>
      <c r="P94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94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94" s="865">
        <f>IFERROR(Comercial_Agricola[[#This Row],[Financiero $Corrientes]]/Comercial_Agricola[[#This Row],[Indexación Financiero]],0)</f>
        <v>0</v>
      </c>
      <c r="S94" s="865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94" s="831" t="str">
        <f>IFERROR(INDEX(Comercializacion_Granos_Cuentas[],MATCH(Comercial_Agricola[[#This Row],[Cuenta Contable]],Comercializacion_Granos_Cuentas[Cuenta Contable],0),2),0)</f>
        <v>Stock Cierre</v>
      </c>
      <c r="U94" s="806" t="str">
        <f>IFERROR(INDEX(Comercializacion_Granos_Cuentas[],MATCH(Comercial_Agricola[[#This Row],[Cuenta Contable]],Comercializacion_Granos_Cuentas[Cuenta Contable],0),3),0)</f>
        <v>Si</v>
      </c>
      <c r="V94" s="832">
        <f>IF(Comercial_Agricola[[#This Row],[Signo]]="(-)",1,-1)*IF(Comercial_Agricola[[#This Row],[Stock]]="SI",Comercial_Agricola[[#This Row],[Toneladas]],0)</f>
        <v>0</v>
      </c>
      <c r="W94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94" s="806" t="str">
        <f>IFERROR(INDEX(Tabla9[],MATCH(Comercial_Agricola[[#This Row],[Movimiento]],Tabla9[Movimientos],0),2),0)</f>
        <v>No</v>
      </c>
      <c r="Y94" s="807" t="str">
        <f>IFERROR(INDEX(Tabla9[],MATCH(Comercial_Agricola[[#This Row],[Movimiento]],Tabla9[Movimientos],0),3),0)</f>
        <v>(+)</v>
      </c>
      <c r="Z94" s="822">
        <f>IF(Comercial_Agricola[[#This Row],[Fecha Económico]]=0,0,MONTH(Comercial_Agricola[[#This Row],[Fecha Económico]]))</f>
        <v>6</v>
      </c>
      <c r="AA94" s="822">
        <f>IF(Comercial_Agricola[[#This Row],[Fecha Económico]]=0,0,YEAR(Comercial_Agricola[[#This Row],[Fecha Económico]]))</f>
        <v>2019</v>
      </c>
      <c r="AB94" s="823">
        <f>SUMPRODUCT((Comercial_Agricola[[#This Row],[Mes Económico]]=Tipo_Cambio[Mes])*(Comercial_Agricola[[#This Row],[Año Económico]]=Tipo_Cambio[Año])*(Tipo_Cambio[$/U$S]))</f>
        <v>24.544703626636963</v>
      </c>
      <c r="AC94" s="823">
        <f>SUMPRODUCT((Comercial_Agricola[[#This Row],[Mes Económico]]=Tipo_Cambio[Mes])*(Comercial_Agricola[[#This Row],[Año Económico]]=Tipo_Cambio[Año])*(Tipo_Cambio[Actualización]))</f>
        <v>1.2433743083946525</v>
      </c>
      <c r="AD94" s="822">
        <f>IF(ISNUMBER(Comercial_Agricola[[#This Row],[Fecha Financiero]])=TRUE,MONTH(Comercial_Agricola[[#This Row],[Fecha Financiero]]),0)</f>
        <v>0</v>
      </c>
      <c r="AE94" s="822">
        <f>IF(ISNUMBER(Comercial_Agricola[[#This Row],[Fecha Financiero]])=TRUE,YEAR(Comercial_Agricola[[#This Row],[Fecha Financiero]]),0)</f>
        <v>0</v>
      </c>
      <c r="AF94" s="823">
        <f>SUMPRODUCT((Comercial_Agricola[[#This Row],[Mes Financiero]]=Tipo_Cambio[Mes])*(Comercial_Agricola[[#This Row],[Año Financiero]]=Tipo_Cambio[Año])*(Tipo_Cambio[$/U$S]))</f>
        <v>0</v>
      </c>
      <c r="AG94" s="823">
        <f>SUMPRODUCT((Comercial_Agricola[[#This Row],[Mes Financiero]]=Tipo_Cambio[Mes])*(Comercial_Agricola[[#This Row],[Año Financiero]]=Tipo_Cambio[Año])*(Tipo_Cambio[Actualización]))</f>
        <v>0</v>
      </c>
    </row>
    <row r="95" spans="2:33" x14ac:dyDescent="0.25">
      <c r="B95" s="1133"/>
      <c r="D95" s="528">
        <f>DATE(RIGHT(Comercial_Agricola[[#This Row],[Campaña]],4),6,30)</f>
        <v>43646</v>
      </c>
      <c r="E95" s="522"/>
      <c r="F95" s="775" t="str">
        <f t="shared" si="12"/>
        <v>2018-2019</v>
      </c>
      <c r="G95" s="782" t="str">
        <f t="shared" si="13"/>
        <v>Stock Granos Cierre</v>
      </c>
      <c r="H95" s="480"/>
      <c r="I95" s="793">
        <f>IFERROR(INDEX(Tabla811[],MATCH(Comercial_Agricola[[#This Row],[Unidad de Negocio]],Tabla811[Unidades de Negocio],0),2),0)</f>
        <v>0</v>
      </c>
      <c r="J95" s="481"/>
      <c r="K95" s="690">
        <f>SUMPRODUCT((Comercial_Agricola[[#This Row],[Producto]]=$I$5:$I$93)*($V$5:$V$93)*(Comercial_Agricola[[#This Row],[Fecha Económico]]&gt;=$D$5:$D$93))</f>
        <v>0</v>
      </c>
      <c r="L95" s="491"/>
      <c r="M95" s="41"/>
      <c r="N95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95" s="829">
        <f>IFERROR(Comercial_Agricola[[#This Row],[Económico $Corrientes]]/Comercial_Agricola[[#This Row],[Indexación Económico]],0)</f>
        <v>0</v>
      </c>
      <c r="P95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95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95" s="865">
        <f>IFERROR(Comercial_Agricola[[#This Row],[Financiero $Corrientes]]/Comercial_Agricola[[#This Row],[Indexación Financiero]],0)</f>
        <v>0</v>
      </c>
      <c r="S95" s="865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95" s="831" t="str">
        <f>IFERROR(INDEX(Comercializacion_Granos_Cuentas[],MATCH(Comercial_Agricola[[#This Row],[Cuenta Contable]],Comercializacion_Granos_Cuentas[Cuenta Contable],0),2),0)</f>
        <v>Stock Cierre</v>
      </c>
      <c r="U95" s="806" t="str">
        <f>IFERROR(INDEX(Comercializacion_Granos_Cuentas[],MATCH(Comercial_Agricola[[#This Row],[Cuenta Contable]],Comercializacion_Granos_Cuentas[Cuenta Contable],0),3),0)</f>
        <v>Si</v>
      </c>
      <c r="V95" s="832">
        <f>IF(Comercial_Agricola[[#This Row],[Signo]]="(-)",1,-1)*IF(Comercial_Agricola[[#This Row],[Stock]]="SI",Comercial_Agricola[[#This Row],[Toneladas]],0)</f>
        <v>0</v>
      </c>
      <c r="W95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95" s="806" t="str">
        <f>IFERROR(INDEX(Tabla9[],MATCH(Comercial_Agricola[[#This Row],[Movimiento]],Tabla9[Movimientos],0),2),0)</f>
        <v>No</v>
      </c>
      <c r="Y95" s="807" t="str">
        <f>IFERROR(INDEX(Tabla9[],MATCH(Comercial_Agricola[[#This Row],[Movimiento]],Tabla9[Movimientos],0),3),0)</f>
        <v>(+)</v>
      </c>
      <c r="Z95" s="822">
        <f>IF(Comercial_Agricola[[#This Row],[Fecha Económico]]=0,0,MONTH(Comercial_Agricola[[#This Row],[Fecha Económico]]))</f>
        <v>6</v>
      </c>
      <c r="AA95" s="822">
        <f>IF(Comercial_Agricola[[#This Row],[Fecha Económico]]=0,0,YEAR(Comercial_Agricola[[#This Row],[Fecha Económico]]))</f>
        <v>2019</v>
      </c>
      <c r="AB95" s="823">
        <f>SUMPRODUCT((Comercial_Agricola[[#This Row],[Mes Económico]]=Tipo_Cambio[Mes])*(Comercial_Agricola[[#This Row],[Año Económico]]=Tipo_Cambio[Año])*(Tipo_Cambio[$/U$S]))</f>
        <v>24.544703626636963</v>
      </c>
      <c r="AC95" s="823">
        <f>SUMPRODUCT((Comercial_Agricola[[#This Row],[Mes Económico]]=Tipo_Cambio[Mes])*(Comercial_Agricola[[#This Row],[Año Económico]]=Tipo_Cambio[Año])*(Tipo_Cambio[Actualización]))</f>
        <v>1.2433743083946525</v>
      </c>
      <c r="AD95" s="822">
        <f>IF(ISNUMBER(Comercial_Agricola[[#This Row],[Fecha Financiero]])=TRUE,MONTH(Comercial_Agricola[[#This Row],[Fecha Financiero]]),0)</f>
        <v>0</v>
      </c>
      <c r="AE95" s="822">
        <f>IF(ISNUMBER(Comercial_Agricola[[#This Row],[Fecha Financiero]])=TRUE,YEAR(Comercial_Agricola[[#This Row],[Fecha Financiero]]),0)</f>
        <v>0</v>
      </c>
      <c r="AF95" s="823">
        <f>SUMPRODUCT((Comercial_Agricola[[#This Row],[Mes Financiero]]=Tipo_Cambio[Mes])*(Comercial_Agricola[[#This Row],[Año Financiero]]=Tipo_Cambio[Año])*(Tipo_Cambio[$/U$S]))</f>
        <v>0</v>
      </c>
      <c r="AG95" s="823">
        <f>SUMPRODUCT((Comercial_Agricola[[#This Row],[Mes Financiero]]=Tipo_Cambio[Mes])*(Comercial_Agricola[[#This Row],[Año Financiero]]=Tipo_Cambio[Año])*(Tipo_Cambio[Actualización]))</f>
        <v>0</v>
      </c>
    </row>
    <row r="96" spans="2:33" x14ac:dyDescent="0.25">
      <c r="B96" s="1133"/>
      <c r="D96" s="528">
        <f>DATE(RIGHT(Comercial_Agricola[[#This Row],[Campaña]],4),6,30)</f>
        <v>43646</v>
      </c>
      <c r="E96" s="522"/>
      <c r="F96" s="775" t="str">
        <f t="shared" si="12"/>
        <v>2018-2019</v>
      </c>
      <c r="G96" s="782" t="str">
        <f t="shared" si="13"/>
        <v>Stock Granos Cierre</v>
      </c>
      <c r="H96" s="480"/>
      <c r="I96" s="794">
        <f>IFERROR(INDEX(Tabla811[],MATCH(Comercial_Agricola[[#This Row],[Unidad de Negocio]],Tabla811[Unidades de Negocio],0),2),0)</f>
        <v>0</v>
      </c>
      <c r="J96" s="481"/>
      <c r="K96" s="690">
        <f>SUMPRODUCT((Comercial_Agricola[[#This Row],[Producto]]=$I$5:$I$93)*($V$5:$V$93)*(Comercial_Agricola[[#This Row],[Fecha Económico]]&gt;=$D$5:$D$93))</f>
        <v>0</v>
      </c>
      <c r="L96" s="491"/>
      <c r="M96" s="41"/>
      <c r="N96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96" s="829">
        <f>IFERROR(Comercial_Agricola[[#This Row],[Económico $Corrientes]]/Comercial_Agricola[[#This Row],[Indexación Económico]],0)</f>
        <v>0</v>
      </c>
      <c r="P96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96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96" s="865">
        <f>IFERROR(Comercial_Agricola[[#This Row],[Financiero $Corrientes]]/Comercial_Agricola[[#This Row],[Indexación Financiero]],0)</f>
        <v>0</v>
      </c>
      <c r="S96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96" s="834" t="str">
        <f>IFERROR(INDEX(Comercializacion_Granos_Cuentas[],MATCH(Comercial_Agricola[[#This Row],[Cuenta Contable]],Comercializacion_Granos_Cuentas[Cuenta Contable],0),2),0)</f>
        <v>Stock Cierre</v>
      </c>
      <c r="U96" s="835" t="str">
        <f>IFERROR(INDEX(Comercializacion_Granos_Cuentas[],MATCH(Comercial_Agricola[[#This Row],[Cuenta Contable]],Comercializacion_Granos_Cuentas[Cuenta Contable],0),3),0)</f>
        <v>Si</v>
      </c>
      <c r="V96" s="836">
        <f>IF(Comercial_Agricola[[#This Row],[Signo]]="(-)",1,-1)*IF(Comercial_Agricola[[#This Row],[Stock]]="SI",Comercial_Agricola[[#This Row],[Toneladas]],0)</f>
        <v>0</v>
      </c>
      <c r="W96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96" s="806" t="str">
        <f>IFERROR(INDEX(Tabla9[],MATCH(Comercial_Agricola[[#This Row],[Movimiento]],Tabla9[Movimientos],0),2),0)</f>
        <v>No</v>
      </c>
      <c r="Y96" s="807" t="str">
        <f>IFERROR(INDEX(Tabla9[],MATCH(Comercial_Agricola[[#This Row],[Movimiento]],Tabla9[Movimientos],0),3),0)</f>
        <v>(+)</v>
      </c>
      <c r="Z96" s="822">
        <f>IF(Comercial_Agricola[[#This Row],[Fecha Económico]]=0,0,MONTH(Comercial_Agricola[[#This Row],[Fecha Económico]]))</f>
        <v>6</v>
      </c>
      <c r="AA96" s="822">
        <f>IF(Comercial_Agricola[[#This Row],[Fecha Económico]]=0,0,YEAR(Comercial_Agricola[[#This Row],[Fecha Económico]]))</f>
        <v>2019</v>
      </c>
      <c r="AB96" s="823">
        <f>SUMPRODUCT((Comercial_Agricola[[#This Row],[Mes Económico]]=Tipo_Cambio[Mes])*(Comercial_Agricola[[#This Row],[Año Económico]]=Tipo_Cambio[Año])*(Tipo_Cambio[$/U$S]))</f>
        <v>24.544703626636963</v>
      </c>
      <c r="AC96" s="823">
        <f>SUMPRODUCT((Comercial_Agricola[[#This Row],[Mes Económico]]=Tipo_Cambio[Mes])*(Comercial_Agricola[[#This Row],[Año Económico]]=Tipo_Cambio[Año])*(Tipo_Cambio[Actualización]))</f>
        <v>1.2433743083946525</v>
      </c>
      <c r="AD96" s="822">
        <f>IF(ISNUMBER(Comercial_Agricola[[#This Row],[Fecha Financiero]])=TRUE,MONTH(Comercial_Agricola[[#This Row],[Fecha Financiero]]),0)</f>
        <v>0</v>
      </c>
      <c r="AE96" s="822">
        <f>IF(ISNUMBER(Comercial_Agricola[[#This Row],[Fecha Financiero]])=TRUE,YEAR(Comercial_Agricola[[#This Row],[Fecha Financiero]]),0)</f>
        <v>0</v>
      </c>
      <c r="AF96" s="823">
        <f>SUMPRODUCT((Comercial_Agricola[[#This Row],[Mes Financiero]]=Tipo_Cambio[Mes])*(Comercial_Agricola[[#This Row],[Año Financiero]]=Tipo_Cambio[Año])*(Tipo_Cambio[$/U$S]))</f>
        <v>0</v>
      </c>
      <c r="AG96" s="823">
        <f>SUMPRODUCT((Comercial_Agricola[[#This Row],[Mes Financiero]]=Tipo_Cambio[Mes])*(Comercial_Agricola[[#This Row],[Año Financiero]]=Tipo_Cambio[Año])*(Tipo_Cambio[Actualización]))</f>
        <v>0</v>
      </c>
    </row>
    <row r="97" spans="2:33" x14ac:dyDescent="0.25">
      <c r="D97" s="528">
        <f>DATE(RIGHT(Comercial_Agricola[[#This Row],[Campaña]],4),6,30)</f>
        <v>43646</v>
      </c>
      <c r="E97" s="522"/>
      <c r="F97" s="775" t="str">
        <f t="shared" si="12"/>
        <v>2018-2019</v>
      </c>
      <c r="G97" s="782" t="str">
        <f t="shared" si="13"/>
        <v>Stock Granos Cierre</v>
      </c>
      <c r="H97" s="480"/>
      <c r="I97" s="794">
        <f>IFERROR(INDEX(Tabla811[],MATCH(Comercial_Agricola[[#This Row],[Unidad de Negocio]],Tabla811[Unidades de Negocio],0),2),0)</f>
        <v>0</v>
      </c>
      <c r="J97" s="481"/>
      <c r="K97" s="690">
        <f>SUMPRODUCT((Comercial_Agricola[[#This Row],[Producto]]=$I$5:$I$93)*($V$5:$V$93)*(Comercial_Agricola[[#This Row],[Fecha Económico]]&gt;=$D$5:$D$93))</f>
        <v>0</v>
      </c>
      <c r="L97" s="491"/>
      <c r="M97" s="41"/>
      <c r="N97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97" s="829">
        <f>IFERROR(Comercial_Agricola[[#This Row],[Económico $Corrientes]]/Comercial_Agricola[[#This Row],[Indexación Económico]],0)</f>
        <v>0</v>
      </c>
      <c r="P97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97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97" s="865">
        <f>IFERROR(Comercial_Agricola[[#This Row],[Financiero $Corrientes]]/Comercial_Agricola[[#This Row],[Indexación Financiero]],0)</f>
        <v>0</v>
      </c>
      <c r="S97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97" s="834" t="str">
        <f>IFERROR(INDEX(Comercializacion_Granos_Cuentas[],MATCH(Comercial_Agricola[[#This Row],[Cuenta Contable]],Comercializacion_Granos_Cuentas[Cuenta Contable],0),2),0)</f>
        <v>Stock Cierre</v>
      </c>
      <c r="U97" s="835" t="str">
        <f>IFERROR(INDEX(Comercializacion_Granos_Cuentas[],MATCH(Comercial_Agricola[[#This Row],[Cuenta Contable]],Comercializacion_Granos_Cuentas[Cuenta Contable],0),3),0)</f>
        <v>Si</v>
      </c>
      <c r="V97" s="836">
        <f>IF(Comercial_Agricola[[#This Row],[Signo]]="(-)",1,-1)*IF(Comercial_Agricola[[#This Row],[Stock]]="SI",Comercial_Agricola[[#This Row],[Toneladas]],0)</f>
        <v>0</v>
      </c>
      <c r="W97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97" s="806" t="str">
        <f>IFERROR(INDEX(Tabla9[],MATCH(Comercial_Agricola[[#This Row],[Movimiento]],Tabla9[Movimientos],0),2),0)</f>
        <v>No</v>
      </c>
      <c r="Y97" s="807" t="str">
        <f>IFERROR(INDEX(Tabla9[],MATCH(Comercial_Agricola[[#This Row],[Movimiento]],Tabla9[Movimientos],0),3),0)</f>
        <v>(+)</v>
      </c>
      <c r="Z97" s="822">
        <f>IF(Comercial_Agricola[[#This Row],[Fecha Económico]]=0,0,MONTH(Comercial_Agricola[[#This Row],[Fecha Económico]]))</f>
        <v>6</v>
      </c>
      <c r="AA97" s="822">
        <f>IF(Comercial_Agricola[[#This Row],[Fecha Económico]]=0,0,YEAR(Comercial_Agricola[[#This Row],[Fecha Económico]]))</f>
        <v>2019</v>
      </c>
      <c r="AB97" s="823">
        <f>SUMPRODUCT((Comercial_Agricola[[#This Row],[Mes Económico]]=Tipo_Cambio[Mes])*(Comercial_Agricola[[#This Row],[Año Económico]]=Tipo_Cambio[Año])*(Tipo_Cambio[$/U$S]))</f>
        <v>24.544703626636963</v>
      </c>
      <c r="AC97" s="823">
        <f>SUMPRODUCT((Comercial_Agricola[[#This Row],[Mes Económico]]=Tipo_Cambio[Mes])*(Comercial_Agricola[[#This Row],[Año Económico]]=Tipo_Cambio[Año])*(Tipo_Cambio[Actualización]))</f>
        <v>1.2433743083946525</v>
      </c>
      <c r="AD97" s="822">
        <f>IF(ISNUMBER(Comercial_Agricola[[#This Row],[Fecha Financiero]])=TRUE,MONTH(Comercial_Agricola[[#This Row],[Fecha Financiero]]),0)</f>
        <v>0</v>
      </c>
      <c r="AE97" s="822">
        <f>IF(ISNUMBER(Comercial_Agricola[[#This Row],[Fecha Financiero]])=TRUE,YEAR(Comercial_Agricola[[#This Row],[Fecha Financiero]]),0)</f>
        <v>0</v>
      </c>
      <c r="AF97" s="823">
        <f>SUMPRODUCT((Comercial_Agricola[[#This Row],[Mes Financiero]]=Tipo_Cambio[Mes])*(Comercial_Agricola[[#This Row],[Año Financiero]]=Tipo_Cambio[Año])*(Tipo_Cambio[$/U$S]))</f>
        <v>0</v>
      </c>
      <c r="AG97" s="823">
        <f>SUMPRODUCT((Comercial_Agricola[[#This Row],[Mes Financiero]]=Tipo_Cambio[Mes])*(Comercial_Agricola[[#This Row],[Año Financiero]]=Tipo_Cambio[Año])*(Tipo_Cambio[Actualización]))</f>
        <v>0</v>
      </c>
    </row>
    <row r="98" spans="2:33" x14ac:dyDescent="0.25">
      <c r="D98" s="528">
        <f>DATE(RIGHT(Comercial_Agricola[[#This Row],[Campaña]],4),6,30)</f>
        <v>43646</v>
      </c>
      <c r="E98" s="522"/>
      <c r="F98" s="775" t="str">
        <f t="shared" si="12"/>
        <v>2018-2019</v>
      </c>
      <c r="G98" s="782" t="str">
        <f t="shared" si="13"/>
        <v>Stock Granos Cierre</v>
      </c>
      <c r="H98" s="480"/>
      <c r="I98" s="794">
        <f>IFERROR(INDEX(Tabla811[],MATCH(Comercial_Agricola[[#This Row],[Unidad de Negocio]],Tabla811[Unidades de Negocio],0),2),0)</f>
        <v>0</v>
      </c>
      <c r="J98" s="481"/>
      <c r="K98" s="690">
        <f>SUMPRODUCT((Comercial_Agricola[[#This Row],[Producto]]=$I$5:$I$93)*($V$5:$V$93)*(Comercial_Agricola[[#This Row],[Fecha Económico]]&gt;=$D$5:$D$93))</f>
        <v>0</v>
      </c>
      <c r="L98" s="491"/>
      <c r="M98" s="41"/>
      <c r="N98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98" s="829">
        <f>IFERROR(Comercial_Agricola[[#This Row],[Económico $Corrientes]]/Comercial_Agricola[[#This Row],[Indexación Económico]],0)</f>
        <v>0</v>
      </c>
      <c r="P98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98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98" s="865">
        <f>IFERROR(Comercial_Agricola[[#This Row],[Financiero $Corrientes]]/Comercial_Agricola[[#This Row],[Indexación Financiero]],0)</f>
        <v>0</v>
      </c>
      <c r="S98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98" s="834" t="str">
        <f>IFERROR(INDEX(Comercializacion_Granos_Cuentas[],MATCH(Comercial_Agricola[[#This Row],[Cuenta Contable]],Comercializacion_Granos_Cuentas[Cuenta Contable],0),2),0)</f>
        <v>Stock Cierre</v>
      </c>
      <c r="U98" s="835" t="str">
        <f>IFERROR(INDEX(Comercializacion_Granos_Cuentas[],MATCH(Comercial_Agricola[[#This Row],[Cuenta Contable]],Comercializacion_Granos_Cuentas[Cuenta Contable],0),3),0)</f>
        <v>Si</v>
      </c>
      <c r="V98" s="836">
        <f>IF(Comercial_Agricola[[#This Row],[Signo]]="(-)",1,-1)*IF(Comercial_Agricola[[#This Row],[Stock]]="SI",Comercial_Agricola[[#This Row],[Toneladas]],0)</f>
        <v>0</v>
      </c>
      <c r="W98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98" s="806" t="str">
        <f>IFERROR(INDEX(Tabla9[],MATCH(Comercial_Agricola[[#This Row],[Movimiento]],Tabla9[Movimientos],0),2),0)</f>
        <v>No</v>
      </c>
      <c r="Y98" s="807" t="str">
        <f>IFERROR(INDEX(Tabla9[],MATCH(Comercial_Agricola[[#This Row],[Movimiento]],Tabla9[Movimientos],0),3),0)</f>
        <v>(+)</v>
      </c>
      <c r="Z98" s="822">
        <f>IF(Comercial_Agricola[[#This Row],[Fecha Económico]]=0,0,MONTH(Comercial_Agricola[[#This Row],[Fecha Económico]]))</f>
        <v>6</v>
      </c>
      <c r="AA98" s="822">
        <f>IF(Comercial_Agricola[[#This Row],[Fecha Económico]]=0,0,YEAR(Comercial_Agricola[[#This Row],[Fecha Económico]]))</f>
        <v>2019</v>
      </c>
      <c r="AB98" s="823">
        <f>SUMPRODUCT((Comercial_Agricola[[#This Row],[Mes Económico]]=Tipo_Cambio[Mes])*(Comercial_Agricola[[#This Row],[Año Económico]]=Tipo_Cambio[Año])*(Tipo_Cambio[$/U$S]))</f>
        <v>24.544703626636963</v>
      </c>
      <c r="AC98" s="823">
        <f>SUMPRODUCT((Comercial_Agricola[[#This Row],[Mes Económico]]=Tipo_Cambio[Mes])*(Comercial_Agricola[[#This Row],[Año Económico]]=Tipo_Cambio[Año])*(Tipo_Cambio[Actualización]))</f>
        <v>1.2433743083946525</v>
      </c>
      <c r="AD98" s="822">
        <f>IF(ISNUMBER(Comercial_Agricola[[#This Row],[Fecha Financiero]])=TRUE,MONTH(Comercial_Agricola[[#This Row],[Fecha Financiero]]),0)</f>
        <v>0</v>
      </c>
      <c r="AE98" s="822">
        <f>IF(ISNUMBER(Comercial_Agricola[[#This Row],[Fecha Financiero]])=TRUE,YEAR(Comercial_Agricola[[#This Row],[Fecha Financiero]]),0)</f>
        <v>0</v>
      </c>
      <c r="AF98" s="823">
        <f>SUMPRODUCT((Comercial_Agricola[[#This Row],[Mes Financiero]]=Tipo_Cambio[Mes])*(Comercial_Agricola[[#This Row],[Año Financiero]]=Tipo_Cambio[Año])*(Tipo_Cambio[$/U$S]))</f>
        <v>0</v>
      </c>
      <c r="AG98" s="823">
        <f>SUMPRODUCT((Comercial_Agricola[[#This Row],[Mes Financiero]]=Tipo_Cambio[Mes])*(Comercial_Agricola[[#This Row],[Año Financiero]]=Tipo_Cambio[Año])*(Tipo_Cambio[Actualización]))</f>
        <v>0</v>
      </c>
    </row>
    <row r="99" spans="2:33" x14ac:dyDescent="0.25">
      <c r="D99" s="528">
        <f>DATE(RIGHT(Comercial_Agricola[[#This Row],[Campaña]],4),6,30)</f>
        <v>43646</v>
      </c>
      <c r="E99" s="522"/>
      <c r="F99" s="775" t="str">
        <f t="shared" si="12"/>
        <v>2018-2019</v>
      </c>
      <c r="G99" s="782" t="str">
        <f t="shared" si="13"/>
        <v>Stock Granos Cierre</v>
      </c>
      <c r="H99" s="480"/>
      <c r="I99" s="794">
        <f>IFERROR(INDEX(Tabla811[],MATCH(Comercial_Agricola[[#This Row],[Unidad de Negocio]],Tabla811[Unidades de Negocio],0),2),0)</f>
        <v>0</v>
      </c>
      <c r="J99" s="481"/>
      <c r="K99" s="690">
        <f>SUMPRODUCT((Comercial_Agricola[[#This Row],[Producto]]=$I$5:$I$93)*($V$5:$V$93)*(Comercial_Agricola[[#This Row],[Fecha Económico]]&gt;=$D$5:$D$93))</f>
        <v>0</v>
      </c>
      <c r="L99" s="491"/>
      <c r="M99" s="41"/>
      <c r="N99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99" s="829">
        <f>IFERROR(Comercial_Agricola[[#This Row],[Económico $Corrientes]]/Comercial_Agricola[[#This Row],[Indexación Económico]],0)</f>
        <v>0</v>
      </c>
      <c r="P99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99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99" s="865">
        <f>IFERROR(Comercial_Agricola[[#This Row],[Financiero $Corrientes]]/Comercial_Agricola[[#This Row],[Indexación Financiero]],0)</f>
        <v>0</v>
      </c>
      <c r="S99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99" s="834" t="str">
        <f>IFERROR(INDEX(Comercializacion_Granos_Cuentas[],MATCH(Comercial_Agricola[[#This Row],[Cuenta Contable]],Comercializacion_Granos_Cuentas[Cuenta Contable],0),2),0)</f>
        <v>Stock Cierre</v>
      </c>
      <c r="U99" s="835" t="str">
        <f>IFERROR(INDEX(Comercializacion_Granos_Cuentas[],MATCH(Comercial_Agricola[[#This Row],[Cuenta Contable]],Comercializacion_Granos_Cuentas[Cuenta Contable],0),3),0)</f>
        <v>Si</v>
      </c>
      <c r="V99" s="836">
        <f>IF(Comercial_Agricola[[#This Row],[Signo]]="(-)",1,-1)*IF(Comercial_Agricola[[#This Row],[Stock]]="SI",Comercial_Agricola[[#This Row],[Toneladas]],0)</f>
        <v>0</v>
      </c>
      <c r="W99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99" s="806" t="str">
        <f>IFERROR(INDEX(Tabla9[],MATCH(Comercial_Agricola[[#This Row],[Movimiento]],Tabla9[Movimientos],0),2),0)</f>
        <v>No</v>
      </c>
      <c r="Y99" s="807" t="str">
        <f>IFERROR(INDEX(Tabla9[],MATCH(Comercial_Agricola[[#This Row],[Movimiento]],Tabla9[Movimientos],0),3),0)</f>
        <v>(+)</v>
      </c>
      <c r="Z99" s="822">
        <f>IF(Comercial_Agricola[[#This Row],[Fecha Económico]]=0,0,MONTH(Comercial_Agricola[[#This Row],[Fecha Económico]]))</f>
        <v>6</v>
      </c>
      <c r="AA99" s="822">
        <f>IF(Comercial_Agricola[[#This Row],[Fecha Económico]]=0,0,YEAR(Comercial_Agricola[[#This Row],[Fecha Económico]]))</f>
        <v>2019</v>
      </c>
      <c r="AB99" s="823">
        <f>SUMPRODUCT((Comercial_Agricola[[#This Row],[Mes Económico]]=Tipo_Cambio[Mes])*(Comercial_Agricola[[#This Row],[Año Económico]]=Tipo_Cambio[Año])*(Tipo_Cambio[$/U$S]))</f>
        <v>24.544703626636963</v>
      </c>
      <c r="AC99" s="823">
        <f>SUMPRODUCT((Comercial_Agricola[[#This Row],[Mes Económico]]=Tipo_Cambio[Mes])*(Comercial_Agricola[[#This Row],[Año Económico]]=Tipo_Cambio[Año])*(Tipo_Cambio[Actualización]))</f>
        <v>1.2433743083946525</v>
      </c>
      <c r="AD99" s="822">
        <f>IF(ISNUMBER(Comercial_Agricola[[#This Row],[Fecha Financiero]])=TRUE,MONTH(Comercial_Agricola[[#This Row],[Fecha Financiero]]),0)</f>
        <v>0</v>
      </c>
      <c r="AE99" s="822">
        <f>IF(ISNUMBER(Comercial_Agricola[[#This Row],[Fecha Financiero]])=TRUE,YEAR(Comercial_Agricola[[#This Row],[Fecha Financiero]]),0)</f>
        <v>0</v>
      </c>
      <c r="AF99" s="823">
        <f>SUMPRODUCT((Comercial_Agricola[[#This Row],[Mes Financiero]]=Tipo_Cambio[Mes])*(Comercial_Agricola[[#This Row],[Año Financiero]]=Tipo_Cambio[Año])*(Tipo_Cambio[$/U$S]))</f>
        <v>0</v>
      </c>
      <c r="AG99" s="823">
        <f>SUMPRODUCT((Comercial_Agricola[[#This Row],[Mes Financiero]]=Tipo_Cambio[Mes])*(Comercial_Agricola[[#This Row],[Año Financiero]]=Tipo_Cambio[Año])*(Tipo_Cambio[Actualización]))</f>
        <v>0</v>
      </c>
    </row>
    <row r="100" spans="2:33" x14ac:dyDescent="0.25">
      <c r="D100" s="528">
        <f>DATE(RIGHT(Comercial_Agricola[[#This Row],[Campaña]],4),6,30)</f>
        <v>43646</v>
      </c>
      <c r="E100" s="522"/>
      <c r="F100" s="775" t="str">
        <f t="shared" si="12"/>
        <v>2018-2019</v>
      </c>
      <c r="G100" s="782" t="str">
        <f t="shared" si="13"/>
        <v>Stock Granos Cierre</v>
      </c>
      <c r="H100" s="480"/>
      <c r="I100" s="794">
        <f>IFERROR(INDEX(Tabla811[],MATCH(Comercial_Agricola[[#This Row],[Unidad de Negocio]],Tabla811[Unidades de Negocio],0),2),0)</f>
        <v>0</v>
      </c>
      <c r="J100" s="481"/>
      <c r="K100" s="690">
        <f>SUMPRODUCT((Comercial_Agricola[[#This Row],[Producto]]=$I$5:$I$93)*($V$5:$V$93)*(Comercial_Agricola[[#This Row],[Fecha Económico]]&gt;=$D$5:$D$93))</f>
        <v>0</v>
      </c>
      <c r="L100" s="491"/>
      <c r="M100" s="41"/>
      <c r="N100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100" s="829">
        <f>IFERROR(Comercial_Agricola[[#This Row],[Económico $Corrientes]]/Comercial_Agricola[[#This Row],[Indexación Económico]],0)</f>
        <v>0</v>
      </c>
      <c r="P100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100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100" s="865">
        <f>IFERROR(Comercial_Agricola[[#This Row],[Financiero $Corrientes]]/Comercial_Agricola[[#This Row],[Indexación Financiero]],0)</f>
        <v>0</v>
      </c>
      <c r="S100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100" s="834" t="str">
        <f>IFERROR(INDEX(Comercializacion_Granos_Cuentas[],MATCH(Comercial_Agricola[[#This Row],[Cuenta Contable]],Comercializacion_Granos_Cuentas[Cuenta Contable],0),2),0)</f>
        <v>Stock Cierre</v>
      </c>
      <c r="U100" s="835" t="str">
        <f>IFERROR(INDEX(Comercializacion_Granos_Cuentas[],MATCH(Comercial_Agricola[[#This Row],[Cuenta Contable]],Comercializacion_Granos_Cuentas[Cuenta Contable],0),3),0)</f>
        <v>Si</v>
      </c>
      <c r="V100" s="836">
        <f>IF(Comercial_Agricola[[#This Row],[Signo]]="(-)",1,-1)*IF(Comercial_Agricola[[#This Row],[Stock]]="SI",Comercial_Agricola[[#This Row],[Toneladas]],0)</f>
        <v>0</v>
      </c>
      <c r="W100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100" s="806" t="str">
        <f>IFERROR(INDEX(Tabla9[],MATCH(Comercial_Agricola[[#This Row],[Movimiento]],Tabla9[Movimientos],0),2),0)</f>
        <v>No</v>
      </c>
      <c r="Y100" s="807" t="str">
        <f>IFERROR(INDEX(Tabla9[],MATCH(Comercial_Agricola[[#This Row],[Movimiento]],Tabla9[Movimientos],0),3),0)</f>
        <v>(+)</v>
      </c>
      <c r="Z100" s="822">
        <f>IF(Comercial_Agricola[[#This Row],[Fecha Económico]]=0,0,MONTH(Comercial_Agricola[[#This Row],[Fecha Económico]]))</f>
        <v>6</v>
      </c>
      <c r="AA100" s="822">
        <f>IF(Comercial_Agricola[[#This Row],[Fecha Económico]]=0,0,YEAR(Comercial_Agricola[[#This Row],[Fecha Económico]]))</f>
        <v>2019</v>
      </c>
      <c r="AB100" s="823">
        <f>SUMPRODUCT((Comercial_Agricola[[#This Row],[Mes Económico]]=Tipo_Cambio[Mes])*(Comercial_Agricola[[#This Row],[Año Económico]]=Tipo_Cambio[Año])*(Tipo_Cambio[$/U$S]))</f>
        <v>24.544703626636963</v>
      </c>
      <c r="AC100" s="823">
        <f>SUMPRODUCT((Comercial_Agricola[[#This Row],[Mes Económico]]=Tipo_Cambio[Mes])*(Comercial_Agricola[[#This Row],[Año Económico]]=Tipo_Cambio[Año])*(Tipo_Cambio[Actualización]))</f>
        <v>1.2433743083946525</v>
      </c>
      <c r="AD100" s="822">
        <f>IF(ISNUMBER(Comercial_Agricola[[#This Row],[Fecha Financiero]])=TRUE,MONTH(Comercial_Agricola[[#This Row],[Fecha Financiero]]),0)</f>
        <v>0</v>
      </c>
      <c r="AE100" s="822">
        <f>IF(ISNUMBER(Comercial_Agricola[[#This Row],[Fecha Financiero]])=TRUE,YEAR(Comercial_Agricola[[#This Row],[Fecha Financiero]]),0)</f>
        <v>0</v>
      </c>
      <c r="AF100" s="823">
        <f>SUMPRODUCT((Comercial_Agricola[[#This Row],[Mes Financiero]]=Tipo_Cambio[Mes])*(Comercial_Agricola[[#This Row],[Año Financiero]]=Tipo_Cambio[Año])*(Tipo_Cambio[$/U$S]))</f>
        <v>0</v>
      </c>
      <c r="AG100" s="823">
        <f>SUMPRODUCT((Comercial_Agricola[[#This Row],[Mes Financiero]]=Tipo_Cambio[Mes])*(Comercial_Agricola[[#This Row],[Año Financiero]]=Tipo_Cambio[Año])*(Tipo_Cambio[Actualización]))</f>
        <v>0</v>
      </c>
    </row>
    <row r="101" spans="2:33" x14ac:dyDescent="0.25">
      <c r="D101" s="528">
        <f>DATE(RIGHT(Comercial_Agricola[[#This Row],[Campaña]],4),6,30)</f>
        <v>43646</v>
      </c>
      <c r="E101" s="522"/>
      <c r="F101" s="775" t="str">
        <f t="shared" si="12"/>
        <v>2018-2019</v>
      </c>
      <c r="G101" s="782" t="str">
        <f t="shared" si="13"/>
        <v>Stock Granos Cierre</v>
      </c>
      <c r="H101" s="480"/>
      <c r="I101" s="794">
        <f>IFERROR(INDEX(Tabla811[],MATCH(Comercial_Agricola[[#This Row],[Unidad de Negocio]],Tabla811[Unidades de Negocio],0),2),0)</f>
        <v>0</v>
      </c>
      <c r="J101" s="481"/>
      <c r="K101" s="690">
        <f>SUMPRODUCT((Comercial_Agricola[[#This Row],[Producto]]=$I$5:$I$93)*($V$5:$V$93)*(Comercial_Agricola[[#This Row],[Fecha Económico]]&gt;=$D$5:$D$93))</f>
        <v>0</v>
      </c>
      <c r="L101" s="491"/>
      <c r="M101" s="40"/>
      <c r="N101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101" s="829">
        <f>IFERROR(Comercial_Agricola[[#This Row],[Económico $Corrientes]]/Comercial_Agricola[[#This Row],[Indexación Económico]],0)</f>
        <v>0</v>
      </c>
      <c r="P101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101" s="833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101" s="865">
        <f>IFERROR(Comercial_Agricola[[#This Row],[Financiero $Corrientes]]/Comercial_Agricola[[#This Row],[Indexación Financiero]],0)</f>
        <v>0</v>
      </c>
      <c r="S101" s="830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101" s="834" t="str">
        <f>IFERROR(INDEX(Comercializacion_Granos_Cuentas[],MATCH(Comercial_Agricola[[#This Row],[Cuenta Contable]],Comercializacion_Granos_Cuentas[Cuenta Contable],0),2),0)</f>
        <v>Stock Cierre</v>
      </c>
      <c r="U101" s="835" t="str">
        <f>IFERROR(INDEX(Comercializacion_Granos_Cuentas[],MATCH(Comercial_Agricola[[#This Row],[Cuenta Contable]],Comercializacion_Granos_Cuentas[Cuenta Contable],0),3),0)</f>
        <v>Si</v>
      </c>
      <c r="V101" s="836">
        <f>IF(Comercial_Agricola[[#This Row],[Signo]]="(-)",1,-1)*IF(Comercial_Agricola[[#This Row],[Stock]]="SI",Comercial_Agricola[[#This Row],[Toneladas]],0)</f>
        <v>0</v>
      </c>
      <c r="W101" s="709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101" s="806" t="str">
        <f>IFERROR(INDEX(Tabla9[],MATCH(Comercial_Agricola[[#This Row],[Movimiento]],Tabla9[Movimientos],0),2),0)</f>
        <v>No</v>
      </c>
      <c r="Y101" s="807" t="str">
        <f>IFERROR(INDEX(Tabla9[],MATCH(Comercial_Agricola[[#This Row],[Movimiento]],Tabla9[Movimientos],0),3),0)</f>
        <v>(+)</v>
      </c>
      <c r="Z101" s="822">
        <f>IF(Comercial_Agricola[[#This Row],[Fecha Económico]]=0,0,MONTH(Comercial_Agricola[[#This Row],[Fecha Económico]]))</f>
        <v>6</v>
      </c>
      <c r="AA101" s="822">
        <f>IF(Comercial_Agricola[[#This Row],[Fecha Económico]]=0,0,YEAR(Comercial_Agricola[[#This Row],[Fecha Económico]]))</f>
        <v>2019</v>
      </c>
      <c r="AB101" s="823">
        <f>SUMPRODUCT((Comercial_Agricola[[#This Row],[Mes Económico]]=Tipo_Cambio[Mes])*(Comercial_Agricola[[#This Row],[Año Económico]]=Tipo_Cambio[Año])*(Tipo_Cambio[$/U$S]))</f>
        <v>24.544703626636963</v>
      </c>
      <c r="AC101" s="823">
        <f>SUMPRODUCT((Comercial_Agricola[[#This Row],[Mes Económico]]=Tipo_Cambio[Mes])*(Comercial_Agricola[[#This Row],[Año Económico]]=Tipo_Cambio[Año])*(Tipo_Cambio[Actualización]))</f>
        <v>1.2433743083946525</v>
      </c>
      <c r="AD101" s="822">
        <f>IF(ISNUMBER(Comercial_Agricola[[#This Row],[Fecha Financiero]])=TRUE,MONTH(Comercial_Agricola[[#This Row],[Fecha Financiero]]),0)</f>
        <v>0</v>
      </c>
      <c r="AE101" s="822">
        <f>IF(ISNUMBER(Comercial_Agricola[[#This Row],[Fecha Financiero]])=TRUE,YEAR(Comercial_Agricola[[#This Row],[Fecha Financiero]]),0)</f>
        <v>0</v>
      </c>
      <c r="AF101" s="823">
        <f>SUMPRODUCT((Comercial_Agricola[[#This Row],[Mes Financiero]]=Tipo_Cambio[Mes])*(Comercial_Agricola[[#This Row],[Año Financiero]]=Tipo_Cambio[Año])*(Tipo_Cambio[$/U$S]))</f>
        <v>0</v>
      </c>
      <c r="AG101" s="823">
        <f>SUMPRODUCT((Comercial_Agricola[[#This Row],[Mes Financiero]]=Tipo_Cambio[Mes])*(Comercial_Agricola[[#This Row],[Año Financiero]]=Tipo_Cambio[Año])*(Tipo_Cambio[Actualización]))</f>
        <v>0</v>
      </c>
    </row>
    <row r="102" spans="2:33" x14ac:dyDescent="0.25">
      <c r="D102" s="528">
        <f>DATE(RIGHT(Comercial_Agricola[[#This Row],[Campaña]],4),6,30)</f>
        <v>43646</v>
      </c>
      <c r="E102" s="522"/>
      <c r="F102" s="775" t="str">
        <f t="shared" si="12"/>
        <v>2018-2019</v>
      </c>
      <c r="G102" s="782" t="str">
        <f t="shared" si="13"/>
        <v>Stock Granos Cierre</v>
      </c>
      <c r="H102" s="480"/>
      <c r="I102" s="793">
        <f>IFERROR(INDEX(Tabla811[],MATCH(Comercial_Agricola[[#This Row],[Unidad de Negocio]],Tabla811[Unidades de Negocio],0),2),0)</f>
        <v>0</v>
      </c>
      <c r="J102" s="481"/>
      <c r="K102" s="690">
        <f>SUMPRODUCT((Comercial_Agricola[[#This Row],[Producto]]=$I$5:$I$93)*($V$5:$V$93)*(Comercial_Agricola[[#This Row],[Fecha Económico]]&gt;=$D$5:$D$93))</f>
        <v>0</v>
      </c>
      <c r="L102" s="491"/>
      <c r="M102" s="41"/>
      <c r="N102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102" s="829">
        <f>IFERROR(Comercial_Agricola[[#This Row],[Económico $Corrientes]]/Comercial_Agricola[[#This Row],[Indexación Económico]],0)</f>
        <v>0</v>
      </c>
      <c r="P102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102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102" s="865">
        <f>IFERROR(Comercial_Agricola[[#This Row],[Financiero $Corrientes]]/Comercial_Agricola[[#This Row],[Indexación Financiero]],0)</f>
        <v>0</v>
      </c>
      <c r="S102" s="865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102" s="831" t="str">
        <f>IFERROR(INDEX(Comercializacion_Granos_Cuentas[],MATCH(Comercial_Agricola[[#This Row],[Cuenta Contable]],Comercializacion_Granos_Cuentas[Cuenta Contable],0),2),0)</f>
        <v>Stock Cierre</v>
      </c>
      <c r="U102" s="806" t="str">
        <f>IFERROR(INDEX(Comercializacion_Granos_Cuentas[],MATCH(Comercial_Agricola[[#This Row],[Cuenta Contable]],Comercializacion_Granos_Cuentas[Cuenta Contable],0),3),0)</f>
        <v>Si</v>
      </c>
      <c r="V102" s="832">
        <f>IF(Comercial_Agricola[[#This Row],[Signo]]="(-)",1,-1)*IF(Comercial_Agricola[[#This Row],[Stock]]="SI",Comercial_Agricola[[#This Row],[Toneladas]],0)</f>
        <v>0</v>
      </c>
      <c r="W102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102" s="806" t="str">
        <f>IFERROR(INDEX(Tabla9[],MATCH(Comercial_Agricola[[#This Row],[Movimiento]],Tabla9[Movimientos],0),2),0)</f>
        <v>No</v>
      </c>
      <c r="Y102" s="807" t="str">
        <f>IFERROR(INDEX(Tabla9[],MATCH(Comercial_Agricola[[#This Row],[Movimiento]],Tabla9[Movimientos],0),3),0)</f>
        <v>(+)</v>
      </c>
      <c r="Z102" s="822">
        <f>IF(Comercial_Agricola[[#This Row],[Fecha Económico]]=0,0,MONTH(Comercial_Agricola[[#This Row],[Fecha Económico]]))</f>
        <v>6</v>
      </c>
      <c r="AA102" s="822">
        <f>IF(Comercial_Agricola[[#This Row],[Fecha Económico]]=0,0,YEAR(Comercial_Agricola[[#This Row],[Fecha Económico]]))</f>
        <v>2019</v>
      </c>
      <c r="AB102" s="823">
        <f>SUMPRODUCT((Comercial_Agricola[[#This Row],[Mes Económico]]=Tipo_Cambio[Mes])*(Comercial_Agricola[[#This Row],[Año Económico]]=Tipo_Cambio[Año])*(Tipo_Cambio[$/U$S]))</f>
        <v>24.544703626636963</v>
      </c>
      <c r="AC102" s="823">
        <f>SUMPRODUCT((Comercial_Agricola[[#This Row],[Mes Económico]]=Tipo_Cambio[Mes])*(Comercial_Agricola[[#This Row],[Año Económico]]=Tipo_Cambio[Año])*(Tipo_Cambio[Actualización]))</f>
        <v>1.2433743083946525</v>
      </c>
      <c r="AD102" s="822">
        <f>IF(ISNUMBER(Comercial_Agricola[[#This Row],[Fecha Financiero]])=TRUE,MONTH(Comercial_Agricola[[#This Row],[Fecha Financiero]]),0)</f>
        <v>0</v>
      </c>
      <c r="AE102" s="822">
        <f>IF(ISNUMBER(Comercial_Agricola[[#This Row],[Fecha Financiero]])=TRUE,YEAR(Comercial_Agricola[[#This Row],[Fecha Financiero]]),0)</f>
        <v>0</v>
      </c>
      <c r="AF102" s="823">
        <f>SUMPRODUCT((Comercial_Agricola[[#This Row],[Mes Financiero]]=Tipo_Cambio[Mes])*(Comercial_Agricola[[#This Row],[Año Financiero]]=Tipo_Cambio[Año])*(Tipo_Cambio[$/U$S]))</f>
        <v>0</v>
      </c>
      <c r="AG102" s="823">
        <f>SUMPRODUCT((Comercial_Agricola[[#This Row],[Mes Financiero]]=Tipo_Cambio[Mes])*(Comercial_Agricola[[#This Row],[Año Financiero]]=Tipo_Cambio[Año])*(Tipo_Cambio[Actualización]))</f>
        <v>0</v>
      </c>
    </row>
    <row r="103" spans="2:33" x14ac:dyDescent="0.25">
      <c r="B103" s="354" t="s">
        <v>101</v>
      </c>
      <c r="C103" s="70"/>
      <c r="D103" s="528">
        <f>DATE(RIGHT(Comercial_Agricola[[#This Row],[Campaña]],4),6,30)</f>
        <v>43646</v>
      </c>
      <c r="E103" s="522"/>
      <c r="F103" s="775" t="str">
        <f t="shared" si="12"/>
        <v>2018-2019</v>
      </c>
      <c r="G103" s="782" t="str">
        <f t="shared" si="13"/>
        <v>Stock Granos Cierre</v>
      </c>
      <c r="H103" s="480"/>
      <c r="I103" s="793">
        <f>IFERROR(INDEX(Tabla811[],MATCH(Comercial_Agricola[[#This Row],[Unidad de Negocio]],Tabla811[Unidades de Negocio],0),2),0)</f>
        <v>0</v>
      </c>
      <c r="J103" s="481"/>
      <c r="K103" s="690">
        <f>SUMPRODUCT((Comercial_Agricola[[#This Row],[Producto]]=$I$5:$I$93)*($V$5:$V$93)*(Comercial_Agricola[[#This Row],[Fecha Económico]]&gt;=$D$5:$D$93))</f>
        <v>0</v>
      </c>
      <c r="L103" s="481"/>
      <c r="M103" s="41"/>
      <c r="N103" s="828">
        <f>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Económico]]),0)</f>
        <v>0</v>
      </c>
      <c r="O103" s="829">
        <f>IFERROR(Comercial_Agricola[[#This Row],[Económico $Corrientes]]/Comercial_Agricola[[#This Row],[Indexación Económico]],0)</f>
        <v>0</v>
      </c>
      <c r="P103" s="830">
        <f>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Económico]]),0)</f>
        <v>0</v>
      </c>
      <c r="Q103" s="829">
        <f>IF(Comercial_Agricola[[#This Row],[Fin.]]="No",0,1)*IF(Comercial_Agricola[[#This Row],[Signo]]="(+)",1,-1)*IFERROR(IF(Comercial_Agricola[[#This Row],[Moneda]]="$",Comercial_Agricola[[#This Row],[Toneladas]]*Comercial_Agricola[[#This Row],[Precio Unitario]],Comercial_Agricola[[#This Row],[Toneladas]]*Comercial_Agricola[[#This Row],[Precio Unitario]]*Comercial_Agricola[[#This Row],[T. Cambio Financiero]]),0)</f>
        <v>0</v>
      </c>
      <c r="R103" s="865">
        <f>IFERROR(Comercial_Agricola[[#This Row],[Financiero $Corrientes]]/Comercial_Agricola[[#This Row],[Indexación Financiero]],0)</f>
        <v>0</v>
      </c>
      <c r="S103" s="865">
        <f>IF(Comercial_Agricola[[#This Row],[Fin.]]="No",0,1)*IF(Comercial_Agricola[[#This Row],[Signo]]="(+)",1,-1)*IFERROR(IF(Comercial_Agricola[[#This Row],[Moneda]]="U$S",Comercial_Agricola[[#This Row],[Toneladas]]*Comercial_Agricola[[#This Row],[Precio Unitario]],Comercial_Agricola[[#This Row],[Toneladas]]*Comercial_Agricola[[#This Row],[Precio Unitario]]/Comercial_Agricola[[#This Row],[T. Cambio Financiero]]),0)</f>
        <v>0</v>
      </c>
      <c r="T103" s="831" t="str">
        <f>IFERROR(INDEX(Comercializacion_Granos_Cuentas[],MATCH(Comercial_Agricola[[#This Row],[Cuenta Contable]],Comercializacion_Granos_Cuentas[Cuenta Contable],0),2),0)</f>
        <v>Stock Cierre</v>
      </c>
      <c r="U103" s="806" t="str">
        <f>IFERROR(INDEX(Comercializacion_Granos_Cuentas[],MATCH(Comercial_Agricola[[#This Row],[Cuenta Contable]],Comercializacion_Granos_Cuentas[Cuenta Contable],0),3),0)</f>
        <v>Si</v>
      </c>
      <c r="V103" s="832">
        <f>IF(Comercial_Agricola[[#This Row],[Signo]]="(-)",1,-1)*IF(Comercial_Agricola[[#This Row],[Stock]]="SI",Comercial_Agricola[[#This Row],[Toneladas]],0)</f>
        <v>0</v>
      </c>
      <c r="W103" s="702">
        <f>IFERROR(SUMPRODUCT((Comercial_Agricola[[#This Row],[Fecha Económico]]&gt;=Comercial_Agricola[Fecha Económico])*(Comercial_Agricola[Mov. Stock])*(Comercial_Agricola[[#This Row],[Producto]]=Comercial_Agricola[Producto])),Comercial_Agricola[Mov. Stock])</f>
        <v>0</v>
      </c>
      <c r="X103" s="806" t="str">
        <f>IFERROR(INDEX(Tabla9[],MATCH(Comercial_Agricola[[#This Row],[Movimiento]],Tabla9[Movimientos],0),2),0)</f>
        <v>No</v>
      </c>
      <c r="Y103" s="807" t="str">
        <f>IFERROR(INDEX(Tabla9[],MATCH(Comercial_Agricola[[#This Row],[Movimiento]],Tabla9[Movimientos],0),3),0)</f>
        <v>(+)</v>
      </c>
      <c r="Z103" s="822">
        <f>IF(Comercial_Agricola[[#This Row],[Fecha Económico]]=0,0,MONTH(Comercial_Agricola[[#This Row],[Fecha Económico]]))</f>
        <v>6</v>
      </c>
      <c r="AA103" s="822">
        <f>IF(Comercial_Agricola[[#This Row],[Fecha Económico]]=0,0,YEAR(Comercial_Agricola[[#This Row],[Fecha Económico]]))</f>
        <v>2019</v>
      </c>
      <c r="AB103" s="823">
        <f>SUMPRODUCT((Comercial_Agricola[[#This Row],[Mes Económico]]=Tipo_Cambio[Mes])*(Comercial_Agricola[[#This Row],[Año Económico]]=Tipo_Cambio[Año])*(Tipo_Cambio[$/U$S]))</f>
        <v>24.544703626636963</v>
      </c>
      <c r="AC103" s="823">
        <f>SUMPRODUCT((Comercial_Agricola[[#This Row],[Mes Económico]]=Tipo_Cambio[Mes])*(Comercial_Agricola[[#This Row],[Año Económico]]=Tipo_Cambio[Año])*(Tipo_Cambio[Actualización]))</f>
        <v>1.2433743083946525</v>
      </c>
      <c r="AD103" s="822">
        <f>IF(ISNUMBER(Comercial_Agricola[[#This Row],[Fecha Financiero]])=TRUE,MONTH(Comercial_Agricola[[#This Row],[Fecha Financiero]]),0)</f>
        <v>0</v>
      </c>
      <c r="AE103" s="822">
        <f>IF(ISNUMBER(Comercial_Agricola[[#This Row],[Fecha Financiero]])=TRUE,YEAR(Comercial_Agricola[[#This Row],[Fecha Financiero]]),0)</f>
        <v>0</v>
      </c>
      <c r="AF103" s="823">
        <f>SUMPRODUCT((Comercial_Agricola[[#This Row],[Mes Financiero]]=Tipo_Cambio[Mes])*(Comercial_Agricola[[#This Row],[Año Financiero]]=Tipo_Cambio[Año])*(Tipo_Cambio[$/U$S]))</f>
        <v>0</v>
      </c>
      <c r="AG103" s="823">
        <f>SUMPRODUCT((Comercial_Agricola[[#This Row],[Mes Financiero]]=Tipo_Cambio[Mes])*(Comercial_Agricola[[#This Row],[Año Financiero]]=Tipo_Cambio[Año])*(Tipo_Cambio[Actualización]))</f>
        <v>0</v>
      </c>
    </row>
    <row r="104" spans="2:33" x14ac:dyDescent="0.25">
      <c r="D104" s="653" t="s">
        <v>52</v>
      </c>
      <c r="E104" s="654"/>
      <c r="F104" s="655"/>
      <c r="G104" s="656"/>
      <c r="H104" s="656"/>
      <c r="I104" s="657"/>
      <c r="J104" s="656"/>
      <c r="K104" s="658"/>
      <c r="L104" s="656"/>
      <c r="M104" s="55"/>
      <c r="N104" s="56"/>
      <c r="O104" s="21"/>
      <c r="P104" s="57"/>
      <c r="Q104" s="58"/>
      <c r="R104" s="21"/>
      <c r="S104" s="57"/>
      <c r="T104" s="664"/>
      <c r="U104" s="665"/>
      <c r="V104" s="666">
        <f>SUBTOTAL(109,Comercial_Agricola[Mov. Stock])</f>
        <v>0</v>
      </c>
      <c r="W104" s="666"/>
      <c r="X104" s="665"/>
      <c r="Y104" s="667"/>
      <c r="Z104" s="18"/>
      <c r="AA104" s="18"/>
      <c r="AB104" s="18"/>
      <c r="AC104" s="18"/>
      <c r="AD104" s="18"/>
      <c r="AE104" s="18"/>
      <c r="AF104" s="18"/>
      <c r="AG104" s="54"/>
    </row>
  </sheetData>
  <mergeCells count="6">
    <mergeCell ref="B94:B96"/>
    <mergeCell ref="H3:J3"/>
    <mergeCell ref="B5:B7"/>
    <mergeCell ref="B15:B17"/>
    <mergeCell ref="B25:B27"/>
    <mergeCell ref="B35:B37"/>
  </mergeCells>
  <conditionalFormatting sqref="E95:E103 E50 E5:E15 E35:E40 E67:E92">
    <cfRule type="expression" dxfId="368" priority="34">
      <formula>X5="No"</formula>
    </cfRule>
  </conditionalFormatting>
  <conditionalFormatting sqref="E16">
    <cfRule type="expression" dxfId="367" priority="30">
      <formula>X16="No"</formula>
    </cfRule>
  </conditionalFormatting>
  <conditionalFormatting sqref="E17">
    <cfRule type="expression" dxfId="366" priority="28">
      <formula>X17="No"</formula>
    </cfRule>
  </conditionalFormatting>
  <conditionalFormatting sqref="E18">
    <cfRule type="expression" dxfId="365" priority="26">
      <formula>X18="No"</formula>
    </cfRule>
  </conditionalFormatting>
  <conditionalFormatting sqref="E19">
    <cfRule type="expression" dxfId="364" priority="24">
      <formula>X19="No"</formula>
    </cfRule>
  </conditionalFormatting>
  <conditionalFormatting sqref="E20">
    <cfRule type="expression" dxfId="363" priority="22">
      <formula>X20="No"</formula>
    </cfRule>
  </conditionalFormatting>
  <conditionalFormatting sqref="E21">
    <cfRule type="expression" dxfId="362" priority="20">
      <formula>X21="No"</formula>
    </cfRule>
  </conditionalFormatting>
  <conditionalFormatting sqref="E22">
    <cfRule type="expression" dxfId="361" priority="18">
      <formula>X22="No"</formula>
    </cfRule>
  </conditionalFormatting>
  <conditionalFormatting sqref="E23">
    <cfRule type="expression" dxfId="360" priority="16">
      <formula>X23="No"</formula>
    </cfRule>
  </conditionalFormatting>
  <conditionalFormatting sqref="E24:E33">
    <cfRule type="expression" dxfId="359" priority="13">
      <formula>X24="No"</formula>
    </cfRule>
  </conditionalFormatting>
  <conditionalFormatting sqref="E94">
    <cfRule type="expression" dxfId="358" priority="12">
      <formula>X94="No"</formula>
    </cfRule>
  </conditionalFormatting>
  <conditionalFormatting sqref="E43:E49">
    <cfRule type="expression" dxfId="357" priority="11">
      <formula>X43="No"</formula>
    </cfRule>
  </conditionalFormatting>
  <conditionalFormatting sqref="E93">
    <cfRule type="expression" dxfId="356" priority="10">
      <formula>X93="No"</formula>
    </cfRule>
  </conditionalFormatting>
  <conditionalFormatting sqref="W35:W50 W67:W103">
    <cfRule type="cellIs" dxfId="355" priority="9" operator="lessThan">
      <formula>0</formula>
    </cfRule>
  </conditionalFormatting>
  <conditionalFormatting sqref="E34">
    <cfRule type="expression" dxfId="354" priority="8">
      <formula>X34="No"</formula>
    </cfRule>
  </conditionalFormatting>
  <conditionalFormatting sqref="E41:E42">
    <cfRule type="expression" dxfId="353" priority="7">
      <formula>X41="No"</formula>
    </cfRule>
  </conditionalFormatting>
  <conditionalFormatting sqref="W51:W58">
    <cfRule type="cellIs" dxfId="352" priority="4" operator="lessThan">
      <formula>0</formula>
    </cfRule>
  </conditionalFormatting>
  <conditionalFormatting sqref="E58">
    <cfRule type="expression" dxfId="351" priority="6">
      <formula>X58="No"</formula>
    </cfRule>
  </conditionalFormatting>
  <conditionalFormatting sqref="E51:E57">
    <cfRule type="expression" dxfId="350" priority="5">
      <formula>X51="No"</formula>
    </cfRule>
  </conditionalFormatting>
  <conditionalFormatting sqref="W59:W66">
    <cfRule type="cellIs" dxfId="349" priority="1" operator="lessThan">
      <formula>0</formula>
    </cfRule>
  </conditionalFormatting>
  <conditionalFormatting sqref="E66">
    <cfRule type="expression" dxfId="348" priority="3">
      <formula>X66="No"</formula>
    </cfRule>
  </conditionalFormatting>
  <conditionalFormatting sqref="E59:E65">
    <cfRule type="expression" dxfId="347" priority="2">
      <formula>X59="No"</formula>
    </cfRule>
  </conditionalFormatting>
  <dataValidations count="4">
    <dataValidation type="list" allowBlank="1" showInputMessage="1" showErrorMessage="1" sqref="B25:B27 B35:B37 G25:G93">
      <formula1>Cuentas_Comerciales_Granos</formula1>
    </dataValidation>
    <dataValidation type="list" allowBlank="1" showInputMessage="1" showErrorMessage="1" sqref="M5:M103">
      <formula1>"$,U$S"</formula1>
    </dataValidation>
    <dataValidation type="list" allowBlank="1" showInputMessage="1" showErrorMessage="1" sqref="H5:H103">
      <formula1>Actividades_Comercial_Granos</formula1>
    </dataValidation>
    <dataValidation type="list" allowBlank="1" showInputMessage="1" showErrorMessage="1" sqref="F5:F103">
      <formula1>INDIRECT("Campaña")</formula1>
    </dataValidation>
  </dataValidations>
  <hyperlinks>
    <hyperlink ref="D2" location="'Asistente de Carga'!A1" display="Volver al Asistente de Carga"/>
    <hyperlink ref="E2" location="'Financiero U$S'!A1" display="Presupuesto Financiero"/>
  </hyperlinks>
  <pageMargins left="0.7" right="0.7" top="0.75" bottom="0.75" header="0.3" footer="0.3"/>
  <legacy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Configuración!$AC$5</xm:f>
          </x14:formula1>
          <xm:sqref>G5:G14 B5</xm:sqref>
        </x14:dataValidation>
        <x14:dataValidation type="list" allowBlank="1" showInputMessage="1" showErrorMessage="1">
          <x14:formula1>
            <xm:f>Configuración!$AC$6</xm:f>
          </x14:formula1>
          <xm:sqref>G94:G103 B94:B96</xm:sqref>
        </x14:dataValidation>
        <x14:dataValidation type="list" allowBlank="1" showInputMessage="1" showErrorMessage="1">
          <x14:formula1>
            <xm:f>Configuración!$AC$7</xm:f>
          </x14:formula1>
          <xm:sqref>G15:G24 B15:B17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127</vt:i4>
      </vt:variant>
    </vt:vector>
  </HeadingPairs>
  <TitlesOfParts>
    <vt:vector size="142" baseType="lpstr">
      <vt:lpstr>Indice</vt:lpstr>
      <vt:lpstr>Asistente de Carga</vt:lpstr>
      <vt:lpstr>Control</vt:lpstr>
      <vt:lpstr>Configuración</vt:lpstr>
      <vt:lpstr>Financiero $</vt:lpstr>
      <vt:lpstr>Financiero U$S</vt:lpstr>
      <vt:lpstr>Económico</vt:lpstr>
      <vt:lpstr>Prod. Agrícola</vt:lpstr>
      <vt:lpstr>Com. Agrícola</vt:lpstr>
      <vt:lpstr>Ganadería</vt:lpstr>
      <vt:lpstr>Lechería</vt:lpstr>
      <vt:lpstr>Otras Actividades</vt:lpstr>
      <vt:lpstr>Indirectos</vt:lpstr>
      <vt:lpstr>Finanzas</vt:lpstr>
      <vt:lpstr>Tablas Dinámicas</vt:lpstr>
      <vt:lpstr>'Financiero $'!Actividades_Agricolas</vt:lpstr>
      <vt:lpstr>Actividades_Agricolas</vt:lpstr>
      <vt:lpstr>'Financiero $'!Actividades_Comercial_Granos</vt:lpstr>
      <vt:lpstr>Actividades_Comercial_Granos</vt:lpstr>
      <vt:lpstr>'Financiero $'!Actividades_Indirectos</vt:lpstr>
      <vt:lpstr>Actividades_Indirectos</vt:lpstr>
      <vt:lpstr>AGR_Plan_Cuentas</vt:lpstr>
      <vt:lpstr>AGR_Protocolo_1</vt:lpstr>
      <vt:lpstr>AGR_Protocolo_2</vt:lpstr>
      <vt:lpstr>AGR_Protocolo_3</vt:lpstr>
      <vt:lpstr>AGR_Protocolo_4</vt:lpstr>
      <vt:lpstr>AGR_Protocolo_6</vt:lpstr>
      <vt:lpstr>AGR_Protocolo_7</vt:lpstr>
      <vt:lpstr>AGR_Protoloco_5</vt:lpstr>
      <vt:lpstr>AGR_Resultado_USD</vt:lpstr>
      <vt:lpstr>AGR_Unidades_Negocio</vt:lpstr>
      <vt:lpstr>Campaña_Actual</vt:lpstr>
      <vt:lpstr>'Financiero $'!Campaña_Campaña</vt:lpstr>
      <vt:lpstr>Campaña_Campaña</vt:lpstr>
      <vt:lpstr>Cargas_Manutencion</vt:lpstr>
      <vt:lpstr>'Financiero $'!Categoria_Hacienda</vt:lpstr>
      <vt:lpstr>Categoria_Hacienda</vt:lpstr>
      <vt:lpstr>'Financiero $'!Categorias_Hacienda_Lecheria</vt:lpstr>
      <vt:lpstr>Categorias_Hacienda_Lecheria</vt:lpstr>
      <vt:lpstr>'Financiero $'!Centro_Costo</vt:lpstr>
      <vt:lpstr>Centro_Costo</vt:lpstr>
      <vt:lpstr>COM_AGR_Cesion_Granos</vt:lpstr>
      <vt:lpstr>COM_AGR_Ingreso_Cesion</vt:lpstr>
      <vt:lpstr>COM_AGR_Resultado_USD</vt:lpstr>
      <vt:lpstr>COM_AGR_Stock_Cierre</vt:lpstr>
      <vt:lpstr>COM_AGR_Stock_Inicio</vt:lpstr>
      <vt:lpstr>COM_AGR_Ventas</vt:lpstr>
      <vt:lpstr>'Financiero $'!Cuenta_Contable_FIDI</vt:lpstr>
      <vt:lpstr>Cuenta_Contable_FIDI</vt:lpstr>
      <vt:lpstr>'Financiero $'!Cuentas_Agricolas</vt:lpstr>
      <vt:lpstr>Cuentas_Agricolas</vt:lpstr>
      <vt:lpstr>'Financiero $'!Cuentas_Comerciales_Granos</vt:lpstr>
      <vt:lpstr>Cuentas_Comerciales_Granos</vt:lpstr>
      <vt:lpstr>'Financiero $'!Cuentas_Ganaderas</vt:lpstr>
      <vt:lpstr>Cuentas_Ganaderas</vt:lpstr>
      <vt:lpstr>'Financiero $'!Cuentas_Indirectos</vt:lpstr>
      <vt:lpstr>Cuentas_Indirectos</vt:lpstr>
      <vt:lpstr>'Financiero $'!Cuentas_Lecheria</vt:lpstr>
      <vt:lpstr>Cuentas_Lecheria</vt:lpstr>
      <vt:lpstr>'Financiero $'!Fecha_Inicio</vt:lpstr>
      <vt:lpstr>Fecha_Inicio</vt:lpstr>
      <vt:lpstr>FIN_A</vt:lpstr>
      <vt:lpstr>FIN_B</vt:lpstr>
      <vt:lpstr>FIN_C</vt:lpstr>
      <vt:lpstr>FIN_D</vt:lpstr>
      <vt:lpstr>FIN_E</vt:lpstr>
      <vt:lpstr>FIN_F</vt:lpstr>
      <vt:lpstr>FIN_Plan_Cuentas</vt:lpstr>
      <vt:lpstr>GAN_Alimentacion</vt:lpstr>
      <vt:lpstr>GAN_Amortizaciones</vt:lpstr>
      <vt:lpstr>GAN_Arrendamientos</vt:lpstr>
      <vt:lpstr>GAN_Campos</vt:lpstr>
      <vt:lpstr>GAN_Cargas_Sociales</vt:lpstr>
      <vt:lpstr>GAN_Categorias_Hacienda</vt:lpstr>
      <vt:lpstr>GAN_Compra_Hacienda</vt:lpstr>
      <vt:lpstr>GAN_Entrada_C.CAtegoria</vt:lpstr>
      <vt:lpstr>GAN_Gerenciamiento</vt:lpstr>
      <vt:lpstr>GAN_Manutención_Personal</vt:lpstr>
      <vt:lpstr>GAN_Muertes</vt:lpstr>
      <vt:lpstr>GAN_Nacimientos</vt:lpstr>
      <vt:lpstr>GAN_Personal</vt:lpstr>
      <vt:lpstr>GAN_Plan_Cuentas</vt:lpstr>
      <vt:lpstr>GAN_Salida_C.Categoria</vt:lpstr>
      <vt:lpstr>GAN_Sanidad</vt:lpstr>
      <vt:lpstr>GAN_Stock_Cierre</vt:lpstr>
      <vt:lpstr>GAN_Stock_Inicio</vt:lpstr>
      <vt:lpstr>GAN_Suplementacion</vt:lpstr>
      <vt:lpstr>GAN_Suplementación</vt:lpstr>
      <vt:lpstr>GAN_Tralado_Entrada</vt:lpstr>
      <vt:lpstr>GAN_Traslados_Salida</vt:lpstr>
      <vt:lpstr>GAN_Ventas</vt:lpstr>
      <vt:lpstr>IND_Actividades</vt:lpstr>
      <vt:lpstr>IND_Administracion</vt:lpstr>
      <vt:lpstr>IND_Dividendos</vt:lpstr>
      <vt:lpstr>IND_Estructura</vt:lpstr>
      <vt:lpstr>IND_Impuestos</vt:lpstr>
      <vt:lpstr>IND_Inversiones</vt:lpstr>
      <vt:lpstr>IND_Plan_Cuentas</vt:lpstr>
      <vt:lpstr>'Financiero $'!Indirectos_Cuentas</vt:lpstr>
      <vt:lpstr>Indirectos_Cuentas</vt:lpstr>
      <vt:lpstr>LCH_Alimentacion</vt:lpstr>
      <vt:lpstr>LCH_Armotizacion</vt:lpstr>
      <vt:lpstr>LCH_Arrendamiento</vt:lpstr>
      <vt:lpstr>LCH_Campos</vt:lpstr>
      <vt:lpstr>LCH_CArgas</vt:lpstr>
      <vt:lpstr>LCH_Categorias_Hacienda</vt:lpstr>
      <vt:lpstr>LCH_Compra_Hacienda</vt:lpstr>
      <vt:lpstr>LCH_Datos_Tecnicos</vt:lpstr>
      <vt:lpstr>LCH_Entrada_C.Categoria</vt:lpstr>
      <vt:lpstr>LCH_Gerenciameinto</vt:lpstr>
      <vt:lpstr>LCH_Muertes</vt:lpstr>
      <vt:lpstr>LCH_Nacimientos</vt:lpstr>
      <vt:lpstr>LCH_Personal</vt:lpstr>
      <vt:lpstr>LCH_Plan_Cuentas</vt:lpstr>
      <vt:lpstr>LCH_Salida_C.Categoria</vt:lpstr>
      <vt:lpstr>LCH_Sanidad_Prod</vt:lpstr>
      <vt:lpstr>LCH_Stock_Cierre</vt:lpstr>
      <vt:lpstr>LCH_Stock_Inicio</vt:lpstr>
      <vt:lpstr>LCH_Suplementacion</vt:lpstr>
      <vt:lpstr>LCH_Traslado_Entrada</vt:lpstr>
      <vt:lpstr>LCH_Traslado_Salida</vt:lpstr>
      <vt:lpstr>LCH_Venta_Hacienda</vt:lpstr>
      <vt:lpstr>LCH_Venta_Lecha</vt:lpstr>
      <vt:lpstr>Lech_Sanidad_Honorarios</vt:lpstr>
      <vt:lpstr>'Financiero $'!Movimiento</vt:lpstr>
      <vt:lpstr>Movimiento</vt:lpstr>
      <vt:lpstr>'Financiero $'!Otras</vt:lpstr>
      <vt:lpstr>Otras</vt:lpstr>
      <vt:lpstr>'Financiero $'!Otras_Actividades</vt:lpstr>
      <vt:lpstr>Otras_Actividades</vt:lpstr>
      <vt:lpstr>OTRAS_Cesiones_Inmobiliarias</vt:lpstr>
      <vt:lpstr>Otras_Cesiones_Maquinarias</vt:lpstr>
      <vt:lpstr>Otras_Costos_Inmobiliarios</vt:lpstr>
      <vt:lpstr>OTRAS_Costos_Maquinarias</vt:lpstr>
      <vt:lpstr>'Financiero $'!Otras_Cuentas</vt:lpstr>
      <vt:lpstr>Otras_Cuentas</vt:lpstr>
      <vt:lpstr>Otras_Ingresos_Inmobiliarios</vt:lpstr>
      <vt:lpstr>OTRAS_Ingresos_Maquinarias</vt:lpstr>
      <vt:lpstr>OTRAS_Plan_Cuentas</vt:lpstr>
      <vt:lpstr>OTRAS_Unidades</vt:lpstr>
      <vt:lpstr>'Financiero $'!Producto_Agricola</vt:lpstr>
      <vt:lpstr>Producto_Agricola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 Galdeano</dc:creator>
  <cp:lastModifiedBy>dalmazan</cp:lastModifiedBy>
  <cp:lastPrinted>2017-11-29T17:50:56Z</cp:lastPrinted>
  <dcterms:created xsi:type="dcterms:W3CDTF">2017-08-14T23:11:36Z</dcterms:created>
  <dcterms:modified xsi:type="dcterms:W3CDTF">2019-08-06T17:34:28Z</dcterms:modified>
</cp:coreProperties>
</file>